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4.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7.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8.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ecade_Top5" sheetId="1" state="visible" r:id="rId3"/>
    <sheet name="Decade_Index" sheetId="2" state="visible" r:id="rId4"/>
    <sheet name="Survivorship" sheetId="3" state="visible" r:id="rId5"/>
    <sheet name="Market_Findings" sheetId="4" state="visible" r:id="rId6"/>
    <sheet name="Hole_Adjusted" sheetId="5" state="visible" r:id="rId7"/>
    <sheet name="Output_Rates" sheetId="6" state="visible" r:id="rId8"/>
    <sheet name="Age_Curve" sheetId="7" state="visible" r:id="rId9"/>
    <sheet name="Geography" sheetId="8" state="visible" r:id="rId10"/>
    <sheet name="Relocations" sheetId="9" state="visible" r:id="rId11"/>
    <sheet name="Summary" sheetId="10" state="visible" r:id="rId12"/>
    <sheet name="Pop_Inputs" sheetId="11" state="visible" r:id="rId13"/>
    <sheet name="Market_Panel" sheetId="12" state="visible" r:id="rId14"/>
    <sheet name="Franchise_Totals" sheetId="13" state="visible" r:id="rId15"/>
    <sheet name="First10" sheetId="14" state="visible" r:id="rId16"/>
    <sheet name="Defunct" sheetId="15" state="visible" r:id="rId17"/>
    <sheet name="Milestones" sheetId="16" state="visible" r:id="rId18"/>
    <sheet name="Seasons" sheetId="17" state="visible" r:id="rId19"/>
    <sheet name="Notes" sheetId="18" state="visible" r:id="rId20"/>
    <sheet name="Payroll_Sources" sheetId="19" state="visible" r:id="rId2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<sst xmlns="http://schemas.openxmlformats.org/spreadsheetml/2006/main" count="21964" uniqueCount="634">
  <si>
    <t xml:space="preserve">Most successful clubs of each decade, adjusted for market size, start-up status and payroll</t>
  </si>
  <si>
    <t xml:space="preserve">Ranked by wins per 162 games above expectation (Decade_Index). Raw column shows the unadjusted win% vs league. Payroll-adjusted rows exist for 1990-2025 (see Payroll_Sources for 2017-2025 definitions). Min. 5 seasons in the period.</t>
  </si>
  <si>
    <t xml:space="preserve">Period</t>
  </si>
  <si>
    <t xml:space="preserve">Rank</t>
  </si>
  <si>
    <t xml:space="preserve">Franchise</t>
  </si>
  <si>
    <t xml:space="preserve">Adjusted: wins/162 above expectation</t>
  </si>
  <si>
    <t xml:space="preserve">Raw: wins/162 vs league</t>
  </si>
  <si>
    <t xml:space="preserve">Postseason apps</t>
  </si>
  <si>
    <t xml:space="preserve">WS titles</t>
  </si>
  <si>
    <t xml:space="preserve">1900s</t>
  </si>
  <si>
    <t xml:space="preserve">1910s</t>
  </si>
  <si>
    <t xml:space="preserve">1920s</t>
  </si>
  <si>
    <t xml:space="preserve">1930s</t>
  </si>
  <si>
    <t xml:space="preserve">1940s</t>
  </si>
  <si>
    <t xml:space="preserve">1950s</t>
  </si>
  <si>
    <t xml:space="preserve">1960s</t>
  </si>
  <si>
    <t xml:space="preserve">1970s</t>
  </si>
  <si>
    <t xml:space="preserve">1980s</t>
  </si>
  <si>
    <t xml:space="preserve">1990s</t>
  </si>
  <si>
    <t xml:space="preserve">2000s</t>
  </si>
  <si>
    <t xml:space="preserve">2010s</t>
  </si>
  <si>
    <t xml:space="preserve">2020s</t>
  </si>
  <si>
    <t xml:space="preserve">1990s payroll-adj</t>
  </si>
  <si>
    <t xml:space="preserve">2000s payroll-adj</t>
  </si>
  <si>
    <t xml:space="preserve">2010s payroll-adj</t>
  </si>
  <si>
    <t xml:space="preserve">2020s payroll-adj</t>
  </si>
  <si>
    <t xml:space="preserve">Decade index: wins above what a club's market, start-up status and payroll predict</t>
  </si>
  <si>
    <t xml:space="preserve">For each period, win% vs the league average is regressed on relative market size and an expansion first-10-seasons flag (all periods), and, for 1990-2016, relative payroll. Index = (average actual - average predicted) x 162 = wins per 162 games above expectation. Clubs need at least 5 seasons in the period. Payroll covers 1985-2025 (Lahman Salaries to 2016; press-reported payrolls 2017-2025, see Payroll_Sources); the 1980s cannot be payroll-adjusted.</t>
  </si>
  <si>
    <t xml:space="preserve">Start</t>
  </si>
  <si>
    <t xml:space="preserve">End</t>
  </si>
  <si>
    <t xml:space="preserve">First row</t>
  </si>
  <si>
    <t xml:space="preserve">Last row</t>
  </si>
  <si>
    <t xml:space="preserve">Model</t>
  </si>
  <si>
    <t xml:space="preserve">Size coef</t>
  </si>
  <si>
    <t xml:space="preserve">Expansion first-10 coef</t>
  </si>
  <si>
    <t xml:space="preserve">Payroll coef</t>
  </si>
  <si>
    <t xml:space="preserve">Intercept</t>
  </si>
  <si>
    <t xml:space="preserve">Market size only</t>
  </si>
  <si>
    <t xml:space="preserve">Market + expansion first-10</t>
  </si>
  <si>
    <t xml:space="preserve">Market + payroll + expansion first-10</t>
  </si>
  <si>
    <t xml:space="preserve">Market + payroll</t>
  </si>
  <si>
    <t xml:space="preserve">Club-by-period table</t>
  </si>
  <si>
    <t xml:space="preserve">Group</t>
  </si>
  <si>
    <t xml:space="preserve">Seasons in period</t>
  </si>
  <si>
    <t xml:space="preserve">Avg win% vs league</t>
  </si>
  <si>
    <t xml:space="preserve">Avg relative size</t>
  </si>
  <si>
    <t xml:space="preserve">Avg expansion first-10</t>
  </si>
  <si>
    <t xml:space="preserve">Avg relative payroll</t>
  </si>
  <si>
    <t xml:space="preserve">Expected win% vs league</t>
  </si>
  <si>
    <t xml:space="preserve">Wins/162 above expectation (INDEX)</t>
  </si>
  <si>
    <t xml:space="preserve">Raw wins/162 vs league</t>
  </si>
  <si>
    <t xml:space="preserve">Eligible index</t>
  </si>
  <si>
    <t xml:space="preserve">Rank in period</t>
  </si>
  <si>
    <t xml:space="preserve">Key</t>
  </si>
  <si>
    <t xml:space="preserve">ATL</t>
  </si>
  <si>
    <t xml:space="preserve">Established</t>
  </si>
  <si>
    <t xml:space="preserve">CHC</t>
  </si>
  <si>
    <t xml:space="preserve">CIN</t>
  </si>
  <si>
    <t xml:space="preserve">PIT</t>
  </si>
  <si>
    <t xml:space="preserve">STL</t>
  </si>
  <si>
    <t xml:space="preserve">PHI</t>
  </si>
  <si>
    <t xml:space="preserve">SFG</t>
  </si>
  <si>
    <t xml:space="preserve">LAD</t>
  </si>
  <si>
    <t xml:space="preserve">BAL</t>
  </si>
  <si>
    <t xml:space="preserve">BOS</t>
  </si>
  <si>
    <t xml:space="preserve">CHW</t>
  </si>
  <si>
    <t xml:space="preserve">CLE</t>
  </si>
  <si>
    <t xml:space="preserve">DET</t>
  </si>
  <si>
    <t xml:space="preserve">MIN</t>
  </si>
  <si>
    <t xml:space="preserve">OAK</t>
  </si>
  <si>
    <t xml:space="preserve">NYY</t>
  </si>
  <si>
    <t xml:space="preserve">ANA</t>
  </si>
  <si>
    <t xml:space="preserve">Expansion</t>
  </si>
  <si>
    <t xml:space="preserve">TEX</t>
  </si>
  <si>
    <t xml:space="preserve">HOU</t>
  </si>
  <si>
    <t xml:space="preserve">NYM</t>
  </si>
  <si>
    <t xml:space="preserve">KCR</t>
  </si>
  <si>
    <t xml:space="preserve">MIL</t>
  </si>
  <si>
    <t xml:space="preserve">SDP</t>
  </si>
  <si>
    <t xml:space="preserve">WSN</t>
  </si>
  <si>
    <t xml:space="preserve">SEA</t>
  </si>
  <si>
    <t xml:space="preserve">TOR</t>
  </si>
  <si>
    <t xml:space="preserve">COL</t>
  </si>
  <si>
    <t xml:space="preserve">FLA</t>
  </si>
  <si>
    <t xml:space="preserve">ARI</t>
  </si>
  <si>
    <t xml:space="preserve">TBD</t>
  </si>
  <si>
    <t xml:space="preserve">Survivorship: how much of the established clubs' edge is selection?</t>
  </si>
  <si>
    <t xml:space="preserve">Pooled win-loss records of the 30 surviving franchises by era, from the Seasons sheet, against the folded clubs on the Defunct sheet. The league as a whole is .500 by construction, so any survivor edge must be offset by someone else's losses.</t>
  </si>
  <si>
    <t xml:space="preserve">Group / era</t>
  </si>
  <si>
    <t xml:space="preserve">From</t>
  </si>
  <si>
    <t xml:space="preserve">To</t>
  </si>
  <si>
    <t xml:space="preserve">Wins</t>
  </si>
  <si>
    <t xml:space="preserve">Losses</t>
  </si>
  <si>
    <t xml:space="preserve">Win%</t>
  </si>
  <si>
    <t xml:space="preserve">Team-seasons</t>
  </si>
  <si>
    <t xml:space="preserve">All 30 survivors, 1871-1900</t>
  </si>
  <si>
    <t xml:space="preserve">All 30 survivors, 1901-1960 (closed 16-club league)</t>
  </si>
  <si>
    <t xml:space="preserve">16 older clubs, 1961-2025</t>
  </si>
  <si>
    <t xml:space="preserve">14 expansion clubs, 1961-2025</t>
  </si>
  <si>
    <t xml:space="preserve">65 folded clubs, 1871-1915 (Defunct sheet)</t>
  </si>
  <si>
    <t xml:space="preserve">Share of all games ever played (survivors + folded) that involved a folded club</t>
  </si>
  <si>
    <t xml:space="preserve">Note: games in 1871-1960 only; the 1961-2025 rows overlap nothing above. The 'share' figure is folded-club games over all games in the table.</t>
  </si>
  <si>
    <t xml:space="preserve">Does market size explain MLB success? Win% vs relative market size</t>
  </si>
  <si>
    <t xml:space="preserve">Each team-season: win% minus that season's league average, against ln(market population per club) minus that season's average. Market = home city proper (decennial Census, interpolated); clubs sharing a city split it equally. 1901-2025.</t>
  </si>
  <si>
    <t xml:space="preserve">Sample</t>
  </si>
  <si>
    <t xml:space="preserve">Seasons</t>
  </si>
  <si>
    <t xml:space="preserve">Slope (win% per ln unit)</t>
  </si>
  <si>
    <t xml:space="preserve">Correlation</t>
  </si>
  <si>
    <t xml:space="preserve">Wins/162 for a market twice the size</t>
  </si>
  <si>
    <t xml:space="preserve">Rows</t>
  </si>
  <si>
    <t xml:space="preserve">All seasons, 1901-2025</t>
  </si>
  <si>
    <t xml:space="preserve">Market_Panel rows 2-2705</t>
  </si>
  <si>
    <t xml:space="preserve">1901-1960 (16-club, closed league)</t>
  </si>
  <si>
    <t xml:space="preserve">Market_Panel rows 2-959</t>
  </si>
  <si>
    <t xml:space="preserve">1961-2025 (expansion era)</t>
  </si>
  <si>
    <t xml:space="preserve">Market_Panel rows 960-2705</t>
  </si>
  <si>
    <t xml:space="preserve">1990-2025</t>
  </si>
  <si>
    <t xml:space="preserve">Market_Panel rows 1648-2705</t>
  </si>
  <si>
    <t xml:space="preserve">Controlled model, 1961-2025 (LINEST: win% vs avg on relative size, expansion, expansion first 10 yrs, Yankees)</t>
  </si>
  <si>
    <t xml:space="preserve">Variable</t>
  </si>
  <si>
    <t xml:space="preserve">Model A coefficient</t>
  </si>
  <si>
    <t xml:space="preserve">Wins/162 (A)</t>
  </si>
  <si>
    <t xml:space="preserve">Model B coefficient (adds Yankees)</t>
  </si>
  <si>
    <t xml:space="preserve">Wins/162 (B)</t>
  </si>
  <si>
    <t xml:space="preserve">Relative market size (per ln unit)</t>
  </si>
  <si>
    <t xml:space="preserve">Expansion club</t>
  </si>
  <si>
    <t xml:space="preserve">Expansion club, first 10 seasons (extra)</t>
  </si>
  <si>
    <t xml:space="preserve">Yankees</t>
  </si>
  <si>
    <t xml:space="preserve">n/a</t>
  </si>
  <si>
    <t xml:space="preserve">Coefficients are in win% points (0.01 = 1 point = about 1.6 wins per 162 games). The relative-size row's wins column is for a market twice the size. Standard errors are not computed here; see Notes.</t>
  </si>
  <si>
    <t xml:space="preserve">Club table: current market (2020 metro) vs 1995-2025 performance</t>
  </si>
  <si>
    <t xml:space="preserve">Market (2020)</t>
  </si>
  <si>
    <t xml:space="preserve">2020 metro pop</t>
  </si>
  <si>
    <t xml:space="preserve">Clubs in market</t>
  </si>
  <si>
    <t xml:space="preserve">Metro pop per club</t>
  </si>
  <si>
    <t xml:space="preserve">ln</t>
  </si>
  <si>
    <t xml:space="preserve">Avg win% vs avg, 1995-2025</t>
  </si>
  <si>
    <t xml:space="preserve">Predicted from market</t>
  </si>
  <si>
    <t xml:space="preserve">Over/under market</t>
  </si>
  <si>
    <t xml:space="preserve">Avg win% vs avg, all seasons</t>
  </si>
  <si>
    <t xml:space="preserve">Avg relative size, all seasons</t>
  </si>
  <si>
    <t xml:space="preserve">Atlanta</t>
  </si>
  <si>
    <t xml:space="preserve">Chicago</t>
  </si>
  <si>
    <t xml:space="preserve">Cincinnati</t>
  </si>
  <si>
    <t xml:space="preserve">Pittsburgh</t>
  </si>
  <si>
    <t xml:space="preserve">St. Louis</t>
  </si>
  <si>
    <t xml:space="preserve">Philadelphia</t>
  </si>
  <si>
    <t xml:space="preserve">San Francisco</t>
  </si>
  <si>
    <t xml:space="preserve">Los Angeles</t>
  </si>
  <si>
    <t xml:space="preserve">Baltimore</t>
  </si>
  <si>
    <t xml:space="preserve">Boston</t>
  </si>
  <si>
    <t xml:space="preserve">Cleveland</t>
  </si>
  <si>
    <t xml:space="preserve">Detroit</t>
  </si>
  <si>
    <t xml:space="preserve">Minneapolis</t>
  </si>
  <si>
    <t xml:space="preserve">New York</t>
  </si>
  <si>
    <t xml:space="preserve">Dallas</t>
  </si>
  <si>
    <t xml:space="preserve">Houston</t>
  </si>
  <si>
    <t xml:space="preserve">Kansas City</t>
  </si>
  <si>
    <t xml:space="preserve">Milwaukee</t>
  </si>
  <si>
    <t xml:space="preserve">San Diego</t>
  </si>
  <si>
    <t xml:space="preserve">Washington</t>
  </si>
  <si>
    <t xml:space="preserve">Seattle</t>
  </si>
  <si>
    <t xml:space="preserve">Toronto</t>
  </si>
  <si>
    <t xml:space="preserve">Denver</t>
  </si>
  <si>
    <t xml:space="preserve">Miami</t>
  </si>
  <si>
    <t xml:space="preserve">Phoenix</t>
  </si>
  <si>
    <t xml:space="preserve">Tampa</t>
  </si>
  <si>
    <t xml:space="preserve">Cross-section slope (30 clubs)</t>
  </si>
  <si>
    <t xml:space="preserve">Cross-section intercept</t>
  </si>
  <si>
    <t xml:space="preserve">Cross-section correlation</t>
  </si>
  <si>
    <t xml:space="preserve">Payroll relationships (1985-2025 team-seasons with payroll)</t>
  </si>
  <si>
    <t xml:space="preserve">Correlation: relative payroll vs relative market size</t>
  </si>
  <si>
    <t xml:space="preserve">Correlation: relative payroll vs win% vs league</t>
  </si>
  <si>
    <t xml:space="preserve">Slope: win% per ln unit of relative payroll</t>
  </si>
  <si>
    <t xml:space="preserve">Wins/162 for a payroll twice the size</t>
  </si>
  <si>
    <t xml:space="preserve">Digging out of the hole: expansion clubs judged without the start-up penalty</t>
  </si>
  <si>
    <t xml:space="preserve">Entry year = a club's first season. 'Hole' = games under .500 accumulated in the first N seasons. 'Hole-free record' = W-L% after the first 10 seasons for expansion clubs; for established clubs, 1961-2025 (the same calendar span, with no start-up years). Seasons through 2025.</t>
  </si>
  <si>
    <t xml:space="preserve">Hole length (seasons) used in 'after the hole' columns:</t>
  </si>
  <si>
    <t xml:space="preserve">(change to test other lengths; the 10-year columns are fixed)</t>
  </si>
  <si>
    <t xml:space="preserve">Entry year</t>
  </si>
  <si>
    <t xml:space="preserve">Seasons played</t>
  </si>
  <si>
    <t xml:space="preserve">All-time W-L%</t>
  </si>
  <si>
    <t xml:space="preserve">W-L% first N seasons</t>
  </si>
  <si>
    <t xml:space="preserve">Games under .500 after first N seasons</t>
  </si>
  <si>
    <t xml:space="preserve">W-L% after first N seasons</t>
  </si>
  <si>
    <t xml:space="preserve">W-L% first 10</t>
  </si>
  <si>
    <t xml:space="preserve">W-L% after first 10</t>
  </si>
  <si>
    <t xml:space="preserve">Hole-free record (see note)</t>
  </si>
  <si>
    <t xml:space="preserve">Rank of 30 by hole-free record</t>
  </si>
  <si>
    <t xml:space="preserve">All-time W-L% minus hole-free</t>
  </si>
  <si>
    <t xml:space="preserve">Wins per 162 above .500 after hole</t>
  </si>
  <si>
    <t xml:space="preserve">Seasons at post-hole pace to erase hole</t>
  </si>
  <si>
    <t xml:space="preserve">Share of all-time deficit created in first N</t>
  </si>
  <si>
    <t xml:space="preserve">Expansion clubs (average)</t>
  </si>
  <si>
    <t xml:space="preserve">Established clubs (average)</t>
  </si>
  <si>
    <t xml:space="preserve">Expansion clubs at or above .500 after the first 10 seasons</t>
  </si>
  <si>
    <t xml:space="preserve">Expansion clubs above the established-club average (1961-2025) after the first 10 seasons</t>
  </si>
  <si>
    <t xml:space="preserve">Note: established-club 1961-2025 average is K38; a club ranked high here has no start-up penalty baked in. Column P divides the first-N hole by the club's total all-time shortfall; blank/n.a. when the all-time record is not below .500.</t>
  </si>
  <si>
    <t xml:space="preserve">Postseason output per 100 seasons</t>
  </si>
  <si>
    <t xml:space="preserve">Counts from the Seasons sheet (Databank flags, 2025 and earlier). 2 windows: division era (1969-2025) and wild-card era (1995-2025). Pre-1969 only pennant winners reached the postseason, so the first window is the fairest across all 30 clubs.</t>
  </si>
  <si>
    <t xml:space="preserve">Seasons 1969-2025</t>
  </si>
  <si>
    <t xml:space="preserve">Pennants</t>
  </si>
  <si>
    <t xml:space="preserve">Playoffs /100 seasons</t>
  </si>
  <si>
    <t xml:space="preserve">Pennants /100</t>
  </si>
  <si>
    <t xml:space="preserve">Titles /100</t>
  </si>
  <si>
    <t xml:space="preserve">Seasons 1995-2025</t>
  </si>
  <si>
    <t xml:space="preserve">Playoffs 1995-2025</t>
  </si>
  <si>
    <t xml:space="preserve">Playoffs /100 (1995-)</t>
  </si>
  <si>
    <t xml:space="preserve">Titles 1995-2025</t>
  </si>
  <si>
    <t xml:space="preserve">Expansion (14)</t>
  </si>
  <si>
    <t xml:space="preserve">Established (16)</t>
  </si>
  <si>
    <t xml:space="preserve">Expansion clubs: win% vs league average by seasons since entry</t>
  </si>
  <si>
    <t xml:space="preserve">Win% vs season average (Market_Panel col M). Seasons since entry: 0 = first season. 'Established' compares the 16 older clubs over the same calendar span (all seasons), as a benchmark.</t>
  </si>
  <si>
    <t xml:space="preserve">Seasons since entry</t>
  </si>
  <si>
    <t xml:space="preserve">Expansion: avg win% vs avg</t>
  </si>
  <si>
    <t xml:space="preserve">Expansion: club-seasons</t>
  </si>
  <si>
    <t xml:space="preserve">1961-62 wave</t>
  </si>
  <si>
    <t xml:space="preserve">1969 wave</t>
  </si>
  <si>
    <t xml:space="preserve">1977 wave</t>
  </si>
  <si>
    <t xml:space="preserve">1993-98 wave</t>
  </si>
  <si>
    <t xml:space="preserve">Established 16 (same calendar span, all seasons)</t>
  </si>
  <si>
    <t xml:space="preserve">0-4</t>
  </si>
  <si>
    <t xml:space="preserve">5-9</t>
  </si>
  <si>
    <t xml:space="preserve">10-14</t>
  </si>
  <si>
    <t xml:space="preserve">15-19</t>
  </si>
  <si>
    <t xml:space="preserve">20-29</t>
  </si>
  <si>
    <t xml:space="preserve">30-39</t>
  </si>
  <si>
    <t xml:space="preserve">40+</t>
  </si>
  <si>
    <t xml:space="preserve">Seasons with a winning record (share), expansion clubs by age bucket</t>
  </si>
  <si>
    <t xml:space="preserve">Share of seasons with win% above .500</t>
  </si>
  <si>
    <t xml:space="preserve">Geography: win% vs league average by region of home market</t>
  </si>
  <si>
    <t xml:space="preserve">Region follows the home market in each season (so relocated clubs move regions). Census regions: Washington and Baltimore are South; Canada separate. 'Club-seasons' counts one row per club per year.</t>
  </si>
  <si>
    <t xml:space="preserve">Region</t>
  </si>
  <si>
    <t xml:space="preserve">Club-seasons (all)</t>
  </si>
  <si>
    <t xml:space="preserve">Avg win% vs avg (all)</t>
  </si>
  <si>
    <t xml:space="preserve">Club-seasons 1961+</t>
  </si>
  <si>
    <t xml:space="preserve">Avg 1961+</t>
  </si>
  <si>
    <t xml:space="preserve">Avg 1961+ established clubs</t>
  </si>
  <si>
    <t xml:space="preserve">Avg 1961+ expansion clubs</t>
  </si>
  <si>
    <t xml:space="preserve">Clubs-seasons 1995+</t>
  </si>
  <si>
    <t xml:space="preserve">Avg 1995+</t>
  </si>
  <si>
    <t xml:space="preserve">Northeast</t>
  </si>
  <si>
    <t xml:space="preserve">Midwest</t>
  </si>
  <si>
    <t xml:space="preserve">South</t>
  </si>
  <si>
    <t xml:space="preserve">West</t>
  </si>
  <si>
    <t xml:space="preserve">Canada</t>
  </si>
  <si>
    <t xml:space="preserve">Relocations: did a new market change results?</t>
  </si>
  <si>
    <t xml:space="preserve">Average win% vs league average, 10 seasons before vs 10 seasons after each move (move year = first season in new city). Small samples; descriptive only.</t>
  </si>
  <si>
    <t xml:space="preserve">Move year</t>
  </si>
  <si>
    <t xml:space="preserve">Pop ratio new/old (city, move year)</t>
  </si>
  <si>
    <t xml:space="preserve">Win% vs avg: 10 yrs before</t>
  </si>
  <si>
    <t xml:space="preserve">Win% vs avg: 10 yrs after</t>
  </si>
  <si>
    <t xml:space="preserve">Change</t>
  </si>
  <si>
    <t xml:space="preserve">Oakland</t>
  </si>
  <si>
    <t xml:space="preserve">Montreal</t>
  </si>
  <si>
    <t xml:space="preserve">Average change across moves</t>
  </si>
  <si>
    <t xml:space="preserve">Moves where the new market was larger</t>
  </si>
  <si>
    <t xml:space="preserve">Average change, moves to larger markets</t>
  </si>
  <si>
    <t xml:space="preserve">Average change, moves to smaller markets</t>
  </si>
  <si>
    <t xml:space="preserve">The Browns-to-Baltimore row uses 1953 as the St. Louis year; the 1901-02 Milwaukee year is excluded. Montreal 1999-2004 includes the club's decline before the move.</t>
  </si>
  <si>
    <t xml:space="preserve">MLB expansion clubs vs. established clubs: win-loss comparison</t>
  </si>
  <si>
    <t xml:space="preserve">Season-level data through 2025 (Baseball Databank); franchise totals through 2026 (Baseball Reference, per the Assistants Hub sheet).</t>
  </si>
  <si>
    <t xml:space="preserve">Group / wave</t>
  </si>
  <si>
    <t xml:space="preserve">Clubs</t>
  </si>
  <si>
    <t xml:space="preserve">Avg all-time W-L% (thru 2025)</t>
  </si>
  <si>
    <t xml:space="preserve">Avg first-10 W-L%</t>
  </si>
  <si>
    <t xml:space="preserve">Avg winning seasons in first 10</t>
  </si>
  <si>
    <t xml:space="preserve">Avg postseason apps in first 10</t>
  </si>
  <si>
    <t xml:space="preserve">Clubs below .500 all-time (thru 2026 sheet)</t>
  </si>
  <si>
    <t xml:space="preserve">Total WS titles (sheet)</t>
  </si>
  <si>
    <t xml:space="preserve">Expansion (all 14)</t>
  </si>
  <si>
    <t xml:space="preserve">  1961-62 wave</t>
  </si>
  <si>
    <t xml:space="preserve">  1969 wave</t>
  </si>
  <si>
    <t xml:space="preserve">  1977 wave</t>
  </si>
  <si>
    <t xml:space="preserve">  1993-98 wave</t>
  </si>
  <si>
    <t xml:space="preserve">Reading the table</t>
  </si>
  <si>
    <t xml:space="preserve">Averages are simple (unweighted) means across clubs, not pooled records.</t>
  </si>
  <si>
    <t xml:space="preserve">'First 10' for expansion clubs = their first ten seasons. For established clubs it is the 1901-1910 window, the first decade of the modern two-league era (see Notes). It is a benchmark, not an equivalent: those clubs were not new teams in 1901 (except the eight AL charter clubs).</t>
  </si>
  <si>
    <t xml:space="preserve">Postseason in the first decade is not like-for-like: before 1969 only the pennant winners reached the World Series; division play began in 1969 and wild cards in 1995.</t>
  </si>
  <si>
    <t xml:space="preserve">Years after 2025 are not in the season-level data; the 2026 season is inferred as sheet totals minus Databank totals (Franchise_Totals, cols O-R) and checks out at 162 games where marked OK.</t>
  </si>
  <si>
    <t xml:space="preserve">Clubs that folded (1871-1915, National Association/NL/American Association/Union Association/Players League/Federal League)</t>
  </si>
  <si>
    <t xml:space="preserve">Folded major-league clubs</t>
  </si>
  <si>
    <t xml:space="preserve">Median seasons lasted</t>
  </si>
  <si>
    <t xml:space="preserve">Share lasting 3 seasons or fewer</t>
  </si>
  <si>
    <t xml:space="preserve">Clubs lasting 10+ seasons</t>
  </si>
  <si>
    <t xml:space="preserve">Pooled win% of folded clubs</t>
  </si>
  <si>
    <t xml:space="preserve">Expansion clubs (1961+) that folded</t>
  </si>
  <si>
    <t xml:space="preserve">The Defunct sheet lists every folded club from the six leagues above. Negro league clubs are in Databank but are deliberately excluded here (separate question; see Notes). Relocated clubs (e.g. Senators to Rangers, Expos to Nationals) are inside the 30 current franchises, not counted as folded.</t>
  </si>
  <si>
    <t xml:space="preserve">City (market anchor)</t>
  </si>
  <si>
    <t xml:space="preserve">1900</t>
  </si>
  <si>
    <t xml:space="preserve">1910</t>
  </si>
  <si>
    <t xml:space="preserve">1920</t>
  </si>
  <si>
    <t xml:space="preserve">1930</t>
  </si>
  <si>
    <t xml:space="preserve">1940</t>
  </si>
  <si>
    <t xml:space="preserve">1950</t>
  </si>
  <si>
    <t xml:space="preserve">1960</t>
  </si>
  <si>
    <t xml:space="preserve">1970</t>
  </si>
  <si>
    <t xml:space="preserve">1980</t>
  </si>
  <si>
    <t xml:space="preserve">1990</t>
  </si>
  <si>
    <t xml:space="preserve">2000</t>
  </si>
  <si>
    <t xml:space="preserve">2010</t>
  </si>
  <si>
    <t xml:space="preserve">2020</t>
  </si>
  <si>
    <t xml:space="preserve">2020 metro area (MSA/CMA)</t>
  </si>
  <si>
    <t xml:space="preserve">Source / flag</t>
  </si>
  <si>
    <t xml:space="preserve">MSA 2020 from general reference; verify.</t>
  </si>
  <si>
    <t xml:space="preserve">Wikipedia city page (Census counts)</t>
  </si>
  <si>
    <t xml:space="preserve">1960 from general reference; other years Wikipedia city page and largest-cities list.</t>
  </si>
  <si>
    <t xml:space="preserve">1900 and 1910 from general reference; 1920-2020 from Wikipedia's largest-cities-by-decade list.</t>
  </si>
  <si>
    <t xml:space="preserve">All census years entered from general reference knowledge; verify against Census before publishing.</t>
  </si>
  <si>
    <t xml:space="preserve">Wikipedia series for Toronto (appears to include suburbs from 1931 on); 1901-2021 census years mapped to 1900-2020 columns.</t>
  </si>
  <si>
    <t xml:space="preserve">Census-year city values partly from general reference; Wikipedia page was incomplete. Verify against Statistics Canada.</t>
  </si>
  <si>
    <t xml:space="preserve">Year</t>
  </si>
  <si>
    <t xml:space="preserve">Home market (city)</t>
  </si>
  <si>
    <t xml:space="preserve">W</t>
  </si>
  <si>
    <t xml:space="preserve">L</t>
  </si>
  <si>
    <t xml:space="preserve">Clubs sharing market</t>
  </si>
  <si>
    <t xml:space="preserve">Decade idx</t>
  </si>
  <si>
    <t xml:space="preserve">Interp weight</t>
  </si>
  <si>
    <t xml:space="preserve">City population (interpolated)</t>
  </si>
  <si>
    <t xml:space="preserve">Population per club</t>
  </si>
  <si>
    <t xml:space="preserve">Season avg win%</t>
  </si>
  <si>
    <t xml:space="preserve">Win% vs season avg</t>
  </si>
  <si>
    <t xml:space="preserve">ln pop per club</t>
  </si>
  <si>
    <t xml:space="preserve">Season avg ln</t>
  </si>
  <si>
    <t xml:space="preserve">Relative market size</t>
  </si>
  <si>
    <t xml:space="preserve">Expansion first 10 yrs</t>
  </si>
  <si>
    <t xml:space="preserve">Franchise entry year</t>
  </si>
  <si>
    <t xml:space="preserve">Team payroll ($, Lahman Salaries)</t>
  </si>
  <si>
    <t xml:space="preserve">ln payroll</t>
  </si>
  <si>
    <t xml:space="preserve">Relative payroll</t>
  </si>
  <si>
    <t xml:space="preserve">Size (model X)</t>
  </si>
  <si>
    <t xml:space="preserve">Expansion first 10 (model X)</t>
  </si>
  <si>
    <t xml:space="preserve">Size (payroll model X)</t>
  </si>
  <si>
    <t xml:space="preserve">Rel payroll (payroll model X)</t>
  </si>
  <si>
    <t xml:space="preserve">Exp first 10 (payroll model X)</t>
  </si>
  <si>
    <t xml:space="preserve">ID</t>
  </si>
  <si>
    <t xml:space="preserve">Wave</t>
  </si>
  <si>
    <t xml:space="preserve">Sheet W (thru 2026)</t>
  </si>
  <si>
    <t xml:space="preserve">Sheet L (thru 2026)</t>
  </si>
  <si>
    <t xml:space="preserve">Sheet W-L%</t>
  </si>
  <si>
    <t xml:space="preserve">Sheet WS</t>
  </si>
  <si>
    <t xml:space="preserve">Sheet Divs</t>
  </si>
  <si>
    <t xml:space="preserve">Sheet Pnnts</t>
  </si>
  <si>
    <t xml:space="preserve">Sheet Playoffs</t>
  </si>
  <si>
    <t xml:space="preserve">Databank W (thru 2025)</t>
  </si>
  <si>
    <t xml:space="preserve">Databank L (thru 2025)</t>
  </si>
  <si>
    <t xml:space="preserve">Implied 2026 W</t>
  </si>
  <si>
    <t xml:space="preserve">Implied 2026 L</t>
  </si>
  <si>
    <t xml:space="preserve">2026 games</t>
  </si>
  <si>
    <t xml:space="preserve">2026 check (=162)</t>
  </si>
  <si>
    <t xml:space="preserve">Databank WS (1903-2025)</t>
  </si>
  <si>
    <t xml:space="preserve">Databank pennants (1903-2025)</t>
  </si>
  <si>
    <t xml:space="preserve">Databank playoffs (1903-2025)</t>
  </si>
  <si>
    <t xml:space="preserve">Sheet minus Databank: pennants</t>
  </si>
  <si>
    <t xml:space="preserve">Sheet minus Databank: playoffs</t>
  </si>
  <si>
    <t xml:space="preserve">Sheet minus Databank: WS</t>
  </si>
  <si>
    <t xml:space="preserve">Atlanta Braves</t>
  </si>
  <si>
    <t xml:space="preserve">Chicago Cubs</t>
  </si>
  <si>
    <t xml:space="preserve">Cincinnati Reds</t>
  </si>
  <si>
    <t xml:space="preserve">Pittsburgh Pirates</t>
  </si>
  <si>
    <t xml:space="preserve">St. Louis Cardinals</t>
  </si>
  <si>
    <t xml:space="preserve">Philadelphia Phillies</t>
  </si>
  <si>
    <t xml:space="preserve">San Francisco Giants</t>
  </si>
  <si>
    <t xml:space="preserve">Los Angeles Dodgers</t>
  </si>
  <si>
    <t xml:space="preserve">Baltimore Orioles</t>
  </si>
  <si>
    <t xml:space="preserve">Boston Red Sox</t>
  </si>
  <si>
    <t xml:space="preserve">Chicago White Sox</t>
  </si>
  <si>
    <t xml:space="preserve">Cleveland Guardians</t>
  </si>
  <si>
    <t xml:space="preserve">Detroit Tigers</t>
  </si>
  <si>
    <t xml:space="preserve">Minnesota Twins</t>
  </si>
  <si>
    <t xml:space="preserve">Athletics</t>
  </si>
  <si>
    <t xml:space="preserve">New York Yankees</t>
  </si>
  <si>
    <t xml:space="preserve">Los Angeles Angels</t>
  </si>
  <si>
    <t xml:space="preserve">1961-62</t>
  </si>
  <si>
    <t xml:space="preserve">Texas Rangers</t>
  </si>
  <si>
    <t xml:space="preserve">Houston Astros</t>
  </si>
  <si>
    <t xml:space="preserve">New York Mets</t>
  </si>
  <si>
    <t xml:space="preserve">Kansas City Royals</t>
  </si>
  <si>
    <t xml:space="preserve">1969</t>
  </si>
  <si>
    <t xml:space="preserve">Milwaukee Brewers</t>
  </si>
  <si>
    <t xml:space="preserve">San Diego Padres</t>
  </si>
  <si>
    <t xml:space="preserve">Washington Nationals</t>
  </si>
  <si>
    <t xml:space="preserve">Seattle Mariners</t>
  </si>
  <si>
    <t xml:space="preserve">1977</t>
  </si>
  <si>
    <t xml:space="preserve">Toronto Blue Jays</t>
  </si>
  <si>
    <t xml:space="preserve">Colorado Rockies</t>
  </si>
  <si>
    <t xml:space="preserve">1993-98</t>
  </si>
  <si>
    <t xml:space="preserve">Miami Marlins</t>
  </si>
  <si>
    <t xml:space="preserve">Arizona Diamondbacks</t>
  </si>
  <si>
    <t xml:space="preserve">Tampa Bay Rays</t>
  </si>
  <si>
    <t xml:space="preserve">Window start</t>
  </si>
  <si>
    <t xml:space="preserve">Window end</t>
  </si>
  <si>
    <t xml:space="preserve">Basis</t>
  </si>
  <si>
    <t xml:space="preserve">Winning seasons (of 10)</t>
  </si>
  <si>
    <t xml:space="preserve">All-time W-L% (thru 2025)</t>
  </si>
  <si>
    <t xml:space="preserve">First-10 minus all-time</t>
  </si>
  <si>
    <t xml:space="preserve">Modern-era baseline (first 10 seasons from 1901, or 1903 for NYY)</t>
  </si>
  <si>
    <t xml:space="preserve">Franchise's first 10 seasons</t>
  </si>
  <si>
    <t xml:space="preserve">Last team name</t>
  </si>
  <si>
    <t xml:space="preserve">Leagues</t>
  </si>
  <si>
    <t xml:space="preserve">First year</t>
  </si>
  <si>
    <t xml:space="preserve">Last year</t>
  </si>
  <si>
    <t xml:space="preserve">Lasted 10+ seasons</t>
  </si>
  <si>
    <t xml:space="preserve">Lasted 3 or fewer</t>
  </si>
  <si>
    <t xml:space="preserve">ATH</t>
  </si>
  <si>
    <t xml:space="preserve">Philadelphia Athletics</t>
  </si>
  <si>
    <t xml:space="preserve">NL</t>
  </si>
  <si>
    <t xml:space="preserve">CNR</t>
  </si>
  <si>
    <t xml:space="preserve">HAR</t>
  </si>
  <si>
    <t xml:space="preserve">Hartford Dark Blues</t>
  </si>
  <si>
    <t xml:space="preserve">LGR</t>
  </si>
  <si>
    <t xml:space="preserve">Louisville Grays</t>
  </si>
  <si>
    <t xml:space="preserve">NYU</t>
  </si>
  <si>
    <t xml:space="preserve">New York Mutuals</t>
  </si>
  <si>
    <t xml:space="preserve">SBS</t>
  </si>
  <si>
    <t xml:space="preserve">St. Louis Brown Stockings</t>
  </si>
  <si>
    <t xml:space="preserve">IBL</t>
  </si>
  <si>
    <t xml:space="preserve">Indianapolis Blues</t>
  </si>
  <si>
    <t xml:space="preserve">MLG</t>
  </si>
  <si>
    <t xml:space="preserve">Milwaukee Grays</t>
  </si>
  <si>
    <t xml:space="preserve">PRO</t>
  </si>
  <si>
    <t xml:space="preserve">Providence Grays</t>
  </si>
  <si>
    <t xml:space="preserve">BUF</t>
  </si>
  <si>
    <t xml:space="preserve">Buffalo Bisons</t>
  </si>
  <si>
    <t xml:space="preserve">CBL</t>
  </si>
  <si>
    <t xml:space="preserve">Cleveland Blues</t>
  </si>
  <si>
    <t xml:space="preserve">SYR</t>
  </si>
  <si>
    <t xml:space="preserve">Syracuse Stars</t>
  </si>
  <si>
    <t xml:space="preserve">TRT</t>
  </si>
  <si>
    <t xml:space="preserve">Troy Trojans</t>
  </si>
  <si>
    <t xml:space="preserve">WOR</t>
  </si>
  <si>
    <t xml:space="preserve">Worcester Ruby Legs</t>
  </si>
  <si>
    <t xml:space="preserve">DTN</t>
  </si>
  <si>
    <t xml:space="preserve">Detroit Wolverines</t>
  </si>
  <si>
    <t xml:space="preserve">BLO</t>
  </si>
  <si>
    <t xml:space="preserve">AA/NL</t>
  </si>
  <si>
    <t xml:space="preserve">LOU</t>
  </si>
  <si>
    <t xml:space="preserve">Louisville Colonels</t>
  </si>
  <si>
    <t xml:space="preserve">PHA</t>
  </si>
  <si>
    <t xml:space="preserve">AA</t>
  </si>
  <si>
    <t xml:space="preserve">CBK</t>
  </si>
  <si>
    <t xml:space="preserve">Columbus Buckeyes</t>
  </si>
  <si>
    <t xml:space="preserve">NYP</t>
  </si>
  <si>
    <t xml:space="preserve">New York Metropolitans</t>
  </si>
  <si>
    <t xml:space="preserve">ALT</t>
  </si>
  <si>
    <t xml:space="preserve">Altoona Mountain City</t>
  </si>
  <si>
    <t xml:space="preserve">UA</t>
  </si>
  <si>
    <t xml:space="preserve">BLU</t>
  </si>
  <si>
    <t xml:space="preserve">Baltimore Monumentals</t>
  </si>
  <si>
    <t xml:space="preserve">BRD</t>
  </si>
  <si>
    <t xml:space="preserve">Boston Reds</t>
  </si>
  <si>
    <t xml:space="preserve">COR</t>
  </si>
  <si>
    <t xml:space="preserve">Cincinnati Outlaw Reds</t>
  </si>
  <si>
    <t xml:space="preserve">CPI</t>
  </si>
  <si>
    <t xml:space="preserve">Chicago/Pittsburgh (Union League)</t>
  </si>
  <si>
    <t xml:space="preserve">IHO</t>
  </si>
  <si>
    <t xml:space="preserve">Indianapolis Hoosiers</t>
  </si>
  <si>
    <t xml:space="preserve">KCU</t>
  </si>
  <si>
    <t xml:space="preserve">Kansas City Cowboys</t>
  </si>
  <si>
    <t xml:space="preserve">MLU</t>
  </si>
  <si>
    <t xml:space="preserve">PHK</t>
  </si>
  <si>
    <t xml:space="preserve">Philadelphia Keystones</t>
  </si>
  <si>
    <t xml:space="preserve">RIC</t>
  </si>
  <si>
    <t xml:space="preserve">Richmond Virginians</t>
  </si>
  <si>
    <t xml:space="preserve">SLM</t>
  </si>
  <si>
    <t xml:space="preserve">St. Louis Maroons</t>
  </si>
  <si>
    <t xml:space="preserve">NL/UA</t>
  </si>
  <si>
    <t xml:space="preserve">STP</t>
  </si>
  <si>
    <t xml:space="preserve">St. Paul White Caps</t>
  </si>
  <si>
    <t xml:space="preserve">TOL</t>
  </si>
  <si>
    <t xml:space="preserve">Toledo Blue Stockings</t>
  </si>
  <si>
    <t xml:space="preserve">WIL</t>
  </si>
  <si>
    <t xml:space="preserve">Wilmington Quicksteps</t>
  </si>
  <si>
    <t xml:space="preserve">WNA</t>
  </si>
  <si>
    <t xml:space="preserve">WST</t>
  </si>
  <si>
    <t xml:space="preserve">KCN</t>
  </si>
  <si>
    <t xml:space="preserve">WNL</t>
  </si>
  <si>
    <t xml:space="preserve">CLV</t>
  </si>
  <si>
    <t xml:space="preserve">Cleveland Spiders</t>
  </si>
  <si>
    <t xml:space="preserve">IND</t>
  </si>
  <si>
    <t xml:space="preserve">KCC</t>
  </si>
  <si>
    <t xml:space="preserve">CLS</t>
  </si>
  <si>
    <t xml:space="preserve">Columbus Solons</t>
  </si>
  <si>
    <t xml:space="preserve">BFB</t>
  </si>
  <si>
    <t xml:space="preserve">PL</t>
  </si>
  <si>
    <t xml:space="preserve">BRG</t>
  </si>
  <si>
    <t xml:space="preserve">Brooklyn Gladiators</t>
  </si>
  <si>
    <t xml:space="preserve">BRS</t>
  </si>
  <si>
    <t xml:space="preserve">AA/PL</t>
  </si>
  <si>
    <t xml:space="preserve">BWW</t>
  </si>
  <si>
    <t xml:space="preserve">Brooklyn Ward's Wonders</t>
  </si>
  <si>
    <t xml:space="preserve">CHP</t>
  </si>
  <si>
    <t xml:space="preserve">Chicago Pirates</t>
  </si>
  <si>
    <t xml:space="preserve">CLI</t>
  </si>
  <si>
    <t xml:space="preserve">Cleveland Infants</t>
  </si>
  <si>
    <t xml:space="preserve">NYI</t>
  </si>
  <si>
    <t xml:space="preserve">New York Giants</t>
  </si>
  <si>
    <t xml:space="preserve">PBB</t>
  </si>
  <si>
    <t xml:space="preserve">Pittsburgh Burghers</t>
  </si>
  <si>
    <t xml:space="preserve">PHQ</t>
  </si>
  <si>
    <t xml:space="preserve">ROC</t>
  </si>
  <si>
    <t xml:space="preserve">Rochester Broncos</t>
  </si>
  <si>
    <t xml:space="preserve">SYS</t>
  </si>
  <si>
    <t xml:space="preserve">TLM</t>
  </si>
  <si>
    <t xml:space="preserve">Toledo Maumees</t>
  </si>
  <si>
    <t xml:space="preserve">CKK</t>
  </si>
  <si>
    <t xml:space="preserve">Cincinnati Kelly's Killers</t>
  </si>
  <si>
    <t xml:space="preserve">MLA</t>
  </si>
  <si>
    <t xml:space="preserve">WAS</t>
  </si>
  <si>
    <t xml:space="preserve">Washington Senators</t>
  </si>
  <si>
    <t xml:space="preserve">BFL</t>
  </si>
  <si>
    <t xml:space="preserve">Buffalo Blues</t>
  </si>
  <si>
    <t xml:space="preserve">FL</t>
  </si>
  <si>
    <t xml:space="preserve">BLT</t>
  </si>
  <si>
    <t xml:space="preserve">Baltimore Terrapins</t>
  </si>
  <si>
    <t xml:space="preserve">BTT</t>
  </si>
  <si>
    <t xml:space="preserve">Brooklyn Tip-Tops</t>
  </si>
  <si>
    <t xml:space="preserve">CHH</t>
  </si>
  <si>
    <t xml:space="preserve">Chicago Whales</t>
  </si>
  <si>
    <t xml:space="preserve">KCP</t>
  </si>
  <si>
    <t xml:space="preserve">Kansas City Packers</t>
  </si>
  <si>
    <t xml:space="preserve">NEW</t>
  </si>
  <si>
    <t xml:space="preserve">Newark Pepper</t>
  </si>
  <si>
    <t xml:space="preserve">PBS</t>
  </si>
  <si>
    <t xml:space="preserve">Pittsburgh Rebels</t>
  </si>
  <si>
    <t xml:space="preserve">SLI</t>
  </si>
  <si>
    <t xml:space="preserve">St. Louis Terriers</t>
  </si>
  <si>
    <t xml:space="preserve">From (or 1901)</t>
  </si>
  <si>
    <t xml:space="preserve">First winning season</t>
  </si>
  <si>
    <t xml:space="preserve">First postseason</t>
  </si>
  <si>
    <t xml:space="preserve">First pennant</t>
  </si>
  <si>
    <t xml:space="preserve">First WS title</t>
  </si>
  <si>
    <t xml:space="preserve">Seasons to first winning</t>
  </si>
  <si>
    <t xml:space="preserve">Seasons to first postseason</t>
  </si>
  <si>
    <t xml:space="preserve">Seasons to first pennant</t>
  </si>
  <si>
    <t xml:space="preserve">Seasons to first WS</t>
  </si>
  <si>
    <t xml:space="preserve">Franchise ID</t>
  </si>
  <si>
    <t xml:space="preserve">Team</t>
  </si>
  <si>
    <t xml:space="preserve">DivWin</t>
  </si>
  <si>
    <t xml:space="preserve">WCWin</t>
  </si>
  <si>
    <t xml:space="preserve">LgWin</t>
  </si>
  <si>
    <t xml:space="preserve">WSWin</t>
  </si>
  <si>
    <t xml:space="preserve">Winning season</t>
  </si>
  <si>
    <t xml:space="preserve">Postseason</t>
  </si>
  <si>
    <t xml:space="preserve">Pennant</t>
  </si>
  <si>
    <t xml:space="preserve">WS title</t>
  </si>
  <si>
    <t xml:space="preserve">N</t>
  </si>
  <si>
    <t xml:space="preserve">California Angels</t>
  </si>
  <si>
    <t xml:space="preserve">Y</t>
  </si>
  <si>
    <t xml:space="preserve">Anaheim Angels</t>
  </si>
  <si>
    <t xml:space="preserve">Los Angeles Angels of Anaheim</t>
  </si>
  <si>
    <t xml:space="preserve">Boston Red Caps</t>
  </si>
  <si>
    <t xml:space="preserve">Boston Beaneaters</t>
  </si>
  <si>
    <t xml:space="preserve">Boston Doves</t>
  </si>
  <si>
    <t xml:space="preserve">Boston Rustlers</t>
  </si>
  <si>
    <t xml:space="preserve">Boston Braves</t>
  </si>
  <si>
    <t xml:space="preserve">Boston Bees</t>
  </si>
  <si>
    <t xml:space="preserve">Milwaukee Braves</t>
  </si>
  <si>
    <t xml:space="preserve">St. Louis Browns</t>
  </si>
  <si>
    <t xml:space="preserve">Boston Americans</t>
  </si>
  <si>
    <t xml:space="preserve">Chicago White Stockings</t>
  </si>
  <si>
    <t xml:space="preserve">Chicago Colts</t>
  </si>
  <si>
    <t xml:space="preserve">Chicago Orphans</t>
  </si>
  <si>
    <t xml:space="preserve">Cincinnati Red Stockings</t>
  </si>
  <si>
    <t xml:space="preserve">Cincinnati Redlegs</t>
  </si>
  <si>
    <t xml:space="preserve">Cleveland Bronchos</t>
  </si>
  <si>
    <t xml:space="preserve">Cleveland Naps</t>
  </si>
  <si>
    <t xml:space="preserve">Cleveland Indians</t>
  </si>
  <si>
    <t xml:space="preserve">Florida Marlins</t>
  </si>
  <si>
    <t xml:space="preserve">Houston Colt .45's</t>
  </si>
  <si>
    <t xml:space="preserve">Brooklyn Atlantics</t>
  </si>
  <si>
    <t xml:space="preserve">Brooklyn Grays</t>
  </si>
  <si>
    <t xml:space="preserve">Brooklyn Bridegrooms</t>
  </si>
  <si>
    <t xml:space="preserve">Brooklyn Grooms</t>
  </si>
  <si>
    <t xml:space="preserve">Brooklyn Superbas</t>
  </si>
  <si>
    <t xml:space="preserve">Brooklyn Dodgers</t>
  </si>
  <si>
    <t xml:space="preserve">Brooklyn Robins</t>
  </si>
  <si>
    <t xml:space="preserve">Seattle Pilots</t>
  </si>
  <si>
    <t xml:space="preserve">New York Highlanders</t>
  </si>
  <si>
    <t xml:space="preserve">Kansas City Athletics</t>
  </si>
  <si>
    <t xml:space="preserve">Oakland Athletics</t>
  </si>
  <si>
    <t xml:space="preserve">Philadelphia Quakers</t>
  </si>
  <si>
    <t xml:space="preserve">Philadelphia Blue Jays</t>
  </si>
  <si>
    <t xml:space="preserve">Pittsburg Alleghenys</t>
  </si>
  <si>
    <t xml:space="preserve">New York Gothams</t>
  </si>
  <si>
    <t xml:space="preserve">St. Louis Perfectos</t>
  </si>
  <si>
    <t xml:space="preserve">Tampa Bay Devil Rays</t>
  </si>
  <si>
    <t xml:space="preserve">Montreal Expos</t>
  </si>
  <si>
    <t xml:space="preserve">Sources</t>
  </si>
  <si>
    <t xml:space="preserve">1) MLB-All-Time-Team-Records.xlsx (Assistants Hub, built by Mia from Baseball Reference franchise pages, through 2026): franchise totals, titles, pennants, playoffs. Blue inputs on Franchise_Totals.</t>
  </si>
  <si>
    <t xml:space="preserve">2) Season-by-season team records 1871-2025: Baseball Databank / Lahman database as packaged in the pylahman 0.7.0 PyPI wheel (Teams table; yearID &lt;= 2025). The upstream GitHub repository was not reachable from this environment.</t>
  </si>
  <si>
    <t xml:space="preserve">Assumptions and definitions</t>
  </si>
  <si>
    <t xml:space="preserve">- Franchise IDs follow Databank (ANA = Angels, FLA = Marlins, TBD = Rays, WSN = Expos/Nationals, OAK = Athletics, etc.). Databank franchise histories follow the current franchise lineage.</t>
  </si>
  <si>
    <t xml:space="preserve">- Postseason appearance = division title, wild card or league pennant flag in Databank. 1994 (no postseason) and 2020 (expanded field) are handled by the flags as published; 2020 is included if Databank flags it.</t>
  </si>
  <si>
    <t xml:space="preserve">- Established-club baseline = 1901-1910. The Yankees' Databank franchise starts 1901 (as Baltimore), though the sheet lists 1903. Cubs/Braves/Reds/etc. existed long before 1901, so their baseline is not their birth decade.</t>
  </si>
  <si>
    <t xml:space="preserve">- Winning season = W &gt; L. Ties in unusual seasons are not special-cased.</t>
  </si>
  <si>
    <t xml:space="preserve">- Folded clubs: all franchises in Databank that are not one of the 30 current franchises and played only in NL, AA, UA, PL, FL or the National Association (NA). Negro league clubs (Databank includes 1903-1948) are excluded; MLB recognized the 1920-48 Negro Leagues as major leagues in 2020, so they merit their own treatment rather than being lumped in.</t>
  </si>
  <si>
    <t xml:space="preserve">Open items</t>
  </si>
  <si>
    <t xml:space="preserve">- Marlins: sheet lists 1 pennant vs 2 WS titles (impossible). Databank shows 2 pennants (1997, 2003). Mia's pending correction (J29 -&gt; 2) is supported. The proposed playoff count of 4 should be checked against Franchise_Totals!U (Databank playoffs). Nothing in the source sheet has been changed.</t>
  </si>
  <si>
    <t xml:space="preserve">- Franchise_Totals cols V-X: sheet minus Databank (1903-2025). Playoffs +1 matches the 2026 postseason field (Rays, Guardians, Astros, Yankees, Red Sox, White Sox; Brewers, Dodgers, Braves, Padres, Cubs, Phillies, per the NBC Sports bracket page, Oct 2026). The Marlins did not qualify in 2026, so their playoff total is 4 (Databank), not the sheet's 5: Mia's pending K29 -&gt; 4 is supported. Marlins pennants: Databank shows 2 (1997, 2003), so J29 -&gt; 2 is supported. Pennant differences for older NL clubs reflect pre-1903 league titles that Baseball Reference counts and this check excludes.
- Blue Jays: 3,934-3,939 is five games under .500 (.4997); the source sheet's narrative calls it 'exactly even' (rounded). Strictly, 13 of 14 expansion clubs are below .500; only Houston is above.</t>
  </si>
  <si>
    <t xml:space="preserve">Market-size analysis (added)</t>
  </si>
  <si>
    <t xml:space="preserve">- Market = city proper, Census counts by decade (Pop_Inputs), interpolated log-linearly by year; 2020 columns used for 2020-2025. City proper understates suburbanized markets after 1950 (St. Louis, Cleveland, Pittsburgh), which biases the modern slope toward zero; the 2020 metro cross-section is shown as a check.</t>
  </si>
  <si>
    <t xml:space="preserve">- Clubs sharing a city split its population (e.g. three New York clubs 1903-1957, two from 1962). Bay Area, Dallas-Fort Worth and the Los Angeles area are single-city proxies: Giants and Athletics are treated as separate cities, Rangers use Dallas, Angels use Los Angeles.</t>
  </si>
  <si>
    <t xml:space="preserve">- Relocation is handled by market-by-year: e.g. Braves in Boston to 1952, Milwaukee 1953-65, Atlanta from 1966; Dodgers and Giants in New York to 1957; Browns in St. Louis to 1953, then Baltimore.</t>
  </si>
  <si>
    <t xml:space="preserve">- Values flagged on Pop_Inputs (San Francisco, early Los Angeles, Montreal, Boston 1960, several 2020 metro totals) came from general reference rather than a fetched table and should be verified against Census / Statistics Canada before any public use.</t>
  </si>
  <si>
    <t xml:space="preserve">- Statistical caveat: the regressions use team-seasons, which are not independent (same club across years). Slopes and r values are descriptive; do not read the 't-values' as formal significance.</t>
  </si>
  <si>
    <t xml:space="preserve">Decade index (added)</t>
  </si>
  <si>
    <t xml:space="preserve">- Index = wins per 162 above what the period's own regression predicts from relative market size, an expansion first-10-seasons flag and, 1990-2016, relative payroll. It removes the start-up hole by construction for expansion clubs, and rewards clubs that beat both their market and their payroll.</t>
  </si>
  <si>
    <t xml:space="preserve">- Payroll = sum of player salaries in the Lahman Salaries table (1985-2016); this is season-end/roster salary data, not Opening Day payroll, and excludes 2017+. The 2020s and 1980s are market-adjusted only.</t>
  </si>
  <si>
    <t xml:space="preserve">- Index weights regular-season wins only; postseason apps and titles are shown beside it. A composite that credits postseason success is a judgement call and has not been imposed.</t>
  </si>
  <si>
    <t xml:space="preserve">- Index = wins per 162 above what the period's own regression predicts from relative market size, an expansion first-10-seasons flag and, 1990-2025, relative payroll. It removes the start-up hole by construction for expansion clubs, and rewards clubs that beat both their market and their payroll.</t>
  </si>
  <si>
    <t xml:space="preserve">- Payroll: 1985-2016 = sum of player salaries in the Lahman Salaries table; 2017-2025 = press-reported payrolls (Spotrac / AP), a mix of Opening Day and final 40-man figures. Because each season is normalised to the league mean, level differences between sources wash out but definitional differences within a season do not. 2020 is prorated to 60 games. The 1980s are market-adjusted only.</t>
  </si>
  <si>
    <t xml:space="preserve">Years</t>
  </si>
  <si>
    <t xml:space="preserve">Source</t>
  </si>
  <si>
    <t xml:space="preserve">Definition</t>
  </si>
  <si>
    <t xml:space="preserve">Total, 30 clubs ($)</t>
  </si>
  <si>
    <t xml:space="preserve">1985-2016</t>
  </si>
  <si>
    <t xml:space="preserve">Lahman / Baseball Databank Salaries table (pylahman 0.7.0)</t>
  </si>
  <si>
    <t xml:space="preserve">Sum of player salaries by team-season</t>
  </si>
  <si>
    <t xml:space="preserve">Spotrac via CBS Sports</t>
  </si>
  <si>
    <t xml:space="preserve">Opening Day payroll</t>
  </si>
  <si>
    <t xml:space="preserve">AP via Forbes (Maury Brown, Dec 2018)</t>
  </si>
  <si>
    <t xml:space="preserve">Final payroll, 40-man roster, incl. $14.0M benefits allotment</t>
  </si>
  <si>
    <t xml:space="preserve">Spotrac</t>
  </si>
  <si>
    <t xml:space="preserve">Opening Day total payroll (all allocations)</t>
  </si>
  <si>
    <t xml:space="preserve">AP via theScore</t>
  </si>
  <si>
    <t xml:space="preserve">Final payroll, 40-man roster, prorated to 60-game season</t>
  </si>
  <si>
    <t xml:space="preserve">AP via WTOP</t>
  </si>
  <si>
    <t xml:space="preserve">Final payroll, 40-man roster</t>
  </si>
  <si>
    <t xml:space="preserve">Opening Day payroll, 28-man roster + IL</t>
  </si>
  <si>
    <t xml:space="preserve">AP via WTOP (2024 vs 2023 list)</t>
  </si>
  <si>
    <t xml:space="preserve">Opening Day payroll, 26-man roster + IL</t>
  </si>
  <si>
    <t xml:space="preserve">AP final payrolls 2025-vs-2024 list (News-Gazette)</t>
  </si>
  <si>
    <t xml:space="preserve">Press-reported totals were checked against the published league totals for 2018 ($4.548B), 2020 ($1.746B) and 2021 ($4.051B). Other years were transcribed team-by-team; no league total was available to cross-check.</t>
  </si>
</sst>
</file>

<file path=xl/styles.xml><?xml version="1.0" encoding="utf-8"?>
<styleSheet xmlns="http://schemas.openxmlformats.org/spreadsheetml/2006/main">
  <numFmts count="11">
    <numFmt numFmtId="164" formatCode="General"/>
    <numFmt numFmtId="165" formatCode="\+0.0;\-0.0"/>
    <numFmt numFmtId="166" formatCode="0.0000"/>
    <numFmt numFmtId="167" formatCode="\+0.000;\-0.000"/>
    <numFmt numFmtId="168" formatCode="0.00"/>
    <numFmt numFmtId="169" formatCode="#,##0"/>
    <numFmt numFmtId="170" formatCode="0.000"/>
    <numFmt numFmtId="171" formatCode="0.0%"/>
    <numFmt numFmtId="172" formatCode="0.0"/>
    <numFmt numFmtId="173" formatCode="0%"/>
    <numFmt numFmtId="174" formatCode="0"/>
  </numFmts>
  <fonts count="9">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b val="true"/>
      <sz val="10"/>
      <color rgb="FFFFFFFF"/>
      <name val="Arial"/>
      <family val="0"/>
      <charset val="1"/>
    </font>
    <font>
      <sz val="10"/>
      <color rgb="FF0000FF"/>
      <name val="Arial"/>
      <family val="0"/>
      <charset val="1"/>
    </font>
    <font>
      <b val="true"/>
      <sz val="10"/>
      <name val="Arial"/>
      <family val="0"/>
      <charset val="1"/>
    </font>
  </fonts>
  <fills count="3">
    <fill>
      <patternFill patternType="none"/>
    </fill>
    <fill>
      <patternFill patternType="gray125"/>
    </fill>
    <fill>
      <patternFill patternType="solid">
        <fgColor rgb="FF1F3864"/>
        <bgColor rgb="FF33333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6" fontId="5"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8" fontId="5"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9" fontId="5" fillId="0" borderId="0" xfId="0" applyFont="true" applyBorder="false" applyAlignment="false" applyProtection="false">
      <alignment horizontal="general" vertical="bottom" textRotation="0" wrapText="false" indent="0" shrinkToFit="false"/>
      <protection locked="true" hidden="false"/>
    </xf>
    <xf numFmtId="170" fontId="5" fillId="0" borderId="0" xfId="0" applyFont="true" applyBorder="false" applyAlignment="false" applyProtection="false">
      <alignment horizontal="general" vertical="bottom" textRotation="0" wrapText="false" indent="0" shrinkToFit="false"/>
      <protection locked="true" hidden="false"/>
    </xf>
    <xf numFmtId="171" fontId="5" fillId="0"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true" applyProtection="false">
      <alignment horizontal="general" vertical="bottom" textRotation="0" wrapText="false" indent="0" shrinkToFit="false"/>
      <protection locked="true" hidden="false"/>
    </xf>
    <xf numFmtId="169" fontId="5" fillId="0" borderId="0" xfId="0" applyFont="true" applyBorder="false" applyAlignment="true" applyProtection="false">
      <alignment horizontal="general" vertical="bottom" textRotation="0" wrapText="false" indent="0" shrinkToFit="false"/>
      <protection locked="true" hidden="false"/>
    </xf>
    <xf numFmtId="170" fontId="5"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73" fontId="5" fillId="0" borderId="0" xfId="0" applyFont="true" applyBorder="false" applyAlignment="true" applyProtection="false">
      <alignment horizontal="general" vertical="bottom" textRotation="0" wrapText="false" indent="0" shrinkToFit="false"/>
      <protection locked="true" hidden="false"/>
    </xf>
    <xf numFmtId="17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9" fontId="7" fillId="0" borderId="0" xfId="0" applyFont="true" applyBorder="false" applyAlignment="true" applyProtection="false">
      <alignment horizontal="general" vertical="bottom" textRotation="0" wrapText="false" indent="0" shrinkToFit="false"/>
      <protection locked="true" hidden="false"/>
    </xf>
    <xf numFmtId="169" fontId="0" fillId="0" borderId="0" xfId="0" applyFont="fals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8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7"/>
    <col collapsed="false" customWidth="true" hidden="false" outlineLevel="0" max="3" min="3" style="1" width="11"/>
    <col collapsed="false" customWidth="true" hidden="false" outlineLevel="0" max="4" min="4" style="1" width="18"/>
    <col collapsed="false" customWidth="true" hidden="false" outlineLevel="0" max="5" min="5" style="1" width="16"/>
    <col collapsed="false" customWidth="true" hidden="false" outlineLevel="0" max="6" min="6" style="1" width="12"/>
    <col collapsed="false" customWidth="true" hidden="false" outlineLevel="0" max="7" min="7" style="1" width="10"/>
  </cols>
  <sheetData>
    <row r="1" customFormat="false" ht="17.25" hidden="false" customHeight="true" outlineLevel="0" collapsed="false">
      <c r="A1" s="2" t="s">
        <v>0</v>
      </c>
    </row>
    <row r="2" customFormat="false" ht="15" hidden="false" customHeight="true" outlineLevel="0" collapsed="false">
      <c r="A2" s="3" t="s">
        <v>1</v>
      </c>
    </row>
    <row r="4" customFormat="false" ht="45" hidden="false" customHeight="true" outlineLevel="0" collapsed="false">
      <c r="A4" s="4" t="s">
        <v>2</v>
      </c>
      <c r="B4" s="4" t="s">
        <v>3</v>
      </c>
      <c r="C4" s="4" t="s">
        <v>4</v>
      </c>
      <c r="D4" s="4" t="s">
        <v>5</v>
      </c>
      <c r="E4" s="4" t="s">
        <v>6</v>
      </c>
      <c r="F4" s="4" t="s">
        <v>7</v>
      </c>
      <c r="G4" s="4" t="s">
        <v>8</v>
      </c>
    </row>
    <row r="5" customFormat="false" ht="15" hidden="false" customHeight="true" outlineLevel="0" collapsed="false">
      <c r="A5" s="3" t="s">
        <v>9</v>
      </c>
      <c r="B5" s="3" t="n">
        <v>1</v>
      </c>
      <c r="C5" s="3" t="str">
        <f aca="false">IFERROR(INDEX(Decade_Index!$B$25:$B$534,MATCH($A5&amp;"|"&amp;$B5,Decade_Index!$P$25:$P$534,0)),"")</f>
        <v>PIT</v>
      </c>
      <c r="D5" s="5" t="n">
        <f aca="false">IFERROR(INDEX(Decade_Index!$J$25:$J$534,MATCH($A5&amp;"|"&amp;$B5,Decade_Index!$P$25:$P$534,0)),"")</f>
        <v>25.58041702623</v>
      </c>
      <c r="E5" s="5" t="n">
        <f aca="false">IFERROR(INDEX(Decade_Index!$K$25:$K$534,MATCH($A5&amp;"|"&amp;$B5,Decade_Index!$P$25:$P$534,0)),"")</f>
        <v>23.1435937658471</v>
      </c>
      <c r="F5" s="3" t="n">
        <f aca="false">IFERROR(INDEX(Decade_Index!$L$25:$L$534,MATCH($A5&amp;"|"&amp;$B5,Decade_Index!$P$25:$P$534,0)),"")</f>
        <v>4</v>
      </c>
      <c r="G5" s="3" t="n">
        <f aca="false">IFERROR(INDEX(Decade_Index!$M$25:$M$534,MATCH($A5&amp;"|"&amp;$B5,Decade_Index!$P$25:$P$534,0)),"")</f>
        <v>1</v>
      </c>
    </row>
    <row r="6" customFormat="false" ht="15" hidden="false" customHeight="true" outlineLevel="0" collapsed="false">
      <c r="A6" s="3" t="s">
        <v>9</v>
      </c>
      <c r="B6" s="3" t="n">
        <v>2</v>
      </c>
      <c r="C6" s="3" t="str">
        <f aca="false">IFERROR(INDEX(Decade_Index!$B$25:$B$534,MATCH($A6&amp;"|"&amp;$B6,Decade_Index!$P$25:$P$534,0)),"")</f>
        <v>CHC</v>
      </c>
      <c r="D6" s="5" t="n">
        <f aca="false">IFERROR(INDEX(Decade_Index!$J$25:$J$534,MATCH($A6&amp;"|"&amp;$B6,Decade_Index!$P$25:$P$534,0)),"")</f>
        <v>12.7741837960875</v>
      </c>
      <c r="E6" s="5" t="n">
        <f aca="false">IFERROR(INDEX(Decade_Index!$K$25:$K$534,MATCH($A6&amp;"|"&amp;$B6,Decade_Index!$P$25:$P$534,0)),"")</f>
        <v>17.3355662988193</v>
      </c>
      <c r="F6" s="3" t="n">
        <f aca="false">IFERROR(INDEX(Decade_Index!$L$25:$L$534,MATCH($A6&amp;"|"&amp;$B6,Decade_Index!$P$25:$P$534,0)),"")</f>
        <v>3</v>
      </c>
      <c r="G6" s="3" t="n">
        <f aca="false">IFERROR(INDEX(Decade_Index!$M$25:$M$534,MATCH($A6&amp;"|"&amp;$B6,Decade_Index!$P$25:$P$534,0)),"")</f>
        <v>2</v>
      </c>
    </row>
    <row r="7" customFormat="false" ht="15" hidden="false" customHeight="true" outlineLevel="0" collapsed="false">
      <c r="A7" s="3" t="s">
        <v>9</v>
      </c>
      <c r="B7" s="3" t="n">
        <v>3</v>
      </c>
      <c r="C7" s="3" t="str">
        <f aca="false">IFERROR(INDEX(Decade_Index!$B$25:$B$534,MATCH($A7&amp;"|"&amp;$B7,Decade_Index!$P$25:$P$534,0)),"")</f>
        <v>BOS</v>
      </c>
      <c r="D7" s="5" t="n">
        <f aca="false">IFERROR(INDEX(Decade_Index!$J$25:$J$534,MATCH($A7&amp;"|"&amp;$B7,Decade_Index!$P$25:$P$534,0)),"")</f>
        <v>8.69168305201259</v>
      </c>
      <c r="E7" s="5" t="n">
        <f aca="false">IFERROR(INDEX(Decade_Index!$K$25:$K$534,MATCH($A7&amp;"|"&amp;$B7,Decade_Index!$P$25:$P$534,0)),"")</f>
        <v>3.75703849262973</v>
      </c>
      <c r="F7" s="3" t="n">
        <f aca="false">IFERROR(INDEX(Decade_Index!$L$25:$L$534,MATCH($A7&amp;"|"&amp;$B7,Decade_Index!$P$25:$P$534,0)),"")</f>
        <v>2</v>
      </c>
      <c r="G7" s="3" t="n">
        <f aca="false">IFERROR(INDEX(Decade_Index!$M$25:$M$534,MATCH($A7&amp;"|"&amp;$B7,Decade_Index!$P$25:$P$534,0)),"")</f>
        <v>1</v>
      </c>
    </row>
    <row r="8" customFormat="false" ht="15" hidden="false" customHeight="true" outlineLevel="0" collapsed="false">
      <c r="A8" s="3" t="s">
        <v>9</v>
      </c>
      <c r="B8" s="3" t="n">
        <v>4</v>
      </c>
      <c r="C8" s="3" t="str">
        <f aca="false">IFERROR(INDEX(Decade_Index!$B$25:$B$534,MATCH($A8&amp;"|"&amp;$B8,Decade_Index!$P$25:$P$534,0)),"")</f>
        <v>OAK</v>
      </c>
      <c r="D8" s="5" t="n">
        <f aca="false">IFERROR(INDEX(Decade_Index!$J$25:$J$534,MATCH($A8&amp;"|"&amp;$B8,Decade_Index!$P$25:$P$534,0)),"")</f>
        <v>8.26601265107434</v>
      </c>
      <c r="E8" s="5" t="n">
        <f aca="false">IFERROR(INDEX(Decade_Index!$K$25:$K$534,MATCH($A8&amp;"|"&amp;$B8,Decade_Index!$P$25:$P$534,0)),"")</f>
        <v>10.2705721277019</v>
      </c>
      <c r="F8" s="3" t="n">
        <f aca="false">IFERROR(INDEX(Decade_Index!$L$25:$L$534,MATCH($A8&amp;"|"&amp;$B8,Decade_Index!$P$25:$P$534,0)),"")</f>
        <v>2</v>
      </c>
      <c r="G8" s="3" t="n">
        <f aca="false">IFERROR(INDEX(Decade_Index!$M$25:$M$534,MATCH($A8&amp;"|"&amp;$B8,Decade_Index!$P$25:$P$534,0)),"")</f>
        <v>0</v>
      </c>
    </row>
    <row r="9" customFormat="false" ht="15" hidden="false" customHeight="true" outlineLevel="0" collapsed="false">
      <c r="A9" s="3" t="s">
        <v>9</v>
      </c>
      <c r="B9" s="3" t="n">
        <v>5</v>
      </c>
      <c r="C9" s="3" t="str">
        <f aca="false">IFERROR(INDEX(Decade_Index!$B$25:$B$534,MATCH($A9&amp;"|"&amp;$B9,Decade_Index!$P$25:$P$534,0)),"")</f>
        <v>DET</v>
      </c>
      <c r="D9" s="5" t="n">
        <f aca="false">IFERROR(INDEX(Decade_Index!$J$25:$J$534,MATCH($A9&amp;"|"&amp;$B9,Decade_Index!$P$25:$P$534,0)),"")</f>
        <v>6.20708902048408</v>
      </c>
      <c r="E9" s="5" t="n">
        <f aca="false">IFERROR(INDEX(Decade_Index!$K$25:$K$534,MATCH($A9&amp;"|"&amp;$B9,Decade_Index!$P$25:$P$534,0)),"")</f>
        <v>2.71281864152794</v>
      </c>
      <c r="F9" s="3" t="n">
        <f aca="false">IFERROR(INDEX(Decade_Index!$L$25:$L$534,MATCH($A9&amp;"|"&amp;$B9,Decade_Index!$P$25:$P$534,0)),"")</f>
        <v>3</v>
      </c>
      <c r="G9" s="3" t="n">
        <f aca="false">IFERROR(INDEX(Decade_Index!$M$25:$M$534,MATCH($A9&amp;"|"&amp;$B9,Decade_Index!$P$25:$P$534,0)),"")</f>
        <v>0</v>
      </c>
    </row>
    <row r="10" customFormat="false" ht="15" hidden="false" customHeight="true" outlineLevel="0" collapsed="false">
      <c r="A10" s="3" t="s">
        <v>10</v>
      </c>
      <c r="B10" s="3" t="n">
        <v>1</v>
      </c>
      <c r="C10" s="3" t="str">
        <f aca="false">IFERROR(INDEX(Decade_Index!$B$25:$B$534,MATCH($A10&amp;"|"&amp;$B10,Decade_Index!$P$25:$P$534,0)),"")</f>
        <v>BOS</v>
      </c>
      <c r="D10" s="5" t="n">
        <f aca="false">IFERROR(INDEX(Decade_Index!$J$25:$J$534,MATCH($A10&amp;"|"&amp;$B10,Decade_Index!$P$25:$P$534,0)),"")</f>
        <v>16.015152672812</v>
      </c>
      <c r="E10" s="5" t="n">
        <f aca="false">IFERROR(INDEX(Decade_Index!$K$25:$K$534,MATCH($A10&amp;"|"&amp;$B10,Decade_Index!$P$25:$P$534,0)),"")</f>
        <v>12.6454675034326</v>
      </c>
      <c r="F10" s="3" t="n">
        <f aca="false">IFERROR(INDEX(Decade_Index!$L$25:$L$534,MATCH($A10&amp;"|"&amp;$B10,Decade_Index!$P$25:$P$534,0)),"")</f>
        <v>4</v>
      </c>
      <c r="G10" s="3" t="n">
        <f aca="false">IFERROR(INDEX(Decade_Index!$M$25:$M$534,MATCH($A10&amp;"|"&amp;$B10,Decade_Index!$P$25:$P$534,0)),"")</f>
        <v>4</v>
      </c>
    </row>
    <row r="11" customFormat="false" ht="15" hidden="false" customHeight="true" outlineLevel="0" collapsed="false">
      <c r="A11" s="3" t="s">
        <v>10</v>
      </c>
      <c r="B11" s="3" t="n">
        <v>2</v>
      </c>
      <c r="C11" s="3" t="str">
        <f aca="false">IFERROR(INDEX(Decade_Index!$B$25:$B$534,MATCH($A11&amp;"|"&amp;$B11,Decade_Index!$P$25:$P$534,0)),"")</f>
        <v>SFG</v>
      </c>
      <c r="D11" s="5" t="n">
        <f aca="false">IFERROR(INDEX(Decade_Index!$J$25:$J$534,MATCH($A11&amp;"|"&amp;$B11,Decade_Index!$P$25:$P$534,0)),"")</f>
        <v>11.3750388689222</v>
      </c>
      <c r="E11" s="5" t="n">
        <f aca="false">IFERROR(INDEX(Decade_Index!$K$25:$K$534,MATCH($A11&amp;"|"&amp;$B11,Decade_Index!$P$25:$P$534,0)),"")</f>
        <v>15.8822846845218</v>
      </c>
      <c r="F11" s="3" t="n">
        <f aca="false">IFERROR(INDEX(Decade_Index!$L$25:$L$534,MATCH($A11&amp;"|"&amp;$B11,Decade_Index!$P$25:$P$534,0)),"")</f>
        <v>4</v>
      </c>
      <c r="G11" s="3" t="n">
        <f aca="false">IFERROR(INDEX(Decade_Index!$M$25:$M$534,MATCH($A11&amp;"|"&amp;$B11,Decade_Index!$P$25:$P$534,0)),"")</f>
        <v>0</v>
      </c>
    </row>
    <row r="12" customFormat="false" ht="15" hidden="false" customHeight="true" outlineLevel="0" collapsed="false">
      <c r="A12" s="3" t="s">
        <v>10</v>
      </c>
      <c r="B12" s="3" t="n">
        <v>3</v>
      </c>
      <c r="C12" s="3" t="str">
        <f aca="false">IFERROR(INDEX(Decade_Index!$B$25:$B$534,MATCH($A12&amp;"|"&amp;$B12,Decade_Index!$P$25:$P$534,0)),"")</f>
        <v>CHC</v>
      </c>
      <c r="D12" s="5" t="n">
        <f aca="false">IFERROR(INDEX(Decade_Index!$J$25:$J$534,MATCH($A12&amp;"|"&amp;$B12,Decade_Index!$P$25:$P$534,0)),"")</f>
        <v>6.06098659120566</v>
      </c>
      <c r="E12" s="5" t="n">
        <f aca="false">IFERROR(INDEX(Decade_Index!$K$25:$K$534,MATCH($A12&amp;"|"&amp;$B12,Decade_Index!$P$25:$P$534,0)),"")</f>
        <v>8.80863628051837</v>
      </c>
      <c r="F12" s="3" t="n">
        <f aca="false">IFERROR(INDEX(Decade_Index!$L$25:$L$534,MATCH($A12&amp;"|"&amp;$B12,Decade_Index!$P$25:$P$534,0)),"")</f>
        <v>2</v>
      </c>
      <c r="G12" s="3" t="n">
        <f aca="false">IFERROR(INDEX(Decade_Index!$M$25:$M$534,MATCH($A12&amp;"|"&amp;$B12,Decade_Index!$P$25:$P$534,0)),"")</f>
        <v>0</v>
      </c>
    </row>
    <row r="13" customFormat="false" ht="15" hidden="false" customHeight="true" outlineLevel="0" collapsed="false">
      <c r="A13" s="3" t="s">
        <v>10</v>
      </c>
      <c r="B13" s="3" t="n">
        <v>4</v>
      </c>
      <c r="C13" s="3" t="str">
        <f aca="false">IFERROR(INDEX(Decade_Index!$B$25:$B$534,MATCH($A13&amp;"|"&amp;$B13,Decade_Index!$P$25:$P$534,0)),"")</f>
        <v>DET</v>
      </c>
      <c r="D13" s="5" t="n">
        <f aca="false">IFERROR(INDEX(Decade_Index!$J$25:$J$534,MATCH($A13&amp;"|"&amp;$B13,Decade_Index!$P$25:$P$534,0)),"")</f>
        <v>4.71474643006198</v>
      </c>
      <c r="E13" s="5" t="n">
        <f aca="false">IFERROR(INDEX(Decade_Index!$K$25:$K$534,MATCH($A13&amp;"|"&amp;$B13,Decade_Index!$P$25:$P$534,0)),"")</f>
        <v>4.43687928511979</v>
      </c>
      <c r="F13" s="3" t="n">
        <f aca="false">IFERROR(INDEX(Decade_Index!$L$25:$L$534,MATCH($A13&amp;"|"&amp;$B13,Decade_Index!$P$25:$P$534,0)),"")</f>
        <v>0</v>
      </c>
      <c r="G13" s="3" t="n">
        <f aca="false">IFERROR(INDEX(Decade_Index!$M$25:$M$534,MATCH($A13&amp;"|"&amp;$B13,Decade_Index!$P$25:$P$534,0)),"")</f>
        <v>0</v>
      </c>
    </row>
    <row r="14" customFormat="false" ht="15" hidden="false" customHeight="true" outlineLevel="0" collapsed="false">
      <c r="A14" s="3" t="s">
        <v>10</v>
      </c>
      <c r="B14" s="3" t="n">
        <v>5</v>
      </c>
      <c r="C14" s="3" t="str">
        <f aca="false">IFERROR(INDEX(Decade_Index!$B$25:$B$534,MATCH($A14&amp;"|"&amp;$B14,Decade_Index!$P$25:$P$534,0)),"")</f>
        <v>MIN</v>
      </c>
      <c r="D14" s="5" t="n">
        <f aca="false">IFERROR(INDEX(Decade_Index!$J$25:$J$534,MATCH($A14&amp;"|"&amp;$B14,Decade_Index!$P$25:$P$534,0)),"")</f>
        <v>4.03195823189591</v>
      </c>
      <c r="E14" s="5" t="n">
        <f aca="false">IFERROR(INDEX(Decade_Index!$K$25:$K$534,MATCH($A14&amp;"|"&amp;$B14,Decade_Index!$P$25:$P$534,0)),"")</f>
        <v>0.97937003873294</v>
      </c>
      <c r="F14" s="3" t="n">
        <f aca="false">IFERROR(INDEX(Decade_Index!$L$25:$L$534,MATCH($A14&amp;"|"&amp;$B14,Decade_Index!$P$25:$P$534,0)),"")</f>
        <v>0</v>
      </c>
      <c r="G14" s="3" t="n">
        <f aca="false">IFERROR(INDEX(Decade_Index!$M$25:$M$534,MATCH($A14&amp;"|"&amp;$B14,Decade_Index!$P$25:$P$534,0)),"")</f>
        <v>0</v>
      </c>
    </row>
    <row r="15" customFormat="false" ht="15" hidden="false" customHeight="true" outlineLevel="0" collapsed="false">
      <c r="A15" s="3" t="s">
        <v>11</v>
      </c>
      <c r="B15" s="3" t="n">
        <v>1</v>
      </c>
      <c r="C15" s="3" t="str">
        <f aca="false">IFERROR(INDEX(Decade_Index!$B$25:$B$534,MATCH($A15&amp;"|"&amp;$B15,Decade_Index!$P$25:$P$534,0)),"")</f>
        <v>PIT</v>
      </c>
      <c r="D15" s="5" t="n">
        <f aca="false">IFERROR(INDEX(Decade_Index!$J$25:$J$534,MATCH($A15&amp;"|"&amp;$B15,Decade_Index!$P$25:$P$534,0)),"")</f>
        <v>13.4659738093399</v>
      </c>
      <c r="E15" s="5" t="n">
        <f aca="false">IFERROR(INDEX(Decade_Index!$K$25:$K$534,MATCH($A15&amp;"|"&amp;$B15,Decade_Index!$P$25:$P$534,0)),"")</f>
        <v>11.6818864350978</v>
      </c>
      <c r="F15" s="3" t="n">
        <f aca="false">IFERROR(INDEX(Decade_Index!$L$25:$L$534,MATCH($A15&amp;"|"&amp;$B15,Decade_Index!$P$25:$P$534,0)),"")</f>
        <v>2</v>
      </c>
      <c r="G15" s="3" t="n">
        <f aca="false">IFERROR(INDEX(Decade_Index!$M$25:$M$534,MATCH($A15&amp;"|"&amp;$B15,Decade_Index!$P$25:$P$534,0)),"")</f>
        <v>1</v>
      </c>
    </row>
    <row r="16" customFormat="false" ht="15" hidden="false" customHeight="true" outlineLevel="0" collapsed="false">
      <c r="A16" s="3" t="s">
        <v>11</v>
      </c>
      <c r="B16" s="3" t="n">
        <v>2</v>
      </c>
      <c r="C16" s="3" t="str">
        <f aca="false">IFERROR(INDEX(Decade_Index!$B$25:$B$534,MATCH($A16&amp;"|"&amp;$B16,Decade_Index!$P$25:$P$534,0)),"")</f>
        <v>NYY</v>
      </c>
      <c r="D16" s="5" t="n">
        <f aca="false">IFERROR(INDEX(Decade_Index!$J$25:$J$534,MATCH($A16&amp;"|"&amp;$B16,Decade_Index!$P$25:$P$534,0)),"")</f>
        <v>11.74974040132</v>
      </c>
      <c r="E16" s="5" t="n">
        <f aca="false">IFERROR(INDEX(Decade_Index!$K$25:$K$534,MATCH($A16&amp;"|"&amp;$B16,Decade_Index!$P$25:$P$534,0)),"")</f>
        <v>17.4740238642322</v>
      </c>
      <c r="F16" s="3" t="n">
        <f aca="false">IFERROR(INDEX(Decade_Index!$L$25:$L$534,MATCH($A16&amp;"|"&amp;$B16,Decade_Index!$P$25:$P$534,0)),"")</f>
        <v>6</v>
      </c>
      <c r="G16" s="3" t="n">
        <f aca="false">IFERROR(INDEX(Decade_Index!$M$25:$M$534,MATCH($A16&amp;"|"&amp;$B16,Decade_Index!$P$25:$P$534,0)),"")</f>
        <v>3</v>
      </c>
    </row>
    <row r="17" customFormat="false" ht="15" hidden="false" customHeight="true" outlineLevel="0" collapsed="false">
      <c r="A17" s="3" t="s">
        <v>11</v>
      </c>
      <c r="B17" s="3" t="n">
        <v>3</v>
      </c>
      <c r="C17" s="3" t="str">
        <f aca="false">IFERROR(INDEX(Decade_Index!$B$25:$B$534,MATCH($A17&amp;"|"&amp;$B17,Decade_Index!$P$25:$P$534,0)),"")</f>
        <v>STL</v>
      </c>
      <c r="D17" s="5" t="n">
        <f aca="false">IFERROR(INDEX(Decade_Index!$J$25:$J$534,MATCH($A17&amp;"|"&amp;$B17,Decade_Index!$P$25:$P$534,0)),"")</f>
        <v>10.4292122636665</v>
      </c>
      <c r="E17" s="5" t="n">
        <f aca="false">IFERROR(INDEX(Decade_Index!$K$25:$K$534,MATCH($A17&amp;"|"&amp;$B17,Decade_Index!$P$25:$P$534,0)),"")</f>
        <v>5.80947780657464</v>
      </c>
      <c r="F17" s="3" t="n">
        <f aca="false">IFERROR(INDEX(Decade_Index!$L$25:$L$534,MATCH($A17&amp;"|"&amp;$B17,Decade_Index!$P$25:$P$534,0)),"")</f>
        <v>2</v>
      </c>
      <c r="G17" s="3" t="n">
        <f aca="false">IFERROR(INDEX(Decade_Index!$M$25:$M$534,MATCH($A17&amp;"|"&amp;$B17,Decade_Index!$P$25:$P$534,0)),"")</f>
        <v>1</v>
      </c>
    </row>
    <row r="18" customFormat="false" ht="15" hidden="false" customHeight="true" outlineLevel="0" collapsed="false">
      <c r="A18" s="3" t="s">
        <v>11</v>
      </c>
      <c r="B18" s="3" t="n">
        <v>4</v>
      </c>
      <c r="C18" s="3" t="str">
        <f aca="false">IFERROR(INDEX(Decade_Index!$B$25:$B$534,MATCH($A18&amp;"|"&amp;$B18,Decade_Index!$P$25:$P$534,0)),"")</f>
        <v>CIN</v>
      </c>
      <c r="D18" s="5" t="n">
        <f aca="false">IFERROR(INDEX(Decade_Index!$J$25:$J$534,MATCH($A18&amp;"|"&amp;$B18,Decade_Index!$P$25:$P$534,0)),"")</f>
        <v>7.5484668203124</v>
      </c>
      <c r="E18" s="5" t="n">
        <f aca="false">IFERROR(INDEX(Decade_Index!$K$25:$K$534,MATCH($A18&amp;"|"&amp;$B18,Decade_Index!$P$25:$P$534,0)),"")</f>
        <v>3.32261760794973</v>
      </c>
      <c r="F18" s="3" t="n">
        <f aca="false">IFERROR(INDEX(Decade_Index!$L$25:$L$534,MATCH($A18&amp;"|"&amp;$B18,Decade_Index!$P$25:$P$534,0)),"")</f>
        <v>0</v>
      </c>
      <c r="G18" s="3" t="n">
        <f aca="false">IFERROR(INDEX(Decade_Index!$M$25:$M$534,MATCH($A18&amp;"|"&amp;$B18,Decade_Index!$P$25:$P$534,0)),"")</f>
        <v>0</v>
      </c>
    </row>
    <row r="19" customFormat="false" ht="15" hidden="false" customHeight="true" outlineLevel="0" collapsed="false">
      <c r="A19" s="3" t="s">
        <v>11</v>
      </c>
      <c r="B19" s="3" t="n">
        <v>5</v>
      </c>
      <c r="C19" s="3" t="str">
        <f aca="false">IFERROR(INDEX(Decade_Index!$B$25:$B$534,MATCH($A19&amp;"|"&amp;$B19,Decade_Index!$P$25:$P$534,0)),"")</f>
        <v>SFG</v>
      </c>
      <c r="D19" s="5" t="n">
        <f aca="false">IFERROR(INDEX(Decade_Index!$J$25:$J$534,MATCH($A19&amp;"|"&amp;$B19,Decade_Index!$P$25:$P$534,0)),"")</f>
        <v>7.54328836044475</v>
      </c>
      <c r="E19" s="5" t="n">
        <f aca="false">IFERROR(INDEX(Decade_Index!$K$25:$K$534,MATCH($A19&amp;"|"&amp;$B19,Decade_Index!$P$25:$P$534,0)),"")</f>
        <v>13.2675718233569</v>
      </c>
      <c r="F19" s="3" t="n">
        <f aca="false">IFERROR(INDEX(Decade_Index!$L$25:$L$534,MATCH($A19&amp;"|"&amp;$B19,Decade_Index!$P$25:$P$534,0)),"")</f>
        <v>4</v>
      </c>
      <c r="G19" s="3" t="n">
        <f aca="false">IFERROR(INDEX(Decade_Index!$M$25:$M$534,MATCH($A19&amp;"|"&amp;$B19,Decade_Index!$P$25:$P$534,0)),"")</f>
        <v>2</v>
      </c>
    </row>
    <row r="20" customFormat="false" ht="15" hidden="false" customHeight="true" outlineLevel="0" collapsed="false">
      <c r="A20" s="3" t="s">
        <v>12</v>
      </c>
      <c r="B20" s="3" t="n">
        <v>1</v>
      </c>
      <c r="C20" s="3" t="str">
        <f aca="false">IFERROR(INDEX(Decade_Index!$B$25:$B$534,MATCH($A20&amp;"|"&amp;$B20,Decade_Index!$P$25:$P$534,0)),"")</f>
        <v>STL</v>
      </c>
      <c r="D20" s="5" t="n">
        <f aca="false">IFERROR(INDEX(Decade_Index!$J$25:$J$534,MATCH($A20&amp;"|"&amp;$B20,Decade_Index!$P$25:$P$534,0)),"")</f>
        <v>16.5768458757308</v>
      </c>
      <c r="E20" s="5" t="n">
        <f aca="false">IFERROR(INDEX(Decade_Index!$K$25:$K$534,MATCH($A20&amp;"|"&amp;$B20,Decade_Index!$P$25:$P$534,0)),"")</f>
        <v>10.7676063593163</v>
      </c>
      <c r="F20" s="3" t="n">
        <f aca="false">IFERROR(INDEX(Decade_Index!$L$25:$L$534,MATCH($A20&amp;"|"&amp;$B20,Decade_Index!$P$25:$P$534,0)),"")</f>
        <v>3</v>
      </c>
      <c r="G20" s="3" t="n">
        <f aca="false">IFERROR(INDEX(Decade_Index!$M$25:$M$534,MATCH($A20&amp;"|"&amp;$B20,Decade_Index!$P$25:$P$534,0)),"")</f>
        <v>2</v>
      </c>
    </row>
    <row r="21" customFormat="false" ht="15" hidden="false" customHeight="true" outlineLevel="0" collapsed="false">
      <c r="A21" s="3" t="s">
        <v>12</v>
      </c>
      <c r="B21" s="3" t="n">
        <v>2</v>
      </c>
      <c r="C21" s="3" t="str">
        <f aca="false">IFERROR(INDEX(Decade_Index!$B$25:$B$534,MATCH($A21&amp;"|"&amp;$B21,Decade_Index!$P$25:$P$534,0)),"")</f>
        <v>NYY</v>
      </c>
      <c r="D21" s="5" t="n">
        <f aca="false">IFERROR(INDEX(Decade_Index!$J$25:$J$534,MATCH($A21&amp;"|"&amp;$B21,Decade_Index!$P$25:$P$534,0)),"")</f>
        <v>15.1162055321582</v>
      </c>
      <c r="E21" s="5" t="n">
        <f aca="false">IFERROR(INDEX(Decade_Index!$K$25:$K$534,MATCH($A21&amp;"|"&amp;$B21,Decade_Index!$P$25:$P$534,0)),"")</f>
        <v>22.1217146113427</v>
      </c>
      <c r="F21" s="3" t="n">
        <f aca="false">IFERROR(INDEX(Decade_Index!$L$25:$L$534,MATCH($A21&amp;"|"&amp;$B21,Decade_Index!$P$25:$P$534,0)),"")</f>
        <v>5</v>
      </c>
      <c r="G21" s="3" t="n">
        <f aca="false">IFERROR(INDEX(Decade_Index!$M$25:$M$534,MATCH($A21&amp;"|"&amp;$B21,Decade_Index!$P$25:$P$534,0)),"")</f>
        <v>5</v>
      </c>
    </row>
    <row r="22" customFormat="false" ht="15" hidden="false" customHeight="true" outlineLevel="0" collapsed="false">
      <c r="A22" s="3" t="s">
        <v>12</v>
      </c>
      <c r="B22" s="3" t="n">
        <v>3</v>
      </c>
      <c r="C22" s="3" t="str">
        <f aca="false">IFERROR(INDEX(Decade_Index!$B$25:$B$534,MATCH($A22&amp;"|"&amp;$B22,Decade_Index!$P$25:$P$534,0)),"")</f>
        <v>CHC</v>
      </c>
      <c r="D22" s="5" t="n">
        <f aca="false">IFERROR(INDEX(Decade_Index!$J$25:$J$534,MATCH($A22&amp;"|"&amp;$B22,Decade_Index!$P$25:$P$534,0)),"")</f>
        <v>8.3348608308957</v>
      </c>
      <c r="E22" s="5" t="n">
        <f aca="false">IFERROR(INDEX(Decade_Index!$K$25:$K$534,MATCH($A22&amp;"|"&amp;$B22,Decade_Index!$P$25:$P$534,0)),"")</f>
        <v>12.8410902181471</v>
      </c>
      <c r="F22" s="3" t="n">
        <f aca="false">IFERROR(INDEX(Decade_Index!$L$25:$L$534,MATCH($A22&amp;"|"&amp;$B22,Decade_Index!$P$25:$P$534,0)),"")</f>
        <v>3</v>
      </c>
      <c r="G22" s="3" t="n">
        <f aca="false">IFERROR(INDEX(Decade_Index!$M$25:$M$534,MATCH($A22&amp;"|"&amp;$B22,Decade_Index!$P$25:$P$534,0)),"")</f>
        <v>0</v>
      </c>
    </row>
    <row r="23" customFormat="false" ht="15" hidden="false" customHeight="true" outlineLevel="0" collapsed="false">
      <c r="A23" s="3" t="s">
        <v>12</v>
      </c>
      <c r="B23" s="3" t="n">
        <v>4</v>
      </c>
      <c r="C23" s="3" t="str">
        <f aca="false">IFERROR(INDEX(Decade_Index!$B$25:$B$534,MATCH($A23&amp;"|"&amp;$B23,Decade_Index!$P$25:$P$534,0)),"")</f>
        <v>MIN</v>
      </c>
      <c r="D23" s="5" t="n">
        <f aca="false">IFERROR(INDEX(Decade_Index!$J$25:$J$534,MATCH($A23&amp;"|"&amp;$B23,Decade_Index!$P$25:$P$534,0)),"")</f>
        <v>7.97771710033085</v>
      </c>
      <c r="E23" s="5" t="n">
        <f aca="false">IFERROR(INDEX(Decade_Index!$K$25:$K$534,MATCH($A23&amp;"|"&amp;$B23,Decade_Index!$P$25:$P$534,0)),"")</f>
        <v>4.43473143996423</v>
      </c>
      <c r="F23" s="3" t="n">
        <f aca="false">IFERROR(INDEX(Decade_Index!$L$25:$L$534,MATCH($A23&amp;"|"&amp;$B23,Decade_Index!$P$25:$P$534,0)),"")</f>
        <v>1</v>
      </c>
      <c r="G23" s="3" t="n">
        <f aca="false">IFERROR(INDEX(Decade_Index!$M$25:$M$534,MATCH($A23&amp;"|"&amp;$B23,Decade_Index!$P$25:$P$534,0)),"")</f>
        <v>0</v>
      </c>
    </row>
    <row r="24" customFormat="false" ht="15" hidden="false" customHeight="true" outlineLevel="0" collapsed="false">
      <c r="A24" s="3" t="s">
        <v>12</v>
      </c>
      <c r="B24" s="3" t="n">
        <v>5</v>
      </c>
      <c r="C24" s="3" t="str">
        <f aca="false">IFERROR(INDEX(Decade_Index!$B$25:$B$534,MATCH($A24&amp;"|"&amp;$B24,Decade_Index!$P$25:$P$534,0)),"")</f>
        <v>PIT</v>
      </c>
      <c r="D24" s="5" t="n">
        <f aca="false">IFERROR(INDEX(Decade_Index!$J$25:$J$534,MATCH($A24&amp;"|"&amp;$B24,Decade_Index!$P$25:$P$534,0)),"")</f>
        <v>7.21823914541938</v>
      </c>
      <c r="E24" s="5" t="n">
        <f aca="false">IFERROR(INDEX(Decade_Index!$K$25:$K$534,MATCH($A24&amp;"|"&amp;$B24,Decade_Index!$P$25:$P$534,0)),"")</f>
        <v>4.99287826699568</v>
      </c>
      <c r="F24" s="3" t="n">
        <f aca="false">IFERROR(INDEX(Decade_Index!$L$25:$L$534,MATCH($A24&amp;"|"&amp;$B24,Decade_Index!$P$25:$P$534,0)),"")</f>
        <v>0</v>
      </c>
      <c r="G24" s="3" t="n">
        <f aca="false">IFERROR(INDEX(Decade_Index!$M$25:$M$534,MATCH($A24&amp;"|"&amp;$B24,Decade_Index!$P$25:$P$534,0)),"")</f>
        <v>0</v>
      </c>
    </row>
    <row r="25" customFormat="false" ht="15" hidden="false" customHeight="true" outlineLevel="0" collapsed="false">
      <c r="A25" s="3" t="s">
        <v>13</v>
      </c>
      <c r="B25" s="3" t="n">
        <v>1</v>
      </c>
      <c r="C25" s="3" t="str">
        <f aca="false">IFERROR(INDEX(Decade_Index!$B$25:$B$534,MATCH($A25&amp;"|"&amp;$B25,Decade_Index!$P$25:$P$534,0)),"")</f>
        <v>STL</v>
      </c>
      <c r="D25" s="5" t="n">
        <f aca="false">IFERROR(INDEX(Decade_Index!$J$25:$J$534,MATCH($A25&amp;"|"&amp;$B25,Decade_Index!$P$25:$P$534,0)),"")</f>
        <v>21.0963694485297</v>
      </c>
      <c r="E25" s="5" t="n">
        <f aca="false">IFERROR(INDEX(Decade_Index!$K$25:$K$534,MATCH($A25&amp;"|"&amp;$B25,Decade_Index!$P$25:$P$534,0)),"")</f>
        <v>20.0040719714766</v>
      </c>
      <c r="F25" s="3" t="n">
        <f aca="false">IFERROR(INDEX(Decade_Index!$L$25:$L$534,MATCH($A25&amp;"|"&amp;$B25,Decade_Index!$P$25:$P$534,0)),"")</f>
        <v>4</v>
      </c>
      <c r="G25" s="3" t="n">
        <f aca="false">IFERROR(INDEX(Decade_Index!$M$25:$M$534,MATCH($A25&amp;"|"&amp;$B25,Decade_Index!$P$25:$P$534,0)),"")</f>
        <v>3</v>
      </c>
    </row>
    <row r="26" customFormat="false" ht="15" hidden="false" customHeight="true" outlineLevel="0" collapsed="false">
      <c r="A26" s="3" t="s">
        <v>13</v>
      </c>
      <c r="B26" s="3" t="n">
        <v>2</v>
      </c>
      <c r="C26" s="3" t="str">
        <f aca="false">IFERROR(INDEX(Decade_Index!$B$25:$B$534,MATCH($A26&amp;"|"&amp;$B26,Decade_Index!$P$25:$P$534,0)),"")</f>
        <v>NYY</v>
      </c>
      <c r="D26" s="5" t="n">
        <f aca="false">IFERROR(INDEX(Decade_Index!$J$25:$J$534,MATCH($A26&amp;"|"&amp;$B26,Decade_Index!$P$25:$P$534,0)),"")</f>
        <v>15.5691173022979</v>
      </c>
      <c r="E26" s="5" t="n">
        <f aca="false">IFERROR(INDEX(Decade_Index!$K$25:$K$534,MATCH($A26&amp;"|"&amp;$B26,Decade_Index!$P$25:$P$534,0)),"")</f>
        <v>16.8628702165752</v>
      </c>
      <c r="F26" s="3" t="n">
        <f aca="false">IFERROR(INDEX(Decade_Index!$L$25:$L$534,MATCH($A26&amp;"|"&amp;$B26,Decade_Index!$P$25:$P$534,0)),"")</f>
        <v>5</v>
      </c>
      <c r="G26" s="3" t="n">
        <f aca="false">IFERROR(INDEX(Decade_Index!$M$25:$M$534,MATCH($A26&amp;"|"&amp;$B26,Decade_Index!$P$25:$P$534,0)),"")</f>
        <v>4</v>
      </c>
    </row>
    <row r="27" customFormat="false" ht="15" hidden="false" customHeight="true" outlineLevel="0" collapsed="false">
      <c r="A27" s="3" t="s">
        <v>13</v>
      </c>
      <c r="B27" s="3" t="n">
        <v>3</v>
      </c>
      <c r="C27" s="3" t="str">
        <f aca="false">IFERROR(INDEX(Decade_Index!$B$25:$B$534,MATCH($A27&amp;"|"&amp;$B27,Decade_Index!$P$25:$P$534,0)),"")</f>
        <v>LAD</v>
      </c>
      <c r="D27" s="5" t="n">
        <f aca="false">IFERROR(INDEX(Decade_Index!$J$25:$J$534,MATCH($A27&amp;"|"&amp;$B27,Decade_Index!$P$25:$P$534,0)),"")</f>
        <v>11.7619086440831</v>
      </c>
      <c r="E27" s="5" t="n">
        <f aca="false">IFERROR(INDEX(Decade_Index!$K$25:$K$534,MATCH($A27&amp;"|"&amp;$B27,Decade_Index!$P$25:$P$534,0)),"")</f>
        <v>13.0556615583603</v>
      </c>
      <c r="F27" s="3" t="n">
        <f aca="false">IFERROR(INDEX(Decade_Index!$L$25:$L$534,MATCH($A27&amp;"|"&amp;$B27,Decade_Index!$P$25:$P$534,0)),"")</f>
        <v>3</v>
      </c>
      <c r="G27" s="3" t="n">
        <f aca="false">IFERROR(INDEX(Decade_Index!$M$25:$M$534,MATCH($A27&amp;"|"&amp;$B27,Decade_Index!$P$25:$P$534,0)),"")</f>
        <v>0</v>
      </c>
    </row>
    <row r="28" customFormat="false" ht="15" hidden="false" customHeight="true" outlineLevel="0" collapsed="false">
      <c r="A28" s="3" t="s">
        <v>13</v>
      </c>
      <c r="B28" s="3" t="n">
        <v>4</v>
      </c>
      <c r="C28" s="3" t="str">
        <f aca="false">IFERROR(INDEX(Decade_Index!$B$25:$B$534,MATCH($A28&amp;"|"&amp;$B28,Decade_Index!$P$25:$P$534,0)),"")</f>
        <v>BOS</v>
      </c>
      <c r="D28" s="5" t="n">
        <f aca="false">IFERROR(INDEX(Decade_Index!$J$25:$J$534,MATCH($A28&amp;"|"&amp;$B28,Decade_Index!$P$25:$P$534,0)),"")</f>
        <v>10.1920799195151</v>
      </c>
      <c r="E28" s="5" t="n">
        <f aca="false">IFERROR(INDEX(Decade_Index!$K$25:$K$534,MATCH($A28&amp;"|"&amp;$B28,Decade_Index!$P$25:$P$534,0)),"")</f>
        <v>9.01883828924952</v>
      </c>
      <c r="F28" s="3" t="n">
        <f aca="false">IFERROR(INDEX(Decade_Index!$L$25:$L$534,MATCH($A28&amp;"|"&amp;$B28,Decade_Index!$P$25:$P$534,0)),"")</f>
        <v>1</v>
      </c>
      <c r="G28" s="3" t="n">
        <f aca="false">IFERROR(INDEX(Decade_Index!$M$25:$M$534,MATCH($A28&amp;"|"&amp;$B28,Decade_Index!$P$25:$P$534,0)),"")</f>
        <v>0</v>
      </c>
    </row>
    <row r="29" customFormat="false" ht="15" hidden="false" customHeight="true" outlineLevel="0" collapsed="false">
      <c r="A29" s="3" t="s">
        <v>13</v>
      </c>
      <c r="B29" s="3" t="n">
        <v>5</v>
      </c>
      <c r="C29" s="3" t="str">
        <f aca="false">IFERROR(INDEX(Decade_Index!$B$25:$B$534,MATCH($A29&amp;"|"&amp;$B29,Decade_Index!$P$25:$P$534,0)),"")</f>
        <v>DET</v>
      </c>
      <c r="D29" s="5" t="n">
        <f aca="false">IFERROR(INDEX(Decade_Index!$J$25:$J$534,MATCH($A29&amp;"|"&amp;$B29,Decade_Index!$P$25:$P$534,0)),"")</f>
        <v>6.04152494897087</v>
      </c>
      <c r="E29" s="5" t="n">
        <f aca="false">IFERROR(INDEX(Decade_Index!$K$25:$K$534,MATCH($A29&amp;"|"&amp;$B29,Decade_Index!$P$25:$P$534,0)),"")</f>
        <v>6.81775240868645</v>
      </c>
      <c r="F29" s="3" t="n">
        <f aca="false">IFERROR(INDEX(Decade_Index!$L$25:$L$534,MATCH($A29&amp;"|"&amp;$B29,Decade_Index!$P$25:$P$534,0)),"")</f>
        <v>2</v>
      </c>
      <c r="G29" s="3" t="n">
        <f aca="false">IFERROR(INDEX(Decade_Index!$M$25:$M$534,MATCH($A29&amp;"|"&amp;$B29,Decade_Index!$P$25:$P$534,0)),"")</f>
        <v>1</v>
      </c>
    </row>
    <row r="30" customFormat="false" ht="15" hidden="false" customHeight="true" outlineLevel="0" collapsed="false">
      <c r="A30" s="3" t="s">
        <v>14</v>
      </c>
      <c r="B30" s="3" t="n">
        <v>1</v>
      </c>
      <c r="C30" s="3" t="str">
        <f aca="false">IFERROR(INDEX(Decade_Index!$B$25:$B$534,MATCH($A30&amp;"|"&amp;$B30,Decade_Index!$P$25:$P$534,0)),"")</f>
        <v>CLE</v>
      </c>
      <c r="D30" s="5" t="n">
        <f aca="false">IFERROR(INDEX(Decade_Index!$J$25:$J$534,MATCH($A30&amp;"|"&amp;$B30,Decade_Index!$P$25:$P$534,0)),"")</f>
        <v>15.5917627155868</v>
      </c>
      <c r="E30" s="5" t="n">
        <f aca="false">IFERROR(INDEX(Decade_Index!$K$25:$K$534,MATCH($A30&amp;"|"&amp;$B30,Decade_Index!$P$25:$P$534,0)),"")</f>
        <v>14.2057879351121</v>
      </c>
      <c r="F30" s="3" t="n">
        <f aca="false">IFERROR(INDEX(Decade_Index!$L$25:$L$534,MATCH($A30&amp;"|"&amp;$B30,Decade_Index!$P$25:$P$534,0)),"")</f>
        <v>1</v>
      </c>
      <c r="G30" s="3" t="n">
        <f aca="false">IFERROR(INDEX(Decade_Index!$M$25:$M$534,MATCH($A30&amp;"|"&amp;$B30,Decade_Index!$P$25:$P$534,0)),"")</f>
        <v>0</v>
      </c>
    </row>
    <row r="31" customFormat="false" ht="15" hidden="false" customHeight="true" outlineLevel="0" collapsed="false">
      <c r="A31" s="3" t="s">
        <v>14</v>
      </c>
      <c r="B31" s="3" t="n">
        <v>2</v>
      </c>
      <c r="C31" s="3" t="str">
        <f aca="false">IFERROR(INDEX(Decade_Index!$B$25:$B$534,MATCH($A31&amp;"|"&amp;$B31,Decade_Index!$P$25:$P$534,0)),"")</f>
        <v>ATL</v>
      </c>
      <c r="D31" s="5" t="n">
        <f aca="false">IFERROR(INDEX(Decade_Index!$J$25:$J$534,MATCH($A31&amp;"|"&amp;$B31,Decade_Index!$P$25:$P$534,0)),"")</f>
        <v>13.3377464073424</v>
      </c>
      <c r="E31" s="5" t="n">
        <f aca="false">IFERROR(INDEX(Decade_Index!$K$25:$K$534,MATCH($A31&amp;"|"&amp;$B31,Decade_Index!$P$25:$P$534,0)),"")</f>
        <v>8.76887190996075</v>
      </c>
      <c r="F31" s="3" t="n">
        <f aca="false">IFERROR(INDEX(Decade_Index!$L$25:$L$534,MATCH($A31&amp;"|"&amp;$B31,Decade_Index!$P$25:$P$534,0)),"")</f>
        <v>2</v>
      </c>
      <c r="G31" s="3" t="n">
        <f aca="false">IFERROR(INDEX(Decade_Index!$M$25:$M$534,MATCH($A31&amp;"|"&amp;$B31,Decade_Index!$P$25:$P$534,0)),"")</f>
        <v>1</v>
      </c>
    </row>
    <row r="32" customFormat="false" ht="15" hidden="false" customHeight="true" outlineLevel="0" collapsed="false">
      <c r="A32" s="3" t="s">
        <v>14</v>
      </c>
      <c r="B32" s="3" t="n">
        <v>3</v>
      </c>
      <c r="C32" s="3" t="str">
        <f aca="false">IFERROR(INDEX(Decade_Index!$B$25:$B$534,MATCH($A32&amp;"|"&amp;$B32,Decade_Index!$P$25:$P$534,0)),"")</f>
        <v>NYY</v>
      </c>
      <c r="D32" s="5" t="n">
        <f aca="false">IFERROR(INDEX(Decade_Index!$J$25:$J$534,MATCH($A32&amp;"|"&amp;$B32,Decade_Index!$P$25:$P$534,0)),"")</f>
        <v>11.330904780775</v>
      </c>
      <c r="E32" s="5" t="n">
        <f aca="false">IFERROR(INDEX(Decade_Index!$K$25:$K$534,MATCH($A32&amp;"|"&amp;$B32,Decade_Index!$P$25:$P$534,0)),"")</f>
        <v>19.6724345335467</v>
      </c>
      <c r="F32" s="3" t="n">
        <f aca="false">IFERROR(INDEX(Decade_Index!$L$25:$L$534,MATCH($A32&amp;"|"&amp;$B32,Decade_Index!$P$25:$P$534,0)),"")</f>
        <v>8</v>
      </c>
      <c r="G32" s="3" t="n">
        <f aca="false">IFERROR(INDEX(Decade_Index!$M$25:$M$534,MATCH($A32&amp;"|"&amp;$B32,Decade_Index!$P$25:$P$534,0)),"")</f>
        <v>6</v>
      </c>
    </row>
    <row r="33" customFormat="false" ht="15" hidden="false" customHeight="true" outlineLevel="0" collapsed="false">
      <c r="A33" s="3" t="s">
        <v>14</v>
      </c>
      <c r="B33" s="3" t="n">
        <v>4</v>
      </c>
      <c r="C33" s="3" t="str">
        <f aca="false">IFERROR(INDEX(Decade_Index!$B$25:$B$534,MATCH($A33&amp;"|"&amp;$B33,Decade_Index!$P$25:$P$534,0)),"")</f>
        <v>BOS</v>
      </c>
      <c r="D33" s="5" t="n">
        <f aca="false">IFERROR(INDEX(Decade_Index!$J$25:$J$534,MATCH($A33&amp;"|"&amp;$B33,Decade_Index!$P$25:$P$534,0)),"")</f>
        <v>8.97029129854364</v>
      </c>
      <c r="E33" s="5" t="n">
        <f aca="false">IFERROR(INDEX(Decade_Index!$K$25:$K$534,MATCH($A33&amp;"|"&amp;$B33,Decade_Index!$P$25:$P$534,0)),"")</f>
        <v>4.69081467307998</v>
      </c>
      <c r="F33" s="3" t="n">
        <f aca="false">IFERROR(INDEX(Decade_Index!$L$25:$L$534,MATCH($A33&amp;"|"&amp;$B33,Decade_Index!$P$25:$P$534,0)),"")</f>
        <v>0</v>
      </c>
      <c r="G33" s="3" t="n">
        <f aca="false">IFERROR(INDEX(Decade_Index!$M$25:$M$534,MATCH($A33&amp;"|"&amp;$B33,Decade_Index!$P$25:$P$534,0)),"")</f>
        <v>0</v>
      </c>
    </row>
    <row r="34" customFormat="false" ht="15" hidden="false" customHeight="true" outlineLevel="0" collapsed="false">
      <c r="A34" s="3" t="s">
        <v>14</v>
      </c>
      <c r="B34" s="3" t="n">
        <v>5</v>
      </c>
      <c r="C34" s="3" t="str">
        <f aca="false">IFERROR(INDEX(Decade_Index!$B$25:$B$534,MATCH($A34&amp;"|"&amp;$B34,Decade_Index!$P$25:$P$534,0)),"")</f>
        <v>LAD</v>
      </c>
      <c r="D34" s="5" t="n">
        <f aca="false">IFERROR(INDEX(Decade_Index!$J$25:$J$534,MATCH($A34&amp;"|"&amp;$B34,Decade_Index!$P$25:$P$534,0)),"")</f>
        <v>8.30706087451562</v>
      </c>
      <c r="E34" s="5" t="n">
        <f aca="false">IFERROR(INDEX(Decade_Index!$K$25:$K$534,MATCH($A34&amp;"|"&amp;$B34,Decade_Index!$P$25:$P$534,0)),"")</f>
        <v>14.8670704143413</v>
      </c>
      <c r="F34" s="3" t="n">
        <f aca="false">IFERROR(INDEX(Decade_Index!$L$25:$L$534,MATCH($A34&amp;"|"&amp;$B34,Decade_Index!$P$25:$P$534,0)),"")</f>
        <v>5</v>
      </c>
      <c r="G34" s="3" t="n">
        <f aca="false">IFERROR(INDEX(Decade_Index!$M$25:$M$534,MATCH($A34&amp;"|"&amp;$B34,Decade_Index!$P$25:$P$534,0)),"")</f>
        <v>2</v>
      </c>
    </row>
    <row r="35" customFormat="false" ht="15" hidden="false" customHeight="true" outlineLevel="0" collapsed="false">
      <c r="A35" s="3" t="s">
        <v>15</v>
      </c>
      <c r="B35" s="3" t="n">
        <v>1</v>
      </c>
      <c r="C35" s="3" t="str">
        <f aca="false">IFERROR(INDEX(Decade_Index!$B$25:$B$534,MATCH($A35&amp;"|"&amp;$B35,Decade_Index!$P$25:$P$534,0)),"")</f>
        <v>ANA</v>
      </c>
      <c r="D35" s="5" t="n">
        <f aca="false">IFERROR(INDEX(Decade_Index!$J$25:$J$534,MATCH($A35&amp;"|"&amp;$B35,Decade_Index!$P$25:$P$534,0)),"")</f>
        <v>8.26422479839367</v>
      </c>
      <c r="E35" s="5" t="n">
        <f aca="false">IFERROR(INDEX(Decade_Index!$K$25:$K$534,MATCH($A35&amp;"|"&amp;$B35,Decade_Index!$P$25:$P$534,0)),"")</f>
        <v>-4.72175966609399</v>
      </c>
      <c r="F35" s="3" t="n">
        <f aca="false">IFERROR(INDEX(Decade_Index!$L$25:$L$534,MATCH($A35&amp;"|"&amp;$B35,Decade_Index!$P$25:$P$534,0)),"")</f>
        <v>0</v>
      </c>
      <c r="G35" s="3" t="n">
        <f aca="false">IFERROR(INDEX(Decade_Index!$M$25:$M$534,MATCH($A35&amp;"|"&amp;$B35,Decade_Index!$P$25:$P$534,0)),"")</f>
        <v>0</v>
      </c>
    </row>
    <row r="36" customFormat="false" ht="15" hidden="false" customHeight="true" outlineLevel="0" collapsed="false">
      <c r="A36" s="3" t="s">
        <v>15</v>
      </c>
      <c r="B36" s="3" t="n">
        <v>2</v>
      </c>
      <c r="C36" s="3" t="str">
        <f aca="false">IFERROR(INDEX(Decade_Index!$B$25:$B$534,MATCH($A36&amp;"|"&amp;$B36,Decade_Index!$P$25:$P$534,0)),"")</f>
        <v>BAL</v>
      </c>
      <c r="D36" s="5" t="n">
        <f aca="false">IFERROR(INDEX(Decade_Index!$J$25:$J$534,MATCH($A36&amp;"|"&amp;$B36,Decade_Index!$P$25:$P$534,0)),"")</f>
        <v>7.68320979237708</v>
      </c>
      <c r="E36" s="5" t="n">
        <f aca="false">IFERROR(INDEX(Decade_Index!$K$25:$K$534,MATCH($A36&amp;"|"&amp;$B36,Decade_Index!$P$25:$P$534,0)),"")</f>
        <v>10.7420784970146</v>
      </c>
      <c r="F36" s="3" t="n">
        <f aca="false">IFERROR(INDEX(Decade_Index!$L$25:$L$534,MATCH($A36&amp;"|"&amp;$B36,Decade_Index!$P$25:$P$534,0)),"")</f>
        <v>2</v>
      </c>
      <c r="G36" s="3" t="n">
        <f aca="false">IFERROR(INDEX(Decade_Index!$M$25:$M$534,MATCH($A36&amp;"|"&amp;$B36,Decade_Index!$P$25:$P$534,0)),"")</f>
        <v>1</v>
      </c>
    </row>
    <row r="37" customFormat="false" ht="15" hidden="false" customHeight="true" outlineLevel="0" collapsed="false">
      <c r="A37" s="3" t="s">
        <v>15</v>
      </c>
      <c r="B37" s="3" t="n">
        <v>3</v>
      </c>
      <c r="C37" s="3" t="str">
        <f aca="false">IFERROR(INDEX(Decade_Index!$B$25:$B$534,MATCH($A37&amp;"|"&amp;$B37,Decade_Index!$P$25:$P$534,0)),"")</f>
        <v>SFG</v>
      </c>
      <c r="D37" s="5" t="n">
        <f aca="false">IFERROR(INDEX(Decade_Index!$J$25:$J$534,MATCH($A37&amp;"|"&amp;$B37,Decade_Index!$P$25:$P$534,0)),"")</f>
        <v>7.01098404471326</v>
      </c>
      <c r="E37" s="5" t="n">
        <f aca="false">IFERROR(INDEX(Decade_Index!$K$25:$K$534,MATCH($A37&amp;"|"&amp;$B37,Decade_Index!$P$25:$P$534,0)),"")</f>
        <v>9.93372516556341</v>
      </c>
      <c r="F37" s="3" t="n">
        <f aca="false">IFERROR(INDEX(Decade_Index!$L$25:$L$534,MATCH($A37&amp;"|"&amp;$B37,Decade_Index!$P$25:$P$534,0)),"")</f>
        <v>1</v>
      </c>
      <c r="G37" s="3" t="n">
        <f aca="false">IFERROR(INDEX(Decade_Index!$M$25:$M$534,MATCH($A37&amp;"|"&amp;$B37,Decade_Index!$P$25:$P$534,0)),"")</f>
        <v>0</v>
      </c>
    </row>
    <row r="38" customFormat="false" ht="15" hidden="false" customHeight="true" outlineLevel="0" collapsed="false">
      <c r="A38" s="3" t="s">
        <v>15</v>
      </c>
      <c r="B38" s="3" t="n">
        <v>4</v>
      </c>
      <c r="C38" s="3" t="str">
        <f aca="false">IFERROR(INDEX(Decade_Index!$B$25:$B$534,MATCH($A38&amp;"|"&amp;$B38,Decade_Index!$P$25:$P$534,0)),"")</f>
        <v>STL</v>
      </c>
      <c r="D38" s="5" t="n">
        <f aca="false">IFERROR(INDEX(Decade_Index!$J$25:$J$534,MATCH($A38&amp;"|"&amp;$B38,Decade_Index!$P$25:$P$534,0)),"")</f>
        <v>5.49538112765935</v>
      </c>
      <c r="E38" s="5" t="n">
        <f aca="false">IFERROR(INDEX(Decade_Index!$K$25:$K$534,MATCH($A38&amp;"|"&amp;$B38,Decade_Index!$P$25:$P$534,0)),"")</f>
        <v>8.38604588831891</v>
      </c>
      <c r="F38" s="3" t="n">
        <f aca="false">IFERROR(INDEX(Decade_Index!$L$25:$L$534,MATCH($A38&amp;"|"&amp;$B38,Decade_Index!$P$25:$P$534,0)),"")</f>
        <v>3</v>
      </c>
      <c r="G38" s="3" t="n">
        <f aca="false">IFERROR(INDEX(Decade_Index!$M$25:$M$534,MATCH($A38&amp;"|"&amp;$B38,Decade_Index!$P$25:$P$534,0)),"")</f>
        <v>2</v>
      </c>
    </row>
    <row r="39" customFormat="false" ht="15" hidden="false" customHeight="true" outlineLevel="0" collapsed="false">
      <c r="A39" s="3" t="s">
        <v>15</v>
      </c>
      <c r="B39" s="3" t="n">
        <v>5</v>
      </c>
      <c r="C39" s="3" t="str">
        <f aca="false">IFERROR(INDEX(Decade_Index!$B$25:$B$534,MATCH($A39&amp;"|"&amp;$B39,Decade_Index!$P$25:$P$534,0)),"")</f>
        <v>NYY</v>
      </c>
      <c r="D39" s="5" t="n">
        <f aca="false">IFERROR(INDEX(Decade_Index!$J$25:$J$534,MATCH($A39&amp;"|"&amp;$B39,Decade_Index!$P$25:$P$534,0)),"")</f>
        <v>4.49258599950734</v>
      </c>
      <c r="E39" s="5" t="n">
        <f aca="false">IFERROR(INDEX(Decade_Index!$K$25:$K$534,MATCH($A39&amp;"|"&amp;$B39,Decade_Index!$P$25:$P$534,0)),"")</f>
        <v>8.46154315561273</v>
      </c>
      <c r="F39" s="3" t="n">
        <f aca="false">IFERROR(INDEX(Decade_Index!$L$25:$L$534,MATCH($A39&amp;"|"&amp;$B39,Decade_Index!$P$25:$P$534,0)),"")</f>
        <v>5</v>
      </c>
      <c r="G39" s="3" t="n">
        <f aca="false">IFERROR(INDEX(Decade_Index!$M$25:$M$534,MATCH($A39&amp;"|"&amp;$B39,Decade_Index!$P$25:$P$534,0)),"")</f>
        <v>2</v>
      </c>
    </row>
    <row r="40" customFormat="false" ht="15" hidden="false" customHeight="true" outlineLevel="0" collapsed="false">
      <c r="A40" s="3" t="s">
        <v>16</v>
      </c>
      <c r="B40" s="3" t="n">
        <v>1</v>
      </c>
      <c r="C40" s="3" t="str">
        <f aca="false">IFERROR(INDEX(Decade_Index!$B$25:$B$534,MATCH($A40&amp;"|"&amp;$B40,Decade_Index!$P$25:$P$534,0)),"")</f>
        <v>BAL</v>
      </c>
      <c r="D40" s="5" t="n">
        <f aca="false">IFERROR(INDEX(Decade_Index!$J$25:$J$534,MATCH($A40&amp;"|"&amp;$B40,Decade_Index!$P$25:$P$534,0)),"")</f>
        <v>12.5228252683847</v>
      </c>
      <c r="E40" s="5" t="n">
        <f aca="false">IFERROR(INDEX(Decade_Index!$K$25:$K$534,MATCH($A40&amp;"|"&amp;$B40,Decade_Index!$P$25:$P$534,0)),"")</f>
        <v>14.5495262139035</v>
      </c>
      <c r="F40" s="3" t="n">
        <f aca="false">IFERROR(INDEX(Decade_Index!$L$25:$L$534,MATCH($A40&amp;"|"&amp;$B40,Decade_Index!$P$25:$P$534,0)),"")</f>
        <v>5</v>
      </c>
      <c r="G40" s="3" t="n">
        <f aca="false">IFERROR(INDEX(Decade_Index!$M$25:$M$534,MATCH($A40&amp;"|"&amp;$B40,Decade_Index!$P$25:$P$534,0)),"")</f>
        <v>1</v>
      </c>
    </row>
    <row r="41" customFormat="false" ht="15" hidden="false" customHeight="true" outlineLevel="0" collapsed="false">
      <c r="A41" s="3" t="s">
        <v>16</v>
      </c>
      <c r="B41" s="3" t="n">
        <v>2</v>
      </c>
      <c r="C41" s="3" t="str">
        <f aca="false">IFERROR(INDEX(Decade_Index!$B$25:$B$534,MATCH($A41&amp;"|"&amp;$B41,Decade_Index!$P$25:$P$534,0)),"")</f>
        <v>CIN</v>
      </c>
      <c r="D41" s="5" t="n">
        <f aca="false">IFERROR(INDEX(Decade_Index!$J$25:$J$534,MATCH($A41&amp;"|"&amp;$B41,Decade_Index!$P$25:$P$534,0)),"")</f>
        <v>11.9512443608989</v>
      </c>
      <c r="E41" s="5" t="n">
        <f aca="false">IFERROR(INDEX(Decade_Index!$K$25:$K$534,MATCH($A41&amp;"|"&amp;$B41,Decade_Index!$P$25:$P$534,0)),"")</f>
        <v>14.9063823482885</v>
      </c>
      <c r="F41" s="3" t="n">
        <f aca="false">IFERROR(INDEX(Decade_Index!$L$25:$L$534,MATCH($A41&amp;"|"&amp;$B41,Decade_Index!$P$25:$P$534,0)),"")</f>
        <v>6</v>
      </c>
      <c r="G41" s="3" t="n">
        <f aca="false">IFERROR(INDEX(Decade_Index!$M$25:$M$534,MATCH($A41&amp;"|"&amp;$B41,Decade_Index!$P$25:$P$534,0)),"")</f>
        <v>2</v>
      </c>
    </row>
    <row r="42" customFormat="false" ht="15" hidden="false" customHeight="true" outlineLevel="0" collapsed="false">
      <c r="A42" s="3" t="s">
        <v>16</v>
      </c>
      <c r="B42" s="3" t="n">
        <v>3</v>
      </c>
      <c r="C42" s="3" t="str">
        <f aca="false">IFERROR(INDEX(Decade_Index!$B$25:$B$534,MATCH($A42&amp;"|"&amp;$B42,Decade_Index!$P$25:$P$534,0)),"")</f>
        <v>KCR</v>
      </c>
      <c r="D42" s="5" t="n">
        <f aca="false">IFERROR(INDEX(Decade_Index!$J$25:$J$534,MATCH($A42&amp;"|"&amp;$B42,Decade_Index!$P$25:$P$534,0)),"")</f>
        <v>10.7639619838803</v>
      </c>
      <c r="E42" s="5" t="n">
        <f aca="false">IFERROR(INDEX(Decade_Index!$K$25:$K$534,MATCH($A42&amp;"|"&amp;$B42,Decade_Index!$P$25:$P$534,0)),"")</f>
        <v>4.54743260238221</v>
      </c>
      <c r="F42" s="3" t="n">
        <f aca="false">IFERROR(INDEX(Decade_Index!$L$25:$L$534,MATCH($A42&amp;"|"&amp;$B42,Decade_Index!$P$25:$P$534,0)),"")</f>
        <v>3</v>
      </c>
      <c r="G42" s="3" t="n">
        <f aca="false">IFERROR(INDEX(Decade_Index!$M$25:$M$534,MATCH($A42&amp;"|"&amp;$B42,Decade_Index!$P$25:$P$534,0)),"")</f>
        <v>0</v>
      </c>
    </row>
    <row r="43" customFormat="false" ht="15" hidden="false" customHeight="true" outlineLevel="0" collapsed="false">
      <c r="A43" s="3" t="s">
        <v>16</v>
      </c>
      <c r="B43" s="3" t="n">
        <v>4</v>
      </c>
      <c r="C43" s="3" t="str">
        <f aca="false">IFERROR(INDEX(Decade_Index!$B$25:$B$534,MATCH($A43&amp;"|"&amp;$B43,Decade_Index!$P$25:$P$534,0)),"")</f>
        <v>LAD</v>
      </c>
      <c r="D43" s="5" t="n">
        <f aca="false">IFERROR(INDEX(Decade_Index!$J$25:$J$534,MATCH($A43&amp;"|"&amp;$B43,Decade_Index!$P$25:$P$534,0)),"")</f>
        <v>9.16765055543249</v>
      </c>
      <c r="E43" s="5" t="n">
        <f aca="false">IFERROR(INDEX(Decade_Index!$K$25:$K$534,MATCH($A43&amp;"|"&amp;$B43,Decade_Index!$P$25:$P$534,0)),"")</f>
        <v>10.4967468225239</v>
      </c>
      <c r="F43" s="3" t="n">
        <f aca="false">IFERROR(INDEX(Decade_Index!$L$25:$L$534,MATCH($A43&amp;"|"&amp;$B43,Decade_Index!$P$25:$P$534,0)),"")</f>
        <v>3</v>
      </c>
      <c r="G43" s="3" t="n">
        <f aca="false">IFERROR(INDEX(Decade_Index!$M$25:$M$534,MATCH($A43&amp;"|"&amp;$B43,Decade_Index!$P$25:$P$534,0)),"")</f>
        <v>0</v>
      </c>
    </row>
    <row r="44" customFormat="false" ht="15" hidden="false" customHeight="true" outlineLevel="0" collapsed="false">
      <c r="A44" s="3" t="s">
        <v>16</v>
      </c>
      <c r="B44" s="3" t="n">
        <v>5</v>
      </c>
      <c r="C44" s="3" t="str">
        <f aca="false">IFERROR(INDEX(Decade_Index!$B$25:$B$534,MATCH($A44&amp;"|"&amp;$B44,Decade_Index!$P$25:$P$534,0)),"")</f>
        <v>NYY</v>
      </c>
      <c r="D44" s="5" t="n">
        <f aca="false">IFERROR(INDEX(Decade_Index!$J$25:$J$534,MATCH($A44&amp;"|"&amp;$B44,Decade_Index!$P$25:$P$534,0)),"")</f>
        <v>8.82965676600264</v>
      </c>
      <c r="E44" s="5" t="n">
        <f aca="false">IFERROR(INDEX(Decade_Index!$K$25:$K$534,MATCH($A44&amp;"|"&amp;$B44,Decade_Index!$P$25:$P$534,0)),"")</f>
        <v>8.89327574474249</v>
      </c>
      <c r="F44" s="3" t="n">
        <f aca="false">IFERROR(INDEX(Decade_Index!$L$25:$L$534,MATCH($A44&amp;"|"&amp;$B44,Decade_Index!$P$25:$P$534,0)),"")</f>
        <v>3</v>
      </c>
      <c r="G44" s="3" t="n">
        <f aca="false">IFERROR(INDEX(Decade_Index!$M$25:$M$534,MATCH($A44&amp;"|"&amp;$B44,Decade_Index!$P$25:$P$534,0)),"")</f>
        <v>2</v>
      </c>
    </row>
    <row r="45" customFormat="false" ht="15" hidden="false" customHeight="true" outlineLevel="0" collapsed="false">
      <c r="A45" s="3" t="s">
        <v>17</v>
      </c>
      <c r="B45" s="3" t="n">
        <v>1</v>
      </c>
      <c r="C45" s="3" t="str">
        <f aca="false">IFERROR(INDEX(Decade_Index!$B$25:$B$534,MATCH($A45&amp;"|"&amp;$B45,Decade_Index!$P$25:$P$534,0)),"")</f>
        <v>TOR</v>
      </c>
      <c r="D45" s="5" t="n">
        <f aca="false">IFERROR(INDEX(Decade_Index!$J$25:$J$534,MATCH($A45&amp;"|"&amp;$B45,Decade_Index!$P$25:$P$534,0)),"")</f>
        <v>7.33132421392023</v>
      </c>
      <c r="E45" s="5" t="n">
        <f aca="false">IFERROR(INDEX(Decade_Index!$K$25:$K$534,MATCH($A45&amp;"|"&amp;$B45,Decade_Index!$P$25:$P$534,0)),"")</f>
        <v>2.72685119485253</v>
      </c>
      <c r="F45" s="3" t="n">
        <f aca="false">IFERROR(INDEX(Decade_Index!$L$25:$L$534,MATCH($A45&amp;"|"&amp;$B45,Decade_Index!$P$25:$P$534,0)),"")</f>
        <v>2</v>
      </c>
      <c r="G45" s="3" t="n">
        <f aca="false">IFERROR(INDEX(Decade_Index!$M$25:$M$534,MATCH($A45&amp;"|"&amp;$B45,Decade_Index!$P$25:$P$534,0)),"")</f>
        <v>0</v>
      </c>
    </row>
    <row r="46" customFormat="false" ht="15" hidden="false" customHeight="true" outlineLevel="0" collapsed="false">
      <c r="A46" s="3" t="s">
        <v>17</v>
      </c>
      <c r="B46" s="3" t="n">
        <v>2</v>
      </c>
      <c r="C46" s="3" t="str">
        <f aca="false">IFERROR(INDEX(Decade_Index!$B$25:$B$534,MATCH($A46&amp;"|"&amp;$B46,Decade_Index!$P$25:$P$534,0)),"")</f>
        <v>STL</v>
      </c>
      <c r="D46" s="5" t="n">
        <f aca="false">IFERROR(INDEX(Decade_Index!$J$25:$J$534,MATCH($A46&amp;"|"&amp;$B46,Decade_Index!$P$25:$P$534,0)),"")</f>
        <v>6.2319417801977</v>
      </c>
      <c r="E46" s="5" t="n">
        <f aca="false">IFERROR(INDEX(Decade_Index!$K$25:$K$534,MATCH($A46&amp;"|"&amp;$B46,Decade_Index!$P$25:$P$534,0)),"")</f>
        <v>5.03030008876612</v>
      </c>
      <c r="F46" s="3" t="n">
        <f aca="false">IFERROR(INDEX(Decade_Index!$L$25:$L$534,MATCH($A46&amp;"|"&amp;$B46,Decade_Index!$P$25:$P$534,0)),"")</f>
        <v>3</v>
      </c>
      <c r="G46" s="3" t="n">
        <f aca="false">IFERROR(INDEX(Decade_Index!$M$25:$M$534,MATCH($A46&amp;"|"&amp;$B46,Decade_Index!$P$25:$P$534,0)),"")</f>
        <v>1</v>
      </c>
    </row>
    <row r="47" customFormat="false" ht="15" hidden="false" customHeight="true" outlineLevel="0" collapsed="false">
      <c r="A47" s="3" t="s">
        <v>17</v>
      </c>
      <c r="B47" s="3" t="n">
        <v>3</v>
      </c>
      <c r="C47" s="3" t="str">
        <f aca="false">IFERROR(INDEX(Decade_Index!$B$25:$B$534,MATCH($A47&amp;"|"&amp;$B47,Decade_Index!$P$25:$P$534,0)),"")</f>
        <v>KCR</v>
      </c>
      <c r="D47" s="5" t="n">
        <f aca="false">IFERROR(INDEX(Decade_Index!$J$25:$J$534,MATCH($A47&amp;"|"&amp;$B47,Decade_Index!$P$25:$P$534,0)),"")</f>
        <v>5.64936777364175</v>
      </c>
      <c r="E47" s="5" t="n">
        <f aca="false">IFERROR(INDEX(Decade_Index!$K$25:$K$534,MATCH($A47&amp;"|"&amp;$B47,Decade_Index!$P$25:$P$534,0)),"")</f>
        <v>4.52689511343703</v>
      </c>
      <c r="F47" s="3" t="n">
        <f aca="false">IFERROR(INDEX(Decade_Index!$L$25:$L$534,MATCH($A47&amp;"|"&amp;$B47,Decade_Index!$P$25:$P$534,0)),"")</f>
        <v>4</v>
      </c>
      <c r="G47" s="3" t="n">
        <f aca="false">IFERROR(INDEX(Decade_Index!$M$25:$M$534,MATCH($A47&amp;"|"&amp;$B47,Decade_Index!$P$25:$P$534,0)),"")</f>
        <v>1</v>
      </c>
    </row>
    <row r="48" customFormat="false" ht="15" hidden="false" customHeight="true" outlineLevel="0" collapsed="false">
      <c r="A48" s="3" t="s">
        <v>17</v>
      </c>
      <c r="B48" s="3" t="n">
        <v>4</v>
      </c>
      <c r="C48" s="3" t="str">
        <f aca="false">IFERROR(INDEX(Decade_Index!$B$25:$B$534,MATCH($A48&amp;"|"&amp;$B48,Decade_Index!$P$25:$P$534,0)),"")</f>
        <v>DET</v>
      </c>
      <c r="D48" s="5" t="n">
        <f aca="false">IFERROR(INDEX(Decade_Index!$J$25:$J$534,MATCH($A48&amp;"|"&amp;$B48,Decade_Index!$P$25:$P$534,0)),"")</f>
        <v>4.88414134728548</v>
      </c>
      <c r="E48" s="5" t="n">
        <f aca="false">IFERROR(INDEX(Decade_Index!$K$25:$K$534,MATCH($A48&amp;"|"&amp;$B48,Decade_Index!$P$25:$P$534,0)),"")</f>
        <v>5.88024863619466</v>
      </c>
      <c r="F48" s="3" t="n">
        <f aca="false">IFERROR(INDEX(Decade_Index!$L$25:$L$534,MATCH($A48&amp;"|"&amp;$B48,Decade_Index!$P$25:$P$534,0)),"")</f>
        <v>2</v>
      </c>
      <c r="G48" s="3" t="n">
        <f aca="false">IFERROR(INDEX(Decade_Index!$M$25:$M$534,MATCH($A48&amp;"|"&amp;$B48,Decade_Index!$P$25:$P$534,0)),"")</f>
        <v>1</v>
      </c>
    </row>
    <row r="49" customFormat="false" ht="15" hidden="false" customHeight="true" outlineLevel="0" collapsed="false">
      <c r="A49" s="3" t="s">
        <v>17</v>
      </c>
      <c r="B49" s="3" t="n">
        <v>5</v>
      </c>
      <c r="C49" s="3" t="str">
        <f aca="false">IFERROR(INDEX(Decade_Index!$B$25:$B$534,MATCH($A49&amp;"|"&amp;$B49,Decade_Index!$P$25:$P$534,0)),"")</f>
        <v>BOS</v>
      </c>
      <c r="D49" s="5" t="n">
        <f aca="false">IFERROR(INDEX(Decade_Index!$J$25:$J$534,MATCH($A49&amp;"|"&amp;$B49,Decade_Index!$P$25:$P$534,0)),"")</f>
        <v>4.77570639441871</v>
      </c>
      <c r="E49" s="5" t="n">
        <f aca="false">IFERROR(INDEX(Decade_Index!$K$25:$K$534,MATCH($A49&amp;"|"&amp;$B49,Decade_Index!$P$25:$P$534,0)),"")</f>
        <v>4.22339974167076</v>
      </c>
      <c r="F49" s="3" t="n">
        <f aca="false">IFERROR(INDEX(Decade_Index!$L$25:$L$534,MATCH($A49&amp;"|"&amp;$B49,Decade_Index!$P$25:$P$534,0)),"")</f>
        <v>2</v>
      </c>
      <c r="G49" s="3" t="n">
        <f aca="false">IFERROR(INDEX(Decade_Index!$M$25:$M$534,MATCH($A49&amp;"|"&amp;$B49,Decade_Index!$P$25:$P$534,0)),"")</f>
        <v>0</v>
      </c>
    </row>
    <row r="50" customFormat="false" ht="15" hidden="false" customHeight="true" outlineLevel="0" collapsed="false">
      <c r="A50" s="3" t="s">
        <v>18</v>
      </c>
      <c r="B50" s="3" t="n">
        <v>1</v>
      </c>
      <c r="C50" s="3" t="str">
        <f aca="false">IFERROR(INDEX(Decade_Index!$B$25:$B$534,MATCH($A50&amp;"|"&amp;$B50,Decade_Index!$P$25:$P$534,0)),"")</f>
        <v>ATL</v>
      </c>
      <c r="D50" s="5" t="n">
        <f aca="false">IFERROR(INDEX(Decade_Index!$J$25:$J$534,MATCH($A50&amp;"|"&amp;$B50,Decade_Index!$P$25:$P$534,0)),"")</f>
        <v>15.292205329378</v>
      </c>
      <c r="E50" s="5" t="n">
        <f aca="false">IFERROR(INDEX(Decade_Index!$K$25:$K$534,MATCH($A50&amp;"|"&amp;$B50,Decade_Index!$P$25:$P$534,0)),"")</f>
        <v>15.4884076692051</v>
      </c>
      <c r="F50" s="3" t="n">
        <f aca="false">IFERROR(INDEX(Decade_Index!$L$25:$L$534,MATCH($A50&amp;"|"&amp;$B50,Decade_Index!$P$25:$P$534,0)),"")</f>
        <v>8</v>
      </c>
      <c r="G50" s="3" t="n">
        <f aca="false">IFERROR(INDEX(Decade_Index!$M$25:$M$534,MATCH($A50&amp;"|"&amp;$B50,Decade_Index!$P$25:$P$534,0)),"")</f>
        <v>1</v>
      </c>
    </row>
    <row r="51" customFormat="false" ht="15" hidden="false" customHeight="true" outlineLevel="0" collapsed="false">
      <c r="A51" s="3" t="s">
        <v>18</v>
      </c>
      <c r="B51" s="3" t="n">
        <v>2</v>
      </c>
      <c r="C51" s="3" t="str">
        <f aca="false">IFERROR(INDEX(Decade_Index!$B$25:$B$534,MATCH($A51&amp;"|"&amp;$B51,Decade_Index!$P$25:$P$534,0)),"")</f>
        <v>NYY</v>
      </c>
      <c r="D51" s="5" t="n">
        <f aca="false">IFERROR(INDEX(Decade_Index!$J$25:$J$534,MATCH($A51&amp;"|"&amp;$B51,Decade_Index!$P$25:$P$534,0)),"")</f>
        <v>7.17539027078087</v>
      </c>
      <c r="E51" s="5" t="n">
        <f aca="false">IFERROR(INDEX(Decade_Index!$K$25:$K$534,MATCH($A51&amp;"|"&amp;$B51,Decade_Index!$P$25:$P$534,0)),"")</f>
        <v>8.12314800455673</v>
      </c>
      <c r="F51" s="3" t="n">
        <f aca="false">IFERROR(INDEX(Decade_Index!$L$25:$L$534,MATCH($A51&amp;"|"&amp;$B51,Decade_Index!$P$25:$P$534,0)),"")</f>
        <v>5</v>
      </c>
      <c r="G51" s="3" t="n">
        <f aca="false">IFERROR(INDEX(Decade_Index!$M$25:$M$534,MATCH($A51&amp;"|"&amp;$B51,Decade_Index!$P$25:$P$534,0)),"")</f>
        <v>3</v>
      </c>
    </row>
    <row r="52" customFormat="false" ht="15" hidden="false" customHeight="true" outlineLevel="0" collapsed="false">
      <c r="A52" s="3" t="s">
        <v>18</v>
      </c>
      <c r="B52" s="3" t="n">
        <v>3</v>
      </c>
      <c r="C52" s="3" t="str">
        <f aca="false">IFERROR(INDEX(Decade_Index!$B$25:$B$534,MATCH($A52&amp;"|"&amp;$B52,Decade_Index!$P$25:$P$534,0)),"")</f>
        <v>CLE</v>
      </c>
      <c r="D52" s="5" t="n">
        <f aca="false">IFERROR(INDEX(Decade_Index!$J$25:$J$534,MATCH($A52&amp;"|"&amp;$B52,Decade_Index!$P$25:$P$534,0)),"")</f>
        <v>5.2640855729767</v>
      </c>
      <c r="E52" s="5" t="n">
        <f aca="false">IFERROR(INDEX(Decade_Index!$K$25:$K$534,MATCH($A52&amp;"|"&amp;$B52,Decade_Index!$P$25:$P$534,0)),"")</f>
        <v>5.52710350942124</v>
      </c>
      <c r="F52" s="3" t="n">
        <f aca="false">IFERROR(INDEX(Decade_Index!$L$25:$L$534,MATCH($A52&amp;"|"&amp;$B52,Decade_Index!$P$25:$P$534,0)),"")</f>
        <v>5</v>
      </c>
      <c r="G52" s="3" t="n">
        <f aca="false">IFERROR(INDEX(Decade_Index!$M$25:$M$534,MATCH($A52&amp;"|"&amp;$B52,Decade_Index!$P$25:$P$534,0)),"")</f>
        <v>0</v>
      </c>
    </row>
    <row r="53" customFormat="false" ht="15" hidden="false" customHeight="true" outlineLevel="0" collapsed="false">
      <c r="A53" s="3" t="s">
        <v>18</v>
      </c>
      <c r="B53" s="3" t="n">
        <v>4</v>
      </c>
      <c r="C53" s="3" t="str">
        <f aca="false">IFERROR(INDEX(Decade_Index!$B$25:$B$534,MATCH($A53&amp;"|"&amp;$B53,Decade_Index!$P$25:$P$534,0)),"")</f>
        <v>CHW</v>
      </c>
      <c r="D53" s="5" t="n">
        <f aca="false">IFERROR(INDEX(Decade_Index!$J$25:$J$534,MATCH($A53&amp;"|"&amp;$B53,Decade_Index!$P$25:$P$534,0)),"")</f>
        <v>3.83545283608089</v>
      </c>
      <c r="E53" s="5" t="n">
        <f aca="false">IFERROR(INDEX(Decade_Index!$K$25:$K$534,MATCH($A53&amp;"|"&amp;$B53,Decade_Index!$P$25:$P$534,0)),"")</f>
        <v>4.45183280090698</v>
      </c>
      <c r="F53" s="3" t="n">
        <f aca="false">IFERROR(INDEX(Decade_Index!$L$25:$L$534,MATCH($A53&amp;"|"&amp;$B53,Decade_Index!$P$25:$P$534,0)),"")</f>
        <v>1</v>
      </c>
      <c r="G53" s="3" t="n">
        <f aca="false">IFERROR(INDEX(Decade_Index!$M$25:$M$534,MATCH($A53&amp;"|"&amp;$B53,Decade_Index!$P$25:$P$534,0)),"")</f>
        <v>0</v>
      </c>
    </row>
    <row r="54" customFormat="false" ht="15" hidden="false" customHeight="true" outlineLevel="0" collapsed="false">
      <c r="A54" s="3" t="s">
        <v>18</v>
      </c>
      <c r="B54" s="3" t="n">
        <v>5</v>
      </c>
      <c r="C54" s="3" t="str">
        <f aca="false">IFERROR(INDEX(Decade_Index!$B$25:$B$534,MATCH($A54&amp;"|"&amp;$B54,Decade_Index!$P$25:$P$534,0)),"")</f>
        <v>CIN</v>
      </c>
      <c r="D54" s="5" t="n">
        <f aca="false">IFERROR(INDEX(Decade_Index!$J$25:$J$534,MATCH($A54&amp;"|"&amp;$B54,Decade_Index!$P$25:$P$534,0)),"")</f>
        <v>3.53565397486852</v>
      </c>
      <c r="E54" s="5" t="n">
        <f aca="false">IFERROR(INDEX(Decade_Index!$K$25:$K$534,MATCH($A54&amp;"|"&amp;$B54,Decade_Index!$P$25:$P$534,0)),"")</f>
        <v>3.68280143736782</v>
      </c>
      <c r="F54" s="3" t="n">
        <f aca="false">IFERROR(INDEX(Decade_Index!$L$25:$L$534,MATCH($A54&amp;"|"&amp;$B54,Decade_Index!$P$25:$P$534,0)),"")</f>
        <v>2</v>
      </c>
      <c r="G54" s="3" t="n">
        <f aca="false">IFERROR(INDEX(Decade_Index!$M$25:$M$534,MATCH($A54&amp;"|"&amp;$B54,Decade_Index!$P$25:$P$534,0)),"")</f>
        <v>1</v>
      </c>
    </row>
    <row r="55" customFormat="false" ht="15" hidden="false" customHeight="true" outlineLevel="0" collapsed="false">
      <c r="A55" s="3" t="s">
        <v>19</v>
      </c>
      <c r="B55" s="3" t="n">
        <v>1</v>
      </c>
      <c r="C55" s="3" t="str">
        <f aca="false">IFERROR(INDEX(Decade_Index!$B$25:$B$534,MATCH($A55&amp;"|"&amp;$B55,Decade_Index!$P$25:$P$534,0)),"")</f>
        <v>STL</v>
      </c>
      <c r="D55" s="5" t="n">
        <f aca="false">IFERROR(INDEX(Decade_Index!$J$25:$J$534,MATCH($A55&amp;"|"&amp;$B55,Decade_Index!$P$25:$P$534,0)),"")</f>
        <v>12.5225889781782</v>
      </c>
      <c r="E55" s="5" t="n">
        <f aca="false">IFERROR(INDEX(Decade_Index!$K$25:$K$534,MATCH($A55&amp;"|"&amp;$B55,Decade_Index!$P$25:$P$534,0)),"")</f>
        <v>10.3529411843158</v>
      </c>
      <c r="F55" s="3" t="n">
        <f aca="false">IFERROR(INDEX(Decade_Index!$L$25:$L$534,MATCH($A55&amp;"|"&amp;$B55,Decade_Index!$P$25:$P$534,0)),"")</f>
        <v>7</v>
      </c>
      <c r="G55" s="3" t="n">
        <f aca="false">IFERROR(INDEX(Decade_Index!$M$25:$M$534,MATCH($A55&amp;"|"&amp;$B55,Decade_Index!$P$25:$P$534,0)),"")</f>
        <v>1</v>
      </c>
    </row>
    <row r="56" customFormat="false" ht="15" hidden="false" customHeight="true" outlineLevel="0" collapsed="false">
      <c r="A56" s="3" t="s">
        <v>19</v>
      </c>
      <c r="B56" s="3" t="n">
        <v>2</v>
      </c>
      <c r="C56" s="3" t="str">
        <f aca="false">IFERROR(INDEX(Decade_Index!$B$25:$B$534,MATCH($A56&amp;"|"&amp;$B56,Decade_Index!$P$25:$P$534,0)),"")</f>
        <v>BOS</v>
      </c>
      <c r="D56" s="5" t="n">
        <f aca="false">IFERROR(INDEX(Decade_Index!$J$25:$J$534,MATCH($A56&amp;"|"&amp;$B56,Decade_Index!$P$25:$P$534,0)),"")</f>
        <v>11.5198869662714</v>
      </c>
      <c r="E56" s="5" t="n">
        <f aca="false">IFERROR(INDEX(Decade_Index!$K$25:$K$534,MATCH($A56&amp;"|"&amp;$B56,Decade_Index!$P$25:$P$534,0)),"")</f>
        <v>11.0523200663034</v>
      </c>
      <c r="F56" s="3" t="n">
        <f aca="false">IFERROR(INDEX(Decade_Index!$L$25:$L$534,MATCH($A56&amp;"|"&amp;$B56,Decade_Index!$P$25:$P$534,0)),"")</f>
        <v>6</v>
      </c>
      <c r="G56" s="3" t="n">
        <f aca="false">IFERROR(INDEX(Decade_Index!$M$25:$M$534,MATCH($A56&amp;"|"&amp;$B56,Decade_Index!$P$25:$P$534,0)),"")</f>
        <v>2</v>
      </c>
    </row>
    <row r="57" customFormat="false" ht="15" hidden="false" customHeight="true" outlineLevel="0" collapsed="false">
      <c r="A57" s="3" t="s">
        <v>19</v>
      </c>
      <c r="B57" s="3" t="n">
        <v>3</v>
      </c>
      <c r="C57" s="3" t="str">
        <f aca="false">IFERROR(INDEX(Decade_Index!$B$25:$B$534,MATCH($A57&amp;"|"&amp;$B57,Decade_Index!$P$25:$P$534,0)),"")</f>
        <v>NYY</v>
      </c>
      <c r="D57" s="5" t="n">
        <f aca="false">IFERROR(INDEX(Decade_Index!$J$25:$J$534,MATCH($A57&amp;"|"&amp;$B57,Decade_Index!$P$25:$P$534,0)),"")</f>
        <v>10.6752555150978</v>
      </c>
      <c r="E57" s="5" t="n">
        <f aca="false">IFERROR(INDEX(Decade_Index!$K$25:$K$534,MATCH($A57&amp;"|"&amp;$B57,Decade_Index!$P$25:$P$534,0)),"")</f>
        <v>15.738150811645</v>
      </c>
      <c r="F57" s="3" t="n">
        <f aca="false">IFERROR(INDEX(Decade_Index!$L$25:$L$534,MATCH($A57&amp;"|"&amp;$B57,Decade_Index!$P$25:$P$534,0)),"")</f>
        <v>9</v>
      </c>
      <c r="G57" s="3" t="n">
        <f aca="false">IFERROR(INDEX(Decade_Index!$M$25:$M$534,MATCH($A57&amp;"|"&amp;$B57,Decade_Index!$P$25:$P$534,0)),"")</f>
        <v>2</v>
      </c>
    </row>
    <row r="58" customFormat="false" ht="15" hidden="false" customHeight="true" outlineLevel="0" collapsed="false">
      <c r="A58" s="3" t="s">
        <v>19</v>
      </c>
      <c r="B58" s="3" t="n">
        <v>4</v>
      </c>
      <c r="C58" s="3" t="str">
        <f aca="false">IFERROR(INDEX(Decade_Index!$B$25:$B$534,MATCH($A58&amp;"|"&amp;$B58,Decade_Index!$P$25:$P$534,0)),"")</f>
        <v>ATL</v>
      </c>
      <c r="D58" s="5" t="n">
        <f aca="false">IFERROR(INDEX(Decade_Index!$J$25:$J$534,MATCH($A58&amp;"|"&amp;$B58,Decade_Index!$P$25:$P$534,0)),"")</f>
        <v>9.85301815479956</v>
      </c>
      <c r="E58" s="5" t="n">
        <f aca="false">IFERROR(INDEX(Decade_Index!$K$25:$K$534,MATCH($A58&amp;"|"&amp;$B58,Decade_Index!$P$25:$P$534,0)),"")</f>
        <v>8.32763838928477</v>
      </c>
      <c r="F58" s="3" t="n">
        <f aca="false">IFERROR(INDEX(Decade_Index!$L$25:$L$534,MATCH($A58&amp;"|"&amp;$B58,Decade_Index!$P$25:$P$534,0)),"")</f>
        <v>6</v>
      </c>
      <c r="G58" s="3" t="n">
        <f aca="false">IFERROR(INDEX(Decade_Index!$M$25:$M$534,MATCH($A58&amp;"|"&amp;$B58,Decade_Index!$P$25:$P$534,0)),"")</f>
        <v>0</v>
      </c>
    </row>
    <row r="59" customFormat="false" ht="15" hidden="false" customHeight="true" outlineLevel="0" collapsed="false">
      <c r="A59" s="3" t="s">
        <v>19</v>
      </c>
      <c r="B59" s="3" t="n">
        <v>5</v>
      </c>
      <c r="C59" s="3" t="str">
        <f aca="false">IFERROR(INDEX(Decade_Index!$B$25:$B$534,MATCH($A59&amp;"|"&amp;$B59,Decade_Index!$P$25:$P$534,0)),"")</f>
        <v>OAK</v>
      </c>
      <c r="D59" s="5" t="n">
        <f aca="false">IFERROR(INDEX(Decade_Index!$J$25:$J$534,MATCH($A59&amp;"|"&amp;$B59,Decade_Index!$P$25:$P$534,0)),"")</f>
        <v>9.79082382955088</v>
      </c>
      <c r="E59" s="5" t="n">
        <f aca="false">IFERROR(INDEX(Decade_Index!$K$25:$K$534,MATCH($A59&amp;"|"&amp;$B59,Decade_Index!$P$25:$P$534,0)),"")</f>
        <v>8.10449397934688</v>
      </c>
      <c r="F59" s="3" t="n">
        <f aca="false">IFERROR(INDEX(Decade_Index!$L$25:$L$534,MATCH($A59&amp;"|"&amp;$B59,Decade_Index!$P$25:$P$534,0)),"")</f>
        <v>5</v>
      </c>
      <c r="G59" s="3" t="n">
        <f aca="false">IFERROR(INDEX(Decade_Index!$M$25:$M$534,MATCH($A59&amp;"|"&amp;$B59,Decade_Index!$P$25:$P$534,0)),"")</f>
        <v>0</v>
      </c>
    </row>
    <row r="60" customFormat="false" ht="15" hidden="false" customHeight="true" outlineLevel="0" collapsed="false">
      <c r="A60" s="3" t="s">
        <v>20</v>
      </c>
      <c r="B60" s="3" t="n">
        <v>1</v>
      </c>
      <c r="C60" s="3" t="str">
        <f aca="false">IFERROR(INDEX(Decade_Index!$B$25:$B$534,MATCH($A60&amp;"|"&amp;$B60,Decade_Index!$P$25:$P$534,0)),"")</f>
        <v>LAD</v>
      </c>
      <c r="D60" s="5" t="n">
        <f aca="false">IFERROR(INDEX(Decade_Index!$J$25:$J$534,MATCH($A60&amp;"|"&amp;$B60,Decade_Index!$P$25:$P$534,0)),"")</f>
        <v>10.2574800825199</v>
      </c>
      <c r="E60" s="5" t="n">
        <f aca="false">IFERROR(INDEX(Decade_Index!$K$25:$K$534,MATCH($A60&amp;"|"&amp;$B60,Decade_Index!$P$25:$P$534,0)),"")</f>
        <v>10.8966673017567</v>
      </c>
      <c r="F60" s="3" t="n">
        <f aca="false">IFERROR(INDEX(Decade_Index!$L$25:$L$534,MATCH($A60&amp;"|"&amp;$B60,Decade_Index!$P$25:$P$534,0)),"")</f>
        <v>7</v>
      </c>
      <c r="G60" s="3" t="n">
        <f aca="false">IFERROR(INDEX(Decade_Index!$M$25:$M$534,MATCH($A60&amp;"|"&amp;$B60,Decade_Index!$P$25:$P$534,0)),"")</f>
        <v>0</v>
      </c>
    </row>
    <row r="61" customFormat="false" ht="15" hidden="false" customHeight="true" outlineLevel="0" collapsed="false">
      <c r="A61" s="3" t="s">
        <v>20</v>
      </c>
      <c r="B61" s="3" t="n">
        <v>2</v>
      </c>
      <c r="C61" s="3" t="str">
        <f aca="false">IFERROR(INDEX(Decade_Index!$B$25:$B$534,MATCH($A61&amp;"|"&amp;$B61,Decade_Index!$P$25:$P$534,0)),"")</f>
        <v>NYY</v>
      </c>
      <c r="D61" s="5" t="n">
        <f aca="false">IFERROR(INDEX(Decade_Index!$J$25:$J$534,MATCH($A61&amp;"|"&amp;$B61,Decade_Index!$P$25:$P$534,0)),"")</f>
        <v>9.84983868962891</v>
      </c>
      <c r="E61" s="5" t="n">
        <f aca="false">IFERROR(INDEX(Decade_Index!$K$25:$K$534,MATCH($A61&amp;"|"&amp;$B61,Decade_Index!$P$25:$P$534,0)),"")</f>
        <v>11.1021773425294</v>
      </c>
      <c r="F61" s="3" t="n">
        <f aca="false">IFERROR(INDEX(Decade_Index!$L$25:$L$534,MATCH($A61&amp;"|"&amp;$B61,Decade_Index!$P$25:$P$534,0)),"")</f>
        <v>7</v>
      </c>
      <c r="G61" s="3" t="n">
        <f aca="false">IFERROR(INDEX(Decade_Index!$M$25:$M$534,MATCH($A61&amp;"|"&amp;$B61,Decade_Index!$P$25:$P$534,0)),"")</f>
        <v>0</v>
      </c>
    </row>
    <row r="62" customFormat="false" ht="15" hidden="false" customHeight="true" outlineLevel="0" collapsed="false">
      <c r="A62" s="3" t="s">
        <v>20</v>
      </c>
      <c r="B62" s="3" t="n">
        <v>3</v>
      </c>
      <c r="C62" s="3" t="str">
        <f aca="false">IFERROR(INDEX(Decade_Index!$B$25:$B$534,MATCH($A62&amp;"|"&amp;$B62,Decade_Index!$P$25:$P$534,0)),"")</f>
        <v>STL</v>
      </c>
      <c r="D62" s="5" t="n">
        <f aca="false">IFERROR(INDEX(Decade_Index!$J$25:$J$534,MATCH($A62&amp;"|"&amp;$B62,Decade_Index!$P$25:$P$534,0)),"")</f>
        <v>9.67712965047997</v>
      </c>
      <c r="E62" s="5" t="n">
        <f aca="false">IFERROR(INDEX(Decade_Index!$K$25:$K$534,MATCH($A62&amp;"|"&amp;$B62,Decade_Index!$P$25:$P$534,0)),"")</f>
        <v>8.90217734252944</v>
      </c>
      <c r="F62" s="3" t="n">
        <f aca="false">IFERROR(INDEX(Decade_Index!$L$25:$L$534,MATCH($A62&amp;"|"&amp;$B62,Decade_Index!$P$25:$P$534,0)),"")</f>
        <v>6</v>
      </c>
      <c r="G62" s="3" t="n">
        <f aca="false">IFERROR(INDEX(Decade_Index!$M$25:$M$534,MATCH($A62&amp;"|"&amp;$B62,Decade_Index!$P$25:$P$534,0)),"")</f>
        <v>1</v>
      </c>
    </row>
    <row r="63" customFormat="false" ht="15" hidden="false" customHeight="true" outlineLevel="0" collapsed="false">
      <c r="A63" s="3" t="s">
        <v>20</v>
      </c>
      <c r="B63" s="3" t="n">
        <v>4</v>
      </c>
      <c r="C63" s="3" t="str">
        <f aca="false">IFERROR(INDEX(Decade_Index!$B$25:$B$534,MATCH($A63&amp;"|"&amp;$B63,Decade_Index!$P$25:$P$534,0)),"")</f>
        <v>WSN</v>
      </c>
      <c r="D63" s="5" t="n">
        <f aca="false">IFERROR(INDEX(Decade_Index!$J$25:$J$534,MATCH($A63&amp;"|"&amp;$B63,Decade_Index!$P$25:$P$534,0)),"")</f>
        <v>7.16674765447038</v>
      </c>
      <c r="E63" s="5" t="n">
        <f aca="false">IFERROR(INDEX(Decade_Index!$K$25:$K$534,MATCH($A63&amp;"|"&amp;$B63,Decade_Index!$P$25:$P$534,0)),"")</f>
        <v>6.95186678352323</v>
      </c>
      <c r="F63" s="3" t="n">
        <f aca="false">IFERROR(INDEX(Decade_Index!$L$25:$L$534,MATCH($A63&amp;"|"&amp;$B63,Decade_Index!$P$25:$P$534,0)),"")</f>
        <v>5</v>
      </c>
      <c r="G63" s="3" t="n">
        <f aca="false">IFERROR(INDEX(Decade_Index!$M$25:$M$534,MATCH($A63&amp;"|"&amp;$B63,Decade_Index!$P$25:$P$534,0)),"")</f>
        <v>1</v>
      </c>
    </row>
    <row r="64" customFormat="false" ht="15" hidden="false" customHeight="true" outlineLevel="0" collapsed="false">
      <c r="A64" s="3" t="s">
        <v>20</v>
      </c>
      <c r="B64" s="3" t="n">
        <v>5</v>
      </c>
      <c r="C64" s="3" t="str">
        <f aca="false">IFERROR(INDEX(Decade_Index!$B$25:$B$534,MATCH($A64&amp;"|"&amp;$B64,Decade_Index!$P$25:$P$534,0)),"")</f>
        <v>BOS</v>
      </c>
      <c r="D64" s="5" t="n">
        <f aca="false">IFERROR(INDEX(Decade_Index!$J$25:$J$534,MATCH($A64&amp;"|"&amp;$B64,Decade_Index!$P$25:$P$534,0)),"")</f>
        <v>6.4130510998415</v>
      </c>
      <c r="E64" s="5" t="n">
        <f aca="false">IFERROR(INDEX(Decade_Index!$K$25:$K$534,MATCH($A64&amp;"|"&amp;$B64,Decade_Index!$P$25:$P$534,0)),"")</f>
        <v>6.20217734252943</v>
      </c>
      <c r="F64" s="3" t="n">
        <f aca="false">IFERROR(INDEX(Decade_Index!$L$25:$L$534,MATCH($A64&amp;"|"&amp;$B64,Decade_Index!$P$25:$P$534,0)),"")</f>
        <v>4</v>
      </c>
      <c r="G64" s="3" t="n">
        <f aca="false">IFERROR(INDEX(Decade_Index!$M$25:$M$534,MATCH($A64&amp;"|"&amp;$B64,Decade_Index!$P$25:$P$534,0)),"")</f>
        <v>2</v>
      </c>
    </row>
    <row r="65" customFormat="false" ht="15" hidden="false" customHeight="true" outlineLevel="0" collapsed="false">
      <c r="A65" s="3" t="s">
        <v>21</v>
      </c>
      <c r="B65" s="3" t="n">
        <v>1</v>
      </c>
      <c r="C65" s="3" t="str">
        <f aca="false">IFERROR(INDEX(Decade_Index!$B$25:$B$534,MATCH($A65&amp;"|"&amp;$B65,Decade_Index!$P$25:$P$534,0)),"")</f>
        <v>LAD</v>
      </c>
      <c r="D65" s="5" t="n">
        <f aca="false">IFERROR(INDEX(Decade_Index!$J$25:$J$534,MATCH($A65&amp;"|"&amp;$B65,Decade_Index!$P$25:$P$534,0)),"")</f>
        <v>20.2840346565205</v>
      </c>
      <c r="E65" s="5" t="n">
        <f aca="false">IFERROR(INDEX(Decade_Index!$K$25:$K$534,MATCH($A65&amp;"|"&amp;$B65,Decade_Index!$P$25:$P$534,0)),"")</f>
        <v>23.0185627424383</v>
      </c>
      <c r="F65" s="3" t="n">
        <f aca="false">IFERROR(INDEX(Decade_Index!$L$25:$L$534,MATCH($A65&amp;"|"&amp;$B65,Decade_Index!$P$25:$P$534,0)),"")</f>
        <v>6</v>
      </c>
      <c r="G65" s="3" t="n">
        <f aca="false">IFERROR(INDEX(Decade_Index!$M$25:$M$534,MATCH($A65&amp;"|"&amp;$B65,Decade_Index!$P$25:$P$534,0)),"")</f>
        <v>3</v>
      </c>
    </row>
    <row r="66" customFormat="false" ht="15" hidden="false" customHeight="true" outlineLevel="0" collapsed="false">
      <c r="A66" s="3" t="s">
        <v>21</v>
      </c>
      <c r="B66" s="3" t="n">
        <v>2</v>
      </c>
      <c r="C66" s="3" t="str">
        <f aca="false">IFERROR(INDEX(Decade_Index!$B$25:$B$534,MATCH($A66&amp;"|"&amp;$B66,Decade_Index!$P$25:$P$534,0)),"")</f>
        <v>TBD</v>
      </c>
      <c r="D66" s="5" t="n">
        <f aca="false">IFERROR(INDEX(Decade_Index!$J$25:$J$534,MATCH($A66&amp;"|"&amp;$B66,Decade_Index!$P$25:$P$534,0)),"")</f>
        <v>13.4511578395076</v>
      </c>
      <c r="E66" s="5" t="n">
        <f aca="false">IFERROR(INDEX(Decade_Index!$K$25:$K$534,MATCH($A66&amp;"|"&amp;$B66,Decade_Index!$P$25:$P$534,0)),"")</f>
        <v>10.6685627424383</v>
      </c>
      <c r="F66" s="3" t="n">
        <f aca="false">IFERROR(INDEX(Decade_Index!$L$25:$L$534,MATCH($A66&amp;"|"&amp;$B66,Decade_Index!$P$25:$P$534,0)),"")</f>
        <v>4</v>
      </c>
      <c r="G66" s="3" t="n">
        <f aca="false">IFERROR(INDEX(Decade_Index!$M$25:$M$534,MATCH($A66&amp;"|"&amp;$B66,Decade_Index!$P$25:$P$534,0)),"")</f>
        <v>0</v>
      </c>
    </row>
    <row r="67" customFormat="false" ht="15" hidden="false" customHeight="true" outlineLevel="0" collapsed="false">
      <c r="A67" s="3" t="s">
        <v>21</v>
      </c>
      <c r="B67" s="3" t="n">
        <v>3</v>
      </c>
      <c r="C67" s="3" t="str">
        <f aca="false">IFERROR(INDEX(Decade_Index!$B$25:$B$534,MATCH($A67&amp;"|"&amp;$B67,Decade_Index!$P$25:$P$534,0)),"")</f>
        <v>ATL</v>
      </c>
      <c r="D67" s="5" t="n">
        <f aca="false">IFERROR(INDEX(Decade_Index!$J$25:$J$534,MATCH($A67&amp;"|"&amp;$B67,Decade_Index!$P$25:$P$534,0)),"")</f>
        <v>13.0783666139497</v>
      </c>
      <c r="E67" s="5" t="n">
        <f aca="false">IFERROR(INDEX(Decade_Index!$K$25:$K$534,MATCH($A67&amp;"|"&amp;$B67,Decade_Index!$P$25:$P$534,0)),"")</f>
        <v>11.1763267175936</v>
      </c>
      <c r="F67" s="3" t="n">
        <f aca="false">IFERROR(INDEX(Decade_Index!$L$25:$L$534,MATCH($A67&amp;"|"&amp;$B67,Decade_Index!$P$25:$P$534,0)),"")</f>
        <v>5</v>
      </c>
      <c r="G67" s="3" t="n">
        <f aca="false">IFERROR(INDEX(Decade_Index!$M$25:$M$534,MATCH($A67&amp;"|"&amp;$B67,Decade_Index!$P$25:$P$534,0)),"")</f>
        <v>1</v>
      </c>
    </row>
    <row r="68" customFormat="false" ht="15" hidden="false" customHeight="true" outlineLevel="0" collapsed="false">
      <c r="A68" s="3" t="s">
        <v>21</v>
      </c>
      <c r="B68" s="3" t="n">
        <v>4</v>
      </c>
      <c r="C68" s="3" t="str">
        <f aca="false">IFERROR(INDEX(Decade_Index!$B$25:$B$534,MATCH($A68&amp;"|"&amp;$B68,Decade_Index!$P$25:$P$534,0)),"")</f>
        <v>MIL</v>
      </c>
      <c r="D68" s="5" t="n">
        <f aca="false">IFERROR(INDEX(Decade_Index!$J$25:$J$534,MATCH($A68&amp;"|"&amp;$B68,Decade_Index!$P$25:$P$534,0)),"")</f>
        <v>10.6233787086554</v>
      </c>
      <c r="E68" s="5" t="n">
        <f aca="false">IFERROR(INDEX(Decade_Index!$K$25:$K$534,MATCH($A68&amp;"|"&amp;$B68,Decade_Index!$P$25:$P$534,0)),"")</f>
        <v>9.21856274243831</v>
      </c>
      <c r="F68" s="3" t="n">
        <f aca="false">IFERROR(INDEX(Decade_Index!$L$25:$L$534,MATCH($A68&amp;"|"&amp;$B68,Decade_Index!$P$25:$P$534,0)),"")</f>
        <v>5</v>
      </c>
      <c r="G68" s="3" t="n">
        <f aca="false">IFERROR(INDEX(Decade_Index!$M$25:$M$534,MATCH($A68&amp;"|"&amp;$B68,Decade_Index!$P$25:$P$534,0)),"")</f>
        <v>0</v>
      </c>
    </row>
    <row r="69" customFormat="false" ht="15" hidden="false" customHeight="true" outlineLevel="0" collapsed="false">
      <c r="A69" s="3" t="s">
        <v>21</v>
      </c>
      <c r="B69" s="3" t="n">
        <v>5</v>
      </c>
      <c r="C69" s="3" t="str">
        <f aca="false">IFERROR(INDEX(Decade_Index!$B$25:$B$534,MATCH($A69&amp;"|"&amp;$B69,Decade_Index!$P$25:$P$534,0)),"")</f>
        <v>CLE</v>
      </c>
      <c r="D69" s="5" t="n">
        <f aca="false">IFERROR(INDEX(Decade_Index!$J$25:$J$534,MATCH($A69&amp;"|"&amp;$B69,Decade_Index!$P$25:$P$534,0)),"")</f>
        <v>9.07382829651944</v>
      </c>
      <c r="E69" s="5" t="n">
        <f aca="false">IFERROR(INDEX(Decade_Index!$K$25:$K$534,MATCH($A69&amp;"|"&amp;$B69,Decade_Index!$P$25:$P$534,0)),"")</f>
        <v>6.18046750434306</v>
      </c>
      <c r="F69" s="3" t="n">
        <f aca="false">IFERROR(INDEX(Decade_Index!$L$25:$L$534,MATCH($A69&amp;"|"&amp;$B69,Decade_Index!$P$25:$P$534,0)),"")</f>
        <v>4</v>
      </c>
      <c r="G69" s="3" t="n">
        <f aca="false">IFERROR(INDEX(Decade_Index!$M$25:$M$534,MATCH($A69&amp;"|"&amp;$B69,Decade_Index!$P$25:$P$534,0)),"")</f>
        <v>0</v>
      </c>
    </row>
    <row r="70" customFormat="false" ht="15" hidden="false" customHeight="true" outlineLevel="0" collapsed="false">
      <c r="A70" s="3" t="s">
        <v>22</v>
      </c>
      <c r="B70" s="3" t="n">
        <v>1</v>
      </c>
      <c r="C70" s="3" t="str">
        <f aca="false">IFERROR(INDEX(Decade_Index!$B$25:$B$534,MATCH($A70&amp;"|"&amp;$B70,Decade_Index!$P$25:$P$534,0)),"")</f>
        <v>ATL</v>
      </c>
      <c r="D70" s="5" t="n">
        <f aca="false">IFERROR(INDEX(Decade_Index!$J$25:$J$534,MATCH($A70&amp;"|"&amp;$B70,Decade_Index!$P$25:$P$534,0)),"")</f>
        <v>11.4696146224743</v>
      </c>
      <c r="E70" s="5" t="n">
        <f aca="false">IFERROR(INDEX(Decade_Index!$K$25:$K$534,MATCH($A70&amp;"|"&amp;$B70,Decade_Index!$P$25:$P$534,0)),"")</f>
        <v>15.4884076692051</v>
      </c>
      <c r="F70" s="3" t="n">
        <f aca="false">IFERROR(INDEX(Decade_Index!$L$25:$L$534,MATCH($A70&amp;"|"&amp;$B70,Decade_Index!$P$25:$P$534,0)),"")</f>
        <v>8</v>
      </c>
      <c r="G70" s="3" t="n">
        <f aca="false">IFERROR(INDEX(Decade_Index!$M$25:$M$534,MATCH($A70&amp;"|"&amp;$B70,Decade_Index!$P$25:$P$534,0)),"")</f>
        <v>1</v>
      </c>
    </row>
    <row r="71" customFormat="false" ht="15" hidden="false" customHeight="true" outlineLevel="0" collapsed="false">
      <c r="A71" s="3" t="s">
        <v>22</v>
      </c>
      <c r="B71" s="3" t="n">
        <v>2</v>
      </c>
      <c r="C71" s="3" t="str">
        <f aca="false">IFERROR(INDEX(Decade_Index!$B$25:$B$534,MATCH($A71&amp;"|"&amp;$B71,Decade_Index!$P$25:$P$534,0)),"")</f>
        <v>WSN</v>
      </c>
      <c r="D71" s="5" t="n">
        <f aca="false">IFERROR(INDEX(Decade_Index!$J$25:$J$534,MATCH($A71&amp;"|"&amp;$B71,Decade_Index!$P$25:$P$534,0)),"")</f>
        <v>8.61577895229004</v>
      </c>
      <c r="E71" s="5" t="n">
        <f aca="false">IFERROR(INDEX(Decade_Index!$K$25:$K$534,MATCH($A71&amp;"|"&amp;$B71,Decade_Index!$P$25:$P$534,0)),"")</f>
        <v>0.585138627034431</v>
      </c>
      <c r="F71" s="3" t="n">
        <f aca="false">IFERROR(INDEX(Decade_Index!$L$25:$L$534,MATCH($A71&amp;"|"&amp;$B71,Decade_Index!$P$25:$P$534,0)),"")</f>
        <v>0</v>
      </c>
      <c r="G71" s="3" t="n">
        <f aca="false">IFERROR(INDEX(Decade_Index!$M$25:$M$534,MATCH($A71&amp;"|"&amp;$B71,Decade_Index!$P$25:$P$534,0)),"")</f>
        <v>0</v>
      </c>
    </row>
    <row r="72" customFormat="false" ht="15" hidden="false" customHeight="true" outlineLevel="0" collapsed="false">
      <c r="A72" s="3" t="s">
        <v>22</v>
      </c>
      <c r="B72" s="3" t="n">
        <v>3</v>
      </c>
      <c r="C72" s="3" t="str">
        <f aca="false">IFERROR(INDEX(Decade_Index!$B$25:$B$534,MATCH($A72&amp;"|"&amp;$B72,Decade_Index!$P$25:$P$534,0)),"")</f>
        <v>HOU</v>
      </c>
      <c r="D72" s="5" t="n">
        <f aca="false">IFERROR(INDEX(Decade_Index!$J$25:$J$534,MATCH($A72&amp;"|"&amp;$B72,Decade_Index!$P$25:$P$534,0)),"")</f>
        <v>5.30141987768007</v>
      </c>
      <c r="E72" s="5" t="n">
        <f aca="false">IFERROR(INDEX(Decade_Index!$K$25:$K$534,MATCH($A72&amp;"|"&amp;$B72,Decade_Index!$P$25:$P$534,0)),"")</f>
        <v>3.94764107881606</v>
      </c>
      <c r="F72" s="3" t="n">
        <f aca="false">IFERROR(INDEX(Decade_Index!$L$25:$L$534,MATCH($A72&amp;"|"&amp;$B72,Decade_Index!$P$25:$P$534,0)),"")</f>
        <v>3</v>
      </c>
      <c r="G72" s="3" t="n">
        <f aca="false">IFERROR(INDEX(Decade_Index!$M$25:$M$534,MATCH($A72&amp;"|"&amp;$B72,Decade_Index!$P$25:$P$534,0)),"")</f>
        <v>0</v>
      </c>
    </row>
    <row r="73" customFormat="false" ht="15" hidden="false" customHeight="true" outlineLevel="0" collapsed="false">
      <c r="A73" s="3" t="s">
        <v>22</v>
      </c>
      <c r="B73" s="3" t="n">
        <v>4</v>
      </c>
      <c r="C73" s="3" t="str">
        <f aca="false">IFERROR(INDEX(Decade_Index!$B$25:$B$534,MATCH($A73&amp;"|"&amp;$B73,Decade_Index!$P$25:$P$534,0)),"")</f>
        <v>CLE</v>
      </c>
      <c r="D73" s="5" t="n">
        <f aca="false">IFERROR(INDEX(Decade_Index!$J$25:$J$534,MATCH($A73&amp;"|"&amp;$B73,Decade_Index!$P$25:$P$534,0)),"")</f>
        <v>5.01502796939503</v>
      </c>
      <c r="E73" s="5" t="n">
        <f aca="false">IFERROR(INDEX(Decade_Index!$K$25:$K$534,MATCH($A73&amp;"|"&amp;$B73,Decade_Index!$P$25:$P$534,0)),"")</f>
        <v>5.52710350942124</v>
      </c>
      <c r="F73" s="3" t="n">
        <f aca="false">IFERROR(INDEX(Decade_Index!$L$25:$L$534,MATCH($A73&amp;"|"&amp;$B73,Decade_Index!$P$25:$P$534,0)),"")</f>
        <v>5</v>
      </c>
      <c r="G73" s="3" t="n">
        <f aca="false">IFERROR(INDEX(Decade_Index!$M$25:$M$534,MATCH($A73&amp;"|"&amp;$B73,Decade_Index!$P$25:$P$534,0)),"")</f>
        <v>0</v>
      </c>
    </row>
    <row r="74" customFormat="false" ht="15" hidden="false" customHeight="true" outlineLevel="0" collapsed="false">
      <c r="A74" s="3" t="s">
        <v>22</v>
      </c>
      <c r="B74" s="3" t="n">
        <v>5</v>
      </c>
      <c r="C74" s="3" t="str">
        <f aca="false">IFERROR(INDEX(Decade_Index!$B$25:$B$534,MATCH($A74&amp;"|"&amp;$B74,Decade_Index!$P$25:$P$534,0)),"")</f>
        <v>CHW</v>
      </c>
      <c r="D74" s="5" t="n">
        <f aca="false">IFERROR(INDEX(Decade_Index!$J$25:$J$534,MATCH($A74&amp;"|"&amp;$B74,Decade_Index!$P$25:$P$534,0)),"")</f>
        <v>4.27051876390836</v>
      </c>
      <c r="E74" s="5" t="n">
        <f aca="false">IFERROR(INDEX(Decade_Index!$K$25:$K$534,MATCH($A74&amp;"|"&amp;$B74,Decade_Index!$P$25:$P$534,0)),"")</f>
        <v>4.45183280090698</v>
      </c>
      <c r="F74" s="3" t="n">
        <f aca="false">IFERROR(INDEX(Decade_Index!$L$25:$L$534,MATCH($A74&amp;"|"&amp;$B74,Decade_Index!$P$25:$P$534,0)),"")</f>
        <v>1</v>
      </c>
      <c r="G74" s="3" t="n">
        <f aca="false">IFERROR(INDEX(Decade_Index!$M$25:$M$534,MATCH($A74&amp;"|"&amp;$B74,Decade_Index!$P$25:$P$534,0)),"")</f>
        <v>0</v>
      </c>
    </row>
    <row r="75" customFormat="false" ht="15" hidden="false" customHeight="true" outlineLevel="0" collapsed="false">
      <c r="A75" s="3" t="s">
        <v>23</v>
      </c>
      <c r="B75" s="3" t="n">
        <v>1</v>
      </c>
      <c r="C75" s="3" t="str">
        <f aca="false">IFERROR(INDEX(Decade_Index!$B$25:$B$534,MATCH($A75&amp;"|"&amp;$B75,Decade_Index!$P$25:$P$534,0)),"")</f>
        <v>OAK</v>
      </c>
      <c r="D75" s="5" t="n">
        <f aca="false">IFERROR(INDEX(Decade_Index!$J$25:$J$534,MATCH($A75&amp;"|"&amp;$B75,Decade_Index!$P$25:$P$534,0)),"")</f>
        <v>10.9633840947655</v>
      </c>
      <c r="E75" s="5" t="n">
        <f aca="false">IFERROR(INDEX(Decade_Index!$K$25:$K$534,MATCH($A75&amp;"|"&amp;$B75,Decade_Index!$P$25:$P$534,0)),"")</f>
        <v>8.10449397934688</v>
      </c>
      <c r="F75" s="3" t="n">
        <f aca="false">IFERROR(INDEX(Decade_Index!$L$25:$L$534,MATCH($A75&amp;"|"&amp;$B75,Decade_Index!$P$25:$P$534,0)),"")</f>
        <v>5</v>
      </c>
      <c r="G75" s="3" t="n">
        <f aca="false">IFERROR(INDEX(Decade_Index!$M$25:$M$534,MATCH($A75&amp;"|"&amp;$B75,Decade_Index!$P$25:$P$534,0)),"")</f>
        <v>0</v>
      </c>
    </row>
    <row r="76" customFormat="false" ht="15" hidden="false" customHeight="true" outlineLevel="0" collapsed="false">
      <c r="A76" s="3" t="s">
        <v>23</v>
      </c>
      <c r="B76" s="3" t="n">
        <v>2</v>
      </c>
      <c r="C76" s="3" t="str">
        <f aca="false">IFERROR(INDEX(Decade_Index!$B$25:$B$534,MATCH($A76&amp;"|"&amp;$B76,Decade_Index!$P$25:$P$534,0)),"")</f>
        <v>FLA</v>
      </c>
      <c r="D76" s="5" t="n">
        <f aca="false">IFERROR(INDEX(Decade_Index!$J$25:$J$534,MATCH($A76&amp;"|"&amp;$B76,Decade_Index!$P$25:$P$534,0)),"")</f>
        <v>9.3316831667807</v>
      </c>
      <c r="E76" s="5" t="n">
        <f aca="false">IFERROR(INDEX(Decade_Index!$K$25:$K$534,MATCH($A76&amp;"|"&amp;$B76,Decade_Index!$P$25:$P$534,0)),"")</f>
        <v>0.202630625309612</v>
      </c>
      <c r="F76" s="3" t="n">
        <f aca="false">IFERROR(INDEX(Decade_Index!$L$25:$L$534,MATCH($A76&amp;"|"&amp;$B76,Decade_Index!$P$25:$P$534,0)),"")</f>
        <v>1</v>
      </c>
      <c r="G76" s="3" t="n">
        <f aca="false">IFERROR(INDEX(Decade_Index!$M$25:$M$534,MATCH($A76&amp;"|"&amp;$B76,Decade_Index!$P$25:$P$534,0)),"")</f>
        <v>1</v>
      </c>
    </row>
    <row r="77" customFormat="false" ht="15" hidden="false" customHeight="true" outlineLevel="0" collapsed="false">
      <c r="A77" s="3" t="s">
        <v>23</v>
      </c>
      <c r="B77" s="3" t="n">
        <v>3</v>
      </c>
      <c r="C77" s="3" t="str">
        <f aca="false">IFERROR(INDEX(Decade_Index!$B$25:$B$534,MATCH($A77&amp;"|"&amp;$B77,Decade_Index!$P$25:$P$534,0)),"")</f>
        <v>MIN</v>
      </c>
      <c r="D77" s="5" t="n">
        <f aca="false">IFERROR(INDEX(Decade_Index!$J$25:$J$534,MATCH($A77&amp;"|"&amp;$B77,Decade_Index!$P$25:$P$534,0)),"")</f>
        <v>9.06404119538865</v>
      </c>
      <c r="E77" s="5" t="n">
        <f aca="false">IFERROR(INDEX(Decade_Index!$K$25:$K$534,MATCH($A77&amp;"|"&amp;$B77,Decade_Index!$P$25:$P$534,0)),"")</f>
        <v>5.25241151926228</v>
      </c>
      <c r="F77" s="3" t="n">
        <f aca="false">IFERROR(INDEX(Decade_Index!$L$25:$L$534,MATCH($A77&amp;"|"&amp;$B77,Decade_Index!$P$25:$P$534,0)),"")</f>
        <v>5</v>
      </c>
      <c r="G77" s="3" t="n">
        <f aca="false">IFERROR(INDEX(Decade_Index!$M$25:$M$534,MATCH($A77&amp;"|"&amp;$B77,Decade_Index!$P$25:$P$534,0)),"")</f>
        <v>0</v>
      </c>
    </row>
    <row r="78" customFormat="false" ht="15" hidden="false" customHeight="true" outlineLevel="0" collapsed="false">
      <c r="A78" s="3" t="s">
        <v>23</v>
      </c>
      <c r="B78" s="3" t="n">
        <v>4</v>
      </c>
      <c r="C78" s="3" t="str">
        <f aca="false">IFERROR(INDEX(Decade_Index!$B$25:$B$534,MATCH($A78&amp;"|"&amp;$B78,Decade_Index!$P$25:$P$534,0)),"")</f>
        <v>STL</v>
      </c>
      <c r="D78" s="5" t="n">
        <f aca="false">IFERROR(INDEX(Decade_Index!$J$25:$J$534,MATCH($A78&amp;"|"&amp;$B78,Decade_Index!$P$25:$P$534,0)),"")</f>
        <v>7.39872483634152</v>
      </c>
      <c r="E78" s="5" t="n">
        <f aca="false">IFERROR(INDEX(Decade_Index!$K$25:$K$534,MATCH($A78&amp;"|"&amp;$B78,Decade_Index!$P$25:$P$534,0)),"")</f>
        <v>10.3529411843158</v>
      </c>
      <c r="F78" s="3" t="n">
        <f aca="false">IFERROR(INDEX(Decade_Index!$L$25:$L$534,MATCH($A78&amp;"|"&amp;$B78,Decade_Index!$P$25:$P$534,0)),"")</f>
        <v>7</v>
      </c>
      <c r="G78" s="3" t="n">
        <f aca="false">IFERROR(INDEX(Decade_Index!$M$25:$M$534,MATCH($A78&amp;"|"&amp;$B78,Decade_Index!$P$25:$P$534,0)),"")</f>
        <v>1</v>
      </c>
    </row>
    <row r="79" customFormat="false" ht="15" hidden="false" customHeight="true" outlineLevel="0" collapsed="false">
      <c r="A79" s="3" t="s">
        <v>23</v>
      </c>
      <c r="B79" s="3" t="n">
        <v>5</v>
      </c>
      <c r="C79" s="3" t="str">
        <f aca="false">IFERROR(INDEX(Decade_Index!$B$25:$B$534,MATCH($A79&amp;"|"&amp;$B79,Decade_Index!$P$25:$P$534,0)),"")</f>
        <v>ANA</v>
      </c>
      <c r="D79" s="5" t="n">
        <f aca="false">IFERROR(INDEX(Decade_Index!$J$25:$J$534,MATCH($A79&amp;"|"&amp;$B79,Decade_Index!$P$25:$P$534,0)),"")</f>
        <v>6.37612986138345</v>
      </c>
      <c r="E79" s="5" t="n">
        <f aca="false">IFERROR(INDEX(Decade_Index!$K$25:$K$534,MATCH($A79&amp;"|"&amp;$B79,Decade_Index!$P$25:$P$534,0)),"")</f>
        <v>9.00138838928477</v>
      </c>
      <c r="F79" s="3" t="n">
        <f aca="false">IFERROR(INDEX(Decade_Index!$L$25:$L$534,MATCH($A79&amp;"|"&amp;$B79,Decade_Index!$P$25:$P$534,0)),"")</f>
        <v>6</v>
      </c>
      <c r="G79" s="3" t="n">
        <f aca="false">IFERROR(INDEX(Decade_Index!$M$25:$M$534,MATCH($A79&amp;"|"&amp;$B79,Decade_Index!$P$25:$P$534,0)),"")</f>
        <v>1</v>
      </c>
    </row>
    <row r="80" customFormat="false" ht="15" hidden="false" customHeight="true" outlineLevel="0" collapsed="false">
      <c r="A80" s="3" t="s">
        <v>24</v>
      </c>
      <c r="B80" s="3" t="n">
        <v>1</v>
      </c>
      <c r="C80" s="3" t="str">
        <f aca="false">IFERROR(INDEX(Decade_Index!$B$25:$B$534,MATCH($A80&amp;"|"&amp;$B80,Decade_Index!$P$25:$P$534,0)),"")</f>
        <v>TBD</v>
      </c>
      <c r="D80" s="5" t="n">
        <f aca="false">IFERROR(INDEX(Decade_Index!$J$25:$J$534,MATCH($A80&amp;"|"&amp;$B80,Decade_Index!$P$25:$P$534,0)),"")</f>
        <v>9.82898945104245</v>
      </c>
      <c r="E80" s="5" t="n">
        <f aca="false">IFERROR(INDEX(Decade_Index!$K$25:$K$534,MATCH($A80&amp;"|"&amp;$B80,Decade_Index!$P$25:$P$534,0)),"")</f>
        <v>4.94573562473802</v>
      </c>
      <c r="F80" s="3" t="n">
        <f aca="false">IFERROR(INDEX(Decade_Index!$L$25:$L$534,MATCH($A80&amp;"|"&amp;$B80,Decade_Index!$P$25:$P$534,0)),"")</f>
        <v>4</v>
      </c>
      <c r="G80" s="3" t="n">
        <f aca="false">IFERROR(INDEX(Decade_Index!$M$25:$M$534,MATCH($A80&amp;"|"&amp;$B80,Decade_Index!$P$25:$P$534,0)),"")</f>
        <v>0</v>
      </c>
    </row>
    <row r="81" customFormat="false" ht="15" hidden="false" customHeight="true" outlineLevel="0" collapsed="false">
      <c r="A81" s="3" t="s">
        <v>24</v>
      </c>
      <c r="B81" s="3" t="n">
        <v>2</v>
      </c>
      <c r="C81" s="3" t="str">
        <f aca="false">IFERROR(INDEX(Decade_Index!$B$25:$B$534,MATCH($A81&amp;"|"&amp;$B81,Decade_Index!$P$25:$P$534,0)),"")</f>
        <v>LAD</v>
      </c>
      <c r="D81" s="5" t="n">
        <f aca="false">IFERROR(INDEX(Decade_Index!$J$25:$J$534,MATCH($A81&amp;"|"&amp;$B81,Decade_Index!$P$25:$P$534,0)),"")</f>
        <v>6.33177549944593</v>
      </c>
      <c r="E81" s="5" t="n">
        <f aca="false">IFERROR(INDEX(Decade_Index!$K$25:$K$534,MATCH($A81&amp;"|"&amp;$B81,Decade_Index!$P$25:$P$534,0)),"")</f>
        <v>10.8966673017567</v>
      </c>
      <c r="F81" s="3" t="n">
        <f aca="false">IFERROR(INDEX(Decade_Index!$L$25:$L$534,MATCH($A81&amp;"|"&amp;$B81,Decade_Index!$P$25:$P$534,0)),"")</f>
        <v>7</v>
      </c>
      <c r="G81" s="3" t="n">
        <f aca="false">IFERROR(INDEX(Decade_Index!$M$25:$M$534,MATCH($A81&amp;"|"&amp;$B81,Decade_Index!$P$25:$P$534,0)),"")</f>
        <v>0</v>
      </c>
    </row>
    <row r="82" customFormat="false" ht="15" hidden="false" customHeight="true" outlineLevel="0" collapsed="false">
      <c r="A82" s="3" t="s">
        <v>24</v>
      </c>
      <c r="B82" s="3" t="n">
        <v>3</v>
      </c>
      <c r="C82" s="3" t="str">
        <f aca="false">IFERROR(INDEX(Decade_Index!$B$25:$B$534,MATCH($A82&amp;"|"&amp;$B82,Decade_Index!$P$25:$P$534,0)),"")</f>
        <v>OAK</v>
      </c>
      <c r="D82" s="5" t="n">
        <f aca="false">IFERROR(INDEX(Decade_Index!$J$25:$J$534,MATCH($A82&amp;"|"&amp;$B82,Decade_Index!$P$25:$P$534,0)),"")</f>
        <v>6.27633723546263</v>
      </c>
      <c r="E82" s="5" t="n">
        <f aca="false">IFERROR(INDEX(Decade_Index!$K$25:$K$534,MATCH($A82&amp;"|"&amp;$B82,Decade_Index!$P$25:$P$534,0)),"")</f>
        <v>2.90217734252943</v>
      </c>
      <c r="F82" s="3" t="n">
        <f aca="false">IFERROR(INDEX(Decade_Index!$L$25:$L$534,MATCH($A82&amp;"|"&amp;$B82,Decade_Index!$P$25:$P$534,0)),"")</f>
        <v>5</v>
      </c>
      <c r="G82" s="3" t="n">
        <f aca="false">IFERROR(INDEX(Decade_Index!$M$25:$M$534,MATCH($A82&amp;"|"&amp;$B82,Decade_Index!$P$25:$P$534,0)),"")</f>
        <v>0</v>
      </c>
    </row>
    <row r="83" customFormat="false" ht="15" hidden="false" customHeight="true" outlineLevel="0" collapsed="false">
      <c r="A83" s="3" t="s">
        <v>24</v>
      </c>
      <c r="B83" s="3" t="n">
        <v>4</v>
      </c>
      <c r="C83" s="3" t="str">
        <f aca="false">IFERROR(INDEX(Decade_Index!$B$25:$B$534,MATCH($A83&amp;"|"&amp;$B83,Decade_Index!$P$25:$P$534,0)),"")</f>
        <v>CLE</v>
      </c>
      <c r="D83" s="5" t="n">
        <f aca="false">IFERROR(INDEX(Decade_Index!$J$25:$J$534,MATCH($A83&amp;"|"&amp;$B83,Decade_Index!$P$25:$P$534,0)),"")</f>
        <v>6.19481426146046</v>
      </c>
      <c r="E83" s="5" t="n">
        <f aca="false">IFERROR(INDEX(Decade_Index!$K$25:$K$534,MATCH($A83&amp;"|"&amp;$B83,Decade_Index!$P$25:$P$534,0)),"")</f>
        <v>4.61087299470335</v>
      </c>
      <c r="F83" s="3" t="n">
        <f aca="false">IFERROR(INDEX(Decade_Index!$L$25:$L$534,MATCH($A83&amp;"|"&amp;$B83,Decade_Index!$P$25:$P$534,0)),"")</f>
        <v>4</v>
      </c>
      <c r="G83" s="3" t="n">
        <f aca="false">IFERROR(INDEX(Decade_Index!$M$25:$M$534,MATCH($A83&amp;"|"&amp;$B83,Decade_Index!$P$25:$P$534,0)),"")</f>
        <v>0</v>
      </c>
    </row>
    <row r="84" customFormat="false" ht="15" hidden="false" customHeight="true" outlineLevel="0" collapsed="false">
      <c r="A84" s="3" t="s">
        <v>24</v>
      </c>
      <c r="B84" s="3" t="n">
        <v>5</v>
      </c>
      <c r="C84" s="3" t="str">
        <f aca="false">IFERROR(INDEX(Decade_Index!$B$25:$B$534,MATCH($A84&amp;"|"&amp;$B84,Decade_Index!$P$25:$P$534,0)),"")</f>
        <v>STL</v>
      </c>
      <c r="D84" s="5" t="n">
        <f aca="false">IFERROR(INDEX(Decade_Index!$J$25:$J$534,MATCH($A84&amp;"|"&amp;$B84,Decade_Index!$P$25:$P$534,0)),"")</f>
        <v>5.87399458022715</v>
      </c>
      <c r="E84" s="5" t="n">
        <f aca="false">IFERROR(INDEX(Decade_Index!$K$25:$K$534,MATCH($A84&amp;"|"&amp;$B84,Decade_Index!$P$25:$P$534,0)),"")</f>
        <v>8.90217734252944</v>
      </c>
      <c r="F84" s="3" t="n">
        <f aca="false">IFERROR(INDEX(Decade_Index!$L$25:$L$534,MATCH($A84&amp;"|"&amp;$B84,Decade_Index!$P$25:$P$534,0)),"")</f>
        <v>6</v>
      </c>
      <c r="G84" s="3" t="n">
        <f aca="false">IFERROR(INDEX(Decade_Index!$M$25:$M$534,MATCH($A84&amp;"|"&amp;$B84,Decade_Index!$P$25:$P$534,0)),"")</f>
        <v>1</v>
      </c>
    </row>
    <row r="85" customFormat="false" ht="15" hidden="false" customHeight="true" outlineLevel="0" collapsed="false">
      <c r="A85" s="3" t="s">
        <v>25</v>
      </c>
      <c r="B85" s="3" t="n">
        <v>1</v>
      </c>
      <c r="C85" s="3" t="str">
        <f aca="false">IFERROR(INDEX(Decade_Index!$B$25:$B$534,MATCH($A85&amp;"|"&amp;$B85,Decade_Index!$P$25:$P$534,0)),"")</f>
        <v>TBD</v>
      </c>
      <c r="D85" s="5" t="n">
        <f aca="false">IFERROR(INDEX(Decade_Index!$J$25:$J$534,MATCH($A85&amp;"|"&amp;$B85,Decade_Index!$P$25:$P$534,0)),"")</f>
        <v>16.9225193531892</v>
      </c>
      <c r="E85" s="5" t="n">
        <f aca="false">IFERROR(INDEX(Decade_Index!$K$25:$K$534,MATCH($A85&amp;"|"&amp;$B85,Decade_Index!$P$25:$P$534,0)),"")</f>
        <v>10.6685627424383</v>
      </c>
      <c r="F85" s="3" t="n">
        <f aca="false">IFERROR(INDEX(Decade_Index!$L$25:$L$534,MATCH($A85&amp;"|"&amp;$B85,Decade_Index!$P$25:$P$534,0)),"")</f>
        <v>4</v>
      </c>
      <c r="G85" s="3" t="n">
        <f aca="false">IFERROR(INDEX(Decade_Index!$M$25:$M$534,MATCH($A85&amp;"|"&amp;$B85,Decade_Index!$P$25:$P$534,0)),"")</f>
        <v>0</v>
      </c>
    </row>
    <row r="86" customFormat="false" ht="15" hidden="false" customHeight="true" outlineLevel="0" collapsed="false">
      <c r="A86" s="3" t="s">
        <v>25</v>
      </c>
      <c r="B86" s="3" t="n">
        <v>2</v>
      </c>
      <c r="C86" s="3" t="str">
        <f aca="false">IFERROR(INDEX(Decade_Index!$B$25:$B$534,MATCH($A86&amp;"|"&amp;$B86,Decade_Index!$P$25:$P$534,0)),"")</f>
        <v>LAD</v>
      </c>
      <c r="D86" s="5" t="n">
        <f aca="false">IFERROR(INDEX(Decade_Index!$J$25:$J$534,MATCH($A86&amp;"|"&amp;$B86,Decade_Index!$P$25:$P$534,0)),"")</f>
        <v>15.9511950512794</v>
      </c>
      <c r="E86" s="5" t="n">
        <f aca="false">IFERROR(INDEX(Decade_Index!$K$25:$K$534,MATCH($A86&amp;"|"&amp;$B86,Decade_Index!$P$25:$P$534,0)),"")</f>
        <v>23.0185627424383</v>
      </c>
      <c r="F86" s="3" t="n">
        <f aca="false">IFERROR(INDEX(Decade_Index!$L$25:$L$534,MATCH($A86&amp;"|"&amp;$B86,Decade_Index!$P$25:$P$534,0)),"")</f>
        <v>6</v>
      </c>
      <c r="G86" s="3" t="n">
        <f aca="false">IFERROR(INDEX(Decade_Index!$M$25:$M$534,MATCH($A86&amp;"|"&amp;$B86,Decade_Index!$P$25:$P$534,0)),"")</f>
        <v>3</v>
      </c>
    </row>
    <row r="87" customFormat="false" ht="15" hidden="false" customHeight="true" outlineLevel="0" collapsed="false">
      <c r="A87" s="3" t="s">
        <v>25</v>
      </c>
      <c r="B87" s="3" t="n">
        <v>3</v>
      </c>
      <c r="C87" s="3" t="str">
        <f aca="false">IFERROR(INDEX(Decade_Index!$B$25:$B$534,MATCH($A87&amp;"|"&amp;$B87,Decade_Index!$P$25:$P$534,0)),"")</f>
        <v>CLE</v>
      </c>
      <c r="D87" s="5" t="n">
        <f aca="false">IFERROR(INDEX(Decade_Index!$J$25:$J$534,MATCH($A87&amp;"|"&amp;$B87,Decade_Index!$P$25:$P$534,0)),"")</f>
        <v>12.0566877969905</v>
      </c>
      <c r="E87" s="5" t="n">
        <f aca="false">IFERROR(INDEX(Decade_Index!$K$25:$K$534,MATCH($A87&amp;"|"&amp;$B87,Decade_Index!$P$25:$P$534,0)),"")</f>
        <v>6.18046750434306</v>
      </c>
      <c r="F87" s="3" t="n">
        <f aca="false">IFERROR(INDEX(Decade_Index!$L$25:$L$534,MATCH($A87&amp;"|"&amp;$B87,Decade_Index!$P$25:$P$534,0)),"")</f>
        <v>4</v>
      </c>
      <c r="G87" s="3" t="n">
        <f aca="false">IFERROR(INDEX(Decade_Index!$M$25:$M$534,MATCH($A87&amp;"|"&amp;$B87,Decade_Index!$P$25:$P$534,0)),"")</f>
        <v>0</v>
      </c>
    </row>
    <row r="88" customFormat="false" ht="15" hidden="false" customHeight="true" outlineLevel="0" collapsed="false">
      <c r="A88" s="3" t="s">
        <v>25</v>
      </c>
      <c r="B88" s="3" t="n">
        <v>4</v>
      </c>
      <c r="C88" s="3" t="str">
        <f aca="false">IFERROR(INDEX(Decade_Index!$B$25:$B$534,MATCH($A88&amp;"|"&amp;$B88,Decade_Index!$P$25:$P$534,0)),"")</f>
        <v>MIL</v>
      </c>
      <c r="D88" s="5" t="n">
        <f aca="false">IFERROR(INDEX(Decade_Index!$J$25:$J$534,MATCH($A88&amp;"|"&amp;$B88,Decade_Index!$P$25:$P$534,0)),"")</f>
        <v>11.1046008862774</v>
      </c>
      <c r="E88" s="5" t="n">
        <f aca="false">IFERROR(INDEX(Decade_Index!$K$25:$K$534,MATCH($A88&amp;"|"&amp;$B88,Decade_Index!$P$25:$P$534,0)),"")</f>
        <v>9.21856274243831</v>
      </c>
      <c r="F88" s="3" t="n">
        <f aca="false">IFERROR(INDEX(Decade_Index!$L$25:$L$534,MATCH($A88&amp;"|"&amp;$B88,Decade_Index!$P$25:$P$534,0)),"")</f>
        <v>5</v>
      </c>
      <c r="G88" s="3" t="n">
        <f aca="false">IFERROR(INDEX(Decade_Index!$M$25:$M$534,MATCH($A88&amp;"|"&amp;$B88,Decade_Index!$P$25:$P$534,0)),"")</f>
        <v>0</v>
      </c>
    </row>
    <row r="89" customFormat="false" ht="15" hidden="false" customHeight="true" outlineLevel="0" collapsed="false">
      <c r="A89" s="3" t="s">
        <v>25</v>
      </c>
      <c r="B89" s="3" t="n">
        <v>5</v>
      </c>
      <c r="C89" s="3" t="str">
        <f aca="false">IFERROR(INDEX(Decade_Index!$B$25:$B$534,MATCH($A89&amp;"|"&amp;$B89,Decade_Index!$P$25:$P$534,0)),"")</f>
        <v>HOU</v>
      </c>
      <c r="D89" s="5" t="n">
        <f aca="false">IFERROR(INDEX(Decade_Index!$J$25:$J$534,MATCH($A89&amp;"|"&amp;$B89,Decade_Index!$P$25:$P$534,0)),"")</f>
        <v>6.76445281144749</v>
      </c>
      <c r="E89" s="5" t="n">
        <f aca="false">IFERROR(INDEX(Decade_Index!$K$25:$K$534,MATCH($A89&amp;"|"&amp;$B89,Decade_Index!$P$25:$P$534,0)),"")</f>
        <v>9.80966005092692</v>
      </c>
      <c r="F89" s="3" t="n">
        <f aca="false">IFERROR(INDEX(Decade_Index!$L$25:$L$534,MATCH($A89&amp;"|"&amp;$B89,Decade_Index!$P$25:$P$534,0)),"")</f>
        <v>5</v>
      </c>
      <c r="G89" s="3" t="n">
        <f aca="false">IFERROR(INDEX(Decade_Index!$M$25:$M$534,MATCH($A89&amp;"|"&amp;$B89,Decade_Index!$P$25:$P$534,0)),"")</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53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0"/>
    <col collapsed="false" customWidth="true" hidden="false" outlineLevel="0" max="3" min="3" style="1" width="12"/>
    <col collapsed="false" customWidth="true" hidden="false" outlineLevel="0" max="4" min="4" style="1" width="10"/>
    <col collapsed="false" customWidth="true" hidden="false" outlineLevel="0" max="8" min="5" style="1" width="11"/>
    <col collapsed="false" customWidth="true" hidden="false" outlineLevel="0" max="9" min="9" style="1" width="12"/>
    <col collapsed="false" customWidth="true" hidden="false" outlineLevel="0" max="10" min="10" style="1" width="14"/>
    <col collapsed="false" customWidth="true" hidden="false" outlineLevel="0" max="11" min="11" style="1" width="12"/>
    <col collapsed="false" customWidth="true" hidden="false" outlineLevel="0" max="12" min="12" style="1" width="10"/>
    <col collapsed="false" customWidth="true" hidden="false" outlineLevel="0" max="13" min="13" style="1" width="8"/>
    <col collapsed="false" customWidth="true" hidden="false" outlineLevel="0" max="14" min="14" style="1" width="10"/>
    <col collapsed="false" customWidth="true" hidden="false" outlineLevel="0" max="15" min="15" style="1" width="8"/>
    <col collapsed="false" customWidth="true" hidden="false" outlineLevel="0" max="16" min="16" style="1" width="28"/>
  </cols>
  <sheetData>
    <row r="1" customFormat="false" ht="17.25" hidden="false" customHeight="true" outlineLevel="0" collapsed="false">
      <c r="A1" s="2" t="s">
        <v>26</v>
      </c>
    </row>
    <row r="2" customFormat="false" ht="48" hidden="false" customHeight="true" outlineLevel="0" collapsed="false">
      <c r="A2" s="6" t="s">
        <v>27</v>
      </c>
    </row>
    <row r="4" customFormat="false" ht="23.25" hidden="false" customHeight="true" outlineLevel="0" collapsed="false">
      <c r="A4" s="4" t="s">
        <v>2</v>
      </c>
      <c r="B4" s="4" t="s">
        <v>28</v>
      </c>
      <c r="C4" s="4" t="s">
        <v>29</v>
      </c>
      <c r="D4" s="4" t="s">
        <v>30</v>
      </c>
      <c r="E4" s="4" t="s">
        <v>31</v>
      </c>
      <c r="F4" s="4" t="s">
        <v>32</v>
      </c>
      <c r="G4" s="4" t="s">
        <v>33</v>
      </c>
      <c r="H4" s="4" t="s">
        <v>34</v>
      </c>
      <c r="I4" s="4" t="s">
        <v>35</v>
      </c>
      <c r="J4" s="4" t="s">
        <v>36</v>
      </c>
    </row>
    <row r="5" customFormat="false" ht="15" hidden="false" customHeight="true" outlineLevel="0" collapsed="false">
      <c r="A5" s="3" t="s">
        <v>9</v>
      </c>
      <c r="B5" s="7" t="n">
        <v>1900</v>
      </c>
      <c r="C5" s="7" t="n">
        <v>1909</v>
      </c>
      <c r="D5" s="3" t="n">
        <v>2</v>
      </c>
      <c r="E5" s="3" t="n">
        <v>143</v>
      </c>
      <c r="F5" s="8" t="n">
        <f aca="false">SLOPE(Market_Panel!$M$2:$M$143,Market_Panel!$Z$2:$Z$143)</f>
        <v>0.0512084415535414</v>
      </c>
      <c r="G5" s="8" t="n">
        <v>0</v>
      </c>
      <c r="H5" s="8" t="n">
        <v>0</v>
      </c>
      <c r="I5" s="8" t="n">
        <f aca="false">INTERCEPT(Market_Panel!$M$2:$M$143,Market_Panel!$Z$2:$Z$143)</f>
        <v>-2.91055109635891E-018</v>
      </c>
      <c r="J5" s="3" t="s">
        <v>37</v>
      </c>
    </row>
    <row r="6" customFormat="false" ht="15" hidden="false" customHeight="true" outlineLevel="0" collapsed="false">
      <c r="A6" s="3" t="s">
        <v>10</v>
      </c>
      <c r="B6" s="7" t="n">
        <v>1910</v>
      </c>
      <c r="C6" s="7" t="n">
        <v>1919</v>
      </c>
      <c r="D6" s="3" t="n">
        <v>144</v>
      </c>
      <c r="E6" s="3" t="n">
        <v>303</v>
      </c>
      <c r="F6" s="8" t="n">
        <f aca="false">SLOPE(Market_Panel!$M$144:$M$303,Market_Panel!$Z$144:$Z$303)</f>
        <v>0.0307599746485886</v>
      </c>
      <c r="G6" s="8" t="n">
        <v>0</v>
      </c>
      <c r="H6" s="8" t="n">
        <v>0</v>
      </c>
      <c r="I6" s="8" t="n">
        <f aca="false">INTERCEPT(Market_Panel!$M$144:$M$303,Market_Panel!$Z$144:$Z$303)</f>
        <v>-5.63272073729383E-018</v>
      </c>
      <c r="J6" s="3" t="s">
        <v>37</v>
      </c>
    </row>
    <row r="7" customFormat="false" ht="15" hidden="false" customHeight="true" outlineLevel="0" collapsed="false">
      <c r="A7" s="3" t="s">
        <v>11</v>
      </c>
      <c r="B7" s="7" t="n">
        <v>1920</v>
      </c>
      <c r="C7" s="7" t="n">
        <v>1929</v>
      </c>
      <c r="D7" s="3" t="n">
        <v>304</v>
      </c>
      <c r="E7" s="3" t="n">
        <v>463</v>
      </c>
      <c r="F7" s="8" t="n">
        <f aca="false">SLOPE(Market_Panel!$M$304:$M$463,Market_Panel!$Z$304:$Z$463)</f>
        <v>0.0388133832059377</v>
      </c>
      <c r="G7" s="8" t="n">
        <v>0</v>
      </c>
      <c r="H7" s="8" t="n">
        <v>0</v>
      </c>
      <c r="I7" s="8" t="n">
        <f aca="false">INTERCEPT(Market_Panel!$M$304:$M$463,Market_Panel!$Z$304:$Z$463)</f>
        <v>-8.67361737988404E-018</v>
      </c>
      <c r="J7" s="3" t="s">
        <v>37</v>
      </c>
    </row>
    <row r="8" customFormat="false" ht="15" hidden="false" customHeight="true" outlineLevel="0" collapsed="false">
      <c r="A8" s="3" t="s">
        <v>12</v>
      </c>
      <c r="B8" s="7" t="n">
        <v>1930</v>
      </c>
      <c r="C8" s="7" t="n">
        <v>1939</v>
      </c>
      <c r="D8" s="3" t="n">
        <v>464</v>
      </c>
      <c r="E8" s="3" t="n">
        <v>623</v>
      </c>
      <c r="F8" s="8" t="n">
        <f aca="false">SLOPE(Market_Panel!$M$464:$M$623,Market_Panel!$Z$464:$Z$623)</f>
        <v>0.044878731115149</v>
      </c>
      <c r="G8" s="8" t="n">
        <v>0</v>
      </c>
      <c r="H8" s="8" t="n">
        <v>0</v>
      </c>
      <c r="I8" s="8" t="n">
        <f aca="false">INTERCEPT(Market_Panel!$M$464:$M$623,Market_Panel!$Z$464:$Z$623)</f>
        <v>-6.61028029875825E-018</v>
      </c>
      <c r="J8" s="3" t="s">
        <v>37</v>
      </c>
    </row>
    <row r="9" customFormat="false" ht="15" hidden="false" customHeight="true" outlineLevel="0" collapsed="false">
      <c r="A9" s="3" t="s">
        <v>13</v>
      </c>
      <c r="B9" s="7" t="n">
        <v>1940</v>
      </c>
      <c r="C9" s="7" t="n">
        <v>1949</v>
      </c>
      <c r="D9" s="3" t="n">
        <v>624</v>
      </c>
      <c r="E9" s="3" t="n">
        <v>783</v>
      </c>
      <c r="F9" s="8" t="n">
        <f aca="false">SLOPE(Market_Panel!$M$624:$M$783,Market_Panel!$Z$624:$Z$783)</f>
        <v>0.00813558088108194</v>
      </c>
      <c r="G9" s="8" t="n">
        <v>0</v>
      </c>
      <c r="H9" s="8" t="n">
        <v>0</v>
      </c>
      <c r="I9" s="8" t="n">
        <f aca="false">INTERCEPT(Market_Panel!$M$624:$M$783,Market_Panel!$Z$624:$Z$783)</f>
        <v>1.53549256618916E-018</v>
      </c>
      <c r="J9" s="3" t="s">
        <v>37</v>
      </c>
    </row>
    <row r="10" customFormat="false" ht="15" hidden="false" customHeight="true" outlineLevel="0" collapsed="false">
      <c r="A10" s="3" t="s">
        <v>14</v>
      </c>
      <c r="B10" s="7" t="n">
        <v>1950</v>
      </c>
      <c r="C10" s="7" t="n">
        <v>1959</v>
      </c>
      <c r="D10" s="3" t="n">
        <v>784</v>
      </c>
      <c r="E10" s="3" t="n">
        <v>943</v>
      </c>
      <c r="F10" s="8" t="n">
        <f aca="false">SLOPE(Market_Panel!$M$784:$M$943,Market_Panel!$Z$784:$Z$943)</f>
        <v>0.0465778109225203</v>
      </c>
      <c r="G10" s="8" t="n">
        <v>0</v>
      </c>
      <c r="H10" s="8" t="n">
        <v>0</v>
      </c>
      <c r="I10" s="8" t="n">
        <f aca="false">INTERCEPT(Market_Panel!$M$784:$M$943,Market_Panel!$Z$784:$Z$943)</f>
        <v>-9.30811646210744E-018</v>
      </c>
      <c r="J10" s="3" t="s">
        <v>37</v>
      </c>
    </row>
    <row r="11" customFormat="false" ht="15" hidden="false" customHeight="true" outlineLevel="0" collapsed="false">
      <c r="A11" s="3" t="s">
        <v>15</v>
      </c>
      <c r="B11" s="7" t="n">
        <v>1960</v>
      </c>
      <c r="C11" s="7" t="n">
        <v>1969</v>
      </c>
      <c r="D11" s="3" t="n">
        <v>944</v>
      </c>
      <c r="E11" s="3" t="n">
        <v>1141</v>
      </c>
      <c r="F11" s="8" t="n">
        <f aca="false">INDEX(LINEST(Market_Panel!$M$944:$M$1141,Market_Panel!$Z$944:$AA$1141),1,2)</f>
        <v>0.00354903253476451</v>
      </c>
      <c r="G11" s="8" t="n">
        <f aca="false">INDEX(LINEST(Market_Panel!$M$944:$M$1141,Market_Panel!$Z$944:$AA$1141),1,1)</f>
        <v>-0.100341985533131</v>
      </c>
      <c r="H11" s="8" t="n">
        <v>0</v>
      </c>
      <c r="I11" s="8" t="n">
        <f aca="false">INDEX(LINEST(Market_Panel!$M$944:$M$1141,Market_Panel!$Z$944:$AA$1141),1,3)</f>
        <v>0.0192575527790858</v>
      </c>
      <c r="J11" s="3" t="s">
        <v>38</v>
      </c>
    </row>
    <row r="12" customFormat="false" ht="15" hidden="false" customHeight="true" outlineLevel="0" collapsed="false">
      <c r="A12" s="3" t="s">
        <v>16</v>
      </c>
      <c r="B12" s="7" t="n">
        <v>1970</v>
      </c>
      <c r="C12" s="7" t="n">
        <v>1979</v>
      </c>
      <c r="D12" s="3" t="n">
        <v>1142</v>
      </c>
      <c r="E12" s="3" t="n">
        <v>1387</v>
      </c>
      <c r="F12" s="8" t="n">
        <f aca="false">INDEX(LINEST(Market_Panel!$M$1142:$M$1387,Market_Panel!$Z$1142:$AA$1387),1,2)</f>
        <v>-0.00815536658975002</v>
      </c>
      <c r="G12" s="8" t="n">
        <f aca="false">INDEX(LINEST(Market_Panel!$M$1142:$M$1387,Market_Panel!$Z$1142:$AA$1387),1,1)</f>
        <v>-0.0617239038618704</v>
      </c>
      <c r="H12" s="8" t="n">
        <v>0</v>
      </c>
      <c r="I12" s="8" t="n">
        <f aca="false">INDEX(LINEST(Market_Panel!$M$1142:$M$1387,Market_Panel!$Z$1142:$AA$1387),1,3)</f>
        <v>0.0120436885584137</v>
      </c>
      <c r="J12" s="3" t="s">
        <v>38</v>
      </c>
    </row>
    <row r="13" customFormat="false" ht="15" hidden="false" customHeight="true" outlineLevel="0" collapsed="false">
      <c r="A13" s="3" t="s">
        <v>17</v>
      </c>
      <c r="B13" s="7" t="n">
        <v>1980</v>
      </c>
      <c r="C13" s="7" t="n">
        <v>1989</v>
      </c>
      <c r="D13" s="3" t="n">
        <v>1388</v>
      </c>
      <c r="E13" s="3" t="n">
        <v>1647</v>
      </c>
      <c r="F13" s="8" t="n">
        <f aca="false">INDEX(LINEST(Market_Panel!$M$1388:$M$1647,Market_Panel!$Z$1388:$AA$1647),1,2)</f>
        <v>0.0140604678267916</v>
      </c>
      <c r="G13" s="8" t="n">
        <f aca="false">INDEX(LINEST(Market_Panel!$M$1388:$M$1647,Market_Panel!$Z$1388:$AA$1647),1,1)</f>
        <v>-0.0373363069818485</v>
      </c>
      <c r="H13" s="8" t="n">
        <v>0</v>
      </c>
      <c r="I13" s="8" t="n">
        <f aca="false">INDEX(LINEST(Market_Panel!$M$1388:$M$1647,Market_Panel!$Z$1388:$AA$1647),1,3)</f>
        <v>0.00201041652979184</v>
      </c>
      <c r="J13" s="3" t="s">
        <v>38</v>
      </c>
    </row>
    <row r="14" customFormat="false" ht="15" hidden="false" customHeight="true" outlineLevel="0" collapsed="false">
      <c r="A14" s="3" t="s">
        <v>18</v>
      </c>
      <c r="B14" s="7" t="n">
        <v>1990</v>
      </c>
      <c r="C14" s="7" t="n">
        <v>1999</v>
      </c>
      <c r="D14" s="3" t="n">
        <v>1648</v>
      </c>
      <c r="E14" s="3" t="n">
        <v>1925</v>
      </c>
      <c r="F14" s="8" t="n">
        <f aca="false">INDEX(LINEST(Market_Panel!$M$1648:$M$1925,Market_Panel!$Z$1648:$AA$1925),1,2)</f>
        <v>0.00206692095412706</v>
      </c>
      <c r="G14" s="8" t="n">
        <f aca="false">INDEX(LINEST(Market_Panel!$M$1648:$M$1925,Market_Panel!$Z$1648:$AA$1925),1,1)</f>
        <v>-0.0417152875878863</v>
      </c>
      <c r="H14" s="8" t="n">
        <v>0</v>
      </c>
      <c r="I14" s="8" t="n">
        <f aca="false">INDEX(LINEST(Market_Panel!$M$1648:$M$1925,Market_Panel!$Z$1648:$AA$1925),1,3)</f>
        <v>0.00270098984381998</v>
      </c>
      <c r="J14" s="3" t="s">
        <v>38</v>
      </c>
    </row>
    <row r="15" customFormat="false" ht="15" hidden="false" customHeight="true" outlineLevel="0" collapsed="false">
      <c r="A15" s="3" t="s">
        <v>19</v>
      </c>
      <c r="B15" s="7" t="n">
        <v>2000</v>
      </c>
      <c r="C15" s="7" t="n">
        <v>2009</v>
      </c>
      <c r="D15" s="3" t="n">
        <v>1926</v>
      </c>
      <c r="E15" s="3" t="n">
        <v>2225</v>
      </c>
      <c r="F15" s="8" t="n">
        <f aca="false">INDEX(LINEST(Market_Panel!$M$1926:$M$2225,Market_Panel!$Z$1926:$AA$2225),1,2)</f>
        <v>0.0179255103582446</v>
      </c>
      <c r="G15" s="8" t="n">
        <f aca="false">INDEX(LINEST(Market_Panel!$M$1926:$M$2225,Market_Panel!$Z$1926:$AA$2225),1,1)</f>
        <v>-0.0394636340922604</v>
      </c>
      <c r="H15" s="8" t="n">
        <v>0</v>
      </c>
      <c r="I15" s="8" t="n">
        <f aca="false">INDEX(LINEST(Market_Panel!$M$1926:$M$2225,Market_Panel!$Z$1926:$AA$2225),1,3)</f>
        <v>0.00289399983343245</v>
      </c>
      <c r="J15" s="3" t="s">
        <v>38</v>
      </c>
    </row>
    <row r="16" customFormat="false" ht="15" hidden="false" customHeight="true" outlineLevel="0" collapsed="false">
      <c r="A16" s="3" t="s">
        <v>20</v>
      </c>
      <c r="B16" s="7" t="n">
        <v>2010</v>
      </c>
      <c r="C16" s="7" t="n">
        <v>2019</v>
      </c>
      <c r="D16" s="3" t="n">
        <v>2226</v>
      </c>
      <c r="E16" s="3" t="n">
        <v>2525</v>
      </c>
      <c r="F16" s="8" t="n">
        <f aca="false">SLOPE(Market_Panel!$M$2226:$M$2525,Market_Panel!$Z$2226:$Z$2525)</f>
        <v>0.00479719139145245</v>
      </c>
      <c r="G16" s="8" t="n">
        <v>0</v>
      </c>
      <c r="H16" s="8" t="n">
        <v>0</v>
      </c>
      <c r="I16" s="8" t="n">
        <f aca="false">INTERCEPT(Market_Panel!$M$2226:$M$2525,Market_Panel!$Z$2226:$Z$2525)</f>
        <v>-1.07491875393881E-017</v>
      </c>
      <c r="J16" s="3" t="s">
        <v>37</v>
      </c>
    </row>
    <row r="17" customFormat="false" ht="15" hidden="false" customHeight="true" outlineLevel="0" collapsed="false">
      <c r="A17" s="3" t="s">
        <v>21</v>
      </c>
      <c r="B17" s="7" t="n">
        <v>2020</v>
      </c>
      <c r="C17" s="7" t="n">
        <v>2025</v>
      </c>
      <c r="D17" s="3" t="n">
        <v>2526</v>
      </c>
      <c r="E17" s="3" t="n">
        <v>2705</v>
      </c>
      <c r="F17" s="8" t="n">
        <f aca="false">SLOPE(Market_Panel!$M$2526:$M$2705,Market_Panel!$Z$2526:$Z$2705)</f>
        <v>0.0209948584811503</v>
      </c>
      <c r="G17" s="8" t="n">
        <v>0</v>
      </c>
      <c r="H17" s="8" t="n">
        <v>0</v>
      </c>
      <c r="I17" s="8" t="n">
        <f aca="false">INTERCEPT(Market_Panel!$M$2526:$M$2705,Market_Panel!$Z$2526:$Z$2705)</f>
        <v>1.64501563951479E-017</v>
      </c>
      <c r="J17" s="3" t="s">
        <v>37</v>
      </c>
    </row>
    <row r="18" customFormat="false" ht="15" hidden="false" customHeight="true" outlineLevel="0" collapsed="false">
      <c r="A18" s="3" t="s">
        <v>22</v>
      </c>
      <c r="B18" s="7" t="n">
        <v>1990</v>
      </c>
      <c r="C18" s="7" t="n">
        <v>1999</v>
      </c>
      <c r="D18" s="3" t="n">
        <v>1648</v>
      </c>
      <c r="E18" s="3" t="n">
        <v>1925</v>
      </c>
      <c r="F18" s="8" t="n">
        <f aca="false">INDEX(LINEST(Market_Panel!$M$1648:$M$1925,Market_Panel!$AB$1648:$AD$1925),1,3)</f>
        <v>-0.00453654928539083</v>
      </c>
      <c r="G18" s="8" t="n">
        <f aca="false">INDEX(LINEST(Market_Panel!$M$1648:$M$1925,Market_Panel!$AB$1648:$AD$1925),1,1)</f>
        <v>-0.0355238912820481</v>
      </c>
      <c r="H18" s="8" t="n">
        <f aca="false">INDEX(LINEST(Market_Panel!$M$1648:$M$1925,Market_Panel!$AB$1648:$AD$1925),1,2)</f>
        <v>0.0735076774033485</v>
      </c>
      <c r="I18" s="8" t="n">
        <f aca="false">INDEX(LINEST(Market_Panel!$M$1648:$M$1925,Market_Panel!$AB$1648:$AD$1925),1,4)</f>
        <v>0.00230010806862187</v>
      </c>
      <c r="J18" s="3" t="s">
        <v>39</v>
      </c>
    </row>
    <row r="19" customFormat="false" ht="15" hidden="false" customHeight="true" outlineLevel="0" collapsed="false">
      <c r="A19" s="3" t="s">
        <v>23</v>
      </c>
      <c r="B19" s="7" t="n">
        <v>2000</v>
      </c>
      <c r="C19" s="7" t="n">
        <v>2009</v>
      </c>
      <c r="D19" s="3" t="n">
        <v>1926</v>
      </c>
      <c r="E19" s="3" t="n">
        <v>2225</v>
      </c>
      <c r="F19" s="8" t="n">
        <f aca="false">INDEX(LINEST(Market_Panel!$M$1926:$M$2225,Market_Panel!$AB$1926:$AD$2225),1,3)</f>
        <v>-0.00143779432138368</v>
      </c>
      <c r="G19" s="8" t="n">
        <f aca="false">INDEX(LINEST(Market_Panel!$M$1926:$M$2225,Market_Panel!$AB$1926:$AD$2225),1,1)</f>
        <v>-0.0267914489510806</v>
      </c>
      <c r="H19" s="8" t="n">
        <f aca="false">INDEX(LINEST(Market_Panel!$M$1926:$M$2225,Market_Panel!$AB$1926:$AD$2225),1,2)</f>
        <v>0.0705843851598088</v>
      </c>
      <c r="I19" s="8" t="n">
        <f aca="false">INDEX(LINEST(Market_Panel!$M$1926:$M$2225,Market_Panel!$AB$1926:$AD$2225),1,4)</f>
        <v>0.00196470625641256</v>
      </c>
      <c r="J19" s="3" t="s">
        <v>39</v>
      </c>
    </row>
    <row r="20" customFormat="false" ht="15" hidden="false" customHeight="true" outlineLevel="0" collapsed="false">
      <c r="A20" s="3" t="s">
        <v>24</v>
      </c>
      <c r="B20" s="7" t="n">
        <v>2010</v>
      </c>
      <c r="C20" s="7" t="n">
        <v>2019</v>
      </c>
      <c r="D20" s="3" t="n">
        <v>2226</v>
      </c>
      <c r="E20" s="3" t="n">
        <v>2525</v>
      </c>
      <c r="F20" s="8" t="n">
        <f aca="false">INDEX(LINEST(Market_Panel!$M$2226:$M$2525,Market_Panel!$AB$2226:$AC$2525),1,2)</f>
        <v>-0.00713839638622304</v>
      </c>
      <c r="G20" s="8" t="n">
        <v>0</v>
      </c>
      <c r="H20" s="8" t="n">
        <f aca="false">INDEX(LINEST(Market_Panel!$M$2226:$M$2525,Market_Panel!$AB$2226:$AC$2525),1,1)</f>
        <v>0.0719801072787821</v>
      </c>
      <c r="I20" s="8" t="n">
        <f aca="false">INDEX(LINEST(Market_Panel!$M$2226:$M$2525,Market_Panel!$AB$2226:$AC$2525),1,3)</f>
        <v>-2.84205339846403E-017</v>
      </c>
      <c r="J20" s="3" t="s">
        <v>40</v>
      </c>
    </row>
    <row r="21" customFormat="false" ht="15" hidden="false" customHeight="true" outlineLevel="0" collapsed="false">
      <c r="A21" s="3" t="s">
        <v>25</v>
      </c>
      <c r="B21" s="7" t="n">
        <v>2020</v>
      </c>
      <c r="C21" s="7" t="n">
        <v>2025</v>
      </c>
      <c r="D21" s="3" t="n">
        <v>2526</v>
      </c>
      <c r="E21" s="3" t="n">
        <v>2705</v>
      </c>
      <c r="F21" s="8" t="n">
        <f aca="false">INDEX(LINEST(Market_Panel!$M$2526:$M$2705,Market_Panel!$AB$2526:$AC$2705),1,2)</f>
        <v>-0.0122758686984382</v>
      </c>
      <c r="G21" s="8" t="n">
        <v>0</v>
      </c>
      <c r="H21" s="8" t="n">
        <f aca="false">INDEX(LINEST(Market_Panel!$M$2526:$M$2705,Market_Panel!$AB$2526:$AC$2705),1,1)</f>
        <v>0.0840694610905255</v>
      </c>
      <c r="I21" s="8" t="n">
        <f aca="false">INDEX(LINEST(Market_Panel!$M$2526:$M$2705,Market_Panel!$AB$2526:$AC$2705),1,3)</f>
        <v>-1.18573104206487E-017</v>
      </c>
      <c r="J21" s="3" t="s">
        <v>40</v>
      </c>
    </row>
    <row r="23" customFormat="false" ht="15" hidden="false" customHeight="true" outlineLevel="0" collapsed="false">
      <c r="A23" s="9" t="s">
        <v>41</v>
      </c>
    </row>
    <row r="24" customFormat="false" ht="60" hidden="false" customHeight="true" outlineLevel="0" collapsed="false">
      <c r="A24" s="4" t="s">
        <v>2</v>
      </c>
      <c r="B24" s="4" t="s">
        <v>4</v>
      </c>
      <c r="C24" s="4" t="s">
        <v>42</v>
      </c>
      <c r="D24" s="4" t="s">
        <v>43</v>
      </c>
      <c r="E24" s="4" t="s">
        <v>44</v>
      </c>
      <c r="F24" s="4" t="s">
        <v>45</v>
      </c>
      <c r="G24" s="4" t="s">
        <v>46</v>
      </c>
      <c r="H24" s="4" t="s">
        <v>47</v>
      </c>
      <c r="I24" s="4" t="s">
        <v>48</v>
      </c>
      <c r="J24" s="4" t="s">
        <v>49</v>
      </c>
      <c r="K24" s="4" t="s">
        <v>50</v>
      </c>
      <c r="L24" s="4" t="s">
        <v>7</v>
      </c>
      <c r="M24" s="4" t="s">
        <v>8</v>
      </c>
      <c r="N24" s="4" t="s">
        <v>51</v>
      </c>
      <c r="O24" s="4" t="s">
        <v>52</v>
      </c>
      <c r="P24" s="4" t="s">
        <v>53</v>
      </c>
    </row>
    <row r="25" customFormat="false" ht="15" hidden="false" customHeight="true" outlineLevel="0" collapsed="false">
      <c r="A25" s="1" t="s">
        <v>9</v>
      </c>
      <c r="B25" s="7" t="s">
        <v>54</v>
      </c>
      <c r="C25" s="1" t="s">
        <v>55</v>
      </c>
      <c r="D25" s="3" t="n">
        <f aca="false">COUNTIFS(Market_Panel!$A$2:$A$2705,B25,Market_Panel!$B$2:$B$2705,"&gt;="&amp;$B$5,Market_Panel!$B$2:$B$2705,"&lt;="&amp;$C$5)</f>
        <v>9</v>
      </c>
      <c r="E25" s="10" t="n">
        <f aca="false">IF(D25=0,"",AVERAGEIFS(Market_Panel!$M$2:$M$2705,Market_Panel!$A$2:$A$2705,B25,Market_Panel!$B$2:$B$2705,"&gt;="&amp;$B$5,Market_Panel!$B$2:$B$2705,"&lt;="&amp;$C$5))</f>
        <v>-0.104914024532576</v>
      </c>
      <c r="F25" s="11" t="n">
        <f aca="false">IF(D25=0,"",AVERAGEIFS(Market_Panel!$P$2:$P$2705,Market_Panel!$A$2:$A$2705,B25,Market_Panel!$B$2:$B$2705,"&gt;="&amp;$B$5,Market_Panel!$B$2:$B$2705,"&lt;="&amp;$C$5))</f>
        <v>-0.594838818776214</v>
      </c>
      <c r="G25" s="11" t="n">
        <f aca="false">IF(D25=0,"",AVERAGEIFS(Market_Panel!$R$2:$R$2705,Market_Panel!$A$2:$A$2705,B25,Market_Panel!$B$2:$B$2705,"&gt;="&amp;$B$5,Market_Panel!$B$2:$B$2705,"&lt;="&amp;$C$5))</f>
        <v>0</v>
      </c>
      <c r="H25" s="11" t="n">
        <f aca="false">IF(OR(D25=0,$H$5=0),0,AVERAGEIFS(Market_Panel!$Y$2:$Y$2705,Market_Panel!$A$2:$A$2705,B25,Market_Panel!$B$2:$B$2705,"&gt;="&amp;$B$5,Market_Panel!$B$2:$B$2705,"&lt;="&amp;$C$5))</f>
        <v>0</v>
      </c>
      <c r="I25" s="10" t="n">
        <f aca="false">IF(D25=0,"",$I$5+$F$5*F25+$G$5*G25+$H$5*H25)</f>
        <v>-0.0304607688850794</v>
      </c>
      <c r="J25" s="5" t="n">
        <f aca="false">IF(D25&lt;5,"",(E25-I25)*162)</f>
        <v>-12.0614274148945</v>
      </c>
      <c r="K25" s="5" t="n">
        <f aca="false">IF(D25=0,"",E25*162)</f>
        <v>-16.9960719742774</v>
      </c>
      <c r="L25" s="3" t="n">
        <f aca="false">SUMIFS(Seasons!$L$2:$L$2865,Seasons!$A$2:$A$2865,B25,Seasons!$B$2:$B$2865,"&gt;="&amp;$B$5,Seasons!$B$2:$B$2865,"&lt;="&amp;$C$5)</f>
        <v>0</v>
      </c>
      <c r="M25" s="3" t="n">
        <f aca="false">SUMIFS(Seasons!$N$2:$N$2865,Seasons!$A$2:$A$2865,B25,Seasons!$B$2:$B$2865,"&gt;="&amp;$B$5,Seasons!$B$2:$B$2865,"&lt;="&amp;$C$5)</f>
        <v>0</v>
      </c>
      <c r="N25" s="3" t="n">
        <f aca="false">IF(J25="",-1000000,J25+ROW()*0.000000001)</f>
        <v>-12.0614273898945</v>
      </c>
      <c r="O25" s="3" t="n">
        <f aca="false">IF(J25="","",SUMPRODUCT(($A$25:$A$534=A25)*($N$25:$N$534&gt;N25))+1)</f>
        <v>13</v>
      </c>
      <c r="P25" s="3" t="str">
        <f aca="false">A25&amp;"|"&amp;O25</f>
        <v>1900s|13</v>
      </c>
    </row>
    <row r="26" customFormat="false" ht="15" hidden="false" customHeight="true" outlineLevel="0" collapsed="false">
      <c r="A26" s="1" t="s">
        <v>9</v>
      </c>
      <c r="B26" s="7" t="s">
        <v>56</v>
      </c>
      <c r="C26" s="1" t="s">
        <v>55</v>
      </c>
      <c r="D26" s="3" t="n">
        <f aca="false">COUNTIFS(Market_Panel!$A$2:$A$2705,B26,Market_Panel!$B$2:$B$2705,"&gt;="&amp;$B$5,Market_Panel!$B$2:$B$2705,"&lt;="&amp;$C$5)</f>
        <v>9</v>
      </c>
      <c r="E26" s="10" t="n">
        <f aca="false">IF(D26=0,"",AVERAGEIFS(Market_Panel!$M$2:$M$2705,Market_Panel!$A$2:$A$2705,B26,Market_Panel!$B$2:$B$2705,"&gt;="&amp;$B$5,Market_Panel!$B$2:$B$2705,"&lt;="&amp;$C$5))</f>
        <v>0.10700966851123</v>
      </c>
      <c r="F26" s="11" t="n">
        <f aca="false">IF(D26=0,"",AVERAGEIFS(Market_Panel!$P$2:$P$2705,Market_Panel!$A$2:$A$2705,B26,Market_Panel!$B$2:$B$2705,"&gt;="&amp;$B$5,Market_Panel!$B$2:$B$2705,"&lt;="&amp;$C$5))</f>
        <v>0.549844542450858</v>
      </c>
      <c r="G26" s="11" t="n">
        <f aca="false">IF(D26=0,"",AVERAGEIFS(Market_Panel!$R$2:$R$2705,Market_Panel!$A$2:$A$2705,B26,Market_Panel!$B$2:$B$2705,"&gt;="&amp;$B$5,Market_Panel!$B$2:$B$2705,"&lt;="&amp;$C$5))</f>
        <v>0</v>
      </c>
      <c r="H26" s="11" t="n">
        <f aca="false">IF(OR(D26=0,$H$5=0),0,AVERAGEIFS(Market_Panel!$Y$2:$Y$2705,Market_Panel!$A$2:$A$2705,B26,Market_Panel!$B$2:$B$2705,"&gt;="&amp;$B$5,Market_Panel!$B$2:$B$2705,"&lt;="&amp;$C$5))</f>
        <v>0</v>
      </c>
      <c r="I26" s="10" t="n">
        <f aca="false">IF(D26=0,"",$I$5+$F$5*F26+$G$5*G26+$H$5*H26)</f>
        <v>0.0281566821156284</v>
      </c>
      <c r="J26" s="5" t="n">
        <f aca="false">IF(D26&lt;5,"",(E26-I26)*162)</f>
        <v>12.7741837960875</v>
      </c>
      <c r="K26" s="5" t="n">
        <f aca="false">IF(D26=0,"",E26*162)</f>
        <v>17.3355662988193</v>
      </c>
      <c r="L26" s="3" t="n">
        <f aca="false">SUMIFS(Seasons!$L$2:$L$2865,Seasons!$A$2:$A$2865,B26,Seasons!$B$2:$B$2865,"&gt;="&amp;$B$5,Seasons!$B$2:$B$2865,"&lt;="&amp;$C$5)</f>
        <v>3</v>
      </c>
      <c r="M26" s="3" t="n">
        <f aca="false">SUMIFS(Seasons!$N$2:$N$2865,Seasons!$A$2:$A$2865,B26,Seasons!$B$2:$B$2865,"&gt;="&amp;$B$5,Seasons!$B$2:$B$2865,"&lt;="&amp;$C$5)</f>
        <v>2</v>
      </c>
      <c r="N26" s="3" t="n">
        <f aca="false">IF(J26="",-1000000,J26+ROW()*0.000000001)</f>
        <v>12.7741838220875</v>
      </c>
      <c r="O26" s="3" t="n">
        <f aca="false">IF(J26="","",SUMPRODUCT(($A$25:$A$534=A26)*($N$25:$N$534&gt;N26))+1)</f>
        <v>2</v>
      </c>
      <c r="P26" s="3" t="str">
        <f aca="false">A26&amp;"|"&amp;O26</f>
        <v>1900s|2</v>
      </c>
    </row>
    <row r="27" customFormat="false" ht="15" hidden="false" customHeight="true" outlineLevel="0" collapsed="false">
      <c r="A27" s="1" t="s">
        <v>9</v>
      </c>
      <c r="B27" s="7" t="s">
        <v>57</v>
      </c>
      <c r="C27" s="1" t="s">
        <v>55</v>
      </c>
      <c r="D27" s="3" t="n">
        <f aca="false">COUNTIFS(Market_Panel!$A$2:$A$2705,B27,Market_Panel!$B$2:$B$2705,"&gt;="&amp;$B$5,Market_Panel!$B$2:$B$2705,"&lt;="&amp;$C$5)</f>
        <v>9</v>
      </c>
      <c r="E27" s="10" t="n">
        <f aca="false">IF(D27=0,"",AVERAGEIFS(Market_Panel!$M$2:$M$2705,Market_Panel!$A$2:$A$2705,B27,Market_Panel!$B$2:$B$2705,"&gt;="&amp;$B$5,Market_Panel!$B$2:$B$2705,"&lt;="&amp;$C$5))</f>
        <v>-0.0196807623581863</v>
      </c>
      <c r="F27" s="11" t="n">
        <f aca="false">IF(D27=0,"",AVERAGEIFS(Market_Panel!$P$2:$P$2705,Market_Panel!$A$2:$A$2705,B27,Market_Panel!$B$2:$B$2705,"&gt;="&amp;$B$5,Market_Panel!$B$2:$B$2705,"&lt;="&amp;$C$5))</f>
        <v>-0.479217891804147</v>
      </c>
      <c r="G27" s="11" t="n">
        <f aca="false">IF(D27=0,"",AVERAGEIFS(Market_Panel!$R$2:$R$2705,Market_Panel!$A$2:$A$2705,B27,Market_Panel!$B$2:$B$2705,"&gt;="&amp;$B$5,Market_Panel!$B$2:$B$2705,"&lt;="&amp;$C$5))</f>
        <v>0</v>
      </c>
      <c r="H27" s="11" t="n">
        <f aca="false">IF(OR(D27=0,$H$5=0),0,AVERAGEIFS(Market_Panel!$Y$2:$Y$2705,Market_Panel!$A$2:$A$2705,B27,Market_Panel!$B$2:$B$2705,"&gt;="&amp;$B$5,Market_Panel!$B$2:$B$2705,"&lt;="&amp;$C$5))</f>
        <v>0</v>
      </c>
      <c r="I27" s="10" t="n">
        <f aca="false">IF(D27=0,"",$I$5+$F$5*F27+$G$5*G27+$H$5*H27)</f>
        <v>-0.024540001403864</v>
      </c>
      <c r="J27" s="5" t="n">
        <f aca="false">IF(D27&lt;5,"",(E27-I27)*162)</f>
        <v>0.787196725399781</v>
      </c>
      <c r="K27" s="5" t="n">
        <f aca="false">IF(D27=0,"",E27*162)</f>
        <v>-3.18828350202618</v>
      </c>
      <c r="L27" s="3" t="n">
        <f aca="false">SUMIFS(Seasons!$L$2:$L$2865,Seasons!$A$2:$A$2865,B27,Seasons!$B$2:$B$2865,"&gt;="&amp;$B$5,Seasons!$B$2:$B$2865,"&lt;="&amp;$C$5)</f>
        <v>0</v>
      </c>
      <c r="M27" s="3" t="n">
        <f aca="false">SUMIFS(Seasons!$N$2:$N$2865,Seasons!$A$2:$A$2865,B27,Seasons!$B$2:$B$2865,"&gt;="&amp;$B$5,Seasons!$B$2:$B$2865,"&lt;="&amp;$C$5)</f>
        <v>0</v>
      </c>
      <c r="N27" s="3" t="n">
        <f aca="false">IF(J27="",-1000000,J27+ROW()*0.000000001)</f>
        <v>0.787196752399781</v>
      </c>
      <c r="O27" s="3" t="n">
        <f aca="false">IF(J27="","",SUMPRODUCT(($A$25:$A$534=A27)*($N$25:$N$534&gt;N27))+1)</f>
        <v>9</v>
      </c>
      <c r="P27" s="3" t="str">
        <f aca="false">A27&amp;"|"&amp;O27</f>
        <v>1900s|9</v>
      </c>
    </row>
    <row r="28" customFormat="false" ht="15" hidden="false" customHeight="true" outlineLevel="0" collapsed="false">
      <c r="A28" s="1" t="s">
        <v>9</v>
      </c>
      <c r="B28" s="7" t="s">
        <v>58</v>
      </c>
      <c r="C28" s="1" t="s">
        <v>55</v>
      </c>
      <c r="D28" s="3" t="n">
        <f aca="false">COUNTIFS(Market_Panel!$A$2:$A$2705,B28,Market_Panel!$B$2:$B$2705,"&gt;="&amp;$B$5,Market_Panel!$B$2:$B$2705,"&lt;="&amp;$C$5)</f>
        <v>9</v>
      </c>
      <c r="E28" s="10" t="n">
        <f aca="false">IF(D28=0,"",AVERAGEIFS(Market_Panel!$M$2:$M$2705,Market_Panel!$A$2:$A$2705,B28,Market_Panel!$B$2:$B$2705,"&gt;="&amp;$B$5,Market_Panel!$B$2:$B$2705,"&lt;="&amp;$C$5))</f>
        <v>0.142861689912637</v>
      </c>
      <c r="F28" s="11" t="n">
        <f aca="false">IF(D28=0,"",AVERAGEIFS(Market_Panel!$P$2:$P$2705,Market_Panel!$A$2:$A$2705,B28,Market_Panel!$B$2:$B$2705,"&gt;="&amp;$B$5,Market_Panel!$B$2:$B$2705,"&lt;="&amp;$C$5))</f>
        <v>-0.293742953991769</v>
      </c>
      <c r="G28" s="11" t="n">
        <f aca="false">IF(D28=0,"",AVERAGEIFS(Market_Panel!$R$2:$R$2705,Market_Panel!$A$2:$A$2705,B28,Market_Panel!$B$2:$B$2705,"&gt;="&amp;$B$5,Market_Panel!$B$2:$B$2705,"&lt;="&amp;$C$5))</f>
        <v>0</v>
      </c>
      <c r="H28" s="11" t="n">
        <f aca="false">IF(OR(D28=0,$H$5=0),0,AVERAGEIFS(Market_Panel!$Y$2:$Y$2705,Market_Panel!$A$2:$A$2705,B28,Market_Panel!$B$2:$B$2705,"&gt;="&amp;$B$5,Market_Panel!$B$2:$B$2705,"&lt;="&amp;$C$5))</f>
        <v>0</v>
      </c>
      <c r="I28" s="10" t="n">
        <f aca="false">IF(D28=0,"",$I$5+$F$5*F28+$G$5*G28+$H$5*H28)</f>
        <v>-0.0150421188912521</v>
      </c>
      <c r="J28" s="5" t="n">
        <f aca="false">IF(D28&lt;5,"",(E28-I28)*162)</f>
        <v>25.58041702623</v>
      </c>
      <c r="K28" s="5" t="n">
        <f aca="false">IF(D28=0,"",E28*162)</f>
        <v>23.1435937658471</v>
      </c>
      <c r="L28" s="3" t="n">
        <f aca="false">SUMIFS(Seasons!$L$2:$L$2865,Seasons!$A$2:$A$2865,B28,Seasons!$B$2:$B$2865,"&gt;="&amp;$B$5,Seasons!$B$2:$B$2865,"&lt;="&amp;$C$5)</f>
        <v>4</v>
      </c>
      <c r="M28" s="3" t="n">
        <f aca="false">SUMIFS(Seasons!$N$2:$N$2865,Seasons!$A$2:$A$2865,B28,Seasons!$B$2:$B$2865,"&gt;="&amp;$B$5,Seasons!$B$2:$B$2865,"&lt;="&amp;$C$5)</f>
        <v>1</v>
      </c>
      <c r="N28" s="3" t="n">
        <f aca="false">IF(J28="",-1000000,J28+ROW()*0.000000001)</f>
        <v>25.58041705423</v>
      </c>
      <c r="O28" s="3" t="n">
        <f aca="false">IF(J28="","",SUMPRODUCT(($A$25:$A$534=A28)*($N$25:$N$534&gt;N28))+1)</f>
        <v>1</v>
      </c>
      <c r="P28" s="3" t="str">
        <f aca="false">A28&amp;"|"&amp;O28</f>
        <v>1900s|1</v>
      </c>
    </row>
    <row r="29" customFormat="false" ht="15" hidden="false" customHeight="true" outlineLevel="0" collapsed="false">
      <c r="A29" s="1" t="s">
        <v>9</v>
      </c>
      <c r="B29" s="7" t="s">
        <v>59</v>
      </c>
      <c r="C29" s="1" t="s">
        <v>55</v>
      </c>
      <c r="D29" s="3" t="n">
        <f aca="false">COUNTIFS(Market_Panel!$A$2:$A$2705,B29,Market_Panel!$B$2:$B$2705,"&gt;="&amp;$B$5,Market_Panel!$B$2:$B$2705,"&lt;="&amp;$C$5)</f>
        <v>9</v>
      </c>
      <c r="E29" s="10" t="n">
        <f aca="false">IF(D29=0,"",AVERAGEIFS(Market_Panel!$M$2:$M$2705,Market_Panel!$A$2:$A$2705,B29,Market_Panel!$B$2:$B$2705,"&gt;="&amp;$B$5,Market_Panel!$B$2:$B$2705,"&lt;="&amp;$C$5))</f>
        <v>-0.112151001629278</v>
      </c>
      <c r="F29" s="11" t="n">
        <f aca="false">IF(D29=0,"",AVERAGEIFS(Market_Panel!$P$2:$P$2705,Market_Panel!$A$2:$A$2705,B29,Market_Panel!$B$2:$B$2705,"&gt;="&amp;$B$5,Market_Panel!$B$2:$B$2705,"&lt;="&amp;$C$5))</f>
        <v>-0.493081699041609</v>
      </c>
      <c r="G29" s="11" t="n">
        <f aca="false">IF(D29=0,"",AVERAGEIFS(Market_Panel!$R$2:$R$2705,Market_Panel!$A$2:$A$2705,B29,Market_Panel!$B$2:$B$2705,"&gt;="&amp;$B$5,Market_Panel!$B$2:$B$2705,"&lt;="&amp;$C$5))</f>
        <v>0</v>
      </c>
      <c r="H29" s="11" t="n">
        <f aca="false">IF(OR(D29=0,$H$5=0),0,AVERAGEIFS(Market_Panel!$Y$2:$Y$2705,Market_Panel!$A$2:$A$2705,B29,Market_Panel!$B$2:$B$2705,"&gt;="&amp;$B$5,Market_Panel!$B$2:$B$2705,"&lt;="&amp;$C$5))</f>
        <v>0</v>
      </c>
      <c r="I29" s="10" t="n">
        <f aca="false">IF(D29=0,"",$I$5+$F$5*F29+$G$5*G29+$H$5*H29)</f>
        <v>-0.0252499453664931</v>
      </c>
      <c r="J29" s="5" t="n">
        <f aca="false">IF(D29&lt;5,"",(E29-I29)*162)</f>
        <v>-14.0779711145711</v>
      </c>
      <c r="K29" s="5" t="n">
        <f aca="false">IF(D29=0,"",E29*162)</f>
        <v>-18.168462263943</v>
      </c>
      <c r="L29" s="3" t="n">
        <f aca="false">SUMIFS(Seasons!$L$2:$L$2865,Seasons!$A$2:$A$2865,B29,Seasons!$B$2:$B$2865,"&gt;="&amp;$B$5,Seasons!$B$2:$B$2865,"&lt;="&amp;$C$5)</f>
        <v>0</v>
      </c>
      <c r="M29" s="3" t="n">
        <f aca="false">SUMIFS(Seasons!$N$2:$N$2865,Seasons!$A$2:$A$2865,B29,Seasons!$B$2:$B$2865,"&gt;="&amp;$B$5,Seasons!$B$2:$B$2865,"&lt;="&amp;$C$5)</f>
        <v>0</v>
      </c>
      <c r="N29" s="3" t="n">
        <f aca="false">IF(J29="",-1000000,J29+ROW()*0.000000001)</f>
        <v>-14.0779710855711</v>
      </c>
      <c r="O29" s="3" t="n">
        <f aca="false">IF(J29="","",SUMPRODUCT(($A$25:$A$534=A29)*($N$25:$N$534&gt;N29))+1)</f>
        <v>14</v>
      </c>
      <c r="P29" s="3" t="str">
        <f aca="false">A29&amp;"|"&amp;O29</f>
        <v>1900s|14</v>
      </c>
    </row>
    <row r="30" customFormat="false" ht="15" hidden="false" customHeight="true" outlineLevel="0" collapsed="false">
      <c r="A30" s="1" t="s">
        <v>9</v>
      </c>
      <c r="B30" s="7" t="s">
        <v>60</v>
      </c>
      <c r="C30" s="1" t="s">
        <v>55</v>
      </c>
      <c r="D30" s="3" t="n">
        <f aca="false">COUNTIFS(Market_Panel!$A$2:$A$2705,B30,Market_Panel!$B$2:$B$2705,"&gt;="&amp;$B$5,Market_Panel!$B$2:$B$2705,"&lt;="&amp;$C$5)</f>
        <v>9</v>
      </c>
      <c r="E30" s="10" t="n">
        <f aca="false">IF(D30=0,"",AVERAGEIFS(Market_Panel!$M$2:$M$2705,Market_Panel!$A$2:$A$2705,B30,Market_Panel!$B$2:$B$2705,"&gt;="&amp;$B$5,Market_Panel!$B$2:$B$2705,"&lt;="&amp;$C$5))</f>
        <v>-0.0226195637332767</v>
      </c>
      <c r="F30" s="11" t="n">
        <f aca="false">IF(D30=0,"",AVERAGEIFS(Market_Panel!$P$2:$P$2705,Market_Panel!$A$2:$A$2705,B30,Market_Panel!$B$2:$B$2705,"&gt;="&amp;$B$5,Market_Panel!$B$2:$B$2705,"&lt;="&amp;$C$5))</f>
        <v>0.241636409045221</v>
      </c>
      <c r="G30" s="11" t="n">
        <f aca="false">IF(D30=0,"",AVERAGEIFS(Market_Panel!$R$2:$R$2705,Market_Panel!$A$2:$A$2705,B30,Market_Panel!$B$2:$B$2705,"&gt;="&amp;$B$5,Market_Panel!$B$2:$B$2705,"&lt;="&amp;$C$5))</f>
        <v>0</v>
      </c>
      <c r="H30" s="11" t="n">
        <f aca="false">IF(OR(D30=0,$H$5=0),0,AVERAGEIFS(Market_Panel!$Y$2:$Y$2705,Market_Panel!$A$2:$A$2705,B30,Market_Panel!$B$2:$B$2705,"&gt;="&amp;$B$5,Market_Panel!$B$2:$B$2705,"&lt;="&amp;$C$5))</f>
        <v>0</v>
      </c>
      <c r="I30" s="10" t="n">
        <f aca="false">IF(D30=0,"",$I$5+$F$5*F30+$G$5*G30+$H$5*H30)</f>
        <v>0.0123738239297998</v>
      </c>
      <c r="J30" s="5" t="n">
        <f aca="false">IF(D30&lt;5,"",(E30-I30)*162)</f>
        <v>-5.66892880141839</v>
      </c>
      <c r="K30" s="5" t="n">
        <f aca="false">IF(D30=0,"",E30*162)</f>
        <v>-3.66436932479082</v>
      </c>
      <c r="L30" s="3" t="n">
        <f aca="false">SUMIFS(Seasons!$L$2:$L$2865,Seasons!$A$2:$A$2865,B30,Seasons!$B$2:$B$2865,"&gt;="&amp;$B$5,Seasons!$B$2:$B$2865,"&lt;="&amp;$C$5)</f>
        <v>0</v>
      </c>
      <c r="M30" s="3" t="n">
        <f aca="false">SUMIFS(Seasons!$N$2:$N$2865,Seasons!$A$2:$A$2865,B30,Seasons!$B$2:$B$2865,"&gt;="&amp;$B$5,Seasons!$B$2:$B$2865,"&lt;="&amp;$C$5)</f>
        <v>0</v>
      </c>
      <c r="N30" s="3" t="n">
        <f aca="false">IF(J30="",-1000000,J30+ROW()*0.000000001)</f>
        <v>-5.66892877141839</v>
      </c>
      <c r="O30" s="3" t="n">
        <f aca="false">IF(J30="","",SUMPRODUCT(($A$25:$A$534=A30)*($N$25:$N$534&gt;N30))+1)</f>
        <v>11</v>
      </c>
      <c r="P30" s="3" t="str">
        <f aca="false">A30&amp;"|"&amp;O30</f>
        <v>1900s|11</v>
      </c>
    </row>
    <row r="31" customFormat="false" ht="15" hidden="false" customHeight="true" outlineLevel="0" collapsed="false">
      <c r="A31" s="1" t="s">
        <v>9</v>
      </c>
      <c r="B31" s="7" t="s">
        <v>61</v>
      </c>
      <c r="C31" s="1" t="s">
        <v>55</v>
      </c>
      <c r="D31" s="3" t="n">
        <f aca="false">COUNTIFS(Market_Panel!$A$2:$A$2705,B31,Market_Panel!$B$2:$B$2705,"&gt;="&amp;$B$5,Market_Panel!$B$2:$B$2705,"&lt;="&amp;$C$5)</f>
        <v>9</v>
      </c>
      <c r="E31" s="10" t="n">
        <f aca="false">IF(D31=0,"",AVERAGEIFS(Market_Panel!$M$2:$M$2705,Market_Panel!$A$2:$A$2705,B31,Market_Panel!$B$2:$B$2705,"&gt;="&amp;$B$5,Market_Panel!$B$2:$B$2705,"&lt;="&amp;$C$5))</f>
        <v>0.0681655237995604</v>
      </c>
      <c r="F31" s="11" t="n">
        <f aca="false">IF(D31=0,"",AVERAGEIFS(Market_Panel!$P$2:$P$2705,Market_Panel!$A$2:$A$2705,B31,Market_Panel!$B$2:$B$2705,"&gt;="&amp;$B$5,Market_Panel!$B$2:$B$2705,"&lt;="&amp;$C$5))</f>
        <v>0.976890490022652</v>
      </c>
      <c r="G31" s="11" t="n">
        <f aca="false">IF(D31=0,"",AVERAGEIFS(Market_Panel!$R$2:$R$2705,Market_Panel!$A$2:$A$2705,B31,Market_Panel!$B$2:$B$2705,"&gt;="&amp;$B$5,Market_Panel!$B$2:$B$2705,"&lt;="&amp;$C$5))</f>
        <v>0</v>
      </c>
      <c r="H31" s="11" t="n">
        <f aca="false">IF(OR(D31=0,$H$5=0),0,AVERAGEIFS(Market_Panel!$Y$2:$Y$2705,Market_Panel!$A$2:$A$2705,B31,Market_Panel!$B$2:$B$2705,"&gt;="&amp;$B$5,Market_Panel!$B$2:$B$2705,"&lt;="&amp;$C$5))</f>
        <v>0</v>
      </c>
      <c r="I31" s="10" t="n">
        <f aca="false">IF(D31=0,"",$I$5+$F$5*F31+$G$5*G31+$H$5*H31)</f>
        <v>0.0500250395625354</v>
      </c>
      <c r="J31" s="5" t="n">
        <f aca="false">IF(D31&lt;5,"",(E31-I31)*162)</f>
        <v>2.93875844639806</v>
      </c>
      <c r="K31" s="5" t="n">
        <f aca="false">IF(D31=0,"",E31*162)</f>
        <v>11.0428148555288</v>
      </c>
      <c r="L31" s="3" t="n">
        <f aca="false">SUMIFS(Seasons!$L$2:$L$2865,Seasons!$A$2:$A$2865,B31,Seasons!$B$2:$B$2865,"&gt;="&amp;$B$5,Seasons!$B$2:$B$2865,"&lt;="&amp;$C$5)</f>
        <v>2</v>
      </c>
      <c r="M31" s="3" t="n">
        <f aca="false">SUMIFS(Seasons!$N$2:$N$2865,Seasons!$A$2:$A$2865,B31,Seasons!$B$2:$B$2865,"&gt;="&amp;$B$5,Seasons!$B$2:$B$2865,"&lt;="&amp;$C$5)</f>
        <v>1</v>
      </c>
      <c r="N31" s="3" t="n">
        <f aca="false">IF(J31="",-1000000,J31+ROW()*0.000000001)</f>
        <v>2.93875847739806</v>
      </c>
      <c r="O31" s="3" t="n">
        <f aca="false">IF(J31="","",SUMPRODUCT(($A$25:$A$534=A31)*($N$25:$N$534&gt;N31))+1)</f>
        <v>8</v>
      </c>
      <c r="P31" s="3" t="str">
        <f aca="false">A31&amp;"|"&amp;O31</f>
        <v>1900s|8</v>
      </c>
    </row>
    <row r="32" customFormat="false" ht="15" hidden="false" customHeight="true" outlineLevel="0" collapsed="false">
      <c r="A32" s="1" t="s">
        <v>9</v>
      </c>
      <c r="B32" s="7" t="s">
        <v>62</v>
      </c>
      <c r="C32" s="1" t="s">
        <v>55</v>
      </c>
      <c r="D32" s="3" t="n">
        <f aca="false">COUNTIFS(Market_Panel!$A$2:$A$2705,B32,Market_Panel!$B$2:$B$2705,"&gt;="&amp;$B$5,Market_Panel!$B$2:$B$2705,"&lt;="&amp;$C$5)</f>
        <v>9</v>
      </c>
      <c r="E32" s="10" t="n">
        <f aca="false">IF(D32=0,"",AVERAGEIFS(Market_Panel!$M$2:$M$2705,Market_Panel!$A$2:$A$2705,B32,Market_Panel!$B$2:$B$2705,"&gt;="&amp;$B$5,Market_Panel!$B$2:$B$2705,"&lt;="&amp;$C$5))</f>
        <v>-0.0677456422509678</v>
      </c>
      <c r="F32" s="11" t="n">
        <f aca="false">IF(D32=0,"",AVERAGEIFS(Market_Panel!$P$2:$P$2705,Market_Panel!$A$2:$A$2705,B32,Market_Panel!$B$2:$B$2705,"&gt;="&amp;$B$5,Market_Panel!$B$2:$B$2705,"&lt;="&amp;$C$5))</f>
        <v>0.976890490022652</v>
      </c>
      <c r="G32" s="11" t="n">
        <f aca="false">IF(D32=0,"",AVERAGEIFS(Market_Panel!$R$2:$R$2705,Market_Panel!$A$2:$A$2705,B32,Market_Panel!$B$2:$B$2705,"&gt;="&amp;$B$5,Market_Panel!$B$2:$B$2705,"&lt;="&amp;$C$5))</f>
        <v>0</v>
      </c>
      <c r="H32" s="11" t="n">
        <f aca="false">IF(OR(D32=0,$H$5=0),0,AVERAGEIFS(Market_Panel!$Y$2:$Y$2705,Market_Panel!$A$2:$A$2705,B32,Market_Panel!$B$2:$B$2705,"&gt;="&amp;$B$5,Market_Panel!$B$2:$B$2705,"&lt;="&amp;$C$5))</f>
        <v>0</v>
      </c>
      <c r="I32" s="10" t="n">
        <f aca="false">IF(D32=0,"",$I$5+$F$5*F32+$G$5*G32+$H$5*H32)</f>
        <v>0.0500250395625354</v>
      </c>
      <c r="J32" s="5" t="n">
        <f aca="false">IF(D32&lt;5,"",(E32-I32)*162)</f>
        <v>-19.0788504537875</v>
      </c>
      <c r="K32" s="5" t="n">
        <f aca="false">IF(D32=0,"",E32*162)</f>
        <v>-10.9747940446568</v>
      </c>
      <c r="L32" s="3" t="n">
        <f aca="false">SUMIFS(Seasons!$L$2:$L$2865,Seasons!$A$2:$A$2865,B32,Seasons!$B$2:$B$2865,"&gt;="&amp;$B$5,Seasons!$B$2:$B$2865,"&lt;="&amp;$C$5)</f>
        <v>1</v>
      </c>
      <c r="M32" s="3" t="n">
        <f aca="false">SUMIFS(Seasons!$N$2:$N$2865,Seasons!$A$2:$A$2865,B32,Seasons!$B$2:$B$2865,"&gt;="&amp;$B$5,Seasons!$B$2:$B$2865,"&lt;="&amp;$C$5)</f>
        <v>0</v>
      </c>
      <c r="N32" s="3" t="n">
        <f aca="false">IF(J32="",-1000000,J32+ROW()*0.000000001)</f>
        <v>-19.0788504217875</v>
      </c>
      <c r="O32" s="3" t="n">
        <f aca="false">IF(J32="","",SUMPRODUCT(($A$25:$A$534=A32)*($N$25:$N$534&gt;N32))+1)</f>
        <v>16</v>
      </c>
      <c r="P32" s="3" t="str">
        <f aca="false">A32&amp;"|"&amp;O32</f>
        <v>1900s|16</v>
      </c>
    </row>
    <row r="33" customFormat="false" ht="15" hidden="false" customHeight="true" outlineLevel="0" collapsed="false">
      <c r="A33" s="1" t="s">
        <v>9</v>
      </c>
      <c r="B33" s="7" t="s">
        <v>63</v>
      </c>
      <c r="C33" s="1" t="s">
        <v>55</v>
      </c>
      <c r="D33" s="3" t="n">
        <f aca="false">COUNTIFS(Market_Panel!$A$2:$A$2705,B33,Market_Panel!$B$2:$B$2705,"&gt;="&amp;$B$5,Market_Panel!$B$2:$B$2705,"&lt;="&amp;$C$5)</f>
        <v>9</v>
      </c>
      <c r="E33" s="10" t="n">
        <f aca="false">IF(D33=0,"",AVERAGEIFS(Market_Panel!$M$2:$M$2705,Market_Panel!$A$2:$A$2705,B33,Market_Panel!$B$2:$B$2705,"&gt;="&amp;$B$5,Market_Panel!$B$2:$B$2705,"&lt;="&amp;$C$5))</f>
        <v>-0.0465317439020382</v>
      </c>
      <c r="F33" s="11" t="n">
        <f aca="false">IF(D33=0,"",AVERAGEIFS(Market_Panel!$P$2:$P$2705,Market_Panel!$A$2:$A$2705,B33,Market_Panel!$B$2:$B$2705,"&gt;="&amp;$B$5,Market_Panel!$B$2:$B$2705,"&lt;="&amp;$C$5))</f>
        <v>-0.569961848471138</v>
      </c>
      <c r="G33" s="11" t="n">
        <f aca="false">IF(D33=0,"",AVERAGEIFS(Market_Panel!$R$2:$R$2705,Market_Panel!$A$2:$A$2705,B33,Market_Panel!$B$2:$B$2705,"&gt;="&amp;$B$5,Market_Panel!$B$2:$B$2705,"&lt;="&amp;$C$5))</f>
        <v>0</v>
      </c>
      <c r="H33" s="11" t="n">
        <f aca="false">IF(OR(D33=0,$H$5=0),0,AVERAGEIFS(Market_Panel!$Y$2:$Y$2705,Market_Panel!$A$2:$A$2705,B33,Market_Panel!$B$2:$B$2705,"&gt;="&amp;$B$5,Market_Panel!$B$2:$B$2705,"&lt;="&amp;$C$5))</f>
        <v>0</v>
      </c>
      <c r="I33" s="10" t="n">
        <f aca="false">IF(D33=0,"",$I$5+$F$5*F33+$G$5*G33+$H$5*H33)</f>
        <v>-0.0291868580051827</v>
      </c>
      <c r="J33" s="5" t="n">
        <f aca="false">IF(D33&lt;5,"",(E33-I33)*162)</f>
        <v>-2.80987151529059</v>
      </c>
      <c r="K33" s="5" t="n">
        <f aca="false">IF(D33=0,"",E33*162)</f>
        <v>-7.53814251213019</v>
      </c>
      <c r="L33" s="3" t="n">
        <f aca="false">SUMIFS(Seasons!$L$2:$L$2865,Seasons!$A$2:$A$2865,B33,Seasons!$B$2:$B$2865,"&gt;="&amp;$B$5,Seasons!$B$2:$B$2865,"&lt;="&amp;$C$5)</f>
        <v>0</v>
      </c>
      <c r="M33" s="3" t="n">
        <f aca="false">SUMIFS(Seasons!$N$2:$N$2865,Seasons!$A$2:$A$2865,B33,Seasons!$B$2:$B$2865,"&gt;="&amp;$B$5,Seasons!$B$2:$B$2865,"&lt;="&amp;$C$5)</f>
        <v>0</v>
      </c>
      <c r="N33" s="3" t="n">
        <f aca="false">IF(J33="",-1000000,J33+ROW()*0.000000001)</f>
        <v>-2.80987148229059</v>
      </c>
      <c r="O33" s="3" t="n">
        <f aca="false">IF(J33="","",SUMPRODUCT(($A$25:$A$534=A33)*($N$25:$N$534&gt;N33))+1)</f>
        <v>10</v>
      </c>
      <c r="P33" s="3" t="str">
        <f aca="false">A33&amp;"|"&amp;O33</f>
        <v>1900s|10</v>
      </c>
    </row>
    <row r="34" customFormat="false" ht="15" hidden="false" customHeight="true" outlineLevel="0" collapsed="false">
      <c r="A34" s="1" t="s">
        <v>9</v>
      </c>
      <c r="B34" s="7" t="s">
        <v>64</v>
      </c>
      <c r="C34" s="1" t="s">
        <v>55</v>
      </c>
      <c r="D34" s="3" t="n">
        <f aca="false">COUNTIFS(Market_Panel!$A$2:$A$2705,B34,Market_Panel!$B$2:$B$2705,"&gt;="&amp;$B$5,Market_Panel!$B$2:$B$2705,"&lt;="&amp;$C$5)</f>
        <v>9</v>
      </c>
      <c r="E34" s="10" t="n">
        <f aca="false">IF(D34=0,"",AVERAGEIFS(Market_Panel!$M$2:$M$2705,Market_Panel!$A$2:$A$2705,B34,Market_Panel!$B$2:$B$2705,"&gt;="&amp;$B$5,Market_Panel!$B$2:$B$2705,"&lt;="&amp;$C$5))</f>
        <v>0.0231915956335169</v>
      </c>
      <c r="F34" s="11" t="n">
        <f aca="false">IF(D34=0,"",AVERAGEIFS(Market_Panel!$P$2:$P$2705,Market_Panel!$A$2:$A$2705,B34,Market_Panel!$B$2:$B$2705,"&gt;="&amp;$B$5,Market_Panel!$B$2:$B$2705,"&lt;="&amp;$C$5))</f>
        <v>-0.594838818776214</v>
      </c>
      <c r="G34" s="11" t="n">
        <f aca="false">IF(D34=0,"",AVERAGEIFS(Market_Panel!$R$2:$R$2705,Market_Panel!$A$2:$A$2705,B34,Market_Panel!$B$2:$B$2705,"&gt;="&amp;$B$5,Market_Panel!$B$2:$B$2705,"&lt;="&amp;$C$5))</f>
        <v>0</v>
      </c>
      <c r="H34" s="11" t="n">
        <f aca="false">IF(OR(D34=0,$H$5=0),0,AVERAGEIFS(Market_Panel!$Y$2:$Y$2705,Market_Panel!$A$2:$A$2705,B34,Market_Panel!$B$2:$B$2705,"&gt;="&amp;$B$5,Market_Panel!$B$2:$B$2705,"&lt;="&amp;$C$5))</f>
        <v>0</v>
      </c>
      <c r="I34" s="10" t="n">
        <f aca="false">IF(D34=0,"",$I$5+$F$5*F34+$G$5*G34+$H$5*H34)</f>
        <v>-0.0304607688850794</v>
      </c>
      <c r="J34" s="5" t="n">
        <f aca="false">IF(D34&lt;5,"",(E34-I34)*162)</f>
        <v>8.69168305201259</v>
      </c>
      <c r="K34" s="5" t="n">
        <f aca="false">IF(D34=0,"",E34*162)</f>
        <v>3.75703849262973</v>
      </c>
      <c r="L34" s="3" t="n">
        <f aca="false">SUMIFS(Seasons!$L$2:$L$2865,Seasons!$A$2:$A$2865,B34,Seasons!$B$2:$B$2865,"&gt;="&amp;$B$5,Seasons!$B$2:$B$2865,"&lt;="&amp;$C$5)</f>
        <v>2</v>
      </c>
      <c r="M34" s="3" t="n">
        <f aca="false">SUMIFS(Seasons!$N$2:$N$2865,Seasons!$A$2:$A$2865,B34,Seasons!$B$2:$B$2865,"&gt;="&amp;$B$5,Seasons!$B$2:$B$2865,"&lt;="&amp;$C$5)</f>
        <v>1</v>
      </c>
      <c r="N34" s="3" t="n">
        <f aca="false">IF(J34="",-1000000,J34+ROW()*0.000000001)</f>
        <v>8.69168308601259</v>
      </c>
      <c r="O34" s="3" t="n">
        <f aca="false">IF(J34="","",SUMPRODUCT(($A$25:$A$534=A34)*($N$25:$N$534&gt;N34))+1)</f>
        <v>3</v>
      </c>
      <c r="P34" s="3" t="str">
        <f aca="false">A34&amp;"|"&amp;O34</f>
        <v>1900s|3</v>
      </c>
    </row>
    <row r="35" customFormat="false" ht="15" hidden="false" customHeight="true" outlineLevel="0" collapsed="false">
      <c r="A35" s="1" t="s">
        <v>9</v>
      </c>
      <c r="B35" s="7" t="s">
        <v>65</v>
      </c>
      <c r="C35" s="1" t="s">
        <v>55</v>
      </c>
      <c r="D35" s="3" t="n">
        <f aca="false">COUNTIFS(Market_Panel!$A$2:$A$2705,B35,Market_Panel!$B$2:$B$2705,"&gt;="&amp;$B$5,Market_Panel!$B$2:$B$2705,"&lt;="&amp;$C$5)</f>
        <v>9</v>
      </c>
      <c r="E35" s="10" t="n">
        <f aca="false">IF(D35=0,"",AVERAGEIFS(Market_Panel!$M$2:$M$2705,Market_Panel!$A$2:$A$2705,B35,Market_Panel!$B$2:$B$2705,"&gt;="&amp;$B$5,Market_Panel!$B$2:$B$2705,"&lt;="&amp;$C$5))</f>
        <v>0.0622466779175636</v>
      </c>
      <c r="F35" s="11" t="n">
        <f aca="false">IF(D35=0,"",AVERAGEIFS(Market_Panel!$P$2:$P$2705,Market_Panel!$A$2:$A$2705,B35,Market_Panel!$B$2:$B$2705,"&gt;="&amp;$B$5,Market_Panel!$B$2:$B$2705,"&lt;="&amp;$C$5))</f>
        <v>0.549844542450858</v>
      </c>
      <c r="G35" s="11" t="n">
        <f aca="false">IF(D35=0,"",AVERAGEIFS(Market_Panel!$R$2:$R$2705,Market_Panel!$A$2:$A$2705,B35,Market_Panel!$B$2:$B$2705,"&gt;="&amp;$B$5,Market_Panel!$B$2:$B$2705,"&lt;="&amp;$C$5))</f>
        <v>0</v>
      </c>
      <c r="H35" s="11" t="n">
        <f aca="false">IF(OR(D35=0,$H$5=0),0,AVERAGEIFS(Market_Panel!$Y$2:$Y$2705,Market_Panel!$A$2:$A$2705,B35,Market_Panel!$B$2:$B$2705,"&gt;="&amp;$B$5,Market_Panel!$B$2:$B$2705,"&lt;="&amp;$C$5))</f>
        <v>0</v>
      </c>
      <c r="I35" s="10" t="n">
        <f aca="false">IF(D35=0,"",$I$5+$F$5*F35+$G$5*G35+$H$5*H35)</f>
        <v>0.0281566821156284</v>
      </c>
      <c r="J35" s="5" t="n">
        <f aca="false">IF(D35&lt;5,"",(E35-I35)*162)</f>
        <v>5.52257931991349</v>
      </c>
      <c r="K35" s="5" t="n">
        <f aca="false">IF(D35=0,"",E35*162)</f>
        <v>10.0839618226453</v>
      </c>
      <c r="L35" s="3" t="n">
        <f aca="false">SUMIFS(Seasons!$L$2:$L$2865,Seasons!$A$2:$A$2865,B35,Seasons!$B$2:$B$2865,"&gt;="&amp;$B$5,Seasons!$B$2:$B$2865,"&lt;="&amp;$C$5)</f>
        <v>2</v>
      </c>
      <c r="M35" s="3" t="n">
        <f aca="false">SUMIFS(Seasons!$N$2:$N$2865,Seasons!$A$2:$A$2865,B35,Seasons!$B$2:$B$2865,"&gt;="&amp;$B$5,Seasons!$B$2:$B$2865,"&lt;="&amp;$C$5)</f>
        <v>1</v>
      </c>
      <c r="N35" s="3" t="n">
        <f aca="false">IF(J35="",-1000000,J35+ROW()*0.000000001)</f>
        <v>5.52257935491349</v>
      </c>
      <c r="O35" s="3" t="n">
        <f aca="false">IF(J35="","",SUMPRODUCT(($A$25:$A$534=A35)*($N$25:$N$534&gt;N35))+1)</f>
        <v>6</v>
      </c>
      <c r="P35" s="3" t="str">
        <f aca="false">A35&amp;"|"&amp;O35</f>
        <v>1900s|6</v>
      </c>
    </row>
    <row r="36" customFormat="false" ht="15" hidden="false" customHeight="true" outlineLevel="0" collapsed="false">
      <c r="A36" s="1" t="s">
        <v>9</v>
      </c>
      <c r="B36" s="7" t="s">
        <v>66</v>
      </c>
      <c r="C36" s="1" t="s">
        <v>55</v>
      </c>
      <c r="D36" s="3" t="n">
        <f aca="false">COUNTIFS(Market_Panel!$A$2:$A$2705,B36,Market_Panel!$B$2:$B$2705,"&gt;="&amp;$B$5,Market_Panel!$B$2:$B$2705,"&lt;="&amp;$C$5)</f>
        <v>9</v>
      </c>
      <c r="E36" s="10" t="n">
        <f aca="false">IF(D36=0,"",AVERAGEIFS(Market_Panel!$M$2:$M$2705,Market_Panel!$A$2:$A$2705,B36,Market_Panel!$B$2:$B$2705,"&gt;="&amp;$B$5,Market_Panel!$B$2:$B$2705,"&lt;="&amp;$C$5))</f>
        <v>0.0221355467695422</v>
      </c>
      <c r="F36" s="11" t="n">
        <f aca="false">IF(D36=0,"",AVERAGEIFS(Market_Panel!$P$2:$P$2705,Market_Panel!$A$2:$A$2705,B36,Market_Panel!$B$2:$B$2705,"&gt;="&amp;$B$5,Market_Panel!$B$2:$B$2705,"&lt;="&amp;$C$5))</f>
        <v>-0.183564504766232</v>
      </c>
      <c r="G36" s="11" t="n">
        <f aca="false">IF(D36=0,"",AVERAGEIFS(Market_Panel!$R$2:$R$2705,Market_Panel!$A$2:$A$2705,B36,Market_Panel!$B$2:$B$2705,"&gt;="&amp;$B$5,Market_Panel!$B$2:$B$2705,"&lt;="&amp;$C$5))</f>
        <v>0</v>
      </c>
      <c r="H36" s="11" t="n">
        <f aca="false">IF(OR(D36=0,$H$5=0),0,AVERAGEIFS(Market_Panel!$Y$2:$Y$2705,Market_Panel!$A$2:$A$2705,B36,Market_Panel!$B$2:$B$2705,"&gt;="&amp;$B$5,Market_Panel!$B$2:$B$2705,"&lt;="&amp;$C$5))</f>
        <v>0</v>
      </c>
      <c r="I36" s="10" t="n">
        <f aca="false">IF(D36=0,"",$I$5+$F$5*F36+$G$5*G36+$H$5*H36)</f>
        <v>-0.00940005221362637</v>
      </c>
      <c r="J36" s="5" t="n">
        <f aca="false">IF(D36&lt;5,"",(E36-I36)*162)</f>
        <v>5.10876703527331</v>
      </c>
      <c r="K36" s="5" t="n">
        <f aca="false">IF(D36=0,"",E36*162)</f>
        <v>3.58595857666584</v>
      </c>
      <c r="L36" s="3" t="n">
        <f aca="false">SUMIFS(Seasons!$L$2:$L$2865,Seasons!$A$2:$A$2865,B36,Seasons!$B$2:$B$2865,"&gt;="&amp;$B$5,Seasons!$B$2:$B$2865,"&lt;="&amp;$C$5)</f>
        <v>0</v>
      </c>
      <c r="M36" s="3" t="n">
        <f aca="false">SUMIFS(Seasons!$N$2:$N$2865,Seasons!$A$2:$A$2865,B36,Seasons!$B$2:$B$2865,"&gt;="&amp;$B$5,Seasons!$B$2:$B$2865,"&lt;="&amp;$C$5)</f>
        <v>0</v>
      </c>
      <c r="N36" s="3" t="n">
        <f aca="false">IF(J36="",-1000000,J36+ROW()*0.000000001)</f>
        <v>5.10876707127331</v>
      </c>
      <c r="O36" s="3" t="n">
        <f aca="false">IF(J36="","",SUMPRODUCT(($A$25:$A$534=A36)*($N$25:$N$534&gt;N36))+1)</f>
        <v>7</v>
      </c>
      <c r="P36" s="3" t="str">
        <f aca="false">A36&amp;"|"&amp;O36</f>
        <v>1900s|7</v>
      </c>
    </row>
    <row r="37" customFormat="false" ht="15" hidden="false" customHeight="true" outlineLevel="0" collapsed="false">
      <c r="A37" s="1" t="s">
        <v>9</v>
      </c>
      <c r="B37" s="7" t="s">
        <v>67</v>
      </c>
      <c r="C37" s="1" t="s">
        <v>55</v>
      </c>
      <c r="D37" s="3" t="n">
        <f aca="false">COUNTIFS(Market_Panel!$A$2:$A$2705,B37,Market_Panel!$B$2:$B$2705,"&gt;="&amp;$B$5,Market_Panel!$B$2:$B$2705,"&lt;="&amp;$C$5)</f>
        <v>9</v>
      </c>
      <c r="E37" s="10" t="n">
        <f aca="false">IF(D37=0,"",AVERAGEIFS(Market_Panel!$M$2:$M$2705,Market_Panel!$A$2:$A$2705,B37,Market_Panel!$B$2:$B$2705,"&gt;="&amp;$B$5,Market_Panel!$B$2:$B$2705,"&lt;="&amp;$C$5))</f>
        <v>0.0167457940835058</v>
      </c>
      <c r="F37" s="11" t="n">
        <f aca="false">IF(D37=0,"",AVERAGEIFS(Market_Panel!$P$2:$P$2705,Market_Panel!$A$2:$A$2705,B37,Market_Panel!$B$2:$B$2705,"&gt;="&amp;$B$5,Market_Panel!$B$2:$B$2705,"&lt;="&amp;$C$5))</f>
        <v>-0.421211221941167</v>
      </c>
      <c r="G37" s="11" t="n">
        <f aca="false">IF(D37=0,"",AVERAGEIFS(Market_Panel!$R$2:$R$2705,Market_Panel!$A$2:$A$2705,B37,Market_Panel!$B$2:$B$2705,"&gt;="&amp;$B$5,Market_Panel!$B$2:$B$2705,"&lt;="&amp;$C$5))</f>
        <v>0</v>
      </c>
      <c r="H37" s="11" t="n">
        <f aca="false">IF(OR(D37=0,$H$5=0),0,AVERAGEIFS(Market_Panel!$Y$2:$Y$2705,Market_Panel!$A$2:$A$2705,B37,Market_Panel!$B$2:$B$2705,"&gt;="&amp;$B$5,Market_Panel!$B$2:$B$2705,"&lt;="&amp;$C$5))</f>
        <v>0</v>
      </c>
      <c r="I37" s="10" t="n">
        <f aca="false">IF(D37=0,"",$I$5+$F$5*F37+$G$5*G37+$H$5*H37)</f>
        <v>-0.02156957024047</v>
      </c>
      <c r="J37" s="5" t="n">
        <f aca="false">IF(D37&lt;5,"",(E37-I37)*162)</f>
        <v>6.20708902048408</v>
      </c>
      <c r="K37" s="5" t="n">
        <f aca="false">IF(D37=0,"",E37*162)</f>
        <v>2.71281864152794</v>
      </c>
      <c r="L37" s="3" t="n">
        <f aca="false">SUMIFS(Seasons!$L$2:$L$2865,Seasons!$A$2:$A$2865,B37,Seasons!$B$2:$B$2865,"&gt;="&amp;$B$5,Seasons!$B$2:$B$2865,"&lt;="&amp;$C$5)</f>
        <v>3</v>
      </c>
      <c r="M37" s="3" t="n">
        <f aca="false">SUMIFS(Seasons!$N$2:$N$2865,Seasons!$A$2:$A$2865,B37,Seasons!$B$2:$B$2865,"&gt;="&amp;$B$5,Seasons!$B$2:$B$2865,"&lt;="&amp;$C$5)</f>
        <v>0</v>
      </c>
      <c r="N37" s="3" t="n">
        <f aca="false">IF(J37="",-1000000,J37+ROW()*0.000000001)</f>
        <v>6.20708905748408</v>
      </c>
      <c r="O37" s="3" t="n">
        <f aca="false">IF(J37="","",SUMPRODUCT(($A$25:$A$534=A37)*($N$25:$N$534&gt;N37))+1)</f>
        <v>5</v>
      </c>
      <c r="P37" s="3" t="str">
        <f aca="false">A37&amp;"|"&amp;O37</f>
        <v>1900s|5</v>
      </c>
    </row>
    <row r="38" customFormat="false" ht="15" hidden="false" customHeight="true" outlineLevel="0" collapsed="false">
      <c r="A38" s="1" t="s">
        <v>9</v>
      </c>
      <c r="B38" s="7" t="s">
        <v>68</v>
      </c>
      <c r="C38" s="1" t="s">
        <v>55</v>
      </c>
      <c r="D38" s="3" t="n">
        <f aca="false">COUNTIFS(Market_Panel!$A$2:$A$2705,B38,Market_Panel!$B$2:$B$2705,"&gt;="&amp;$B$5,Market_Panel!$B$2:$B$2705,"&lt;="&amp;$C$5)</f>
        <v>9</v>
      </c>
      <c r="E38" s="10" t="n">
        <f aca="false">IF(D38=0,"",AVERAGEIFS(Market_Panel!$M$2:$M$2705,Market_Panel!$A$2:$A$2705,B38,Market_Panel!$B$2:$B$2705,"&gt;="&amp;$B$5,Market_Panel!$B$2:$B$2705,"&lt;="&amp;$C$5))</f>
        <v>-0.133643992730728</v>
      </c>
      <c r="F38" s="11" t="n">
        <f aca="false">IF(D38=0,"",AVERAGEIFS(Market_Panel!$P$2:$P$2705,Market_Panel!$A$2:$A$2705,B38,Market_Panel!$B$2:$B$2705,"&gt;="&amp;$B$5,Market_Panel!$B$2:$B$2705,"&lt;="&amp;$C$5))</f>
        <v>-0.604267392480654</v>
      </c>
      <c r="G38" s="11" t="n">
        <f aca="false">IF(D38=0,"",AVERAGEIFS(Market_Panel!$R$2:$R$2705,Market_Panel!$A$2:$A$2705,B38,Market_Panel!$B$2:$B$2705,"&gt;="&amp;$B$5,Market_Panel!$B$2:$B$2705,"&lt;="&amp;$C$5))</f>
        <v>0</v>
      </c>
      <c r="H38" s="11" t="n">
        <f aca="false">IF(OR(D38=0,$H$5=0),0,AVERAGEIFS(Market_Panel!$Y$2:$Y$2705,Market_Panel!$A$2:$A$2705,B38,Market_Panel!$B$2:$B$2705,"&gt;="&amp;$B$5,Market_Panel!$B$2:$B$2705,"&lt;="&amp;$C$5))</f>
        <v>0</v>
      </c>
      <c r="I38" s="10" t="n">
        <f aca="false">IF(D38=0,"",$I$5+$F$5*F38+$G$5*G38+$H$5*H38)</f>
        <v>-0.0309435914505564</v>
      </c>
      <c r="J38" s="5" t="n">
        <f aca="false">IF(D38&lt;5,"",(E38-I38)*162)</f>
        <v>-16.6374650073878</v>
      </c>
      <c r="K38" s="5" t="n">
        <f aca="false">IF(D38=0,"",E38*162)</f>
        <v>-21.6503268223779</v>
      </c>
      <c r="L38" s="3" t="n">
        <f aca="false">SUMIFS(Seasons!$L$2:$L$2865,Seasons!$A$2:$A$2865,B38,Seasons!$B$2:$B$2865,"&gt;="&amp;$B$5,Seasons!$B$2:$B$2865,"&lt;="&amp;$C$5)</f>
        <v>0</v>
      </c>
      <c r="M38" s="3" t="n">
        <f aca="false">SUMIFS(Seasons!$N$2:$N$2865,Seasons!$A$2:$A$2865,B38,Seasons!$B$2:$B$2865,"&gt;="&amp;$B$5,Seasons!$B$2:$B$2865,"&lt;="&amp;$C$5)</f>
        <v>0</v>
      </c>
      <c r="N38" s="3" t="n">
        <f aca="false">IF(J38="",-1000000,J38+ROW()*0.000000001)</f>
        <v>-16.6374649693878</v>
      </c>
      <c r="O38" s="3" t="n">
        <f aca="false">IF(J38="","",SUMPRODUCT(($A$25:$A$534=A38)*($N$25:$N$534&gt;N38))+1)</f>
        <v>15</v>
      </c>
      <c r="P38" s="3" t="str">
        <f aca="false">A38&amp;"|"&amp;O38</f>
        <v>1900s|15</v>
      </c>
    </row>
    <row r="39" customFormat="false" ht="15" hidden="false" customHeight="true" outlineLevel="0" collapsed="false">
      <c r="A39" s="1" t="s">
        <v>9</v>
      </c>
      <c r="B39" s="7" t="s">
        <v>69</v>
      </c>
      <c r="C39" s="1" t="s">
        <v>55</v>
      </c>
      <c r="D39" s="3" t="n">
        <f aca="false">COUNTIFS(Market_Panel!$A$2:$A$2705,B39,Market_Panel!$B$2:$B$2705,"&gt;="&amp;$B$5,Market_Panel!$B$2:$B$2705,"&lt;="&amp;$C$5)</f>
        <v>9</v>
      </c>
      <c r="E39" s="10" t="n">
        <f aca="false">IF(D39=0,"",AVERAGEIFS(Market_Panel!$M$2:$M$2705,Market_Panel!$A$2:$A$2705,B39,Market_Panel!$B$2:$B$2705,"&gt;="&amp;$B$5,Market_Panel!$B$2:$B$2705,"&lt;="&amp;$C$5))</f>
        <v>0.063398593380876</v>
      </c>
      <c r="F39" s="11" t="n">
        <f aca="false">IF(D39=0,"",AVERAGEIFS(Market_Panel!$P$2:$P$2705,Market_Panel!$A$2:$A$2705,B39,Market_Panel!$B$2:$B$2705,"&gt;="&amp;$B$5,Market_Panel!$B$2:$B$2705,"&lt;="&amp;$C$5))</f>
        <v>0.241636409045221</v>
      </c>
      <c r="G39" s="11" t="n">
        <f aca="false">IF(D39=0,"",AVERAGEIFS(Market_Panel!$R$2:$R$2705,Market_Panel!$A$2:$A$2705,B39,Market_Panel!$B$2:$B$2705,"&gt;="&amp;$B$5,Market_Panel!$B$2:$B$2705,"&lt;="&amp;$C$5))</f>
        <v>0</v>
      </c>
      <c r="H39" s="11" t="n">
        <f aca="false">IF(OR(D39=0,$H$5=0),0,AVERAGEIFS(Market_Panel!$Y$2:$Y$2705,Market_Panel!$A$2:$A$2705,B39,Market_Panel!$B$2:$B$2705,"&gt;="&amp;$B$5,Market_Panel!$B$2:$B$2705,"&lt;="&amp;$C$5))</f>
        <v>0</v>
      </c>
      <c r="I39" s="10" t="n">
        <f aca="false">IF(D39=0,"",$I$5+$F$5*F39+$G$5*G39+$H$5*H39)</f>
        <v>0.0123738239297998</v>
      </c>
      <c r="J39" s="5" t="n">
        <f aca="false">IF(D39&lt;5,"",(E39-I39)*162)</f>
        <v>8.26601265107434</v>
      </c>
      <c r="K39" s="5" t="n">
        <f aca="false">IF(D39=0,"",E39*162)</f>
        <v>10.2705721277019</v>
      </c>
      <c r="L39" s="3" t="n">
        <f aca="false">SUMIFS(Seasons!$L$2:$L$2865,Seasons!$A$2:$A$2865,B39,Seasons!$B$2:$B$2865,"&gt;="&amp;$B$5,Seasons!$B$2:$B$2865,"&lt;="&amp;$C$5)</f>
        <v>2</v>
      </c>
      <c r="M39" s="3" t="n">
        <f aca="false">SUMIFS(Seasons!$N$2:$N$2865,Seasons!$A$2:$A$2865,B39,Seasons!$B$2:$B$2865,"&gt;="&amp;$B$5,Seasons!$B$2:$B$2865,"&lt;="&amp;$C$5)</f>
        <v>0</v>
      </c>
      <c r="N39" s="3" t="n">
        <f aca="false">IF(J39="",-1000000,J39+ROW()*0.000000001)</f>
        <v>8.26601269007434</v>
      </c>
      <c r="O39" s="3" t="n">
        <f aca="false">IF(J39="","",SUMPRODUCT(($A$25:$A$534=A39)*($N$25:$N$534&gt;N39))+1)</f>
        <v>4</v>
      </c>
      <c r="P39" s="3" t="str">
        <f aca="false">A39&amp;"|"&amp;O39</f>
        <v>1900s|4</v>
      </c>
    </row>
    <row r="40" customFormat="false" ht="15" hidden="false" customHeight="true" outlineLevel="0" collapsed="false">
      <c r="A40" s="1" t="s">
        <v>9</v>
      </c>
      <c r="B40" s="7" t="s">
        <v>70</v>
      </c>
      <c r="C40" s="1" t="s">
        <v>55</v>
      </c>
      <c r="D40" s="3" t="n">
        <f aca="false">COUNTIFS(Market_Panel!$A$2:$A$2705,B40,Market_Panel!$B$2:$B$2705,"&gt;="&amp;$B$5,Market_Panel!$B$2:$B$2705,"&lt;="&amp;$C$5)</f>
        <v>7</v>
      </c>
      <c r="E40" s="10" t="n">
        <f aca="false">IF(D40=0,"",AVERAGEIFS(Market_Panel!$M$2:$M$2705,Market_Panel!$A$2:$A$2705,B40,Market_Panel!$B$2:$B$2705,"&gt;="&amp;$B$5,Market_Panel!$B$2:$B$2705,"&lt;="&amp;$C$5))</f>
        <v>0.00196925287965254</v>
      </c>
      <c r="F40" s="11" t="n">
        <f aca="false">IF(D40=0,"",AVERAGEIFS(Market_Panel!$P$2:$P$2705,Market_Panel!$A$2:$A$2705,B40,Market_Panel!$B$2:$B$2705,"&gt;="&amp;$B$5,Market_Panel!$B$2:$B$2705,"&lt;="&amp;$C$5))</f>
        <v>0.897405771872161</v>
      </c>
      <c r="G40" s="11" t="n">
        <f aca="false">IF(D40=0,"",AVERAGEIFS(Market_Panel!$R$2:$R$2705,Market_Panel!$A$2:$A$2705,B40,Market_Panel!$B$2:$B$2705,"&gt;="&amp;$B$5,Market_Panel!$B$2:$B$2705,"&lt;="&amp;$C$5))</f>
        <v>0</v>
      </c>
      <c r="H40" s="11" t="n">
        <f aca="false">IF(OR(D40=0,$H$5=0),0,AVERAGEIFS(Market_Panel!$Y$2:$Y$2705,Market_Panel!$A$2:$A$2705,B40,Market_Panel!$B$2:$B$2705,"&gt;="&amp;$B$5,Market_Panel!$B$2:$B$2705,"&lt;="&amp;$C$5))</f>
        <v>0</v>
      </c>
      <c r="I40" s="10" t="n">
        <f aca="false">IF(D40=0,"",$I$5+$F$5*F40+$G$5*G40+$H$5*H40)</f>
        <v>0.0459547510187262</v>
      </c>
      <c r="J40" s="5" t="n">
        <f aca="false">IF(D40&lt;5,"",(E40-I40)*162)</f>
        <v>-7.12565069852994</v>
      </c>
      <c r="K40" s="5" t="n">
        <f aca="false">IF(D40=0,"",E40*162)</f>
        <v>0.319018966503712</v>
      </c>
      <c r="L40" s="3" t="n">
        <f aca="false">SUMIFS(Seasons!$L$2:$L$2865,Seasons!$A$2:$A$2865,B40,Seasons!$B$2:$B$2865,"&gt;="&amp;$B$5,Seasons!$B$2:$B$2865,"&lt;="&amp;$C$5)</f>
        <v>0</v>
      </c>
      <c r="M40" s="3" t="n">
        <f aca="false">SUMIFS(Seasons!$N$2:$N$2865,Seasons!$A$2:$A$2865,B40,Seasons!$B$2:$B$2865,"&gt;="&amp;$B$5,Seasons!$B$2:$B$2865,"&lt;="&amp;$C$5)</f>
        <v>0</v>
      </c>
      <c r="N40" s="3" t="n">
        <f aca="false">IF(J40="",-1000000,J40+ROW()*0.000000001)</f>
        <v>-7.12565065852994</v>
      </c>
      <c r="O40" s="3" t="n">
        <f aca="false">IF(J40="","",SUMPRODUCT(($A$25:$A$534=A40)*($N$25:$N$534&gt;N40))+1)</f>
        <v>12</v>
      </c>
      <c r="P40" s="3" t="str">
        <f aca="false">A40&amp;"|"&amp;O40</f>
        <v>1900s|12</v>
      </c>
    </row>
    <row r="41" customFormat="false" ht="15" hidden="false" customHeight="true" outlineLevel="0" collapsed="false">
      <c r="A41" s="1" t="s">
        <v>9</v>
      </c>
      <c r="B41" s="7" t="s">
        <v>71</v>
      </c>
      <c r="C41" s="1" t="s">
        <v>72</v>
      </c>
      <c r="D41" s="3" t="n">
        <f aca="false">COUNTIFS(Market_Panel!$A$2:$A$2705,B41,Market_Panel!$B$2:$B$2705,"&gt;="&amp;$B$5,Market_Panel!$B$2:$B$2705,"&lt;="&amp;$C$5)</f>
        <v>0</v>
      </c>
      <c r="E41" s="10" t="str">
        <f aca="false">IF(D41=0,"",AVERAGEIFS(Market_Panel!$M$2:$M$2705,Market_Panel!$A$2:$A$2705,B41,Market_Panel!$B$2:$B$2705,"&gt;="&amp;$B$5,Market_Panel!$B$2:$B$2705,"&lt;="&amp;$C$5))</f>
        <v/>
      </c>
      <c r="F41" s="11" t="str">
        <f aca="false">IF(D41=0,"",AVERAGEIFS(Market_Panel!$P$2:$P$2705,Market_Panel!$A$2:$A$2705,B41,Market_Panel!$B$2:$B$2705,"&gt;="&amp;$B$5,Market_Panel!$B$2:$B$2705,"&lt;="&amp;$C$5))</f>
        <v/>
      </c>
      <c r="G41" s="11" t="str">
        <f aca="false">IF(D41=0,"",AVERAGEIFS(Market_Panel!$R$2:$R$2705,Market_Panel!$A$2:$A$2705,B41,Market_Panel!$B$2:$B$2705,"&gt;="&amp;$B$5,Market_Panel!$B$2:$B$2705,"&lt;="&amp;$C$5))</f>
        <v/>
      </c>
      <c r="H41" s="11" t="n">
        <f aca="false">IF(OR(D41=0,$H$5=0),0,AVERAGEIFS(Market_Panel!$Y$2:$Y$2705,Market_Panel!$A$2:$A$2705,B41,Market_Panel!$B$2:$B$2705,"&gt;="&amp;$B$5,Market_Panel!$B$2:$B$2705,"&lt;="&amp;$C$5))</f>
        <v>0</v>
      </c>
      <c r="I41" s="10" t="str">
        <f aca="false">IF(D41=0,"",$I$5+$F$5*F41+$G$5*G41+$H$5*H41)</f>
        <v/>
      </c>
      <c r="J41" s="5" t="str">
        <f aca="false">IF(D41&lt;5,"",(E41-I41)*162)</f>
        <v/>
      </c>
      <c r="K41" s="5" t="str">
        <f aca="false">IF(D41=0,"",E41*162)</f>
        <v/>
      </c>
      <c r="L41" s="3" t="n">
        <f aca="false">SUMIFS(Seasons!$L$2:$L$2865,Seasons!$A$2:$A$2865,B41,Seasons!$B$2:$B$2865,"&gt;="&amp;$B$5,Seasons!$B$2:$B$2865,"&lt;="&amp;$C$5)</f>
        <v>0</v>
      </c>
      <c r="M41" s="3" t="n">
        <f aca="false">SUMIFS(Seasons!$N$2:$N$2865,Seasons!$A$2:$A$2865,B41,Seasons!$B$2:$B$2865,"&gt;="&amp;$B$5,Seasons!$B$2:$B$2865,"&lt;="&amp;$C$5)</f>
        <v>0</v>
      </c>
      <c r="N41" s="3" t="n">
        <f aca="false">IF(J41="",-1000000,J41+ROW()*0.000000001)</f>
        <v>-1000000</v>
      </c>
      <c r="O41" s="3" t="str">
        <f aca="false">IF(J41="","",SUMPRODUCT(($A$25:$A$534=A41)*($N$25:$N$534&gt;N41))+1)</f>
        <v/>
      </c>
      <c r="P41" s="3" t="str">
        <f aca="false">A41&amp;"|"&amp;O41</f>
        <v>1900s|</v>
      </c>
    </row>
    <row r="42" customFormat="false" ht="15" hidden="false" customHeight="true" outlineLevel="0" collapsed="false">
      <c r="A42" s="1" t="s">
        <v>9</v>
      </c>
      <c r="B42" s="7" t="s">
        <v>73</v>
      </c>
      <c r="C42" s="1" t="s">
        <v>72</v>
      </c>
      <c r="D42" s="3" t="n">
        <f aca="false">COUNTIFS(Market_Panel!$A$2:$A$2705,B42,Market_Panel!$B$2:$B$2705,"&gt;="&amp;$B$5,Market_Panel!$B$2:$B$2705,"&lt;="&amp;$C$5)</f>
        <v>0</v>
      </c>
      <c r="E42" s="10" t="str">
        <f aca="false">IF(D42=0,"",AVERAGEIFS(Market_Panel!$M$2:$M$2705,Market_Panel!$A$2:$A$2705,B42,Market_Panel!$B$2:$B$2705,"&gt;="&amp;$B$5,Market_Panel!$B$2:$B$2705,"&lt;="&amp;$C$5))</f>
        <v/>
      </c>
      <c r="F42" s="11" t="str">
        <f aca="false">IF(D42=0,"",AVERAGEIFS(Market_Panel!$P$2:$P$2705,Market_Panel!$A$2:$A$2705,B42,Market_Panel!$B$2:$B$2705,"&gt;="&amp;$B$5,Market_Panel!$B$2:$B$2705,"&lt;="&amp;$C$5))</f>
        <v/>
      </c>
      <c r="G42" s="11" t="str">
        <f aca="false">IF(D42=0,"",AVERAGEIFS(Market_Panel!$R$2:$R$2705,Market_Panel!$A$2:$A$2705,B42,Market_Panel!$B$2:$B$2705,"&gt;="&amp;$B$5,Market_Panel!$B$2:$B$2705,"&lt;="&amp;$C$5))</f>
        <v/>
      </c>
      <c r="H42" s="11" t="n">
        <f aca="false">IF(OR(D42=0,$H$5=0),0,AVERAGEIFS(Market_Panel!$Y$2:$Y$2705,Market_Panel!$A$2:$A$2705,B42,Market_Panel!$B$2:$B$2705,"&gt;="&amp;$B$5,Market_Panel!$B$2:$B$2705,"&lt;="&amp;$C$5))</f>
        <v>0</v>
      </c>
      <c r="I42" s="10" t="str">
        <f aca="false">IF(D42=0,"",$I$5+$F$5*F42+$G$5*G42+$H$5*H42)</f>
        <v/>
      </c>
      <c r="J42" s="5" t="str">
        <f aca="false">IF(D42&lt;5,"",(E42-I42)*162)</f>
        <v/>
      </c>
      <c r="K42" s="5" t="str">
        <f aca="false">IF(D42=0,"",E42*162)</f>
        <v/>
      </c>
      <c r="L42" s="3" t="n">
        <f aca="false">SUMIFS(Seasons!$L$2:$L$2865,Seasons!$A$2:$A$2865,B42,Seasons!$B$2:$B$2865,"&gt;="&amp;$B$5,Seasons!$B$2:$B$2865,"&lt;="&amp;$C$5)</f>
        <v>0</v>
      </c>
      <c r="M42" s="3" t="n">
        <f aca="false">SUMIFS(Seasons!$N$2:$N$2865,Seasons!$A$2:$A$2865,B42,Seasons!$B$2:$B$2865,"&gt;="&amp;$B$5,Seasons!$B$2:$B$2865,"&lt;="&amp;$C$5)</f>
        <v>0</v>
      </c>
      <c r="N42" s="3" t="n">
        <f aca="false">IF(J42="",-1000000,J42+ROW()*0.000000001)</f>
        <v>-1000000</v>
      </c>
      <c r="O42" s="3" t="str">
        <f aca="false">IF(J42="","",SUMPRODUCT(($A$25:$A$534=A42)*($N$25:$N$534&gt;N42))+1)</f>
        <v/>
      </c>
      <c r="P42" s="3" t="str">
        <f aca="false">A42&amp;"|"&amp;O42</f>
        <v>1900s|</v>
      </c>
    </row>
    <row r="43" customFormat="false" ht="15" hidden="false" customHeight="true" outlineLevel="0" collapsed="false">
      <c r="A43" s="1" t="s">
        <v>9</v>
      </c>
      <c r="B43" s="7" t="s">
        <v>74</v>
      </c>
      <c r="C43" s="1" t="s">
        <v>72</v>
      </c>
      <c r="D43" s="3" t="n">
        <f aca="false">COUNTIFS(Market_Panel!$A$2:$A$2705,B43,Market_Panel!$B$2:$B$2705,"&gt;="&amp;$B$5,Market_Panel!$B$2:$B$2705,"&lt;="&amp;$C$5)</f>
        <v>0</v>
      </c>
      <c r="E43" s="10" t="str">
        <f aca="false">IF(D43=0,"",AVERAGEIFS(Market_Panel!$M$2:$M$2705,Market_Panel!$A$2:$A$2705,B43,Market_Panel!$B$2:$B$2705,"&gt;="&amp;$B$5,Market_Panel!$B$2:$B$2705,"&lt;="&amp;$C$5))</f>
        <v/>
      </c>
      <c r="F43" s="11" t="str">
        <f aca="false">IF(D43=0,"",AVERAGEIFS(Market_Panel!$P$2:$P$2705,Market_Panel!$A$2:$A$2705,B43,Market_Panel!$B$2:$B$2705,"&gt;="&amp;$B$5,Market_Panel!$B$2:$B$2705,"&lt;="&amp;$C$5))</f>
        <v/>
      </c>
      <c r="G43" s="11" t="str">
        <f aca="false">IF(D43=0,"",AVERAGEIFS(Market_Panel!$R$2:$R$2705,Market_Panel!$A$2:$A$2705,B43,Market_Panel!$B$2:$B$2705,"&gt;="&amp;$B$5,Market_Panel!$B$2:$B$2705,"&lt;="&amp;$C$5))</f>
        <v/>
      </c>
      <c r="H43" s="11" t="n">
        <f aca="false">IF(OR(D43=0,$H$5=0),0,AVERAGEIFS(Market_Panel!$Y$2:$Y$2705,Market_Panel!$A$2:$A$2705,B43,Market_Panel!$B$2:$B$2705,"&gt;="&amp;$B$5,Market_Panel!$B$2:$B$2705,"&lt;="&amp;$C$5))</f>
        <v>0</v>
      </c>
      <c r="I43" s="10" t="str">
        <f aca="false">IF(D43=0,"",$I$5+$F$5*F43+$G$5*G43+$H$5*H43)</f>
        <v/>
      </c>
      <c r="J43" s="5" t="str">
        <f aca="false">IF(D43&lt;5,"",(E43-I43)*162)</f>
        <v/>
      </c>
      <c r="K43" s="5" t="str">
        <f aca="false">IF(D43=0,"",E43*162)</f>
        <v/>
      </c>
      <c r="L43" s="3" t="n">
        <f aca="false">SUMIFS(Seasons!$L$2:$L$2865,Seasons!$A$2:$A$2865,B43,Seasons!$B$2:$B$2865,"&gt;="&amp;$B$5,Seasons!$B$2:$B$2865,"&lt;="&amp;$C$5)</f>
        <v>0</v>
      </c>
      <c r="M43" s="3" t="n">
        <f aca="false">SUMIFS(Seasons!$N$2:$N$2865,Seasons!$A$2:$A$2865,B43,Seasons!$B$2:$B$2865,"&gt;="&amp;$B$5,Seasons!$B$2:$B$2865,"&lt;="&amp;$C$5)</f>
        <v>0</v>
      </c>
      <c r="N43" s="3" t="n">
        <f aca="false">IF(J43="",-1000000,J43+ROW()*0.000000001)</f>
        <v>-1000000</v>
      </c>
      <c r="O43" s="3" t="str">
        <f aca="false">IF(J43="","",SUMPRODUCT(($A$25:$A$534=A43)*($N$25:$N$534&gt;N43))+1)</f>
        <v/>
      </c>
      <c r="P43" s="3" t="str">
        <f aca="false">A43&amp;"|"&amp;O43</f>
        <v>1900s|</v>
      </c>
    </row>
    <row r="44" customFormat="false" ht="15" hidden="false" customHeight="true" outlineLevel="0" collapsed="false">
      <c r="A44" s="1" t="s">
        <v>9</v>
      </c>
      <c r="B44" s="7" t="s">
        <v>75</v>
      </c>
      <c r="C44" s="1" t="s">
        <v>72</v>
      </c>
      <c r="D44" s="3" t="n">
        <f aca="false">COUNTIFS(Market_Panel!$A$2:$A$2705,B44,Market_Panel!$B$2:$B$2705,"&gt;="&amp;$B$5,Market_Panel!$B$2:$B$2705,"&lt;="&amp;$C$5)</f>
        <v>0</v>
      </c>
      <c r="E44" s="10" t="str">
        <f aca="false">IF(D44=0,"",AVERAGEIFS(Market_Panel!$M$2:$M$2705,Market_Panel!$A$2:$A$2705,B44,Market_Panel!$B$2:$B$2705,"&gt;="&amp;$B$5,Market_Panel!$B$2:$B$2705,"&lt;="&amp;$C$5))</f>
        <v/>
      </c>
      <c r="F44" s="11" t="str">
        <f aca="false">IF(D44=0,"",AVERAGEIFS(Market_Panel!$P$2:$P$2705,Market_Panel!$A$2:$A$2705,B44,Market_Panel!$B$2:$B$2705,"&gt;="&amp;$B$5,Market_Panel!$B$2:$B$2705,"&lt;="&amp;$C$5))</f>
        <v/>
      </c>
      <c r="G44" s="11" t="str">
        <f aca="false">IF(D44=0,"",AVERAGEIFS(Market_Panel!$R$2:$R$2705,Market_Panel!$A$2:$A$2705,B44,Market_Panel!$B$2:$B$2705,"&gt;="&amp;$B$5,Market_Panel!$B$2:$B$2705,"&lt;="&amp;$C$5))</f>
        <v/>
      </c>
      <c r="H44" s="11" t="n">
        <f aca="false">IF(OR(D44=0,$H$5=0),0,AVERAGEIFS(Market_Panel!$Y$2:$Y$2705,Market_Panel!$A$2:$A$2705,B44,Market_Panel!$B$2:$B$2705,"&gt;="&amp;$B$5,Market_Panel!$B$2:$B$2705,"&lt;="&amp;$C$5))</f>
        <v>0</v>
      </c>
      <c r="I44" s="10" t="str">
        <f aca="false">IF(D44=0,"",$I$5+$F$5*F44+$G$5*G44+$H$5*H44)</f>
        <v/>
      </c>
      <c r="J44" s="5" t="str">
        <f aca="false">IF(D44&lt;5,"",(E44-I44)*162)</f>
        <v/>
      </c>
      <c r="K44" s="5" t="str">
        <f aca="false">IF(D44=0,"",E44*162)</f>
        <v/>
      </c>
      <c r="L44" s="3" t="n">
        <f aca="false">SUMIFS(Seasons!$L$2:$L$2865,Seasons!$A$2:$A$2865,B44,Seasons!$B$2:$B$2865,"&gt;="&amp;$B$5,Seasons!$B$2:$B$2865,"&lt;="&amp;$C$5)</f>
        <v>0</v>
      </c>
      <c r="M44" s="3" t="n">
        <f aca="false">SUMIFS(Seasons!$N$2:$N$2865,Seasons!$A$2:$A$2865,B44,Seasons!$B$2:$B$2865,"&gt;="&amp;$B$5,Seasons!$B$2:$B$2865,"&lt;="&amp;$C$5)</f>
        <v>0</v>
      </c>
      <c r="N44" s="3" t="n">
        <f aca="false">IF(J44="",-1000000,J44+ROW()*0.000000001)</f>
        <v>-1000000</v>
      </c>
      <c r="O44" s="3" t="str">
        <f aca="false">IF(J44="","",SUMPRODUCT(($A$25:$A$534=A44)*($N$25:$N$534&gt;N44))+1)</f>
        <v/>
      </c>
      <c r="P44" s="3" t="str">
        <f aca="false">A44&amp;"|"&amp;O44</f>
        <v>1900s|</v>
      </c>
    </row>
    <row r="45" customFormat="false" ht="15" hidden="false" customHeight="true" outlineLevel="0" collapsed="false">
      <c r="A45" s="1" t="s">
        <v>9</v>
      </c>
      <c r="B45" s="7" t="s">
        <v>76</v>
      </c>
      <c r="C45" s="1" t="s">
        <v>72</v>
      </c>
      <c r="D45" s="3" t="n">
        <f aca="false">COUNTIFS(Market_Panel!$A$2:$A$2705,B45,Market_Panel!$B$2:$B$2705,"&gt;="&amp;$B$5,Market_Panel!$B$2:$B$2705,"&lt;="&amp;$C$5)</f>
        <v>0</v>
      </c>
      <c r="E45" s="10" t="str">
        <f aca="false">IF(D45=0,"",AVERAGEIFS(Market_Panel!$M$2:$M$2705,Market_Panel!$A$2:$A$2705,B45,Market_Panel!$B$2:$B$2705,"&gt;="&amp;$B$5,Market_Panel!$B$2:$B$2705,"&lt;="&amp;$C$5))</f>
        <v/>
      </c>
      <c r="F45" s="11" t="str">
        <f aca="false">IF(D45=0,"",AVERAGEIFS(Market_Panel!$P$2:$P$2705,Market_Panel!$A$2:$A$2705,B45,Market_Panel!$B$2:$B$2705,"&gt;="&amp;$B$5,Market_Panel!$B$2:$B$2705,"&lt;="&amp;$C$5))</f>
        <v/>
      </c>
      <c r="G45" s="11" t="str">
        <f aca="false">IF(D45=0,"",AVERAGEIFS(Market_Panel!$R$2:$R$2705,Market_Panel!$A$2:$A$2705,B45,Market_Panel!$B$2:$B$2705,"&gt;="&amp;$B$5,Market_Panel!$B$2:$B$2705,"&lt;="&amp;$C$5))</f>
        <v/>
      </c>
      <c r="H45" s="11" t="n">
        <f aca="false">IF(OR(D45=0,$H$5=0),0,AVERAGEIFS(Market_Panel!$Y$2:$Y$2705,Market_Panel!$A$2:$A$2705,B45,Market_Panel!$B$2:$B$2705,"&gt;="&amp;$B$5,Market_Panel!$B$2:$B$2705,"&lt;="&amp;$C$5))</f>
        <v>0</v>
      </c>
      <c r="I45" s="10" t="str">
        <f aca="false">IF(D45=0,"",$I$5+$F$5*F45+$G$5*G45+$H$5*H45)</f>
        <v/>
      </c>
      <c r="J45" s="5" t="str">
        <f aca="false">IF(D45&lt;5,"",(E45-I45)*162)</f>
        <v/>
      </c>
      <c r="K45" s="5" t="str">
        <f aca="false">IF(D45=0,"",E45*162)</f>
        <v/>
      </c>
      <c r="L45" s="3" t="n">
        <f aca="false">SUMIFS(Seasons!$L$2:$L$2865,Seasons!$A$2:$A$2865,B45,Seasons!$B$2:$B$2865,"&gt;="&amp;$B$5,Seasons!$B$2:$B$2865,"&lt;="&amp;$C$5)</f>
        <v>0</v>
      </c>
      <c r="M45" s="3" t="n">
        <f aca="false">SUMIFS(Seasons!$N$2:$N$2865,Seasons!$A$2:$A$2865,B45,Seasons!$B$2:$B$2865,"&gt;="&amp;$B$5,Seasons!$B$2:$B$2865,"&lt;="&amp;$C$5)</f>
        <v>0</v>
      </c>
      <c r="N45" s="3" t="n">
        <f aca="false">IF(J45="",-1000000,J45+ROW()*0.000000001)</f>
        <v>-1000000</v>
      </c>
      <c r="O45" s="3" t="str">
        <f aca="false">IF(J45="","",SUMPRODUCT(($A$25:$A$534=A45)*($N$25:$N$534&gt;N45))+1)</f>
        <v/>
      </c>
      <c r="P45" s="3" t="str">
        <f aca="false">A45&amp;"|"&amp;O45</f>
        <v>1900s|</v>
      </c>
    </row>
    <row r="46" customFormat="false" ht="15" hidden="false" customHeight="true" outlineLevel="0" collapsed="false">
      <c r="A46" s="1" t="s">
        <v>9</v>
      </c>
      <c r="B46" s="7" t="s">
        <v>77</v>
      </c>
      <c r="C46" s="1" t="s">
        <v>72</v>
      </c>
      <c r="D46" s="3" t="n">
        <f aca="false">COUNTIFS(Market_Panel!$A$2:$A$2705,B46,Market_Panel!$B$2:$B$2705,"&gt;="&amp;$B$5,Market_Panel!$B$2:$B$2705,"&lt;="&amp;$C$5)</f>
        <v>0</v>
      </c>
      <c r="E46" s="10" t="str">
        <f aca="false">IF(D46=0,"",AVERAGEIFS(Market_Panel!$M$2:$M$2705,Market_Panel!$A$2:$A$2705,B46,Market_Panel!$B$2:$B$2705,"&gt;="&amp;$B$5,Market_Panel!$B$2:$B$2705,"&lt;="&amp;$C$5))</f>
        <v/>
      </c>
      <c r="F46" s="11" t="str">
        <f aca="false">IF(D46=0,"",AVERAGEIFS(Market_Panel!$P$2:$P$2705,Market_Panel!$A$2:$A$2705,B46,Market_Panel!$B$2:$B$2705,"&gt;="&amp;$B$5,Market_Panel!$B$2:$B$2705,"&lt;="&amp;$C$5))</f>
        <v/>
      </c>
      <c r="G46" s="11" t="str">
        <f aca="false">IF(D46=0,"",AVERAGEIFS(Market_Panel!$R$2:$R$2705,Market_Panel!$A$2:$A$2705,B46,Market_Panel!$B$2:$B$2705,"&gt;="&amp;$B$5,Market_Panel!$B$2:$B$2705,"&lt;="&amp;$C$5))</f>
        <v/>
      </c>
      <c r="H46" s="11" t="n">
        <f aca="false">IF(OR(D46=0,$H$5=0),0,AVERAGEIFS(Market_Panel!$Y$2:$Y$2705,Market_Panel!$A$2:$A$2705,B46,Market_Panel!$B$2:$B$2705,"&gt;="&amp;$B$5,Market_Panel!$B$2:$B$2705,"&lt;="&amp;$C$5))</f>
        <v>0</v>
      </c>
      <c r="I46" s="10" t="str">
        <f aca="false">IF(D46=0,"",$I$5+$F$5*F46+$G$5*G46+$H$5*H46)</f>
        <v/>
      </c>
      <c r="J46" s="5" t="str">
        <f aca="false">IF(D46&lt;5,"",(E46-I46)*162)</f>
        <v/>
      </c>
      <c r="K46" s="5" t="str">
        <f aca="false">IF(D46=0,"",E46*162)</f>
        <v/>
      </c>
      <c r="L46" s="3" t="n">
        <f aca="false">SUMIFS(Seasons!$L$2:$L$2865,Seasons!$A$2:$A$2865,B46,Seasons!$B$2:$B$2865,"&gt;="&amp;$B$5,Seasons!$B$2:$B$2865,"&lt;="&amp;$C$5)</f>
        <v>0</v>
      </c>
      <c r="M46" s="3" t="n">
        <f aca="false">SUMIFS(Seasons!$N$2:$N$2865,Seasons!$A$2:$A$2865,B46,Seasons!$B$2:$B$2865,"&gt;="&amp;$B$5,Seasons!$B$2:$B$2865,"&lt;="&amp;$C$5)</f>
        <v>0</v>
      </c>
      <c r="N46" s="3" t="n">
        <f aca="false">IF(J46="",-1000000,J46+ROW()*0.000000001)</f>
        <v>-1000000</v>
      </c>
      <c r="O46" s="3" t="str">
        <f aca="false">IF(J46="","",SUMPRODUCT(($A$25:$A$534=A46)*($N$25:$N$534&gt;N46))+1)</f>
        <v/>
      </c>
      <c r="P46" s="3" t="str">
        <f aca="false">A46&amp;"|"&amp;O46</f>
        <v>1900s|</v>
      </c>
    </row>
    <row r="47" customFormat="false" ht="15" hidden="false" customHeight="true" outlineLevel="0" collapsed="false">
      <c r="A47" s="1" t="s">
        <v>9</v>
      </c>
      <c r="B47" s="7" t="s">
        <v>78</v>
      </c>
      <c r="C47" s="1" t="s">
        <v>72</v>
      </c>
      <c r="D47" s="3" t="n">
        <f aca="false">COUNTIFS(Market_Panel!$A$2:$A$2705,B47,Market_Panel!$B$2:$B$2705,"&gt;="&amp;$B$5,Market_Panel!$B$2:$B$2705,"&lt;="&amp;$C$5)</f>
        <v>0</v>
      </c>
      <c r="E47" s="10" t="str">
        <f aca="false">IF(D47=0,"",AVERAGEIFS(Market_Panel!$M$2:$M$2705,Market_Panel!$A$2:$A$2705,B47,Market_Panel!$B$2:$B$2705,"&gt;="&amp;$B$5,Market_Panel!$B$2:$B$2705,"&lt;="&amp;$C$5))</f>
        <v/>
      </c>
      <c r="F47" s="11" t="str">
        <f aca="false">IF(D47=0,"",AVERAGEIFS(Market_Panel!$P$2:$P$2705,Market_Panel!$A$2:$A$2705,B47,Market_Panel!$B$2:$B$2705,"&gt;="&amp;$B$5,Market_Panel!$B$2:$B$2705,"&lt;="&amp;$C$5))</f>
        <v/>
      </c>
      <c r="G47" s="11" t="str">
        <f aca="false">IF(D47=0,"",AVERAGEIFS(Market_Panel!$R$2:$R$2705,Market_Panel!$A$2:$A$2705,B47,Market_Panel!$B$2:$B$2705,"&gt;="&amp;$B$5,Market_Panel!$B$2:$B$2705,"&lt;="&amp;$C$5))</f>
        <v/>
      </c>
      <c r="H47" s="11" t="n">
        <f aca="false">IF(OR(D47=0,$H$5=0),0,AVERAGEIFS(Market_Panel!$Y$2:$Y$2705,Market_Panel!$A$2:$A$2705,B47,Market_Panel!$B$2:$B$2705,"&gt;="&amp;$B$5,Market_Panel!$B$2:$B$2705,"&lt;="&amp;$C$5))</f>
        <v>0</v>
      </c>
      <c r="I47" s="10" t="str">
        <f aca="false">IF(D47=0,"",$I$5+$F$5*F47+$G$5*G47+$H$5*H47)</f>
        <v/>
      </c>
      <c r="J47" s="5" t="str">
        <f aca="false">IF(D47&lt;5,"",(E47-I47)*162)</f>
        <v/>
      </c>
      <c r="K47" s="5" t="str">
        <f aca="false">IF(D47=0,"",E47*162)</f>
        <v/>
      </c>
      <c r="L47" s="3" t="n">
        <f aca="false">SUMIFS(Seasons!$L$2:$L$2865,Seasons!$A$2:$A$2865,B47,Seasons!$B$2:$B$2865,"&gt;="&amp;$B$5,Seasons!$B$2:$B$2865,"&lt;="&amp;$C$5)</f>
        <v>0</v>
      </c>
      <c r="M47" s="3" t="n">
        <f aca="false">SUMIFS(Seasons!$N$2:$N$2865,Seasons!$A$2:$A$2865,B47,Seasons!$B$2:$B$2865,"&gt;="&amp;$B$5,Seasons!$B$2:$B$2865,"&lt;="&amp;$C$5)</f>
        <v>0</v>
      </c>
      <c r="N47" s="3" t="n">
        <f aca="false">IF(J47="",-1000000,J47+ROW()*0.000000001)</f>
        <v>-1000000</v>
      </c>
      <c r="O47" s="3" t="str">
        <f aca="false">IF(J47="","",SUMPRODUCT(($A$25:$A$534=A47)*($N$25:$N$534&gt;N47))+1)</f>
        <v/>
      </c>
      <c r="P47" s="3" t="str">
        <f aca="false">A47&amp;"|"&amp;O47</f>
        <v>1900s|</v>
      </c>
    </row>
    <row r="48" customFormat="false" ht="15" hidden="false" customHeight="true" outlineLevel="0" collapsed="false">
      <c r="A48" s="1" t="s">
        <v>9</v>
      </c>
      <c r="B48" s="7" t="s">
        <v>79</v>
      </c>
      <c r="C48" s="1" t="s">
        <v>72</v>
      </c>
      <c r="D48" s="3" t="n">
        <f aca="false">COUNTIFS(Market_Panel!$A$2:$A$2705,B48,Market_Panel!$B$2:$B$2705,"&gt;="&amp;$B$5,Market_Panel!$B$2:$B$2705,"&lt;="&amp;$C$5)</f>
        <v>0</v>
      </c>
      <c r="E48" s="10" t="str">
        <f aca="false">IF(D48=0,"",AVERAGEIFS(Market_Panel!$M$2:$M$2705,Market_Panel!$A$2:$A$2705,B48,Market_Panel!$B$2:$B$2705,"&gt;="&amp;$B$5,Market_Panel!$B$2:$B$2705,"&lt;="&amp;$C$5))</f>
        <v/>
      </c>
      <c r="F48" s="11" t="str">
        <f aca="false">IF(D48=0,"",AVERAGEIFS(Market_Panel!$P$2:$P$2705,Market_Panel!$A$2:$A$2705,B48,Market_Panel!$B$2:$B$2705,"&gt;="&amp;$B$5,Market_Panel!$B$2:$B$2705,"&lt;="&amp;$C$5))</f>
        <v/>
      </c>
      <c r="G48" s="11" t="str">
        <f aca="false">IF(D48=0,"",AVERAGEIFS(Market_Panel!$R$2:$R$2705,Market_Panel!$A$2:$A$2705,B48,Market_Panel!$B$2:$B$2705,"&gt;="&amp;$B$5,Market_Panel!$B$2:$B$2705,"&lt;="&amp;$C$5))</f>
        <v/>
      </c>
      <c r="H48" s="11" t="n">
        <f aca="false">IF(OR(D48=0,$H$5=0),0,AVERAGEIFS(Market_Panel!$Y$2:$Y$2705,Market_Panel!$A$2:$A$2705,B48,Market_Panel!$B$2:$B$2705,"&gt;="&amp;$B$5,Market_Panel!$B$2:$B$2705,"&lt;="&amp;$C$5))</f>
        <v>0</v>
      </c>
      <c r="I48" s="10" t="str">
        <f aca="false">IF(D48=0,"",$I$5+$F$5*F48+$G$5*G48+$H$5*H48)</f>
        <v/>
      </c>
      <c r="J48" s="5" t="str">
        <f aca="false">IF(D48&lt;5,"",(E48-I48)*162)</f>
        <v/>
      </c>
      <c r="K48" s="5" t="str">
        <f aca="false">IF(D48=0,"",E48*162)</f>
        <v/>
      </c>
      <c r="L48" s="3" t="n">
        <f aca="false">SUMIFS(Seasons!$L$2:$L$2865,Seasons!$A$2:$A$2865,B48,Seasons!$B$2:$B$2865,"&gt;="&amp;$B$5,Seasons!$B$2:$B$2865,"&lt;="&amp;$C$5)</f>
        <v>0</v>
      </c>
      <c r="M48" s="3" t="n">
        <f aca="false">SUMIFS(Seasons!$N$2:$N$2865,Seasons!$A$2:$A$2865,B48,Seasons!$B$2:$B$2865,"&gt;="&amp;$B$5,Seasons!$B$2:$B$2865,"&lt;="&amp;$C$5)</f>
        <v>0</v>
      </c>
      <c r="N48" s="3" t="n">
        <f aca="false">IF(J48="",-1000000,J48+ROW()*0.000000001)</f>
        <v>-1000000</v>
      </c>
      <c r="O48" s="3" t="str">
        <f aca="false">IF(J48="","",SUMPRODUCT(($A$25:$A$534=A48)*($N$25:$N$534&gt;N48))+1)</f>
        <v/>
      </c>
      <c r="P48" s="3" t="str">
        <f aca="false">A48&amp;"|"&amp;O48</f>
        <v>1900s|</v>
      </c>
    </row>
    <row r="49" customFormat="false" ht="15" hidden="false" customHeight="true" outlineLevel="0" collapsed="false">
      <c r="A49" s="1" t="s">
        <v>9</v>
      </c>
      <c r="B49" s="7" t="s">
        <v>80</v>
      </c>
      <c r="C49" s="1" t="s">
        <v>72</v>
      </c>
      <c r="D49" s="3" t="n">
        <f aca="false">COUNTIFS(Market_Panel!$A$2:$A$2705,B49,Market_Panel!$B$2:$B$2705,"&gt;="&amp;$B$5,Market_Panel!$B$2:$B$2705,"&lt;="&amp;$C$5)</f>
        <v>0</v>
      </c>
      <c r="E49" s="10" t="str">
        <f aca="false">IF(D49=0,"",AVERAGEIFS(Market_Panel!$M$2:$M$2705,Market_Panel!$A$2:$A$2705,B49,Market_Panel!$B$2:$B$2705,"&gt;="&amp;$B$5,Market_Panel!$B$2:$B$2705,"&lt;="&amp;$C$5))</f>
        <v/>
      </c>
      <c r="F49" s="11" t="str">
        <f aca="false">IF(D49=0,"",AVERAGEIFS(Market_Panel!$P$2:$P$2705,Market_Panel!$A$2:$A$2705,B49,Market_Panel!$B$2:$B$2705,"&gt;="&amp;$B$5,Market_Panel!$B$2:$B$2705,"&lt;="&amp;$C$5))</f>
        <v/>
      </c>
      <c r="G49" s="11" t="str">
        <f aca="false">IF(D49=0,"",AVERAGEIFS(Market_Panel!$R$2:$R$2705,Market_Panel!$A$2:$A$2705,B49,Market_Panel!$B$2:$B$2705,"&gt;="&amp;$B$5,Market_Panel!$B$2:$B$2705,"&lt;="&amp;$C$5))</f>
        <v/>
      </c>
      <c r="H49" s="11" t="n">
        <f aca="false">IF(OR(D49=0,$H$5=0),0,AVERAGEIFS(Market_Panel!$Y$2:$Y$2705,Market_Panel!$A$2:$A$2705,B49,Market_Panel!$B$2:$B$2705,"&gt;="&amp;$B$5,Market_Panel!$B$2:$B$2705,"&lt;="&amp;$C$5))</f>
        <v>0</v>
      </c>
      <c r="I49" s="10" t="str">
        <f aca="false">IF(D49=0,"",$I$5+$F$5*F49+$G$5*G49+$H$5*H49)</f>
        <v/>
      </c>
      <c r="J49" s="5" t="str">
        <f aca="false">IF(D49&lt;5,"",(E49-I49)*162)</f>
        <v/>
      </c>
      <c r="K49" s="5" t="str">
        <f aca="false">IF(D49=0,"",E49*162)</f>
        <v/>
      </c>
      <c r="L49" s="3" t="n">
        <f aca="false">SUMIFS(Seasons!$L$2:$L$2865,Seasons!$A$2:$A$2865,B49,Seasons!$B$2:$B$2865,"&gt;="&amp;$B$5,Seasons!$B$2:$B$2865,"&lt;="&amp;$C$5)</f>
        <v>0</v>
      </c>
      <c r="M49" s="3" t="n">
        <f aca="false">SUMIFS(Seasons!$N$2:$N$2865,Seasons!$A$2:$A$2865,B49,Seasons!$B$2:$B$2865,"&gt;="&amp;$B$5,Seasons!$B$2:$B$2865,"&lt;="&amp;$C$5)</f>
        <v>0</v>
      </c>
      <c r="N49" s="3" t="n">
        <f aca="false">IF(J49="",-1000000,J49+ROW()*0.000000001)</f>
        <v>-1000000</v>
      </c>
      <c r="O49" s="3" t="str">
        <f aca="false">IF(J49="","",SUMPRODUCT(($A$25:$A$534=A49)*($N$25:$N$534&gt;N49))+1)</f>
        <v/>
      </c>
      <c r="P49" s="3" t="str">
        <f aca="false">A49&amp;"|"&amp;O49</f>
        <v>1900s|</v>
      </c>
    </row>
    <row r="50" customFormat="false" ht="15" hidden="false" customHeight="true" outlineLevel="0" collapsed="false">
      <c r="A50" s="1" t="s">
        <v>9</v>
      </c>
      <c r="B50" s="7" t="s">
        <v>81</v>
      </c>
      <c r="C50" s="1" t="s">
        <v>72</v>
      </c>
      <c r="D50" s="3" t="n">
        <f aca="false">COUNTIFS(Market_Panel!$A$2:$A$2705,B50,Market_Panel!$B$2:$B$2705,"&gt;="&amp;$B$5,Market_Panel!$B$2:$B$2705,"&lt;="&amp;$C$5)</f>
        <v>0</v>
      </c>
      <c r="E50" s="10" t="str">
        <f aca="false">IF(D50=0,"",AVERAGEIFS(Market_Panel!$M$2:$M$2705,Market_Panel!$A$2:$A$2705,B50,Market_Panel!$B$2:$B$2705,"&gt;="&amp;$B$5,Market_Panel!$B$2:$B$2705,"&lt;="&amp;$C$5))</f>
        <v/>
      </c>
      <c r="F50" s="11" t="str">
        <f aca="false">IF(D50=0,"",AVERAGEIFS(Market_Panel!$P$2:$P$2705,Market_Panel!$A$2:$A$2705,B50,Market_Panel!$B$2:$B$2705,"&gt;="&amp;$B$5,Market_Panel!$B$2:$B$2705,"&lt;="&amp;$C$5))</f>
        <v/>
      </c>
      <c r="G50" s="11" t="str">
        <f aca="false">IF(D50=0,"",AVERAGEIFS(Market_Panel!$R$2:$R$2705,Market_Panel!$A$2:$A$2705,B50,Market_Panel!$B$2:$B$2705,"&gt;="&amp;$B$5,Market_Panel!$B$2:$B$2705,"&lt;="&amp;$C$5))</f>
        <v/>
      </c>
      <c r="H50" s="11" t="n">
        <f aca="false">IF(OR(D50=0,$H$5=0),0,AVERAGEIFS(Market_Panel!$Y$2:$Y$2705,Market_Panel!$A$2:$A$2705,B50,Market_Panel!$B$2:$B$2705,"&gt;="&amp;$B$5,Market_Panel!$B$2:$B$2705,"&lt;="&amp;$C$5))</f>
        <v>0</v>
      </c>
      <c r="I50" s="10" t="str">
        <f aca="false">IF(D50=0,"",$I$5+$F$5*F50+$G$5*G50+$H$5*H50)</f>
        <v/>
      </c>
      <c r="J50" s="5" t="str">
        <f aca="false">IF(D50&lt;5,"",(E50-I50)*162)</f>
        <v/>
      </c>
      <c r="K50" s="5" t="str">
        <f aca="false">IF(D50=0,"",E50*162)</f>
        <v/>
      </c>
      <c r="L50" s="3" t="n">
        <f aca="false">SUMIFS(Seasons!$L$2:$L$2865,Seasons!$A$2:$A$2865,B50,Seasons!$B$2:$B$2865,"&gt;="&amp;$B$5,Seasons!$B$2:$B$2865,"&lt;="&amp;$C$5)</f>
        <v>0</v>
      </c>
      <c r="M50" s="3" t="n">
        <f aca="false">SUMIFS(Seasons!$N$2:$N$2865,Seasons!$A$2:$A$2865,B50,Seasons!$B$2:$B$2865,"&gt;="&amp;$B$5,Seasons!$B$2:$B$2865,"&lt;="&amp;$C$5)</f>
        <v>0</v>
      </c>
      <c r="N50" s="3" t="n">
        <f aca="false">IF(J50="",-1000000,J50+ROW()*0.000000001)</f>
        <v>-1000000</v>
      </c>
      <c r="O50" s="3" t="str">
        <f aca="false">IF(J50="","",SUMPRODUCT(($A$25:$A$534=A50)*($N$25:$N$534&gt;N50))+1)</f>
        <v/>
      </c>
      <c r="P50" s="3" t="str">
        <f aca="false">A50&amp;"|"&amp;O50</f>
        <v>1900s|</v>
      </c>
    </row>
    <row r="51" customFormat="false" ht="15" hidden="false" customHeight="true" outlineLevel="0" collapsed="false">
      <c r="A51" s="1" t="s">
        <v>9</v>
      </c>
      <c r="B51" s="7" t="s">
        <v>82</v>
      </c>
      <c r="C51" s="1" t="s">
        <v>72</v>
      </c>
      <c r="D51" s="3" t="n">
        <f aca="false">COUNTIFS(Market_Panel!$A$2:$A$2705,B51,Market_Panel!$B$2:$B$2705,"&gt;="&amp;$B$5,Market_Panel!$B$2:$B$2705,"&lt;="&amp;$C$5)</f>
        <v>0</v>
      </c>
      <c r="E51" s="10" t="str">
        <f aca="false">IF(D51=0,"",AVERAGEIFS(Market_Panel!$M$2:$M$2705,Market_Panel!$A$2:$A$2705,B51,Market_Panel!$B$2:$B$2705,"&gt;="&amp;$B$5,Market_Panel!$B$2:$B$2705,"&lt;="&amp;$C$5))</f>
        <v/>
      </c>
      <c r="F51" s="11" t="str">
        <f aca="false">IF(D51=0,"",AVERAGEIFS(Market_Panel!$P$2:$P$2705,Market_Panel!$A$2:$A$2705,B51,Market_Panel!$B$2:$B$2705,"&gt;="&amp;$B$5,Market_Panel!$B$2:$B$2705,"&lt;="&amp;$C$5))</f>
        <v/>
      </c>
      <c r="G51" s="11" t="str">
        <f aca="false">IF(D51=0,"",AVERAGEIFS(Market_Panel!$R$2:$R$2705,Market_Panel!$A$2:$A$2705,B51,Market_Panel!$B$2:$B$2705,"&gt;="&amp;$B$5,Market_Panel!$B$2:$B$2705,"&lt;="&amp;$C$5))</f>
        <v/>
      </c>
      <c r="H51" s="11" t="n">
        <f aca="false">IF(OR(D51=0,$H$5=0),0,AVERAGEIFS(Market_Panel!$Y$2:$Y$2705,Market_Panel!$A$2:$A$2705,B51,Market_Panel!$B$2:$B$2705,"&gt;="&amp;$B$5,Market_Panel!$B$2:$B$2705,"&lt;="&amp;$C$5))</f>
        <v>0</v>
      </c>
      <c r="I51" s="10" t="str">
        <f aca="false">IF(D51=0,"",$I$5+$F$5*F51+$G$5*G51+$H$5*H51)</f>
        <v/>
      </c>
      <c r="J51" s="5" t="str">
        <f aca="false">IF(D51&lt;5,"",(E51-I51)*162)</f>
        <v/>
      </c>
      <c r="K51" s="5" t="str">
        <f aca="false">IF(D51=0,"",E51*162)</f>
        <v/>
      </c>
      <c r="L51" s="3" t="n">
        <f aca="false">SUMIFS(Seasons!$L$2:$L$2865,Seasons!$A$2:$A$2865,B51,Seasons!$B$2:$B$2865,"&gt;="&amp;$B$5,Seasons!$B$2:$B$2865,"&lt;="&amp;$C$5)</f>
        <v>0</v>
      </c>
      <c r="M51" s="3" t="n">
        <f aca="false">SUMIFS(Seasons!$N$2:$N$2865,Seasons!$A$2:$A$2865,B51,Seasons!$B$2:$B$2865,"&gt;="&amp;$B$5,Seasons!$B$2:$B$2865,"&lt;="&amp;$C$5)</f>
        <v>0</v>
      </c>
      <c r="N51" s="3" t="n">
        <f aca="false">IF(J51="",-1000000,J51+ROW()*0.000000001)</f>
        <v>-1000000</v>
      </c>
      <c r="O51" s="3" t="str">
        <f aca="false">IF(J51="","",SUMPRODUCT(($A$25:$A$534=A51)*($N$25:$N$534&gt;N51))+1)</f>
        <v/>
      </c>
      <c r="P51" s="3" t="str">
        <f aca="false">A51&amp;"|"&amp;O51</f>
        <v>1900s|</v>
      </c>
    </row>
    <row r="52" customFormat="false" ht="15" hidden="false" customHeight="true" outlineLevel="0" collapsed="false">
      <c r="A52" s="1" t="s">
        <v>9</v>
      </c>
      <c r="B52" s="7" t="s">
        <v>83</v>
      </c>
      <c r="C52" s="1" t="s">
        <v>72</v>
      </c>
      <c r="D52" s="3" t="n">
        <f aca="false">COUNTIFS(Market_Panel!$A$2:$A$2705,B52,Market_Panel!$B$2:$B$2705,"&gt;="&amp;$B$5,Market_Panel!$B$2:$B$2705,"&lt;="&amp;$C$5)</f>
        <v>0</v>
      </c>
      <c r="E52" s="10" t="str">
        <f aca="false">IF(D52=0,"",AVERAGEIFS(Market_Panel!$M$2:$M$2705,Market_Panel!$A$2:$A$2705,B52,Market_Panel!$B$2:$B$2705,"&gt;="&amp;$B$5,Market_Panel!$B$2:$B$2705,"&lt;="&amp;$C$5))</f>
        <v/>
      </c>
      <c r="F52" s="11" t="str">
        <f aca="false">IF(D52=0,"",AVERAGEIFS(Market_Panel!$P$2:$P$2705,Market_Panel!$A$2:$A$2705,B52,Market_Panel!$B$2:$B$2705,"&gt;="&amp;$B$5,Market_Panel!$B$2:$B$2705,"&lt;="&amp;$C$5))</f>
        <v/>
      </c>
      <c r="G52" s="11" t="str">
        <f aca="false">IF(D52=0,"",AVERAGEIFS(Market_Panel!$R$2:$R$2705,Market_Panel!$A$2:$A$2705,B52,Market_Panel!$B$2:$B$2705,"&gt;="&amp;$B$5,Market_Panel!$B$2:$B$2705,"&lt;="&amp;$C$5))</f>
        <v/>
      </c>
      <c r="H52" s="11" t="n">
        <f aca="false">IF(OR(D52=0,$H$5=0),0,AVERAGEIFS(Market_Panel!$Y$2:$Y$2705,Market_Panel!$A$2:$A$2705,B52,Market_Panel!$B$2:$B$2705,"&gt;="&amp;$B$5,Market_Panel!$B$2:$B$2705,"&lt;="&amp;$C$5))</f>
        <v>0</v>
      </c>
      <c r="I52" s="10" t="str">
        <f aca="false">IF(D52=0,"",$I$5+$F$5*F52+$G$5*G52+$H$5*H52)</f>
        <v/>
      </c>
      <c r="J52" s="5" t="str">
        <f aca="false">IF(D52&lt;5,"",(E52-I52)*162)</f>
        <v/>
      </c>
      <c r="K52" s="5" t="str">
        <f aca="false">IF(D52=0,"",E52*162)</f>
        <v/>
      </c>
      <c r="L52" s="3" t="n">
        <f aca="false">SUMIFS(Seasons!$L$2:$L$2865,Seasons!$A$2:$A$2865,B52,Seasons!$B$2:$B$2865,"&gt;="&amp;$B$5,Seasons!$B$2:$B$2865,"&lt;="&amp;$C$5)</f>
        <v>0</v>
      </c>
      <c r="M52" s="3" t="n">
        <f aca="false">SUMIFS(Seasons!$N$2:$N$2865,Seasons!$A$2:$A$2865,B52,Seasons!$B$2:$B$2865,"&gt;="&amp;$B$5,Seasons!$B$2:$B$2865,"&lt;="&amp;$C$5)</f>
        <v>0</v>
      </c>
      <c r="N52" s="3" t="n">
        <f aca="false">IF(J52="",-1000000,J52+ROW()*0.000000001)</f>
        <v>-1000000</v>
      </c>
      <c r="O52" s="3" t="str">
        <f aca="false">IF(J52="","",SUMPRODUCT(($A$25:$A$534=A52)*($N$25:$N$534&gt;N52))+1)</f>
        <v/>
      </c>
      <c r="P52" s="3" t="str">
        <f aca="false">A52&amp;"|"&amp;O52</f>
        <v>1900s|</v>
      </c>
    </row>
    <row r="53" customFormat="false" ht="15" hidden="false" customHeight="true" outlineLevel="0" collapsed="false">
      <c r="A53" s="1" t="s">
        <v>9</v>
      </c>
      <c r="B53" s="7" t="s">
        <v>84</v>
      </c>
      <c r="C53" s="1" t="s">
        <v>72</v>
      </c>
      <c r="D53" s="3" t="n">
        <f aca="false">COUNTIFS(Market_Panel!$A$2:$A$2705,B53,Market_Panel!$B$2:$B$2705,"&gt;="&amp;$B$5,Market_Panel!$B$2:$B$2705,"&lt;="&amp;$C$5)</f>
        <v>0</v>
      </c>
      <c r="E53" s="10" t="str">
        <f aca="false">IF(D53=0,"",AVERAGEIFS(Market_Panel!$M$2:$M$2705,Market_Panel!$A$2:$A$2705,B53,Market_Panel!$B$2:$B$2705,"&gt;="&amp;$B$5,Market_Panel!$B$2:$B$2705,"&lt;="&amp;$C$5))</f>
        <v/>
      </c>
      <c r="F53" s="11" t="str">
        <f aca="false">IF(D53=0,"",AVERAGEIFS(Market_Panel!$P$2:$P$2705,Market_Panel!$A$2:$A$2705,B53,Market_Panel!$B$2:$B$2705,"&gt;="&amp;$B$5,Market_Panel!$B$2:$B$2705,"&lt;="&amp;$C$5))</f>
        <v/>
      </c>
      <c r="G53" s="11" t="str">
        <f aca="false">IF(D53=0,"",AVERAGEIFS(Market_Panel!$R$2:$R$2705,Market_Panel!$A$2:$A$2705,B53,Market_Panel!$B$2:$B$2705,"&gt;="&amp;$B$5,Market_Panel!$B$2:$B$2705,"&lt;="&amp;$C$5))</f>
        <v/>
      </c>
      <c r="H53" s="11" t="n">
        <f aca="false">IF(OR(D53=0,$H$5=0),0,AVERAGEIFS(Market_Panel!$Y$2:$Y$2705,Market_Panel!$A$2:$A$2705,B53,Market_Panel!$B$2:$B$2705,"&gt;="&amp;$B$5,Market_Panel!$B$2:$B$2705,"&lt;="&amp;$C$5))</f>
        <v>0</v>
      </c>
      <c r="I53" s="10" t="str">
        <f aca="false">IF(D53=0,"",$I$5+$F$5*F53+$G$5*G53+$H$5*H53)</f>
        <v/>
      </c>
      <c r="J53" s="5" t="str">
        <f aca="false">IF(D53&lt;5,"",(E53-I53)*162)</f>
        <v/>
      </c>
      <c r="K53" s="5" t="str">
        <f aca="false">IF(D53=0,"",E53*162)</f>
        <v/>
      </c>
      <c r="L53" s="3" t="n">
        <f aca="false">SUMIFS(Seasons!$L$2:$L$2865,Seasons!$A$2:$A$2865,B53,Seasons!$B$2:$B$2865,"&gt;="&amp;$B$5,Seasons!$B$2:$B$2865,"&lt;="&amp;$C$5)</f>
        <v>0</v>
      </c>
      <c r="M53" s="3" t="n">
        <f aca="false">SUMIFS(Seasons!$N$2:$N$2865,Seasons!$A$2:$A$2865,B53,Seasons!$B$2:$B$2865,"&gt;="&amp;$B$5,Seasons!$B$2:$B$2865,"&lt;="&amp;$C$5)</f>
        <v>0</v>
      </c>
      <c r="N53" s="3" t="n">
        <f aca="false">IF(J53="",-1000000,J53+ROW()*0.000000001)</f>
        <v>-1000000</v>
      </c>
      <c r="O53" s="3" t="str">
        <f aca="false">IF(J53="","",SUMPRODUCT(($A$25:$A$534=A53)*($N$25:$N$534&gt;N53))+1)</f>
        <v/>
      </c>
      <c r="P53" s="3" t="str">
        <f aca="false">A53&amp;"|"&amp;O53</f>
        <v>1900s|</v>
      </c>
    </row>
    <row r="54" customFormat="false" ht="15" hidden="false" customHeight="true" outlineLevel="0" collapsed="false">
      <c r="A54" s="1" t="s">
        <v>9</v>
      </c>
      <c r="B54" s="7" t="s">
        <v>85</v>
      </c>
      <c r="C54" s="1" t="s">
        <v>72</v>
      </c>
      <c r="D54" s="3" t="n">
        <f aca="false">COUNTIFS(Market_Panel!$A$2:$A$2705,B54,Market_Panel!$B$2:$B$2705,"&gt;="&amp;$B$5,Market_Panel!$B$2:$B$2705,"&lt;="&amp;$C$5)</f>
        <v>0</v>
      </c>
      <c r="E54" s="10" t="str">
        <f aca="false">IF(D54=0,"",AVERAGEIFS(Market_Panel!$M$2:$M$2705,Market_Panel!$A$2:$A$2705,B54,Market_Panel!$B$2:$B$2705,"&gt;="&amp;$B$5,Market_Panel!$B$2:$B$2705,"&lt;="&amp;$C$5))</f>
        <v/>
      </c>
      <c r="F54" s="11" t="str">
        <f aca="false">IF(D54=0,"",AVERAGEIFS(Market_Panel!$P$2:$P$2705,Market_Panel!$A$2:$A$2705,B54,Market_Panel!$B$2:$B$2705,"&gt;="&amp;$B$5,Market_Panel!$B$2:$B$2705,"&lt;="&amp;$C$5))</f>
        <v/>
      </c>
      <c r="G54" s="11" t="str">
        <f aca="false">IF(D54=0,"",AVERAGEIFS(Market_Panel!$R$2:$R$2705,Market_Panel!$A$2:$A$2705,B54,Market_Panel!$B$2:$B$2705,"&gt;="&amp;$B$5,Market_Panel!$B$2:$B$2705,"&lt;="&amp;$C$5))</f>
        <v/>
      </c>
      <c r="H54" s="11" t="n">
        <f aca="false">IF(OR(D54=0,$H$5=0),0,AVERAGEIFS(Market_Panel!$Y$2:$Y$2705,Market_Panel!$A$2:$A$2705,B54,Market_Panel!$B$2:$B$2705,"&gt;="&amp;$B$5,Market_Panel!$B$2:$B$2705,"&lt;="&amp;$C$5))</f>
        <v>0</v>
      </c>
      <c r="I54" s="10" t="str">
        <f aca="false">IF(D54=0,"",$I$5+$F$5*F54+$G$5*G54+$H$5*H54)</f>
        <v/>
      </c>
      <c r="J54" s="5" t="str">
        <f aca="false">IF(D54&lt;5,"",(E54-I54)*162)</f>
        <v/>
      </c>
      <c r="K54" s="5" t="str">
        <f aca="false">IF(D54=0,"",E54*162)</f>
        <v/>
      </c>
      <c r="L54" s="3" t="n">
        <f aca="false">SUMIFS(Seasons!$L$2:$L$2865,Seasons!$A$2:$A$2865,B54,Seasons!$B$2:$B$2865,"&gt;="&amp;$B$5,Seasons!$B$2:$B$2865,"&lt;="&amp;$C$5)</f>
        <v>0</v>
      </c>
      <c r="M54" s="3" t="n">
        <f aca="false">SUMIFS(Seasons!$N$2:$N$2865,Seasons!$A$2:$A$2865,B54,Seasons!$B$2:$B$2865,"&gt;="&amp;$B$5,Seasons!$B$2:$B$2865,"&lt;="&amp;$C$5)</f>
        <v>0</v>
      </c>
      <c r="N54" s="3" t="n">
        <f aca="false">IF(J54="",-1000000,J54+ROW()*0.000000001)</f>
        <v>-1000000</v>
      </c>
      <c r="O54" s="3" t="str">
        <f aca="false">IF(J54="","",SUMPRODUCT(($A$25:$A$534=A54)*($N$25:$N$534&gt;N54))+1)</f>
        <v/>
      </c>
      <c r="P54" s="3" t="str">
        <f aca="false">A54&amp;"|"&amp;O54</f>
        <v>1900s|</v>
      </c>
    </row>
    <row r="55" customFormat="false" ht="15" hidden="false" customHeight="true" outlineLevel="0" collapsed="false">
      <c r="A55" s="1" t="s">
        <v>10</v>
      </c>
      <c r="B55" s="7" t="s">
        <v>54</v>
      </c>
      <c r="C55" s="1" t="s">
        <v>55</v>
      </c>
      <c r="D55" s="3" t="n">
        <f aca="false">COUNTIFS(Market_Panel!$A$2:$A$2705,B55,Market_Panel!$B$2:$B$2705,"&gt;="&amp;$B$6,Market_Panel!$B$2:$B$2705,"&lt;="&amp;$C$6)</f>
        <v>10</v>
      </c>
      <c r="E55" s="10" t="n">
        <f aca="false">IF(D55=0,"",AVERAGEIFS(Market_Panel!$M$2:$M$2705,Market_Panel!$A$2:$A$2705,B55,Market_Panel!$B$2:$B$2705,"&gt;="&amp;$B$6,Market_Panel!$B$2:$B$2705,"&lt;="&amp;$C$6))</f>
        <v>-0.0511080655391887</v>
      </c>
      <c r="F55" s="11" t="n">
        <f aca="false">IF(D55=0,"",AVERAGEIFS(Market_Panel!$P$2:$P$2705,Market_Panel!$A$2:$A$2705,B55,Market_Panel!$B$2:$B$2705,"&gt;="&amp;$B$6,Market_Panel!$B$2:$B$2705,"&lt;="&amp;$C$6))</f>
        <v>-0.676220509754688</v>
      </c>
      <c r="G55" s="11" t="n">
        <f aca="false">IF(D55=0,"",AVERAGEIFS(Market_Panel!$R$2:$R$2705,Market_Panel!$A$2:$A$2705,B55,Market_Panel!$B$2:$B$2705,"&gt;="&amp;$B$6,Market_Panel!$B$2:$B$2705,"&lt;="&amp;$C$6))</f>
        <v>0</v>
      </c>
      <c r="H55" s="11" t="n">
        <f aca="false">IF(OR(D55=0,$H$6=0),0,AVERAGEIFS(Market_Panel!$Y$2:$Y$2705,Market_Panel!$A$2:$A$2705,B55,Market_Panel!$B$2:$B$2705,"&gt;="&amp;$B$6,Market_Panel!$B$2:$B$2705,"&lt;="&amp;$C$6))</f>
        <v>0</v>
      </c>
      <c r="I55" s="10" t="n">
        <f aca="false">IF(D55=0,"",$I$6+$F$6*F55+$G$6*G55+$H$6*H55)</f>
        <v>-0.0208005257369099</v>
      </c>
      <c r="J55" s="5" t="n">
        <f aca="false">IF(D55&lt;5,"",(E55-I55)*162)</f>
        <v>-4.90982144796917</v>
      </c>
      <c r="K55" s="5" t="n">
        <f aca="false">IF(D55=0,"",E55*162)</f>
        <v>-8.27950661734856</v>
      </c>
      <c r="L55" s="3" t="n">
        <f aca="false">SUMIFS(Seasons!$L$2:$L$2865,Seasons!$A$2:$A$2865,B55,Seasons!$B$2:$B$2865,"&gt;="&amp;$B$6,Seasons!$B$2:$B$2865,"&lt;="&amp;$C$6)</f>
        <v>1</v>
      </c>
      <c r="M55" s="3" t="n">
        <f aca="false">SUMIFS(Seasons!$N$2:$N$2865,Seasons!$A$2:$A$2865,B55,Seasons!$B$2:$B$2865,"&gt;="&amp;$B$6,Seasons!$B$2:$B$2865,"&lt;="&amp;$C$6)</f>
        <v>1</v>
      </c>
      <c r="N55" s="3" t="n">
        <f aca="false">IF(J55="",-1000000,J55+ROW()*0.000000001)</f>
        <v>-4.90982139296917</v>
      </c>
      <c r="O55" s="3" t="n">
        <f aca="false">IF(J55="","",SUMPRODUCT(($A$25:$A$534=A55)*($N$25:$N$534&gt;N55))+1)</f>
        <v>12</v>
      </c>
      <c r="P55" s="3" t="str">
        <f aca="false">A55&amp;"|"&amp;O55</f>
        <v>1910s|12</v>
      </c>
    </row>
    <row r="56" customFormat="false" ht="15" hidden="false" customHeight="true" outlineLevel="0" collapsed="false">
      <c r="A56" s="1" t="s">
        <v>10</v>
      </c>
      <c r="B56" s="7" t="s">
        <v>56</v>
      </c>
      <c r="C56" s="1" t="s">
        <v>55</v>
      </c>
      <c r="D56" s="3" t="n">
        <f aca="false">COUNTIFS(Market_Panel!$A$2:$A$2705,B56,Market_Panel!$B$2:$B$2705,"&gt;="&amp;$B$6,Market_Panel!$B$2:$B$2705,"&lt;="&amp;$C$6)</f>
        <v>10</v>
      </c>
      <c r="E56" s="10" t="n">
        <f aca="false">IF(D56=0,"",AVERAGEIFS(Market_Panel!$M$2:$M$2705,Market_Panel!$A$2:$A$2705,B56,Market_Panel!$B$2:$B$2705,"&gt;="&amp;$B$6,Market_Panel!$B$2:$B$2705,"&lt;="&amp;$C$6))</f>
        <v>0.0543742980278912</v>
      </c>
      <c r="F56" s="11" t="n">
        <f aca="false">IF(D56=0,"",AVERAGEIFS(Market_Panel!$P$2:$P$2705,Market_Panel!$A$2:$A$2705,B56,Market_Panel!$B$2:$B$2705,"&gt;="&amp;$B$6,Market_Panel!$B$2:$B$2705,"&lt;="&amp;$C$6))</f>
        <v>0.551391889787896</v>
      </c>
      <c r="G56" s="11" t="n">
        <f aca="false">IF(D56=0,"",AVERAGEIFS(Market_Panel!$R$2:$R$2705,Market_Panel!$A$2:$A$2705,B56,Market_Panel!$B$2:$B$2705,"&gt;="&amp;$B$6,Market_Panel!$B$2:$B$2705,"&lt;="&amp;$C$6))</f>
        <v>0</v>
      </c>
      <c r="H56" s="11" t="n">
        <f aca="false">IF(OR(D56=0,$H$6=0),0,AVERAGEIFS(Market_Panel!$Y$2:$Y$2705,Market_Panel!$A$2:$A$2705,B56,Market_Panel!$B$2:$B$2705,"&gt;="&amp;$B$6,Market_Panel!$B$2:$B$2705,"&lt;="&amp;$C$6))</f>
        <v>0</v>
      </c>
      <c r="I56" s="10" t="n">
        <f aca="false">IF(D56=0,"",$I$6+$F$6*F56+$G$6*G56+$H$6*H56)</f>
        <v>0.016960800551313</v>
      </c>
      <c r="J56" s="5" t="n">
        <f aca="false">IF(D56&lt;5,"",(E56-I56)*162)</f>
        <v>6.06098659120566</v>
      </c>
      <c r="K56" s="5" t="n">
        <f aca="false">IF(D56=0,"",E56*162)</f>
        <v>8.80863628051837</v>
      </c>
      <c r="L56" s="3" t="n">
        <f aca="false">SUMIFS(Seasons!$L$2:$L$2865,Seasons!$A$2:$A$2865,B56,Seasons!$B$2:$B$2865,"&gt;="&amp;$B$6,Seasons!$B$2:$B$2865,"&lt;="&amp;$C$6)</f>
        <v>2</v>
      </c>
      <c r="M56" s="3" t="n">
        <f aca="false">SUMIFS(Seasons!$N$2:$N$2865,Seasons!$A$2:$A$2865,B56,Seasons!$B$2:$B$2865,"&gt;="&amp;$B$6,Seasons!$B$2:$B$2865,"&lt;="&amp;$C$6)</f>
        <v>0</v>
      </c>
      <c r="N56" s="3" t="n">
        <f aca="false">IF(J56="",-1000000,J56+ROW()*0.000000001)</f>
        <v>6.06098664720566</v>
      </c>
      <c r="O56" s="3" t="n">
        <f aca="false">IF(J56="","",SUMPRODUCT(($A$25:$A$534=A56)*($N$25:$N$534&gt;N56))+1)</f>
        <v>3</v>
      </c>
      <c r="P56" s="3" t="str">
        <f aca="false">A56&amp;"|"&amp;O56</f>
        <v>1910s|3</v>
      </c>
    </row>
    <row r="57" customFormat="false" ht="15" hidden="false" customHeight="true" outlineLevel="0" collapsed="false">
      <c r="A57" s="1" t="s">
        <v>10</v>
      </c>
      <c r="B57" s="7" t="s">
        <v>57</v>
      </c>
      <c r="C57" s="1" t="s">
        <v>55</v>
      </c>
      <c r="D57" s="3" t="n">
        <f aca="false">COUNTIFS(Market_Panel!$A$2:$A$2705,B57,Market_Panel!$B$2:$B$2705,"&gt;="&amp;$B$6,Market_Panel!$B$2:$B$2705,"&lt;="&amp;$C$6)</f>
        <v>10</v>
      </c>
      <c r="E57" s="10" t="n">
        <f aca="false">IF(D57=0,"",AVERAGEIFS(Market_Panel!$M$2:$M$2705,Market_Panel!$A$2:$A$2705,B57,Market_Panel!$B$2:$B$2705,"&gt;="&amp;$B$6,Market_Panel!$B$2:$B$2705,"&lt;="&amp;$C$6))</f>
        <v>-0.0180447036460695</v>
      </c>
      <c r="F57" s="11" t="n">
        <f aca="false">IF(D57=0,"",AVERAGEIFS(Market_Panel!$P$2:$P$2705,Market_Panel!$A$2:$A$2705,B57,Market_Panel!$B$2:$B$2705,"&gt;="&amp;$B$6,Market_Panel!$B$2:$B$2705,"&lt;="&amp;$C$6))</f>
        <v>-0.600047496018345</v>
      </c>
      <c r="G57" s="11" t="n">
        <f aca="false">IF(D57=0,"",AVERAGEIFS(Market_Panel!$R$2:$R$2705,Market_Panel!$A$2:$A$2705,B57,Market_Panel!$B$2:$B$2705,"&gt;="&amp;$B$6,Market_Panel!$B$2:$B$2705,"&lt;="&amp;$C$6))</f>
        <v>0</v>
      </c>
      <c r="H57" s="11" t="n">
        <f aca="false">IF(OR(D57=0,$H$6=0),0,AVERAGEIFS(Market_Panel!$Y$2:$Y$2705,Market_Panel!$A$2:$A$2705,B57,Market_Panel!$B$2:$B$2705,"&gt;="&amp;$B$6,Market_Panel!$B$2:$B$2705,"&lt;="&amp;$C$6))</f>
        <v>0</v>
      </c>
      <c r="I57" s="10" t="n">
        <f aca="false">IF(D57=0,"",$I$6+$F$6*F57+$G$6*G57+$H$6*H57)</f>
        <v>-0.0184574457654734</v>
      </c>
      <c r="J57" s="5" t="n">
        <f aca="false">IF(D57&lt;5,"",(E57-I57)*162)</f>
        <v>0.0668642233434364</v>
      </c>
      <c r="K57" s="5" t="n">
        <f aca="false">IF(D57=0,"",E57*162)</f>
        <v>-2.92324199066325</v>
      </c>
      <c r="L57" s="3" t="n">
        <f aca="false">SUMIFS(Seasons!$L$2:$L$2865,Seasons!$A$2:$A$2865,B57,Seasons!$B$2:$B$2865,"&gt;="&amp;$B$6,Seasons!$B$2:$B$2865,"&lt;="&amp;$C$6)</f>
        <v>1</v>
      </c>
      <c r="M57" s="3" t="n">
        <f aca="false">SUMIFS(Seasons!$N$2:$N$2865,Seasons!$A$2:$A$2865,B57,Seasons!$B$2:$B$2865,"&gt;="&amp;$B$6,Seasons!$B$2:$B$2865,"&lt;="&amp;$C$6)</f>
        <v>1</v>
      </c>
      <c r="N57" s="3" t="n">
        <f aca="false">IF(J57="",-1000000,J57+ROW()*0.000000001)</f>
        <v>0.0668642803434364</v>
      </c>
      <c r="O57" s="3" t="n">
        <f aca="false">IF(J57="","",SUMPRODUCT(($A$25:$A$534=A57)*($N$25:$N$534&gt;N57))+1)</f>
        <v>10</v>
      </c>
      <c r="P57" s="3" t="str">
        <f aca="false">A57&amp;"|"&amp;O57</f>
        <v>1910s|10</v>
      </c>
    </row>
    <row r="58" customFormat="false" ht="15" hidden="false" customHeight="true" outlineLevel="0" collapsed="false">
      <c r="A58" s="1" t="s">
        <v>10</v>
      </c>
      <c r="B58" s="7" t="s">
        <v>58</v>
      </c>
      <c r="C58" s="1" t="s">
        <v>55</v>
      </c>
      <c r="D58" s="3" t="n">
        <f aca="false">COUNTIFS(Market_Panel!$A$2:$A$2705,B58,Market_Panel!$B$2:$B$2705,"&gt;="&amp;$B$6,Market_Panel!$B$2:$B$2705,"&lt;="&amp;$C$6)</f>
        <v>10</v>
      </c>
      <c r="E58" s="10" t="n">
        <f aca="false">IF(D58=0,"",AVERAGEIFS(Market_Panel!$M$2:$M$2705,Market_Panel!$A$2:$A$2705,B58,Market_Panel!$B$2:$B$2705,"&gt;="&amp;$B$6,Market_Panel!$B$2:$B$2705,"&lt;="&amp;$C$6))</f>
        <v>-0.00401975309031658</v>
      </c>
      <c r="F58" s="11" t="n">
        <f aca="false">IF(D58=0,"",AVERAGEIFS(Market_Panel!$P$2:$P$2705,Market_Panel!$A$2:$A$2705,B58,Market_Panel!$B$2:$B$2705,"&gt;="&amp;$B$6,Market_Panel!$B$2:$B$2705,"&lt;="&amp;$C$6))</f>
        <v>-0.216514113953438</v>
      </c>
      <c r="G58" s="11" t="n">
        <f aca="false">IF(D58=0,"",AVERAGEIFS(Market_Panel!$R$2:$R$2705,Market_Panel!$A$2:$A$2705,B58,Market_Panel!$B$2:$B$2705,"&gt;="&amp;$B$6,Market_Panel!$B$2:$B$2705,"&lt;="&amp;$C$6))</f>
        <v>0</v>
      </c>
      <c r="H58" s="11" t="n">
        <f aca="false">IF(OR(D58=0,$H$6=0),0,AVERAGEIFS(Market_Panel!$Y$2:$Y$2705,Market_Panel!$A$2:$A$2705,B58,Market_Panel!$B$2:$B$2705,"&gt;="&amp;$B$6,Market_Panel!$B$2:$B$2705,"&lt;="&amp;$C$6))</f>
        <v>0</v>
      </c>
      <c r="I58" s="10" t="n">
        <f aca="false">IF(D58=0,"",$I$6+$F$6*F58+$G$6*G58+$H$6*H58)</f>
        <v>-0.00665996865626939</v>
      </c>
      <c r="J58" s="5" t="n">
        <f aca="false">IF(D58&lt;5,"",(E58-I58)*162)</f>
        <v>0.427714921684356</v>
      </c>
      <c r="K58" s="5" t="n">
        <f aca="false">IF(D58=0,"",E58*162)</f>
        <v>-0.651200000631285</v>
      </c>
      <c r="L58" s="3" t="n">
        <f aca="false">SUMIFS(Seasons!$L$2:$L$2865,Seasons!$A$2:$A$2865,B58,Seasons!$B$2:$B$2865,"&gt;="&amp;$B$6,Seasons!$B$2:$B$2865,"&lt;="&amp;$C$6)</f>
        <v>0</v>
      </c>
      <c r="M58" s="3" t="n">
        <f aca="false">SUMIFS(Seasons!$N$2:$N$2865,Seasons!$A$2:$A$2865,B58,Seasons!$B$2:$B$2865,"&gt;="&amp;$B$6,Seasons!$B$2:$B$2865,"&lt;="&amp;$C$6)</f>
        <v>0</v>
      </c>
      <c r="N58" s="3" t="n">
        <f aca="false">IF(J58="",-1000000,J58+ROW()*0.000000001)</f>
        <v>0.427714979684356</v>
      </c>
      <c r="O58" s="3" t="n">
        <f aca="false">IF(J58="","",SUMPRODUCT(($A$25:$A$534=A58)*($N$25:$N$534&gt;N58))+1)</f>
        <v>8</v>
      </c>
      <c r="P58" s="3" t="str">
        <f aca="false">A58&amp;"|"&amp;O58</f>
        <v>1910s|8</v>
      </c>
    </row>
    <row r="59" customFormat="false" ht="15" hidden="false" customHeight="true" outlineLevel="0" collapsed="false">
      <c r="A59" s="1" t="s">
        <v>10</v>
      </c>
      <c r="B59" s="7" t="s">
        <v>59</v>
      </c>
      <c r="C59" s="1" t="s">
        <v>55</v>
      </c>
      <c r="D59" s="3" t="n">
        <f aca="false">COUNTIFS(Market_Panel!$A$2:$A$2705,B59,Market_Panel!$B$2:$B$2705,"&gt;="&amp;$B$6,Market_Panel!$B$2:$B$2705,"&lt;="&amp;$C$6)</f>
        <v>10</v>
      </c>
      <c r="E59" s="10" t="n">
        <f aca="false">IF(D59=0,"",AVERAGEIFS(Market_Panel!$M$2:$M$2705,Market_Panel!$A$2:$A$2705,B59,Market_Panel!$B$2:$B$2705,"&gt;="&amp;$B$6,Market_Panel!$B$2:$B$2705,"&lt;="&amp;$C$6))</f>
        <v>-0.0611712016402122</v>
      </c>
      <c r="F59" s="11" t="n">
        <f aca="false">IF(D59=0,"",AVERAGEIFS(Market_Panel!$P$2:$P$2705,Market_Panel!$A$2:$A$2705,B59,Market_Panel!$B$2:$B$2705,"&gt;="&amp;$B$6,Market_Panel!$B$2:$B$2705,"&lt;="&amp;$C$6))</f>
        <v>-0.648198017020304</v>
      </c>
      <c r="G59" s="11" t="n">
        <f aca="false">IF(D59=0,"",AVERAGEIFS(Market_Panel!$R$2:$R$2705,Market_Panel!$A$2:$A$2705,B59,Market_Panel!$B$2:$B$2705,"&gt;="&amp;$B$6,Market_Panel!$B$2:$B$2705,"&lt;="&amp;$C$6))</f>
        <v>0</v>
      </c>
      <c r="H59" s="11" t="n">
        <f aca="false">IF(OR(D59=0,$H$6=0),0,AVERAGEIFS(Market_Panel!$Y$2:$Y$2705,Market_Panel!$A$2:$A$2705,B59,Market_Panel!$B$2:$B$2705,"&gt;="&amp;$B$6,Market_Panel!$B$2:$B$2705,"&lt;="&amp;$C$6))</f>
        <v>0</v>
      </c>
      <c r="I59" s="10" t="n">
        <f aca="false">IF(D59=0,"",$I$6+$F$6*F59+$G$6*G59+$H$6*H59)</f>
        <v>-0.01993855457081</v>
      </c>
      <c r="J59" s="5" t="n">
        <f aca="false">IF(D59&lt;5,"",(E59-I59)*162)</f>
        <v>-6.67968882524317</v>
      </c>
      <c r="K59" s="5" t="n">
        <f aca="false">IF(D59=0,"",E59*162)</f>
        <v>-9.90973466571438</v>
      </c>
      <c r="L59" s="3" t="n">
        <f aca="false">SUMIFS(Seasons!$L$2:$L$2865,Seasons!$A$2:$A$2865,B59,Seasons!$B$2:$B$2865,"&gt;="&amp;$B$6,Seasons!$B$2:$B$2865,"&lt;="&amp;$C$6)</f>
        <v>0</v>
      </c>
      <c r="M59" s="3" t="n">
        <f aca="false">SUMIFS(Seasons!$N$2:$N$2865,Seasons!$A$2:$A$2865,B59,Seasons!$B$2:$B$2865,"&gt;="&amp;$B$6,Seasons!$B$2:$B$2865,"&lt;="&amp;$C$6)</f>
        <v>0</v>
      </c>
      <c r="N59" s="3" t="n">
        <f aca="false">IF(J59="",-1000000,J59+ROW()*0.000000001)</f>
        <v>-6.67968876624317</v>
      </c>
      <c r="O59" s="3" t="n">
        <f aca="false">IF(J59="","",SUMPRODUCT(($A$25:$A$534=A59)*($N$25:$N$534&gt;N59))+1)</f>
        <v>13</v>
      </c>
      <c r="P59" s="3" t="str">
        <f aca="false">A59&amp;"|"&amp;O59</f>
        <v>1910s|13</v>
      </c>
    </row>
    <row r="60" customFormat="false" ht="15" hidden="false" customHeight="true" outlineLevel="0" collapsed="false">
      <c r="A60" s="1" t="s">
        <v>10</v>
      </c>
      <c r="B60" s="7" t="s">
        <v>60</v>
      </c>
      <c r="C60" s="1" t="s">
        <v>55</v>
      </c>
      <c r="D60" s="3" t="n">
        <f aca="false">COUNTIFS(Market_Panel!$A$2:$A$2705,B60,Market_Panel!$B$2:$B$2705,"&gt;="&amp;$B$6,Market_Panel!$B$2:$B$2705,"&lt;="&amp;$C$6)</f>
        <v>10</v>
      </c>
      <c r="E60" s="10" t="n">
        <f aca="false">IF(D60=0,"",AVERAGEIFS(Market_Panel!$M$2:$M$2705,Market_Panel!$A$2:$A$2705,B60,Market_Panel!$B$2:$B$2705,"&gt;="&amp;$B$6,Market_Panel!$B$2:$B$2705,"&lt;="&amp;$C$6))</f>
        <v>0.0122832849086367</v>
      </c>
      <c r="F60" s="11" t="n">
        <f aca="false">IF(D60=0,"",AVERAGEIFS(Market_Panel!$P$2:$P$2705,Market_Panel!$A$2:$A$2705,B60,Market_Panel!$B$2:$B$2705,"&gt;="&amp;$B$6,Market_Panel!$B$2:$B$2705,"&lt;="&amp;$C$6))</f>
        <v>0.185282502403417</v>
      </c>
      <c r="G60" s="11" t="n">
        <f aca="false">IF(D60=0,"",AVERAGEIFS(Market_Panel!$R$2:$R$2705,Market_Panel!$A$2:$A$2705,B60,Market_Panel!$B$2:$B$2705,"&gt;="&amp;$B$6,Market_Panel!$B$2:$B$2705,"&lt;="&amp;$C$6))</f>
        <v>0</v>
      </c>
      <c r="H60" s="11" t="n">
        <f aca="false">IF(OR(D60=0,$H$6=0),0,AVERAGEIFS(Market_Panel!$Y$2:$Y$2705,Market_Panel!$A$2:$A$2705,B60,Market_Panel!$B$2:$B$2705,"&gt;="&amp;$B$6,Market_Panel!$B$2:$B$2705,"&lt;="&amp;$C$6))</f>
        <v>0</v>
      </c>
      <c r="I60" s="10" t="n">
        <f aca="false">IF(D60=0,"",$I$6+$F$6*F60+$G$6*G60+$H$6*H60)</f>
        <v>0.00569928507675617</v>
      </c>
      <c r="J60" s="5" t="n">
        <f aca="false">IF(D60&lt;5,"",(E60-I60)*162)</f>
        <v>1.06660797276465</v>
      </c>
      <c r="K60" s="5" t="n">
        <f aca="false">IF(D60=0,"",E60*162)</f>
        <v>1.98989215519915</v>
      </c>
      <c r="L60" s="3" t="n">
        <f aca="false">SUMIFS(Seasons!$L$2:$L$2865,Seasons!$A$2:$A$2865,B60,Seasons!$B$2:$B$2865,"&gt;="&amp;$B$6,Seasons!$B$2:$B$2865,"&lt;="&amp;$C$6)</f>
        <v>1</v>
      </c>
      <c r="M60" s="3" t="n">
        <f aca="false">SUMIFS(Seasons!$N$2:$N$2865,Seasons!$A$2:$A$2865,B60,Seasons!$B$2:$B$2865,"&gt;="&amp;$B$6,Seasons!$B$2:$B$2865,"&lt;="&amp;$C$6)</f>
        <v>0</v>
      </c>
      <c r="N60" s="3" t="n">
        <f aca="false">IF(J60="",-1000000,J60+ROW()*0.000000001)</f>
        <v>1.06660803276465</v>
      </c>
      <c r="O60" s="3" t="n">
        <f aca="false">IF(J60="","",SUMPRODUCT(($A$25:$A$534=A60)*($N$25:$N$534&gt;N60))+1)</f>
        <v>7</v>
      </c>
      <c r="P60" s="3" t="str">
        <f aca="false">A60&amp;"|"&amp;O60</f>
        <v>1910s|7</v>
      </c>
    </row>
    <row r="61" customFormat="false" ht="15" hidden="false" customHeight="true" outlineLevel="0" collapsed="false">
      <c r="A61" s="1" t="s">
        <v>10</v>
      </c>
      <c r="B61" s="7" t="s">
        <v>61</v>
      </c>
      <c r="C61" s="1" t="s">
        <v>55</v>
      </c>
      <c r="D61" s="3" t="n">
        <f aca="false">COUNTIFS(Market_Panel!$A$2:$A$2705,B61,Market_Panel!$B$2:$B$2705,"&gt;="&amp;$B$6,Market_Panel!$B$2:$B$2705,"&lt;="&amp;$C$6)</f>
        <v>10</v>
      </c>
      <c r="E61" s="10" t="n">
        <f aca="false">IF(D61=0,"",AVERAGEIFS(Market_Panel!$M$2:$M$2705,Market_Panel!$A$2:$A$2705,B61,Market_Panel!$B$2:$B$2705,"&gt;="&amp;$B$6,Market_Panel!$B$2:$B$2705,"&lt;="&amp;$C$6))</f>
        <v>0.0980387943489002</v>
      </c>
      <c r="F61" s="11" t="n">
        <f aca="false">IF(D61=0,"",AVERAGEIFS(Market_Panel!$P$2:$P$2705,Market_Panel!$A$2:$A$2705,B61,Market_Panel!$B$2:$B$2705,"&gt;="&amp;$B$6,Market_Panel!$B$2:$B$2705,"&lt;="&amp;$C$6))</f>
        <v>0.904503509915673</v>
      </c>
      <c r="G61" s="11" t="n">
        <f aca="false">IF(D61=0,"",AVERAGEIFS(Market_Panel!$R$2:$R$2705,Market_Panel!$A$2:$A$2705,B61,Market_Panel!$B$2:$B$2705,"&gt;="&amp;$B$6,Market_Panel!$B$2:$B$2705,"&lt;="&amp;$C$6))</f>
        <v>0</v>
      </c>
      <c r="H61" s="11" t="n">
        <f aca="false">IF(OR(D61=0,$H$6=0),0,AVERAGEIFS(Market_Panel!$Y$2:$Y$2705,Market_Panel!$A$2:$A$2705,B61,Market_Panel!$B$2:$B$2705,"&gt;="&amp;$B$6,Market_Panel!$B$2:$B$2705,"&lt;="&amp;$C$6))</f>
        <v>0</v>
      </c>
      <c r="I61" s="10" t="n">
        <f aca="false">IF(D61=0,"",$I$6+$F$6*F61+$G$6*G61+$H$6*H61)</f>
        <v>0.0278225050345655</v>
      </c>
      <c r="J61" s="5" t="n">
        <f aca="false">IF(D61&lt;5,"",(E61-I61)*162)</f>
        <v>11.3750388689222</v>
      </c>
      <c r="K61" s="5" t="n">
        <f aca="false">IF(D61=0,"",E61*162)</f>
        <v>15.8822846845218</v>
      </c>
      <c r="L61" s="3" t="n">
        <f aca="false">SUMIFS(Seasons!$L$2:$L$2865,Seasons!$A$2:$A$2865,B61,Seasons!$B$2:$B$2865,"&gt;="&amp;$B$6,Seasons!$B$2:$B$2865,"&lt;="&amp;$C$6)</f>
        <v>4</v>
      </c>
      <c r="M61" s="3" t="n">
        <f aca="false">SUMIFS(Seasons!$N$2:$N$2865,Seasons!$A$2:$A$2865,B61,Seasons!$B$2:$B$2865,"&gt;="&amp;$B$6,Seasons!$B$2:$B$2865,"&lt;="&amp;$C$6)</f>
        <v>0</v>
      </c>
      <c r="N61" s="3" t="n">
        <f aca="false">IF(J61="",-1000000,J61+ROW()*0.000000001)</f>
        <v>11.3750389299222</v>
      </c>
      <c r="O61" s="3" t="n">
        <f aca="false">IF(J61="","",SUMPRODUCT(($A$25:$A$534=A61)*($N$25:$N$534&gt;N61))+1)</f>
        <v>2</v>
      </c>
      <c r="P61" s="3" t="str">
        <f aca="false">A61&amp;"|"&amp;O61</f>
        <v>1910s|2</v>
      </c>
    </row>
    <row r="62" customFormat="false" ht="15" hidden="false" customHeight="true" outlineLevel="0" collapsed="false">
      <c r="A62" s="1" t="s">
        <v>10</v>
      </c>
      <c r="B62" s="7" t="s">
        <v>62</v>
      </c>
      <c r="C62" s="1" t="s">
        <v>55</v>
      </c>
      <c r="D62" s="3" t="n">
        <f aca="false">COUNTIFS(Market_Panel!$A$2:$A$2705,B62,Market_Panel!$B$2:$B$2705,"&gt;="&amp;$B$6,Market_Panel!$B$2:$B$2705,"&lt;="&amp;$C$6)</f>
        <v>10</v>
      </c>
      <c r="E62" s="10" t="n">
        <f aca="false">IF(D62=0,"",AVERAGEIFS(Market_Panel!$M$2:$M$2705,Market_Panel!$A$2:$A$2705,B62,Market_Panel!$B$2:$B$2705,"&gt;="&amp;$B$6,Market_Panel!$B$2:$B$2705,"&lt;="&amp;$C$6))</f>
        <v>-0.0309626799606974</v>
      </c>
      <c r="F62" s="11" t="n">
        <f aca="false">IF(D62=0,"",AVERAGEIFS(Market_Panel!$P$2:$P$2705,Market_Panel!$A$2:$A$2705,B62,Market_Panel!$B$2:$B$2705,"&gt;="&amp;$B$6,Market_Panel!$B$2:$B$2705,"&lt;="&amp;$C$6))</f>
        <v>0.904503509915673</v>
      </c>
      <c r="G62" s="11" t="n">
        <f aca="false">IF(D62=0,"",AVERAGEIFS(Market_Panel!$R$2:$R$2705,Market_Panel!$A$2:$A$2705,B62,Market_Panel!$B$2:$B$2705,"&gt;="&amp;$B$6,Market_Panel!$B$2:$B$2705,"&lt;="&amp;$C$6))</f>
        <v>0</v>
      </c>
      <c r="H62" s="11" t="n">
        <f aca="false">IF(OR(D62=0,$H$6=0),0,AVERAGEIFS(Market_Panel!$Y$2:$Y$2705,Market_Panel!$A$2:$A$2705,B62,Market_Panel!$B$2:$B$2705,"&gt;="&amp;$B$6,Market_Panel!$B$2:$B$2705,"&lt;="&amp;$C$6))</f>
        <v>0</v>
      </c>
      <c r="I62" s="10" t="n">
        <f aca="false">IF(D62=0,"",$I$6+$F$6*F62+$G$6*G62+$H$6*H62)</f>
        <v>0.0278225050345655</v>
      </c>
      <c r="J62" s="5" t="n">
        <f aca="false">IF(D62&lt;5,"",(E62-I62)*162)</f>
        <v>-9.5231999692326</v>
      </c>
      <c r="K62" s="5" t="n">
        <f aca="false">IF(D62=0,"",E62*162)</f>
        <v>-5.01595415363298</v>
      </c>
      <c r="L62" s="3" t="n">
        <f aca="false">SUMIFS(Seasons!$L$2:$L$2865,Seasons!$A$2:$A$2865,B62,Seasons!$B$2:$B$2865,"&gt;="&amp;$B$6,Seasons!$B$2:$B$2865,"&lt;="&amp;$C$6)</f>
        <v>1</v>
      </c>
      <c r="M62" s="3" t="n">
        <f aca="false">SUMIFS(Seasons!$N$2:$N$2865,Seasons!$A$2:$A$2865,B62,Seasons!$B$2:$B$2865,"&gt;="&amp;$B$6,Seasons!$B$2:$B$2865,"&lt;="&amp;$C$6)</f>
        <v>0</v>
      </c>
      <c r="N62" s="3" t="n">
        <f aca="false">IF(J62="",-1000000,J62+ROW()*0.000000001)</f>
        <v>-9.5231999072326</v>
      </c>
      <c r="O62" s="3" t="n">
        <f aca="false">IF(J62="","",SUMPRODUCT(($A$25:$A$534=A62)*($N$25:$N$534&gt;N62))+1)</f>
        <v>15</v>
      </c>
      <c r="P62" s="3" t="str">
        <f aca="false">A62&amp;"|"&amp;O62</f>
        <v>1910s|15</v>
      </c>
    </row>
    <row r="63" customFormat="false" ht="15" hidden="false" customHeight="true" outlineLevel="0" collapsed="false">
      <c r="A63" s="1" t="s">
        <v>10</v>
      </c>
      <c r="B63" s="7" t="s">
        <v>63</v>
      </c>
      <c r="C63" s="1" t="s">
        <v>55</v>
      </c>
      <c r="D63" s="3" t="n">
        <f aca="false">COUNTIFS(Market_Panel!$A$2:$A$2705,B63,Market_Panel!$B$2:$B$2705,"&gt;="&amp;$B$6,Market_Panel!$B$2:$B$2705,"&lt;="&amp;$C$6)</f>
        <v>10</v>
      </c>
      <c r="E63" s="10" t="n">
        <f aca="false">IF(D63=0,"",AVERAGEIFS(Market_Panel!$M$2:$M$2705,Market_Panel!$A$2:$A$2705,B63,Market_Panel!$B$2:$B$2705,"&gt;="&amp;$B$6,Market_Panel!$B$2:$B$2705,"&lt;="&amp;$C$6))</f>
        <v>-0.0968100496089633</v>
      </c>
      <c r="F63" s="11" t="n">
        <f aca="false">IF(D63=0,"",AVERAGEIFS(Market_Panel!$P$2:$P$2705,Market_Panel!$A$2:$A$2705,B63,Market_Panel!$B$2:$B$2705,"&gt;="&amp;$B$6,Market_Panel!$B$2:$B$2705,"&lt;="&amp;$C$6))</f>
        <v>-0.648198017020304</v>
      </c>
      <c r="G63" s="11" t="n">
        <f aca="false">IF(D63=0,"",AVERAGEIFS(Market_Panel!$R$2:$R$2705,Market_Panel!$A$2:$A$2705,B63,Market_Panel!$B$2:$B$2705,"&gt;="&amp;$B$6,Market_Panel!$B$2:$B$2705,"&lt;="&amp;$C$6))</f>
        <v>0</v>
      </c>
      <c r="H63" s="11" t="n">
        <f aca="false">IF(OR(D63=0,$H$6=0),0,AVERAGEIFS(Market_Panel!$Y$2:$Y$2705,Market_Panel!$A$2:$A$2705,B63,Market_Panel!$B$2:$B$2705,"&gt;="&amp;$B$6,Market_Panel!$B$2:$B$2705,"&lt;="&amp;$C$6))</f>
        <v>0</v>
      </c>
      <c r="I63" s="10" t="n">
        <f aca="false">IF(D63=0,"",$I$6+$F$6*F63+$G$6*G63+$H$6*H63)</f>
        <v>-0.01993855457081</v>
      </c>
      <c r="J63" s="5" t="n">
        <f aca="false">IF(D63&lt;5,"",(E63-I63)*162)</f>
        <v>-12.4531821961808</v>
      </c>
      <c r="K63" s="5" t="n">
        <f aca="false">IF(D63=0,"",E63*162)</f>
        <v>-15.6832280366521</v>
      </c>
      <c r="L63" s="3" t="n">
        <f aca="false">SUMIFS(Seasons!$L$2:$L$2865,Seasons!$A$2:$A$2865,B63,Seasons!$B$2:$B$2865,"&gt;="&amp;$B$6,Seasons!$B$2:$B$2865,"&lt;="&amp;$C$6)</f>
        <v>0</v>
      </c>
      <c r="M63" s="3" t="n">
        <f aca="false">SUMIFS(Seasons!$N$2:$N$2865,Seasons!$A$2:$A$2865,B63,Seasons!$B$2:$B$2865,"&gt;="&amp;$B$6,Seasons!$B$2:$B$2865,"&lt;="&amp;$C$6)</f>
        <v>0</v>
      </c>
      <c r="N63" s="3" t="n">
        <f aca="false">IF(J63="",-1000000,J63+ROW()*0.000000001)</f>
        <v>-12.4531821331808</v>
      </c>
      <c r="O63" s="3" t="n">
        <f aca="false">IF(J63="","",SUMPRODUCT(($A$25:$A$534=A63)*($N$25:$N$534&gt;N63))+1)</f>
        <v>16</v>
      </c>
      <c r="P63" s="3" t="str">
        <f aca="false">A63&amp;"|"&amp;O63</f>
        <v>1910s|16</v>
      </c>
    </row>
    <row r="64" customFormat="false" ht="15" hidden="false" customHeight="true" outlineLevel="0" collapsed="false">
      <c r="A64" s="1" t="s">
        <v>10</v>
      </c>
      <c r="B64" s="7" t="s">
        <v>64</v>
      </c>
      <c r="C64" s="1" t="s">
        <v>55</v>
      </c>
      <c r="D64" s="3" t="n">
        <f aca="false">COUNTIFS(Market_Panel!$A$2:$A$2705,B64,Market_Panel!$B$2:$B$2705,"&gt;="&amp;$B$6,Market_Panel!$B$2:$B$2705,"&lt;="&amp;$C$6)</f>
        <v>10</v>
      </c>
      <c r="E64" s="10" t="n">
        <f aca="false">IF(D64=0,"",AVERAGEIFS(Market_Panel!$M$2:$M$2705,Market_Panel!$A$2:$A$2705,B64,Market_Panel!$B$2:$B$2705,"&gt;="&amp;$B$6,Market_Panel!$B$2:$B$2705,"&lt;="&amp;$C$6))</f>
        <v>0.0780584413792135</v>
      </c>
      <c r="F64" s="11" t="n">
        <f aca="false">IF(D64=0,"",AVERAGEIFS(Market_Panel!$P$2:$P$2705,Market_Panel!$A$2:$A$2705,B64,Market_Panel!$B$2:$B$2705,"&gt;="&amp;$B$6,Market_Panel!$B$2:$B$2705,"&lt;="&amp;$C$6))</f>
        <v>-0.676220509754688</v>
      </c>
      <c r="G64" s="11" t="n">
        <f aca="false">IF(D64=0,"",AVERAGEIFS(Market_Panel!$R$2:$R$2705,Market_Panel!$A$2:$A$2705,B64,Market_Panel!$B$2:$B$2705,"&gt;="&amp;$B$6,Market_Panel!$B$2:$B$2705,"&lt;="&amp;$C$6))</f>
        <v>0</v>
      </c>
      <c r="H64" s="11" t="n">
        <f aca="false">IF(OR(D64=0,$H$6=0),0,AVERAGEIFS(Market_Panel!$Y$2:$Y$2705,Market_Panel!$A$2:$A$2705,B64,Market_Panel!$B$2:$B$2705,"&gt;="&amp;$B$6,Market_Panel!$B$2:$B$2705,"&lt;="&amp;$C$6))</f>
        <v>0</v>
      </c>
      <c r="I64" s="10" t="n">
        <f aca="false">IF(D64=0,"",$I$6+$F$6*F64+$G$6*G64+$H$6*H64)</f>
        <v>-0.0208005257369099</v>
      </c>
      <c r="J64" s="5" t="n">
        <f aca="false">IF(D64&lt;5,"",(E64-I64)*162)</f>
        <v>16.015152672812</v>
      </c>
      <c r="K64" s="5" t="n">
        <f aca="false">IF(D64=0,"",E64*162)</f>
        <v>12.6454675034326</v>
      </c>
      <c r="L64" s="3" t="n">
        <f aca="false">SUMIFS(Seasons!$L$2:$L$2865,Seasons!$A$2:$A$2865,B64,Seasons!$B$2:$B$2865,"&gt;="&amp;$B$6,Seasons!$B$2:$B$2865,"&lt;="&amp;$C$6)</f>
        <v>4</v>
      </c>
      <c r="M64" s="3" t="n">
        <f aca="false">SUMIFS(Seasons!$N$2:$N$2865,Seasons!$A$2:$A$2865,B64,Seasons!$B$2:$B$2865,"&gt;="&amp;$B$6,Seasons!$B$2:$B$2865,"&lt;="&amp;$C$6)</f>
        <v>4</v>
      </c>
      <c r="N64" s="3" t="n">
        <f aca="false">IF(J64="",-1000000,J64+ROW()*0.000000001)</f>
        <v>16.015152736812</v>
      </c>
      <c r="O64" s="3" t="n">
        <f aca="false">IF(J64="","",SUMPRODUCT(($A$25:$A$534=A64)*($N$25:$N$534&gt;N64))+1)</f>
        <v>1</v>
      </c>
      <c r="P64" s="3" t="str">
        <f aca="false">A64&amp;"|"&amp;O64</f>
        <v>1910s|1</v>
      </c>
    </row>
    <row r="65" customFormat="false" ht="15" hidden="false" customHeight="true" outlineLevel="0" collapsed="false">
      <c r="A65" s="1" t="s">
        <v>10</v>
      </c>
      <c r="B65" s="7" t="s">
        <v>65</v>
      </c>
      <c r="C65" s="1" t="s">
        <v>55</v>
      </c>
      <c r="D65" s="3" t="n">
        <f aca="false">COUNTIFS(Market_Panel!$A$2:$A$2705,B65,Market_Panel!$B$2:$B$2705,"&gt;="&amp;$B$6,Market_Panel!$B$2:$B$2705,"&lt;="&amp;$C$6)</f>
        <v>10</v>
      </c>
      <c r="E65" s="10" t="n">
        <f aca="false">IF(D65=0,"",AVERAGEIFS(Market_Panel!$M$2:$M$2705,Market_Panel!$A$2:$A$2705,B65,Market_Panel!$B$2:$B$2705,"&gt;="&amp;$B$6,Market_Panel!$B$2:$B$2705,"&lt;="&amp;$C$6))</f>
        <v>0.0348255653178436</v>
      </c>
      <c r="F65" s="11" t="n">
        <f aca="false">IF(D65=0,"",AVERAGEIFS(Market_Panel!$P$2:$P$2705,Market_Panel!$A$2:$A$2705,B65,Market_Panel!$B$2:$B$2705,"&gt;="&amp;$B$6,Market_Panel!$B$2:$B$2705,"&lt;="&amp;$C$6))</f>
        <v>0.551391889787896</v>
      </c>
      <c r="G65" s="11" t="n">
        <f aca="false">IF(D65=0,"",AVERAGEIFS(Market_Panel!$R$2:$R$2705,Market_Panel!$A$2:$A$2705,B65,Market_Panel!$B$2:$B$2705,"&gt;="&amp;$B$6,Market_Panel!$B$2:$B$2705,"&lt;="&amp;$C$6))</f>
        <v>0</v>
      </c>
      <c r="H65" s="11" t="n">
        <f aca="false">IF(OR(D65=0,$H$6=0),0,AVERAGEIFS(Market_Panel!$Y$2:$Y$2705,Market_Panel!$A$2:$A$2705,B65,Market_Panel!$B$2:$B$2705,"&gt;="&amp;$B$6,Market_Panel!$B$2:$B$2705,"&lt;="&amp;$C$6))</f>
        <v>0</v>
      </c>
      <c r="I65" s="10" t="n">
        <f aca="false">IF(D65=0,"",$I$6+$F$6*F65+$G$6*G65+$H$6*H65)</f>
        <v>0.016960800551313</v>
      </c>
      <c r="J65" s="5" t="n">
        <f aca="false">IF(D65&lt;5,"",(E65-I65)*162)</f>
        <v>2.89409189217795</v>
      </c>
      <c r="K65" s="5" t="n">
        <f aca="false">IF(D65=0,"",E65*162)</f>
        <v>5.64174158149066</v>
      </c>
      <c r="L65" s="3" t="n">
        <f aca="false">SUMIFS(Seasons!$L$2:$L$2865,Seasons!$A$2:$A$2865,B65,Seasons!$B$2:$B$2865,"&gt;="&amp;$B$6,Seasons!$B$2:$B$2865,"&lt;="&amp;$C$6)</f>
        <v>2</v>
      </c>
      <c r="M65" s="3" t="n">
        <f aca="false">SUMIFS(Seasons!$N$2:$N$2865,Seasons!$A$2:$A$2865,B65,Seasons!$B$2:$B$2865,"&gt;="&amp;$B$6,Seasons!$B$2:$B$2865,"&lt;="&amp;$C$6)</f>
        <v>1</v>
      </c>
      <c r="N65" s="3" t="n">
        <f aca="false">IF(J65="",-1000000,J65+ROW()*0.000000001)</f>
        <v>2.89409195717795</v>
      </c>
      <c r="O65" s="3" t="n">
        <f aca="false">IF(J65="","",SUMPRODUCT(($A$25:$A$534=A65)*($N$25:$N$534&gt;N65))+1)</f>
        <v>6</v>
      </c>
      <c r="P65" s="3" t="str">
        <f aca="false">A65&amp;"|"&amp;O65</f>
        <v>1910s|6</v>
      </c>
    </row>
    <row r="66" customFormat="false" ht="15" hidden="false" customHeight="true" outlineLevel="0" collapsed="false">
      <c r="A66" s="1" t="s">
        <v>10</v>
      </c>
      <c r="B66" s="7" t="s">
        <v>66</v>
      </c>
      <c r="C66" s="1" t="s">
        <v>55</v>
      </c>
      <c r="D66" s="3" t="n">
        <f aca="false">COUNTIFS(Market_Panel!$A$2:$A$2705,B66,Market_Panel!$B$2:$B$2705,"&gt;="&amp;$B$6,Market_Panel!$B$2:$B$2705,"&lt;="&amp;$C$6)</f>
        <v>10</v>
      </c>
      <c r="E66" s="10" t="n">
        <f aca="false">IF(D66=0,"",AVERAGEIFS(Market_Panel!$M$2:$M$2705,Market_Panel!$A$2:$A$2705,B66,Market_Panel!$B$2:$B$2705,"&gt;="&amp;$B$6,Market_Panel!$B$2:$B$2705,"&lt;="&amp;$C$6))</f>
        <v>0.000511113242638855</v>
      </c>
      <c r="F66" s="11" t="n">
        <f aca="false">IF(D66=0,"",AVERAGEIFS(Market_Panel!$P$2:$P$2705,Market_Panel!$A$2:$A$2705,B66,Market_Panel!$B$2:$B$2705,"&gt;="&amp;$B$6,Market_Panel!$B$2:$B$2705,"&lt;="&amp;$C$6))</f>
        <v>-0.053112691304767</v>
      </c>
      <c r="G66" s="11" t="n">
        <f aca="false">IF(D66=0,"",AVERAGEIFS(Market_Panel!$R$2:$R$2705,Market_Panel!$A$2:$A$2705,B66,Market_Panel!$B$2:$B$2705,"&gt;="&amp;$B$6,Market_Panel!$B$2:$B$2705,"&lt;="&amp;$C$6))</f>
        <v>0</v>
      </c>
      <c r="H66" s="11" t="n">
        <f aca="false">IF(OR(D66=0,$H$6=0),0,AVERAGEIFS(Market_Panel!$Y$2:$Y$2705,Market_Panel!$A$2:$A$2705,B66,Market_Panel!$B$2:$B$2705,"&gt;="&amp;$B$6,Market_Panel!$B$2:$B$2705,"&lt;="&amp;$C$6))</f>
        <v>0</v>
      </c>
      <c r="I66" s="10" t="n">
        <f aca="false">IF(D66=0,"",$I$6+$F$6*F66+$G$6*G66+$H$6*H66)</f>
        <v>-0.00163374503805295</v>
      </c>
      <c r="J66" s="5" t="n">
        <f aca="false">IF(D66&lt;5,"",(E66-I66)*162)</f>
        <v>0.347467041472073</v>
      </c>
      <c r="K66" s="5" t="n">
        <f aca="false">IF(D66=0,"",E66*162)</f>
        <v>0.0828003453074946</v>
      </c>
      <c r="L66" s="3" t="n">
        <f aca="false">SUMIFS(Seasons!$L$2:$L$2865,Seasons!$A$2:$A$2865,B66,Seasons!$B$2:$B$2865,"&gt;="&amp;$B$6,Seasons!$B$2:$B$2865,"&lt;="&amp;$C$6)</f>
        <v>0</v>
      </c>
      <c r="M66" s="3" t="n">
        <f aca="false">SUMIFS(Seasons!$N$2:$N$2865,Seasons!$A$2:$A$2865,B66,Seasons!$B$2:$B$2865,"&gt;="&amp;$B$6,Seasons!$B$2:$B$2865,"&lt;="&amp;$C$6)</f>
        <v>0</v>
      </c>
      <c r="N66" s="3" t="n">
        <f aca="false">IF(J66="",-1000000,J66+ROW()*0.000000001)</f>
        <v>0.347467107472073</v>
      </c>
      <c r="O66" s="3" t="n">
        <f aca="false">IF(J66="","",SUMPRODUCT(($A$25:$A$534=A66)*($N$25:$N$534&gt;N66))+1)</f>
        <v>9</v>
      </c>
      <c r="P66" s="3" t="str">
        <f aca="false">A66&amp;"|"&amp;O66</f>
        <v>1910s|9</v>
      </c>
    </row>
    <row r="67" customFormat="false" ht="15" hidden="false" customHeight="true" outlineLevel="0" collapsed="false">
      <c r="A67" s="1" t="s">
        <v>10</v>
      </c>
      <c r="B67" s="7" t="s">
        <v>67</v>
      </c>
      <c r="C67" s="1" t="s">
        <v>55</v>
      </c>
      <c r="D67" s="3" t="n">
        <f aca="false">COUNTIFS(Market_Panel!$A$2:$A$2705,B67,Market_Panel!$B$2:$B$2705,"&gt;="&amp;$B$6,Market_Panel!$B$2:$B$2705,"&lt;="&amp;$C$6)</f>
        <v>10</v>
      </c>
      <c r="E67" s="10" t="n">
        <f aca="false">IF(D67=0,"",AVERAGEIFS(Market_Panel!$M$2:$M$2705,Market_Panel!$A$2:$A$2705,B67,Market_Panel!$B$2:$B$2705,"&gt;="&amp;$B$6,Market_Panel!$B$2:$B$2705,"&lt;="&amp;$C$6))</f>
        <v>0.0273881437353074</v>
      </c>
      <c r="F67" s="11" t="n">
        <f aca="false">IF(D67=0,"",AVERAGEIFS(Market_Panel!$P$2:$P$2705,Market_Panel!$A$2:$A$2705,B67,Market_Panel!$B$2:$B$2705,"&gt;="&amp;$B$6,Market_Panel!$B$2:$B$2705,"&lt;="&amp;$C$6))</f>
        <v>-0.0557617263785781</v>
      </c>
      <c r="G67" s="11" t="n">
        <f aca="false">IF(D67=0,"",AVERAGEIFS(Market_Panel!$R$2:$R$2705,Market_Panel!$A$2:$A$2705,B67,Market_Panel!$B$2:$B$2705,"&gt;="&amp;$B$6,Market_Panel!$B$2:$B$2705,"&lt;="&amp;$C$6))</f>
        <v>0</v>
      </c>
      <c r="H67" s="11" t="n">
        <f aca="false">IF(OR(D67=0,$H$6=0),0,AVERAGEIFS(Market_Panel!$Y$2:$Y$2705,Market_Panel!$A$2:$A$2705,B67,Market_Panel!$B$2:$B$2705,"&gt;="&amp;$B$6,Market_Panel!$B$2:$B$2705,"&lt;="&amp;$C$6))</f>
        <v>0</v>
      </c>
      <c r="I67" s="10" t="n">
        <f aca="false">IF(D67=0,"",$I$6+$F$6*F67+$G$6*G67+$H$6*H67)</f>
        <v>-0.0017152292897666</v>
      </c>
      <c r="J67" s="5" t="n">
        <f aca="false">IF(D67&lt;5,"",(E67-I67)*162)</f>
        <v>4.71474643006198</v>
      </c>
      <c r="K67" s="5" t="n">
        <f aca="false">IF(D67=0,"",E67*162)</f>
        <v>4.43687928511979</v>
      </c>
      <c r="L67" s="3" t="n">
        <f aca="false">SUMIFS(Seasons!$L$2:$L$2865,Seasons!$A$2:$A$2865,B67,Seasons!$B$2:$B$2865,"&gt;="&amp;$B$6,Seasons!$B$2:$B$2865,"&lt;="&amp;$C$6)</f>
        <v>0</v>
      </c>
      <c r="M67" s="3" t="n">
        <f aca="false">SUMIFS(Seasons!$N$2:$N$2865,Seasons!$A$2:$A$2865,B67,Seasons!$B$2:$B$2865,"&gt;="&amp;$B$6,Seasons!$B$2:$B$2865,"&lt;="&amp;$C$6)</f>
        <v>0</v>
      </c>
      <c r="N67" s="3" t="n">
        <f aca="false">IF(J67="",-1000000,J67+ROW()*0.000000001)</f>
        <v>4.71474649706198</v>
      </c>
      <c r="O67" s="3" t="n">
        <f aca="false">IF(J67="","",SUMPRODUCT(($A$25:$A$534=A67)*($N$25:$N$534&gt;N67))+1)</f>
        <v>4</v>
      </c>
      <c r="P67" s="3" t="str">
        <f aca="false">A67&amp;"|"&amp;O67</f>
        <v>1910s|4</v>
      </c>
    </row>
    <row r="68" customFormat="false" ht="15" hidden="false" customHeight="true" outlineLevel="0" collapsed="false">
      <c r="A68" s="1" t="s">
        <v>10</v>
      </c>
      <c r="B68" s="7" t="s">
        <v>68</v>
      </c>
      <c r="C68" s="1" t="s">
        <v>55</v>
      </c>
      <c r="D68" s="3" t="n">
        <f aca="false">COUNTIFS(Market_Panel!$A$2:$A$2705,B68,Market_Panel!$B$2:$B$2705,"&gt;="&amp;$B$6,Market_Panel!$B$2:$B$2705,"&lt;="&amp;$C$6)</f>
        <v>10</v>
      </c>
      <c r="E68" s="10" t="n">
        <f aca="false">IF(D68=0,"",AVERAGEIFS(Market_Panel!$M$2:$M$2705,Market_Panel!$A$2:$A$2705,B68,Market_Panel!$B$2:$B$2705,"&gt;="&amp;$B$6,Market_Panel!$B$2:$B$2705,"&lt;="&amp;$C$6))</f>
        <v>0.00604549406625272</v>
      </c>
      <c r="F68" s="11" t="n">
        <f aca="false">IF(D68=0,"",AVERAGEIFS(Market_Panel!$P$2:$P$2705,Market_Panel!$A$2:$A$2705,B68,Market_Panel!$B$2:$B$2705,"&gt;="&amp;$B$6,Market_Panel!$B$2:$B$2705,"&lt;="&amp;$C$6))</f>
        <v>-0.612586232924536</v>
      </c>
      <c r="G68" s="11" t="n">
        <f aca="false">IF(D68=0,"",AVERAGEIFS(Market_Panel!$R$2:$R$2705,Market_Panel!$A$2:$A$2705,B68,Market_Panel!$B$2:$B$2705,"&gt;="&amp;$B$6,Market_Panel!$B$2:$B$2705,"&lt;="&amp;$C$6))</f>
        <v>0</v>
      </c>
      <c r="H68" s="11" t="n">
        <f aca="false">IF(OR(D68=0,$H$6=0),0,AVERAGEIFS(Market_Panel!$Y$2:$Y$2705,Market_Panel!$A$2:$A$2705,B68,Market_Panel!$B$2:$B$2705,"&gt;="&amp;$B$6,Market_Panel!$B$2:$B$2705,"&lt;="&amp;$C$6))</f>
        <v>0</v>
      </c>
      <c r="I68" s="10" t="n">
        <f aca="false">IF(D68=0,"",$I$6+$F$6*F68+$G$6*G68+$H$6*H68)</f>
        <v>-0.0188431369948331</v>
      </c>
      <c r="J68" s="5" t="n">
        <f aca="false">IF(D68&lt;5,"",(E68-I68)*162)</f>
        <v>4.03195823189591</v>
      </c>
      <c r="K68" s="5" t="n">
        <f aca="false">IF(D68=0,"",E68*162)</f>
        <v>0.97937003873294</v>
      </c>
      <c r="L68" s="3" t="n">
        <f aca="false">SUMIFS(Seasons!$L$2:$L$2865,Seasons!$A$2:$A$2865,B68,Seasons!$B$2:$B$2865,"&gt;="&amp;$B$6,Seasons!$B$2:$B$2865,"&lt;="&amp;$C$6)</f>
        <v>0</v>
      </c>
      <c r="M68" s="3" t="n">
        <f aca="false">SUMIFS(Seasons!$N$2:$N$2865,Seasons!$A$2:$A$2865,B68,Seasons!$B$2:$B$2865,"&gt;="&amp;$B$6,Seasons!$B$2:$B$2865,"&lt;="&amp;$C$6)</f>
        <v>0</v>
      </c>
      <c r="N68" s="3" t="n">
        <f aca="false">IF(J68="",-1000000,J68+ROW()*0.000000001)</f>
        <v>4.03195829989591</v>
      </c>
      <c r="O68" s="3" t="n">
        <f aca="false">IF(J68="","",SUMPRODUCT(($A$25:$A$534=A68)*($N$25:$N$534&gt;N68))+1)</f>
        <v>5</v>
      </c>
      <c r="P68" s="3" t="str">
        <f aca="false">A68&amp;"|"&amp;O68</f>
        <v>1910s|5</v>
      </c>
    </row>
    <row r="69" customFormat="false" ht="15" hidden="false" customHeight="true" outlineLevel="0" collapsed="false">
      <c r="A69" s="1" t="s">
        <v>10</v>
      </c>
      <c r="B69" s="7" t="s">
        <v>69</v>
      </c>
      <c r="C69" s="1" t="s">
        <v>55</v>
      </c>
      <c r="D69" s="3" t="n">
        <f aca="false">COUNTIFS(Market_Panel!$A$2:$A$2705,B69,Market_Panel!$B$2:$B$2705,"&gt;="&amp;$B$6,Market_Panel!$B$2:$B$2705,"&lt;="&amp;$C$6)</f>
        <v>10</v>
      </c>
      <c r="E69" s="10" t="n">
        <f aca="false">IF(D69=0,"",AVERAGEIFS(Market_Panel!$M$2:$M$2705,Market_Panel!$A$2:$A$2705,B69,Market_Panel!$B$2:$B$2705,"&gt;="&amp;$B$6,Market_Panel!$B$2:$B$2705,"&lt;="&amp;$C$6))</f>
        <v>-0.0238932059947153</v>
      </c>
      <c r="F69" s="11" t="n">
        <f aca="false">IF(D69=0,"",AVERAGEIFS(Market_Panel!$P$2:$P$2705,Market_Panel!$A$2:$A$2705,B69,Market_Panel!$B$2:$B$2705,"&gt;="&amp;$B$6,Market_Panel!$B$2:$B$2705,"&lt;="&amp;$C$6))</f>
        <v>0.185282502403417</v>
      </c>
      <c r="G69" s="11" t="n">
        <f aca="false">IF(D69=0,"",AVERAGEIFS(Market_Panel!$R$2:$R$2705,Market_Panel!$A$2:$A$2705,B69,Market_Panel!$B$2:$B$2705,"&gt;="&amp;$B$6,Market_Panel!$B$2:$B$2705,"&lt;="&amp;$C$6))</f>
        <v>0</v>
      </c>
      <c r="H69" s="11" t="n">
        <f aca="false">IF(OR(D69=0,$H$6=0),0,AVERAGEIFS(Market_Panel!$Y$2:$Y$2705,Market_Panel!$A$2:$A$2705,B69,Market_Panel!$B$2:$B$2705,"&gt;="&amp;$B$6,Market_Panel!$B$2:$B$2705,"&lt;="&amp;$C$6))</f>
        <v>0</v>
      </c>
      <c r="I69" s="10" t="n">
        <f aca="false">IF(D69=0,"",$I$6+$F$6*F69+$G$6*G69+$H$6*H69)</f>
        <v>0.00569928507675617</v>
      </c>
      <c r="J69" s="5" t="n">
        <f aca="false">IF(D69&lt;5,"",(E69-I69)*162)</f>
        <v>-4.79398355357838</v>
      </c>
      <c r="K69" s="5" t="n">
        <f aca="false">IF(D69=0,"",E69*162)</f>
        <v>-3.87069937114388</v>
      </c>
      <c r="L69" s="3" t="n">
        <f aca="false">SUMIFS(Seasons!$L$2:$L$2865,Seasons!$A$2:$A$2865,B69,Seasons!$B$2:$B$2865,"&gt;="&amp;$B$6,Seasons!$B$2:$B$2865,"&lt;="&amp;$C$6)</f>
        <v>4</v>
      </c>
      <c r="M69" s="3" t="n">
        <f aca="false">SUMIFS(Seasons!$N$2:$N$2865,Seasons!$A$2:$A$2865,B69,Seasons!$B$2:$B$2865,"&gt;="&amp;$B$6,Seasons!$B$2:$B$2865,"&lt;="&amp;$C$6)</f>
        <v>3</v>
      </c>
      <c r="N69" s="3" t="n">
        <f aca="false">IF(J69="",-1000000,J69+ROW()*0.000000001)</f>
        <v>-4.79398348457838</v>
      </c>
      <c r="O69" s="3" t="n">
        <f aca="false">IF(J69="","",SUMPRODUCT(($A$25:$A$534=A69)*($N$25:$N$534&gt;N69))+1)</f>
        <v>11</v>
      </c>
      <c r="P69" s="3" t="str">
        <f aca="false">A69&amp;"|"&amp;O69</f>
        <v>1910s|11</v>
      </c>
    </row>
    <row r="70" customFormat="false" ht="15" hidden="false" customHeight="true" outlineLevel="0" collapsed="false">
      <c r="A70" s="1" t="s">
        <v>10</v>
      </c>
      <c r="B70" s="7" t="s">
        <v>70</v>
      </c>
      <c r="C70" s="1" t="s">
        <v>55</v>
      </c>
      <c r="D70" s="3" t="n">
        <f aca="false">COUNTIFS(Market_Panel!$A$2:$A$2705,B70,Market_Panel!$B$2:$B$2705,"&gt;="&amp;$B$6,Market_Panel!$B$2:$B$2705,"&lt;="&amp;$C$6)</f>
        <v>10</v>
      </c>
      <c r="E70" s="10" t="n">
        <f aca="false">IF(D70=0,"",AVERAGEIFS(Market_Panel!$M$2:$M$2705,Market_Panel!$A$2:$A$2705,B70,Market_Panel!$B$2:$B$2705,"&gt;="&amp;$B$6,Market_Panel!$B$2:$B$2705,"&lt;="&amp;$C$6))</f>
        <v>-0.0255154755465213</v>
      </c>
      <c r="F70" s="11" t="n">
        <f aca="false">IF(D70=0,"",AVERAGEIFS(Market_Panel!$P$2:$P$2705,Market_Panel!$A$2:$A$2705,B70,Market_Panel!$B$2:$B$2705,"&gt;="&amp;$B$6,Market_Panel!$B$2:$B$2705,"&lt;="&amp;$C$6))</f>
        <v>0.904503509915673</v>
      </c>
      <c r="G70" s="11" t="n">
        <f aca="false">IF(D70=0,"",AVERAGEIFS(Market_Panel!$R$2:$R$2705,Market_Panel!$A$2:$A$2705,B70,Market_Panel!$B$2:$B$2705,"&gt;="&amp;$B$6,Market_Panel!$B$2:$B$2705,"&lt;="&amp;$C$6))</f>
        <v>0</v>
      </c>
      <c r="H70" s="11" t="n">
        <f aca="false">IF(OR(D70=0,$H$6=0),0,AVERAGEIFS(Market_Panel!$Y$2:$Y$2705,Market_Panel!$A$2:$A$2705,B70,Market_Panel!$B$2:$B$2705,"&gt;="&amp;$B$6,Market_Panel!$B$2:$B$2705,"&lt;="&amp;$C$6))</f>
        <v>0</v>
      </c>
      <c r="I70" s="10" t="n">
        <f aca="false">IF(D70=0,"",$I$6+$F$6*F70+$G$6*G70+$H$6*H70)</f>
        <v>0.0278225050345655</v>
      </c>
      <c r="J70" s="5" t="n">
        <f aca="false">IF(D70&lt;5,"",(E70-I70)*162)</f>
        <v>-8.64075285413606</v>
      </c>
      <c r="K70" s="5" t="n">
        <f aca="false">IF(D70=0,"",E70*162)</f>
        <v>-4.13350703853645</v>
      </c>
      <c r="L70" s="3" t="n">
        <f aca="false">SUMIFS(Seasons!$L$2:$L$2865,Seasons!$A$2:$A$2865,B70,Seasons!$B$2:$B$2865,"&gt;="&amp;$B$6,Seasons!$B$2:$B$2865,"&lt;="&amp;$C$6)</f>
        <v>0</v>
      </c>
      <c r="M70" s="3" t="n">
        <f aca="false">SUMIFS(Seasons!$N$2:$N$2865,Seasons!$A$2:$A$2865,B70,Seasons!$B$2:$B$2865,"&gt;="&amp;$B$6,Seasons!$B$2:$B$2865,"&lt;="&amp;$C$6)</f>
        <v>0</v>
      </c>
      <c r="N70" s="3" t="n">
        <f aca="false">IF(J70="",-1000000,J70+ROW()*0.000000001)</f>
        <v>-8.64075278413606</v>
      </c>
      <c r="O70" s="3" t="n">
        <f aca="false">IF(J70="","",SUMPRODUCT(($A$25:$A$534=A70)*($N$25:$N$534&gt;N70))+1)</f>
        <v>14</v>
      </c>
      <c r="P70" s="3" t="str">
        <f aca="false">A70&amp;"|"&amp;O70</f>
        <v>1910s|14</v>
      </c>
    </row>
    <row r="71" customFormat="false" ht="15" hidden="false" customHeight="true" outlineLevel="0" collapsed="false">
      <c r="A71" s="1" t="s">
        <v>10</v>
      </c>
      <c r="B71" s="7" t="s">
        <v>71</v>
      </c>
      <c r="C71" s="1" t="s">
        <v>72</v>
      </c>
      <c r="D71" s="3" t="n">
        <f aca="false">COUNTIFS(Market_Panel!$A$2:$A$2705,B71,Market_Panel!$B$2:$B$2705,"&gt;="&amp;$B$6,Market_Panel!$B$2:$B$2705,"&lt;="&amp;$C$6)</f>
        <v>0</v>
      </c>
      <c r="E71" s="10" t="str">
        <f aca="false">IF(D71=0,"",AVERAGEIFS(Market_Panel!$M$2:$M$2705,Market_Panel!$A$2:$A$2705,B71,Market_Panel!$B$2:$B$2705,"&gt;="&amp;$B$6,Market_Panel!$B$2:$B$2705,"&lt;="&amp;$C$6))</f>
        <v/>
      </c>
      <c r="F71" s="11" t="str">
        <f aca="false">IF(D71=0,"",AVERAGEIFS(Market_Panel!$P$2:$P$2705,Market_Panel!$A$2:$A$2705,B71,Market_Panel!$B$2:$B$2705,"&gt;="&amp;$B$6,Market_Panel!$B$2:$B$2705,"&lt;="&amp;$C$6))</f>
        <v/>
      </c>
      <c r="G71" s="11" t="str">
        <f aca="false">IF(D71=0,"",AVERAGEIFS(Market_Panel!$R$2:$R$2705,Market_Panel!$A$2:$A$2705,B71,Market_Panel!$B$2:$B$2705,"&gt;="&amp;$B$6,Market_Panel!$B$2:$B$2705,"&lt;="&amp;$C$6))</f>
        <v/>
      </c>
      <c r="H71" s="11" t="n">
        <f aca="false">IF(OR(D71=0,$H$6=0),0,AVERAGEIFS(Market_Panel!$Y$2:$Y$2705,Market_Panel!$A$2:$A$2705,B71,Market_Panel!$B$2:$B$2705,"&gt;="&amp;$B$6,Market_Panel!$B$2:$B$2705,"&lt;="&amp;$C$6))</f>
        <v>0</v>
      </c>
      <c r="I71" s="10" t="str">
        <f aca="false">IF(D71=0,"",$I$6+$F$6*F71+$G$6*G71+$H$6*H71)</f>
        <v/>
      </c>
      <c r="J71" s="5" t="str">
        <f aca="false">IF(D71&lt;5,"",(E71-I71)*162)</f>
        <v/>
      </c>
      <c r="K71" s="5" t="str">
        <f aca="false">IF(D71=0,"",E71*162)</f>
        <v/>
      </c>
      <c r="L71" s="3" t="n">
        <f aca="false">SUMIFS(Seasons!$L$2:$L$2865,Seasons!$A$2:$A$2865,B71,Seasons!$B$2:$B$2865,"&gt;="&amp;$B$6,Seasons!$B$2:$B$2865,"&lt;="&amp;$C$6)</f>
        <v>0</v>
      </c>
      <c r="M71" s="3" t="n">
        <f aca="false">SUMIFS(Seasons!$N$2:$N$2865,Seasons!$A$2:$A$2865,B71,Seasons!$B$2:$B$2865,"&gt;="&amp;$B$6,Seasons!$B$2:$B$2865,"&lt;="&amp;$C$6)</f>
        <v>0</v>
      </c>
      <c r="N71" s="3" t="n">
        <f aca="false">IF(J71="",-1000000,J71+ROW()*0.000000001)</f>
        <v>-1000000</v>
      </c>
      <c r="O71" s="3" t="str">
        <f aca="false">IF(J71="","",SUMPRODUCT(($A$25:$A$534=A71)*($N$25:$N$534&gt;N71))+1)</f>
        <v/>
      </c>
      <c r="P71" s="3" t="str">
        <f aca="false">A71&amp;"|"&amp;O71</f>
        <v>1910s|</v>
      </c>
    </row>
    <row r="72" customFormat="false" ht="15" hidden="false" customHeight="true" outlineLevel="0" collapsed="false">
      <c r="A72" s="1" t="s">
        <v>10</v>
      </c>
      <c r="B72" s="7" t="s">
        <v>73</v>
      </c>
      <c r="C72" s="1" t="s">
        <v>72</v>
      </c>
      <c r="D72" s="3" t="n">
        <f aca="false">COUNTIFS(Market_Panel!$A$2:$A$2705,B72,Market_Panel!$B$2:$B$2705,"&gt;="&amp;$B$6,Market_Panel!$B$2:$B$2705,"&lt;="&amp;$C$6)</f>
        <v>0</v>
      </c>
      <c r="E72" s="10" t="str">
        <f aca="false">IF(D72=0,"",AVERAGEIFS(Market_Panel!$M$2:$M$2705,Market_Panel!$A$2:$A$2705,B72,Market_Panel!$B$2:$B$2705,"&gt;="&amp;$B$6,Market_Panel!$B$2:$B$2705,"&lt;="&amp;$C$6))</f>
        <v/>
      </c>
      <c r="F72" s="11" t="str">
        <f aca="false">IF(D72=0,"",AVERAGEIFS(Market_Panel!$P$2:$P$2705,Market_Panel!$A$2:$A$2705,B72,Market_Panel!$B$2:$B$2705,"&gt;="&amp;$B$6,Market_Panel!$B$2:$B$2705,"&lt;="&amp;$C$6))</f>
        <v/>
      </c>
      <c r="G72" s="11" t="str">
        <f aca="false">IF(D72=0,"",AVERAGEIFS(Market_Panel!$R$2:$R$2705,Market_Panel!$A$2:$A$2705,B72,Market_Panel!$B$2:$B$2705,"&gt;="&amp;$B$6,Market_Panel!$B$2:$B$2705,"&lt;="&amp;$C$6))</f>
        <v/>
      </c>
      <c r="H72" s="11" t="n">
        <f aca="false">IF(OR(D72=0,$H$6=0),0,AVERAGEIFS(Market_Panel!$Y$2:$Y$2705,Market_Panel!$A$2:$A$2705,B72,Market_Panel!$B$2:$B$2705,"&gt;="&amp;$B$6,Market_Panel!$B$2:$B$2705,"&lt;="&amp;$C$6))</f>
        <v>0</v>
      </c>
      <c r="I72" s="10" t="str">
        <f aca="false">IF(D72=0,"",$I$6+$F$6*F72+$G$6*G72+$H$6*H72)</f>
        <v/>
      </c>
      <c r="J72" s="5" t="str">
        <f aca="false">IF(D72&lt;5,"",(E72-I72)*162)</f>
        <v/>
      </c>
      <c r="K72" s="5" t="str">
        <f aca="false">IF(D72=0,"",E72*162)</f>
        <v/>
      </c>
      <c r="L72" s="3" t="n">
        <f aca="false">SUMIFS(Seasons!$L$2:$L$2865,Seasons!$A$2:$A$2865,B72,Seasons!$B$2:$B$2865,"&gt;="&amp;$B$6,Seasons!$B$2:$B$2865,"&lt;="&amp;$C$6)</f>
        <v>0</v>
      </c>
      <c r="M72" s="3" t="n">
        <f aca="false">SUMIFS(Seasons!$N$2:$N$2865,Seasons!$A$2:$A$2865,B72,Seasons!$B$2:$B$2865,"&gt;="&amp;$B$6,Seasons!$B$2:$B$2865,"&lt;="&amp;$C$6)</f>
        <v>0</v>
      </c>
      <c r="N72" s="3" t="n">
        <f aca="false">IF(J72="",-1000000,J72+ROW()*0.000000001)</f>
        <v>-1000000</v>
      </c>
      <c r="O72" s="3" t="str">
        <f aca="false">IF(J72="","",SUMPRODUCT(($A$25:$A$534=A72)*($N$25:$N$534&gt;N72))+1)</f>
        <v/>
      </c>
      <c r="P72" s="3" t="str">
        <f aca="false">A72&amp;"|"&amp;O72</f>
        <v>1910s|</v>
      </c>
    </row>
    <row r="73" customFormat="false" ht="15" hidden="false" customHeight="true" outlineLevel="0" collapsed="false">
      <c r="A73" s="1" t="s">
        <v>10</v>
      </c>
      <c r="B73" s="7" t="s">
        <v>74</v>
      </c>
      <c r="C73" s="1" t="s">
        <v>72</v>
      </c>
      <c r="D73" s="3" t="n">
        <f aca="false">COUNTIFS(Market_Panel!$A$2:$A$2705,B73,Market_Panel!$B$2:$B$2705,"&gt;="&amp;$B$6,Market_Panel!$B$2:$B$2705,"&lt;="&amp;$C$6)</f>
        <v>0</v>
      </c>
      <c r="E73" s="10" t="str">
        <f aca="false">IF(D73=0,"",AVERAGEIFS(Market_Panel!$M$2:$M$2705,Market_Panel!$A$2:$A$2705,B73,Market_Panel!$B$2:$B$2705,"&gt;="&amp;$B$6,Market_Panel!$B$2:$B$2705,"&lt;="&amp;$C$6))</f>
        <v/>
      </c>
      <c r="F73" s="11" t="str">
        <f aca="false">IF(D73=0,"",AVERAGEIFS(Market_Panel!$P$2:$P$2705,Market_Panel!$A$2:$A$2705,B73,Market_Panel!$B$2:$B$2705,"&gt;="&amp;$B$6,Market_Panel!$B$2:$B$2705,"&lt;="&amp;$C$6))</f>
        <v/>
      </c>
      <c r="G73" s="11" t="str">
        <f aca="false">IF(D73=0,"",AVERAGEIFS(Market_Panel!$R$2:$R$2705,Market_Panel!$A$2:$A$2705,B73,Market_Panel!$B$2:$B$2705,"&gt;="&amp;$B$6,Market_Panel!$B$2:$B$2705,"&lt;="&amp;$C$6))</f>
        <v/>
      </c>
      <c r="H73" s="11" t="n">
        <f aca="false">IF(OR(D73=0,$H$6=0),0,AVERAGEIFS(Market_Panel!$Y$2:$Y$2705,Market_Panel!$A$2:$A$2705,B73,Market_Panel!$B$2:$B$2705,"&gt;="&amp;$B$6,Market_Panel!$B$2:$B$2705,"&lt;="&amp;$C$6))</f>
        <v>0</v>
      </c>
      <c r="I73" s="10" t="str">
        <f aca="false">IF(D73=0,"",$I$6+$F$6*F73+$G$6*G73+$H$6*H73)</f>
        <v/>
      </c>
      <c r="J73" s="5" t="str">
        <f aca="false">IF(D73&lt;5,"",(E73-I73)*162)</f>
        <v/>
      </c>
      <c r="K73" s="5" t="str">
        <f aca="false">IF(D73=0,"",E73*162)</f>
        <v/>
      </c>
      <c r="L73" s="3" t="n">
        <f aca="false">SUMIFS(Seasons!$L$2:$L$2865,Seasons!$A$2:$A$2865,B73,Seasons!$B$2:$B$2865,"&gt;="&amp;$B$6,Seasons!$B$2:$B$2865,"&lt;="&amp;$C$6)</f>
        <v>0</v>
      </c>
      <c r="M73" s="3" t="n">
        <f aca="false">SUMIFS(Seasons!$N$2:$N$2865,Seasons!$A$2:$A$2865,B73,Seasons!$B$2:$B$2865,"&gt;="&amp;$B$6,Seasons!$B$2:$B$2865,"&lt;="&amp;$C$6)</f>
        <v>0</v>
      </c>
      <c r="N73" s="3" t="n">
        <f aca="false">IF(J73="",-1000000,J73+ROW()*0.000000001)</f>
        <v>-1000000</v>
      </c>
      <c r="O73" s="3" t="str">
        <f aca="false">IF(J73="","",SUMPRODUCT(($A$25:$A$534=A73)*($N$25:$N$534&gt;N73))+1)</f>
        <v/>
      </c>
      <c r="P73" s="3" t="str">
        <f aca="false">A73&amp;"|"&amp;O73</f>
        <v>1910s|</v>
      </c>
    </row>
    <row r="74" customFormat="false" ht="15" hidden="false" customHeight="true" outlineLevel="0" collapsed="false">
      <c r="A74" s="1" t="s">
        <v>10</v>
      </c>
      <c r="B74" s="7" t="s">
        <v>75</v>
      </c>
      <c r="C74" s="1" t="s">
        <v>72</v>
      </c>
      <c r="D74" s="3" t="n">
        <f aca="false">COUNTIFS(Market_Panel!$A$2:$A$2705,B74,Market_Panel!$B$2:$B$2705,"&gt;="&amp;$B$6,Market_Panel!$B$2:$B$2705,"&lt;="&amp;$C$6)</f>
        <v>0</v>
      </c>
      <c r="E74" s="10" t="str">
        <f aca="false">IF(D74=0,"",AVERAGEIFS(Market_Panel!$M$2:$M$2705,Market_Panel!$A$2:$A$2705,B74,Market_Panel!$B$2:$B$2705,"&gt;="&amp;$B$6,Market_Panel!$B$2:$B$2705,"&lt;="&amp;$C$6))</f>
        <v/>
      </c>
      <c r="F74" s="11" t="str">
        <f aca="false">IF(D74=0,"",AVERAGEIFS(Market_Panel!$P$2:$P$2705,Market_Panel!$A$2:$A$2705,B74,Market_Panel!$B$2:$B$2705,"&gt;="&amp;$B$6,Market_Panel!$B$2:$B$2705,"&lt;="&amp;$C$6))</f>
        <v/>
      </c>
      <c r="G74" s="11" t="str">
        <f aca="false">IF(D74=0,"",AVERAGEIFS(Market_Panel!$R$2:$R$2705,Market_Panel!$A$2:$A$2705,B74,Market_Panel!$B$2:$B$2705,"&gt;="&amp;$B$6,Market_Panel!$B$2:$B$2705,"&lt;="&amp;$C$6))</f>
        <v/>
      </c>
      <c r="H74" s="11" t="n">
        <f aca="false">IF(OR(D74=0,$H$6=0),0,AVERAGEIFS(Market_Panel!$Y$2:$Y$2705,Market_Panel!$A$2:$A$2705,B74,Market_Panel!$B$2:$B$2705,"&gt;="&amp;$B$6,Market_Panel!$B$2:$B$2705,"&lt;="&amp;$C$6))</f>
        <v>0</v>
      </c>
      <c r="I74" s="10" t="str">
        <f aca="false">IF(D74=0,"",$I$6+$F$6*F74+$G$6*G74+$H$6*H74)</f>
        <v/>
      </c>
      <c r="J74" s="5" t="str">
        <f aca="false">IF(D74&lt;5,"",(E74-I74)*162)</f>
        <v/>
      </c>
      <c r="K74" s="5" t="str">
        <f aca="false">IF(D74=0,"",E74*162)</f>
        <v/>
      </c>
      <c r="L74" s="3" t="n">
        <f aca="false">SUMIFS(Seasons!$L$2:$L$2865,Seasons!$A$2:$A$2865,B74,Seasons!$B$2:$B$2865,"&gt;="&amp;$B$6,Seasons!$B$2:$B$2865,"&lt;="&amp;$C$6)</f>
        <v>0</v>
      </c>
      <c r="M74" s="3" t="n">
        <f aca="false">SUMIFS(Seasons!$N$2:$N$2865,Seasons!$A$2:$A$2865,B74,Seasons!$B$2:$B$2865,"&gt;="&amp;$B$6,Seasons!$B$2:$B$2865,"&lt;="&amp;$C$6)</f>
        <v>0</v>
      </c>
      <c r="N74" s="3" t="n">
        <f aca="false">IF(J74="",-1000000,J74+ROW()*0.000000001)</f>
        <v>-1000000</v>
      </c>
      <c r="O74" s="3" t="str">
        <f aca="false">IF(J74="","",SUMPRODUCT(($A$25:$A$534=A74)*($N$25:$N$534&gt;N74))+1)</f>
        <v/>
      </c>
      <c r="P74" s="3" t="str">
        <f aca="false">A74&amp;"|"&amp;O74</f>
        <v>1910s|</v>
      </c>
    </row>
    <row r="75" customFormat="false" ht="15" hidden="false" customHeight="true" outlineLevel="0" collapsed="false">
      <c r="A75" s="1" t="s">
        <v>10</v>
      </c>
      <c r="B75" s="7" t="s">
        <v>76</v>
      </c>
      <c r="C75" s="1" t="s">
        <v>72</v>
      </c>
      <c r="D75" s="3" t="n">
        <f aca="false">COUNTIFS(Market_Panel!$A$2:$A$2705,B75,Market_Panel!$B$2:$B$2705,"&gt;="&amp;$B$6,Market_Panel!$B$2:$B$2705,"&lt;="&amp;$C$6)</f>
        <v>0</v>
      </c>
      <c r="E75" s="10" t="str">
        <f aca="false">IF(D75=0,"",AVERAGEIFS(Market_Panel!$M$2:$M$2705,Market_Panel!$A$2:$A$2705,B75,Market_Panel!$B$2:$B$2705,"&gt;="&amp;$B$6,Market_Panel!$B$2:$B$2705,"&lt;="&amp;$C$6))</f>
        <v/>
      </c>
      <c r="F75" s="11" t="str">
        <f aca="false">IF(D75=0,"",AVERAGEIFS(Market_Panel!$P$2:$P$2705,Market_Panel!$A$2:$A$2705,B75,Market_Panel!$B$2:$B$2705,"&gt;="&amp;$B$6,Market_Panel!$B$2:$B$2705,"&lt;="&amp;$C$6))</f>
        <v/>
      </c>
      <c r="G75" s="11" t="str">
        <f aca="false">IF(D75=0,"",AVERAGEIFS(Market_Panel!$R$2:$R$2705,Market_Panel!$A$2:$A$2705,B75,Market_Panel!$B$2:$B$2705,"&gt;="&amp;$B$6,Market_Panel!$B$2:$B$2705,"&lt;="&amp;$C$6))</f>
        <v/>
      </c>
      <c r="H75" s="11" t="n">
        <f aca="false">IF(OR(D75=0,$H$6=0),0,AVERAGEIFS(Market_Panel!$Y$2:$Y$2705,Market_Panel!$A$2:$A$2705,B75,Market_Panel!$B$2:$B$2705,"&gt;="&amp;$B$6,Market_Panel!$B$2:$B$2705,"&lt;="&amp;$C$6))</f>
        <v>0</v>
      </c>
      <c r="I75" s="10" t="str">
        <f aca="false">IF(D75=0,"",$I$6+$F$6*F75+$G$6*G75+$H$6*H75)</f>
        <v/>
      </c>
      <c r="J75" s="5" t="str">
        <f aca="false">IF(D75&lt;5,"",(E75-I75)*162)</f>
        <v/>
      </c>
      <c r="K75" s="5" t="str">
        <f aca="false">IF(D75=0,"",E75*162)</f>
        <v/>
      </c>
      <c r="L75" s="3" t="n">
        <f aca="false">SUMIFS(Seasons!$L$2:$L$2865,Seasons!$A$2:$A$2865,B75,Seasons!$B$2:$B$2865,"&gt;="&amp;$B$6,Seasons!$B$2:$B$2865,"&lt;="&amp;$C$6)</f>
        <v>0</v>
      </c>
      <c r="M75" s="3" t="n">
        <f aca="false">SUMIFS(Seasons!$N$2:$N$2865,Seasons!$A$2:$A$2865,B75,Seasons!$B$2:$B$2865,"&gt;="&amp;$B$6,Seasons!$B$2:$B$2865,"&lt;="&amp;$C$6)</f>
        <v>0</v>
      </c>
      <c r="N75" s="3" t="n">
        <f aca="false">IF(J75="",-1000000,J75+ROW()*0.000000001)</f>
        <v>-1000000</v>
      </c>
      <c r="O75" s="3" t="str">
        <f aca="false">IF(J75="","",SUMPRODUCT(($A$25:$A$534=A75)*($N$25:$N$534&gt;N75))+1)</f>
        <v/>
      </c>
      <c r="P75" s="3" t="str">
        <f aca="false">A75&amp;"|"&amp;O75</f>
        <v>1910s|</v>
      </c>
    </row>
    <row r="76" customFormat="false" ht="15" hidden="false" customHeight="true" outlineLevel="0" collapsed="false">
      <c r="A76" s="1" t="s">
        <v>10</v>
      </c>
      <c r="B76" s="7" t="s">
        <v>77</v>
      </c>
      <c r="C76" s="1" t="s">
        <v>72</v>
      </c>
      <c r="D76" s="3" t="n">
        <f aca="false">COUNTIFS(Market_Panel!$A$2:$A$2705,B76,Market_Panel!$B$2:$B$2705,"&gt;="&amp;$B$6,Market_Panel!$B$2:$B$2705,"&lt;="&amp;$C$6)</f>
        <v>0</v>
      </c>
      <c r="E76" s="10" t="str">
        <f aca="false">IF(D76=0,"",AVERAGEIFS(Market_Panel!$M$2:$M$2705,Market_Panel!$A$2:$A$2705,B76,Market_Panel!$B$2:$B$2705,"&gt;="&amp;$B$6,Market_Panel!$B$2:$B$2705,"&lt;="&amp;$C$6))</f>
        <v/>
      </c>
      <c r="F76" s="11" t="str">
        <f aca="false">IF(D76=0,"",AVERAGEIFS(Market_Panel!$P$2:$P$2705,Market_Panel!$A$2:$A$2705,B76,Market_Panel!$B$2:$B$2705,"&gt;="&amp;$B$6,Market_Panel!$B$2:$B$2705,"&lt;="&amp;$C$6))</f>
        <v/>
      </c>
      <c r="G76" s="11" t="str">
        <f aca="false">IF(D76=0,"",AVERAGEIFS(Market_Panel!$R$2:$R$2705,Market_Panel!$A$2:$A$2705,B76,Market_Panel!$B$2:$B$2705,"&gt;="&amp;$B$6,Market_Panel!$B$2:$B$2705,"&lt;="&amp;$C$6))</f>
        <v/>
      </c>
      <c r="H76" s="11" t="n">
        <f aca="false">IF(OR(D76=0,$H$6=0),0,AVERAGEIFS(Market_Panel!$Y$2:$Y$2705,Market_Panel!$A$2:$A$2705,B76,Market_Panel!$B$2:$B$2705,"&gt;="&amp;$B$6,Market_Panel!$B$2:$B$2705,"&lt;="&amp;$C$6))</f>
        <v>0</v>
      </c>
      <c r="I76" s="10" t="str">
        <f aca="false">IF(D76=0,"",$I$6+$F$6*F76+$G$6*G76+$H$6*H76)</f>
        <v/>
      </c>
      <c r="J76" s="5" t="str">
        <f aca="false">IF(D76&lt;5,"",(E76-I76)*162)</f>
        <v/>
      </c>
      <c r="K76" s="5" t="str">
        <f aca="false">IF(D76=0,"",E76*162)</f>
        <v/>
      </c>
      <c r="L76" s="3" t="n">
        <f aca="false">SUMIFS(Seasons!$L$2:$L$2865,Seasons!$A$2:$A$2865,B76,Seasons!$B$2:$B$2865,"&gt;="&amp;$B$6,Seasons!$B$2:$B$2865,"&lt;="&amp;$C$6)</f>
        <v>0</v>
      </c>
      <c r="M76" s="3" t="n">
        <f aca="false">SUMIFS(Seasons!$N$2:$N$2865,Seasons!$A$2:$A$2865,B76,Seasons!$B$2:$B$2865,"&gt;="&amp;$B$6,Seasons!$B$2:$B$2865,"&lt;="&amp;$C$6)</f>
        <v>0</v>
      </c>
      <c r="N76" s="3" t="n">
        <f aca="false">IF(J76="",-1000000,J76+ROW()*0.000000001)</f>
        <v>-1000000</v>
      </c>
      <c r="O76" s="3" t="str">
        <f aca="false">IF(J76="","",SUMPRODUCT(($A$25:$A$534=A76)*($N$25:$N$534&gt;N76))+1)</f>
        <v/>
      </c>
      <c r="P76" s="3" t="str">
        <f aca="false">A76&amp;"|"&amp;O76</f>
        <v>1910s|</v>
      </c>
    </row>
    <row r="77" customFormat="false" ht="15" hidden="false" customHeight="true" outlineLevel="0" collapsed="false">
      <c r="A77" s="1" t="s">
        <v>10</v>
      </c>
      <c r="B77" s="7" t="s">
        <v>78</v>
      </c>
      <c r="C77" s="1" t="s">
        <v>72</v>
      </c>
      <c r="D77" s="3" t="n">
        <f aca="false">COUNTIFS(Market_Panel!$A$2:$A$2705,B77,Market_Panel!$B$2:$B$2705,"&gt;="&amp;$B$6,Market_Panel!$B$2:$B$2705,"&lt;="&amp;$C$6)</f>
        <v>0</v>
      </c>
      <c r="E77" s="10" t="str">
        <f aca="false">IF(D77=0,"",AVERAGEIFS(Market_Panel!$M$2:$M$2705,Market_Panel!$A$2:$A$2705,B77,Market_Panel!$B$2:$B$2705,"&gt;="&amp;$B$6,Market_Panel!$B$2:$B$2705,"&lt;="&amp;$C$6))</f>
        <v/>
      </c>
      <c r="F77" s="11" t="str">
        <f aca="false">IF(D77=0,"",AVERAGEIFS(Market_Panel!$P$2:$P$2705,Market_Panel!$A$2:$A$2705,B77,Market_Panel!$B$2:$B$2705,"&gt;="&amp;$B$6,Market_Panel!$B$2:$B$2705,"&lt;="&amp;$C$6))</f>
        <v/>
      </c>
      <c r="G77" s="11" t="str">
        <f aca="false">IF(D77=0,"",AVERAGEIFS(Market_Panel!$R$2:$R$2705,Market_Panel!$A$2:$A$2705,B77,Market_Panel!$B$2:$B$2705,"&gt;="&amp;$B$6,Market_Panel!$B$2:$B$2705,"&lt;="&amp;$C$6))</f>
        <v/>
      </c>
      <c r="H77" s="11" t="n">
        <f aca="false">IF(OR(D77=0,$H$6=0),0,AVERAGEIFS(Market_Panel!$Y$2:$Y$2705,Market_Panel!$A$2:$A$2705,B77,Market_Panel!$B$2:$B$2705,"&gt;="&amp;$B$6,Market_Panel!$B$2:$B$2705,"&lt;="&amp;$C$6))</f>
        <v>0</v>
      </c>
      <c r="I77" s="10" t="str">
        <f aca="false">IF(D77=0,"",$I$6+$F$6*F77+$G$6*G77+$H$6*H77)</f>
        <v/>
      </c>
      <c r="J77" s="5" t="str">
        <f aca="false">IF(D77&lt;5,"",(E77-I77)*162)</f>
        <v/>
      </c>
      <c r="K77" s="5" t="str">
        <f aca="false">IF(D77=0,"",E77*162)</f>
        <v/>
      </c>
      <c r="L77" s="3" t="n">
        <f aca="false">SUMIFS(Seasons!$L$2:$L$2865,Seasons!$A$2:$A$2865,B77,Seasons!$B$2:$B$2865,"&gt;="&amp;$B$6,Seasons!$B$2:$B$2865,"&lt;="&amp;$C$6)</f>
        <v>0</v>
      </c>
      <c r="M77" s="3" t="n">
        <f aca="false">SUMIFS(Seasons!$N$2:$N$2865,Seasons!$A$2:$A$2865,B77,Seasons!$B$2:$B$2865,"&gt;="&amp;$B$6,Seasons!$B$2:$B$2865,"&lt;="&amp;$C$6)</f>
        <v>0</v>
      </c>
      <c r="N77" s="3" t="n">
        <f aca="false">IF(J77="",-1000000,J77+ROW()*0.000000001)</f>
        <v>-1000000</v>
      </c>
      <c r="O77" s="3" t="str">
        <f aca="false">IF(J77="","",SUMPRODUCT(($A$25:$A$534=A77)*($N$25:$N$534&gt;N77))+1)</f>
        <v/>
      </c>
      <c r="P77" s="3" t="str">
        <f aca="false">A77&amp;"|"&amp;O77</f>
        <v>1910s|</v>
      </c>
    </row>
    <row r="78" customFormat="false" ht="15" hidden="false" customHeight="true" outlineLevel="0" collapsed="false">
      <c r="A78" s="1" t="s">
        <v>10</v>
      </c>
      <c r="B78" s="7" t="s">
        <v>79</v>
      </c>
      <c r="C78" s="1" t="s">
        <v>72</v>
      </c>
      <c r="D78" s="3" t="n">
        <f aca="false">COUNTIFS(Market_Panel!$A$2:$A$2705,B78,Market_Panel!$B$2:$B$2705,"&gt;="&amp;$B$6,Market_Panel!$B$2:$B$2705,"&lt;="&amp;$C$6)</f>
        <v>0</v>
      </c>
      <c r="E78" s="10" t="str">
        <f aca="false">IF(D78=0,"",AVERAGEIFS(Market_Panel!$M$2:$M$2705,Market_Panel!$A$2:$A$2705,B78,Market_Panel!$B$2:$B$2705,"&gt;="&amp;$B$6,Market_Panel!$B$2:$B$2705,"&lt;="&amp;$C$6))</f>
        <v/>
      </c>
      <c r="F78" s="11" t="str">
        <f aca="false">IF(D78=0,"",AVERAGEIFS(Market_Panel!$P$2:$P$2705,Market_Panel!$A$2:$A$2705,B78,Market_Panel!$B$2:$B$2705,"&gt;="&amp;$B$6,Market_Panel!$B$2:$B$2705,"&lt;="&amp;$C$6))</f>
        <v/>
      </c>
      <c r="G78" s="11" t="str">
        <f aca="false">IF(D78=0,"",AVERAGEIFS(Market_Panel!$R$2:$R$2705,Market_Panel!$A$2:$A$2705,B78,Market_Panel!$B$2:$B$2705,"&gt;="&amp;$B$6,Market_Panel!$B$2:$B$2705,"&lt;="&amp;$C$6))</f>
        <v/>
      </c>
      <c r="H78" s="11" t="n">
        <f aca="false">IF(OR(D78=0,$H$6=0),0,AVERAGEIFS(Market_Panel!$Y$2:$Y$2705,Market_Panel!$A$2:$A$2705,B78,Market_Panel!$B$2:$B$2705,"&gt;="&amp;$B$6,Market_Panel!$B$2:$B$2705,"&lt;="&amp;$C$6))</f>
        <v>0</v>
      </c>
      <c r="I78" s="10" t="str">
        <f aca="false">IF(D78=0,"",$I$6+$F$6*F78+$G$6*G78+$H$6*H78)</f>
        <v/>
      </c>
      <c r="J78" s="5" t="str">
        <f aca="false">IF(D78&lt;5,"",(E78-I78)*162)</f>
        <v/>
      </c>
      <c r="K78" s="5" t="str">
        <f aca="false">IF(D78=0,"",E78*162)</f>
        <v/>
      </c>
      <c r="L78" s="3" t="n">
        <f aca="false">SUMIFS(Seasons!$L$2:$L$2865,Seasons!$A$2:$A$2865,B78,Seasons!$B$2:$B$2865,"&gt;="&amp;$B$6,Seasons!$B$2:$B$2865,"&lt;="&amp;$C$6)</f>
        <v>0</v>
      </c>
      <c r="M78" s="3" t="n">
        <f aca="false">SUMIFS(Seasons!$N$2:$N$2865,Seasons!$A$2:$A$2865,B78,Seasons!$B$2:$B$2865,"&gt;="&amp;$B$6,Seasons!$B$2:$B$2865,"&lt;="&amp;$C$6)</f>
        <v>0</v>
      </c>
      <c r="N78" s="3" t="n">
        <f aca="false">IF(J78="",-1000000,J78+ROW()*0.000000001)</f>
        <v>-1000000</v>
      </c>
      <c r="O78" s="3" t="str">
        <f aca="false">IF(J78="","",SUMPRODUCT(($A$25:$A$534=A78)*($N$25:$N$534&gt;N78))+1)</f>
        <v/>
      </c>
      <c r="P78" s="3" t="str">
        <f aca="false">A78&amp;"|"&amp;O78</f>
        <v>1910s|</v>
      </c>
    </row>
    <row r="79" customFormat="false" ht="15" hidden="false" customHeight="true" outlineLevel="0" collapsed="false">
      <c r="A79" s="1" t="s">
        <v>10</v>
      </c>
      <c r="B79" s="7" t="s">
        <v>80</v>
      </c>
      <c r="C79" s="1" t="s">
        <v>72</v>
      </c>
      <c r="D79" s="3" t="n">
        <f aca="false">COUNTIFS(Market_Panel!$A$2:$A$2705,B79,Market_Panel!$B$2:$B$2705,"&gt;="&amp;$B$6,Market_Panel!$B$2:$B$2705,"&lt;="&amp;$C$6)</f>
        <v>0</v>
      </c>
      <c r="E79" s="10" t="str">
        <f aca="false">IF(D79=0,"",AVERAGEIFS(Market_Panel!$M$2:$M$2705,Market_Panel!$A$2:$A$2705,B79,Market_Panel!$B$2:$B$2705,"&gt;="&amp;$B$6,Market_Panel!$B$2:$B$2705,"&lt;="&amp;$C$6))</f>
        <v/>
      </c>
      <c r="F79" s="11" t="str">
        <f aca="false">IF(D79=0,"",AVERAGEIFS(Market_Panel!$P$2:$P$2705,Market_Panel!$A$2:$A$2705,B79,Market_Panel!$B$2:$B$2705,"&gt;="&amp;$B$6,Market_Panel!$B$2:$B$2705,"&lt;="&amp;$C$6))</f>
        <v/>
      </c>
      <c r="G79" s="11" t="str">
        <f aca="false">IF(D79=0,"",AVERAGEIFS(Market_Panel!$R$2:$R$2705,Market_Panel!$A$2:$A$2705,B79,Market_Panel!$B$2:$B$2705,"&gt;="&amp;$B$6,Market_Panel!$B$2:$B$2705,"&lt;="&amp;$C$6))</f>
        <v/>
      </c>
      <c r="H79" s="11" t="n">
        <f aca="false">IF(OR(D79=0,$H$6=0),0,AVERAGEIFS(Market_Panel!$Y$2:$Y$2705,Market_Panel!$A$2:$A$2705,B79,Market_Panel!$B$2:$B$2705,"&gt;="&amp;$B$6,Market_Panel!$B$2:$B$2705,"&lt;="&amp;$C$6))</f>
        <v>0</v>
      </c>
      <c r="I79" s="10" t="str">
        <f aca="false">IF(D79=0,"",$I$6+$F$6*F79+$G$6*G79+$H$6*H79)</f>
        <v/>
      </c>
      <c r="J79" s="5" t="str">
        <f aca="false">IF(D79&lt;5,"",(E79-I79)*162)</f>
        <v/>
      </c>
      <c r="K79" s="5" t="str">
        <f aca="false">IF(D79=0,"",E79*162)</f>
        <v/>
      </c>
      <c r="L79" s="3" t="n">
        <f aca="false">SUMIFS(Seasons!$L$2:$L$2865,Seasons!$A$2:$A$2865,B79,Seasons!$B$2:$B$2865,"&gt;="&amp;$B$6,Seasons!$B$2:$B$2865,"&lt;="&amp;$C$6)</f>
        <v>0</v>
      </c>
      <c r="M79" s="3" t="n">
        <f aca="false">SUMIFS(Seasons!$N$2:$N$2865,Seasons!$A$2:$A$2865,B79,Seasons!$B$2:$B$2865,"&gt;="&amp;$B$6,Seasons!$B$2:$B$2865,"&lt;="&amp;$C$6)</f>
        <v>0</v>
      </c>
      <c r="N79" s="3" t="n">
        <f aca="false">IF(J79="",-1000000,J79+ROW()*0.000000001)</f>
        <v>-1000000</v>
      </c>
      <c r="O79" s="3" t="str">
        <f aca="false">IF(J79="","",SUMPRODUCT(($A$25:$A$534=A79)*($N$25:$N$534&gt;N79))+1)</f>
        <v/>
      </c>
      <c r="P79" s="3" t="str">
        <f aca="false">A79&amp;"|"&amp;O79</f>
        <v>1910s|</v>
      </c>
    </row>
    <row r="80" customFormat="false" ht="15" hidden="false" customHeight="true" outlineLevel="0" collapsed="false">
      <c r="A80" s="1" t="s">
        <v>10</v>
      </c>
      <c r="B80" s="7" t="s">
        <v>81</v>
      </c>
      <c r="C80" s="1" t="s">
        <v>72</v>
      </c>
      <c r="D80" s="3" t="n">
        <f aca="false">COUNTIFS(Market_Panel!$A$2:$A$2705,B80,Market_Panel!$B$2:$B$2705,"&gt;="&amp;$B$6,Market_Panel!$B$2:$B$2705,"&lt;="&amp;$C$6)</f>
        <v>0</v>
      </c>
      <c r="E80" s="10" t="str">
        <f aca="false">IF(D80=0,"",AVERAGEIFS(Market_Panel!$M$2:$M$2705,Market_Panel!$A$2:$A$2705,B80,Market_Panel!$B$2:$B$2705,"&gt;="&amp;$B$6,Market_Panel!$B$2:$B$2705,"&lt;="&amp;$C$6))</f>
        <v/>
      </c>
      <c r="F80" s="11" t="str">
        <f aca="false">IF(D80=0,"",AVERAGEIFS(Market_Panel!$P$2:$P$2705,Market_Panel!$A$2:$A$2705,B80,Market_Panel!$B$2:$B$2705,"&gt;="&amp;$B$6,Market_Panel!$B$2:$B$2705,"&lt;="&amp;$C$6))</f>
        <v/>
      </c>
      <c r="G80" s="11" t="str">
        <f aca="false">IF(D80=0,"",AVERAGEIFS(Market_Panel!$R$2:$R$2705,Market_Panel!$A$2:$A$2705,B80,Market_Panel!$B$2:$B$2705,"&gt;="&amp;$B$6,Market_Panel!$B$2:$B$2705,"&lt;="&amp;$C$6))</f>
        <v/>
      </c>
      <c r="H80" s="11" t="n">
        <f aca="false">IF(OR(D80=0,$H$6=0),0,AVERAGEIFS(Market_Panel!$Y$2:$Y$2705,Market_Panel!$A$2:$A$2705,B80,Market_Panel!$B$2:$B$2705,"&gt;="&amp;$B$6,Market_Panel!$B$2:$B$2705,"&lt;="&amp;$C$6))</f>
        <v>0</v>
      </c>
      <c r="I80" s="10" t="str">
        <f aca="false">IF(D80=0,"",$I$6+$F$6*F80+$G$6*G80+$H$6*H80)</f>
        <v/>
      </c>
      <c r="J80" s="5" t="str">
        <f aca="false">IF(D80&lt;5,"",(E80-I80)*162)</f>
        <v/>
      </c>
      <c r="K80" s="5" t="str">
        <f aca="false">IF(D80=0,"",E80*162)</f>
        <v/>
      </c>
      <c r="L80" s="3" t="n">
        <f aca="false">SUMIFS(Seasons!$L$2:$L$2865,Seasons!$A$2:$A$2865,B80,Seasons!$B$2:$B$2865,"&gt;="&amp;$B$6,Seasons!$B$2:$B$2865,"&lt;="&amp;$C$6)</f>
        <v>0</v>
      </c>
      <c r="M80" s="3" t="n">
        <f aca="false">SUMIFS(Seasons!$N$2:$N$2865,Seasons!$A$2:$A$2865,B80,Seasons!$B$2:$B$2865,"&gt;="&amp;$B$6,Seasons!$B$2:$B$2865,"&lt;="&amp;$C$6)</f>
        <v>0</v>
      </c>
      <c r="N80" s="3" t="n">
        <f aca="false">IF(J80="",-1000000,J80+ROW()*0.000000001)</f>
        <v>-1000000</v>
      </c>
      <c r="O80" s="3" t="str">
        <f aca="false">IF(J80="","",SUMPRODUCT(($A$25:$A$534=A80)*($N$25:$N$534&gt;N80))+1)</f>
        <v/>
      </c>
      <c r="P80" s="3" t="str">
        <f aca="false">A80&amp;"|"&amp;O80</f>
        <v>1910s|</v>
      </c>
    </row>
    <row r="81" customFormat="false" ht="15" hidden="false" customHeight="true" outlineLevel="0" collapsed="false">
      <c r="A81" s="1" t="s">
        <v>10</v>
      </c>
      <c r="B81" s="7" t="s">
        <v>82</v>
      </c>
      <c r="C81" s="1" t="s">
        <v>72</v>
      </c>
      <c r="D81" s="3" t="n">
        <f aca="false">COUNTIFS(Market_Panel!$A$2:$A$2705,B81,Market_Panel!$B$2:$B$2705,"&gt;="&amp;$B$6,Market_Panel!$B$2:$B$2705,"&lt;="&amp;$C$6)</f>
        <v>0</v>
      </c>
      <c r="E81" s="10" t="str">
        <f aca="false">IF(D81=0,"",AVERAGEIFS(Market_Panel!$M$2:$M$2705,Market_Panel!$A$2:$A$2705,B81,Market_Panel!$B$2:$B$2705,"&gt;="&amp;$B$6,Market_Panel!$B$2:$B$2705,"&lt;="&amp;$C$6))</f>
        <v/>
      </c>
      <c r="F81" s="11" t="str">
        <f aca="false">IF(D81=0,"",AVERAGEIFS(Market_Panel!$P$2:$P$2705,Market_Panel!$A$2:$A$2705,B81,Market_Panel!$B$2:$B$2705,"&gt;="&amp;$B$6,Market_Panel!$B$2:$B$2705,"&lt;="&amp;$C$6))</f>
        <v/>
      </c>
      <c r="G81" s="11" t="str">
        <f aca="false">IF(D81=0,"",AVERAGEIFS(Market_Panel!$R$2:$R$2705,Market_Panel!$A$2:$A$2705,B81,Market_Panel!$B$2:$B$2705,"&gt;="&amp;$B$6,Market_Panel!$B$2:$B$2705,"&lt;="&amp;$C$6))</f>
        <v/>
      </c>
      <c r="H81" s="11" t="n">
        <f aca="false">IF(OR(D81=0,$H$6=0),0,AVERAGEIFS(Market_Panel!$Y$2:$Y$2705,Market_Panel!$A$2:$A$2705,B81,Market_Panel!$B$2:$B$2705,"&gt;="&amp;$B$6,Market_Panel!$B$2:$B$2705,"&lt;="&amp;$C$6))</f>
        <v>0</v>
      </c>
      <c r="I81" s="10" t="str">
        <f aca="false">IF(D81=0,"",$I$6+$F$6*F81+$G$6*G81+$H$6*H81)</f>
        <v/>
      </c>
      <c r="J81" s="5" t="str">
        <f aca="false">IF(D81&lt;5,"",(E81-I81)*162)</f>
        <v/>
      </c>
      <c r="K81" s="5" t="str">
        <f aca="false">IF(D81=0,"",E81*162)</f>
        <v/>
      </c>
      <c r="L81" s="3" t="n">
        <f aca="false">SUMIFS(Seasons!$L$2:$L$2865,Seasons!$A$2:$A$2865,B81,Seasons!$B$2:$B$2865,"&gt;="&amp;$B$6,Seasons!$B$2:$B$2865,"&lt;="&amp;$C$6)</f>
        <v>0</v>
      </c>
      <c r="M81" s="3" t="n">
        <f aca="false">SUMIFS(Seasons!$N$2:$N$2865,Seasons!$A$2:$A$2865,B81,Seasons!$B$2:$B$2865,"&gt;="&amp;$B$6,Seasons!$B$2:$B$2865,"&lt;="&amp;$C$6)</f>
        <v>0</v>
      </c>
      <c r="N81" s="3" t="n">
        <f aca="false">IF(J81="",-1000000,J81+ROW()*0.000000001)</f>
        <v>-1000000</v>
      </c>
      <c r="O81" s="3" t="str">
        <f aca="false">IF(J81="","",SUMPRODUCT(($A$25:$A$534=A81)*($N$25:$N$534&gt;N81))+1)</f>
        <v/>
      </c>
      <c r="P81" s="3" t="str">
        <f aca="false">A81&amp;"|"&amp;O81</f>
        <v>1910s|</v>
      </c>
    </row>
    <row r="82" customFormat="false" ht="15" hidden="false" customHeight="true" outlineLevel="0" collapsed="false">
      <c r="A82" s="1" t="s">
        <v>10</v>
      </c>
      <c r="B82" s="7" t="s">
        <v>83</v>
      </c>
      <c r="C82" s="1" t="s">
        <v>72</v>
      </c>
      <c r="D82" s="3" t="n">
        <f aca="false">COUNTIFS(Market_Panel!$A$2:$A$2705,B82,Market_Panel!$B$2:$B$2705,"&gt;="&amp;$B$6,Market_Panel!$B$2:$B$2705,"&lt;="&amp;$C$6)</f>
        <v>0</v>
      </c>
      <c r="E82" s="10" t="str">
        <f aca="false">IF(D82=0,"",AVERAGEIFS(Market_Panel!$M$2:$M$2705,Market_Panel!$A$2:$A$2705,B82,Market_Panel!$B$2:$B$2705,"&gt;="&amp;$B$6,Market_Panel!$B$2:$B$2705,"&lt;="&amp;$C$6))</f>
        <v/>
      </c>
      <c r="F82" s="11" t="str">
        <f aca="false">IF(D82=0,"",AVERAGEIFS(Market_Panel!$P$2:$P$2705,Market_Panel!$A$2:$A$2705,B82,Market_Panel!$B$2:$B$2705,"&gt;="&amp;$B$6,Market_Panel!$B$2:$B$2705,"&lt;="&amp;$C$6))</f>
        <v/>
      </c>
      <c r="G82" s="11" t="str">
        <f aca="false">IF(D82=0,"",AVERAGEIFS(Market_Panel!$R$2:$R$2705,Market_Panel!$A$2:$A$2705,B82,Market_Panel!$B$2:$B$2705,"&gt;="&amp;$B$6,Market_Panel!$B$2:$B$2705,"&lt;="&amp;$C$6))</f>
        <v/>
      </c>
      <c r="H82" s="11" t="n">
        <f aca="false">IF(OR(D82=0,$H$6=0),0,AVERAGEIFS(Market_Panel!$Y$2:$Y$2705,Market_Panel!$A$2:$A$2705,B82,Market_Panel!$B$2:$B$2705,"&gt;="&amp;$B$6,Market_Panel!$B$2:$B$2705,"&lt;="&amp;$C$6))</f>
        <v>0</v>
      </c>
      <c r="I82" s="10" t="str">
        <f aca="false">IF(D82=0,"",$I$6+$F$6*F82+$G$6*G82+$H$6*H82)</f>
        <v/>
      </c>
      <c r="J82" s="5" t="str">
        <f aca="false">IF(D82&lt;5,"",(E82-I82)*162)</f>
        <v/>
      </c>
      <c r="K82" s="5" t="str">
        <f aca="false">IF(D82=0,"",E82*162)</f>
        <v/>
      </c>
      <c r="L82" s="3" t="n">
        <f aca="false">SUMIFS(Seasons!$L$2:$L$2865,Seasons!$A$2:$A$2865,B82,Seasons!$B$2:$B$2865,"&gt;="&amp;$B$6,Seasons!$B$2:$B$2865,"&lt;="&amp;$C$6)</f>
        <v>0</v>
      </c>
      <c r="M82" s="3" t="n">
        <f aca="false">SUMIFS(Seasons!$N$2:$N$2865,Seasons!$A$2:$A$2865,B82,Seasons!$B$2:$B$2865,"&gt;="&amp;$B$6,Seasons!$B$2:$B$2865,"&lt;="&amp;$C$6)</f>
        <v>0</v>
      </c>
      <c r="N82" s="3" t="n">
        <f aca="false">IF(J82="",-1000000,J82+ROW()*0.000000001)</f>
        <v>-1000000</v>
      </c>
      <c r="O82" s="3" t="str">
        <f aca="false">IF(J82="","",SUMPRODUCT(($A$25:$A$534=A82)*($N$25:$N$534&gt;N82))+1)</f>
        <v/>
      </c>
      <c r="P82" s="3" t="str">
        <f aca="false">A82&amp;"|"&amp;O82</f>
        <v>1910s|</v>
      </c>
    </row>
    <row r="83" customFormat="false" ht="15" hidden="false" customHeight="true" outlineLevel="0" collapsed="false">
      <c r="A83" s="1" t="s">
        <v>10</v>
      </c>
      <c r="B83" s="7" t="s">
        <v>84</v>
      </c>
      <c r="C83" s="1" t="s">
        <v>72</v>
      </c>
      <c r="D83" s="3" t="n">
        <f aca="false">COUNTIFS(Market_Panel!$A$2:$A$2705,B83,Market_Panel!$B$2:$B$2705,"&gt;="&amp;$B$6,Market_Panel!$B$2:$B$2705,"&lt;="&amp;$C$6)</f>
        <v>0</v>
      </c>
      <c r="E83" s="10" t="str">
        <f aca="false">IF(D83=0,"",AVERAGEIFS(Market_Panel!$M$2:$M$2705,Market_Panel!$A$2:$A$2705,B83,Market_Panel!$B$2:$B$2705,"&gt;="&amp;$B$6,Market_Panel!$B$2:$B$2705,"&lt;="&amp;$C$6))</f>
        <v/>
      </c>
      <c r="F83" s="11" t="str">
        <f aca="false">IF(D83=0,"",AVERAGEIFS(Market_Panel!$P$2:$P$2705,Market_Panel!$A$2:$A$2705,B83,Market_Panel!$B$2:$B$2705,"&gt;="&amp;$B$6,Market_Panel!$B$2:$B$2705,"&lt;="&amp;$C$6))</f>
        <v/>
      </c>
      <c r="G83" s="11" t="str">
        <f aca="false">IF(D83=0,"",AVERAGEIFS(Market_Panel!$R$2:$R$2705,Market_Panel!$A$2:$A$2705,B83,Market_Panel!$B$2:$B$2705,"&gt;="&amp;$B$6,Market_Panel!$B$2:$B$2705,"&lt;="&amp;$C$6))</f>
        <v/>
      </c>
      <c r="H83" s="11" t="n">
        <f aca="false">IF(OR(D83=0,$H$6=0),0,AVERAGEIFS(Market_Panel!$Y$2:$Y$2705,Market_Panel!$A$2:$A$2705,B83,Market_Panel!$B$2:$B$2705,"&gt;="&amp;$B$6,Market_Panel!$B$2:$B$2705,"&lt;="&amp;$C$6))</f>
        <v>0</v>
      </c>
      <c r="I83" s="10" t="str">
        <f aca="false">IF(D83=0,"",$I$6+$F$6*F83+$G$6*G83+$H$6*H83)</f>
        <v/>
      </c>
      <c r="J83" s="5" t="str">
        <f aca="false">IF(D83&lt;5,"",(E83-I83)*162)</f>
        <v/>
      </c>
      <c r="K83" s="5" t="str">
        <f aca="false">IF(D83=0,"",E83*162)</f>
        <v/>
      </c>
      <c r="L83" s="3" t="n">
        <f aca="false">SUMIFS(Seasons!$L$2:$L$2865,Seasons!$A$2:$A$2865,B83,Seasons!$B$2:$B$2865,"&gt;="&amp;$B$6,Seasons!$B$2:$B$2865,"&lt;="&amp;$C$6)</f>
        <v>0</v>
      </c>
      <c r="M83" s="3" t="n">
        <f aca="false">SUMIFS(Seasons!$N$2:$N$2865,Seasons!$A$2:$A$2865,B83,Seasons!$B$2:$B$2865,"&gt;="&amp;$B$6,Seasons!$B$2:$B$2865,"&lt;="&amp;$C$6)</f>
        <v>0</v>
      </c>
      <c r="N83" s="3" t="n">
        <f aca="false">IF(J83="",-1000000,J83+ROW()*0.000000001)</f>
        <v>-1000000</v>
      </c>
      <c r="O83" s="3" t="str">
        <f aca="false">IF(J83="","",SUMPRODUCT(($A$25:$A$534=A83)*($N$25:$N$534&gt;N83))+1)</f>
        <v/>
      </c>
      <c r="P83" s="3" t="str">
        <f aca="false">A83&amp;"|"&amp;O83</f>
        <v>1910s|</v>
      </c>
    </row>
    <row r="84" customFormat="false" ht="15" hidden="false" customHeight="true" outlineLevel="0" collapsed="false">
      <c r="A84" s="1" t="s">
        <v>10</v>
      </c>
      <c r="B84" s="7" t="s">
        <v>85</v>
      </c>
      <c r="C84" s="1" t="s">
        <v>72</v>
      </c>
      <c r="D84" s="3" t="n">
        <f aca="false">COUNTIFS(Market_Panel!$A$2:$A$2705,B84,Market_Panel!$B$2:$B$2705,"&gt;="&amp;$B$6,Market_Panel!$B$2:$B$2705,"&lt;="&amp;$C$6)</f>
        <v>0</v>
      </c>
      <c r="E84" s="10" t="str">
        <f aca="false">IF(D84=0,"",AVERAGEIFS(Market_Panel!$M$2:$M$2705,Market_Panel!$A$2:$A$2705,B84,Market_Panel!$B$2:$B$2705,"&gt;="&amp;$B$6,Market_Panel!$B$2:$B$2705,"&lt;="&amp;$C$6))</f>
        <v/>
      </c>
      <c r="F84" s="11" t="str">
        <f aca="false">IF(D84=0,"",AVERAGEIFS(Market_Panel!$P$2:$P$2705,Market_Panel!$A$2:$A$2705,B84,Market_Panel!$B$2:$B$2705,"&gt;="&amp;$B$6,Market_Panel!$B$2:$B$2705,"&lt;="&amp;$C$6))</f>
        <v/>
      </c>
      <c r="G84" s="11" t="str">
        <f aca="false">IF(D84=0,"",AVERAGEIFS(Market_Panel!$R$2:$R$2705,Market_Panel!$A$2:$A$2705,B84,Market_Panel!$B$2:$B$2705,"&gt;="&amp;$B$6,Market_Panel!$B$2:$B$2705,"&lt;="&amp;$C$6))</f>
        <v/>
      </c>
      <c r="H84" s="11" t="n">
        <f aca="false">IF(OR(D84=0,$H$6=0),0,AVERAGEIFS(Market_Panel!$Y$2:$Y$2705,Market_Panel!$A$2:$A$2705,B84,Market_Panel!$B$2:$B$2705,"&gt;="&amp;$B$6,Market_Panel!$B$2:$B$2705,"&lt;="&amp;$C$6))</f>
        <v>0</v>
      </c>
      <c r="I84" s="10" t="str">
        <f aca="false">IF(D84=0,"",$I$6+$F$6*F84+$G$6*G84+$H$6*H84)</f>
        <v/>
      </c>
      <c r="J84" s="5" t="str">
        <f aca="false">IF(D84&lt;5,"",(E84-I84)*162)</f>
        <v/>
      </c>
      <c r="K84" s="5" t="str">
        <f aca="false">IF(D84=0,"",E84*162)</f>
        <v/>
      </c>
      <c r="L84" s="3" t="n">
        <f aca="false">SUMIFS(Seasons!$L$2:$L$2865,Seasons!$A$2:$A$2865,B84,Seasons!$B$2:$B$2865,"&gt;="&amp;$B$6,Seasons!$B$2:$B$2865,"&lt;="&amp;$C$6)</f>
        <v>0</v>
      </c>
      <c r="M84" s="3" t="n">
        <f aca="false">SUMIFS(Seasons!$N$2:$N$2865,Seasons!$A$2:$A$2865,B84,Seasons!$B$2:$B$2865,"&gt;="&amp;$B$6,Seasons!$B$2:$B$2865,"&lt;="&amp;$C$6)</f>
        <v>0</v>
      </c>
      <c r="N84" s="3" t="n">
        <f aca="false">IF(J84="",-1000000,J84+ROW()*0.000000001)</f>
        <v>-1000000</v>
      </c>
      <c r="O84" s="3" t="str">
        <f aca="false">IF(J84="","",SUMPRODUCT(($A$25:$A$534=A84)*($N$25:$N$534&gt;N84))+1)</f>
        <v/>
      </c>
      <c r="P84" s="3" t="str">
        <f aca="false">A84&amp;"|"&amp;O84</f>
        <v>1910s|</v>
      </c>
    </row>
    <row r="85" customFormat="false" ht="15" hidden="false" customHeight="true" outlineLevel="0" collapsed="false">
      <c r="A85" s="1" t="s">
        <v>11</v>
      </c>
      <c r="B85" s="7" t="s">
        <v>54</v>
      </c>
      <c r="C85" s="1" t="s">
        <v>55</v>
      </c>
      <c r="D85" s="3" t="n">
        <f aca="false">COUNTIFS(Market_Panel!$A$2:$A$2705,B85,Market_Panel!$B$2:$B$2705,"&gt;="&amp;$B$7,Market_Panel!$B$2:$B$2705,"&lt;="&amp;$C$7)</f>
        <v>10</v>
      </c>
      <c r="E85" s="10" t="n">
        <f aca="false">IF(D85=0,"",AVERAGEIFS(Market_Panel!$M$2:$M$2705,Market_Panel!$A$2:$A$2705,B85,Market_Panel!$B$2:$B$2705,"&gt;="&amp;$B$7,Market_Panel!$B$2:$B$2705,"&lt;="&amp;$C$7))</f>
        <v>-0.106046937375297</v>
      </c>
      <c r="F85" s="11" t="n">
        <f aca="false">IF(D85=0,"",AVERAGEIFS(Market_Panel!$P$2:$P$2705,Market_Panel!$A$2:$A$2705,B85,Market_Panel!$B$2:$B$2705,"&gt;="&amp;$B$7,Market_Panel!$B$2:$B$2705,"&lt;="&amp;$C$7))</f>
        <v>-0.77557627750683</v>
      </c>
      <c r="G85" s="11" t="n">
        <f aca="false">IF(D85=0,"",AVERAGEIFS(Market_Panel!$R$2:$R$2705,Market_Panel!$A$2:$A$2705,B85,Market_Panel!$B$2:$B$2705,"&gt;="&amp;$B$7,Market_Panel!$B$2:$B$2705,"&lt;="&amp;$C$7))</f>
        <v>0</v>
      </c>
      <c r="H85" s="11" t="n">
        <f aca="false">IF(OR(D85=0,$H$7=0),0,AVERAGEIFS(Market_Panel!$Y$2:$Y$2705,Market_Panel!$A$2:$A$2705,B85,Market_Panel!$B$2:$B$2705,"&gt;="&amp;$B$7,Market_Panel!$B$2:$B$2705,"&lt;="&amp;$C$7))</f>
        <v>0</v>
      </c>
      <c r="I85" s="10" t="n">
        <f aca="false">IF(D85=0,"",$I$7+$F$7*F85+$G$7*G85+$H$7*H85)</f>
        <v>-0.0301027392643072</v>
      </c>
      <c r="J85" s="5" t="n">
        <f aca="false">IF(D85&lt;5,"",(E85-I85)*162)</f>
        <v>-12.3029600939803</v>
      </c>
      <c r="K85" s="5" t="n">
        <f aca="false">IF(D85=0,"",E85*162)</f>
        <v>-17.179603854798</v>
      </c>
      <c r="L85" s="3" t="n">
        <f aca="false">SUMIFS(Seasons!$L$2:$L$2865,Seasons!$A$2:$A$2865,B85,Seasons!$B$2:$B$2865,"&gt;="&amp;$B$7,Seasons!$B$2:$B$2865,"&lt;="&amp;$C$7)</f>
        <v>0</v>
      </c>
      <c r="M85" s="3" t="n">
        <f aca="false">SUMIFS(Seasons!$N$2:$N$2865,Seasons!$A$2:$A$2865,B85,Seasons!$B$2:$B$2865,"&gt;="&amp;$B$7,Seasons!$B$2:$B$2865,"&lt;="&amp;$C$7)</f>
        <v>0</v>
      </c>
      <c r="N85" s="3" t="n">
        <f aca="false">IF(J85="",-1000000,J85+ROW()*0.000000001)</f>
        <v>-12.3029600089803</v>
      </c>
      <c r="O85" s="3" t="n">
        <f aca="false">IF(J85="","",SUMPRODUCT(($A$25:$A$534=A85)*($N$25:$N$534&gt;N85))+1)</f>
        <v>14</v>
      </c>
      <c r="P85" s="3" t="str">
        <f aca="false">A85&amp;"|"&amp;O85</f>
        <v>1920s|14</v>
      </c>
    </row>
    <row r="86" customFormat="false" ht="15" hidden="false" customHeight="true" outlineLevel="0" collapsed="false">
      <c r="A86" s="1" t="s">
        <v>11</v>
      </c>
      <c r="B86" s="7" t="s">
        <v>56</v>
      </c>
      <c r="C86" s="1" t="s">
        <v>55</v>
      </c>
      <c r="D86" s="3" t="n">
        <f aca="false">COUNTIFS(Market_Panel!$A$2:$A$2705,B86,Market_Panel!$B$2:$B$2705,"&gt;="&amp;$B$7,Market_Panel!$B$2:$B$2705,"&lt;="&amp;$C$7)</f>
        <v>10</v>
      </c>
      <c r="E86" s="10" t="n">
        <f aca="false">IF(D86=0,"",AVERAGEIFS(Market_Panel!$M$2:$M$2705,Market_Panel!$A$2:$A$2705,B86,Market_Panel!$B$2:$B$2705,"&gt;="&amp;$B$7,Market_Panel!$B$2:$B$2705,"&lt;="&amp;$C$7))</f>
        <v>0.0258459633256537</v>
      </c>
      <c r="F86" s="11" t="n">
        <f aca="false">IF(D86=0,"",AVERAGEIFS(Market_Panel!$P$2:$P$2705,Market_Panel!$A$2:$A$2705,B86,Market_Panel!$B$2:$B$2705,"&gt;="&amp;$B$7,Market_Panel!$B$2:$B$2705,"&lt;="&amp;$C$7))</f>
        <v>0.589401389455799</v>
      </c>
      <c r="G86" s="11" t="n">
        <f aca="false">IF(D86=0,"",AVERAGEIFS(Market_Panel!$R$2:$R$2705,Market_Panel!$A$2:$A$2705,B86,Market_Panel!$B$2:$B$2705,"&gt;="&amp;$B$7,Market_Panel!$B$2:$B$2705,"&lt;="&amp;$C$7))</f>
        <v>0</v>
      </c>
      <c r="H86" s="11" t="n">
        <f aca="false">IF(OR(D86=0,$H$7=0),0,AVERAGEIFS(Market_Panel!$Y$2:$Y$2705,Market_Panel!$A$2:$A$2705,B86,Market_Panel!$B$2:$B$2705,"&gt;="&amp;$B$7,Market_Panel!$B$2:$B$2705,"&lt;="&amp;$C$7))</f>
        <v>0</v>
      </c>
      <c r="I86" s="10" t="n">
        <f aca="false">IF(D86=0,"",$I$7+$F$7*F86+$G$7*G86+$H$7*H86)</f>
        <v>0.02287666199106</v>
      </c>
      <c r="J86" s="5" t="n">
        <f aca="false">IF(D86&lt;5,"",(E86-I86)*162)</f>
        <v>0.481026816204172</v>
      </c>
      <c r="K86" s="5" t="n">
        <f aca="false">IF(D86=0,"",E86*162)</f>
        <v>4.18704605875589</v>
      </c>
      <c r="L86" s="3" t="n">
        <f aca="false">SUMIFS(Seasons!$L$2:$L$2865,Seasons!$A$2:$A$2865,B86,Seasons!$B$2:$B$2865,"&gt;="&amp;$B$7,Seasons!$B$2:$B$2865,"&lt;="&amp;$C$7)</f>
        <v>1</v>
      </c>
      <c r="M86" s="3" t="n">
        <f aca="false">SUMIFS(Seasons!$N$2:$N$2865,Seasons!$A$2:$A$2865,B86,Seasons!$B$2:$B$2865,"&gt;="&amp;$B$7,Seasons!$B$2:$B$2865,"&lt;="&amp;$C$7)</f>
        <v>0</v>
      </c>
      <c r="N86" s="3" t="n">
        <f aca="false">IF(J86="",-1000000,J86+ROW()*0.000000001)</f>
        <v>0.481026902204172</v>
      </c>
      <c r="O86" s="3" t="n">
        <f aca="false">IF(J86="","",SUMPRODUCT(($A$25:$A$534=A86)*($N$25:$N$534&gt;N86))+1)</f>
        <v>9</v>
      </c>
      <c r="P86" s="3" t="str">
        <f aca="false">A86&amp;"|"&amp;O86</f>
        <v>1920s|9</v>
      </c>
    </row>
    <row r="87" customFormat="false" ht="15" hidden="false" customHeight="true" outlineLevel="0" collapsed="false">
      <c r="A87" s="1" t="s">
        <v>11</v>
      </c>
      <c r="B87" s="7" t="s">
        <v>57</v>
      </c>
      <c r="C87" s="1" t="s">
        <v>55</v>
      </c>
      <c r="D87" s="3" t="n">
        <f aca="false">COUNTIFS(Market_Panel!$A$2:$A$2705,B87,Market_Panel!$B$2:$B$2705,"&gt;="&amp;$B$7,Market_Panel!$B$2:$B$2705,"&lt;="&amp;$C$7)</f>
        <v>10</v>
      </c>
      <c r="E87" s="10" t="n">
        <f aca="false">IF(D87=0,"",AVERAGEIFS(Market_Panel!$M$2:$M$2705,Market_Panel!$A$2:$A$2705,B87,Market_Panel!$B$2:$B$2705,"&gt;="&amp;$B$7,Market_Panel!$B$2:$B$2705,"&lt;="&amp;$C$7))</f>
        <v>0.0205099852342576</v>
      </c>
      <c r="F87" s="11" t="n">
        <f aca="false">IF(D87=0,"",AVERAGEIFS(Market_Panel!$P$2:$P$2705,Market_Panel!$A$2:$A$2705,B87,Market_Panel!$B$2:$B$2705,"&gt;="&amp;$B$7,Market_Panel!$B$2:$B$2705,"&lt;="&amp;$C$7))</f>
        <v>-0.672074599289532</v>
      </c>
      <c r="G87" s="11" t="n">
        <f aca="false">IF(D87=0,"",AVERAGEIFS(Market_Panel!$R$2:$R$2705,Market_Panel!$A$2:$A$2705,B87,Market_Panel!$B$2:$B$2705,"&gt;="&amp;$B$7,Market_Panel!$B$2:$B$2705,"&lt;="&amp;$C$7))</f>
        <v>0</v>
      </c>
      <c r="H87" s="11" t="n">
        <f aca="false">IF(OR(D87=0,$H$7=0),0,AVERAGEIFS(Market_Panel!$Y$2:$Y$2705,Market_Panel!$A$2:$A$2705,B87,Market_Panel!$B$2:$B$2705,"&gt;="&amp;$B$7,Market_Panel!$B$2:$B$2705,"&lt;="&amp;$C$7))</f>
        <v>0</v>
      </c>
      <c r="I87" s="10" t="n">
        <f aca="false">IF(D87=0,"",$I$7+$F$7*F87+$G$7*G87+$H$7*H87)</f>
        <v>-0.0260854889652016</v>
      </c>
      <c r="J87" s="5" t="n">
        <f aca="false">IF(D87&lt;5,"",(E87-I87)*162)</f>
        <v>7.5484668203124</v>
      </c>
      <c r="K87" s="5" t="n">
        <f aca="false">IF(D87=0,"",E87*162)</f>
        <v>3.32261760794973</v>
      </c>
      <c r="L87" s="3" t="n">
        <f aca="false">SUMIFS(Seasons!$L$2:$L$2865,Seasons!$A$2:$A$2865,B87,Seasons!$B$2:$B$2865,"&gt;="&amp;$B$7,Seasons!$B$2:$B$2865,"&lt;="&amp;$C$7)</f>
        <v>0</v>
      </c>
      <c r="M87" s="3" t="n">
        <f aca="false">SUMIFS(Seasons!$N$2:$N$2865,Seasons!$A$2:$A$2865,B87,Seasons!$B$2:$B$2865,"&gt;="&amp;$B$7,Seasons!$B$2:$B$2865,"&lt;="&amp;$C$7)</f>
        <v>0</v>
      </c>
      <c r="N87" s="3" t="n">
        <f aca="false">IF(J87="",-1000000,J87+ROW()*0.000000001)</f>
        <v>7.5484669073124</v>
      </c>
      <c r="O87" s="3" t="n">
        <f aca="false">IF(J87="","",SUMPRODUCT(($A$25:$A$534=A87)*($N$25:$N$534&gt;N87))+1)</f>
        <v>4</v>
      </c>
      <c r="P87" s="3" t="str">
        <f aca="false">A87&amp;"|"&amp;O87</f>
        <v>1920s|4</v>
      </c>
    </row>
    <row r="88" customFormat="false" ht="15" hidden="false" customHeight="true" outlineLevel="0" collapsed="false">
      <c r="A88" s="1" t="s">
        <v>11</v>
      </c>
      <c r="B88" s="7" t="s">
        <v>58</v>
      </c>
      <c r="C88" s="1" t="s">
        <v>55</v>
      </c>
      <c r="D88" s="3" t="n">
        <f aca="false">COUNTIFS(Market_Panel!$A$2:$A$2705,B88,Market_Panel!$B$2:$B$2705,"&gt;="&amp;$B$7,Market_Panel!$B$2:$B$2705,"&lt;="&amp;$C$7)</f>
        <v>10</v>
      </c>
      <c r="E88" s="10" t="n">
        <f aca="false">IF(D88=0,"",AVERAGEIFS(Market_Panel!$M$2:$M$2705,Market_Panel!$A$2:$A$2705,B88,Market_Panel!$B$2:$B$2705,"&gt;="&amp;$B$7,Market_Panel!$B$2:$B$2705,"&lt;="&amp;$C$7))</f>
        <v>0.0721104100931964</v>
      </c>
      <c r="F88" s="11" t="n">
        <f aca="false">IF(D88=0,"",AVERAGEIFS(Market_Panel!$P$2:$P$2705,Market_Panel!$A$2:$A$2705,B88,Market_Panel!$B$2:$B$2705,"&gt;="&amp;$B$7,Market_Panel!$B$2:$B$2705,"&lt;="&amp;$C$7))</f>
        <v>-0.283739373291754</v>
      </c>
      <c r="G88" s="11" t="n">
        <f aca="false">IF(D88=0,"",AVERAGEIFS(Market_Panel!$R$2:$R$2705,Market_Panel!$A$2:$A$2705,B88,Market_Panel!$B$2:$B$2705,"&gt;="&amp;$B$7,Market_Panel!$B$2:$B$2705,"&lt;="&amp;$C$7))</f>
        <v>0</v>
      </c>
      <c r="H88" s="11" t="n">
        <f aca="false">IF(OR(D88=0,$H$7=0),0,AVERAGEIFS(Market_Panel!$Y$2:$Y$2705,Market_Panel!$A$2:$A$2705,B88,Market_Panel!$B$2:$B$2705,"&gt;="&amp;$B$7,Market_Panel!$B$2:$B$2705,"&lt;="&amp;$C$7))</f>
        <v>0</v>
      </c>
      <c r="I88" s="10" t="n">
        <f aca="false">IF(D88=0,"",$I$7+$F$7*F88+$G$7*G88+$H$7*H88)</f>
        <v>-0.0110128850261855</v>
      </c>
      <c r="J88" s="5" t="n">
        <f aca="false">IF(D88&lt;5,"",(E88-I88)*162)</f>
        <v>13.4659738093399</v>
      </c>
      <c r="K88" s="5" t="n">
        <f aca="false">IF(D88=0,"",E88*162)</f>
        <v>11.6818864350978</v>
      </c>
      <c r="L88" s="3" t="n">
        <f aca="false">SUMIFS(Seasons!$L$2:$L$2865,Seasons!$A$2:$A$2865,B88,Seasons!$B$2:$B$2865,"&gt;="&amp;$B$7,Seasons!$B$2:$B$2865,"&lt;="&amp;$C$7)</f>
        <v>2</v>
      </c>
      <c r="M88" s="3" t="n">
        <f aca="false">SUMIFS(Seasons!$N$2:$N$2865,Seasons!$A$2:$A$2865,B88,Seasons!$B$2:$B$2865,"&gt;="&amp;$B$7,Seasons!$B$2:$B$2865,"&lt;="&amp;$C$7)</f>
        <v>1</v>
      </c>
      <c r="N88" s="3" t="n">
        <f aca="false">IF(J88="",-1000000,J88+ROW()*0.000000001)</f>
        <v>13.4659738973399</v>
      </c>
      <c r="O88" s="3" t="n">
        <f aca="false">IF(J88="","",SUMPRODUCT(($A$25:$A$534=A88)*($N$25:$N$534&gt;N88))+1)</f>
        <v>1</v>
      </c>
      <c r="P88" s="3" t="str">
        <f aca="false">A88&amp;"|"&amp;O88</f>
        <v>1920s|1</v>
      </c>
    </row>
    <row r="89" customFormat="false" ht="15" hidden="false" customHeight="true" outlineLevel="0" collapsed="false">
      <c r="A89" s="1" t="s">
        <v>11</v>
      </c>
      <c r="B89" s="7" t="s">
        <v>59</v>
      </c>
      <c r="C89" s="1" t="s">
        <v>55</v>
      </c>
      <c r="D89" s="3" t="n">
        <f aca="false">COUNTIFS(Market_Panel!$A$2:$A$2705,B89,Market_Panel!$B$2:$B$2705,"&gt;="&amp;$B$7,Market_Panel!$B$2:$B$2705,"&lt;="&amp;$C$7)</f>
        <v>10</v>
      </c>
      <c r="E89" s="10" t="n">
        <f aca="false">IF(D89=0,"",AVERAGEIFS(Market_Panel!$M$2:$M$2705,Market_Panel!$A$2:$A$2705,B89,Market_Panel!$B$2:$B$2705,"&gt;="&amp;$B$7,Market_Panel!$B$2:$B$2705,"&lt;="&amp;$C$7))</f>
        <v>0.0358609741146583</v>
      </c>
      <c r="F89" s="11" t="n">
        <f aca="false">IF(D89=0,"",AVERAGEIFS(Market_Panel!$P$2:$P$2705,Market_Panel!$A$2:$A$2705,B89,Market_Panel!$B$2:$B$2705,"&gt;="&amp;$B$7,Market_Panel!$B$2:$B$2705,"&lt;="&amp;$C$7))</f>
        <v>-0.734717692952932</v>
      </c>
      <c r="G89" s="11" t="n">
        <f aca="false">IF(D89=0,"",AVERAGEIFS(Market_Panel!$R$2:$R$2705,Market_Panel!$A$2:$A$2705,B89,Market_Panel!$B$2:$B$2705,"&gt;="&amp;$B$7,Market_Panel!$B$2:$B$2705,"&lt;="&amp;$C$7))</f>
        <v>0</v>
      </c>
      <c r="H89" s="11" t="n">
        <f aca="false">IF(OR(D89=0,$H$7=0),0,AVERAGEIFS(Market_Panel!$Y$2:$Y$2705,Market_Panel!$A$2:$A$2705,B89,Market_Panel!$B$2:$B$2705,"&gt;="&amp;$B$7,Market_Panel!$B$2:$B$2705,"&lt;="&amp;$C$7))</f>
        <v>0</v>
      </c>
      <c r="I89" s="10" t="n">
        <f aca="false">IF(D89=0,"",$I$7+$F$7*F89+$G$7*G89+$H$7*H89)</f>
        <v>-0.0285168793647646</v>
      </c>
      <c r="J89" s="5" t="n">
        <f aca="false">IF(D89&lt;5,"",(E89-I89)*162)</f>
        <v>10.4292122636665</v>
      </c>
      <c r="K89" s="5" t="n">
        <f aca="false">IF(D89=0,"",E89*162)</f>
        <v>5.80947780657464</v>
      </c>
      <c r="L89" s="3" t="n">
        <f aca="false">SUMIFS(Seasons!$L$2:$L$2865,Seasons!$A$2:$A$2865,B89,Seasons!$B$2:$B$2865,"&gt;="&amp;$B$7,Seasons!$B$2:$B$2865,"&lt;="&amp;$C$7)</f>
        <v>2</v>
      </c>
      <c r="M89" s="3" t="n">
        <f aca="false">SUMIFS(Seasons!$N$2:$N$2865,Seasons!$A$2:$A$2865,B89,Seasons!$B$2:$B$2865,"&gt;="&amp;$B$7,Seasons!$B$2:$B$2865,"&lt;="&amp;$C$7)</f>
        <v>1</v>
      </c>
      <c r="N89" s="3" t="n">
        <f aca="false">IF(J89="",-1000000,J89+ROW()*0.000000001)</f>
        <v>10.4292123526665</v>
      </c>
      <c r="O89" s="3" t="n">
        <f aca="false">IF(J89="","",SUMPRODUCT(($A$25:$A$534=A89)*($N$25:$N$534&gt;N89))+1)</f>
        <v>3</v>
      </c>
      <c r="P89" s="3" t="str">
        <f aca="false">A89&amp;"|"&amp;O89</f>
        <v>1920s|3</v>
      </c>
    </row>
    <row r="90" customFormat="false" ht="15" hidden="false" customHeight="true" outlineLevel="0" collapsed="false">
      <c r="A90" s="1" t="s">
        <v>11</v>
      </c>
      <c r="B90" s="7" t="s">
        <v>60</v>
      </c>
      <c r="C90" s="1" t="s">
        <v>55</v>
      </c>
      <c r="D90" s="3" t="n">
        <f aca="false">COUNTIFS(Market_Panel!$A$2:$A$2705,B90,Market_Panel!$B$2:$B$2705,"&gt;="&amp;$B$7,Market_Panel!$B$2:$B$2705,"&lt;="&amp;$C$7)</f>
        <v>10</v>
      </c>
      <c r="E90" s="10" t="n">
        <f aca="false">IF(D90=0,"",AVERAGEIFS(Market_Panel!$M$2:$M$2705,Market_Panel!$A$2:$A$2705,B90,Market_Panel!$B$2:$B$2705,"&gt;="&amp;$B$7,Market_Panel!$B$2:$B$2705,"&lt;="&amp;$C$7))</f>
        <v>-0.129540818857461</v>
      </c>
      <c r="F90" s="11" t="n">
        <f aca="false">IF(D90=0,"",AVERAGEIFS(Market_Panel!$P$2:$P$2705,Market_Panel!$A$2:$A$2705,B90,Market_Panel!$B$2:$B$2705,"&gt;="&amp;$B$7,Market_Panel!$B$2:$B$2705,"&lt;="&amp;$C$7))</f>
        <v>0.126441950034399</v>
      </c>
      <c r="G90" s="11" t="n">
        <f aca="false">IF(D90=0,"",AVERAGEIFS(Market_Panel!$R$2:$R$2705,Market_Panel!$A$2:$A$2705,B90,Market_Panel!$B$2:$B$2705,"&gt;="&amp;$B$7,Market_Panel!$B$2:$B$2705,"&lt;="&amp;$C$7))</f>
        <v>0</v>
      </c>
      <c r="H90" s="11" t="n">
        <f aca="false">IF(OR(D90=0,$H$7=0),0,AVERAGEIFS(Market_Panel!$Y$2:$Y$2705,Market_Panel!$A$2:$A$2705,B90,Market_Panel!$B$2:$B$2705,"&gt;="&amp;$B$7,Market_Panel!$B$2:$B$2705,"&lt;="&amp;$C$7))</f>
        <v>0</v>
      </c>
      <c r="I90" s="10" t="n">
        <f aca="false">IF(D90=0,"",$I$7+$F$7*F90+$G$7*G90+$H$7*H90)</f>
        <v>0.00490763985999113</v>
      </c>
      <c r="J90" s="5" t="n">
        <f aca="false">IF(D90&lt;5,"",(E90-I90)*162)</f>
        <v>-21.7806503122272</v>
      </c>
      <c r="K90" s="5" t="n">
        <f aca="false">IF(D90=0,"",E90*162)</f>
        <v>-20.9856126549086</v>
      </c>
      <c r="L90" s="3" t="n">
        <f aca="false">SUMIFS(Seasons!$L$2:$L$2865,Seasons!$A$2:$A$2865,B90,Seasons!$B$2:$B$2865,"&gt;="&amp;$B$7,Seasons!$B$2:$B$2865,"&lt;="&amp;$C$7)</f>
        <v>0</v>
      </c>
      <c r="M90" s="3" t="n">
        <f aca="false">SUMIFS(Seasons!$N$2:$N$2865,Seasons!$A$2:$A$2865,B90,Seasons!$B$2:$B$2865,"&gt;="&amp;$B$7,Seasons!$B$2:$B$2865,"&lt;="&amp;$C$7)</f>
        <v>0</v>
      </c>
      <c r="N90" s="3" t="n">
        <f aca="false">IF(J90="",-1000000,J90+ROW()*0.000000001)</f>
        <v>-21.7806502222272</v>
      </c>
      <c r="O90" s="3" t="n">
        <f aca="false">IF(J90="","",SUMPRODUCT(($A$25:$A$534=A90)*($N$25:$N$534&gt;N90))+1)</f>
        <v>16</v>
      </c>
      <c r="P90" s="3" t="str">
        <f aca="false">A90&amp;"|"&amp;O90</f>
        <v>1920s|16</v>
      </c>
    </row>
    <row r="91" customFormat="false" ht="15" hidden="false" customHeight="true" outlineLevel="0" collapsed="false">
      <c r="A91" s="1" t="s">
        <v>11</v>
      </c>
      <c r="B91" s="7" t="s">
        <v>61</v>
      </c>
      <c r="C91" s="1" t="s">
        <v>55</v>
      </c>
      <c r="D91" s="3" t="n">
        <f aca="false">COUNTIFS(Market_Panel!$A$2:$A$2705,B91,Market_Panel!$B$2:$B$2705,"&gt;="&amp;$B$7,Market_Panel!$B$2:$B$2705,"&lt;="&amp;$C$7)</f>
        <v>10</v>
      </c>
      <c r="E91" s="10" t="n">
        <f aca="false">IF(D91=0,"",AVERAGEIFS(Market_Panel!$M$2:$M$2705,Market_Panel!$A$2:$A$2705,B91,Market_Panel!$B$2:$B$2705,"&gt;="&amp;$B$7,Market_Panel!$B$2:$B$2705,"&lt;="&amp;$C$7))</f>
        <v>0.0818985915022029</v>
      </c>
      <c r="F91" s="11" t="n">
        <f aca="false">IF(D91=0,"",AVERAGEIFS(Market_Panel!$P$2:$P$2705,Market_Panel!$A$2:$A$2705,B91,Market_Panel!$B$2:$B$2705,"&gt;="&amp;$B$7,Market_Panel!$B$2:$B$2705,"&lt;="&amp;$C$7))</f>
        <v>0.910384001232601</v>
      </c>
      <c r="G91" s="11" t="n">
        <f aca="false">IF(D91=0,"",AVERAGEIFS(Market_Panel!$R$2:$R$2705,Market_Panel!$A$2:$A$2705,B91,Market_Panel!$B$2:$B$2705,"&gt;="&amp;$B$7,Market_Panel!$B$2:$B$2705,"&lt;="&amp;$C$7))</f>
        <v>0</v>
      </c>
      <c r="H91" s="11" t="n">
        <f aca="false">IF(OR(D91=0,$H$7=0),0,AVERAGEIFS(Market_Panel!$Y$2:$Y$2705,Market_Panel!$A$2:$A$2705,B91,Market_Panel!$B$2:$B$2705,"&gt;="&amp;$B$7,Market_Panel!$B$2:$B$2705,"&lt;="&amp;$C$7))</f>
        <v>0</v>
      </c>
      <c r="I91" s="10" t="n">
        <f aca="false">IF(D91=0,"",$I$7+$F$7*F91+$G$7*G91+$H$7*H91)</f>
        <v>0.0353350831043958</v>
      </c>
      <c r="J91" s="5" t="n">
        <f aca="false">IF(D91&lt;5,"",(E91-I91)*162)</f>
        <v>7.54328836044475</v>
      </c>
      <c r="K91" s="5" t="n">
        <f aca="false">IF(D91=0,"",E91*162)</f>
        <v>13.2675718233569</v>
      </c>
      <c r="L91" s="3" t="n">
        <f aca="false">SUMIFS(Seasons!$L$2:$L$2865,Seasons!$A$2:$A$2865,B91,Seasons!$B$2:$B$2865,"&gt;="&amp;$B$7,Seasons!$B$2:$B$2865,"&lt;="&amp;$C$7)</f>
        <v>4</v>
      </c>
      <c r="M91" s="3" t="n">
        <f aca="false">SUMIFS(Seasons!$N$2:$N$2865,Seasons!$A$2:$A$2865,B91,Seasons!$B$2:$B$2865,"&gt;="&amp;$B$7,Seasons!$B$2:$B$2865,"&lt;="&amp;$C$7)</f>
        <v>2</v>
      </c>
      <c r="N91" s="3" t="n">
        <f aca="false">IF(J91="",-1000000,J91+ROW()*0.000000001)</f>
        <v>7.54328845144475</v>
      </c>
      <c r="O91" s="3" t="n">
        <f aca="false">IF(J91="","",SUMPRODUCT(($A$25:$A$534=A91)*($N$25:$N$534&gt;N91))+1)</f>
        <v>5</v>
      </c>
      <c r="P91" s="3" t="str">
        <f aca="false">A91&amp;"|"&amp;O91</f>
        <v>1920s|5</v>
      </c>
    </row>
    <row r="92" customFormat="false" ht="15" hidden="false" customHeight="true" outlineLevel="0" collapsed="false">
      <c r="A92" s="1" t="s">
        <v>11</v>
      </c>
      <c r="B92" s="7" t="s">
        <v>62</v>
      </c>
      <c r="C92" s="1" t="s">
        <v>55</v>
      </c>
      <c r="D92" s="3" t="n">
        <f aca="false">COUNTIFS(Market_Panel!$A$2:$A$2705,B92,Market_Panel!$B$2:$B$2705,"&gt;="&amp;$B$7,Market_Panel!$B$2:$B$2705,"&lt;="&amp;$C$7)</f>
        <v>10</v>
      </c>
      <c r="E92" s="10" t="n">
        <f aca="false">IF(D92=0,"",AVERAGEIFS(Market_Panel!$M$2:$M$2705,Market_Panel!$A$2:$A$2705,B92,Market_Panel!$B$2:$B$2705,"&gt;="&amp;$B$7,Market_Panel!$B$2:$B$2705,"&lt;="&amp;$C$7))</f>
        <v>-0.00109265103556132</v>
      </c>
      <c r="F92" s="11" t="n">
        <f aca="false">IF(D92=0,"",AVERAGEIFS(Market_Panel!$P$2:$P$2705,Market_Panel!$A$2:$A$2705,B92,Market_Panel!$B$2:$B$2705,"&gt;="&amp;$B$7,Market_Panel!$B$2:$B$2705,"&lt;="&amp;$C$7))</f>
        <v>0.910384001232601</v>
      </c>
      <c r="G92" s="11" t="n">
        <f aca="false">IF(D92=0,"",AVERAGEIFS(Market_Panel!$R$2:$R$2705,Market_Panel!$A$2:$A$2705,B92,Market_Panel!$B$2:$B$2705,"&gt;="&amp;$B$7,Market_Panel!$B$2:$B$2705,"&lt;="&amp;$C$7))</f>
        <v>0</v>
      </c>
      <c r="H92" s="11" t="n">
        <f aca="false">IF(OR(D92=0,$H$7=0),0,AVERAGEIFS(Market_Panel!$Y$2:$Y$2705,Market_Panel!$A$2:$A$2705,B92,Market_Panel!$B$2:$B$2705,"&gt;="&amp;$B$7,Market_Panel!$B$2:$B$2705,"&lt;="&amp;$C$7))</f>
        <v>0</v>
      </c>
      <c r="I92" s="10" t="n">
        <f aca="false">IF(D92=0,"",$I$7+$F$7*F92+$G$7*G92+$H$7*H92)</f>
        <v>0.0353350831043958</v>
      </c>
      <c r="J92" s="5" t="n">
        <f aca="false">IF(D92&lt;5,"",(E92-I92)*162)</f>
        <v>-5.90129293067305</v>
      </c>
      <c r="K92" s="5" t="n">
        <f aca="false">IF(D92=0,"",E92*162)</f>
        <v>-0.177009467760934</v>
      </c>
      <c r="L92" s="3" t="n">
        <f aca="false">SUMIFS(Seasons!$L$2:$L$2865,Seasons!$A$2:$A$2865,B92,Seasons!$B$2:$B$2865,"&gt;="&amp;$B$7,Seasons!$B$2:$B$2865,"&lt;="&amp;$C$7)</f>
        <v>1</v>
      </c>
      <c r="M92" s="3" t="n">
        <f aca="false">SUMIFS(Seasons!$N$2:$N$2865,Seasons!$A$2:$A$2865,B92,Seasons!$B$2:$B$2865,"&gt;="&amp;$B$7,Seasons!$B$2:$B$2865,"&lt;="&amp;$C$7)</f>
        <v>0</v>
      </c>
      <c r="N92" s="3" t="n">
        <f aca="false">IF(J92="",-1000000,J92+ROW()*0.000000001)</f>
        <v>-5.90129283867305</v>
      </c>
      <c r="O92" s="3" t="n">
        <f aca="false">IF(J92="","",SUMPRODUCT(($A$25:$A$534=A92)*($N$25:$N$534&gt;N92))+1)</f>
        <v>12</v>
      </c>
      <c r="P92" s="3" t="str">
        <f aca="false">A92&amp;"|"&amp;O92</f>
        <v>1920s|12</v>
      </c>
    </row>
    <row r="93" customFormat="false" ht="15" hidden="false" customHeight="true" outlineLevel="0" collapsed="false">
      <c r="A93" s="1" t="s">
        <v>11</v>
      </c>
      <c r="B93" s="7" t="s">
        <v>63</v>
      </c>
      <c r="C93" s="1" t="s">
        <v>55</v>
      </c>
      <c r="D93" s="3" t="n">
        <f aca="false">COUNTIFS(Market_Panel!$A$2:$A$2705,B93,Market_Panel!$B$2:$B$2705,"&gt;="&amp;$B$7,Market_Panel!$B$2:$B$2705,"&lt;="&amp;$C$7)</f>
        <v>10</v>
      </c>
      <c r="E93" s="10" t="n">
        <f aca="false">IF(D93=0,"",AVERAGEIFS(Market_Panel!$M$2:$M$2705,Market_Panel!$A$2:$A$2705,B93,Market_Panel!$B$2:$B$2705,"&gt;="&amp;$B$7,Market_Panel!$B$2:$B$2705,"&lt;="&amp;$C$7))</f>
        <v>-0.00232780219331308</v>
      </c>
      <c r="F93" s="11" t="n">
        <f aca="false">IF(D93=0,"",AVERAGEIFS(Market_Panel!$P$2:$P$2705,Market_Panel!$A$2:$A$2705,B93,Market_Panel!$B$2:$B$2705,"&gt;="&amp;$B$7,Market_Panel!$B$2:$B$2705,"&lt;="&amp;$C$7))</f>
        <v>-0.734717692952932</v>
      </c>
      <c r="G93" s="11" t="n">
        <f aca="false">IF(D93=0,"",AVERAGEIFS(Market_Panel!$R$2:$R$2705,Market_Panel!$A$2:$A$2705,B93,Market_Panel!$B$2:$B$2705,"&gt;="&amp;$B$7,Market_Panel!$B$2:$B$2705,"&lt;="&amp;$C$7))</f>
        <v>0</v>
      </c>
      <c r="H93" s="11" t="n">
        <f aca="false">IF(OR(D93=0,$H$7=0),0,AVERAGEIFS(Market_Panel!$Y$2:$Y$2705,Market_Panel!$A$2:$A$2705,B93,Market_Panel!$B$2:$B$2705,"&gt;="&amp;$B$7,Market_Panel!$B$2:$B$2705,"&lt;="&amp;$C$7))</f>
        <v>0</v>
      </c>
      <c r="I93" s="10" t="n">
        <f aca="false">IF(D93=0,"",$I$7+$F$7*F93+$G$7*G93+$H$7*H93)</f>
        <v>-0.0285168793647646</v>
      </c>
      <c r="J93" s="5" t="n">
        <f aca="false">IF(D93&lt;5,"",(E93-I93)*162)</f>
        <v>4.24263050177514</v>
      </c>
      <c r="K93" s="5" t="n">
        <f aca="false">IF(D93=0,"",E93*162)</f>
        <v>-0.37710395531672</v>
      </c>
      <c r="L93" s="3" t="n">
        <f aca="false">SUMIFS(Seasons!$L$2:$L$2865,Seasons!$A$2:$A$2865,B93,Seasons!$B$2:$B$2865,"&gt;="&amp;$B$7,Seasons!$B$2:$B$2865,"&lt;="&amp;$C$7)</f>
        <v>0</v>
      </c>
      <c r="M93" s="3" t="n">
        <f aca="false">SUMIFS(Seasons!$N$2:$N$2865,Seasons!$A$2:$A$2865,B93,Seasons!$B$2:$B$2865,"&gt;="&amp;$B$7,Seasons!$B$2:$B$2865,"&lt;="&amp;$C$7)</f>
        <v>0</v>
      </c>
      <c r="N93" s="3" t="n">
        <f aca="false">IF(J93="",-1000000,J93+ROW()*0.000000001)</f>
        <v>4.24263059477514</v>
      </c>
      <c r="O93" s="3" t="n">
        <f aca="false">IF(J93="","",SUMPRODUCT(($A$25:$A$534=A93)*($N$25:$N$534&gt;N93))+1)</f>
        <v>7</v>
      </c>
      <c r="P93" s="3" t="str">
        <f aca="false">A93&amp;"|"&amp;O93</f>
        <v>1920s|7</v>
      </c>
    </row>
    <row r="94" customFormat="false" ht="15" hidden="false" customHeight="true" outlineLevel="0" collapsed="false">
      <c r="A94" s="1" t="s">
        <v>11</v>
      </c>
      <c r="B94" s="7" t="s">
        <v>64</v>
      </c>
      <c r="C94" s="1" t="s">
        <v>55</v>
      </c>
      <c r="D94" s="3" t="n">
        <f aca="false">COUNTIFS(Market_Panel!$A$2:$A$2705,B94,Market_Panel!$B$2:$B$2705,"&gt;="&amp;$B$7,Market_Panel!$B$2:$B$2705,"&lt;="&amp;$C$7)</f>
        <v>10</v>
      </c>
      <c r="E94" s="10" t="n">
        <f aca="false">IF(D94=0,"",AVERAGEIFS(Market_Panel!$M$2:$M$2705,Market_Panel!$A$2:$A$2705,B94,Market_Panel!$B$2:$B$2705,"&gt;="&amp;$B$7,Market_Panel!$B$2:$B$2705,"&lt;="&amp;$C$7))</f>
        <v>-0.111964360165784</v>
      </c>
      <c r="F94" s="11" t="n">
        <f aca="false">IF(D94=0,"",AVERAGEIFS(Market_Panel!$P$2:$P$2705,Market_Panel!$A$2:$A$2705,B94,Market_Panel!$B$2:$B$2705,"&gt;="&amp;$B$7,Market_Panel!$B$2:$B$2705,"&lt;="&amp;$C$7))</f>
        <v>-0.77557627750683</v>
      </c>
      <c r="G94" s="11" t="n">
        <f aca="false">IF(D94=0,"",AVERAGEIFS(Market_Panel!$R$2:$R$2705,Market_Panel!$A$2:$A$2705,B94,Market_Panel!$B$2:$B$2705,"&gt;="&amp;$B$7,Market_Panel!$B$2:$B$2705,"&lt;="&amp;$C$7))</f>
        <v>0</v>
      </c>
      <c r="H94" s="11" t="n">
        <f aca="false">IF(OR(D94=0,$H$7=0),0,AVERAGEIFS(Market_Panel!$Y$2:$Y$2705,Market_Panel!$A$2:$A$2705,B94,Market_Panel!$B$2:$B$2705,"&gt;="&amp;$B$7,Market_Panel!$B$2:$B$2705,"&lt;="&amp;$C$7))</f>
        <v>0</v>
      </c>
      <c r="I94" s="10" t="n">
        <f aca="false">IF(D94=0,"",$I$7+$F$7*F94+$G$7*G94+$H$7*H94)</f>
        <v>-0.0301027392643072</v>
      </c>
      <c r="J94" s="5" t="n">
        <f aca="false">IF(D94&lt;5,"",(E94-I94)*162)</f>
        <v>-13.2615825860393</v>
      </c>
      <c r="K94" s="5" t="n">
        <f aca="false">IF(D94=0,"",E94*162)</f>
        <v>-18.1382263468571</v>
      </c>
      <c r="L94" s="3" t="n">
        <f aca="false">SUMIFS(Seasons!$L$2:$L$2865,Seasons!$A$2:$A$2865,B94,Seasons!$B$2:$B$2865,"&gt;="&amp;$B$7,Seasons!$B$2:$B$2865,"&lt;="&amp;$C$7)</f>
        <v>0</v>
      </c>
      <c r="M94" s="3" t="n">
        <f aca="false">SUMIFS(Seasons!$N$2:$N$2865,Seasons!$A$2:$A$2865,B94,Seasons!$B$2:$B$2865,"&gt;="&amp;$B$7,Seasons!$B$2:$B$2865,"&lt;="&amp;$C$7)</f>
        <v>0</v>
      </c>
      <c r="N94" s="3" t="n">
        <f aca="false">IF(J94="",-1000000,J94+ROW()*0.000000001)</f>
        <v>-13.2615824920393</v>
      </c>
      <c r="O94" s="3" t="n">
        <f aca="false">IF(J94="","",SUMPRODUCT(($A$25:$A$534=A94)*($N$25:$N$534&gt;N94))+1)</f>
        <v>15</v>
      </c>
      <c r="P94" s="3" t="str">
        <f aca="false">A94&amp;"|"&amp;O94</f>
        <v>1920s|15</v>
      </c>
    </row>
    <row r="95" customFormat="false" ht="15" hidden="false" customHeight="true" outlineLevel="0" collapsed="false">
      <c r="A95" s="1" t="s">
        <v>11</v>
      </c>
      <c r="B95" s="7" t="s">
        <v>65</v>
      </c>
      <c r="C95" s="1" t="s">
        <v>55</v>
      </c>
      <c r="D95" s="3" t="n">
        <f aca="false">COUNTIFS(Market_Panel!$A$2:$A$2705,B95,Market_Panel!$B$2:$B$2705,"&gt;="&amp;$B$7,Market_Panel!$B$2:$B$2705,"&lt;="&amp;$C$7)</f>
        <v>10</v>
      </c>
      <c r="E95" s="10" t="n">
        <f aca="false">IF(D95=0,"",AVERAGEIFS(Market_Panel!$M$2:$M$2705,Market_Panel!$A$2:$A$2705,B95,Market_Panel!$B$2:$B$2705,"&gt;="&amp;$B$7,Market_Panel!$B$2:$B$2705,"&lt;="&amp;$C$7))</f>
        <v>-0.0238930790217478</v>
      </c>
      <c r="F95" s="11" t="n">
        <f aca="false">IF(D95=0,"",AVERAGEIFS(Market_Panel!$P$2:$P$2705,Market_Panel!$A$2:$A$2705,B95,Market_Panel!$B$2:$B$2705,"&gt;="&amp;$B$7,Market_Panel!$B$2:$B$2705,"&lt;="&amp;$C$7))</f>
        <v>0.589401389455799</v>
      </c>
      <c r="G95" s="11" t="n">
        <f aca="false">IF(D95=0,"",AVERAGEIFS(Market_Panel!$R$2:$R$2705,Market_Panel!$A$2:$A$2705,B95,Market_Panel!$B$2:$B$2705,"&gt;="&amp;$B$7,Market_Panel!$B$2:$B$2705,"&lt;="&amp;$C$7))</f>
        <v>0</v>
      </c>
      <c r="H95" s="11" t="n">
        <f aca="false">IF(OR(D95=0,$H$7=0),0,AVERAGEIFS(Market_Panel!$Y$2:$Y$2705,Market_Panel!$A$2:$A$2705,B95,Market_Panel!$B$2:$B$2705,"&gt;="&amp;$B$7,Market_Panel!$B$2:$B$2705,"&lt;="&amp;$C$7))</f>
        <v>0</v>
      </c>
      <c r="I95" s="10" t="n">
        <f aca="false">IF(D95=0,"",$I$7+$F$7*F95+$G$7*G95+$H$7*H95)</f>
        <v>0.02287666199106</v>
      </c>
      <c r="J95" s="5" t="n">
        <f aca="false">IF(D95&lt;5,"",(E95-I95)*162)</f>
        <v>-7.57669804407487</v>
      </c>
      <c r="K95" s="5" t="n">
        <f aca="false">IF(D95=0,"",E95*162)</f>
        <v>-3.87067880152315</v>
      </c>
      <c r="L95" s="3" t="n">
        <f aca="false">SUMIFS(Seasons!$L$2:$L$2865,Seasons!$A$2:$A$2865,B95,Seasons!$B$2:$B$2865,"&gt;="&amp;$B$7,Seasons!$B$2:$B$2865,"&lt;="&amp;$C$7)</f>
        <v>0</v>
      </c>
      <c r="M95" s="3" t="n">
        <f aca="false">SUMIFS(Seasons!$N$2:$N$2865,Seasons!$A$2:$A$2865,B95,Seasons!$B$2:$B$2865,"&gt;="&amp;$B$7,Seasons!$B$2:$B$2865,"&lt;="&amp;$C$7)</f>
        <v>0</v>
      </c>
      <c r="N95" s="3" t="n">
        <f aca="false">IF(J95="",-1000000,J95+ROW()*0.000000001)</f>
        <v>-7.57669794907487</v>
      </c>
      <c r="O95" s="3" t="n">
        <f aca="false">IF(J95="","",SUMPRODUCT(($A$25:$A$534=A95)*($N$25:$N$534&gt;N95))+1)</f>
        <v>13</v>
      </c>
      <c r="P95" s="3" t="str">
        <f aca="false">A95&amp;"|"&amp;O95</f>
        <v>1920s|13</v>
      </c>
    </row>
    <row r="96" customFormat="false" ht="15" hidden="false" customHeight="true" outlineLevel="0" collapsed="false">
      <c r="A96" s="1" t="s">
        <v>11</v>
      </c>
      <c r="B96" s="7" t="s">
        <v>66</v>
      </c>
      <c r="C96" s="1" t="s">
        <v>55</v>
      </c>
      <c r="D96" s="3" t="n">
        <f aca="false">COUNTIFS(Market_Panel!$A$2:$A$2705,B96,Market_Panel!$B$2:$B$2705,"&gt;="&amp;$B$7,Market_Panel!$B$2:$B$2705,"&lt;="&amp;$C$7)</f>
        <v>10</v>
      </c>
      <c r="E96" s="10" t="n">
        <f aca="false">IF(D96=0,"",AVERAGEIFS(Market_Panel!$M$2:$M$2705,Market_Panel!$A$2:$A$2705,B96,Market_Panel!$B$2:$B$2705,"&gt;="&amp;$B$7,Market_Panel!$B$2:$B$2705,"&lt;="&amp;$C$7))</f>
        <v>0.0120006883735676</v>
      </c>
      <c r="F96" s="11" t="n">
        <f aca="false">IF(D96=0,"",AVERAGEIFS(Market_Panel!$P$2:$P$2705,Market_Panel!$A$2:$A$2705,B96,Market_Panel!$B$2:$B$2705,"&gt;="&amp;$B$7,Market_Panel!$B$2:$B$2705,"&lt;="&amp;$C$7))</f>
        <v>0.0162404530468882</v>
      </c>
      <c r="G96" s="11" t="n">
        <f aca="false">IF(D96=0,"",AVERAGEIFS(Market_Panel!$R$2:$R$2705,Market_Panel!$A$2:$A$2705,B96,Market_Panel!$B$2:$B$2705,"&gt;="&amp;$B$7,Market_Panel!$B$2:$B$2705,"&lt;="&amp;$C$7))</f>
        <v>0</v>
      </c>
      <c r="H96" s="11" t="n">
        <f aca="false">IF(OR(D96=0,$H$7=0),0,AVERAGEIFS(Market_Panel!$Y$2:$Y$2705,Market_Panel!$A$2:$A$2705,B96,Market_Panel!$B$2:$B$2705,"&gt;="&amp;$B$7,Market_Panel!$B$2:$B$2705,"&lt;="&amp;$C$7))</f>
        <v>0</v>
      </c>
      <c r="I96" s="10" t="n">
        <f aca="false">IF(D96=0,"",$I$7+$F$7*F96+$G$7*G96+$H$7*H96)</f>
        <v>0.0006303469275469</v>
      </c>
      <c r="J96" s="5" t="n">
        <f aca="false">IF(D96&lt;5,"",(E96-I96)*162)</f>
        <v>1.84199531425535</v>
      </c>
      <c r="K96" s="5" t="n">
        <f aca="false">IF(D96=0,"",E96*162)</f>
        <v>1.94411151651795</v>
      </c>
      <c r="L96" s="3" t="n">
        <f aca="false">SUMIFS(Seasons!$L$2:$L$2865,Seasons!$A$2:$A$2865,B96,Seasons!$B$2:$B$2865,"&gt;="&amp;$B$7,Seasons!$B$2:$B$2865,"&lt;="&amp;$C$7)</f>
        <v>1</v>
      </c>
      <c r="M96" s="3" t="n">
        <f aca="false">SUMIFS(Seasons!$N$2:$N$2865,Seasons!$A$2:$A$2865,B96,Seasons!$B$2:$B$2865,"&gt;="&amp;$B$7,Seasons!$B$2:$B$2865,"&lt;="&amp;$C$7)</f>
        <v>1</v>
      </c>
      <c r="N96" s="3" t="n">
        <f aca="false">IF(J96="",-1000000,J96+ROW()*0.000000001)</f>
        <v>1.84199541025535</v>
      </c>
      <c r="O96" s="3" t="n">
        <f aca="false">IF(J96="","",SUMPRODUCT(($A$25:$A$534=A96)*($N$25:$N$534&gt;N96))+1)</f>
        <v>8</v>
      </c>
      <c r="P96" s="3" t="str">
        <f aca="false">A96&amp;"|"&amp;O96</f>
        <v>1920s|8</v>
      </c>
    </row>
    <row r="97" customFormat="false" ht="15" hidden="false" customHeight="true" outlineLevel="0" collapsed="false">
      <c r="A97" s="1" t="s">
        <v>11</v>
      </c>
      <c r="B97" s="7" t="s">
        <v>67</v>
      </c>
      <c r="C97" s="1" t="s">
        <v>55</v>
      </c>
      <c r="D97" s="3" t="n">
        <f aca="false">COUNTIFS(Market_Panel!$A$2:$A$2705,B97,Market_Panel!$B$2:$B$2705,"&gt;="&amp;$B$7,Market_Panel!$B$2:$B$2705,"&lt;="&amp;$C$7)</f>
        <v>10</v>
      </c>
      <c r="E97" s="10" t="n">
        <f aca="false">IF(D97=0,"",AVERAGEIFS(Market_Panel!$M$2:$M$2705,Market_Panel!$A$2:$A$2705,B97,Market_Panel!$B$2:$B$2705,"&gt;="&amp;$B$7,Market_Panel!$B$2:$B$2705,"&lt;="&amp;$C$7))</f>
        <v>-0.00583763515361045</v>
      </c>
      <c r="F97" s="11" t="n">
        <f aca="false">IF(D97=0,"",AVERAGEIFS(Market_Panel!$P$2:$P$2705,Market_Panel!$A$2:$A$2705,B97,Market_Panel!$B$2:$B$2705,"&gt;="&amp;$B$7,Market_Panel!$B$2:$B$2705,"&lt;="&amp;$C$7))</f>
        <v>0.387455525576327</v>
      </c>
      <c r="G97" s="11" t="n">
        <f aca="false">IF(D97=0,"",AVERAGEIFS(Market_Panel!$R$2:$R$2705,Market_Panel!$A$2:$A$2705,B97,Market_Panel!$B$2:$B$2705,"&gt;="&amp;$B$7,Market_Panel!$B$2:$B$2705,"&lt;="&amp;$C$7))</f>
        <v>0</v>
      </c>
      <c r="H97" s="11" t="n">
        <f aca="false">IF(OR(D97=0,$H$7=0),0,AVERAGEIFS(Market_Panel!$Y$2:$Y$2705,Market_Panel!$A$2:$A$2705,B97,Market_Panel!$B$2:$B$2705,"&gt;="&amp;$B$7,Market_Panel!$B$2:$B$2705,"&lt;="&amp;$C$7))</f>
        <v>0</v>
      </c>
      <c r="I97" s="10" t="n">
        <f aca="false">IF(D97=0,"",$I$7+$F$7*F97+$G$7*G97+$H$7*H97)</f>
        <v>0.015038459789452</v>
      </c>
      <c r="J97" s="5" t="n">
        <f aca="false">IF(D97&lt;5,"",(E97-I97)*162)</f>
        <v>-3.38192738077611</v>
      </c>
      <c r="K97" s="5" t="n">
        <f aca="false">IF(D97=0,"",E97*162)</f>
        <v>-0.945696894884893</v>
      </c>
      <c r="L97" s="3" t="n">
        <f aca="false">SUMIFS(Seasons!$L$2:$L$2865,Seasons!$A$2:$A$2865,B97,Seasons!$B$2:$B$2865,"&gt;="&amp;$B$7,Seasons!$B$2:$B$2865,"&lt;="&amp;$C$7)</f>
        <v>0</v>
      </c>
      <c r="M97" s="3" t="n">
        <f aca="false">SUMIFS(Seasons!$N$2:$N$2865,Seasons!$A$2:$A$2865,B97,Seasons!$B$2:$B$2865,"&gt;="&amp;$B$7,Seasons!$B$2:$B$2865,"&lt;="&amp;$C$7)</f>
        <v>0</v>
      </c>
      <c r="N97" s="3" t="n">
        <f aca="false">IF(J97="",-1000000,J97+ROW()*0.000000001)</f>
        <v>-3.38192728377611</v>
      </c>
      <c r="O97" s="3" t="n">
        <f aca="false">IF(J97="","",SUMPRODUCT(($A$25:$A$534=A97)*($N$25:$N$534&gt;N97))+1)</f>
        <v>11</v>
      </c>
      <c r="P97" s="3" t="str">
        <f aca="false">A97&amp;"|"&amp;O97</f>
        <v>1920s|11</v>
      </c>
    </row>
    <row r="98" customFormat="false" ht="15" hidden="false" customHeight="true" outlineLevel="0" collapsed="false">
      <c r="A98" s="1" t="s">
        <v>11</v>
      </c>
      <c r="B98" s="7" t="s">
        <v>68</v>
      </c>
      <c r="C98" s="1" t="s">
        <v>55</v>
      </c>
      <c r="D98" s="3" t="n">
        <f aca="false">COUNTIFS(Market_Panel!$A$2:$A$2705,B98,Market_Panel!$B$2:$B$2705,"&gt;="&amp;$B$7,Market_Panel!$B$2:$B$2705,"&lt;="&amp;$C$7)</f>
        <v>10</v>
      </c>
      <c r="E98" s="10" t="n">
        <f aca="false">IF(D98=0,"",AVERAGEIFS(Market_Panel!$M$2:$M$2705,Market_Panel!$A$2:$A$2705,B98,Market_Panel!$B$2:$B$2705,"&gt;="&amp;$B$7,Market_Panel!$B$2:$B$2705,"&lt;="&amp;$C$7))</f>
        <v>0.0187787960360375</v>
      </c>
      <c r="F98" s="11" t="n">
        <f aca="false">IF(D98=0,"",AVERAGEIFS(Market_Panel!$P$2:$P$2705,Market_Panel!$A$2:$A$2705,B98,Market_Panel!$B$2:$B$2705,"&gt;="&amp;$B$7,Market_Panel!$B$2:$B$2705,"&lt;="&amp;$C$7))</f>
        <v>-0.590132747800605</v>
      </c>
      <c r="G98" s="11" t="n">
        <f aca="false">IF(D98=0,"",AVERAGEIFS(Market_Panel!$R$2:$R$2705,Market_Panel!$A$2:$A$2705,B98,Market_Panel!$B$2:$B$2705,"&gt;="&amp;$B$7,Market_Panel!$B$2:$B$2705,"&lt;="&amp;$C$7))</f>
        <v>0</v>
      </c>
      <c r="H98" s="11" t="n">
        <f aca="false">IF(OR(D98=0,$H$7=0),0,AVERAGEIFS(Market_Panel!$Y$2:$Y$2705,Market_Panel!$A$2:$A$2705,B98,Market_Panel!$B$2:$B$2705,"&gt;="&amp;$B$7,Market_Panel!$B$2:$B$2705,"&lt;="&amp;$C$7))</f>
        <v>0</v>
      </c>
      <c r="I98" s="10" t="n">
        <f aca="false">IF(D98=0,"",$I$7+$F$7*F98+$G$7*G98+$H$7*H98)</f>
        <v>-0.0229050484827578</v>
      </c>
      <c r="J98" s="5" t="n">
        <f aca="false">IF(D98&lt;5,"",(E98-I98)*162)</f>
        <v>6.75278281204484</v>
      </c>
      <c r="K98" s="5" t="n">
        <f aca="false">IF(D98=0,"",E98*162)</f>
        <v>3.04216495783807</v>
      </c>
      <c r="L98" s="3" t="n">
        <f aca="false">SUMIFS(Seasons!$L$2:$L$2865,Seasons!$A$2:$A$2865,B98,Seasons!$B$2:$B$2865,"&gt;="&amp;$B$7,Seasons!$B$2:$B$2865,"&lt;="&amp;$C$7)</f>
        <v>2</v>
      </c>
      <c r="M98" s="3" t="n">
        <f aca="false">SUMIFS(Seasons!$N$2:$N$2865,Seasons!$A$2:$A$2865,B98,Seasons!$B$2:$B$2865,"&gt;="&amp;$B$7,Seasons!$B$2:$B$2865,"&lt;="&amp;$C$7)</f>
        <v>1</v>
      </c>
      <c r="N98" s="3" t="n">
        <f aca="false">IF(J98="",-1000000,J98+ROW()*0.000000001)</f>
        <v>6.75278291004484</v>
      </c>
      <c r="O98" s="3" t="n">
        <f aca="false">IF(J98="","",SUMPRODUCT(($A$25:$A$534=A98)*($N$25:$N$534&gt;N98))+1)</f>
        <v>6</v>
      </c>
      <c r="P98" s="3" t="str">
        <f aca="false">A98&amp;"|"&amp;O98</f>
        <v>1920s|6</v>
      </c>
    </row>
    <row r="99" customFormat="false" ht="15" hidden="false" customHeight="true" outlineLevel="0" collapsed="false">
      <c r="A99" s="1" t="s">
        <v>11</v>
      </c>
      <c r="B99" s="7" t="s">
        <v>69</v>
      </c>
      <c r="C99" s="1" t="s">
        <v>55</v>
      </c>
      <c r="D99" s="3" t="n">
        <f aca="false">COUNTIFS(Market_Panel!$A$2:$A$2705,B99,Market_Panel!$B$2:$B$2705,"&gt;="&amp;$B$7,Market_Panel!$B$2:$B$2705,"&lt;="&amp;$C$7)</f>
        <v>10</v>
      </c>
      <c r="E99" s="10" t="n">
        <f aca="false">IF(D99=0,"",AVERAGEIFS(Market_Panel!$M$2:$M$2705,Market_Panel!$A$2:$A$2705,B99,Market_Panel!$B$2:$B$2705,"&gt;="&amp;$B$7,Market_Panel!$B$2:$B$2705,"&lt;="&amp;$C$7))</f>
        <v>0.00583353028226087</v>
      </c>
      <c r="F99" s="11" t="n">
        <f aca="false">IF(D99=0,"",AVERAGEIFS(Market_Panel!$P$2:$P$2705,Market_Panel!$A$2:$A$2705,B99,Market_Panel!$B$2:$B$2705,"&gt;="&amp;$B$7,Market_Panel!$B$2:$B$2705,"&lt;="&amp;$C$7))</f>
        <v>0.126441950034399</v>
      </c>
      <c r="G99" s="11" t="n">
        <f aca="false">IF(D99=0,"",AVERAGEIFS(Market_Panel!$R$2:$R$2705,Market_Panel!$A$2:$A$2705,B99,Market_Panel!$B$2:$B$2705,"&gt;="&amp;$B$7,Market_Panel!$B$2:$B$2705,"&lt;="&amp;$C$7))</f>
        <v>0</v>
      </c>
      <c r="H99" s="11" t="n">
        <f aca="false">IF(OR(D99=0,$H$7=0),0,AVERAGEIFS(Market_Panel!$Y$2:$Y$2705,Market_Panel!$A$2:$A$2705,B99,Market_Panel!$B$2:$B$2705,"&gt;="&amp;$B$7,Market_Panel!$B$2:$B$2705,"&lt;="&amp;$C$7))</f>
        <v>0</v>
      </c>
      <c r="I99" s="10" t="n">
        <f aca="false">IF(D99=0,"",$I$7+$F$7*F99+$G$7*G99+$H$7*H99)</f>
        <v>0.00490763985999113</v>
      </c>
      <c r="J99" s="5" t="n">
        <f aca="false">IF(D99&lt;5,"",(E99-I99)*162)</f>
        <v>0.149994248407699</v>
      </c>
      <c r="K99" s="5" t="n">
        <f aca="false">IF(D99=0,"",E99*162)</f>
        <v>0.945031905726262</v>
      </c>
      <c r="L99" s="3" t="n">
        <f aca="false">SUMIFS(Seasons!$L$2:$L$2865,Seasons!$A$2:$A$2865,B99,Seasons!$B$2:$B$2865,"&gt;="&amp;$B$7,Seasons!$B$2:$B$2865,"&lt;="&amp;$C$7)</f>
        <v>1</v>
      </c>
      <c r="M99" s="3" t="n">
        <f aca="false">SUMIFS(Seasons!$N$2:$N$2865,Seasons!$A$2:$A$2865,B99,Seasons!$B$2:$B$2865,"&gt;="&amp;$B$7,Seasons!$B$2:$B$2865,"&lt;="&amp;$C$7)</f>
        <v>1</v>
      </c>
      <c r="N99" s="3" t="n">
        <f aca="false">IF(J99="",-1000000,J99+ROW()*0.000000001)</f>
        <v>0.149994347407699</v>
      </c>
      <c r="O99" s="3" t="n">
        <f aca="false">IF(J99="","",SUMPRODUCT(($A$25:$A$534=A99)*($N$25:$N$534&gt;N99))+1)</f>
        <v>10</v>
      </c>
      <c r="P99" s="3" t="str">
        <f aca="false">A99&amp;"|"&amp;O99</f>
        <v>1920s|10</v>
      </c>
    </row>
    <row r="100" customFormat="false" ht="15" hidden="false" customHeight="true" outlineLevel="0" collapsed="false">
      <c r="A100" s="1" t="s">
        <v>11</v>
      </c>
      <c r="B100" s="7" t="s">
        <v>70</v>
      </c>
      <c r="C100" s="1" t="s">
        <v>55</v>
      </c>
      <c r="D100" s="3" t="n">
        <f aca="false">COUNTIFS(Market_Panel!$A$2:$A$2705,B100,Market_Panel!$B$2:$B$2705,"&gt;="&amp;$B$7,Market_Panel!$B$2:$B$2705,"&lt;="&amp;$C$7)</f>
        <v>10</v>
      </c>
      <c r="E100" s="10" t="n">
        <f aca="false">IF(D100=0,"",AVERAGEIFS(Market_Panel!$M$2:$M$2705,Market_Panel!$A$2:$A$2705,B100,Market_Panel!$B$2:$B$2705,"&gt;="&amp;$B$7,Market_Panel!$B$2:$B$2705,"&lt;="&amp;$C$7))</f>
        <v>0.107864344840939</v>
      </c>
      <c r="F100" s="11" t="n">
        <f aca="false">IF(D100=0,"",AVERAGEIFS(Market_Panel!$P$2:$P$2705,Market_Panel!$A$2:$A$2705,B100,Market_Panel!$B$2:$B$2705,"&gt;="&amp;$B$7,Market_Panel!$B$2:$B$2705,"&lt;="&amp;$C$7))</f>
        <v>0.910384001232601</v>
      </c>
      <c r="G100" s="11" t="n">
        <f aca="false">IF(D100=0,"",AVERAGEIFS(Market_Panel!$R$2:$R$2705,Market_Panel!$A$2:$A$2705,B100,Market_Panel!$B$2:$B$2705,"&gt;="&amp;$B$7,Market_Panel!$B$2:$B$2705,"&lt;="&amp;$C$7))</f>
        <v>0</v>
      </c>
      <c r="H100" s="11" t="n">
        <f aca="false">IF(OR(D100=0,$H$7=0),0,AVERAGEIFS(Market_Panel!$Y$2:$Y$2705,Market_Panel!$A$2:$A$2705,B100,Market_Panel!$B$2:$B$2705,"&gt;="&amp;$B$7,Market_Panel!$B$2:$B$2705,"&lt;="&amp;$C$7))</f>
        <v>0</v>
      </c>
      <c r="I100" s="10" t="n">
        <f aca="false">IF(D100=0,"",$I$7+$F$7*F100+$G$7*G100+$H$7*H100)</f>
        <v>0.0353350831043958</v>
      </c>
      <c r="J100" s="5" t="n">
        <f aca="false">IF(D100&lt;5,"",(E100-I100)*162)</f>
        <v>11.74974040132</v>
      </c>
      <c r="K100" s="5" t="n">
        <f aca="false">IF(D100=0,"",E100*162)</f>
        <v>17.4740238642322</v>
      </c>
      <c r="L100" s="3" t="n">
        <f aca="false">SUMIFS(Seasons!$L$2:$L$2865,Seasons!$A$2:$A$2865,B100,Seasons!$B$2:$B$2865,"&gt;="&amp;$B$7,Seasons!$B$2:$B$2865,"&lt;="&amp;$C$7)</f>
        <v>6</v>
      </c>
      <c r="M100" s="3" t="n">
        <f aca="false">SUMIFS(Seasons!$N$2:$N$2865,Seasons!$A$2:$A$2865,B100,Seasons!$B$2:$B$2865,"&gt;="&amp;$B$7,Seasons!$B$2:$B$2865,"&lt;="&amp;$C$7)</f>
        <v>3</v>
      </c>
      <c r="N100" s="3" t="n">
        <f aca="false">IF(J100="",-1000000,J100+ROW()*0.000000001)</f>
        <v>11.74974050132</v>
      </c>
      <c r="O100" s="3" t="n">
        <f aca="false">IF(J100="","",SUMPRODUCT(($A$25:$A$534=A100)*($N$25:$N$534&gt;N100))+1)</f>
        <v>2</v>
      </c>
      <c r="P100" s="3" t="str">
        <f aca="false">A100&amp;"|"&amp;O100</f>
        <v>1920s|2</v>
      </c>
    </row>
    <row r="101" customFormat="false" ht="15" hidden="false" customHeight="true" outlineLevel="0" collapsed="false">
      <c r="A101" s="1" t="s">
        <v>11</v>
      </c>
      <c r="B101" s="7" t="s">
        <v>71</v>
      </c>
      <c r="C101" s="1" t="s">
        <v>72</v>
      </c>
      <c r="D101" s="3" t="n">
        <f aca="false">COUNTIFS(Market_Panel!$A$2:$A$2705,B101,Market_Panel!$B$2:$B$2705,"&gt;="&amp;$B$7,Market_Panel!$B$2:$B$2705,"&lt;="&amp;$C$7)</f>
        <v>0</v>
      </c>
      <c r="E101" s="10" t="str">
        <f aca="false">IF(D101=0,"",AVERAGEIFS(Market_Panel!$M$2:$M$2705,Market_Panel!$A$2:$A$2705,B101,Market_Panel!$B$2:$B$2705,"&gt;="&amp;$B$7,Market_Panel!$B$2:$B$2705,"&lt;="&amp;$C$7))</f>
        <v/>
      </c>
      <c r="F101" s="11" t="str">
        <f aca="false">IF(D101=0,"",AVERAGEIFS(Market_Panel!$P$2:$P$2705,Market_Panel!$A$2:$A$2705,B101,Market_Panel!$B$2:$B$2705,"&gt;="&amp;$B$7,Market_Panel!$B$2:$B$2705,"&lt;="&amp;$C$7))</f>
        <v/>
      </c>
      <c r="G101" s="11" t="str">
        <f aca="false">IF(D101=0,"",AVERAGEIFS(Market_Panel!$R$2:$R$2705,Market_Panel!$A$2:$A$2705,B101,Market_Panel!$B$2:$B$2705,"&gt;="&amp;$B$7,Market_Panel!$B$2:$B$2705,"&lt;="&amp;$C$7))</f>
        <v/>
      </c>
      <c r="H101" s="11" t="n">
        <f aca="false">IF(OR(D101=0,$H$7=0),0,AVERAGEIFS(Market_Panel!$Y$2:$Y$2705,Market_Panel!$A$2:$A$2705,B101,Market_Panel!$B$2:$B$2705,"&gt;="&amp;$B$7,Market_Panel!$B$2:$B$2705,"&lt;="&amp;$C$7))</f>
        <v>0</v>
      </c>
      <c r="I101" s="10" t="str">
        <f aca="false">IF(D101=0,"",$I$7+$F$7*F101+$G$7*G101+$H$7*H101)</f>
        <v/>
      </c>
      <c r="J101" s="5" t="str">
        <f aca="false">IF(D101&lt;5,"",(E101-I101)*162)</f>
        <v/>
      </c>
      <c r="K101" s="5" t="str">
        <f aca="false">IF(D101=0,"",E101*162)</f>
        <v/>
      </c>
      <c r="L101" s="3" t="n">
        <f aca="false">SUMIFS(Seasons!$L$2:$L$2865,Seasons!$A$2:$A$2865,B101,Seasons!$B$2:$B$2865,"&gt;="&amp;$B$7,Seasons!$B$2:$B$2865,"&lt;="&amp;$C$7)</f>
        <v>0</v>
      </c>
      <c r="M101" s="3" t="n">
        <f aca="false">SUMIFS(Seasons!$N$2:$N$2865,Seasons!$A$2:$A$2865,B101,Seasons!$B$2:$B$2865,"&gt;="&amp;$B$7,Seasons!$B$2:$B$2865,"&lt;="&amp;$C$7)</f>
        <v>0</v>
      </c>
      <c r="N101" s="3" t="n">
        <f aca="false">IF(J101="",-1000000,J101+ROW()*0.000000001)</f>
        <v>-1000000</v>
      </c>
      <c r="O101" s="3" t="str">
        <f aca="false">IF(J101="","",SUMPRODUCT(($A$25:$A$534=A101)*($N$25:$N$534&gt;N101))+1)</f>
        <v/>
      </c>
      <c r="P101" s="3" t="str">
        <f aca="false">A101&amp;"|"&amp;O101</f>
        <v>1920s|</v>
      </c>
    </row>
    <row r="102" customFormat="false" ht="15" hidden="false" customHeight="true" outlineLevel="0" collapsed="false">
      <c r="A102" s="1" t="s">
        <v>11</v>
      </c>
      <c r="B102" s="7" t="s">
        <v>73</v>
      </c>
      <c r="C102" s="1" t="s">
        <v>72</v>
      </c>
      <c r="D102" s="3" t="n">
        <f aca="false">COUNTIFS(Market_Panel!$A$2:$A$2705,B102,Market_Panel!$B$2:$B$2705,"&gt;="&amp;$B$7,Market_Panel!$B$2:$B$2705,"&lt;="&amp;$C$7)</f>
        <v>0</v>
      </c>
      <c r="E102" s="10" t="str">
        <f aca="false">IF(D102=0,"",AVERAGEIFS(Market_Panel!$M$2:$M$2705,Market_Panel!$A$2:$A$2705,B102,Market_Panel!$B$2:$B$2705,"&gt;="&amp;$B$7,Market_Panel!$B$2:$B$2705,"&lt;="&amp;$C$7))</f>
        <v/>
      </c>
      <c r="F102" s="11" t="str">
        <f aca="false">IF(D102=0,"",AVERAGEIFS(Market_Panel!$P$2:$P$2705,Market_Panel!$A$2:$A$2705,B102,Market_Panel!$B$2:$B$2705,"&gt;="&amp;$B$7,Market_Panel!$B$2:$B$2705,"&lt;="&amp;$C$7))</f>
        <v/>
      </c>
      <c r="G102" s="11" t="str">
        <f aca="false">IF(D102=0,"",AVERAGEIFS(Market_Panel!$R$2:$R$2705,Market_Panel!$A$2:$A$2705,B102,Market_Panel!$B$2:$B$2705,"&gt;="&amp;$B$7,Market_Panel!$B$2:$B$2705,"&lt;="&amp;$C$7))</f>
        <v/>
      </c>
      <c r="H102" s="11" t="n">
        <f aca="false">IF(OR(D102=0,$H$7=0),0,AVERAGEIFS(Market_Panel!$Y$2:$Y$2705,Market_Panel!$A$2:$A$2705,B102,Market_Panel!$B$2:$B$2705,"&gt;="&amp;$B$7,Market_Panel!$B$2:$B$2705,"&lt;="&amp;$C$7))</f>
        <v>0</v>
      </c>
      <c r="I102" s="10" t="str">
        <f aca="false">IF(D102=0,"",$I$7+$F$7*F102+$G$7*G102+$H$7*H102)</f>
        <v/>
      </c>
      <c r="J102" s="5" t="str">
        <f aca="false">IF(D102&lt;5,"",(E102-I102)*162)</f>
        <v/>
      </c>
      <c r="K102" s="5" t="str">
        <f aca="false">IF(D102=0,"",E102*162)</f>
        <v/>
      </c>
      <c r="L102" s="3" t="n">
        <f aca="false">SUMIFS(Seasons!$L$2:$L$2865,Seasons!$A$2:$A$2865,B102,Seasons!$B$2:$B$2865,"&gt;="&amp;$B$7,Seasons!$B$2:$B$2865,"&lt;="&amp;$C$7)</f>
        <v>0</v>
      </c>
      <c r="M102" s="3" t="n">
        <f aca="false">SUMIFS(Seasons!$N$2:$N$2865,Seasons!$A$2:$A$2865,B102,Seasons!$B$2:$B$2865,"&gt;="&amp;$B$7,Seasons!$B$2:$B$2865,"&lt;="&amp;$C$7)</f>
        <v>0</v>
      </c>
      <c r="N102" s="3" t="n">
        <f aca="false">IF(J102="",-1000000,J102+ROW()*0.000000001)</f>
        <v>-1000000</v>
      </c>
      <c r="O102" s="3" t="str">
        <f aca="false">IF(J102="","",SUMPRODUCT(($A$25:$A$534=A102)*($N$25:$N$534&gt;N102))+1)</f>
        <v/>
      </c>
      <c r="P102" s="3" t="str">
        <f aca="false">A102&amp;"|"&amp;O102</f>
        <v>1920s|</v>
      </c>
    </row>
    <row r="103" customFormat="false" ht="15" hidden="false" customHeight="true" outlineLevel="0" collapsed="false">
      <c r="A103" s="1" t="s">
        <v>11</v>
      </c>
      <c r="B103" s="7" t="s">
        <v>74</v>
      </c>
      <c r="C103" s="1" t="s">
        <v>72</v>
      </c>
      <c r="D103" s="3" t="n">
        <f aca="false">COUNTIFS(Market_Panel!$A$2:$A$2705,B103,Market_Panel!$B$2:$B$2705,"&gt;="&amp;$B$7,Market_Panel!$B$2:$B$2705,"&lt;="&amp;$C$7)</f>
        <v>0</v>
      </c>
      <c r="E103" s="10" t="str">
        <f aca="false">IF(D103=0,"",AVERAGEIFS(Market_Panel!$M$2:$M$2705,Market_Panel!$A$2:$A$2705,B103,Market_Panel!$B$2:$B$2705,"&gt;="&amp;$B$7,Market_Panel!$B$2:$B$2705,"&lt;="&amp;$C$7))</f>
        <v/>
      </c>
      <c r="F103" s="11" t="str">
        <f aca="false">IF(D103=0,"",AVERAGEIFS(Market_Panel!$P$2:$P$2705,Market_Panel!$A$2:$A$2705,B103,Market_Panel!$B$2:$B$2705,"&gt;="&amp;$B$7,Market_Panel!$B$2:$B$2705,"&lt;="&amp;$C$7))</f>
        <v/>
      </c>
      <c r="G103" s="11" t="str">
        <f aca="false">IF(D103=0,"",AVERAGEIFS(Market_Panel!$R$2:$R$2705,Market_Panel!$A$2:$A$2705,B103,Market_Panel!$B$2:$B$2705,"&gt;="&amp;$B$7,Market_Panel!$B$2:$B$2705,"&lt;="&amp;$C$7))</f>
        <v/>
      </c>
      <c r="H103" s="11" t="n">
        <f aca="false">IF(OR(D103=0,$H$7=0),0,AVERAGEIFS(Market_Panel!$Y$2:$Y$2705,Market_Panel!$A$2:$A$2705,B103,Market_Panel!$B$2:$B$2705,"&gt;="&amp;$B$7,Market_Panel!$B$2:$B$2705,"&lt;="&amp;$C$7))</f>
        <v>0</v>
      </c>
      <c r="I103" s="10" t="str">
        <f aca="false">IF(D103=0,"",$I$7+$F$7*F103+$G$7*G103+$H$7*H103)</f>
        <v/>
      </c>
      <c r="J103" s="5" t="str">
        <f aca="false">IF(D103&lt;5,"",(E103-I103)*162)</f>
        <v/>
      </c>
      <c r="K103" s="5" t="str">
        <f aca="false">IF(D103=0,"",E103*162)</f>
        <v/>
      </c>
      <c r="L103" s="3" t="n">
        <f aca="false">SUMIFS(Seasons!$L$2:$L$2865,Seasons!$A$2:$A$2865,B103,Seasons!$B$2:$B$2865,"&gt;="&amp;$B$7,Seasons!$B$2:$B$2865,"&lt;="&amp;$C$7)</f>
        <v>0</v>
      </c>
      <c r="M103" s="3" t="n">
        <f aca="false">SUMIFS(Seasons!$N$2:$N$2865,Seasons!$A$2:$A$2865,B103,Seasons!$B$2:$B$2865,"&gt;="&amp;$B$7,Seasons!$B$2:$B$2865,"&lt;="&amp;$C$7)</f>
        <v>0</v>
      </c>
      <c r="N103" s="3" t="n">
        <f aca="false">IF(J103="",-1000000,J103+ROW()*0.000000001)</f>
        <v>-1000000</v>
      </c>
      <c r="O103" s="3" t="str">
        <f aca="false">IF(J103="","",SUMPRODUCT(($A$25:$A$534=A103)*($N$25:$N$534&gt;N103))+1)</f>
        <v/>
      </c>
      <c r="P103" s="3" t="str">
        <f aca="false">A103&amp;"|"&amp;O103</f>
        <v>1920s|</v>
      </c>
    </row>
    <row r="104" customFormat="false" ht="15" hidden="false" customHeight="true" outlineLevel="0" collapsed="false">
      <c r="A104" s="1" t="s">
        <v>11</v>
      </c>
      <c r="B104" s="7" t="s">
        <v>75</v>
      </c>
      <c r="C104" s="1" t="s">
        <v>72</v>
      </c>
      <c r="D104" s="3" t="n">
        <f aca="false">COUNTIFS(Market_Panel!$A$2:$A$2705,B104,Market_Panel!$B$2:$B$2705,"&gt;="&amp;$B$7,Market_Panel!$B$2:$B$2705,"&lt;="&amp;$C$7)</f>
        <v>0</v>
      </c>
      <c r="E104" s="10" t="str">
        <f aca="false">IF(D104=0,"",AVERAGEIFS(Market_Panel!$M$2:$M$2705,Market_Panel!$A$2:$A$2705,B104,Market_Panel!$B$2:$B$2705,"&gt;="&amp;$B$7,Market_Panel!$B$2:$B$2705,"&lt;="&amp;$C$7))</f>
        <v/>
      </c>
      <c r="F104" s="11" t="str">
        <f aca="false">IF(D104=0,"",AVERAGEIFS(Market_Panel!$P$2:$P$2705,Market_Panel!$A$2:$A$2705,B104,Market_Panel!$B$2:$B$2705,"&gt;="&amp;$B$7,Market_Panel!$B$2:$B$2705,"&lt;="&amp;$C$7))</f>
        <v/>
      </c>
      <c r="G104" s="11" t="str">
        <f aca="false">IF(D104=0,"",AVERAGEIFS(Market_Panel!$R$2:$R$2705,Market_Panel!$A$2:$A$2705,B104,Market_Panel!$B$2:$B$2705,"&gt;="&amp;$B$7,Market_Panel!$B$2:$B$2705,"&lt;="&amp;$C$7))</f>
        <v/>
      </c>
      <c r="H104" s="11" t="n">
        <f aca="false">IF(OR(D104=0,$H$7=0),0,AVERAGEIFS(Market_Panel!$Y$2:$Y$2705,Market_Panel!$A$2:$A$2705,B104,Market_Panel!$B$2:$B$2705,"&gt;="&amp;$B$7,Market_Panel!$B$2:$B$2705,"&lt;="&amp;$C$7))</f>
        <v>0</v>
      </c>
      <c r="I104" s="10" t="str">
        <f aca="false">IF(D104=0,"",$I$7+$F$7*F104+$G$7*G104+$H$7*H104)</f>
        <v/>
      </c>
      <c r="J104" s="5" t="str">
        <f aca="false">IF(D104&lt;5,"",(E104-I104)*162)</f>
        <v/>
      </c>
      <c r="K104" s="5" t="str">
        <f aca="false">IF(D104=0,"",E104*162)</f>
        <v/>
      </c>
      <c r="L104" s="3" t="n">
        <f aca="false">SUMIFS(Seasons!$L$2:$L$2865,Seasons!$A$2:$A$2865,B104,Seasons!$B$2:$B$2865,"&gt;="&amp;$B$7,Seasons!$B$2:$B$2865,"&lt;="&amp;$C$7)</f>
        <v>0</v>
      </c>
      <c r="M104" s="3" t="n">
        <f aca="false">SUMIFS(Seasons!$N$2:$N$2865,Seasons!$A$2:$A$2865,B104,Seasons!$B$2:$B$2865,"&gt;="&amp;$B$7,Seasons!$B$2:$B$2865,"&lt;="&amp;$C$7)</f>
        <v>0</v>
      </c>
      <c r="N104" s="3" t="n">
        <f aca="false">IF(J104="",-1000000,J104+ROW()*0.000000001)</f>
        <v>-1000000</v>
      </c>
      <c r="O104" s="3" t="str">
        <f aca="false">IF(J104="","",SUMPRODUCT(($A$25:$A$534=A104)*($N$25:$N$534&gt;N104))+1)</f>
        <v/>
      </c>
      <c r="P104" s="3" t="str">
        <f aca="false">A104&amp;"|"&amp;O104</f>
        <v>1920s|</v>
      </c>
    </row>
    <row r="105" customFormat="false" ht="15" hidden="false" customHeight="true" outlineLevel="0" collapsed="false">
      <c r="A105" s="1" t="s">
        <v>11</v>
      </c>
      <c r="B105" s="7" t="s">
        <v>76</v>
      </c>
      <c r="C105" s="1" t="s">
        <v>72</v>
      </c>
      <c r="D105" s="3" t="n">
        <f aca="false">COUNTIFS(Market_Panel!$A$2:$A$2705,B105,Market_Panel!$B$2:$B$2705,"&gt;="&amp;$B$7,Market_Panel!$B$2:$B$2705,"&lt;="&amp;$C$7)</f>
        <v>0</v>
      </c>
      <c r="E105" s="10" t="str">
        <f aca="false">IF(D105=0,"",AVERAGEIFS(Market_Panel!$M$2:$M$2705,Market_Panel!$A$2:$A$2705,B105,Market_Panel!$B$2:$B$2705,"&gt;="&amp;$B$7,Market_Panel!$B$2:$B$2705,"&lt;="&amp;$C$7))</f>
        <v/>
      </c>
      <c r="F105" s="11" t="str">
        <f aca="false">IF(D105=0,"",AVERAGEIFS(Market_Panel!$P$2:$P$2705,Market_Panel!$A$2:$A$2705,B105,Market_Panel!$B$2:$B$2705,"&gt;="&amp;$B$7,Market_Panel!$B$2:$B$2705,"&lt;="&amp;$C$7))</f>
        <v/>
      </c>
      <c r="G105" s="11" t="str">
        <f aca="false">IF(D105=0,"",AVERAGEIFS(Market_Panel!$R$2:$R$2705,Market_Panel!$A$2:$A$2705,B105,Market_Panel!$B$2:$B$2705,"&gt;="&amp;$B$7,Market_Panel!$B$2:$B$2705,"&lt;="&amp;$C$7))</f>
        <v/>
      </c>
      <c r="H105" s="11" t="n">
        <f aca="false">IF(OR(D105=0,$H$7=0),0,AVERAGEIFS(Market_Panel!$Y$2:$Y$2705,Market_Panel!$A$2:$A$2705,B105,Market_Panel!$B$2:$B$2705,"&gt;="&amp;$B$7,Market_Panel!$B$2:$B$2705,"&lt;="&amp;$C$7))</f>
        <v>0</v>
      </c>
      <c r="I105" s="10" t="str">
        <f aca="false">IF(D105=0,"",$I$7+$F$7*F105+$G$7*G105+$H$7*H105)</f>
        <v/>
      </c>
      <c r="J105" s="5" t="str">
        <f aca="false">IF(D105&lt;5,"",(E105-I105)*162)</f>
        <v/>
      </c>
      <c r="K105" s="5" t="str">
        <f aca="false">IF(D105=0,"",E105*162)</f>
        <v/>
      </c>
      <c r="L105" s="3" t="n">
        <f aca="false">SUMIFS(Seasons!$L$2:$L$2865,Seasons!$A$2:$A$2865,B105,Seasons!$B$2:$B$2865,"&gt;="&amp;$B$7,Seasons!$B$2:$B$2865,"&lt;="&amp;$C$7)</f>
        <v>0</v>
      </c>
      <c r="M105" s="3" t="n">
        <f aca="false">SUMIFS(Seasons!$N$2:$N$2865,Seasons!$A$2:$A$2865,B105,Seasons!$B$2:$B$2865,"&gt;="&amp;$B$7,Seasons!$B$2:$B$2865,"&lt;="&amp;$C$7)</f>
        <v>0</v>
      </c>
      <c r="N105" s="3" t="n">
        <f aca="false">IF(J105="",-1000000,J105+ROW()*0.000000001)</f>
        <v>-1000000</v>
      </c>
      <c r="O105" s="3" t="str">
        <f aca="false">IF(J105="","",SUMPRODUCT(($A$25:$A$534=A105)*($N$25:$N$534&gt;N105))+1)</f>
        <v/>
      </c>
      <c r="P105" s="3" t="str">
        <f aca="false">A105&amp;"|"&amp;O105</f>
        <v>1920s|</v>
      </c>
    </row>
    <row r="106" customFormat="false" ht="15" hidden="false" customHeight="true" outlineLevel="0" collapsed="false">
      <c r="A106" s="1" t="s">
        <v>11</v>
      </c>
      <c r="B106" s="7" t="s">
        <v>77</v>
      </c>
      <c r="C106" s="1" t="s">
        <v>72</v>
      </c>
      <c r="D106" s="3" t="n">
        <f aca="false">COUNTIFS(Market_Panel!$A$2:$A$2705,B106,Market_Panel!$B$2:$B$2705,"&gt;="&amp;$B$7,Market_Panel!$B$2:$B$2705,"&lt;="&amp;$C$7)</f>
        <v>0</v>
      </c>
      <c r="E106" s="10" t="str">
        <f aca="false">IF(D106=0,"",AVERAGEIFS(Market_Panel!$M$2:$M$2705,Market_Panel!$A$2:$A$2705,B106,Market_Panel!$B$2:$B$2705,"&gt;="&amp;$B$7,Market_Panel!$B$2:$B$2705,"&lt;="&amp;$C$7))</f>
        <v/>
      </c>
      <c r="F106" s="11" t="str">
        <f aca="false">IF(D106=0,"",AVERAGEIFS(Market_Panel!$P$2:$P$2705,Market_Panel!$A$2:$A$2705,B106,Market_Panel!$B$2:$B$2705,"&gt;="&amp;$B$7,Market_Panel!$B$2:$B$2705,"&lt;="&amp;$C$7))</f>
        <v/>
      </c>
      <c r="G106" s="11" t="str">
        <f aca="false">IF(D106=0,"",AVERAGEIFS(Market_Panel!$R$2:$R$2705,Market_Panel!$A$2:$A$2705,B106,Market_Panel!$B$2:$B$2705,"&gt;="&amp;$B$7,Market_Panel!$B$2:$B$2705,"&lt;="&amp;$C$7))</f>
        <v/>
      </c>
      <c r="H106" s="11" t="n">
        <f aca="false">IF(OR(D106=0,$H$7=0),0,AVERAGEIFS(Market_Panel!$Y$2:$Y$2705,Market_Panel!$A$2:$A$2705,B106,Market_Panel!$B$2:$B$2705,"&gt;="&amp;$B$7,Market_Panel!$B$2:$B$2705,"&lt;="&amp;$C$7))</f>
        <v>0</v>
      </c>
      <c r="I106" s="10" t="str">
        <f aca="false">IF(D106=0,"",$I$7+$F$7*F106+$G$7*G106+$H$7*H106)</f>
        <v/>
      </c>
      <c r="J106" s="5" t="str">
        <f aca="false">IF(D106&lt;5,"",(E106-I106)*162)</f>
        <v/>
      </c>
      <c r="K106" s="5" t="str">
        <f aca="false">IF(D106=0,"",E106*162)</f>
        <v/>
      </c>
      <c r="L106" s="3" t="n">
        <f aca="false">SUMIFS(Seasons!$L$2:$L$2865,Seasons!$A$2:$A$2865,B106,Seasons!$B$2:$B$2865,"&gt;="&amp;$B$7,Seasons!$B$2:$B$2865,"&lt;="&amp;$C$7)</f>
        <v>0</v>
      </c>
      <c r="M106" s="3" t="n">
        <f aca="false">SUMIFS(Seasons!$N$2:$N$2865,Seasons!$A$2:$A$2865,B106,Seasons!$B$2:$B$2865,"&gt;="&amp;$B$7,Seasons!$B$2:$B$2865,"&lt;="&amp;$C$7)</f>
        <v>0</v>
      </c>
      <c r="N106" s="3" t="n">
        <f aca="false">IF(J106="",-1000000,J106+ROW()*0.000000001)</f>
        <v>-1000000</v>
      </c>
      <c r="O106" s="3" t="str">
        <f aca="false">IF(J106="","",SUMPRODUCT(($A$25:$A$534=A106)*($N$25:$N$534&gt;N106))+1)</f>
        <v/>
      </c>
      <c r="P106" s="3" t="str">
        <f aca="false">A106&amp;"|"&amp;O106</f>
        <v>1920s|</v>
      </c>
    </row>
    <row r="107" customFormat="false" ht="15" hidden="false" customHeight="true" outlineLevel="0" collapsed="false">
      <c r="A107" s="1" t="s">
        <v>11</v>
      </c>
      <c r="B107" s="7" t="s">
        <v>78</v>
      </c>
      <c r="C107" s="1" t="s">
        <v>72</v>
      </c>
      <c r="D107" s="3" t="n">
        <f aca="false">COUNTIFS(Market_Panel!$A$2:$A$2705,B107,Market_Panel!$B$2:$B$2705,"&gt;="&amp;$B$7,Market_Panel!$B$2:$B$2705,"&lt;="&amp;$C$7)</f>
        <v>0</v>
      </c>
      <c r="E107" s="10" t="str">
        <f aca="false">IF(D107=0,"",AVERAGEIFS(Market_Panel!$M$2:$M$2705,Market_Panel!$A$2:$A$2705,B107,Market_Panel!$B$2:$B$2705,"&gt;="&amp;$B$7,Market_Panel!$B$2:$B$2705,"&lt;="&amp;$C$7))</f>
        <v/>
      </c>
      <c r="F107" s="11" t="str">
        <f aca="false">IF(D107=0,"",AVERAGEIFS(Market_Panel!$P$2:$P$2705,Market_Panel!$A$2:$A$2705,B107,Market_Panel!$B$2:$B$2705,"&gt;="&amp;$B$7,Market_Panel!$B$2:$B$2705,"&lt;="&amp;$C$7))</f>
        <v/>
      </c>
      <c r="G107" s="11" t="str">
        <f aca="false">IF(D107=0,"",AVERAGEIFS(Market_Panel!$R$2:$R$2705,Market_Panel!$A$2:$A$2705,B107,Market_Panel!$B$2:$B$2705,"&gt;="&amp;$B$7,Market_Panel!$B$2:$B$2705,"&lt;="&amp;$C$7))</f>
        <v/>
      </c>
      <c r="H107" s="11" t="n">
        <f aca="false">IF(OR(D107=0,$H$7=0),0,AVERAGEIFS(Market_Panel!$Y$2:$Y$2705,Market_Panel!$A$2:$A$2705,B107,Market_Panel!$B$2:$B$2705,"&gt;="&amp;$B$7,Market_Panel!$B$2:$B$2705,"&lt;="&amp;$C$7))</f>
        <v>0</v>
      </c>
      <c r="I107" s="10" t="str">
        <f aca="false">IF(D107=0,"",$I$7+$F$7*F107+$G$7*G107+$H$7*H107)</f>
        <v/>
      </c>
      <c r="J107" s="5" t="str">
        <f aca="false">IF(D107&lt;5,"",(E107-I107)*162)</f>
        <v/>
      </c>
      <c r="K107" s="5" t="str">
        <f aca="false">IF(D107=0,"",E107*162)</f>
        <v/>
      </c>
      <c r="L107" s="3" t="n">
        <f aca="false">SUMIFS(Seasons!$L$2:$L$2865,Seasons!$A$2:$A$2865,B107,Seasons!$B$2:$B$2865,"&gt;="&amp;$B$7,Seasons!$B$2:$B$2865,"&lt;="&amp;$C$7)</f>
        <v>0</v>
      </c>
      <c r="M107" s="3" t="n">
        <f aca="false">SUMIFS(Seasons!$N$2:$N$2865,Seasons!$A$2:$A$2865,B107,Seasons!$B$2:$B$2865,"&gt;="&amp;$B$7,Seasons!$B$2:$B$2865,"&lt;="&amp;$C$7)</f>
        <v>0</v>
      </c>
      <c r="N107" s="3" t="n">
        <f aca="false">IF(J107="",-1000000,J107+ROW()*0.000000001)</f>
        <v>-1000000</v>
      </c>
      <c r="O107" s="3" t="str">
        <f aca="false">IF(J107="","",SUMPRODUCT(($A$25:$A$534=A107)*($N$25:$N$534&gt;N107))+1)</f>
        <v/>
      </c>
      <c r="P107" s="3" t="str">
        <f aca="false">A107&amp;"|"&amp;O107</f>
        <v>1920s|</v>
      </c>
    </row>
    <row r="108" customFormat="false" ht="15" hidden="false" customHeight="true" outlineLevel="0" collapsed="false">
      <c r="A108" s="1" t="s">
        <v>11</v>
      </c>
      <c r="B108" s="7" t="s">
        <v>79</v>
      </c>
      <c r="C108" s="1" t="s">
        <v>72</v>
      </c>
      <c r="D108" s="3" t="n">
        <f aca="false">COUNTIFS(Market_Panel!$A$2:$A$2705,B108,Market_Panel!$B$2:$B$2705,"&gt;="&amp;$B$7,Market_Panel!$B$2:$B$2705,"&lt;="&amp;$C$7)</f>
        <v>0</v>
      </c>
      <c r="E108" s="10" t="str">
        <f aca="false">IF(D108=0,"",AVERAGEIFS(Market_Panel!$M$2:$M$2705,Market_Panel!$A$2:$A$2705,B108,Market_Panel!$B$2:$B$2705,"&gt;="&amp;$B$7,Market_Panel!$B$2:$B$2705,"&lt;="&amp;$C$7))</f>
        <v/>
      </c>
      <c r="F108" s="11" t="str">
        <f aca="false">IF(D108=0,"",AVERAGEIFS(Market_Panel!$P$2:$P$2705,Market_Panel!$A$2:$A$2705,B108,Market_Panel!$B$2:$B$2705,"&gt;="&amp;$B$7,Market_Panel!$B$2:$B$2705,"&lt;="&amp;$C$7))</f>
        <v/>
      </c>
      <c r="G108" s="11" t="str">
        <f aca="false">IF(D108=0,"",AVERAGEIFS(Market_Panel!$R$2:$R$2705,Market_Panel!$A$2:$A$2705,B108,Market_Panel!$B$2:$B$2705,"&gt;="&amp;$B$7,Market_Panel!$B$2:$B$2705,"&lt;="&amp;$C$7))</f>
        <v/>
      </c>
      <c r="H108" s="11" t="n">
        <f aca="false">IF(OR(D108=0,$H$7=0),0,AVERAGEIFS(Market_Panel!$Y$2:$Y$2705,Market_Panel!$A$2:$A$2705,B108,Market_Panel!$B$2:$B$2705,"&gt;="&amp;$B$7,Market_Panel!$B$2:$B$2705,"&lt;="&amp;$C$7))</f>
        <v>0</v>
      </c>
      <c r="I108" s="10" t="str">
        <f aca="false">IF(D108=0,"",$I$7+$F$7*F108+$G$7*G108+$H$7*H108)</f>
        <v/>
      </c>
      <c r="J108" s="5" t="str">
        <f aca="false">IF(D108&lt;5,"",(E108-I108)*162)</f>
        <v/>
      </c>
      <c r="K108" s="5" t="str">
        <f aca="false">IF(D108=0,"",E108*162)</f>
        <v/>
      </c>
      <c r="L108" s="3" t="n">
        <f aca="false">SUMIFS(Seasons!$L$2:$L$2865,Seasons!$A$2:$A$2865,B108,Seasons!$B$2:$B$2865,"&gt;="&amp;$B$7,Seasons!$B$2:$B$2865,"&lt;="&amp;$C$7)</f>
        <v>0</v>
      </c>
      <c r="M108" s="3" t="n">
        <f aca="false">SUMIFS(Seasons!$N$2:$N$2865,Seasons!$A$2:$A$2865,B108,Seasons!$B$2:$B$2865,"&gt;="&amp;$B$7,Seasons!$B$2:$B$2865,"&lt;="&amp;$C$7)</f>
        <v>0</v>
      </c>
      <c r="N108" s="3" t="n">
        <f aca="false">IF(J108="",-1000000,J108+ROW()*0.000000001)</f>
        <v>-1000000</v>
      </c>
      <c r="O108" s="3" t="str">
        <f aca="false">IF(J108="","",SUMPRODUCT(($A$25:$A$534=A108)*($N$25:$N$534&gt;N108))+1)</f>
        <v/>
      </c>
      <c r="P108" s="3" t="str">
        <f aca="false">A108&amp;"|"&amp;O108</f>
        <v>1920s|</v>
      </c>
    </row>
    <row r="109" customFormat="false" ht="15" hidden="false" customHeight="true" outlineLevel="0" collapsed="false">
      <c r="A109" s="1" t="s">
        <v>11</v>
      </c>
      <c r="B109" s="7" t="s">
        <v>80</v>
      </c>
      <c r="C109" s="1" t="s">
        <v>72</v>
      </c>
      <c r="D109" s="3" t="n">
        <f aca="false">COUNTIFS(Market_Panel!$A$2:$A$2705,B109,Market_Panel!$B$2:$B$2705,"&gt;="&amp;$B$7,Market_Panel!$B$2:$B$2705,"&lt;="&amp;$C$7)</f>
        <v>0</v>
      </c>
      <c r="E109" s="10" t="str">
        <f aca="false">IF(D109=0,"",AVERAGEIFS(Market_Panel!$M$2:$M$2705,Market_Panel!$A$2:$A$2705,B109,Market_Panel!$B$2:$B$2705,"&gt;="&amp;$B$7,Market_Panel!$B$2:$B$2705,"&lt;="&amp;$C$7))</f>
        <v/>
      </c>
      <c r="F109" s="11" t="str">
        <f aca="false">IF(D109=0,"",AVERAGEIFS(Market_Panel!$P$2:$P$2705,Market_Panel!$A$2:$A$2705,B109,Market_Panel!$B$2:$B$2705,"&gt;="&amp;$B$7,Market_Panel!$B$2:$B$2705,"&lt;="&amp;$C$7))</f>
        <v/>
      </c>
      <c r="G109" s="11" t="str">
        <f aca="false">IF(D109=0,"",AVERAGEIFS(Market_Panel!$R$2:$R$2705,Market_Panel!$A$2:$A$2705,B109,Market_Panel!$B$2:$B$2705,"&gt;="&amp;$B$7,Market_Panel!$B$2:$B$2705,"&lt;="&amp;$C$7))</f>
        <v/>
      </c>
      <c r="H109" s="11" t="n">
        <f aca="false">IF(OR(D109=0,$H$7=0),0,AVERAGEIFS(Market_Panel!$Y$2:$Y$2705,Market_Panel!$A$2:$A$2705,B109,Market_Panel!$B$2:$B$2705,"&gt;="&amp;$B$7,Market_Panel!$B$2:$B$2705,"&lt;="&amp;$C$7))</f>
        <v>0</v>
      </c>
      <c r="I109" s="10" t="str">
        <f aca="false">IF(D109=0,"",$I$7+$F$7*F109+$G$7*G109+$H$7*H109)</f>
        <v/>
      </c>
      <c r="J109" s="5" t="str">
        <f aca="false">IF(D109&lt;5,"",(E109-I109)*162)</f>
        <v/>
      </c>
      <c r="K109" s="5" t="str">
        <f aca="false">IF(D109=0,"",E109*162)</f>
        <v/>
      </c>
      <c r="L109" s="3" t="n">
        <f aca="false">SUMIFS(Seasons!$L$2:$L$2865,Seasons!$A$2:$A$2865,B109,Seasons!$B$2:$B$2865,"&gt;="&amp;$B$7,Seasons!$B$2:$B$2865,"&lt;="&amp;$C$7)</f>
        <v>0</v>
      </c>
      <c r="M109" s="3" t="n">
        <f aca="false">SUMIFS(Seasons!$N$2:$N$2865,Seasons!$A$2:$A$2865,B109,Seasons!$B$2:$B$2865,"&gt;="&amp;$B$7,Seasons!$B$2:$B$2865,"&lt;="&amp;$C$7)</f>
        <v>0</v>
      </c>
      <c r="N109" s="3" t="n">
        <f aca="false">IF(J109="",-1000000,J109+ROW()*0.000000001)</f>
        <v>-1000000</v>
      </c>
      <c r="O109" s="3" t="str">
        <f aca="false">IF(J109="","",SUMPRODUCT(($A$25:$A$534=A109)*($N$25:$N$534&gt;N109))+1)</f>
        <v/>
      </c>
      <c r="P109" s="3" t="str">
        <f aca="false">A109&amp;"|"&amp;O109</f>
        <v>1920s|</v>
      </c>
    </row>
    <row r="110" customFormat="false" ht="15" hidden="false" customHeight="true" outlineLevel="0" collapsed="false">
      <c r="A110" s="1" t="s">
        <v>11</v>
      </c>
      <c r="B110" s="7" t="s">
        <v>81</v>
      </c>
      <c r="C110" s="1" t="s">
        <v>72</v>
      </c>
      <c r="D110" s="3" t="n">
        <f aca="false">COUNTIFS(Market_Panel!$A$2:$A$2705,B110,Market_Panel!$B$2:$B$2705,"&gt;="&amp;$B$7,Market_Panel!$B$2:$B$2705,"&lt;="&amp;$C$7)</f>
        <v>0</v>
      </c>
      <c r="E110" s="10" t="str">
        <f aca="false">IF(D110=0,"",AVERAGEIFS(Market_Panel!$M$2:$M$2705,Market_Panel!$A$2:$A$2705,B110,Market_Panel!$B$2:$B$2705,"&gt;="&amp;$B$7,Market_Panel!$B$2:$B$2705,"&lt;="&amp;$C$7))</f>
        <v/>
      </c>
      <c r="F110" s="11" t="str">
        <f aca="false">IF(D110=0,"",AVERAGEIFS(Market_Panel!$P$2:$P$2705,Market_Panel!$A$2:$A$2705,B110,Market_Panel!$B$2:$B$2705,"&gt;="&amp;$B$7,Market_Panel!$B$2:$B$2705,"&lt;="&amp;$C$7))</f>
        <v/>
      </c>
      <c r="G110" s="11" t="str">
        <f aca="false">IF(D110=0,"",AVERAGEIFS(Market_Panel!$R$2:$R$2705,Market_Panel!$A$2:$A$2705,B110,Market_Panel!$B$2:$B$2705,"&gt;="&amp;$B$7,Market_Panel!$B$2:$B$2705,"&lt;="&amp;$C$7))</f>
        <v/>
      </c>
      <c r="H110" s="11" t="n">
        <f aca="false">IF(OR(D110=0,$H$7=0),0,AVERAGEIFS(Market_Panel!$Y$2:$Y$2705,Market_Panel!$A$2:$A$2705,B110,Market_Panel!$B$2:$B$2705,"&gt;="&amp;$B$7,Market_Panel!$B$2:$B$2705,"&lt;="&amp;$C$7))</f>
        <v>0</v>
      </c>
      <c r="I110" s="10" t="str">
        <f aca="false">IF(D110=0,"",$I$7+$F$7*F110+$G$7*G110+$H$7*H110)</f>
        <v/>
      </c>
      <c r="J110" s="5" t="str">
        <f aca="false">IF(D110&lt;5,"",(E110-I110)*162)</f>
        <v/>
      </c>
      <c r="K110" s="5" t="str">
        <f aca="false">IF(D110=0,"",E110*162)</f>
        <v/>
      </c>
      <c r="L110" s="3" t="n">
        <f aca="false">SUMIFS(Seasons!$L$2:$L$2865,Seasons!$A$2:$A$2865,B110,Seasons!$B$2:$B$2865,"&gt;="&amp;$B$7,Seasons!$B$2:$B$2865,"&lt;="&amp;$C$7)</f>
        <v>0</v>
      </c>
      <c r="M110" s="3" t="n">
        <f aca="false">SUMIFS(Seasons!$N$2:$N$2865,Seasons!$A$2:$A$2865,B110,Seasons!$B$2:$B$2865,"&gt;="&amp;$B$7,Seasons!$B$2:$B$2865,"&lt;="&amp;$C$7)</f>
        <v>0</v>
      </c>
      <c r="N110" s="3" t="n">
        <f aca="false">IF(J110="",-1000000,J110+ROW()*0.000000001)</f>
        <v>-1000000</v>
      </c>
      <c r="O110" s="3" t="str">
        <f aca="false">IF(J110="","",SUMPRODUCT(($A$25:$A$534=A110)*($N$25:$N$534&gt;N110))+1)</f>
        <v/>
      </c>
      <c r="P110" s="3" t="str">
        <f aca="false">A110&amp;"|"&amp;O110</f>
        <v>1920s|</v>
      </c>
    </row>
    <row r="111" customFormat="false" ht="15" hidden="false" customHeight="true" outlineLevel="0" collapsed="false">
      <c r="A111" s="1" t="s">
        <v>11</v>
      </c>
      <c r="B111" s="7" t="s">
        <v>82</v>
      </c>
      <c r="C111" s="1" t="s">
        <v>72</v>
      </c>
      <c r="D111" s="3" t="n">
        <f aca="false">COUNTIFS(Market_Panel!$A$2:$A$2705,B111,Market_Panel!$B$2:$B$2705,"&gt;="&amp;$B$7,Market_Panel!$B$2:$B$2705,"&lt;="&amp;$C$7)</f>
        <v>0</v>
      </c>
      <c r="E111" s="10" t="str">
        <f aca="false">IF(D111=0,"",AVERAGEIFS(Market_Panel!$M$2:$M$2705,Market_Panel!$A$2:$A$2705,B111,Market_Panel!$B$2:$B$2705,"&gt;="&amp;$B$7,Market_Panel!$B$2:$B$2705,"&lt;="&amp;$C$7))</f>
        <v/>
      </c>
      <c r="F111" s="11" t="str">
        <f aca="false">IF(D111=0,"",AVERAGEIFS(Market_Panel!$P$2:$P$2705,Market_Panel!$A$2:$A$2705,B111,Market_Panel!$B$2:$B$2705,"&gt;="&amp;$B$7,Market_Panel!$B$2:$B$2705,"&lt;="&amp;$C$7))</f>
        <v/>
      </c>
      <c r="G111" s="11" t="str">
        <f aca="false">IF(D111=0,"",AVERAGEIFS(Market_Panel!$R$2:$R$2705,Market_Panel!$A$2:$A$2705,B111,Market_Panel!$B$2:$B$2705,"&gt;="&amp;$B$7,Market_Panel!$B$2:$B$2705,"&lt;="&amp;$C$7))</f>
        <v/>
      </c>
      <c r="H111" s="11" t="n">
        <f aca="false">IF(OR(D111=0,$H$7=0),0,AVERAGEIFS(Market_Panel!$Y$2:$Y$2705,Market_Panel!$A$2:$A$2705,B111,Market_Panel!$B$2:$B$2705,"&gt;="&amp;$B$7,Market_Panel!$B$2:$B$2705,"&lt;="&amp;$C$7))</f>
        <v>0</v>
      </c>
      <c r="I111" s="10" t="str">
        <f aca="false">IF(D111=0,"",$I$7+$F$7*F111+$G$7*G111+$H$7*H111)</f>
        <v/>
      </c>
      <c r="J111" s="5" t="str">
        <f aca="false">IF(D111&lt;5,"",(E111-I111)*162)</f>
        <v/>
      </c>
      <c r="K111" s="5" t="str">
        <f aca="false">IF(D111=0,"",E111*162)</f>
        <v/>
      </c>
      <c r="L111" s="3" t="n">
        <f aca="false">SUMIFS(Seasons!$L$2:$L$2865,Seasons!$A$2:$A$2865,B111,Seasons!$B$2:$B$2865,"&gt;="&amp;$B$7,Seasons!$B$2:$B$2865,"&lt;="&amp;$C$7)</f>
        <v>0</v>
      </c>
      <c r="M111" s="3" t="n">
        <f aca="false">SUMIFS(Seasons!$N$2:$N$2865,Seasons!$A$2:$A$2865,B111,Seasons!$B$2:$B$2865,"&gt;="&amp;$B$7,Seasons!$B$2:$B$2865,"&lt;="&amp;$C$7)</f>
        <v>0</v>
      </c>
      <c r="N111" s="3" t="n">
        <f aca="false">IF(J111="",-1000000,J111+ROW()*0.000000001)</f>
        <v>-1000000</v>
      </c>
      <c r="O111" s="3" t="str">
        <f aca="false">IF(J111="","",SUMPRODUCT(($A$25:$A$534=A111)*($N$25:$N$534&gt;N111))+1)</f>
        <v/>
      </c>
      <c r="P111" s="3" t="str">
        <f aca="false">A111&amp;"|"&amp;O111</f>
        <v>1920s|</v>
      </c>
    </row>
    <row r="112" customFormat="false" ht="15" hidden="false" customHeight="true" outlineLevel="0" collapsed="false">
      <c r="A112" s="1" t="s">
        <v>11</v>
      </c>
      <c r="B112" s="7" t="s">
        <v>83</v>
      </c>
      <c r="C112" s="1" t="s">
        <v>72</v>
      </c>
      <c r="D112" s="3" t="n">
        <f aca="false">COUNTIFS(Market_Panel!$A$2:$A$2705,B112,Market_Panel!$B$2:$B$2705,"&gt;="&amp;$B$7,Market_Panel!$B$2:$B$2705,"&lt;="&amp;$C$7)</f>
        <v>0</v>
      </c>
      <c r="E112" s="10" t="str">
        <f aca="false">IF(D112=0,"",AVERAGEIFS(Market_Panel!$M$2:$M$2705,Market_Panel!$A$2:$A$2705,B112,Market_Panel!$B$2:$B$2705,"&gt;="&amp;$B$7,Market_Panel!$B$2:$B$2705,"&lt;="&amp;$C$7))</f>
        <v/>
      </c>
      <c r="F112" s="11" t="str">
        <f aca="false">IF(D112=0,"",AVERAGEIFS(Market_Panel!$P$2:$P$2705,Market_Panel!$A$2:$A$2705,B112,Market_Panel!$B$2:$B$2705,"&gt;="&amp;$B$7,Market_Panel!$B$2:$B$2705,"&lt;="&amp;$C$7))</f>
        <v/>
      </c>
      <c r="G112" s="11" t="str">
        <f aca="false">IF(D112=0,"",AVERAGEIFS(Market_Panel!$R$2:$R$2705,Market_Panel!$A$2:$A$2705,B112,Market_Panel!$B$2:$B$2705,"&gt;="&amp;$B$7,Market_Panel!$B$2:$B$2705,"&lt;="&amp;$C$7))</f>
        <v/>
      </c>
      <c r="H112" s="11" t="n">
        <f aca="false">IF(OR(D112=0,$H$7=0),0,AVERAGEIFS(Market_Panel!$Y$2:$Y$2705,Market_Panel!$A$2:$A$2705,B112,Market_Panel!$B$2:$B$2705,"&gt;="&amp;$B$7,Market_Panel!$B$2:$B$2705,"&lt;="&amp;$C$7))</f>
        <v>0</v>
      </c>
      <c r="I112" s="10" t="str">
        <f aca="false">IF(D112=0,"",$I$7+$F$7*F112+$G$7*G112+$H$7*H112)</f>
        <v/>
      </c>
      <c r="J112" s="5" t="str">
        <f aca="false">IF(D112&lt;5,"",(E112-I112)*162)</f>
        <v/>
      </c>
      <c r="K112" s="5" t="str">
        <f aca="false">IF(D112=0,"",E112*162)</f>
        <v/>
      </c>
      <c r="L112" s="3" t="n">
        <f aca="false">SUMIFS(Seasons!$L$2:$L$2865,Seasons!$A$2:$A$2865,B112,Seasons!$B$2:$B$2865,"&gt;="&amp;$B$7,Seasons!$B$2:$B$2865,"&lt;="&amp;$C$7)</f>
        <v>0</v>
      </c>
      <c r="M112" s="3" t="n">
        <f aca="false">SUMIFS(Seasons!$N$2:$N$2865,Seasons!$A$2:$A$2865,B112,Seasons!$B$2:$B$2865,"&gt;="&amp;$B$7,Seasons!$B$2:$B$2865,"&lt;="&amp;$C$7)</f>
        <v>0</v>
      </c>
      <c r="N112" s="3" t="n">
        <f aca="false">IF(J112="",-1000000,J112+ROW()*0.000000001)</f>
        <v>-1000000</v>
      </c>
      <c r="O112" s="3" t="str">
        <f aca="false">IF(J112="","",SUMPRODUCT(($A$25:$A$534=A112)*($N$25:$N$534&gt;N112))+1)</f>
        <v/>
      </c>
      <c r="P112" s="3" t="str">
        <f aca="false">A112&amp;"|"&amp;O112</f>
        <v>1920s|</v>
      </c>
    </row>
    <row r="113" customFormat="false" ht="15" hidden="false" customHeight="true" outlineLevel="0" collapsed="false">
      <c r="A113" s="1" t="s">
        <v>11</v>
      </c>
      <c r="B113" s="7" t="s">
        <v>84</v>
      </c>
      <c r="C113" s="1" t="s">
        <v>72</v>
      </c>
      <c r="D113" s="3" t="n">
        <f aca="false">COUNTIFS(Market_Panel!$A$2:$A$2705,B113,Market_Panel!$B$2:$B$2705,"&gt;="&amp;$B$7,Market_Panel!$B$2:$B$2705,"&lt;="&amp;$C$7)</f>
        <v>0</v>
      </c>
      <c r="E113" s="10" t="str">
        <f aca="false">IF(D113=0,"",AVERAGEIFS(Market_Panel!$M$2:$M$2705,Market_Panel!$A$2:$A$2705,B113,Market_Panel!$B$2:$B$2705,"&gt;="&amp;$B$7,Market_Panel!$B$2:$B$2705,"&lt;="&amp;$C$7))</f>
        <v/>
      </c>
      <c r="F113" s="11" t="str">
        <f aca="false">IF(D113=0,"",AVERAGEIFS(Market_Panel!$P$2:$P$2705,Market_Panel!$A$2:$A$2705,B113,Market_Panel!$B$2:$B$2705,"&gt;="&amp;$B$7,Market_Panel!$B$2:$B$2705,"&lt;="&amp;$C$7))</f>
        <v/>
      </c>
      <c r="G113" s="11" t="str">
        <f aca="false">IF(D113=0,"",AVERAGEIFS(Market_Panel!$R$2:$R$2705,Market_Panel!$A$2:$A$2705,B113,Market_Panel!$B$2:$B$2705,"&gt;="&amp;$B$7,Market_Panel!$B$2:$B$2705,"&lt;="&amp;$C$7))</f>
        <v/>
      </c>
      <c r="H113" s="11" t="n">
        <f aca="false">IF(OR(D113=0,$H$7=0),0,AVERAGEIFS(Market_Panel!$Y$2:$Y$2705,Market_Panel!$A$2:$A$2705,B113,Market_Panel!$B$2:$B$2705,"&gt;="&amp;$B$7,Market_Panel!$B$2:$B$2705,"&lt;="&amp;$C$7))</f>
        <v>0</v>
      </c>
      <c r="I113" s="10" t="str">
        <f aca="false">IF(D113=0,"",$I$7+$F$7*F113+$G$7*G113+$H$7*H113)</f>
        <v/>
      </c>
      <c r="J113" s="5" t="str">
        <f aca="false">IF(D113&lt;5,"",(E113-I113)*162)</f>
        <v/>
      </c>
      <c r="K113" s="5" t="str">
        <f aca="false">IF(D113=0,"",E113*162)</f>
        <v/>
      </c>
      <c r="L113" s="3" t="n">
        <f aca="false">SUMIFS(Seasons!$L$2:$L$2865,Seasons!$A$2:$A$2865,B113,Seasons!$B$2:$B$2865,"&gt;="&amp;$B$7,Seasons!$B$2:$B$2865,"&lt;="&amp;$C$7)</f>
        <v>0</v>
      </c>
      <c r="M113" s="3" t="n">
        <f aca="false">SUMIFS(Seasons!$N$2:$N$2865,Seasons!$A$2:$A$2865,B113,Seasons!$B$2:$B$2865,"&gt;="&amp;$B$7,Seasons!$B$2:$B$2865,"&lt;="&amp;$C$7)</f>
        <v>0</v>
      </c>
      <c r="N113" s="3" t="n">
        <f aca="false">IF(J113="",-1000000,J113+ROW()*0.000000001)</f>
        <v>-1000000</v>
      </c>
      <c r="O113" s="3" t="str">
        <f aca="false">IF(J113="","",SUMPRODUCT(($A$25:$A$534=A113)*($N$25:$N$534&gt;N113))+1)</f>
        <v/>
      </c>
      <c r="P113" s="3" t="str">
        <f aca="false">A113&amp;"|"&amp;O113</f>
        <v>1920s|</v>
      </c>
    </row>
    <row r="114" customFormat="false" ht="15" hidden="false" customHeight="true" outlineLevel="0" collapsed="false">
      <c r="A114" s="1" t="s">
        <v>11</v>
      </c>
      <c r="B114" s="7" t="s">
        <v>85</v>
      </c>
      <c r="C114" s="1" t="s">
        <v>72</v>
      </c>
      <c r="D114" s="3" t="n">
        <f aca="false">COUNTIFS(Market_Panel!$A$2:$A$2705,B114,Market_Panel!$B$2:$B$2705,"&gt;="&amp;$B$7,Market_Panel!$B$2:$B$2705,"&lt;="&amp;$C$7)</f>
        <v>0</v>
      </c>
      <c r="E114" s="10" t="str">
        <f aca="false">IF(D114=0,"",AVERAGEIFS(Market_Panel!$M$2:$M$2705,Market_Panel!$A$2:$A$2705,B114,Market_Panel!$B$2:$B$2705,"&gt;="&amp;$B$7,Market_Panel!$B$2:$B$2705,"&lt;="&amp;$C$7))</f>
        <v/>
      </c>
      <c r="F114" s="11" t="str">
        <f aca="false">IF(D114=0,"",AVERAGEIFS(Market_Panel!$P$2:$P$2705,Market_Panel!$A$2:$A$2705,B114,Market_Panel!$B$2:$B$2705,"&gt;="&amp;$B$7,Market_Panel!$B$2:$B$2705,"&lt;="&amp;$C$7))</f>
        <v/>
      </c>
      <c r="G114" s="11" t="str">
        <f aca="false">IF(D114=0,"",AVERAGEIFS(Market_Panel!$R$2:$R$2705,Market_Panel!$A$2:$A$2705,B114,Market_Panel!$B$2:$B$2705,"&gt;="&amp;$B$7,Market_Panel!$B$2:$B$2705,"&lt;="&amp;$C$7))</f>
        <v/>
      </c>
      <c r="H114" s="11" t="n">
        <f aca="false">IF(OR(D114=0,$H$7=0),0,AVERAGEIFS(Market_Panel!$Y$2:$Y$2705,Market_Panel!$A$2:$A$2705,B114,Market_Panel!$B$2:$B$2705,"&gt;="&amp;$B$7,Market_Panel!$B$2:$B$2705,"&lt;="&amp;$C$7))</f>
        <v>0</v>
      </c>
      <c r="I114" s="10" t="str">
        <f aca="false">IF(D114=0,"",$I$7+$F$7*F114+$G$7*G114+$H$7*H114)</f>
        <v/>
      </c>
      <c r="J114" s="5" t="str">
        <f aca="false">IF(D114&lt;5,"",(E114-I114)*162)</f>
        <v/>
      </c>
      <c r="K114" s="5" t="str">
        <f aca="false">IF(D114=0,"",E114*162)</f>
        <v/>
      </c>
      <c r="L114" s="3" t="n">
        <f aca="false">SUMIFS(Seasons!$L$2:$L$2865,Seasons!$A$2:$A$2865,B114,Seasons!$B$2:$B$2865,"&gt;="&amp;$B$7,Seasons!$B$2:$B$2865,"&lt;="&amp;$C$7)</f>
        <v>0</v>
      </c>
      <c r="M114" s="3" t="n">
        <f aca="false">SUMIFS(Seasons!$N$2:$N$2865,Seasons!$A$2:$A$2865,B114,Seasons!$B$2:$B$2865,"&gt;="&amp;$B$7,Seasons!$B$2:$B$2865,"&lt;="&amp;$C$7)</f>
        <v>0</v>
      </c>
      <c r="N114" s="3" t="n">
        <f aca="false">IF(J114="",-1000000,J114+ROW()*0.000000001)</f>
        <v>-1000000</v>
      </c>
      <c r="O114" s="3" t="str">
        <f aca="false">IF(J114="","",SUMPRODUCT(($A$25:$A$534=A114)*($N$25:$N$534&gt;N114))+1)</f>
        <v/>
      </c>
      <c r="P114" s="3" t="str">
        <f aca="false">A114&amp;"|"&amp;O114</f>
        <v>1920s|</v>
      </c>
    </row>
    <row r="115" customFormat="false" ht="15" hidden="false" customHeight="true" outlineLevel="0" collapsed="false">
      <c r="A115" s="1" t="s">
        <v>12</v>
      </c>
      <c r="B115" s="7" t="s">
        <v>54</v>
      </c>
      <c r="C115" s="1" t="s">
        <v>55</v>
      </c>
      <c r="D115" s="3" t="n">
        <f aca="false">COUNTIFS(Market_Panel!$A$2:$A$2705,B115,Market_Panel!$B$2:$B$2705,"&gt;="&amp;$B$8,Market_Panel!$B$2:$B$2705,"&lt;="&amp;$C$8)</f>
        <v>10</v>
      </c>
      <c r="E115" s="10" t="n">
        <f aca="false">IF(D115=0,"",AVERAGEIFS(Market_Panel!$M$2:$M$2705,Market_Panel!$A$2:$A$2705,B115,Market_Panel!$B$2:$B$2705,"&gt;="&amp;$B$8,Market_Panel!$B$2:$B$2705,"&lt;="&amp;$C$8))</f>
        <v>-0.0420179978872555</v>
      </c>
      <c r="F115" s="11" t="n">
        <f aca="false">IF(D115=0,"",AVERAGEIFS(Market_Panel!$P$2:$P$2705,Market_Panel!$A$2:$A$2705,B115,Market_Panel!$B$2:$B$2705,"&gt;="&amp;$B$8,Market_Panel!$B$2:$B$2705,"&lt;="&amp;$C$8))</f>
        <v>-0.852673437973461</v>
      </c>
      <c r="G115" s="11" t="n">
        <f aca="false">IF(D115=0,"",AVERAGEIFS(Market_Panel!$R$2:$R$2705,Market_Panel!$A$2:$A$2705,B115,Market_Panel!$B$2:$B$2705,"&gt;="&amp;$B$8,Market_Panel!$B$2:$B$2705,"&lt;="&amp;$C$8))</f>
        <v>0</v>
      </c>
      <c r="H115" s="11" t="n">
        <f aca="false">IF(OR(D115=0,$H$8=0),0,AVERAGEIFS(Market_Panel!$Y$2:$Y$2705,Market_Panel!$A$2:$A$2705,B115,Market_Panel!$B$2:$B$2705,"&gt;="&amp;$B$8,Market_Panel!$B$2:$B$2705,"&lt;="&amp;$C$8))</f>
        <v>0</v>
      </c>
      <c r="I115" s="10" t="n">
        <f aca="false">IF(D115=0,"",$I$8+$F$8*F115+$G$8*G115+$H$8*H115)</f>
        <v>-0.0382669019518407</v>
      </c>
      <c r="J115" s="5" t="n">
        <f aca="false">IF(D115&lt;5,"",(E115-I115)*162)</f>
        <v>-0.607677541537208</v>
      </c>
      <c r="K115" s="5" t="n">
        <f aca="false">IF(D115=0,"",E115*162)</f>
        <v>-6.8069156577354</v>
      </c>
      <c r="L115" s="3" t="n">
        <f aca="false">SUMIFS(Seasons!$L$2:$L$2865,Seasons!$A$2:$A$2865,B115,Seasons!$B$2:$B$2865,"&gt;="&amp;$B$8,Seasons!$B$2:$B$2865,"&lt;="&amp;$C$8)</f>
        <v>0</v>
      </c>
      <c r="M115" s="3" t="n">
        <f aca="false">SUMIFS(Seasons!$N$2:$N$2865,Seasons!$A$2:$A$2865,B115,Seasons!$B$2:$B$2865,"&gt;="&amp;$B$8,Seasons!$B$2:$B$2865,"&lt;="&amp;$C$8)</f>
        <v>0</v>
      </c>
      <c r="N115" s="3" t="n">
        <f aca="false">IF(J115="",-1000000,J115+ROW()*0.000000001)</f>
        <v>-0.607677426537209</v>
      </c>
      <c r="O115" s="3" t="n">
        <f aca="false">IF(J115="","",SUMPRODUCT(($A$25:$A$534=A115)*($N$25:$N$534&gt;N115))+1)</f>
        <v>10</v>
      </c>
      <c r="P115" s="3" t="str">
        <f aca="false">A115&amp;"|"&amp;O115</f>
        <v>1930s|10</v>
      </c>
    </row>
    <row r="116" customFormat="false" ht="15" hidden="false" customHeight="true" outlineLevel="0" collapsed="false">
      <c r="A116" s="1" t="s">
        <v>12</v>
      </c>
      <c r="B116" s="7" t="s">
        <v>56</v>
      </c>
      <c r="C116" s="1" t="s">
        <v>55</v>
      </c>
      <c r="D116" s="3" t="n">
        <f aca="false">COUNTIFS(Market_Panel!$A$2:$A$2705,B116,Market_Panel!$B$2:$B$2705,"&gt;="&amp;$B$8,Market_Panel!$B$2:$B$2705,"&lt;="&amp;$C$8)</f>
        <v>10</v>
      </c>
      <c r="E116" s="10" t="n">
        <f aca="false">IF(D116=0,"",AVERAGEIFS(Market_Panel!$M$2:$M$2705,Market_Panel!$A$2:$A$2705,B116,Market_Panel!$B$2:$B$2705,"&gt;="&amp;$B$8,Market_Panel!$B$2:$B$2705,"&lt;="&amp;$C$8))</f>
        <v>0.0792659890009078</v>
      </c>
      <c r="F116" s="11" t="n">
        <f aca="false">IF(D116=0,"",AVERAGEIFS(Market_Panel!$P$2:$P$2705,Market_Panel!$A$2:$A$2705,B116,Market_Panel!$B$2:$B$2705,"&gt;="&amp;$B$8,Market_Panel!$B$2:$B$2705,"&lt;="&amp;$C$8))</f>
        <v>0.619808762287238</v>
      </c>
      <c r="G116" s="11" t="n">
        <f aca="false">IF(D116=0,"",AVERAGEIFS(Market_Panel!$R$2:$R$2705,Market_Panel!$A$2:$A$2705,B116,Market_Panel!$B$2:$B$2705,"&gt;="&amp;$B$8,Market_Panel!$B$2:$B$2705,"&lt;="&amp;$C$8))</f>
        <v>0</v>
      </c>
      <c r="H116" s="11" t="n">
        <f aca="false">IF(OR(D116=0,$H$8=0),0,AVERAGEIFS(Market_Panel!$Y$2:$Y$2705,Market_Panel!$A$2:$A$2705,B116,Market_Panel!$B$2:$B$2705,"&gt;="&amp;$B$8,Market_Panel!$B$2:$B$2705,"&lt;="&amp;$C$8))</f>
        <v>0</v>
      </c>
      <c r="I116" s="10" t="n">
        <f aca="false">IF(D116=0,"",$I$8+$F$8*F116+$G$8*G116+$H$8*H116)</f>
        <v>0.0278162307855023</v>
      </c>
      <c r="J116" s="5" t="n">
        <f aca="false">IF(D116&lt;5,"",(E116-I116)*162)</f>
        <v>8.3348608308957</v>
      </c>
      <c r="K116" s="5" t="n">
        <f aca="false">IF(D116=0,"",E116*162)</f>
        <v>12.8410902181471</v>
      </c>
      <c r="L116" s="3" t="n">
        <f aca="false">SUMIFS(Seasons!$L$2:$L$2865,Seasons!$A$2:$A$2865,B116,Seasons!$B$2:$B$2865,"&gt;="&amp;$B$8,Seasons!$B$2:$B$2865,"&lt;="&amp;$C$8)</f>
        <v>3</v>
      </c>
      <c r="M116" s="3" t="n">
        <f aca="false">SUMIFS(Seasons!$N$2:$N$2865,Seasons!$A$2:$A$2865,B116,Seasons!$B$2:$B$2865,"&gt;="&amp;$B$8,Seasons!$B$2:$B$2865,"&lt;="&amp;$C$8)</f>
        <v>0</v>
      </c>
      <c r="N116" s="3" t="n">
        <f aca="false">IF(J116="",-1000000,J116+ROW()*0.000000001)</f>
        <v>8.3348609468957</v>
      </c>
      <c r="O116" s="3" t="n">
        <f aca="false">IF(J116="","",SUMPRODUCT(($A$25:$A$534=A116)*($N$25:$N$534&gt;N116))+1)</f>
        <v>3</v>
      </c>
      <c r="P116" s="3" t="str">
        <f aca="false">A116&amp;"|"&amp;O116</f>
        <v>1930s|3</v>
      </c>
    </row>
    <row r="117" customFormat="false" ht="15" hidden="false" customHeight="true" outlineLevel="0" collapsed="false">
      <c r="A117" s="1" t="s">
        <v>12</v>
      </c>
      <c r="B117" s="7" t="s">
        <v>57</v>
      </c>
      <c r="C117" s="1" t="s">
        <v>55</v>
      </c>
      <c r="D117" s="3" t="n">
        <f aca="false">COUNTIFS(Market_Panel!$A$2:$A$2705,B117,Market_Panel!$B$2:$B$2705,"&gt;="&amp;$B$8,Market_Panel!$B$2:$B$2705,"&lt;="&amp;$C$8)</f>
        <v>10</v>
      </c>
      <c r="E117" s="10" t="n">
        <f aca="false">IF(D117=0,"",AVERAGEIFS(Market_Panel!$M$2:$M$2705,Market_Panel!$A$2:$A$2705,B117,Market_Panel!$B$2:$B$2705,"&gt;="&amp;$B$8,Market_Panel!$B$2:$B$2705,"&lt;="&amp;$C$8))</f>
        <v>-0.0658328943201783</v>
      </c>
      <c r="F117" s="11" t="n">
        <f aca="false">IF(D117=0,"",AVERAGEIFS(Market_Panel!$P$2:$P$2705,Market_Panel!$A$2:$A$2705,B117,Market_Panel!$B$2:$B$2705,"&gt;="&amp;$B$8,Market_Panel!$B$2:$B$2705,"&lt;="&amp;$C$8))</f>
        <v>-0.698088475290856</v>
      </c>
      <c r="G117" s="11" t="n">
        <f aca="false">IF(D117=0,"",AVERAGEIFS(Market_Panel!$R$2:$R$2705,Market_Panel!$A$2:$A$2705,B117,Market_Panel!$B$2:$B$2705,"&gt;="&amp;$B$8,Market_Panel!$B$2:$B$2705,"&lt;="&amp;$C$8))</f>
        <v>0</v>
      </c>
      <c r="H117" s="11" t="n">
        <f aca="false">IF(OR(D117=0,$H$8=0),0,AVERAGEIFS(Market_Panel!$Y$2:$Y$2705,Market_Panel!$A$2:$A$2705,B117,Market_Panel!$B$2:$B$2705,"&gt;="&amp;$B$8,Market_Panel!$B$2:$B$2705,"&lt;="&amp;$C$8))</f>
        <v>0</v>
      </c>
      <c r="I117" s="10" t="n">
        <f aca="false">IF(D117=0,"",$I$8+$F$8*F117+$G$8*G117+$H$8*H117)</f>
        <v>-0.0313293249771627</v>
      </c>
      <c r="J117" s="5" t="n">
        <f aca="false">IF(D117&lt;5,"",(E117-I117)*162)</f>
        <v>-5.58957823356854</v>
      </c>
      <c r="K117" s="5" t="n">
        <f aca="false">IF(D117=0,"",E117*162)</f>
        <v>-10.6649288798689</v>
      </c>
      <c r="L117" s="3" t="n">
        <f aca="false">SUMIFS(Seasons!$L$2:$L$2865,Seasons!$A$2:$A$2865,B117,Seasons!$B$2:$B$2865,"&gt;="&amp;$B$8,Seasons!$B$2:$B$2865,"&lt;="&amp;$C$8)</f>
        <v>1</v>
      </c>
      <c r="M117" s="3" t="n">
        <f aca="false">SUMIFS(Seasons!$N$2:$N$2865,Seasons!$A$2:$A$2865,B117,Seasons!$B$2:$B$2865,"&gt;="&amp;$B$8,Seasons!$B$2:$B$2865,"&lt;="&amp;$C$8)</f>
        <v>0</v>
      </c>
      <c r="N117" s="3" t="n">
        <f aca="false">IF(J117="",-1000000,J117+ROW()*0.000000001)</f>
        <v>-5.58957811656854</v>
      </c>
      <c r="O117" s="3" t="n">
        <f aca="false">IF(J117="","",SUMPRODUCT(($A$25:$A$534=A117)*($N$25:$N$534&gt;N117))+1)</f>
        <v>12</v>
      </c>
      <c r="P117" s="3" t="str">
        <f aca="false">A117&amp;"|"&amp;O117</f>
        <v>1930s|12</v>
      </c>
    </row>
    <row r="118" customFormat="false" ht="15" hidden="false" customHeight="true" outlineLevel="0" collapsed="false">
      <c r="A118" s="1" t="s">
        <v>12</v>
      </c>
      <c r="B118" s="7" t="s">
        <v>58</v>
      </c>
      <c r="C118" s="1" t="s">
        <v>55</v>
      </c>
      <c r="D118" s="3" t="n">
        <f aca="false">COUNTIFS(Market_Panel!$A$2:$A$2705,B118,Market_Panel!$B$2:$B$2705,"&gt;="&amp;$B$8,Market_Panel!$B$2:$B$2705,"&lt;="&amp;$C$8)</f>
        <v>10</v>
      </c>
      <c r="E118" s="10" t="n">
        <f aca="false">IF(D118=0,"",AVERAGEIFS(Market_Panel!$M$2:$M$2705,Market_Panel!$A$2:$A$2705,B118,Market_Panel!$B$2:$B$2705,"&gt;="&amp;$B$8,Market_Panel!$B$2:$B$2705,"&lt;="&amp;$C$8))</f>
        <v>0.0308202362160227</v>
      </c>
      <c r="F118" s="11" t="n">
        <f aca="false">IF(D118=0,"",AVERAGEIFS(Market_Panel!$P$2:$P$2705,Market_Panel!$A$2:$A$2705,B118,Market_Panel!$B$2:$B$2705,"&gt;="&amp;$B$8,Market_Panel!$B$2:$B$2705,"&lt;="&amp;$C$8))</f>
        <v>-0.306086986073195</v>
      </c>
      <c r="G118" s="11" t="n">
        <f aca="false">IF(D118=0,"",AVERAGEIFS(Market_Panel!$R$2:$R$2705,Market_Panel!$A$2:$A$2705,B118,Market_Panel!$B$2:$B$2705,"&gt;="&amp;$B$8,Market_Panel!$B$2:$B$2705,"&lt;="&amp;$C$8))</f>
        <v>0</v>
      </c>
      <c r="H118" s="11" t="n">
        <f aca="false">IF(OR(D118=0,$H$8=0),0,AVERAGEIFS(Market_Panel!$Y$2:$Y$2705,Market_Panel!$A$2:$A$2705,B118,Market_Panel!$B$2:$B$2705,"&gt;="&amp;$B$8,Market_Panel!$B$2:$B$2705,"&lt;="&amp;$C$8))</f>
        <v>0</v>
      </c>
      <c r="I118" s="10" t="n">
        <f aca="false">IF(D118=0,"",$I$8+$F$8*F118+$G$8*G118+$H$8*H118)</f>
        <v>-0.0137367955458253</v>
      </c>
      <c r="J118" s="5" t="n">
        <f aca="false">IF(D118&lt;5,"",(E118-I118)*162)</f>
        <v>7.21823914541938</v>
      </c>
      <c r="K118" s="5" t="n">
        <f aca="false">IF(D118=0,"",E118*162)</f>
        <v>4.99287826699568</v>
      </c>
      <c r="L118" s="3" t="n">
        <f aca="false">SUMIFS(Seasons!$L$2:$L$2865,Seasons!$A$2:$A$2865,B118,Seasons!$B$2:$B$2865,"&gt;="&amp;$B$8,Seasons!$B$2:$B$2865,"&lt;="&amp;$C$8)</f>
        <v>0</v>
      </c>
      <c r="M118" s="3" t="n">
        <f aca="false">SUMIFS(Seasons!$N$2:$N$2865,Seasons!$A$2:$A$2865,B118,Seasons!$B$2:$B$2865,"&gt;="&amp;$B$8,Seasons!$B$2:$B$2865,"&lt;="&amp;$C$8)</f>
        <v>0</v>
      </c>
      <c r="N118" s="3" t="n">
        <f aca="false">IF(J118="",-1000000,J118+ROW()*0.000000001)</f>
        <v>7.21823926341938</v>
      </c>
      <c r="O118" s="3" t="n">
        <f aca="false">IF(J118="","",SUMPRODUCT(($A$25:$A$534=A118)*($N$25:$N$534&gt;N118))+1)</f>
        <v>5</v>
      </c>
      <c r="P118" s="3" t="str">
        <f aca="false">A118&amp;"|"&amp;O118</f>
        <v>1930s|5</v>
      </c>
    </row>
    <row r="119" customFormat="false" ht="15" hidden="false" customHeight="true" outlineLevel="0" collapsed="false">
      <c r="A119" s="1" t="s">
        <v>12</v>
      </c>
      <c r="B119" s="7" t="s">
        <v>59</v>
      </c>
      <c r="C119" s="1" t="s">
        <v>55</v>
      </c>
      <c r="D119" s="3" t="n">
        <f aca="false">COUNTIFS(Market_Panel!$A$2:$A$2705,B119,Market_Panel!$B$2:$B$2705,"&gt;="&amp;$B$8,Market_Panel!$B$2:$B$2705,"&lt;="&amp;$C$8)</f>
        <v>10</v>
      </c>
      <c r="E119" s="10" t="n">
        <f aca="false">IF(D119=0,"",AVERAGEIFS(Market_Panel!$M$2:$M$2705,Market_Panel!$A$2:$A$2705,B119,Market_Panel!$B$2:$B$2705,"&gt;="&amp;$B$8,Market_Panel!$B$2:$B$2705,"&lt;="&amp;$C$8))</f>
        <v>0.0664667059217056</v>
      </c>
      <c r="F119" s="11" t="n">
        <f aca="false">IF(D119=0,"",AVERAGEIFS(Market_Panel!$P$2:$P$2705,Market_Panel!$A$2:$A$2705,B119,Market_Panel!$B$2:$B$2705,"&gt;="&amp;$B$8,Market_Panel!$B$2:$B$2705,"&lt;="&amp;$C$8))</f>
        <v>-0.79903112892689</v>
      </c>
      <c r="G119" s="11" t="n">
        <f aca="false">IF(D119=0,"",AVERAGEIFS(Market_Panel!$R$2:$R$2705,Market_Panel!$A$2:$A$2705,B119,Market_Panel!$B$2:$B$2705,"&gt;="&amp;$B$8,Market_Panel!$B$2:$B$2705,"&lt;="&amp;$C$8))</f>
        <v>0</v>
      </c>
      <c r="H119" s="11" t="n">
        <f aca="false">IF(OR(D119=0,$H$8=0),0,AVERAGEIFS(Market_Panel!$Y$2:$Y$2705,Market_Panel!$A$2:$A$2705,B119,Market_Panel!$B$2:$B$2705,"&gt;="&amp;$B$8,Market_Panel!$B$2:$B$2705,"&lt;="&amp;$C$8))</f>
        <v>0</v>
      </c>
      <c r="I119" s="10" t="n">
        <f aca="false">IF(D119=0,"",$I$8+$F$8*F119+$G$8*G119+$H$8*H119)</f>
        <v>-0.0358595031877439</v>
      </c>
      <c r="J119" s="5" t="n">
        <f aca="false">IF(D119&lt;5,"",(E119-I119)*162)</f>
        <v>16.5768458757308</v>
      </c>
      <c r="K119" s="5" t="n">
        <f aca="false">IF(D119=0,"",E119*162)</f>
        <v>10.7676063593163</v>
      </c>
      <c r="L119" s="3" t="n">
        <f aca="false">SUMIFS(Seasons!$L$2:$L$2865,Seasons!$A$2:$A$2865,B119,Seasons!$B$2:$B$2865,"&gt;="&amp;$B$8,Seasons!$B$2:$B$2865,"&lt;="&amp;$C$8)</f>
        <v>3</v>
      </c>
      <c r="M119" s="3" t="n">
        <f aca="false">SUMIFS(Seasons!$N$2:$N$2865,Seasons!$A$2:$A$2865,B119,Seasons!$B$2:$B$2865,"&gt;="&amp;$B$8,Seasons!$B$2:$B$2865,"&lt;="&amp;$C$8)</f>
        <v>2</v>
      </c>
      <c r="N119" s="3" t="n">
        <f aca="false">IF(J119="",-1000000,J119+ROW()*0.000000001)</f>
        <v>16.5768459947308</v>
      </c>
      <c r="O119" s="3" t="n">
        <f aca="false">IF(J119="","",SUMPRODUCT(($A$25:$A$534=A119)*($N$25:$N$534&gt;N119))+1)</f>
        <v>1</v>
      </c>
      <c r="P119" s="3" t="str">
        <f aca="false">A119&amp;"|"&amp;O119</f>
        <v>1930s|1</v>
      </c>
    </row>
    <row r="120" customFormat="false" ht="15" hidden="false" customHeight="true" outlineLevel="0" collapsed="false">
      <c r="A120" s="1" t="s">
        <v>12</v>
      </c>
      <c r="B120" s="7" t="s">
        <v>60</v>
      </c>
      <c r="C120" s="1" t="s">
        <v>55</v>
      </c>
      <c r="D120" s="3" t="n">
        <f aca="false">COUNTIFS(Market_Panel!$A$2:$A$2705,B120,Market_Panel!$B$2:$B$2705,"&gt;="&amp;$B$8,Market_Panel!$B$2:$B$2705,"&lt;="&amp;$C$8)</f>
        <v>10</v>
      </c>
      <c r="E120" s="10" t="n">
        <f aca="false">IF(D120=0,"",AVERAGEIFS(Market_Panel!$M$2:$M$2705,Market_Panel!$A$2:$A$2705,B120,Market_Panel!$B$2:$B$2705,"&gt;="&amp;$B$8,Market_Panel!$B$2:$B$2705,"&lt;="&amp;$C$8))</f>
        <v>-0.118980738524331</v>
      </c>
      <c r="F120" s="11" t="n">
        <f aca="false">IF(D120=0,"",AVERAGEIFS(Market_Panel!$P$2:$P$2705,Market_Panel!$A$2:$A$2705,B120,Market_Panel!$B$2:$B$2705,"&gt;="&amp;$B$8,Market_Panel!$B$2:$B$2705,"&lt;="&amp;$C$8))</f>
        <v>0.0640528374416917</v>
      </c>
      <c r="G120" s="11" t="n">
        <f aca="false">IF(D120=0,"",AVERAGEIFS(Market_Panel!$R$2:$R$2705,Market_Panel!$A$2:$A$2705,B120,Market_Panel!$B$2:$B$2705,"&gt;="&amp;$B$8,Market_Panel!$B$2:$B$2705,"&lt;="&amp;$C$8))</f>
        <v>0</v>
      </c>
      <c r="H120" s="11" t="n">
        <f aca="false">IF(OR(D120=0,$H$8=0),0,AVERAGEIFS(Market_Panel!$Y$2:$Y$2705,Market_Panel!$A$2:$A$2705,B120,Market_Panel!$B$2:$B$2705,"&gt;="&amp;$B$8,Market_Panel!$B$2:$B$2705,"&lt;="&amp;$C$8))</f>
        <v>0</v>
      </c>
      <c r="I120" s="10" t="n">
        <f aca="false">IF(D120=0,"",$I$8+$F$8*F120+$G$8*G120+$H$8*H120)</f>
        <v>0.00287461006870802</v>
      </c>
      <c r="J120" s="5" t="n">
        <f aca="false">IF(D120&lt;5,"",(E120-I120)*162)</f>
        <v>-19.7405664720723</v>
      </c>
      <c r="K120" s="5" t="n">
        <f aca="false">IF(D120=0,"",E120*162)</f>
        <v>-19.2748796409416</v>
      </c>
      <c r="L120" s="3" t="n">
        <f aca="false">SUMIFS(Seasons!$L$2:$L$2865,Seasons!$A$2:$A$2865,B120,Seasons!$B$2:$B$2865,"&gt;="&amp;$B$8,Seasons!$B$2:$B$2865,"&lt;="&amp;$C$8)</f>
        <v>0</v>
      </c>
      <c r="M120" s="3" t="n">
        <f aca="false">SUMIFS(Seasons!$N$2:$N$2865,Seasons!$A$2:$A$2865,B120,Seasons!$B$2:$B$2865,"&gt;="&amp;$B$8,Seasons!$B$2:$B$2865,"&lt;="&amp;$C$8)</f>
        <v>0</v>
      </c>
      <c r="N120" s="3" t="n">
        <f aca="false">IF(J120="",-1000000,J120+ROW()*0.000000001)</f>
        <v>-19.7405663520723</v>
      </c>
      <c r="O120" s="3" t="n">
        <f aca="false">IF(J120="","",SUMPRODUCT(($A$25:$A$534=A120)*($N$25:$N$534&gt;N120))+1)</f>
        <v>16</v>
      </c>
      <c r="P120" s="3" t="str">
        <f aca="false">A120&amp;"|"&amp;O120</f>
        <v>1930s|16</v>
      </c>
    </row>
    <row r="121" customFormat="false" ht="15" hidden="false" customHeight="true" outlineLevel="0" collapsed="false">
      <c r="A121" s="1" t="s">
        <v>12</v>
      </c>
      <c r="B121" s="7" t="s">
        <v>61</v>
      </c>
      <c r="C121" s="1" t="s">
        <v>55</v>
      </c>
      <c r="D121" s="3" t="n">
        <f aca="false">COUNTIFS(Market_Panel!$A$2:$A$2705,B121,Market_Panel!$B$2:$B$2705,"&gt;="&amp;$B$8,Market_Panel!$B$2:$B$2705,"&lt;="&amp;$C$8)</f>
        <v>10</v>
      </c>
      <c r="E121" s="10" t="n">
        <f aca="false">IF(D121=0,"",AVERAGEIFS(Market_Panel!$M$2:$M$2705,Market_Panel!$A$2:$A$2705,B121,Market_Panel!$B$2:$B$2705,"&gt;="&amp;$B$8,Market_Panel!$B$2:$B$2705,"&lt;="&amp;$C$8))</f>
        <v>0.0693037762716724</v>
      </c>
      <c r="F121" s="11" t="n">
        <f aca="false">IF(D121=0,"",AVERAGEIFS(Market_Panel!$P$2:$P$2705,Market_Panel!$A$2:$A$2705,B121,Market_Panel!$B$2:$B$2705,"&gt;="&amp;$B$8,Market_Panel!$B$2:$B$2705,"&lt;="&amp;$C$8))</f>
        <v>0.963571877598058</v>
      </c>
      <c r="G121" s="11" t="n">
        <f aca="false">IF(D121=0,"",AVERAGEIFS(Market_Panel!$R$2:$R$2705,Market_Panel!$A$2:$A$2705,B121,Market_Panel!$B$2:$B$2705,"&gt;="&amp;$B$8,Market_Panel!$B$2:$B$2705,"&lt;="&amp;$C$8))</f>
        <v>0</v>
      </c>
      <c r="H121" s="11" t="n">
        <f aca="false">IF(OR(D121=0,$H$8=0),0,AVERAGEIFS(Market_Panel!$Y$2:$Y$2705,Market_Panel!$A$2:$A$2705,B121,Market_Panel!$B$2:$B$2705,"&gt;="&amp;$B$8,Market_Panel!$B$2:$B$2705,"&lt;="&amp;$C$8))</f>
        <v>0</v>
      </c>
      <c r="I121" s="10" t="n">
        <f aca="false">IF(D121=0,"",$I$8+$F$8*F121+$G$8*G121+$H$8*H121)</f>
        <v>0.0432438832048425</v>
      </c>
      <c r="J121" s="5" t="n">
        <f aca="false">IF(D121&lt;5,"",(E121-I121)*162)</f>
        <v>4.22170267682643</v>
      </c>
      <c r="K121" s="5" t="n">
        <f aca="false">IF(D121=0,"",E121*162)</f>
        <v>11.2272117560109</v>
      </c>
      <c r="L121" s="3" t="n">
        <f aca="false">SUMIFS(Seasons!$L$2:$L$2865,Seasons!$A$2:$A$2865,B121,Seasons!$B$2:$B$2865,"&gt;="&amp;$B$8,Seasons!$B$2:$B$2865,"&lt;="&amp;$C$8)</f>
        <v>3</v>
      </c>
      <c r="M121" s="3" t="n">
        <f aca="false">SUMIFS(Seasons!$N$2:$N$2865,Seasons!$A$2:$A$2865,B121,Seasons!$B$2:$B$2865,"&gt;="&amp;$B$8,Seasons!$B$2:$B$2865,"&lt;="&amp;$C$8)</f>
        <v>1</v>
      </c>
      <c r="N121" s="3" t="n">
        <f aca="false">IF(J121="",-1000000,J121+ROW()*0.000000001)</f>
        <v>4.22170279782643</v>
      </c>
      <c r="O121" s="3" t="n">
        <f aca="false">IF(J121="","",SUMPRODUCT(($A$25:$A$534=A121)*($N$25:$N$534&gt;N121))+1)</f>
        <v>7</v>
      </c>
      <c r="P121" s="3" t="str">
        <f aca="false">A121&amp;"|"&amp;O121</f>
        <v>1930s|7</v>
      </c>
    </row>
    <row r="122" customFormat="false" ht="15" hidden="false" customHeight="true" outlineLevel="0" collapsed="false">
      <c r="A122" s="1" t="s">
        <v>12</v>
      </c>
      <c r="B122" s="7" t="s">
        <v>62</v>
      </c>
      <c r="C122" s="1" t="s">
        <v>55</v>
      </c>
      <c r="D122" s="3" t="n">
        <f aca="false">COUNTIFS(Market_Panel!$A$2:$A$2705,B122,Market_Panel!$B$2:$B$2705,"&gt;="&amp;$B$8,Market_Panel!$B$2:$B$2705,"&lt;="&amp;$C$8)</f>
        <v>10</v>
      </c>
      <c r="E122" s="10" t="n">
        <f aca="false">IF(D122=0,"",AVERAGEIFS(Market_Panel!$M$2:$M$2705,Market_Panel!$A$2:$A$2705,B122,Market_Panel!$B$2:$B$2705,"&gt;="&amp;$B$8,Market_Panel!$B$2:$B$2705,"&lt;="&amp;$C$8))</f>
        <v>-0.0192755305729724</v>
      </c>
      <c r="F122" s="11" t="n">
        <f aca="false">IF(D122=0,"",AVERAGEIFS(Market_Panel!$P$2:$P$2705,Market_Panel!$A$2:$A$2705,B122,Market_Panel!$B$2:$B$2705,"&gt;="&amp;$B$8,Market_Panel!$B$2:$B$2705,"&lt;="&amp;$C$8))</f>
        <v>0.963571877598058</v>
      </c>
      <c r="G122" s="11" t="n">
        <f aca="false">IF(D122=0,"",AVERAGEIFS(Market_Panel!$R$2:$R$2705,Market_Panel!$A$2:$A$2705,B122,Market_Panel!$B$2:$B$2705,"&gt;="&amp;$B$8,Market_Panel!$B$2:$B$2705,"&lt;="&amp;$C$8))</f>
        <v>0</v>
      </c>
      <c r="H122" s="11" t="n">
        <f aca="false">IF(OR(D122=0,$H$8=0),0,AVERAGEIFS(Market_Panel!$Y$2:$Y$2705,Market_Panel!$A$2:$A$2705,B122,Market_Panel!$B$2:$B$2705,"&gt;="&amp;$B$8,Market_Panel!$B$2:$B$2705,"&lt;="&amp;$C$8))</f>
        <v>0</v>
      </c>
      <c r="I122" s="10" t="n">
        <f aca="false">IF(D122=0,"",$I$8+$F$8*F122+$G$8*G122+$H$8*H122)</f>
        <v>0.0432438832048425</v>
      </c>
      <c r="J122" s="5" t="n">
        <f aca="false">IF(D122&lt;5,"",(E122-I122)*162)</f>
        <v>-10.128145032006</v>
      </c>
      <c r="K122" s="5" t="n">
        <f aca="false">IF(D122=0,"",E122*162)</f>
        <v>-3.12263595282152</v>
      </c>
      <c r="L122" s="3" t="n">
        <f aca="false">SUMIFS(Seasons!$L$2:$L$2865,Seasons!$A$2:$A$2865,B122,Seasons!$B$2:$B$2865,"&gt;="&amp;$B$8,Seasons!$B$2:$B$2865,"&lt;="&amp;$C$8)</f>
        <v>0</v>
      </c>
      <c r="M122" s="3" t="n">
        <f aca="false">SUMIFS(Seasons!$N$2:$N$2865,Seasons!$A$2:$A$2865,B122,Seasons!$B$2:$B$2865,"&gt;="&amp;$B$8,Seasons!$B$2:$B$2865,"&lt;="&amp;$C$8)</f>
        <v>0</v>
      </c>
      <c r="N122" s="3" t="n">
        <f aca="false">IF(J122="",-1000000,J122+ROW()*0.000000001)</f>
        <v>-10.128144910006</v>
      </c>
      <c r="O122" s="3" t="n">
        <f aca="false">IF(J122="","",SUMPRODUCT(($A$25:$A$534=A122)*($N$25:$N$534&gt;N122))+1)</f>
        <v>13</v>
      </c>
      <c r="P122" s="3" t="str">
        <f aca="false">A122&amp;"|"&amp;O122</f>
        <v>1930s|13</v>
      </c>
    </row>
    <row r="123" customFormat="false" ht="15" hidden="false" customHeight="true" outlineLevel="0" collapsed="false">
      <c r="A123" s="1" t="s">
        <v>12</v>
      </c>
      <c r="B123" s="7" t="s">
        <v>63</v>
      </c>
      <c r="C123" s="1" t="s">
        <v>55</v>
      </c>
      <c r="D123" s="3" t="n">
        <f aca="false">COUNTIFS(Market_Panel!$A$2:$A$2705,B123,Market_Panel!$B$2:$B$2705,"&gt;="&amp;$B$8,Market_Panel!$B$2:$B$2705,"&lt;="&amp;$C$8)</f>
        <v>10</v>
      </c>
      <c r="E123" s="10" t="n">
        <f aca="false">IF(D123=0,"",AVERAGEIFS(Market_Panel!$M$2:$M$2705,Market_Panel!$A$2:$A$2705,B123,Market_Panel!$B$2:$B$2705,"&gt;="&amp;$B$8,Market_Panel!$B$2:$B$2705,"&lt;="&amp;$C$8))</f>
        <v>-0.121757660580602</v>
      </c>
      <c r="F123" s="11" t="n">
        <f aca="false">IF(D123=0,"",AVERAGEIFS(Market_Panel!$P$2:$P$2705,Market_Panel!$A$2:$A$2705,B123,Market_Panel!$B$2:$B$2705,"&gt;="&amp;$B$8,Market_Panel!$B$2:$B$2705,"&lt;="&amp;$C$8))</f>
        <v>-0.79903112892689</v>
      </c>
      <c r="G123" s="11" t="n">
        <f aca="false">IF(D123=0,"",AVERAGEIFS(Market_Panel!$R$2:$R$2705,Market_Panel!$A$2:$A$2705,B123,Market_Panel!$B$2:$B$2705,"&gt;="&amp;$B$8,Market_Panel!$B$2:$B$2705,"&lt;="&amp;$C$8))</f>
        <v>0</v>
      </c>
      <c r="H123" s="11" t="n">
        <f aca="false">IF(OR(D123=0,$H$8=0),0,AVERAGEIFS(Market_Panel!$Y$2:$Y$2705,Market_Panel!$A$2:$A$2705,B123,Market_Panel!$B$2:$B$2705,"&gt;="&amp;$B$8,Market_Panel!$B$2:$B$2705,"&lt;="&amp;$C$8))</f>
        <v>0</v>
      </c>
      <c r="I123" s="10" t="n">
        <f aca="false">IF(D123=0,"",$I$8+$F$8*F123+$G$8*G123+$H$8*H123)</f>
        <v>-0.0358595031877439</v>
      </c>
      <c r="J123" s="5" t="n">
        <f aca="false">IF(D123&lt;5,"",(E123-I123)*162)</f>
        <v>-13.915501497643</v>
      </c>
      <c r="K123" s="5" t="n">
        <f aca="false">IF(D123=0,"",E123*162)</f>
        <v>-19.7247410140575</v>
      </c>
      <c r="L123" s="3" t="n">
        <f aca="false">SUMIFS(Seasons!$L$2:$L$2865,Seasons!$A$2:$A$2865,B123,Seasons!$B$2:$B$2865,"&gt;="&amp;$B$8,Seasons!$B$2:$B$2865,"&lt;="&amp;$C$8)</f>
        <v>0</v>
      </c>
      <c r="M123" s="3" t="n">
        <f aca="false">SUMIFS(Seasons!$N$2:$N$2865,Seasons!$A$2:$A$2865,B123,Seasons!$B$2:$B$2865,"&gt;="&amp;$B$8,Seasons!$B$2:$B$2865,"&lt;="&amp;$C$8)</f>
        <v>0</v>
      </c>
      <c r="N123" s="3" t="n">
        <f aca="false">IF(J123="",-1000000,J123+ROW()*0.000000001)</f>
        <v>-13.915501374643</v>
      </c>
      <c r="O123" s="3" t="n">
        <f aca="false">IF(J123="","",SUMPRODUCT(($A$25:$A$534=A123)*($N$25:$N$534&gt;N123))+1)</f>
        <v>15</v>
      </c>
      <c r="P123" s="3" t="str">
        <f aca="false">A123&amp;"|"&amp;O123</f>
        <v>1930s|15</v>
      </c>
    </row>
    <row r="124" customFormat="false" ht="15" hidden="false" customHeight="true" outlineLevel="0" collapsed="false">
      <c r="A124" s="1" t="s">
        <v>12</v>
      </c>
      <c r="B124" s="7" t="s">
        <v>64</v>
      </c>
      <c r="C124" s="1" t="s">
        <v>55</v>
      </c>
      <c r="D124" s="3" t="n">
        <f aca="false">COUNTIFS(Market_Panel!$A$2:$A$2705,B124,Market_Panel!$B$2:$B$2705,"&gt;="&amp;$B$8,Market_Panel!$B$2:$B$2705,"&lt;="&amp;$C$8)</f>
        <v>10</v>
      </c>
      <c r="E124" s="10" t="n">
        <f aca="false">IF(D124=0,"",AVERAGEIFS(Market_Panel!$M$2:$M$2705,Market_Panel!$A$2:$A$2705,B124,Market_Panel!$B$2:$B$2705,"&gt;="&amp;$B$8,Market_Panel!$B$2:$B$2705,"&lt;="&amp;$C$8))</f>
        <v>-0.0354522648396197</v>
      </c>
      <c r="F124" s="11" t="n">
        <f aca="false">IF(D124=0,"",AVERAGEIFS(Market_Panel!$P$2:$P$2705,Market_Panel!$A$2:$A$2705,B124,Market_Panel!$B$2:$B$2705,"&gt;="&amp;$B$8,Market_Panel!$B$2:$B$2705,"&lt;="&amp;$C$8))</f>
        <v>-0.852673437973461</v>
      </c>
      <c r="G124" s="11" t="n">
        <f aca="false">IF(D124=0,"",AVERAGEIFS(Market_Panel!$R$2:$R$2705,Market_Panel!$A$2:$A$2705,B124,Market_Panel!$B$2:$B$2705,"&gt;="&amp;$B$8,Market_Panel!$B$2:$B$2705,"&lt;="&amp;$C$8))</f>
        <v>0</v>
      </c>
      <c r="H124" s="11" t="n">
        <f aca="false">IF(OR(D124=0,$H$8=0),0,AVERAGEIFS(Market_Panel!$Y$2:$Y$2705,Market_Panel!$A$2:$A$2705,B124,Market_Panel!$B$2:$B$2705,"&gt;="&amp;$B$8,Market_Panel!$B$2:$B$2705,"&lt;="&amp;$C$8))</f>
        <v>0</v>
      </c>
      <c r="I124" s="10" t="n">
        <f aca="false">IF(D124=0,"",$I$8+$F$8*F124+$G$8*G124+$H$8*H124)</f>
        <v>-0.0382669019518407</v>
      </c>
      <c r="J124" s="5" t="n">
        <f aca="false">IF(D124&lt;5,"",(E124-I124)*162)</f>
        <v>0.455971212179799</v>
      </c>
      <c r="K124" s="5" t="n">
        <f aca="false">IF(D124=0,"",E124*162)</f>
        <v>-5.74326690401839</v>
      </c>
      <c r="L124" s="3" t="n">
        <f aca="false">SUMIFS(Seasons!$L$2:$L$2865,Seasons!$A$2:$A$2865,B124,Seasons!$B$2:$B$2865,"&gt;="&amp;$B$8,Seasons!$B$2:$B$2865,"&lt;="&amp;$C$8)</f>
        <v>0</v>
      </c>
      <c r="M124" s="3" t="n">
        <f aca="false">SUMIFS(Seasons!$N$2:$N$2865,Seasons!$A$2:$A$2865,B124,Seasons!$B$2:$B$2865,"&gt;="&amp;$B$8,Seasons!$B$2:$B$2865,"&lt;="&amp;$C$8)</f>
        <v>0</v>
      </c>
      <c r="N124" s="3" t="n">
        <f aca="false">IF(J124="",-1000000,J124+ROW()*0.000000001)</f>
        <v>0.455971336179799</v>
      </c>
      <c r="O124" s="3" t="n">
        <f aca="false">IF(J124="","",SUMPRODUCT(($A$25:$A$534=A124)*($N$25:$N$534&gt;N124))+1)</f>
        <v>9</v>
      </c>
      <c r="P124" s="3" t="str">
        <f aca="false">A124&amp;"|"&amp;O124</f>
        <v>1930s|9</v>
      </c>
    </row>
    <row r="125" customFormat="false" ht="15" hidden="false" customHeight="true" outlineLevel="0" collapsed="false">
      <c r="A125" s="1" t="s">
        <v>12</v>
      </c>
      <c r="B125" s="7" t="s">
        <v>65</v>
      </c>
      <c r="C125" s="1" t="s">
        <v>55</v>
      </c>
      <c r="D125" s="3" t="n">
        <f aca="false">COUNTIFS(Market_Panel!$A$2:$A$2705,B125,Market_Panel!$B$2:$B$2705,"&gt;="&amp;$B$8,Market_Panel!$B$2:$B$2705,"&lt;="&amp;$C$8)</f>
        <v>10</v>
      </c>
      <c r="E125" s="10" t="n">
        <f aca="false">IF(D125=0,"",AVERAGEIFS(Market_Panel!$M$2:$M$2705,Market_Panel!$A$2:$A$2705,B125,Market_Panel!$B$2:$B$2705,"&gt;="&amp;$B$8,Market_Panel!$B$2:$B$2705,"&lt;="&amp;$C$8))</f>
        <v>-0.0537457077139443</v>
      </c>
      <c r="F125" s="11" t="n">
        <f aca="false">IF(D125=0,"",AVERAGEIFS(Market_Panel!$P$2:$P$2705,Market_Panel!$A$2:$A$2705,B125,Market_Panel!$B$2:$B$2705,"&gt;="&amp;$B$8,Market_Panel!$B$2:$B$2705,"&lt;="&amp;$C$8))</f>
        <v>0.619808762287238</v>
      </c>
      <c r="G125" s="11" t="n">
        <f aca="false">IF(D125=0,"",AVERAGEIFS(Market_Panel!$R$2:$R$2705,Market_Panel!$A$2:$A$2705,B125,Market_Panel!$B$2:$B$2705,"&gt;="&amp;$B$8,Market_Panel!$B$2:$B$2705,"&lt;="&amp;$C$8))</f>
        <v>0</v>
      </c>
      <c r="H125" s="11" t="n">
        <f aca="false">IF(OR(D125=0,$H$8=0),0,AVERAGEIFS(Market_Panel!$Y$2:$Y$2705,Market_Panel!$A$2:$A$2705,B125,Market_Panel!$B$2:$B$2705,"&gt;="&amp;$B$8,Market_Panel!$B$2:$B$2705,"&lt;="&amp;$C$8))</f>
        <v>0</v>
      </c>
      <c r="I125" s="10" t="n">
        <f aca="false">IF(D125=0,"",$I$8+$F$8*F125+$G$8*G125+$H$8*H125)</f>
        <v>0.0278162307855023</v>
      </c>
      <c r="J125" s="5" t="n">
        <f aca="false">IF(D125&lt;5,"",(E125-I125)*162)</f>
        <v>-13.2130340369103</v>
      </c>
      <c r="K125" s="5" t="n">
        <f aca="false">IF(D125=0,"",E125*162)</f>
        <v>-8.70680464965898</v>
      </c>
      <c r="L125" s="3" t="n">
        <f aca="false">SUMIFS(Seasons!$L$2:$L$2865,Seasons!$A$2:$A$2865,B125,Seasons!$B$2:$B$2865,"&gt;="&amp;$B$8,Seasons!$B$2:$B$2865,"&lt;="&amp;$C$8)</f>
        <v>0</v>
      </c>
      <c r="M125" s="3" t="n">
        <f aca="false">SUMIFS(Seasons!$N$2:$N$2865,Seasons!$A$2:$A$2865,B125,Seasons!$B$2:$B$2865,"&gt;="&amp;$B$8,Seasons!$B$2:$B$2865,"&lt;="&amp;$C$8)</f>
        <v>0</v>
      </c>
      <c r="N125" s="3" t="n">
        <f aca="false">IF(J125="",-1000000,J125+ROW()*0.000000001)</f>
        <v>-13.2130339119103</v>
      </c>
      <c r="O125" s="3" t="n">
        <f aca="false">IF(J125="","",SUMPRODUCT(($A$25:$A$534=A125)*($N$25:$N$534&gt;N125))+1)</f>
        <v>14</v>
      </c>
      <c r="P125" s="3" t="str">
        <f aca="false">A125&amp;"|"&amp;O125</f>
        <v>1930s|14</v>
      </c>
    </row>
    <row r="126" customFormat="false" ht="15" hidden="false" customHeight="true" outlineLevel="0" collapsed="false">
      <c r="A126" s="1" t="s">
        <v>12</v>
      </c>
      <c r="B126" s="7" t="s">
        <v>66</v>
      </c>
      <c r="C126" s="1" t="s">
        <v>55</v>
      </c>
      <c r="D126" s="3" t="n">
        <f aca="false">COUNTIFS(Market_Panel!$A$2:$A$2705,B126,Market_Panel!$B$2:$B$2705,"&gt;="&amp;$B$8,Market_Panel!$B$2:$B$2705,"&lt;="&amp;$C$8)</f>
        <v>10</v>
      </c>
      <c r="E126" s="10" t="n">
        <f aca="false">IF(D126=0,"",AVERAGEIFS(Market_Panel!$M$2:$M$2705,Market_Panel!$A$2:$A$2705,B126,Market_Panel!$B$2:$B$2705,"&gt;="&amp;$B$8,Market_Panel!$B$2:$B$2705,"&lt;="&amp;$C$8))</f>
        <v>0.0379820070684114</v>
      </c>
      <c r="F126" s="11" t="n">
        <f aca="false">IF(D126=0,"",AVERAGEIFS(Market_Panel!$P$2:$P$2705,Market_Panel!$A$2:$A$2705,B126,Market_Panel!$B$2:$B$2705,"&gt;="&amp;$B$8,Market_Panel!$B$2:$B$2705,"&lt;="&amp;$C$8))</f>
        <v>-0.0226349627579555</v>
      </c>
      <c r="G126" s="11" t="n">
        <f aca="false">IF(D126=0,"",AVERAGEIFS(Market_Panel!$R$2:$R$2705,Market_Panel!$A$2:$A$2705,B126,Market_Panel!$B$2:$B$2705,"&gt;="&amp;$B$8,Market_Panel!$B$2:$B$2705,"&lt;="&amp;$C$8))</f>
        <v>0</v>
      </c>
      <c r="H126" s="11" t="n">
        <f aca="false">IF(OR(D126=0,$H$8=0),0,AVERAGEIFS(Market_Panel!$Y$2:$Y$2705,Market_Panel!$A$2:$A$2705,B126,Market_Panel!$B$2:$B$2705,"&gt;="&amp;$B$8,Market_Panel!$B$2:$B$2705,"&lt;="&amp;$C$8))</f>
        <v>0</v>
      </c>
      <c r="I126" s="10" t="n">
        <f aca="false">IF(D126=0,"",$I$8+$F$8*F126+$G$8*G126+$H$8*H126)</f>
        <v>-0.00101582840741571</v>
      </c>
      <c r="J126" s="5" t="n">
        <f aca="false">IF(D126&lt;5,"",(E126-I126)*162)</f>
        <v>6.31764934708398</v>
      </c>
      <c r="K126" s="5" t="n">
        <f aca="false">IF(D126=0,"",E126*162)</f>
        <v>6.15308514508264</v>
      </c>
      <c r="L126" s="3" t="n">
        <f aca="false">SUMIFS(Seasons!$L$2:$L$2865,Seasons!$A$2:$A$2865,B126,Seasons!$B$2:$B$2865,"&gt;="&amp;$B$8,Seasons!$B$2:$B$2865,"&lt;="&amp;$C$8)</f>
        <v>0</v>
      </c>
      <c r="M126" s="3" t="n">
        <f aca="false">SUMIFS(Seasons!$N$2:$N$2865,Seasons!$A$2:$A$2865,B126,Seasons!$B$2:$B$2865,"&gt;="&amp;$B$8,Seasons!$B$2:$B$2865,"&lt;="&amp;$C$8)</f>
        <v>0</v>
      </c>
      <c r="N126" s="3" t="n">
        <f aca="false">IF(J126="",-1000000,J126+ROW()*0.000000001)</f>
        <v>6.31764947308398</v>
      </c>
      <c r="O126" s="3" t="n">
        <f aca="false">IF(J126="","",SUMPRODUCT(($A$25:$A$534=A126)*($N$25:$N$534&gt;N126))+1)</f>
        <v>6</v>
      </c>
      <c r="P126" s="3" t="str">
        <f aca="false">A126&amp;"|"&amp;O126</f>
        <v>1930s|6</v>
      </c>
    </row>
    <row r="127" customFormat="false" ht="15" hidden="false" customHeight="true" outlineLevel="0" collapsed="false">
      <c r="A127" s="1" t="s">
        <v>12</v>
      </c>
      <c r="B127" s="7" t="s">
        <v>67</v>
      </c>
      <c r="C127" s="1" t="s">
        <v>55</v>
      </c>
      <c r="D127" s="3" t="n">
        <f aca="false">COUNTIFS(Market_Panel!$A$2:$A$2705,B127,Market_Panel!$B$2:$B$2705,"&gt;="&amp;$B$8,Market_Panel!$B$2:$B$2705,"&lt;="&amp;$C$8)</f>
        <v>10</v>
      </c>
      <c r="E127" s="10" t="n">
        <f aca="false">IF(D127=0,"",AVERAGEIFS(Market_Panel!$M$2:$M$2705,Market_Panel!$A$2:$A$2705,B127,Market_Panel!$B$2:$B$2705,"&gt;="&amp;$B$8,Market_Panel!$B$2:$B$2705,"&lt;="&amp;$C$8))</f>
        <v>0.0334724526313868</v>
      </c>
      <c r="F127" s="11" t="n">
        <f aca="false">IF(D127=0,"",AVERAGEIFS(Market_Panel!$P$2:$P$2705,Market_Panel!$A$2:$A$2705,B127,Market_Panel!$B$2:$B$2705,"&gt;="&amp;$B$8,Market_Panel!$B$2:$B$2705,"&lt;="&amp;$C$8))</f>
        <v>0.55910024898787</v>
      </c>
      <c r="G127" s="11" t="n">
        <f aca="false">IF(D127=0,"",AVERAGEIFS(Market_Panel!$R$2:$R$2705,Market_Panel!$A$2:$A$2705,B127,Market_Panel!$B$2:$B$2705,"&gt;="&amp;$B$8,Market_Panel!$B$2:$B$2705,"&lt;="&amp;$C$8))</f>
        <v>0</v>
      </c>
      <c r="H127" s="11" t="n">
        <f aca="false">IF(OR(D127=0,$H$8=0),0,AVERAGEIFS(Market_Panel!$Y$2:$Y$2705,Market_Panel!$A$2:$A$2705,B127,Market_Panel!$B$2:$B$2705,"&gt;="&amp;$B$8,Market_Panel!$B$2:$B$2705,"&lt;="&amp;$C$8))</f>
        <v>0</v>
      </c>
      <c r="I127" s="10" t="n">
        <f aca="false">IF(D127=0,"",$I$8+$F$8*F127+$G$8*G127+$H$8*H127)</f>
        <v>0.0250917097407395</v>
      </c>
      <c r="J127" s="5" t="n">
        <f aca="false">IF(D127&lt;5,"",(E127-I127)*162)</f>
        <v>1.35768034828487</v>
      </c>
      <c r="K127" s="5" t="n">
        <f aca="false">IF(D127=0,"",E127*162)</f>
        <v>5.42253732628467</v>
      </c>
      <c r="L127" s="3" t="n">
        <f aca="false">SUMIFS(Seasons!$L$2:$L$2865,Seasons!$A$2:$A$2865,B127,Seasons!$B$2:$B$2865,"&gt;="&amp;$B$8,Seasons!$B$2:$B$2865,"&lt;="&amp;$C$8)</f>
        <v>2</v>
      </c>
      <c r="M127" s="3" t="n">
        <f aca="false">SUMIFS(Seasons!$N$2:$N$2865,Seasons!$A$2:$A$2865,B127,Seasons!$B$2:$B$2865,"&gt;="&amp;$B$8,Seasons!$B$2:$B$2865,"&lt;="&amp;$C$8)</f>
        <v>1</v>
      </c>
      <c r="N127" s="3" t="n">
        <f aca="false">IF(J127="",-1000000,J127+ROW()*0.000000001)</f>
        <v>1.35768047528487</v>
      </c>
      <c r="O127" s="3" t="n">
        <f aca="false">IF(J127="","",SUMPRODUCT(($A$25:$A$534=A127)*($N$25:$N$534&gt;N127))+1)</f>
        <v>8</v>
      </c>
      <c r="P127" s="3" t="str">
        <f aca="false">A127&amp;"|"&amp;O127</f>
        <v>1930s|8</v>
      </c>
    </row>
    <row r="128" customFormat="false" ht="15" hidden="false" customHeight="true" outlineLevel="0" collapsed="false">
      <c r="A128" s="1" t="s">
        <v>12</v>
      </c>
      <c r="B128" s="7" t="s">
        <v>68</v>
      </c>
      <c r="C128" s="1" t="s">
        <v>55</v>
      </c>
      <c r="D128" s="3" t="n">
        <f aca="false">COUNTIFS(Market_Panel!$A$2:$A$2705,B128,Market_Panel!$B$2:$B$2705,"&gt;="&amp;$B$8,Market_Panel!$B$2:$B$2705,"&lt;="&amp;$C$8)</f>
        <v>10</v>
      </c>
      <c r="E128" s="10" t="n">
        <f aca="false">IF(D128=0,"",AVERAGEIFS(Market_Panel!$M$2:$M$2705,Market_Panel!$A$2:$A$2705,B128,Market_Panel!$B$2:$B$2705,"&gt;="&amp;$B$8,Market_Panel!$B$2:$B$2705,"&lt;="&amp;$C$8))</f>
        <v>0.027374885431878</v>
      </c>
      <c r="F128" s="11" t="n">
        <f aca="false">IF(D128=0,"",AVERAGEIFS(Market_Panel!$P$2:$P$2705,Market_Panel!$A$2:$A$2705,B128,Market_Panel!$B$2:$B$2705,"&gt;="&amp;$B$8,Market_Panel!$B$2:$B$2705,"&lt;="&amp;$C$8))</f>
        <v>-0.487319523317194</v>
      </c>
      <c r="G128" s="11" t="n">
        <f aca="false">IF(D128=0,"",AVERAGEIFS(Market_Panel!$R$2:$R$2705,Market_Panel!$A$2:$A$2705,B128,Market_Panel!$B$2:$B$2705,"&gt;="&amp;$B$8,Market_Panel!$B$2:$B$2705,"&lt;="&amp;$C$8))</f>
        <v>0</v>
      </c>
      <c r="H128" s="11" t="n">
        <f aca="false">IF(OR(D128=0,$H$8=0),0,AVERAGEIFS(Market_Panel!$Y$2:$Y$2705,Market_Panel!$A$2:$A$2705,B128,Market_Panel!$B$2:$B$2705,"&gt;="&amp;$B$8,Market_Panel!$B$2:$B$2705,"&lt;="&amp;$C$8))</f>
        <v>0</v>
      </c>
      <c r="I128" s="10" t="n">
        <f aca="false">IF(D128=0,"",$I$8+$F$8*F128+$G$8*G128+$H$8*H128)</f>
        <v>-0.0218702818541149</v>
      </c>
      <c r="J128" s="5" t="n">
        <f aca="false">IF(D128&lt;5,"",(E128-I128)*162)</f>
        <v>7.97771710033085</v>
      </c>
      <c r="K128" s="5" t="n">
        <f aca="false">IF(D128=0,"",E128*162)</f>
        <v>4.43473143996423</v>
      </c>
      <c r="L128" s="3" t="n">
        <f aca="false">SUMIFS(Seasons!$L$2:$L$2865,Seasons!$A$2:$A$2865,B128,Seasons!$B$2:$B$2865,"&gt;="&amp;$B$8,Seasons!$B$2:$B$2865,"&lt;="&amp;$C$8)</f>
        <v>1</v>
      </c>
      <c r="M128" s="3" t="n">
        <f aca="false">SUMIFS(Seasons!$N$2:$N$2865,Seasons!$A$2:$A$2865,B128,Seasons!$B$2:$B$2865,"&gt;="&amp;$B$8,Seasons!$B$2:$B$2865,"&lt;="&amp;$C$8)</f>
        <v>0</v>
      </c>
      <c r="N128" s="3" t="n">
        <f aca="false">IF(J128="",-1000000,J128+ROW()*0.000000001)</f>
        <v>7.97771722833085</v>
      </c>
      <c r="O128" s="3" t="n">
        <f aca="false">IF(J128="","",SUMPRODUCT(($A$25:$A$534=A128)*($N$25:$N$534&gt;N128))+1)</f>
        <v>4</v>
      </c>
      <c r="P128" s="3" t="str">
        <f aca="false">A128&amp;"|"&amp;O128</f>
        <v>1930s|4</v>
      </c>
    </row>
    <row r="129" customFormat="false" ht="15" hidden="false" customHeight="true" outlineLevel="0" collapsed="false">
      <c r="A129" s="1" t="s">
        <v>12</v>
      </c>
      <c r="B129" s="7" t="s">
        <v>69</v>
      </c>
      <c r="C129" s="1" t="s">
        <v>55</v>
      </c>
      <c r="D129" s="3" t="n">
        <f aca="false">COUNTIFS(Market_Panel!$A$2:$A$2705,B129,Market_Panel!$B$2:$B$2705,"&gt;="&amp;$B$8,Market_Panel!$B$2:$B$2705,"&lt;="&amp;$C$8)</f>
        <v>10</v>
      </c>
      <c r="E129" s="10" t="n">
        <f aca="false">IF(D129=0,"",AVERAGEIFS(Market_Panel!$M$2:$M$2705,Market_Panel!$A$2:$A$2705,B129,Market_Panel!$B$2:$B$2705,"&gt;="&amp;$B$8,Market_Panel!$B$2:$B$2705,"&lt;="&amp;$C$8))</f>
        <v>-0.0241770520002591</v>
      </c>
      <c r="F129" s="11" t="n">
        <f aca="false">IF(D129=0,"",AVERAGEIFS(Market_Panel!$P$2:$P$2705,Market_Panel!$A$2:$A$2705,B129,Market_Panel!$B$2:$B$2705,"&gt;="&amp;$B$8,Market_Panel!$B$2:$B$2705,"&lt;="&amp;$C$8))</f>
        <v>0.0640528374416917</v>
      </c>
      <c r="G129" s="11" t="n">
        <f aca="false">IF(D129=0,"",AVERAGEIFS(Market_Panel!$R$2:$R$2705,Market_Panel!$A$2:$A$2705,B129,Market_Panel!$B$2:$B$2705,"&gt;="&amp;$B$8,Market_Panel!$B$2:$B$2705,"&lt;="&amp;$C$8))</f>
        <v>0</v>
      </c>
      <c r="H129" s="11" t="n">
        <f aca="false">IF(OR(D129=0,$H$8=0),0,AVERAGEIFS(Market_Panel!$Y$2:$Y$2705,Market_Panel!$A$2:$A$2705,B129,Market_Panel!$B$2:$B$2705,"&gt;="&amp;$B$8,Market_Panel!$B$2:$B$2705,"&lt;="&amp;$C$8))</f>
        <v>0</v>
      </c>
      <c r="I129" s="10" t="n">
        <f aca="false">IF(D129=0,"",$I$8+$F$8*F129+$G$8*G129+$H$8*H129)</f>
        <v>0.00287461006870802</v>
      </c>
      <c r="J129" s="5" t="n">
        <f aca="false">IF(D129&lt;5,"",(E129-I129)*162)</f>
        <v>-4.38236925517268</v>
      </c>
      <c r="K129" s="5" t="n">
        <f aca="false">IF(D129=0,"",E129*162)</f>
        <v>-3.91668242404197</v>
      </c>
      <c r="L129" s="3" t="n">
        <f aca="false">SUMIFS(Seasons!$L$2:$L$2865,Seasons!$A$2:$A$2865,B129,Seasons!$B$2:$B$2865,"&gt;="&amp;$B$8,Seasons!$B$2:$B$2865,"&lt;="&amp;$C$8)</f>
        <v>2</v>
      </c>
      <c r="M129" s="3" t="n">
        <f aca="false">SUMIFS(Seasons!$N$2:$N$2865,Seasons!$A$2:$A$2865,B129,Seasons!$B$2:$B$2865,"&gt;="&amp;$B$8,Seasons!$B$2:$B$2865,"&lt;="&amp;$C$8)</f>
        <v>1</v>
      </c>
      <c r="N129" s="3" t="n">
        <f aca="false">IF(J129="",-1000000,J129+ROW()*0.000000001)</f>
        <v>-4.38236912617268</v>
      </c>
      <c r="O129" s="3" t="n">
        <f aca="false">IF(J129="","",SUMPRODUCT(($A$25:$A$534=A129)*($N$25:$N$534&gt;N129))+1)</f>
        <v>11</v>
      </c>
      <c r="P129" s="3" t="str">
        <f aca="false">A129&amp;"|"&amp;O129</f>
        <v>1930s|11</v>
      </c>
    </row>
    <row r="130" customFormat="false" ht="15" hidden="false" customHeight="true" outlineLevel="0" collapsed="false">
      <c r="A130" s="1" t="s">
        <v>12</v>
      </c>
      <c r="B130" s="7" t="s">
        <v>70</v>
      </c>
      <c r="C130" s="1" t="s">
        <v>55</v>
      </c>
      <c r="D130" s="3" t="n">
        <f aca="false">COUNTIFS(Market_Panel!$A$2:$A$2705,B130,Market_Panel!$B$2:$B$2705,"&gt;="&amp;$B$8,Market_Panel!$B$2:$B$2705,"&lt;="&amp;$C$8)</f>
        <v>10</v>
      </c>
      <c r="E130" s="10" t="n">
        <f aca="false">IF(D130=0,"",AVERAGEIFS(Market_Panel!$M$2:$M$2705,Market_Panel!$A$2:$A$2705,B130,Market_Panel!$B$2:$B$2705,"&gt;="&amp;$B$8,Market_Panel!$B$2:$B$2705,"&lt;="&amp;$C$8))</f>
        <v>0.136553793897177</v>
      </c>
      <c r="F130" s="11" t="n">
        <f aca="false">IF(D130=0,"",AVERAGEIFS(Market_Panel!$P$2:$P$2705,Market_Panel!$A$2:$A$2705,B130,Market_Panel!$B$2:$B$2705,"&gt;="&amp;$B$8,Market_Panel!$B$2:$B$2705,"&lt;="&amp;$C$8))</f>
        <v>0.963571877598058</v>
      </c>
      <c r="G130" s="11" t="n">
        <f aca="false">IF(D130=0,"",AVERAGEIFS(Market_Panel!$R$2:$R$2705,Market_Panel!$A$2:$A$2705,B130,Market_Panel!$B$2:$B$2705,"&gt;="&amp;$B$8,Market_Panel!$B$2:$B$2705,"&lt;="&amp;$C$8))</f>
        <v>0</v>
      </c>
      <c r="H130" s="11" t="n">
        <f aca="false">IF(OR(D130=0,$H$8=0),0,AVERAGEIFS(Market_Panel!$Y$2:$Y$2705,Market_Panel!$A$2:$A$2705,B130,Market_Panel!$B$2:$B$2705,"&gt;="&amp;$B$8,Market_Panel!$B$2:$B$2705,"&lt;="&amp;$C$8))</f>
        <v>0</v>
      </c>
      <c r="I130" s="10" t="n">
        <f aca="false">IF(D130=0,"",$I$8+$F$8*F130+$G$8*G130+$H$8*H130)</f>
        <v>0.0432438832048425</v>
      </c>
      <c r="J130" s="5" t="n">
        <f aca="false">IF(D130&lt;5,"",(E130-I130)*162)</f>
        <v>15.1162055321582</v>
      </c>
      <c r="K130" s="5" t="n">
        <f aca="false">IF(D130=0,"",E130*162)</f>
        <v>22.1217146113427</v>
      </c>
      <c r="L130" s="3" t="n">
        <f aca="false">SUMIFS(Seasons!$L$2:$L$2865,Seasons!$A$2:$A$2865,B130,Seasons!$B$2:$B$2865,"&gt;="&amp;$B$8,Seasons!$B$2:$B$2865,"&lt;="&amp;$C$8)</f>
        <v>5</v>
      </c>
      <c r="M130" s="3" t="n">
        <f aca="false">SUMIFS(Seasons!$N$2:$N$2865,Seasons!$A$2:$A$2865,B130,Seasons!$B$2:$B$2865,"&gt;="&amp;$B$8,Seasons!$B$2:$B$2865,"&lt;="&amp;$C$8)</f>
        <v>5</v>
      </c>
      <c r="N130" s="3" t="n">
        <f aca="false">IF(J130="",-1000000,J130+ROW()*0.000000001)</f>
        <v>15.1162056621582</v>
      </c>
      <c r="O130" s="3" t="n">
        <f aca="false">IF(J130="","",SUMPRODUCT(($A$25:$A$534=A130)*($N$25:$N$534&gt;N130))+1)</f>
        <v>2</v>
      </c>
      <c r="P130" s="3" t="str">
        <f aca="false">A130&amp;"|"&amp;O130</f>
        <v>1930s|2</v>
      </c>
    </row>
    <row r="131" customFormat="false" ht="15" hidden="false" customHeight="true" outlineLevel="0" collapsed="false">
      <c r="A131" s="1" t="s">
        <v>12</v>
      </c>
      <c r="B131" s="7" t="s">
        <v>71</v>
      </c>
      <c r="C131" s="1" t="s">
        <v>72</v>
      </c>
      <c r="D131" s="3" t="n">
        <f aca="false">COUNTIFS(Market_Panel!$A$2:$A$2705,B131,Market_Panel!$B$2:$B$2705,"&gt;="&amp;$B$8,Market_Panel!$B$2:$B$2705,"&lt;="&amp;$C$8)</f>
        <v>0</v>
      </c>
      <c r="E131" s="10" t="str">
        <f aca="false">IF(D131=0,"",AVERAGEIFS(Market_Panel!$M$2:$M$2705,Market_Panel!$A$2:$A$2705,B131,Market_Panel!$B$2:$B$2705,"&gt;="&amp;$B$8,Market_Panel!$B$2:$B$2705,"&lt;="&amp;$C$8))</f>
        <v/>
      </c>
      <c r="F131" s="11" t="str">
        <f aca="false">IF(D131=0,"",AVERAGEIFS(Market_Panel!$P$2:$P$2705,Market_Panel!$A$2:$A$2705,B131,Market_Panel!$B$2:$B$2705,"&gt;="&amp;$B$8,Market_Panel!$B$2:$B$2705,"&lt;="&amp;$C$8))</f>
        <v/>
      </c>
      <c r="G131" s="11" t="str">
        <f aca="false">IF(D131=0,"",AVERAGEIFS(Market_Panel!$R$2:$R$2705,Market_Panel!$A$2:$A$2705,B131,Market_Panel!$B$2:$B$2705,"&gt;="&amp;$B$8,Market_Panel!$B$2:$B$2705,"&lt;="&amp;$C$8))</f>
        <v/>
      </c>
      <c r="H131" s="11" t="n">
        <f aca="false">IF(OR(D131=0,$H$8=0),0,AVERAGEIFS(Market_Panel!$Y$2:$Y$2705,Market_Panel!$A$2:$A$2705,B131,Market_Panel!$B$2:$B$2705,"&gt;="&amp;$B$8,Market_Panel!$B$2:$B$2705,"&lt;="&amp;$C$8))</f>
        <v>0</v>
      </c>
      <c r="I131" s="10" t="str">
        <f aca="false">IF(D131=0,"",$I$8+$F$8*F131+$G$8*G131+$H$8*H131)</f>
        <v/>
      </c>
      <c r="J131" s="5" t="str">
        <f aca="false">IF(D131&lt;5,"",(E131-I131)*162)</f>
        <v/>
      </c>
      <c r="K131" s="5" t="str">
        <f aca="false">IF(D131=0,"",E131*162)</f>
        <v/>
      </c>
      <c r="L131" s="3" t="n">
        <f aca="false">SUMIFS(Seasons!$L$2:$L$2865,Seasons!$A$2:$A$2865,B131,Seasons!$B$2:$B$2865,"&gt;="&amp;$B$8,Seasons!$B$2:$B$2865,"&lt;="&amp;$C$8)</f>
        <v>0</v>
      </c>
      <c r="M131" s="3" t="n">
        <f aca="false">SUMIFS(Seasons!$N$2:$N$2865,Seasons!$A$2:$A$2865,B131,Seasons!$B$2:$B$2865,"&gt;="&amp;$B$8,Seasons!$B$2:$B$2865,"&lt;="&amp;$C$8)</f>
        <v>0</v>
      </c>
      <c r="N131" s="3" t="n">
        <f aca="false">IF(J131="",-1000000,J131+ROW()*0.000000001)</f>
        <v>-1000000</v>
      </c>
      <c r="O131" s="3" t="str">
        <f aca="false">IF(J131="","",SUMPRODUCT(($A$25:$A$534=A131)*($N$25:$N$534&gt;N131))+1)</f>
        <v/>
      </c>
      <c r="P131" s="3" t="str">
        <f aca="false">A131&amp;"|"&amp;O131</f>
        <v>1930s|</v>
      </c>
    </row>
    <row r="132" customFormat="false" ht="15" hidden="false" customHeight="true" outlineLevel="0" collapsed="false">
      <c r="A132" s="1" t="s">
        <v>12</v>
      </c>
      <c r="B132" s="7" t="s">
        <v>73</v>
      </c>
      <c r="C132" s="1" t="s">
        <v>72</v>
      </c>
      <c r="D132" s="3" t="n">
        <f aca="false">COUNTIFS(Market_Panel!$A$2:$A$2705,B132,Market_Panel!$B$2:$B$2705,"&gt;="&amp;$B$8,Market_Panel!$B$2:$B$2705,"&lt;="&amp;$C$8)</f>
        <v>0</v>
      </c>
      <c r="E132" s="10" t="str">
        <f aca="false">IF(D132=0,"",AVERAGEIFS(Market_Panel!$M$2:$M$2705,Market_Panel!$A$2:$A$2705,B132,Market_Panel!$B$2:$B$2705,"&gt;="&amp;$B$8,Market_Panel!$B$2:$B$2705,"&lt;="&amp;$C$8))</f>
        <v/>
      </c>
      <c r="F132" s="11" t="str">
        <f aca="false">IF(D132=0,"",AVERAGEIFS(Market_Panel!$P$2:$P$2705,Market_Panel!$A$2:$A$2705,B132,Market_Panel!$B$2:$B$2705,"&gt;="&amp;$B$8,Market_Panel!$B$2:$B$2705,"&lt;="&amp;$C$8))</f>
        <v/>
      </c>
      <c r="G132" s="11" t="str">
        <f aca="false">IF(D132=0,"",AVERAGEIFS(Market_Panel!$R$2:$R$2705,Market_Panel!$A$2:$A$2705,B132,Market_Panel!$B$2:$B$2705,"&gt;="&amp;$B$8,Market_Panel!$B$2:$B$2705,"&lt;="&amp;$C$8))</f>
        <v/>
      </c>
      <c r="H132" s="11" t="n">
        <f aca="false">IF(OR(D132=0,$H$8=0),0,AVERAGEIFS(Market_Panel!$Y$2:$Y$2705,Market_Panel!$A$2:$A$2705,B132,Market_Panel!$B$2:$B$2705,"&gt;="&amp;$B$8,Market_Panel!$B$2:$B$2705,"&lt;="&amp;$C$8))</f>
        <v>0</v>
      </c>
      <c r="I132" s="10" t="str">
        <f aca="false">IF(D132=0,"",$I$8+$F$8*F132+$G$8*G132+$H$8*H132)</f>
        <v/>
      </c>
      <c r="J132" s="5" t="str">
        <f aca="false">IF(D132&lt;5,"",(E132-I132)*162)</f>
        <v/>
      </c>
      <c r="K132" s="5" t="str">
        <f aca="false">IF(D132=0,"",E132*162)</f>
        <v/>
      </c>
      <c r="L132" s="3" t="n">
        <f aca="false">SUMIFS(Seasons!$L$2:$L$2865,Seasons!$A$2:$A$2865,B132,Seasons!$B$2:$B$2865,"&gt;="&amp;$B$8,Seasons!$B$2:$B$2865,"&lt;="&amp;$C$8)</f>
        <v>0</v>
      </c>
      <c r="M132" s="3" t="n">
        <f aca="false">SUMIFS(Seasons!$N$2:$N$2865,Seasons!$A$2:$A$2865,B132,Seasons!$B$2:$B$2865,"&gt;="&amp;$B$8,Seasons!$B$2:$B$2865,"&lt;="&amp;$C$8)</f>
        <v>0</v>
      </c>
      <c r="N132" s="3" t="n">
        <f aca="false">IF(J132="",-1000000,J132+ROW()*0.000000001)</f>
        <v>-1000000</v>
      </c>
      <c r="O132" s="3" t="str">
        <f aca="false">IF(J132="","",SUMPRODUCT(($A$25:$A$534=A132)*($N$25:$N$534&gt;N132))+1)</f>
        <v/>
      </c>
      <c r="P132" s="3" t="str">
        <f aca="false">A132&amp;"|"&amp;O132</f>
        <v>1930s|</v>
      </c>
    </row>
    <row r="133" customFormat="false" ht="15" hidden="false" customHeight="true" outlineLevel="0" collapsed="false">
      <c r="A133" s="1" t="s">
        <v>12</v>
      </c>
      <c r="B133" s="7" t="s">
        <v>74</v>
      </c>
      <c r="C133" s="1" t="s">
        <v>72</v>
      </c>
      <c r="D133" s="3" t="n">
        <f aca="false">COUNTIFS(Market_Panel!$A$2:$A$2705,B133,Market_Panel!$B$2:$B$2705,"&gt;="&amp;$B$8,Market_Panel!$B$2:$B$2705,"&lt;="&amp;$C$8)</f>
        <v>0</v>
      </c>
      <c r="E133" s="10" t="str">
        <f aca="false">IF(D133=0,"",AVERAGEIFS(Market_Panel!$M$2:$M$2705,Market_Panel!$A$2:$A$2705,B133,Market_Panel!$B$2:$B$2705,"&gt;="&amp;$B$8,Market_Panel!$B$2:$B$2705,"&lt;="&amp;$C$8))</f>
        <v/>
      </c>
      <c r="F133" s="11" t="str">
        <f aca="false">IF(D133=0,"",AVERAGEIFS(Market_Panel!$P$2:$P$2705,Market_Panel!$A$2:$A$2705,B133,Market_Panel!$B$2:$B$2705,"&gt;="&amp;$B$8,Market_Panel!$B$2:$B$2705,"&lt;="&amp;$C$8))</f>
        <v/>
      </c>
      <c r="G133" s="11" t="str">
        <f aca="false">IF(D133=0,"",AVERAGEIFS(Market_Panel!$R$2:$R$2705,Market_Panel!$A$2:$A$2705,B133,Market_Panel!$B$2:$B$2705,"&gt;="&amp;$B$8,Market_Panel!$B$2:$B$2705,"&lt;="&amp;$C$8))</f>
        <v/>
      </c>
      <c r="H133" s="11" t="n">
        <f aca="false">IF(OR(D133=0,$H$8=0),0,AVERAGEIFS(Market_Panel!$Y$2:$Y$2705,Market_Panel!$A$2:$A$2705,B133,Market_Panel!$B$2:$B$2705,"&gt;="&amp;$B$8,Market_Panel!$B$2:$B$2705,"&lt;="&amp;$C$8))</f>
        <v>0</v>
      </c>
      <c r="I133" s="10" t="str">
        <f aca="false">IF(D133=0,"",$I$8+$F$8*F133+$G$8*G133+$H$8*H133)</f>
        <v/>
      </c>
      <c r="J133" s="5" t="str">
        <f aca="false">IF(D133&lt;5,"",(E133-I133)*162)</f>
        <v/>
      </c>
      <c r="K133" s="5" t="str">
        <f aca="false">IF(D133=0,"",E133*162)</f>
        <v/>
      </c>
      <c r="L133" s="3" t="n">
        <f aca="false">SUMIFS(Seasons!$L$2:$L$2865,Seasons!$A$2:$A$2865,B133,Seasons!$B$2:$B$2865,"&gt;="&amp;$B$8,Seasons!$B$2:$B$2865,"&lt;="&amp;$C$8)</f>
        <v>0</v>
      </c>
      <c r="M133" s="3" t="n">
        <f aca="false">SUMIFS(Seasons!$N$2:$N$2865,Seasons!$A$2:$A$2865,B133,Seasons!$B$2:$B$2865,"&gt;="&amp;$B$8,Seasons!$B$2:$B$2865,"&lt;="&amp;$C$8)</f>
        <v>0</v>
      </c>
      <c r="N133" s="3" t="n">
        <f aca="false">IF(J133="",-1000000,J133+ROW()*0.000000001)</f>
        <v>-1000000</v>
      </c>
      <c r="O133" s="3" t="str">
        <f aca="false">IF(J133="","",SUMPRODUCT(($A$25:$A$534=A133)*($N$25:$N$534&gt;N133))+1)</f>
        <v/>
      </c>
      <c r="P133" s="3" t="str">
        <f aca="false">A133&amp;"|"&amp;O133</f>
        <v>1930s|</v>
      </c>
    </row>
    <row r="134" customFormat="false" ht="15" hidden="false" customHeight="true" outlineLevel="0" collapsed="false">
      <c r="A134" s="1" t="s">
        <v>12</v>
      </c>
      <c r="B134" s="7" t="s">
        <v>75</v>
      </c>
      <c r="C134" s="1" t="s">
        <v>72</v>
      </c>
      <c r="D134" s="3" t="n">
        <f aca="false">COUNTIFS(Market_Panel!$A$2:$A$2705,B134,Market_Panel!$B$2:$B$2705,"&gt;="&amp;$B$8,Market_Panel!$B$2:$B$2705,"&lt;="&amp;$C$8)</f>
        <v>0</v>
      </c>
      <c r="E134" s="10" t="str">
        <f aca="false">IF(D134=0,"",AVERAGEIFS(Market_Panel!$M$2:$M$2705,Market_Panel!$A$2:$A$2705,B134,Market_Panel!$B$2:$B$2705,"&gt;="&amp;$B$8,Market_Panel!$B$2:$B$2705,"&lt;="&amp;$C$8))</f>
        <v/>
      </c>
      <c r="F134" s="11" t="str">
        <f aca="false">IF(D134=0,"",AVERAGEIFS(Market_Panel!$P$2:$P$2705,Market_Panel!$A$2:$A$2705,B134,Market_Panel!$B$2:$B$2705,"&gt;="&amp;$B$8,Market_Panel!$B$2:$B$2705,"&lt;="&amp;$C$8))</f>
        <v/>
      </c>
      <c r="G134" s="11" t="str">
        <f aca="false">IF(D134=0,"",AVERAGEIFS(Market_Panel!$R$2:$R$2705,Market_Panel!$A$2:$A$2705,B134,Market_Panel!$B$2:$B$2705,"&gt;="&amp;$B$8,Market_Panel!$B$2:$B$2705,"&lt;="&amp;$C$8))</f>
        <v/>
      </c>
      <c r="H134" s="11" t="n">
        <f aca="false">IF(OR(D134=0,$H$8=0),0,AVERAGEIFS(Market_Panel!$Y$2:$Y$2705,Market_Panel!$A$2:$A$2705,B134,Market_Panel!$B$2:$B$2705,"&gt;="&amp;$B$8,Market_Panel!$B$2:$B$2705,"&lt;="&amp;$C$8))</f>
        <v>0</v>
      </c>
      <c r="I134" s="10" t="str">
        <f aca="false">IF(D134=0,"",$I$8+$F$8*F134+$G$8*G134+$H$8*H134)</f>
        <v/>
      </c>
      <c r="J134" s="5" t="str">
        <f aca="false">IF(D134&lt;5,"",(E134-I134)*162)</f>
        <v/>
      </c>
      <c r="K134" s="5" t="str">
        <f aca="false">IF(D134=0,"",E134*162)</f>
        <v/>
      </c>
      <c r="L134" s="3" t="n">
        <f aca="false">SUMIFS(Seasons!$L$2:$L$2865,Seasons!$A$2:$A$2865,B134,Seasons!$B$2:$B$2865,"&gt;="&amp;$B$8,Seasons!$B$2:$B$2865,"&lt;="&amp;$C$8)</f>
        <v>0</v>
      </c>
      <c r="M134" s="3" t="n">
        <f aca="false">SUMIFS(Seasons!$N$2:$N$2865,Seasons!$A$2:$A$2865,B134,Seasons!$B$2:$B$2865,"&gt;="&amp;$B$8,Seasons!$B$2:$B$2865,"&lt;="&amp;$C$8)</f>
        <v>0</v>
      </c>
      <c r="N134" s="3" t="n">
        <f aca="false">IF(J134="",-1000000,J134+ROW()*0.000000001)</f>
        <v>-1000000</v>
      </c>
      <c r="O134" s="3" t="str">
        <f aca="false">IF(J134="","",SUMPRODUCT(($A$25:$A$534=A134)*($N$25:$N$534&gt;N134))+1)</f>
        <v/>
      </c>
      <c r="P134" s="3" t="str">
        <f aca="false">A134&amp;"|"&amp;O134</f>
        <v>1930s|</v>
      </c>
    </row>
    <row r="135" customFormat="false" ht="15" hidden="false" customHeight="true" outlineLevel="0" collapsed="false">
      <c r="A135" s="1" t="s">
        <v>12</v>
      </c>
      <c r="B135" s="7" t="s">
        <v>76</v>
      </c>
      <c r="C135" s="1" t="s">
        <v>72</v>
      </c>
      <c r="D135" s="3" t="n">
        <f aca="false">COUNTIFS(Market_Panel!$A$2:$A$2705,B135,Market_Panel!$B$2:$B$2705,"&gt;="&amp;$B$8,Market_Panel!$B$2:$B$2705,"&lt;="&amp;$C$8)</f>
        <v>0</v>
      </c>
      <c r="E135" s="10" t="str">
        <f aca="false">IF(D135=0,"",AVERAGEIFS(Market_Panel!$M$2:$M$2705,Market_Panel!$A$2:$A$2705,B135,Market_Panel!$B$2:$B$2705,"&gt;="&amp;$B$8,Market_Panel!$B$2:$B$2705,"&lt;="&amp;$C$8))</f>
        <v/>
      </c>
      <c r="F135" s="11" t="str">
        <f aca="false">IF(D135=0,"",AVERAGEIFS(Market_Panel!$P$2:$P$2705,Market_Panel!$A$2:$A$2705,B135,Market_Panel!$B$2:$B$2705,"&gt;="&amp;$B$8,Market_Panel!$B$2:$B$2705,"&lt;="&amp;$C$8))</f>
        <v/>
      </c>
      <c r="G135" s="11" t="str">
        <f aca="false">IF(D135=0,"",AVERAGEIFS(Market_Panel!$R$2:$R$2705,Market_Panel!$A$2:$A$2705,B135,Market_Panel!$B$2:$B$2705,"&gt;="&amp;$B$8,Market_Panel!$B$2:$B$2705,"&lt;="&amp;$C$8))</f>
        <v/>
      </c>
      <c r="H135" s="11" t="n">
        <f aca="false">IF(OR(D135=0,$H$8=0),0,AVERAGEIFS(Market_Panel!$Y$2:$Y$2705,Market_Panel!$A$2:$A$2705,B135,Market_Panel!$B$2:$B$2705,"&gt;="&amp;$B$8,Market_Panel!$B$2:$B$2705,"&lt;="&amp;$C$8))</f>
        <v>0</v>
      </c>
      <c r="I135" s="10" t="str">
        <f aca="false">IF(D135=0,"",$I$8+$F$8*F135+$G$8*G135+$H$8*H135)</f>
        <v/>
      </c>
      <c r="J135" s="5" t="str">
        <f aca="false">IF(D135&lt;5,"",(E135-I135)*162)</f>
        <v/>
      </c>
      <c r="K135" s="5" t="str">
        <f aca="false">IF(D135=0,"",E135*162)</f>
        <v/>
      </c>
      <c r="L135" s="3" t="n">
        <f aca="false">SUMIFS(Seasons!$L$2:$L$2865,Seasons!$A$2:$A$2865,B135,Seasons!$B$2:$B$2865,"&gt;="&amp;$B$8,Seasons!$B$2:$B$2865,"&lt;="&amp;$C$8)</f>
        <v>0</v>
      </c>
      <c r="M135" s="3" t="n">
        <f aca="false">SUMIFS(Seasons!$N$2:$N$2865,Seasons!$A$2:$A$2865,B135,Seasons!$B$2:$B$2865,"&gt;="&amp;$B$8,Seasons!$B$2:$B$2865,"&lt;="&amp;$C$8)</f>
        <v>0</v>
      </c>
      <c r="N135" s="3" t="n">
        <f aca="false">IF(J135="",-1000000,J135+ROW()*0.000000001)</f>
        <v>-1000000</v>
      </c>
      <c r="O135" s="3" t="str">
        <f aca="false">IF(J135="","",SUMPRODUCT(($A$25:$A$534=A135)*($N$25:$N$534&gt;N135))+1)</f>
        <v/>
      </c>
      <c r="P135" s="3" t="str">
        <f aca="false">A135&amp;"|"&amp;O135</f>
        <v>1930s|</v>
      </c>
    </row>
    <row r="136" customFormat="false" ht="15" hidden="false" customHeight="true" outlineLevel="0" collapsed="false">
      <c r="A136" s="1" t="s">
        <v>12</v>
      </c>
      <c r="B136" s="7" t="s">
        <v>77</v>
      </c>
      <c r="C136" s="1" t="s">
        <v>72</v>
      </c>
      <c r="D136" s="3" t="n">
        <f aca="false">COUNTIFS(Market_Panel!$A$2:$A$2705,B136,Market_Panel!$B$2:$B$2705,"&gt;="&amp;$B$8,Market_Panel!$B$2:$B$2705,"&lt;="&amp;$C$8)</f>
        <v>0</v>
      </c>
      <c r="E136" s="10" t="str">
        <f aca="false">IF(D136=0,"",AVERAGEIFS(Market_Panel!$M$2:$M$2705,Market_Panel!$A$2:$A$2705,B136,Market_Panel!$B$2:$B$2705,"&gt;="&amp;$B$8,Market_Panel!$B$2:$B$2705,"&lt;="&amp;$C$8))</f>
        <v/>
      </c>
      <c r="F136" s="11" t="str">
        <f aca="false">IF(D136=0,"",AVERAGEIFS(Market_Panel!$P$2:$P$2705,Market_Panel!$A$2:$A$2705,B136,Market_Panel!$B$2:$B$2705,"&gt;="&amp;$B$8,Market_Panel!$B$2:$B$2705,"&lt;="&amp;$C$8))</f>
        <v/>
      </c>
      <c r="G136" s="11" t="str">
        <f aca="false">IF(D136=0,"",AVERAGEIFS(Market_Panel!$R$2:$R$2705,Market_Panel!$A$2:$A$2705,B136,Market_Panel!$B$2:$B$2705,"&gt;="&amp;$B$8,Market_Panel!$B$2:$B$2705,"&lt;="&amp;$C$8))</f>
        <v/>
      </c>
      <c r="H136" s="11" t="n">
        <f aca="false">IF(OR(D136=0,$H$8=0),0,AVERAGEIFS(Market_Panel!$Y$2:$Y$2705,Market_Panel!$A$2:$A$2705,B136,Market_Panel!$B$2:$B$2705,"&gt;="&amp;$B$8,Market_Panel!$B$2:$B$2705,"&lt;="&amp;$C$8))</f>
        <v>0</v>
      </c>
      <c r="I136" s="10" t="str">
        <f aca="false">IF(D136=0,"",$I$8+$F$8*F136+$G$8*G136+$H$8*H136)</f>
        <v/>
      </c>
      <c r="J136" s="5" t="str">
        <f aca="false">IF(D136&lt;5,"",(E136-I136)*162)</f>
        <v/>
      </c>
      <c r="K136" s="5" t="str">
        <f aca="false">IF(D136=0,"",E136*162)</f>
        <v/>
      </c>
      <c r="L136" s="3" t="n">
        <f aca="false">SUMIFS(Seasons!$L$2:$L$2865,Seasons!$A$2:$A$2865,B136,Seasons!$B$2:$B$2865,"&gt;="&amp;$B$8,Seasons!$B$2:$B$2865,"&lt;="&amp;$C$8)</f>
        <v>0</v>
      </c>
      <c r="M136" s="3" t="n">
        <f aca="false">SUMIFS(Seasons!$N$2:$N$2865,Seasons!$A$2:$A$2865,B136,Seasons!$B$2:$B$2865,"&gt;="&amp;$B$8,Seasons!$B$2:$B$2865,"&lt;="&amp;$C$8)</f>
        <v>0</v>
      </c>
      <c r="N136" s="3" t="n">
        <f aca="false">IF(J136="",-1000000,J136+ROW()*0.000000001)</f>
        <v>-1000000</v>
      </c>
      <c r="O136" s="3" t="str">
        <f aca="false">IF(J136="","",SUMPRODUCT(($A$25:$A$534=A136)*($N$25:$N$534&gt;N136))+1)</f>
        <v/>
      </c>
      <c r="P136" s="3" t="str">
        <f aca="false">A136&amp;"|"&amp;O136</f>
        <v>1930s|</v>
      </c>
    </row>
    <row r="137" customFormat="false" ht="15" hidden="false" customHeight="true" outlineLevel="0" collapsed="false">
      <c r="A137" s="1" t="s">
        <v>12</v>
      </c>
      <c r="B137" s="7" t="s">
        <v>78</v>
      </c>
      <c r="C137" s="1" t="s">
        <v>72</v>
      </c>
      <c r="D137" s="3" t="n">
        <f aca="false">COUNTIFS(Market_Panel!$A$2:$A$2705,B137,Market_Panel!$B$2:$B$2705,"&gt;="&amp;$B$8,Market_Panel!$B$2:$B$2705,"&lt;="&amp;$C$8)</f>
        <v>0</v>
      </c>
      <c r="E137" s="10" t="str">
        <f aca="false">IF(D137=0,"",AVERAGEIFS(Market_Panel!$M$2:$M$2705,Market_Panel!$A$2:$A$2705,B137,Market_Panel!$B$2:$B$2705,"&gt;="&amp;$B$8,Market_Panel!$B$2:$B$2705,"&lt;="&amp;$C$8))</f>
        <v/>
      </c>
      <c r="F137" s="11" t="str">
        <f aca="false">IF(D137=0,"",AVERAGEIFS(Market_Panel!$P$2:$P$2705,Market_Panel!$A$2:$A$2705,B137,Market_Panel!$B$2:$B$2705,"&gt;="&amp;$B$8,Market_Panel!$B$2:$B$2705,"&lt;="&amp;$C$8))</f>
        <v/>
      </c>
      <c r="G137" s="11" t="str">
        <f aca="false">IF(D137=0,"",AVERAGEIFS(Market_Panel!$R$2:$R$2705,Market_Panel!$A$2:$A$2705,B137,Market_Panel!$B$2:$B$2705,"&gt;="&amp;$B$8,Market_Panel!$B$2:$B$2705,"&lt;="&amp;$C$8))</f>
        <v/>
      </c>
      <c r="H137" s="11" t="n">
        <f aca="false">IF(OR(D137=0,$H$8=0),0,AVERAGEIFS(Market_Panel!$Y$2:$Y$2705,Market_Panel!$A$2:$A$2705,B137,Market_Panel!$B$2:$B$2705,"&gt;="&amp;$B$8,Market_Panel!$B$2:$B$2705,"&lt;="&amp;$C$8))</f>
        <v>0</v>
      </c>
      <c r="I137" s="10" t="str">
        <f aca="false">IF(D137=0,"",$I$8+$F$8*F137+$G$8*G137+$H$8*H137)</f>
        <v/>
      </c>
      <c r="J137" s="5" t="str">
        <f aca="false">IF(D137&lt;5,"",(E137-I137)*162)</f>
        <v/>
      </c>
      <c r="K137" s="5" t="str">
        <f aca="false">IF(D137=0,"",E137*162)</f>
        <v/>
      </c>
      <c r="L137" s="3" t="n">
        <f aca="false">SUMIFS(Seasons!$L$2:$L$2865,Seasons!$A$2:$A$2865,B137,Seasons!$B$2:$B$2865,"&gt;="&amp;$B$8,Seasons!$B$2:$B$2865,"&lt;="&amp;$C$8)</f>
        <v>0</v>
      </c>
      <c r="M137" s="3" t="n">
        <f aca="false">SUMIFS(Seasons!$N$2:$N$2865,Seasons!$A$2:$A$2865,B137,Seasons!$B$2:$B$2865,"&gt;="&amp;$B$8,Seasons!$B$2:$B$2865,"&lt;="&amp;$C$8)</f>
        <v>0</v>
      </c>
      <c r="N137" s="3" t="n">
        <f aca="false">IF(J137="",-1000000,J137+ROW()*0.000000001)</f>
        <v>-1000000</v>
      </c>
      <c r="O137" s="3" t="str">
        <f aca="false">IF(J137="","",SUMPRODUCT(($A$25:$A$534=A137)*($N$25:$N$534&gt;N137))+1)</f>
        <v/>
      </c>
      <c r="P137" s="3" t="str">
        <f aca="false">A137&amp;"|"&amp;O137</f>
        <v>1930s|</v>
      </c>
    </row>
    <row r="138" customFormat="false" ht="15" hidden="false" customHeight="true" outlineLevel="0" collapsed="false">
      <c r="A138" s="1" t="s">
        <v>12</v>
      </c>
      <c r="B138" s="7" t="s">
        <v>79</v>
      </c>
      <c r="C138" s="1" t="s">
        <v>72</v>
      </c>
      <c r="D138" s="3" t="n">
        <f aca="false">COUNTIFS(Market_Panel!$A$2:$A$2705,B138,Market_Panel!$B$2:$B$2705,"&gt;="&amp;$B$8,Market_Panel!$B$2:$B$2705,"&lt;="&amp;$C$8)</f>
        <v>0</v>
      </c>
      <c r="E138" s="10" t="str">
        <f aca="false">IF(D138=0,"",AVERAGEIFS(Market_Panel!$M$2:$M$2705,Market_Panel!$A$2:$A$2705,B138,Market_Panel!$B$2:$B$2705,"&gt;="&amp;$B$8,Market_Panel!$B$2:$B$2705,"&lt;="&amp;$C$8))</f>
        <v/>
      </c>
      <c r="F138" s="11" t="str">
        <f aca="false">IF(D138=0,"",AVERAGEIFS(Market_Panel!$P$2:$P$2705,Market_Panel!$A$2:$A$2705,B138,Market_Panel!$B$2:$B$2705,"&gt;="&amp;$B$8,Market_Panel!$B$2:$B$2705,"&lt;="&amp;$C$8))</f>
        <v/>
      </c>
      <c r="G138" s="11" t="str">
        <f aca="false">IF(D138=0,"",AVERAGEIFS(Market_Panel!$R$2:$R$2705,Market_Panel!$A$2:$A$2705,B138,Market_Panel!$B$2:$B$2705,"&gt;="&amp;$B$8,Market_Panel!$B$2:$B$2705,"&lt;="&amp;$C$8))</f>
        <v/>
      </c>
      <c r="H138" s="11" t="n">
        <f aca="false">IF(OR(D138=0,$H$8=0),0,AVERAGEIFS(Market_Panel!$Y$2:$Y$2705,Market_Panel!$A$2:$A$2705,B138,Market_Panel!$B$2:$B$2705,"&gt;="&amp;$B$8,Market_Panel!$B$2:$B$2705,"&lt;="&amp;$C$8))</f>
        <v>0</v>
      </c>
      <c r="I138" s="10" t="str">
        <f aca="false">IF(D138=0,"",$I$8+$F$8*F138+$G$8*G138+$H$8*H138)</f>
        <v/>
      </c>
      <c r="J138" s="5" t="str">
        <f aca="false">IF(D138&lt;5,"",(E138-I138)*162)</f>
        <v/>
      </c>
      <c r="K138" s="5" t="str">
        <f aca="false">IF(D138=0,"",E138*162)</f>
        <v/>
      </c>
      <c r="L138" s="3" t="n">
        <f aca="false">SUMIFS(Seasons!$L$2:$L$2865,Seasons!$A$2:$A$2865,B138,Seasons!$B$2:$B$2865,"&gt;="&amp;$B$8,Seasons!$B$2:$B$2865,"&lt;="&amp;$C$8)</f>
        <v>0</v>
      </c>
      <c r="M138" s="3" t="n">
        <f aca="false">SUMIFS(Seasons!$N$2:$N$2865,Seasons!$A$2:$A$2865,B138,Seasons!$B$2:$B$2865,"&gt;="&amp;$B$8,Seasons!$B$2:$B$2865,"&lt;="&amp;$C$8)</f>
        <v>0</v>
      </c>
      <c r="N138" s="3" t="n">
        <f aca="false">IF(J138="",-1000000,J138+ROW()*0.000000001)</f>
        <v>-1000000</v>
      </c>
      <c r="O138" s="3" t="str">
        <f aca="false">IF(J138="","",SUMPRODUCT(($A$25:$A$534=A138)*($N$25:$N$534&gt;N138))+1)</f>
        <v/>
      </c>
      <c r="P138" s="3" t="str">
        <f aca="false">A138&amp;"|"&amp;O138</f>
        <v>1930s|</v>
      </c>
    </row>
    <row r="139" customFormat="false" ht="15" hidden="false" customHeight="true" outlineLevel="0" collapsed="false">
      <c r="A139" s="1" t="s">
        <v>12</v>
      </c>
      <c r="B139" s="7" t="s">
        <v>80</v>
      </c>
      <c r="C139" s="1" t="s">
        <v>72</v>
      </c>
      <c r="D139" s="3" t="n">
        <f aca="false">COUNTIFS(Market_Panel!$A$2:$A$2705,B139,Market_Panel!$B$2:$B$2705,"&gt;="&amp;$B$8,Market_Panel!$B$2:$B$2705,"&lt;="&amp;$C$8)</f>
        <v>0</v>
      </c>
      <c r="E139" s="10" t="str">
        <f aca="false">IF(D139=0,"",AVERAGEIFS(Market_Panel!$M$2:$M$2705,Market_Panel!$A$2:$A$2705,B139,Market_Panel!$B$2:$B$2705,"&gt;="&amp;$B$8,Market_Panel!$B$2:$B$2705,"&lt;="&amp;$C$8))</f>
        <v/>
      </c>
      <c r="F139" s="11" t="str">
        <f aca="false">IF(D139=0,"",AVERAGEIFS(Market_Panel!$P$2:$P$2705,Market_Panel!$A$2:$A$2705,B139,Market_Panel!$B$2:$B$2705,"&gt;="&amp;$B$8,Market_Panel!$B$2:$B$2705,"&lt;="&amp;$C$8))</f>
        <v/>
      </c>
      <c r="G139" s="11" t="str">
        <f aca="false">IF(D139=0,"",AVERAGEIFS(Market_Panel!$R$2:$R$2705,Market_Panel!$A$2:$A$2705,B139,Market_Panel!$B$2:$B$2705,"&gt;="&amp;$B$8,Market_Panel!$B$2:$B$2705,"&lt;="&amp;$C$8))</f>
        <v/>
      </c>
      <c r="H139" s="11" t="n">
        <f aca="false">IF(OR(D139=0,$H$8=0),0,AVERAGEIFS(Market_Panel!$Y$2:$Y$2705,Market_Panel!$A$2:$A$2705,B139,Market_Panel!$B$2:$B$2705,"&gt;="&amp;$B$8,Market_Panel!$B$2:$B$2705,"&lt;="&amp;$C$8))</f>
        <v>0</v>
      </c>
      <c r="I139" s="10" t="str">
        <f aca="false">IF(D139=0,"",$I$8+$F$8*F139+$G$8*G139+$H$8*H139)</f>
        <v/>
      </c>
      <c r="J139" s="5" t="str">
        <f aca="false">IF(D139&lt;5,"",(E139-I139)*162)</f>
        <v/>
      </c>
      <c r="K139" s="5" t="str">
        <f aca="false">IF(D139=0,"",E139*162)</f>
        <v/>
      </c>
      <c r="L139" s="3" t="n">
        <f aca="false">SUMIFS(Seasons!$L$2:$L$2865,Seasons!$A$2:$A$2865,B139,Seasons!$B$2:$B$2865,"&gt;="&amp;$B$8,Seasons!$B$2:$B$2865,"&lt;="&amp;$C$8)</f>
        <v>0</v>
      </c>
      <c r="M139" s="3" t="n">
        <f aca="false">SUMIFS(Seasons!$N$2:$N$2865,Seasons!$A$2:$A$2865,B139,Seasons!$B$2:$B$2865,"&gt;="&amp;$B$8,Seasons!$B$2:$B$2865,"&lt;="&amp;$C$8)</f>
        <v>0</v>
      </c>
      <c r="N139" s="3" t="n">
        <f aca="false">IF(J139="",-1000000,J139+ROW()*0.000000001)</f>
        <v>-1000000</v>
      </c>
      <c r="O139" s="3" t="str">
        <f aca="false">IF(J139="","",SUMPRODUCT(($A$25:$A$534=A139)*($N$25:$N$534&gt;N139))+1)</f>
        <v/>
      </c>
      <c r="P139" s="3" t="str">
        <f aca="false">A139&amp;"|"&amp;O139</f>
        <v>1930s|</v>
      </c>
    </row>
    <row r="140" customFormat="false" ht="15" hidden="false" customHeight="true" outlineLevel="0" collapsed="false">
      <c r="A140" s="1" t="s">
        <v>12</v>
      </c>
      <c r="B140" s="7" t="s">
        <v>81</v>
      </c>
      <c r="C140" s="1" t="s">
        <v>72</v>
      </c>
      <c r="D140" s="3" t="n">
        <f aca="false">COUNTIFS(Market_Panel!$A$2:$A$2705,B140,Market_Panel!$B$2:$B$2705,"&gt;="&amp;$B$8,Market_Panel!$B$2:$B$2705,"&lt;="&amp;$C$8)</f>
        <v>0</v>
      </c>
      <c r="E140" s="10" t="str">
        <f aca="false">IF(D140=0,"",AVERAGEIFS(Market_Panel!$M$2:$M$2705,Market_Panel!$A$2:$A$2705,B140,Market_Panel!$B$2:$B$2705,"&gt;="&amp;$B$8,Market_Panel!$B$2:$B$2705,"&lt;="&amp;$C$8))</f>
        <v/>
      </c>
      <c r="F140" s="11" t="str">
        <f aca="false">IF(D140=0,"",AVERAGEIFS(Market_Panel!$P$2:$P$2705,Market_Panel!$A$2:$A$2705,B140,Market_Panel!$B$2:$B$2705,"&gt;="&amp;$B$8,Market_Panel!$B$2:$B$2705,"&lt;="&amp;$C$8))</f>
        <v/>
      </c>
      <c r="G140" s="11" t="str">
        <f aca="false">IF(D140=0,"",AVERAGEIFS(Market_Panel!$R$2:$R$2705,Market_Panel!$A$2:$A$2705,B140,Market_Panel!$B$2:$B$2705,"&gt;="&amp;$B$8,Market_Panel!$B$2:$B$2705,"&lt;="&amp;$C$8))</f>
        <v/>
      </c>
      <c r="H140" s="11" t="n">
        <f aca="false">IF(OR(D140=0,$H$8=0),0,AVERAGEIFS(Market_Panel!$Y$2:$Y$2705,Market_Panel!$A$2:$A$2705,B140,Market_Panel!$B$2:$B$2705,"&gt;="&amp;$B$8,Market_Panel!$B$2:$B$2705,"&lt;="&amp;$C$8))</f>
        <v>0</v>
      </c>
      <c r="I140" s="10" t="str">
        <f aca="false">IF(D140=0,"",$I$8+$F$8*F140+$G$8*G140+$H$8*H140)</f>
        <v/>
      </c>
      <c r="J140" s="5" t="str">
        <f aca="false">IF(D140&lt;5,"",(E140-I140)*162)</f>
        <v/>
      </c>
      <c r="K140" s="5" t="str">
        <f aca="false">IF(D140=0,"",E140*162)</f>
        <v/>
      </c>
      <c r="L140" s="3" t="n">
        <f aca="false">SUMIFS(Seasons!$L$2:$L$2865,Seasons!$A$2:$A$2865,B140,Seasons!$B$2:$B$2865,"&gt;="&amp;$B$8,Seasons!$B$2:$B$2865,"&lt;="&amp;$C$8)</f>
        <v>0</v>
      </c>
      <c r="M140" s="3" t="n">
        <f aca="false">SUMIFS(Seasons!$N$2:$N$2865,Seasons!$A$2:$A$2865,B140,Seasons!$B$2:$B$2865,"&gt;="&amp;$B$8,Seasons!$B$2:$B$2865,"&lt;="&amp;$C$8)</f>
        <v>0</v>
      </c>
      <c r="N140" s="3" t="n">
        <f aca="false">IF(J140="",-1000000,J140+ROW()*0.000000001)</f>
        <v>-1000000</v>
      </c>
      <c r="O140" s="3" t="str">
        <f aca="false">IF(J140="","",SUMPRODUCT(($A$25:$A$534=A140)*($N$25:$N$534&gt;N140))+1)</f>
        <v/>
      </c>
      <c r="P140" s="3" t="str">
        <f aca="false">A140&amp;"|"&amp;O140</f>
        <v>1930s|</v>
      </c>
    </row>
    <row r="141" customFormat="false" ht="15" hidden="false" customHeight="true" outlineLevel="0" collapsed="false">
      <c r="A141" s="1" t="s">
        <v>12</v>
      </c>
      <c r="B141" s="7" t="s">
        <v>82</v>
      </c>
      <c r="C141" s="1" t="s">
        <v>72</v>
      </c>
      <c r="D141" s="3" t="n">
        <f aca="false">COUNTIFS(Market_Panel!$A$2:$A$2705,B141,Market_Panel!$B$2:$B$2705,"&gt;="&amp;$B$8,Market_Panel!$B$2:$B$2705,"&lt;="&amp;$C$8)</f>
        <v>0</v>
      </c>
      <c r="E141" s="10" t="str">
        <f aca="false">IF(D141=0,"",AVERAGEIFS(Market_Panel!$M$2:$M$2705,Market_Panel!$A$2:$A$2705,B141,Market_Panel!$B$2:$B$2705,"&gt;="&amp;$B$8,Market_Panel!$B$2:$B$2705,"&lt;="&amp;$C$8))</f>
        <v/>
      </c>
      <c r="F141" s="11" t="str">
        <f aca="false">IF(D141=0,"",AVERAGEIFS(Market_Panel!$P$2:$P$2705,Market_Panel!$A$2:$A$2705,B141,Market_Panel!$B$2:$B$2705,"&gt;="&amp;$B$8,Market_Panel!$B$2:$B$2705,"&lt;="&amp;$C$8))</f>
        <v/>
      </c>
      <c r="G141" s="11" t="str">
        <f aca="false">IF(D141=0,"",AVERAGEIFS(Market_Panel!$R$2:$R$2705,Market_Panel!$A$2:$A$2705,B141,Market_Panel!$B$2:$B$2705,"&gt;="&amp;$B$8,Market_Panel!$B$2:$B$2705,"&lt;="&amp;$C$8))</f>
        <v/>
      </c>
      <c r="H141" s="11" t="n">
        <f aca="false">IF(OR(D141=0,$H$8=0),0,AVERAGEIFS(Market_Panel!$Y$2:$Y$2705,Market_Panel!$A$2:$A$2705,B141,Market_Panel!$B$2:$B$2705,"&gt;="&amp;$B$8,Market_Panel!$B$2:$B$2705,"&lt;="&amp;$C$8))</f>
        <v>0</v>
      </c>
      <c r="I141" s="10" t="str">
        <f aca="false">IF(D141=0,"",$I$8+$F$8*F141+$G$8*G141+$H$8*H141)</f>
        <v/>
      </c>
      <c r="J141" s="5" t="str">
        <f aca="false">IF(D141&lt;5,"",(E141-I141)*162)</f>
        <v/>
      </c>
      <c r="K141" s="5" t="str">
        <f aca="false">IF(D141=0,"",E141*162)</f>
        <v/>
      </c>
      <c r="L141" s="3" t="n">
        <f aca="false">SUMIFS(Seasons!$L$2:$L$2865,Seasons!$A$2:$A$2865,B141,Seasons!$B$2:$B$2865,"&gt;="&amp;$B$8,Seasons!$B$2:$B$2865,"&lt;="&amp;$C$8)</f>
        <v>0</v>
      </c>
      <c r="M141" s="3" t="n">
        <f aca="false">SUMIFS(Seasons!$N$2:$N$2865,Seasons!$A$2:$A$2865,B141,Seasons!$B$2:$B$2865,"&gt;="&amp;$B$8,Seasons!$B$2:$B$2865,"&lt;="&amp;$C$8)</f>
        <v>0</v>
      </c>
      <c r="N141" s="3" t="n">
        <f aca="false">IF(J141="",-1000000,J141+ROW()*0.000000001)</f>
        <v>-1000000</v>
      </c>
      <c r="O141" s="3" t="str">
        <f aca="false">IF(J141="","",SUMPRODUCT(($A$25:$A$534=A141)*($N$25:$N$534&gt;N141))+1)</f>
        <v/>
      </c>
      <c r="P141" s="3" t="str">
        <f aca="false">A141&amp;"|"&amp;O141</f>
        <v>1930s|</v>
      </c>
    </row>
    <row r="142" customFormat="false" ht="15" hidden="false" customHeight="true" outlineLevel="0" collapsed="false">
      <c r="A142" s="1" t="s">
        <v>12</v>
      </c>
      <c r="B142" s="7" t="s">
        <v>83</v>
      </c>
      <c r="C142" s="1" t="s">
        <v>72</v>
      </c>
      <c r="D142" s="3" t="n">
        <f aca="false">COUNTIFS(Market_Panel!$A$2:$A$2705,B142,Market_Panel!$B$2:$B$2705,"&gt;="&amp;$B$8,Market_Panel!$B$2:$B$2705,"&lt;="&amp;$C$8)</f>
        <v>0</v>
      </c>
      <c r="E142" s="10" t="str">
        <f aca="false">IF(D142=0,"",AVERAGEIFS(Market_Panel!$M$2:$M$2705,Market_Panel!$A$2:$A$2705,B142,Market_Panel!$B$2:$B$2705,"&gt;="&amp;$B$8,Market_Panel!$B$2:$B$2705,"&lt;="&amp;$C$8))</f>
        <v/>
      </c>
      <c r="F142" s="11" t="str">
        <f aca="false">IF(D142=0,"",AVERAGEIFS(Market_Panel!$P$2:$P$2705,Market_Panel!$A$2:$A$2705,B142,Market_Panel!$B$2:$B$2705,"&gt;="&amp;$B$8,Market_Panel!$B$2:$B$2705,"&lt;="&amp;$C$8))</f>
        <v/>
      </c>
      <c r="G142" s="11" t="str">
        <f aca="false">IF(D142=0,"",AVERAGEIFS(Market_Panel!$R$2:$R$2705,Market_Panel!$A$2:$A$2705,B142,Market_Panel!$B$2:$B$2705,"&gt;="&amp;$B$8,Market_Panel!$B$2:$B$2705,"&lt;="&amp;$C$8))</f>
        <v/>
      </c>
      <c r="H142" s="11" t="n">
        <f aca="false">IF(OR(D142=0,$H$8=0),0,AVERAGEIFS(Market_Panel!$Y$2:$Y$2705,Market_Panel!$A$2:$A$2705,B142,Market_Panel!$B$2:$B$2705,"&gt;="&amp;$B$8,Market_Panel!$B$2:$B$2705,"&lt;="&amp;$C$8))</f>
        <v>0</v>
      </c>
      <c r="I142" s="10" t="str">
        <f aca="false">IF(D142=0,"",$I$8+$F$8*F142+$G$8*G142+$H$8*H142)</f>
        <v/>
      </c>
      <c r="J142" s="5" t="str">
        <f aca="false">IF(D142&lt;5,"",(E142-I142)*162)</f>
        <v/>
      </c>
      <c r="K142" s="5" t="str">
        <f aca="false">IF(D142=0,"",E142*162)</f>
        <v/>
      </c>
      <c r="L142" s="3" t="n">
        <f aca="false">SUMIFS(Seasons!$L$2:$L$2865,Seasons!$A$2:$A$2865,B142,Seasons!$B$2:$B$2865,"&gt;="&amp;$B$8,Seasons!$B$2:$B$2865,"&lt;="&amp;$C$8)</f>
        <v>0</v>
      </c>
      <c r="M142" s="3" t="n">
        <f aca="false">SUMIFS(Seasons!$N$2:$N$2865,Seasons!$A$2:$A$2865,B142,Seasons!$B$2:$B$2865,"&gt;="&amp;$B$8,Seasons!$B$2:$B$2865,"&lt;="&amp;$C$8)</f>
        <v>0</v>
      </c>
      <c r="N142" s="3" t="n">
        <f aca="false">IF(J142="",-1000000,J142+ROW()*0.000000001)</f>
        <v>-1000000</v>
      </c>
      <c r="O142" s="3" t="str">
        <f aca="false">IF(J142="","",SUMPRODUCT(($A$25:$A$534=A142)*($N$25:$N$534&gt;N142))+1)</f>
        <v/>
      </c>
      <c r="P142" s="3" t="str">
        <f aca="false">A142&amp;"|"&amp;O142</f>
        <v>1930s|</v>
      </c>
    </row>
    <row r="143" customFormat="false" ht="15" hidden="false" customHeight="true" outlineLevel="0" collapsed="false">
      <c r="A143" s="1" t="s">
        <v>12</v>
      </c>
      <c r="B143" s="7" t="s">
        <v>84</v>
      </c>
      <c r="C143" s="1" t="s">
        <v>72</v>
      </c>
      <c r="D143" s="3" t="n">
        <f aca="false">COUNTIFS(Market_Panel!$A$2:$A$2705,B143,Market_Panel!$B$2:$B$2705,"&gt;="&amp;$B$8,Market_Panel!$B$2:$B$2705,"&lt;="&amp;$C$8)</f>
        <v>0</v>
      </c>
      <c r="E143" s="10" t="str">
        <f aca="false">IF(D143=0,"",AVERAGEIFS(Market_Panel!$M$2:$M$2705,Market_Panel!$A$2:$A$2705,B143,Market_Panel!$B$2:$B$2705,"&gt;="&amp;$B$8,Market_Panel!$B$2:$B$2705,"&lt;="&amp;$C$8))</f>
        <v/>
      </c>
      <c r="F143" s="11" t="str">
        <f aca="false">IF(D143=0,"",AVERAGEIFS(Market_Panel!$P$2:$P$2705,Market_Panel!$A$2:$A$2705,B143,Market_Panel!$B$2:$B$2705,"&gt;="&amp;$B$8,Market_Panel!$B$2:$B$2705,"&lt;="&amp;$C$8))</f>
        <v/>
      </c>
      <c r="G143" s="11" t="str">
        <f aca="false">IF(D143=0,"",AVERAGEIFS(Market_Panel!$R$2:$R$2705,Market_Panel!$A$2:$A$2705,B143,Market_Panel!$B$2:$B$2705,"&gt;="&amp;$B$8,Market_Panel!$B$2:$B$2705,"&lt;="&amp;$C$8))</f>
        <v/>
      </c>
      <c r="H143" s="11" t="n">
        <f aca="false">IF(OR(D143=0,$H$8=0),0,AVERAGEIFS(Market_Panel!$Y$2:$Y$2705,Market_Panel!$A$2:$A$2705,B143,Market_Panel!$B$2:$B$2705,"&gt;="&amp;$B$8,Market_Panel!$B$2:$B$2705,"&lt;="&amp;$C$8))</f>
        <v>0</v>
      </c>
      <c r="I143" s="10" t="str">
        <f aca="false">IF(D143=0,"",$I$8+$F$8*F143+$G$8*G143+$H$8*H143)</f>
        <v/>
      </c>
      <c r="J143" s="5" t="str">
        <f aca="false">IF(D143&lt;5,"",(E143-I143)*162)</f>
        <v/>
      </c>
      <c r="K143" s="5" t="str">
        <f aca="false">IF(D143=0,"",E143*162)</f>
        <v/>
      </c>
      <c r="L143" s="3" t="n">
        <f aca="false">SUMIFS(Seasons!$L$2:$L$2865,Seasons!$A$2:$A$2865,B143,Seasons!$B$2:$B$2865,"&gt;="&amp;$B$8,Seasons!$B$2:$B$2865,"&lt;="&amp;$C$8)</f>
        <v>0</v>
      </c>
      <c r="M143" s="3" t="n">
        <f aca="false">SUMIFS(Seasons!$N$2:$N$2865,Seasons!$A$2:$A$2865,B143,Seasons!$B$2:$B$2865,"&gt;="&amp;$B$8,Seasons!$B$2:$B$2865,"&lt;="&amp;$C$8)</f>
        <v>0</v>
      </c>
      <c r="N143" s="3" t="n">
        <f aca="false">IF(J143="",-1000000,J143+ROW()*0.000000001)</f>
        <v>-1000000</v>
      </c>
      <c r="O143" s="3" t="str">
        <f aca="false">IF(J143="","",SUMPRODUCT(($A$25:$A$534=A143)*($N$25:$N$534&gt;N143))+1)</f>
        <v/>
      </c>
      <c r="P143" s="3" t="str">
        <f aca="false">A143&amp;"|"&amp;O143</f>
        <v>1930s|</v>
      </c>
    </row>
    <row r="144" customFormat="false" ht="15" hidden="false" customHeight="true" outlineLevel="0" collapsed="false">
      <c r="A144" s="1" t="s">
        <v>12</v>
      </c>
      <c r="B144" s="7" t="s">
        <v>85</v>
      </c>
      <c r="C144" s="1" t="s">
        <v>72</v>
      </c>
      <c r="D144" s="3" t="n">
        <f aca="false">COUNTIFS(Market_Panel!$A$2:$A$2705,B144,Market_Panel!$B$2:$B$2705,"&gt;="&amp;$B$8,Market_Panel!$B$2:$B$2705,"&lt;="&amp;$C$8)</f>
        <v>0</v>
      </c>
      <c r="E144" s="10" t="str">
        <f aca="false">IF(D144=0,"",AVERAGEIFS(Market_Panel!$M$2:$M$2705,Market_Panel!$A$2:$A$2705,B144,Market_Panel!$B$2:$B$2705,"&gt;="&amp;$B$8,Market_Panel!$B$2:$B$2705,"&lt;="&amp;$C$8))</f>
        <v/>
      </c>
      <c r="F144" s="11" t="str">
        <f aca="false">IF(D144=0,"",AVERAGEIFS(Market_Panel!$P$2:$P$2705,Market_Panel!$A$2:$A$2705,B144,Market_Panel!$B$2:$B$2705,"&gt;="&amp;$B$8,Market_Panel!$B$2:$B$2705,"&lt;="&amp;$C$8))</f>
        <v/>
      </c>
      <c r="G144" s="11" t="str">
        <f aca="false">IF(D144=0,"",AVERAGEIFS(Market_Panel!$R$2:$R$2705,Market_Panel!$A$2:$A$2705,B144,Market_Panel!$B$2:$B$2705,"&gt;="&amp;$B$8,Market_Panel!$B$2:$B$2705,"&lt;="&amp;$C$8))</f>
        <v/>
      </c>
      <c r="H144" s="11" t="n">
        <f aca="false">IF(OR(D144=0,$H$8=0),0,AVERAGEIFS(Market_Panel!$Y$2:$Y$2705,Market_Panel!$A$2:$A$2705,B144,Market_Panel!$B$2:$B$2705,"&gt;="&amp;$B$8,Market_Panel!$B$2:$B$2705,"&lt;="&amp;$C$8))</f>
        <v>0</v>
      </c>
      <c r="I144" s="10" t="str">
        <f aca="false">IF(D144=0,"",$I$8+$F$8*F144+$G$8*G144+$H$8*H144)</f>
        <v/>
      </c>
      <c r="J144" s="5" t="str">
        <f aca="false">IF(D144&lt;5,"",(E144-I144)*162)</f>
        <v/>
      </c>
      <c r="K144" s="5" t="str">
        <f aca="false">IF(D144=0,"",E144*162)</f>
        <v/>
      </c>
      <c r="L144" s="3" t="n">
        <f aca="false">SUMIFS(Seasons!$L$2:$L$2865,Seasons!$A$2:$A$2865,B144,Seasons!$B$2:$B$2865,"&gt;="&amp;$B$8,Seasons!$B$2:$B$2865,"&lt;="&amp;$C$8)</f>
        <v>0</v>
      </c>
      <c r="M144" s="3" t="n">
        <f aca="false">SUMIFS(Seasons!$N$2:$N$2865,Seasons!$A$2:$A$2865,B144,Seasons!$B$2:$B$2865,"&gt;="&amp;$B$8,Seasons!$B$2:$B$2865,"&lt;="&amp;$C$8)</f>
        <v>0</v>
      </c>
      <c r="N144" s="3" t="n">
        <f aca="false">IF(J144="",-1000000,J144+ROW()*0.000000001)</f>
        <v>-1000000</v>
      </c>
      <c r="O144" s="3" t="str">
        <f aca="false">IF(J144="","",SUMPRODUCT(($A$25:$A$534=A144)*($N$25:$N$534&gt;N144))+1)</f>
        <v/>
      </c>
      <c r="P144" s="3" t="str">
        <f aca="false">A144&amp;"|"&amp;O144</f>
        <v>1930s|</v>
      </c>
    </row>
    <row r="145" customFormat="false" ht="15" hidden="false" customHeight="true" outlineLevel="0" collapsed="false">
      <c r="A145" s="1" t="s">
        <v>13</v>
      </c>
      <c r="B145" s="7" t="s">
        <v>54</v>
      </c>
      <c r="C145" s="1" t="s">
        <v>55</v>
      </c>
      <c r="D145" s="3" t="n">
        <f aca="false">COUNTIFS(Market_Panel!$A$2:$A$2705,B145,Market_Panel!$B$2:$B$2705,"&gt;="&amp;$B$9,Market_Panel!$B$2:$B$2705,"&lt;="&amp;$C$9)</f>
        <v>10</v>
      </c>
      <c r="E145" s="10" t="n">
        <f aca="false">IF(D145=0,"",AVERAGEIFS(Market_Panel!$M$2:$M$2705,Market_Panel!$A$2:$A$2705,B145,Market_Panel!$B$2:$B$2705,"&gt;="&amp;$B$9,Market_Panel!$B$2:$B$2705,"&lt;="&amp;$C$9))</f>
        <v>-0.0292643306341717</v>
      </c>
      <c r="F145" s="11" t="n">
        <f aca="false">IF(D145=0,"",AVERAGEIFS(Market_Panel!$P$2:$P$2705,Market_Panel!$A$2:$A$2705,B145,Market_Panel!$B$2:$B$2705,"&gt;="&amp;$B$9,Market_Panel!$B$2:$B$2705,"&lt;="&amp;$C$9))</f>
        <v>-0.8901924019256</v>
      </c>
      <c r="G145" s="11" t="n">
        <f aca="false">IF(D145=0,"",AVERAGEIFS(Market_Panel!$R$2:$R$2705,Market_Panel!$A$2:$A$2705,B145,Market_Panel!$B$2:$B$2705,"&gt;="&amp;$B$9,Market_Panel!$B$2:$B$2705,"&lt;="&amp;$C$9))</f>
        <v>0</v>
      </c>
      <c r="H145" s="11" t="n">
        <f aca="false">IF(OR(D145=0,$H$9=0),0,AVERAGEIFS(Market_Panel!$Y$2:$Y$2705,Market_Panel!$A$2:$A$2705,B145,Market_Panel!$B$2:$B$2705,"&gt;="&amp;$B$9,Market_Panel!$B$2:$B$2705,"&lt;="&amp;$C$9))</f>
        <v>0</v>
      </c>
      <c r="I145" s="10" t="n">
        <f aca="false">IF(D145=0,"",$I$9+$F$9*F145+$G$9*G145+$H$9*H145)</f>
        <v>-0.00724223228559031</v>
      </c>
      <c r="J145" s="5" t="n">
        <f aca="false">IF(D145&lt;5,"",(E145-I145)*162)</f>
        <v>-3.56757993247018</v>
      </c>
      <c r="K145" s="5" t="n">
        <f aca="false">IF(D145=0,"",E145*162)</f>
        <v>-4.74082156273581</v>
      </c>
      <c r="L145" s="3" t="n">
        <f aca="false">SUMIFS(Seasons!$L$2:$L$2865,Seasons!$A$2:$A$2865,B145,Seasons!$B$2:$B$2865,"&gt;="&amp;$B$9,Seasons!$B$2:$B$2865,"&lt;="&amp;$C$9)</f>
        <v>1</v>
      </c>
      <c r="M145" s="3" t="n">
        <f aca="false">SUMIFS(Seasons!$N$2:$N$2865,Seasons!$A$2:$A$2865,B145,Seasons!$B$2:$B$2865,"&gt;="&amp;$B$9,Seasons!$B$2:$B$2865,"&lt;="&amp;$C$9)</f>
        <v>0</v>
      </c>
      <c r="N145" s="3" t="n">
        <f aca="false">IF(J145="",-1000000,J145+ROW()*0.000000001)</f>
        <v>-3.56757978747018</v>
      </c>
      <c r="O145" s="3" t="n">
        <f aca="false">IF(J145="","",SUMPRODUCT(($A$25:$A$534=A145)*($N$25:$N$534&gt;N145))+1)</f>
        <v>9</v>
      </c>
      <c r="P145" s="3" t="str">
        <f aca="false">A145&amp;"|"&amp;O145</f>
        <v>1940s|9</v>
      </c>
    </row>
    <row r="146" customFormat="false" ht="15" hidden="false" customHeight="true" outlineLevel="0" collapsed="false">
      <c r="A146" s="1" t="s">
        <v>13</v>
      </c>
      <c r="B146" s="7" t="s">
        <v>56</v>
      </c>
      <c r="C146" s="1" t="s">
        <v>55</v>
      </c>
      <c r="D146" s="3" t="n">
        <f aca="false">COUNTIFS(Market_Panel!$A$2:$A$2705,B146,Market_Panel!$B$2:$B$2705,"&gt;="&amp;$B$9,Market_Panel!$B$2:$B$2705,"&lt;="&amp;$C$9)</f>
        <v>10</v>
      </c>
      <c r="E146" s="10" t="n">
        <f aca="false">IF(D146=0,"",AVERAGEIFS(Market_Panel!$M$2:$M$2705,Market_Panel!$A$2:$A$2705,B146,Market_Panel!$B$2:$B$2705,"&gt;="&amp;$B$9,Market_Panel!$B$2:$B$2705,"&lt;="&amp;$C$9))</f>
        <v>-0.0212628719361186</v>
      </c>
      <c r="F146" s="11" t="n">
        <f aca="false">IF(D146=0,"",AVERAGEIFS(Market_Panel!$P$2:$P$2705,Market_Panel!$A$2:$A$2705,B146,Market_Panel!$B$2:$B$2705,"&gt;="&amp;$B$9,Market_Panel!$B$2:$B$2705,"&lt;="&amp;$C$9))</f>
        <v>0.604171523384609</v>
      </c>
      <c r="G146" s="11" t="n">
        <f aca="false">IF(D146=0,"",AVERAGEIFS(Market_Panel!$R$2:$R$2705,Market_Panel!$A$2:$A$2705,B146,Market_Panel!$B$2:$B$2705,"&gt;="&amp;$B$9,Market_Panel!$B$2:$B$2705,"&lt;="&amp;$C$9))</f>
        <v>0</v>
      </c>
      <c r="H146" s="11" t="n">
        <f aca="false">IF(OR(D146=0,$H$9=0),0,AVERAGEIFS(Market_Panel!$Y$2:$Y$2705,Market_Panel!$A$2:$A$2705,B146,Market_Panel!$B$2:$B$2705,"&gt;="&amp;$B$9,Market_Panel!$B$2:$B$2705,"&lt;="&amp;$C$9))</f>
        <v>0</v>
      </c>
      <c r="I146" s="10" t="n">
        <f aca="false">IF(D146=0,"",$I$9+$F$9*F146+$G$9*G146+$H$9*H146)</f>
        <v>0.00491528629454197</v>
      </c>
      <c r="J146" s="5" t="n">
        <f aca="false">IF(D146&lt;5,"",(E146-I146)*162)</f>
        <v>-4.24086163336701</v>
      </c>
      <c r="K146" s="5" t="n">
        <f aca="false">IF(D146=0,"",E146*162)</f>
        <v>-3.44458525365121</v>
      </c>
      <c r="L146" s="3" t="n">
        <f aca="false">SUMIFS(Seasons!$L$2:$L$2865,Seasons!$A$2:$A$2865,B146,Seasons!$B$2:$B$2865,"&gt;="&amp;$B$9,Seasons!$B$2:$B$2865,"&lt;="&amp;$C$9)</f>
        <v>1</v>
      </c>
      <c r="M146" s="3" t="n">
        <f aca="false">SUMIFS(Seasons!$N$2:$N$2865,Seasons!$A$2:$A$2865,B146,Seasons!$B$2:$B$2865,"&gt;="&amp;$B$9,Seasons!$B$2:$B$2865,"&lt;="&amp;$C$9)</f>
        <v>0</v>
      </c>
      <c r="N146" s="3" t="n">
        <f aca="false">IF(J146="",-1000000,J146+ROW()*0.000000001)</f>
        <v>-4.24086148736701</v>
      </c>
      <c r="O146" s="3" t="n">
        <f aca="false">IF(J146="","",SUMPRODUCT(($A$25:$A$534=A146)*($N$25:$N$534&gt;N146))+1)</f>
        <v>10</v>
      </c>
      <c r="P146" s="3" t="str">
        <f aca="false">A146&amp;"|"&amp;O146</f>
        <v>1940s|10</v>
      </c>
    </row>
    <row r="147" customFormat="false" ht="15" hidden="false" customHeight="true" outlineLevel="0" collapsed="false">
      <c r="A147" s="1" t="s">
        <v>13</v>
      </c>
      <c r="B147" s="7" t="s">
        <v>57</v>
      </c>
      <c r="C147" s="1" t="s">
        <v>55</v>
      </c>
      <c r="D147" s="3" t="n">
        <f aca="false">COUNTIFS(Market_Panel!$A$2:$A$2705,B147,Market_Panel!$B$2:$B$2705,"&gt;="&amp;$B$9,Market_Panel!$B$2:$B$2705,"&lt;="&amp;$C$9)</f>
        <v>10</v>
      </c>
      <c r="E147" s="10" t="n">
        <f aca="false">IF(D147=0,"",AVERAGEIFS(Market_Panel!$M$2:$M$2705,Market_Panel!$A$2:$A$2705,B147,Market_Panel!$B$2:$B$2705,"&gt;="&amp;$B$9,Market_Panel!$B$2:$B$2705,"&lt;="&amp;$C$9))</f>
        <v>-0.000449698181768321</v>
      </c>
      <c r="F147" s="11" t="n">
        <f aca="false">IF(D147=0,"",AVERAGEIFS(Market_Panel!$P$2:$P$2705,Market_Panel!$A$2:$A$2705,B147,Market_Panel!$B$2:$B$2705,"&gt;="&amp;$B$9,Market_Panel!$B$2:$B$2705,"&lt;="&amp;$C$9))</f>
        <v>-0.694971364190106</v>
      </c>
      <c r="G147" s="11" t="n">
        <f aca="false">IF(D147=0,"",AVERAGEIFS(Market_Panel!$R$2:$R$2705,Market_Panel!$A$2:$A$2705,B147,Market_Panel!$B$2:$B$2705,"&gt;="&amp;$B$9,Market_Panel!$B$2:$B$2705,"&lt;="&amp;$C$9))</f>
        <v>0</v>
      </c>
      <c r="H147" s="11" t="n">
        <f aca="false">IF(OR(D147=0,$H$9=0),0,AVERAGEIFS(Market_Panel!$Y$2:$Y$2705,Market_Panel!$A$2:$A$2705,B147,Market_Panel!$B$2:$B$2705,"&gt;="&amp;$B$9,Market_Panel!$B$2:$B$2705,"&lt;="&amp;$C$9))</f>
        <v>0</v>
      </c>
      <c r="I147" s="10" t="n">
        <f aca="false">IF(D147=0,"",$I$9+$F$9*F147+$G$9*G147+$H$9*H147)</f>
        <v>-0.00565399574340445</v>
      </c>
      <c r="J147" s="5" t="n">
        <f aca="false">IF(D147&lt;5,"",(E147-I147)*162)</f>
        <v>0.843096204985053</v>
      </c>
      <c r="K147" s="5" t="n">
        <f aca="false">IF(D147=0,"",E147*162)</f>
        <v>-0.072851105446468</v>
      </c>
      <c r="L147" s="3" t="n">
        <f aca="false">SUMIFS(Seasons!$L$2:$L$2865,Seasons!$A$2:$A$2865,B147,Seasons!$B$2:$B$2865,"&gt;="&amp;$B$9,Seasons!$B$2:$B$2865,"&lt;="&amp;$C$9)</f>
        <v>1</v>
      </c>
      <c r="M147" s="3" t="n">
        <f aca="false">SUMIFS(Seasons!$N$2:$N$2865,Seasons!$A$2:$A$2865,B147,Seasons!$B$2:$B$2865,"&gt;="&amp;$B$9,Seasons!$B$2:$B$2865,"&lt;="&amp;$C$9)</f>
        <v>1</v>
      </c>
      <c r="N147" s="3" t="n">
        <f aca="false">IF(J147="",-1000000,J147+ROW()*0.000000001)</f>
        <v>0.843096351985053</v>
      </c>
      <c r="O147" s="3" t="n">
        <f aca="false">IF(J147="","",SUMPRODUCT(($A$25:$A$534=A147)*($N$25:$N$534&gt;N147))+1)</f>
        <v>7</v>
      </c>
      <c r="P147" s="3" t="str">
        <f aca="false">A147&amp;"|"&amp;O147</f>
        <v>1940s|7</v>
      </c>
    </row>
    <row r="148" customFormat="false" ht="15" hidden="false" customHeight="true" outlineLevel="0" collapsed="false">
      <c r="A148" s="1" t="s">
        <v>13</v>
      </c>
      <c r="B148" s="7" t="s">
        <v>58</v>
      </c>
      <c r="C148" s="1" t="s">
        <v>55</v>
      </c>
      <c r="D148" s="3" t="n">
        <f aca="false">COUNTIFS(Market_Panel!$A$2:$A$2705,B148,Market_Panel!$B$2:$B$2705,"&gt;="&amp;$B$9,Market_Panel!$B$2:$B$2705,"&lt;="&amp;$C$9)</f>
        <v>10</v>
      </c>
      <c r="E148" s="10" t="n">
        <f aca="false">IF(D148=0,"",AVERAGEIFS(Market_Panel!$M$2:$M$2705,Market_Panel!$A$2:$A$2705,B148,Market_Panel!$B$2:$B$2705,"&gt;="&amp;$B$9,Market_Panel!$B$2:$B$2705,"&lt;="&amp;$C$9))</f>
        <v>-0.00651515466739289</v>
      </c>
      <c r="F148" s="11" t="n">
        <f aca="false">IF(D148=0,"",AVERAGEIFS(Market_Panel!$P$2:$P$2705,Market_Panel!$A$2:$A$2705,B148,Market_Panel!$B$2:$B$2705,"&gt;="&amp;$B$9,Market_Panel!$B$2:$B$2705,"&lt;="&amp;$C$9))</f>
        <v>-0.348843321064119</v>
      </c>
      <c r="G148" s="11" t="n">
        <f aca="false">IF(D148=0,"",AVERAGEIFS(Market_Panel!$R$2:$R$2705,Market_Panel!$A$2:$A$2705,B148,Market_Panel!$B$2:$B$2705,"&gt;="&amp;$B$9,Market_Panel!$B$2:$B$2705,"&lt;="&amp;$C$9))</f>
        <v>0</v>
      </c>
      <c r="H148" s="11" t="n">
        <f aca="false">IF(OR(D148=0,$H$9=0),0,AVERAGEIFS(Market_Panel!$Y$2:$Y$2705,Market_Panel!$A$2:$A$2705,B148,Market_Panel!$B$2:$B$2705,"&gt;="&amp;$B$9,Market_Panel!$B$2:$B$2705,"&lt;="&amp;$C$9))</f>
        <v>0</v>
      </c>
      <c r="I148" s="10" t="n">
        <f aca="false">IF(D148=0,"",$I$9+$F$9*F148+$G$9*G148+$H$9*H148)</f>
        <v>-0.00283804305334237</v>
      </c>
      <c r="J148" s="5" t="n">
        <f aca="false">IF(D148&lt;5,"",(E148-I148)*162)</f>
        <v>-0.595692081476183</v>
      </c>
      <c r="K148" s="5" t="n">
        <f aca="false">IF(D148=0,"",E148*162)</f>
        <v>-1.05545505611765</v>
      </c>
      <c r="L148" s="3" t="n">
        <f aca="false">SUMIFS(Seasons!$L$2:$L$2865,Seasons!$A$2:$A$2865,B148,Seasons!$B$2:$B$2865,"&gt;="&amp;$B$9,Seasons!$B$2:$B$2865,"&lt;="&amp;$C$9)</f>
        <v>0</v>
      </c>
      <c r="M148" s="3" t="n">
        <f aca="false">SUMIFS(Seasons!$N$2:$N$2865,Seasons!$A$2:$A$2865,B148,Seasons!$B$2:$B$2865,"&gt;="&amp;$B$9,Seasons!$B$2:$B$2865,"&lt;="&amp;$C$9)</f>
        <v>0</v>
      </c>
      <c r="N148" s="3" t="n">
        <f aca="false">IF(J148="",-1000000,J148+ROW()*0.000000001)</f>
        <v>-0.595691933476183</v>
      </c>
      <c r="O148" s="3" t="n">
        <f aca="false">IF(J148="","",SUMPRODUCT(($A$25:$A$534=A148)*($N$25:$N$534&gt;N148))+1)</f>
        <v>8</v>
      </c>
      <c r="P148" s="3" t="str">
        <f aca="false">A148&amp;"|"&amp;O148</f>
        <v>1940s|8</v>
      </c>
    </row>
    <row r="149" customFormat="false" ht="15" hidden="false" customHeight="true" outlineLevel="0" collapsed="false">
      <c r="A149" s="1" t="s">
        <v>13</v>
      </c>
      <c r="B149" s="7" t="s">
        <v>59</v>
      </c>
      <c r="C149" s="1" t="s">
        <v>55</v>
      </c>
      <c r="D149" s="3" t="n">
        <f aca="false">COUNTIFS(Market_Panel!$A$2:$A$2705,B149,Market_Panel!$B$2:$B$2705,"&gt;="&amp;$B$9,Market_Panel!$B$2:$B$2705,"&lt;="&amp;$C$9)</f>
        <v>10</v>
      </c>
      <c r="E149" s="10" t="n">
        <f aca="false">IF(D149=0,"",AVERAGEIFS(Market_Panel!$M$2:$M$2705,Market_Panel!$A$2:$A$2705,B149,Market_Panel!$B$2:$B$2705,"&gt;="&amp;$B$9,Market_Panel!$B$2:$B$2705,"&lt;="&amp;$C$9))</f>
        <v>0.123481925749856</v>
      </c>
      <c r="F149" s="11" t="n">
        <f aca="false">IF(D149=0,"",AVERAGEIFS(Market_Panel!$P$2:$P$2705,Market_Panel!$A$2:$A$2705,B149,Market_Panel!$B$2:$B$2705,"&gt;="&amp;$B$9,Market_Panel!$B$2:$B$2705,"&lt;="&amp;$C$9))</f>
        <v>-0.82877634890523</v>
      </c>
      <c r="G149" s="11" t="n">
        <f aca="false">IF(D149=0,"",AVERAGEIFS(Market_Panel!$R$2:$R$2705,Market_Panel!$A$2:$A$2705,B149,Market_Panel!$B$2:$B$2705,"&gt;="&amp;$B$9,Market_Panel!$B$2:$B$2705,"&lt;="&amp;$C$9))</f>
        <v>0</v>
      </c>
      <c r="H149" s="11" t="n">
        <f aca="false">IF(OR(D149=0,$H$9=0),0,AVERAGEIFS(Market_Panel!$Y$2:$Y$2705,Market_Panel!$A$2:$A$2705,B149,Market_Panel!$B$2:$B$2705,"&gt;="&amp;$B$9,Market_Panel!$B$2:$B$2705,"&lt;="&amp;$C$9))</f>
        <v>0</v>
      </c>
      <c r="I149" s="10" t="n">
        <f aca="false">IF(D149=0,"",$I$9+$F$9*F149+$G$9*G149+$H$9*H149)</f>
        <v>-0.00674257701884628</v>
      </c>
      <c r="J149" s="5" t="n">
        <f aca="false">IF(D149&lt;5,"",(E149-I149)*162)</f>
        <v>21.0963694485297</v>
      </c>
      <c r="K149" s="5" t="n">
        <f aca="false">IF(D149=0,"",E149*162)</f>
        <v>20.0040719714766</v>
      </c>
      <c r="L149" s="3" t="n">
        <f aca="false">SUMIFS(Seasons!$L$2:$L$2865,Seasons!$A$2:$A$2865,B149,Seasons!$B$2:$B$2865,"&gt;="&amp;$B$9,Seasons!$B$2:$B$2865,"&lt;="&amp;$C$9)</f>
        <v>4</v>
      </c>
      <c r="M149" s="3" t="n">
        <f aca="false">SUMIFS(Seasons!$N$2:$N$2865,Seasons!$A$2:$A$2865,B149,Seasons!$B$2:$B$2865,"&gt;="&amp;$B$9,Seasons!$B$2:$B$2865,"&lt;="&amp;$C$9)</f>
        <v>3</v>
      </c>
      <c r="N149" s="3" t="n">
        <f aca="false">IF(J149="",-1000000,J149+ROW()*0.000000001)</f>
        <v>21.0963695975297</v>
      </c>
      <c r="O149" s="3" t="n">
        <f aca="false">IF(J149="","",SUMPRODUCT(($A$25:$A$534=A149)*($N$25:$N$534&gt;N149))+1)</f>
        <v>1</v>
      </c>
      <c r="P149" s="3" t="str">
        <f aca="false">A149&amp;"|"&amp;O149</f>
        <v>1940s|1</v>
      </c>
    </row>
    <row r="150" customFormat="false" ht="15" hidden="false" customHeight="true" outlineLevel="0" collapsed="false">
      <c r="A150" s="1" t="s">
        <v>13</v>
      </c>
      <c r="B150" s="7" t="s">
        <v>60</v>
      </c>
      <c r="C150" s="1" t="s">
        <v>55</v>
      </c>
      <c r="D150" s="3" t="n">
        <f aca="false">COUNTIFS(Market_Panel!$A$2:$A$2705,B150,Market_Panel!$B$2:$B$2705,"&gt;="&amp;$B$9,Market_Panel!$B$2:$B$2705,"&lt;="&amp;$C$9)</f>
        <v>10</v>
      </c>
      <c r="E150" s="10" t="n">
        <f aca="false">IF(D150=0,"",AVERAGEIFS(Market_Panel!$M$2:$M$2705,Market_Panel!$A$2:$A$2705,B150,Market_Panel!$B$2:$B$2705,"&gt;="&amp;$B$9,Market_Panel!$B$2:$B$2705,"&lt;="&amp;$C$9))</f>
        <v>-0.119613313858824</v>
      </c>
      <c r="F150" s="11" t="n">
        <f aca="false">IF(D150=0,"",AVERAGEIFS(Market_Panel!$P$2:$P$2705,Market_Panel!$A$2:$A$2705,B150,Market_Panel!$B$2:$B$2705,"&gt;="&amp;$B$9,Market_Panel!$B$2:$B$2705,"&lt;="&amp;$C$9))</f>
        <v>0.0423404269382743</v>
      </c>
      <c r="G150" s="11" t="n">
        <f aca="false">IF(D150=0,"",AVERAGEIFS(Market_Panel!$R$2:$R$2705,Market_Panel!$A$2:$A$2705,B150,Market_Panel!$B$2:$B$2705,"&gt;="&amp;$B$9,Market_Panel!$B$2:$B$2705,"&lt;="&amp;$C$9))</f>
        <v>0</v>
      </c>
      <c r="H150" s="11" t="n">
        <f aca="false">IF(OR(D150=0,$H$9=0),0,AVERAGEIFS(Market_Panel!$Y$2:$Y$2705,Market_Panel!$A$2:$A$2705,B150,Market_Panel!$B$2:$B$2705,"&gt;="&amp;$B$9,Market_Panel!$B$2:$B$2705,"&lt;="&amp;$C$9))</f>
        <v>0</v>
      </c>
      <c r="I150" s="10" t="n">
        <f aca="false">IF(D150=0,"",$I$9+$F$9*F150+$G$9*G150+$H$9*H150)</f>
        <v>0.000344463967895873</v>
      </c>
      <c r="J150" s="5" t="n">
        <f aca="false">IF(D150&lt;5,"",(E150-I150)*162)</f>
        <v>-19.4331600079286</v>
      </c>
      <c r="K150" s="5" t="n">
        <f aca="false">IF(D150=0,"",E150*162)</f>
        <v>-19.3773568451295</v>
      </c>
      <c r="L150" s="3" t="n">
        <f aca="false">SUMIFS(Seasons!$L$2:$L$2865,Seasons!$A$2:$A$2865,B150,Seasons!$B$2:$B$2865,"&gt;="&amp;$B$9,Seasons!$B$2:$B$2865,"&lt;="&amp;$C$9)</f>
        <v>0</v>
      </c>
      <c r="M150" s="3" t="n">
        <f aca="false">SUMIFS(Seasons!$N$2:$N$2865,Seasons!$A$2:$A$2865,B150,Seasons!$B$2:$B$2865,"&gt;="&amp;$B$9,Seasons!$B$2:$B$2865,"&lt;="&amp;$C$9)</f>
        <v>0</v>
      </c>
      <c r="N150" s="3" t="n">
        <f aca="false">IF(J150="",-1000000,J150+ROW()*0.000000001)</f>
        <v>-19.4331598579286</v>
      </c>
      <c r="O150" s="3" t="n">
        <f aca="false">IF(J150="","",SUMPRODUCT(($A$25:$A$534=A150)*($N$25:$N$534&gt;N150))+1)</f>
        <v>16</v>
      </c>
      <c r="P150" s="3" t="str">
        <f aca="false">A150&amp;"|"&amp;O150</f>
        <v>1940s|16</v>
      </c>
    </row>
    <row r="151" customFormat="false" ht="15" hidden="false" customHeight="true" outlineLevel="0" collapsed="false">
      <c r="A151" s="1" t="s">
        <v>13</v>
      </c>
      <c r="B151" s="7" t="s">
        <v>61</v>
      </c>
      <c r="C151" s="1" t="s">
        <v>55</v>
      </c>
      <c r="D151" s="3" t="n">
        <f aca="false">COUNTIFS(Market_Panel!$A$2:$A$2705,B151,Market_Panel!$B$2:$B$2705,"&gt;="&amp;$B$9,Market_Panel!$B$2:$B$2705,"&lt;="&amp;$C$9)</f>
        <v>10</v>
      </c>
      <c r="E151" s="10" t="n">
        <f aca="false">IF(D151=0,"",AVERAGEIFS(Market_Panel!$M$2:$M$2705,Market_Panel!$A$2:$A$2705,B151,Market_Panel!$B$2:$B$2705,"&gt;="&amp;$B$9,Market_Panel!$B$2:$B$2705,"&lt;="&amp;$C$9))</f>
        <v>-0.0271618104588961</v>
      </c>
      <c r="F151" s="11" t="n">
        <f aca="false">IF(D151=0,"",AVERAGEIFS(Market_Panel!$P$2:$P$2705,Market_Panel!$A$2:$A$2705,B151,Market_Panel!$B$2:$B$2705,"&gt;="&amp;$B$9,Market_Panel!$B$2:$B$2705,"&lt;="&amp;$C$9))</f>
        <v>0.981629857438604</v>
      </c>
      <c r="G151" s="11" t="n">
        <f aca="false">IF(D151=0,"",AVERAGEIFS(Market_Panel!$R$2:$R$2705,Market_Panel!$A$2:$A$2705,B151,Market_Panel!$B$2:$B$2705,"&gt;="&amp;$B$9,Market_Panel!$B$2:$B$2705,"&lt;="&amp;$C$9))</f>
        <v>0</v>
      </c>
      <c r="H151" s="11" t="n">
        <f aca="false">IF(OR(D151=0,$H$9=0),0,AVERAGEIFS(Market_Panel!$Y$2:$Y$2705,Market_Panel!$A$2:$A$2705,B151,Market_Panel!$B$2:$B$2705,"&gt;="&amp;$B$9,Market_Panel!$B$2:$B$2705,"&lt;="&amp;$C$9))</f>
        <v>0</v>
      </c>
      <c r="I151" s="10" t="n">
        <f aca="false">IF(D151=0,"",$I$9+$F$9*F151+$G$9*G151+$H$9*H151)</f>
        <v>0.0079861291004767</v>
      </c>
      <c r="J151" s="5" t="n">
        <f aca="false">IF(D151&lt;5,"",(E151-I151)*162)</f>
        <v>-5.69396620861839</v>
      </c>
      <c r="K151" s="5" t="n">
        <f aca="false">IF(D151=0,"",E151*162)</f>
        <v>-4.40021329434117</v>
      </c>
      <c r="L151" s="3" t="n">
        <f aca="false">SUMIFS(Seasons!$L$2:$L$2865,Seasons!$A$2:$A$2865,B151,Seasons!$B$2:$B$2865,"&gt;="&amp;$B$9,Seasons!$B$2:$B$2865,"&lt;="&amp;$C$9)</f>
        <v>0</v>
      </c>
      <c r="M151" s="3" t="n">
        <f aca="false">SUMIFS(Seasons!$N$2:$N$2865,Seasons!$A$2:$A$2865,B151,Seasons!$B$2:$B$2865,"&gt;="&amp;$B$9,Seasons!$B$2:$B$2865,"&lt;="&amp;$C$9)</f>
        <v>0</v>
      </c>
      <c r="N151" s="3" t="n">
        <f aca="false">IF(J151="",-1000000,J151+ROW()*0.000000001)</f>
        <v>-5.69396605761839</v>
      </c>
      <c r="O151" s="3" t="n">
        <f aca="false">IF(J151="","",SUMPRODUCT(($A$25:$A$534=A151)*($N$25:$N$534&gt;N151))+1)</f>
        <v>11</v>
      </c>
      <c r="P151" s="3" t="str">
        <f aca="false">A151&amp;"|"&amp;O151</f>
        <v>1940s|11</v>
      </c>
    </row>
    <row r="152" customFormat="false" ht="15" hidden="false" customHeight="true" outlineLevel="0" collapsed="false">
      <c r="A152" s="1" t="s">
        <v>13</v>
      </c>
      <c r="B152" s="7" t="s">
        <v>62</v>
      </c>
      <c r="C152" s="1" t="s">
        <v>55</v>
      </c>
      <c r="D152" s="3" t="n">
        <f aca="false">COUNTIFS(Market_Panel!$A$2:$A$2705,B152,Market_Panel!$B$2:$B$2705,"&gt;="&amp;$B$9,Market_Panel!$B$2:$B$2705,"&lt;="&amp;$C$9)</f>
        <v>10</v>
      </c>
      <c r="E152" s="10" t="n">
        <f aca="false">IF(D152=0,"",AVERAGEIFS(Market_Panel!$M$2:$M$2705,Market_Panel!$A$2:$A$2705,B152,Market_Panel!$B$2:$B$2705,"&gt;="&amp;$B$9,Market_Panel!$B$2:$B$2705,"&lt;="&amp;$C$9))</f>
        <v>0.0805905034466686</v>
      </c>
      <c r="F152" s="11" t="n">
        <f aca="false">IF(D152=0,"",AVERAGEIFS(Market_Panel!$P$2:$P$2705,Market_Panel!$A$2:$A$2705,B152,Market_Panel!$B$2:$B$2705,"&gt;="&amp;$B$9,Market_Panel!$B$2:$B$2705,"&lt;="&amp;$C$9))</f>
        <v>0.981629857438604</v>
      </c>
      <c r="G152" s="11" t="n">
        <f aca="false">IF(D152=0,"",AVERAGEIFS(Market_Panel!$R$2:$R$2705,Market_Panel!$A$2:$A$2705,B152,Market_Panel!$B$2:$B$2705,"&gt;="&amp;$B$9,Market_Panel!$B$2:$B$2705,"&lt;="&amp;$C$9))</f>
        <v>0</v>
      </c>
      <c r="H152" s="11" t="n">
        <f aca="false">IF(OR(D152=0,$H$9=0),0,AVERAGEIFS(Market_Panel!$Y$2:$Y$2705,Market_Panel!$A$2:$A$2705,B152,Market_Panel!$B$2:$B$2705,"&gt;="&amp;$B$9,Market_Panel!$B$2:$B$2705,"&lt;="&amp;$C$9))</f>
        <v>0</v>
      </c>
      <c r="I152" s="10" t="n">
        <f aca="false">IF(D152=0,"",$I$9+$F$9*F152+$G$9*G152+$H$9*H152)</f>
        <v>0.0079861291004767</v>
      </c>
      <c r="J152" s="5" t="n">
        <f aca="false">IF(D152&lt;5,"",(E152-I152)*162)</f>
        <v>11.7619086440831</v>
      </c>
      <c r="K152" s="5" t="n">
        <f aca="false">IF(D152=0,"",E152*162)</f>
        <v>13.0556615583603</v>
      </c>
      <c r="L152" s="3" t="n">
        <f aca="false">SUMIFS(Seasons!$L$2:$L$2865,Seasons!$A$2:$A$2865,B152,Seasons!$B$2:$B$2865,"&gt;="&amp;$B$9,Seasons!$B$2:$B$2865,"&lt;="&amp;$C$9)</f>
        <v>3</v>
      </c>
      <c r="M152" s="3" t="n">
        <f aca="false">SUMIFS(Seasons!$N$2:$N$2865,Seasons!$A$2:$A$2865,B152,Seasons!$B$2:$B$2865,"&gt;="&amp;$B$9,Seasons!$B$2:$B$2865,"&lt;="&amp;$C$9)</f>
        <v>0</v>
      </c>
      <c r="N152" s="3" t="n">
        <f aca="false">IF(J152="",-1000000,J152+ROW()*0.000000001)</f>
        <v>11.7619087960831</v>
      </c>
      <c r="O152" s="3" t="n">
        <f aca="false">IF(J152="","",SUMPRODUCT(($A$25:$A$534=A152)*($N$25:$N$534&gt;N152))+1)</f>
        <v>3</v>
      </c>
      <c r="P152" s="3" t="str">
        <f aca="false">A152&amp;"|"&amp;O152</f>
        <v>1940s|3</v>
      </c>
    </row>
    <row r="153" customFormat="false" ht="15" hidden="false" customHeight="true" outlineLevel="0" collapsed="false">
      <c r="A153" s="1" t="s">
        <v>13</v>
      </c>
      <c r="B153" s="7" t="s">
        <v>63</v>
      </c>
      <c r="C153" s="1" t="s">
        <v>55</v>
      </c>
      <c r="D153" s="3" t="n">
        <f aca="false">COUNTIFS(Market_Panel!$A$2:$A$2705,B153,Market_Panel!$B$2:$B$2705,"&gt;="&amp;$B$9,Market_Panel!$B$2:$B$2705,"&lt;="&amp;$C$9)</f>
        <v>10</v>
      </c>
      <c r="E153" s="10" t="n">
        <f aca="false">IF(D153=0,"",AVERAGEIFS(Market_Panel!$M$2:$M$2705,Market_Panel!$A$2:$A$2705,B153,Market_Panel!$B$2:$B$2705,"&gt;="&amp;$B$9,Market_Panel!$B$2:$B$2705,"&lt;="&amp;$C$9))</f>
        <v>-0.0436318381121091</v>
      </c>
      <c r="F153" s="11" t="n">
        <f aca="false">IF(D153=0,"",AVERAGEIFS(Market_Panel!$P$2:$P$2705,Market_Panel!$A$2:$A$2705,B153,Market_Panel!$B$2:$B$2705,"&gt;="&amp;$B$9,Market_Panel!$B$2:$B$2705,"&lt;="&amp;$C$9))</f>
        <v>-0.82877634890523</v>
      </c>
      <c r="G153" s="11" t="n">
        <f aca="false">IF(D153=0,"",AVERAGEIFS(Market_Panel!$R$2:$R$2705,Market_Panel!$A$2:$A$2705,B153,Market_Panel!$B$2:$B$2705,"&gt;="&amp;$B$9,Market_Panel!$B$2:$B$2705,"&lt;="&amp;$C$9))</f>
        <v>0</v>
      </c>
      <c r="H153" s="11" t="n">
        <f aca="false">IF(OR(D153=0,$H$9=0),0,AVERAGEIFS(Market_Panel!$Y$2:$Y$2705,Market_Panel!$A$2:$A$2705,B153,Market_Panel!$B$2:$B$2705,"&gt;="&amp;$B$9,Market_Panel!$B$2:$B$2705,"&lt;="&amp;$C$9))</f>
        <v>0</v>
      </c>
      <c r="I153" s="10" t="n">
        <f aca="false">IF(D153=0,"",$I$9+$F$9*F153+$G$9*G153+$H$9*H153)</f>
        <v>-0.00674257701884628</v>
      </c>
      <c r="J153" s="5" t="n">
        <f aca="false">IF(D153&lt;5,"",(E153-I153)*162)</f>
        <v>-5.97606029710858</v>
      </c>
      <c r="K153" s="5" t="n">
        <f aca="false">IF(D153=0,"",E153*162)</f>
        <v>-7.06835777416168</v>
      </c>
      <c r="L153" s="3" t="n">
        <f aca="false">SUMIFS(Seasons!$L$2:$L$2865,Seasons!$A$2:$A$2865,B153,Seasons!$B$2:$B$2865,"&gt;="&amp;$B$9,Seasons!$B$2:$B$2865,"&lt;="&amp;$C$9)</f>
        <v>1</v>
      </c>
      <c r="M153" s="3" t="n">
        <f aca="false">SUMIFS(Seasons!$N$2:$N$2865,Seasons!$A$2:$A$2865,B153,Seasons!$B$2:$B$2865,"&gt;="&amp;$B$9,Seasons!$B$2:$B$2865,"&lt;="&amp;$C$9)</f>
        <v>0</v>
      </c>
      <c r="N153" s="3" t="n">
        <f aca="false">IF(J153="",-1000000,J153+ROW()*0.000000001)</f>
        <v>-5.97606014410858</v>
      </c>
      <c r="O153" s="3" t="n">
        <f aca="false">IF(J153="","",SUMPRODUCT(($A$25:$A$534=A153)*($N$25:$N$534&gt;N153))+1)</f>
        <v>12</v>
      </c>
      <c r="P153" s="3" t="str">
        <f aca="false">A153&amp;"|"&amp;O153</f>
        <v>1940s|12</v>
      </c>
    </row>
    <row r="154" customFormat="false" ht="15" hidden="false" customHeight="true" outlineLevel="0" collapsed="false">
      <c r="A154" s="1" t="s">
        <v>13</v>
      </c>
      <c r="B154" s="7" t="s">
        <v>64</v>
      </c>
      <c r="C154" s="1" t="s">
        <v>55</v>
      </c>
      <c r="D154" s="3" t="n">
        <f aca="false">COUNTIFS(Market_Panel!$A$2:$A$2705,B154,Market_Panel!$B$2:$B$2705,"&gt;="&amp;$B$9,Market_Panel!$B$2:$B$2705,"&lt;="&amp;$C$9)</f>
        <v>10</v>
      </c>
      <c r="E154" s="10" t="n">
        <f aca="false">IF(D154=0,"",AVERAGEIFS(Market_Panel!$M$2:$M$2705,Market_Panel!$A$2:$A$2705,B154,Market_Panel!$B$2:$B$2705,"&gt;="&amp;$B$9,Market_Panel!$B$2:$B$2705,"&lt;="&amp;$C$9))</f>
        <v>0.0556718412916637</v>
      </c>
      <c r="F154" s="11" t="n">
        <f aca="false">IF(D154=0,"",AVERAGEIFS(Market_Panel!$P$2:$P$2705,Market_Panel!$A$2:$A$2705,B154,Market_Panel!$B$2:$B$2705,"&gt;="&amp;$B$9,Market_Panel!$B$2:$B$2705,"&lt;="&amp;$C$9))</f>
        <v>-0.8901924019256</v>
      </c>
      <c r="G154" s="11" t="n">
        <f aca="false">IF(D154=0,"",AVERAGEIFS(Market_Panel!$R$2:$R$2705,Market_Panel!$A$2:$A$2705,B154,Market_Panel!$B$2:$B$2705,"&gt;="&amp;$B$9,Market_Panel!$B$2:$B$2705,"&lt;="&amp;$C$9))</f>
        <v>0</v>
      </c>
      <c r="H154" s="11" t="n">
        <f aca="false">IF(OR(D154=0,$H$9=0),0,AVERAGEIFS(Market_Panel!$Y$2:$Y$2705,Market_Panel!$A$2:$A$2705,B154,Market_Panel!$B$2:$B$2705,"&gt;="&amp;$B$9,Market_Panel!$B$2:$B$2705,"&lt;="&amp;$C$9))</f>
        <v>0</v>
      </c>
      <c r="I154" s="10" t="n">
        <f aca="false">IF(D154=0,"",$I$9+$F$9*F154+$G$9*G154+$H$9*H154)</f>
        <v>-0.00724223228559031</v>
      </c>
      <c r="J154" s="5" t="n">
        <f aca="false">IF(D154&lt;5,"",(E154-I154)*162)</f>
        <v>10.1920799195151</v>
      </c>
      <c r="K154" s="5" t="n">
        <f aca="false">IF(D154=0,"",E154*162)</f>
        <v>9.01883828924952</v>
      </c>
      <c r="L154" s="3" t="n">
        <f aca="false">SUMIFS(Seasons!$L$2:$L$2865,Seasons!$A$2:$A$2865,B154,Seasons!$B$2:$B$2865,"&gt;="&amp;$B$9,Seasons!$B$2:$B$2865,"&lt;="&amp;$C$9)</f>
        <v>1</v>
      </c>
      <c r="M154" s="3" t="n">
        <f aca="false">SUMIFS(Seasons!$N$2:$N$2865,Seasons!$A$2:$A$2865,B154,Seasons!$B$2:$B$2865,"&gt;="&amp;$B$9,Seasons!$B$2:$B$2865,"&lt;="&amp;$C$9)</f>
        <v>0</v>
      </c>
      <c r="N154" s="3" t="n">
        <f aca="false">IF(J154="",-1000000,J154+ROW()*0.000000001)</f>
        <v>10.1920800735151</v>
      </c>
      <c r="O154" s="3" t="n">
        <f aca="false">IF(J154="","",SUMPRODUCT(($A$25:$A$534=A154)*($N$25:$N$534&gt;N154))+1)</f>
        <v>4</v>
      </c>
      <c r="P154" s="3" t="str">
        <f aca="false">A154&amp;"|"&amp;O154</f>
        <v>1940s|4</v>
      </c>
    </row>
    <row r="155" customFormat="false" ht="15" hidden="false" customHeight="true" outlineLevel="0" collapsed="false">
      <c r="A155" s="1" t="s">
        <v>13</v>
      </c>
      <c r="B155" s="7" t="s">
        <v>65</v>
      </c>
      <c r="C155" s="1" t="s">
        <v>55</v>
      </c>
      <c r="D155" s="3" t="n">
        <f aca="false">COUNTIFS(Market_Panel!$A$2:$A$2705,B155,Market_Panel!$B$2:$B$2705,"&gt;="&amp;$B$9,Market_Panel!$B$2:$B$2705,"&lt;="&amp;$C$9)</f>
        <v>10</v>
      </c>
      <c r="E155" s="10" t="n">
        <f aca="false">IF(D155=0,"",AVERAGEIFS(Market_Panel!$M$2:$M$2705,Market_Panel!$A$2:$A$2705,B155,Market_Panel!$B$2:$B$2705,"&gt;="&amp;$B$9,Market_Panel!$B$2:$B$2705,"&lt;="&amp;$C$9))</f>
        <v>-0.0370358129752823</v>
      </c>
      <c r="F155" s="11" t="n">
        <f aca="false">IF(D155=0,"",AVERAGEIFS(Market_Panel!$P$2:$P$2705,Market_Panel!$A$2:$A$2705,B155,Market_Panel!$B$2:$B$2705,"&gt;="&amp;$B$9,Market_Panel!$B$2:$B$2705,"&lt;="&amp;$C$9))</f>
        <v>0.604171523384609</v>
      </c>
      <c r="G155" s="11" t="n">
        <f aca="false">IF(D155=0,"",AVERAGEIFS(Market_Panel!$R$2:$R$2705,Market_Panel!$A$2:$A$2705,B155,Market_Panel!$B$2:$B$2705,"&gt;="&amp;$B$9,Market_Panel!$B$2:$B$2705,"&lt;="&amp;$C$9))</f>
        <v>0</v>
      </c>
      <c r="H155" s="11" t="n">
        <f aca="false">IF(OR(D155=0,$H$9=0),0,AVERAGEIFS(Market_Panel!$Y$2:$Y$2705,Market_Panel!$A$2:$A$2705,B155,Market_Panel!$B$2:$B$2705,"&gt;="&amp;$B$9,Market_Panel!$B$2:$B$2705,"&lt;="&amp;$C$9))</f>
        <v>0</v>
      </c>
      <c r="I155" s="10" t="n">
        <f aca="false">IF(D155=0,"",$I$9+$F$9*F155+$G$9*G155+$H$9*H155)</f>
        <v>0.00491528629454197</v>
      </c>
      <c r="J155" s="5" t="n">
        <f aca="false">IF(D155&lt;5,"",(E155-I155)*162)</f>
        <v>-6.79607808171153</v>
      </c>
      <c r="K155" s="5" t="n">
        <f aca="false">IF(D155=0,"",E155*162)</f>
        <v>-5.99980170199573</v>
      </c>
      <c r="L155" s="3" t="n">
        <f aca="false">SUMIFS(Seasons!$L$2:$L$2865,Seasons!$A$2:$A$2865,B155,Seasons!$B$2:$B$2865,"&gt;="&amp;$B$9,Seasons!$B$2:$B$2865,"&lt;="&amp;$C$9)</f>
        <v>0</v>
      </c>
      <c r="M155" s="3" t="n">
        <f aca="false">SUMIFS(Seasons!$N$2:$N$2865,Seasons!$A$2:$A$2865,B155,Seasons!$B$2:$B$2865,"&gt;="&amp;$B$9,Seasons!$B$2:$B$2865,"&lt;="&amp;$C$9)</f>
        <v>0</v>
      </c>
      <c r="N155" s="3" t="n">
        <f aca="false">IF(J155="",-1000000,J155+ROW()*0.000000001)</f>
        <v>-6.79607792671153</v>
      </c>
      <c r="O155" s="3" t="n">
        <f aca="false">IF(J155="","",SUMPRODUCT(($A$25:$A$534=A155)*($N$25:$N$534&gt;N155))+1)</f>
        <v>13</v>
      </c>
      <c r="P155" s="3" t="str">
        <f aca="false">A155&amp;"|"&amp;O155</f>
        <v>1940s|13</v>
      </c>
    </row>
    <row r="156" customFormat="false" ht="15" hidden="false" customHeight="true" outlineLevel="0" collapsed="false">
      <c r="A156" s="1" t="s">
        <v>13</v>
      </c>
      <c r="B156" s="7" t="s">
        <v>66</v>
      </c>
      <c r="C156" s="1" t="s">
        <v>55</v>
      </c>
      <c r="D156" s="3" t="n">
        <f aca="false">COUNTIFS(Market_Panel!$A$2:$A$2705,B156,Market_Panel!$B$2:$B$2705,"&gt;="&amp;$B$9,Market_Panel!$B$2:$B$2705,"&lt;="&amp;$C$9)</f>
        <v>10</v>
      </c>
      <c r="E156" s="10" t="n">
        <f aca="false">IF(D156=0,"",AVERAGEIFS(Market_Panel!$M$2:$M$2705,Market_Panel!$A$2:$A$2705,B156,Market_Panel!$B$2:$B$2705,"&gt;="&amp;$B$9,Market_Panel!$B$2:$B$2705,"&lt;="&amp;$C$9))</f>
        <v>0.0225173669602625</v>
      </c>
      <c r="F156" s="11" t="n">
        <f aca="false">IF(D156=0,"",AVERAGEIFS(Market_Panel!$P$2:$P$2705,Market_Panel!$A$2:$A$2705,B156,Market_Panel!$B$2:$B$2705,"&gt;="&amp;$B$9,Market_Panel!$B$2:$B$2705,"&lt;="&amp;$C$9))</f>
        <v>-0.0656918904982449</v>
      </c>
      <c r="G156" s="11" t="n">
        <f aca="false">IF(D156=0,"",AVERAGEIFS(Market_Panel!$R$2:$R$2705,Market_Panel!$A$2:$A$2705,B156,Market_Panel!$B$2:$B$2705,"&gt;="&amp;$B$9,Market_Panel!$B$2:$B$2705,"&lt;="&amp;$C$9))</f>
        <v>0</v>
      </c>
      <c r="H156" s="11" t="n">
        <f aca="false">IF(OR(D156=0,$H$9=0),0,AVERAGEIFS(Market_Panel!$Y$2:$Y$2705,Market_Panel!$A$2:$A$2705,B156,Market_Panel!$B$2:$B$2705,"&gt;="&amp;$B$9,Market_Panel!$B$2:$B$2705,"&lt;="&amp;$C$9))</f>
        <v>0</v>
      </c>
      <c r="I156" s="10" t="n">
        <f aca="false">IF(D156=0,"",$I$9+$F$9*F156+$G$9*G156+$H$9*H156)</f>
        <v>-0.000534441688379648</v>
      </c>
      <c r="J156" s="5" t="n">
        <f aca="false">IF(D156&lt;5,"",(E156-I156)*162)</f>
        <v>3.73439300108002</v>
      </c>
      <c r="K156" s="5" t="n">
        <f aca="false">IF(D156=0,"",E156*162)</f>
        <v>3.64781344756252</v>
      </c>
      <c r="L156" s="3" t="n">
        <f aca="false">SUMIFS(Seasons!$L$2:$L$2865,Seasons!$A$2:$A$2865,B156,Seasons!$B$2:$B$2865,"&gt;="&amp;$B$9,Seasons!$B$2:$B$2865,"&lt;="&amp;$C$9)</f>
        <v>1</v>
      </c>
      <c r="M156" s="3" t="n">
        <f aca="false">SUMIFS(Seasons!$N$2:$N$2865,Seasons!$A$2:$A$2865,B156,Seasons!$B$2:$B$2865,"&gt;="&amp;$B$9,Seasons!$B$2:$B$2865,"&lt;="&amp;$C$9)</f>
        <v>1</v>
      </c>
      <c r="N156" s="3" t="n">
        <f aca="false">IF(J156="",-1000000,J156+ROW()*0.000000001)</f>
        <v>3.73439315708002</v>
      </c>
      <c r="O156" s="3" t="n">
        <f aca="false">IF(J156="","",SUMPRODUCT(($A$25:$A$534=A156)*($N$25:$N$534&gt;N156))+1)</f>
        <v>6</v>
      </c>
      <c r="P156" s="3" t="str">
        <f aca="false">A156&amp;"|"&amp;O156</f>
        <v>1940s|6</v>
      </c>
    </row>
    <row r="157" customFormat="false" ht="15" hidden="false" customHeight="true" outlineLevel="0" collapsed="false">
      <c r="A157" s="1" t="s">
        <v>13</v>
      </c>
      <c r="B157" s="7" t="s">
        <v>67</v>
      </c>
      <c r="C157" s="1" t="s">
        <v>55</v>
      </c>
      <c r="D157" s="3" t="n">
        <f aca="false">COUNTIFS(Market_Panel!$A$2:$A$2705,B157,Market_Panel!$B$2:$B$2705,"&gt;="&amp;$B$9,Market_Panel!$B$2:$B$2705,"&lt;="&amp;$C$9)</f>
        <v>10</v>
      </c>
      <c r="E157" s="10" t="n">
        <f aca="false">IF(D157=0,"",AVERAGEIFS(Market_Panel!$M$2:$M$2705,Market_Panel!$A$2:$A$2705,B157,Market_Panel!$B$2:$B$2705,"&gt;="&amp;$B$9,Market_Panel!$B$2:$B$2705,"&lt;="&amp;$C$9))</f>
        <v>0.0420848914116448</v>
      </c>
      <c r="F157" s="11" t="n">
        <f aca="false">IF(D157=0,"",AVERAGEIFS(Market_Panel!$P$2:$P$2705,Market_Panel!$A$2:$A$2705,B157,Market_Panel!$B$2:$B$2705,"&gt;="&amp;$B$9,Market_Panel!$B$2:$B$2705,"&lt;="&amp;$C$9))</f>
        <v>0.588959485394649</v>
      </c>
      <c r="G157" s="11" t="n">
        <f aca="false">IF(D157=0,"",AVERAGEIFS(Market_Panel!$R$2:$R$2705,Market_Panel!$A$2:$A$2705,B157,Market_Panel!$B$2:$B$2705,"&gt;="&amp;$B$9,Market_Panel!$B$2:$B$2705,"&lt;="&amp;$C$9))</f>
        <v>0</v>
      </c>
      <c r="H157" s="11" t="n">
        <f aca="false">IF(OR(D157=0,$H$9=0),0,AVERAGEIFS(Market_Panel!$Y$2:$Y$2705,Market_Panel!$A$2:$A$2705,B157,Market_Panel!$B$2:$B$2705,"&gt;="&amp;$B$9,Market_Panel!$B$2:$B$2705,"&lt;="&amp;$C$9))</f>
        <v>0</v>
      </c>
      <c r="I157" s="10" t="n">
        <f aca="false">IF(D157=0,"",$I$9+$F$9*F157+$G$9*G157+$H$9*H157)</f>
        <v>0.00479152752910856</v>
      </c>
      <c r="J157" s="5" t="n">
        <f aca="false">IF(D157&lt;5,"",(E157-I157)*162)</f>
        <v>6.04152494897087</v>
      </c>
      <c r="K157" s="5" t="n">
        <f aca="false">IF(D157=0,"",E157*162)</f>
        <v>6.81775240868645</v>
      </c>
      <c r="L157" s="3" t="n">
        <f aca="false">SUMIFS(Seasons!$L$2:$L$2865,Seasons!$A$2:$A$2865,B157,Seasons!$B$2:$B$2865,"&gt;="&amp;$B$9,Seasons!$B$2:$B$2865,"&lt;="&amp;$C$9)</f>
        <v>2</v>
      </c>
      <c r="M157" s="3" t="n">
        <f aca="false">SUMIFS(Seasons!$N$2:$N$2865,Seasons!$A$2:$A$2865,B157,Seasons!$B$2:$B$2865,"&gt;="&amp;$B$9,Seasons!$B$2:$B$2865,"&lt;="&amp;$C$9)</f>
        <v>1</v>
      </c>
      <c r="N157" s="3" t="n">
        <f aca="false">IF(J157="",-1000000,J157+ROW()*0.000000001)</f>
        <v>6.04152510597087</v>
      </c>
      <c r="O157" s="3" t="n">
        <f aca="false">IF(J157="","",SUMPRODUCT(($A$25:$A$534=A157)*($N$25:$N$534&gt;N157))+1)</f>
        <v>5</v>
      </c>
      <c r="P157" s="3" t="str">
        <f aca="false">A157&amp;"|"&amp;O157</f>
        <v>1940s|5</v>
      </c>
    </row>
    <row r="158" customFormat="false" ht="15" hidden="false" customHeight="true" outlineLevel="0" collapsed="false">
      <c r="A158" s="1" t="s">
        <v>13</v>
      </c>
      <c r="B158" s="7" t="s">
        <v>68</v>
      </c>
      <c r="C158" s="1" t="s">
        <v>55</v>
      </c>
      <c r="D158" s="3" t="n">
        <f aca="false">COUNTIFS(Market_Panel!$A$2:$A$2705,B158,Market_Panel!$B$2:$B$2705,"&gt;="&amp;$B$9,Market_Panel!$B$2:$B$2705,"&lt;="&amp;$C$9)</f>
        <v>10</v>
      </c>
      <c r="E158" s="10" t="n">
        <f aca="false">IF(D158=0,"",AVERAGEIFS(Market_Panel!$M$2:$M$2705,Market_Panel!$A$2:$A$2705,B158,Market_Panel!$B$2:$B$2705,"&gt;="&amp;$B$9,Market_Panel!$B$2:$B$2705,"&lt;="&amp;$C$9))</f>
        <v>-0.0588426038087994</v>
      </c>
      <c r="F158" s="11" t="n">
        <f aca="false">IF(D158=0,"",AVERAGEIFS(Market_Panel!$P$2:$P$2705,Market_Panel!$A$2:$A$2705,B158,Market_Panel!$B$2:$B$2705,"&gt;="&amp;$B$9,Market_Panel!$B$2:$B$2705,"&lt;="&amp;$C$9))</f>
        <v>-0.279428880942103</v>
      </c>
      <c r="G158" s="11" t="n">
        <f aca="false">IF(D158=0,"",AVERAGEIFS(Market_Panel!$R$2:$R$2705,Market_Panel!$A$2:$A$2705,B158,Market_Panel!$B$2:$B$2705,"&gt;="&amp;$B$9,Market_Panel!$B$2:$B$2705,"&lt;="&amp;$C$9))</f>
        <v>0</v>
      </c>
      <c r="H158" s="11" t="n">
        <f aca="false">IF(OR(D158=0,$H$9=0),0,AVERAGEIFS(Market_Panel!$Y$2:$Y$2705,Market_Panel!$A$2:$A$2705,B158,Market_Panel!$B$2:$B$2705,"&gt;="&amp;$B$9,Market_Panel!$B$2:$B$2705,"&lt;="&amp;$C$9))</f>
        <v>0</v>
      </c>
      <c r="I158" s="10" t="n">
        <f aca="false">IF(D158=0,"",$I$9+$F$9*F158+$G$9*G158+$H$9*H158)</f>
        <v>-0.00227331626141469</v>
      </c>
      <c r="J158" s="5" t="n">
        <f aca="false">IF(D158&lt;5,"",(E158-I158)*162)</f>
        <v>-9.16422458267632</v>
      </c>
      <c r="K158" s="5" t="n">
        <f aca="false">IF(D158=0,"",E158*162)</f>
        <v>-9.5325018170255</v>
      </c>
      <c r="L158" s="3" t="n">
        <f aca="false">SUMIFS(Seasons!$L$2:$L$2865,Seasons!$A$2:$A$2865,B158,Seasons!$B$2:$B$2865,"&gt;="&amp;$B$9,Seasons!$B$2:$B$2865,"&lt;="&amp;$C$9)</f>
        <v>0</v>
      </c>
      <c r="M158" s="3" t="n">
        <f aca="false">SUMIFS(Seasons!$N$2:$N$2865,Seasons!$A$2:$A$2865,B158,Seasons!$B$2:$B$2865,"&gt;="&amp;$B$9,Seasons!$B$2:$B$2865,"&lt;="&amp;$C$9)</f>
        <v>0</v>
      </c>
      <c r="N158" s="3" t="n">
        <f aca="false">IF(J158="",-1000000,J158+ROW()*0.000000001)</f>
        <v>-9.16422442467632</v>
      </c>
      <c r="O158" s="3" t="n">
        <f aca="false">IF(J158="","",SUMPRODUCT(($A$25:$A$534=A158)*($N$25:$N$534&gt;N158))+1)</f>
        <v>14</v>
      </c>
      <c r="P158" s="3" t="str">
        <f aca="false">A158&amp;"|"&amp;O158</f>
        <v>1940s|14</v>
      </c>
    </row>
    <row r="159" customFormat="false" ht="15" hidden="false" customHeight="true" outlineLevel="0" collapsed="false">
      <c r="A159" s="1" t="s">
        <v>13</v>
      </c>
      <c r="B159" s="7" t="s">
        <v>69</v>
      </c>
      <c r="C159" s="1" t="s">
        <v>55</v>
      </c>
      <c r="D159" s="3" t="n">
        <f aca="false">COUNTIFS(Market_Panel!$A$2:$A$2705,B159,Market_Panel!$B$2:$B$2705,"&gt;="&amp;$B$9,Market_Panel!$B$2:$B$2705,"&lt;="&amp;$C$9)</f>
        <v>10</v>
      </c>
      <c r="E159" s="10" t="n">
        <f aca="false">IF(D159=0,"",AVERAGEIFS(Market_Panel!$M$2:$M$2705,Market_Panel!$A$2:$A$2705,B159,Market_Panel!$B$2:$B$2705,"&gt;="&amp;$B$9,Market_Panel!$B$2:$B$2705,"&lt;="&amp;$C$9))</f>
        <v>-0.0846608856870735</v>
      </c>
      <c r="F159" s="11" t="n">
        <f aca="false">IF(D159=0,"",AVERAGEIFS(Market_Panel!$P$2:$P$2705,Market_Panel!$A$2:$A$2705,B159,Market_Panel!$B$2:$B$2705,"&gt;="&amp;$B$9,Market_Panel!$B$2:$B$2705,"&lt;="&amp;$C$9))</f>
        <v>0.0423404269382743</v>
      </c>
      <c r="G159" s="11" t="n">
        <f aca="false">IF(D159=0,"",AVERAGEIFS(Market_Panel!$R$2:$R$2705,Market_Panel!$A$2:$A$2705,B159,Market_Panel!$B$2:$B$2705,"&gt;="&amp;$B$9,Market_Panel!$B$2:$B$2705,"&lt;="&amp;$C$9))</f>
        <v>0</v>
      </c>
      <c r="H159" s="11" t="n">
        <f aca="false">IF(OR(D159=0,$H$9=0),0,AVERAGEIFS(Market_Panel!$Y$2:$Y$2705,Market_Panel!$A$2:$A$2705,B159,Market_Panel!$B$2:$B$2705,"&gt;="&amp;$B$9,Market_Panel!$B$2:$B$2705,"&lt;="&amp;$C$9))</f>
        <v>0</v>
      </c>
      <c r="I159" s="10" t="n">
        <f aca="false">IF(D159=0,"",$I$9+$F$9*F159+$G$9*G159+$H$9*H159)</f>
        <v>0.000344463967895873</v>
      </c>
      <c r="J159" s="5" t="n">
        <f aca="false">IF(D159&lt;5,"",(E159-I159)*162)</f>
        <v>-13.770866644105</v>
      </c>
      <c r="K159" s="5" t="n">
        <f aca="false">IF(D159=0,"",E159*162)</f>
        <v>-13.7150634813059</v>
      </c>
      <c r="L159" s="3" t="n">
        <f aca="false">SUMIFS(Seasons!$L$2:$L$2865,Seasons!$A$2:$A$2865,B159,Seasons!$B$2:$B$2865,"&gt;="&amp;$B$9,Seasons!$B$2:$B$2865,"&lt;="&amp;$C$9)</f>
        <v>0</v>
      </c>
      <c r="M159" s="3" t="n">
        <f aca="false">SUMIFS(Seasons!$N$2:$N$2865,Seasons!$A$2:$A$2865,B159,Seasons!$B$2:$B$2865,"&gt;="&amp;$B$9,Seasons!$B$2:$B$2865,"&lt;="&amp;$C$9)</f>
        <v>0</v>
      </c>
      <c r="N159" s="3" t="n">
        <f aca="false">IF(J159="",-1000000,J159+ROW()*0.000000001)</f>
        <v>-13.770866485105</v>
      </c>
      <c r="O159" s="3" t="n">
        <f aca="false">IF(J159="","",SUMPRODUCT(($A$25:$A$534=A159)*($N$25:$N$534&gt;N159))+1)</f>
        <v>15</v>
      </c>
      <c r="P159" s="3" t="str">
        <f aca="false">A159&amp;"|"&amp;O159</f>
        <v>1940s|15</v>
      </c>
    </row>
    <row r="160" customFormat="false" ht="15" hidden="false" customHeight="true" outlineLevel="0" collapsed="false">
      <c r="A160" s="1" t="s">
        <v>13</v>
      </c>
      <c r="B160" s="7" t="s">
        <v>70</v>
      </c>
      <c r="C160" s="1" t="s">
        <v>55</v>
      </c>
      <c r="D160" s="3" t="n">
        <f aca="false">COUNTIFS(Market_Panel!$A$2:$A$2705,B160,Market_Panel!$B$2:$B$2705,"&gt;="&amp;$B$9,Market_Panel!$B$2:$B$2705,"&lt;="&amp;$C$9)</f>
        <v>10</v>
      </c>
      <c r="E160" s="10" t="n">
        <f aca="false">IF(D160=0,"",AVERAGEIFS(Market_Panel!$M$2:$M$2705,Market_Panel!$A$2:$A$2705,B160,Market_Panel!$B$2:$B$2705,"&gt;="&amp;$B$9,Market_Panel!$B$2:$B$2705,"&lt;="&amp;$C$9))</f>
        <v>0.104091791460341</v>
      </c>
      <c r="F160" s="11" t="n">
        <f aca="false">IF(D160=0,"",AVERAGEIFS(Market_Panel!$P$2:$P$2705,Market_Panel!$A$2:$A$2705,B160,Market_Panel!$B$2:$B$2705,"&gt;="&amp;$B$9,Market_Panel!$B$2:$B$2705,"&lt;="&amp;$C$9))</f>
        <v>0.981629857438604</v>
      </c>
      <c r="G160" s="11" t="n">
        <f aca="false">IF(D160=0,"",AVERAGEIFS(Market_Panel!$R$2:$R$2705,Market_Panel!$A$2:$A$2705,B160,Market_Panel!$B$2:$B$2705,"&gt;="&amp;$B$9,Market_Panel!$B$2:$B$2705,"&lt;="&amp;$C$9))</f>
        <v>0</v>
      </c>
      <c r="H160" s="11" t="n">
        <f aca="false">IF(OR(D160=0,$H$9=0),0,AVERAGEIFS(Market_Panel!$Y$2:$Y$2705,Market_Panel!$A$2:$A$2705,B160,Market_Panel!$B$2:$B$2705,"&gt;="&amp;$B$9,Market_Panel!$B$2:$B$2705,"&lt;="&amp;$C$9))</f>
        <v>0</v>
      </c>
      <c r="I160" s="10" t="n">
        <f aca="false">IF(D160=0,"",$I$9+$F$9*F160+$G$9*G160+$H$9*H160)</f>
        <v>0.0079861291004767</v>
      </c>
      <c r="J160" s="5" t="n">
        <f aca="false">IF(D160&lt;5,"",(E160-I160)*162)</f>
        <v>15.5691173022979</v>
      </c>
      <c r="K160" s="5" t="n">
        <f aca="false">IF(D160=0,"",E160*162)</f>
        <v>16.8628702165752</v>
      </c>
      <c r="L160" s="3" t="n">
        <f aca="false">SUMIFS(Seasons!$L$2:$L$2865,Seasons!$A$2:$A$2865,B160,Seasons!$B$2:$B$2865,"&gt;="&amp;$B$9,Seasons!$B$2:$B$2865,"&lt;="&amp;$C$9)</f>
        <v>5</v>
      </c>
      <c r="M160" s="3" t="n">
        <f aca="false">SUMIFS(Seasons!$N$2:$N$2865,Seasons!$A$2:$A$2865,B160,Seasons!$B$2:$B$2865,"&gt;="&amp;$B$9,Seasons!$B$2:$B$2865,"&lt;="&amp;$C$9)</f>
        <v>4</v>
      </c>
      <c r="N160" s="3" t="n">
        <f aca="false">IF(J160="",-1000000,J160+ROW()*0.000000001)</f>
        <v>15.5691174622979</v>
      </c>
      <c r="O160" s="3" t="n">
        <f aca="false">IF(J160="","",SUMPRODUCT(($A$25:$A$534=A160)*($N$25:$N$534&gt;N160))+1)</f>
        <v>2</v>
      </c>
      <c r="P160" s="3" t="str">
        <f aca="false">A160&amp;"|"&amp;O160</f>
        <v>1940s|2</v>
      </c>
    </row>
    <row r="161" customFormat="false" ht="15" hidden="false" customHeight="true" outlineLevel="0" collapsed="false">
      <c r="A161" s="1" t="s">
        <v>13</v>
      </c>
      <c r="B161" s="7" t="s">
        <v>71</v>
      </c>
      <c r="C161" s="1" t="s">
        <v>72</v>
      </c>
      <c r="D161" s="3" t="n">
        <f aca="false">COUNTIFS(Market_Panel!$A$2:$A$2705,B161,Market_Panel!$B$2:$B$2705,"&gt;="&amp;$B$9,Market_Panel!$B$2:$B$2705,"&lt;="&amp;$C$9)</f>
        <v>0</v>
      </c>
      <c r="E161" s="10" t="str">
        <f aca="false">IF(D161=0,"",AVERAGEIFS(Market_Panel!$M$2:$M$2705,Market_Panel!$A$2:$A$2705,B161,Market_Panel!$B$2:$B$2705,"&gt;="&amp;$B$9,Market_Panel!$B$2:$B$2705,"&lt;="&amp;$C$9))</f>
        <v/>
      </c>
      <c r="F161" s="11" t="str">
        <f aca="false">IF(D161=0,"",AVERAGEIFS(Market_Panel!$P$2:$P$2705,Market_Panel!$A$2:$A$2705,B161,Market_Panel!$B$2:$B$2705,"&gt;="&amp;$B$9,Market_Panel!$B$2:$B$2705,"&lt;="&amp;$C$9))</f>
        <v/>
      </c>
      <c r="G161" s="11" t="str">
        <f aca="false">IF(D161=0,"",AVERAGEIFS(Market_Panel!$R$2:$R$2705,Market_Panel!$A$2:$A$2705,B161,Market_Panel!$B$2:$B$2705,"&gt;="&amp;$B$9,Market_Panel!$B$2:$B$2705,"&lt;="&amp;$C$9))</f>
        <v/>
      </c>
      <c r="H161" s="11" t="n">
        <f aca="false">IF(OR(D161=0,$H$9=0),0,AVERAGEIFS(Market_Panel!$Y$2:$Y$2705,Market_Panel!$A$2:$A$2705,B161,Market_Panel!$B$2:$B$2705,"&gt;="&amp;$B$9,Market_Panel!$B$2:$B$2705,"&lt;="&amp;$C$9))</f>
        <v>0</v>
      </c>
      <c r="I161" s="10" t="str">
        <f aca="false">IF(D161=0,"",$I$9+$F$9*F161+$G$9*G161+$H$9*H161)</f>
        <v/>
      </c>
      <c r="J161" s="5" t="str">
        <f aca="false">IF(D161&lt;5,"",(E161-I161)*162)</f>
        <v/>
      </c>
      <c r="K161" s="5" t="str">
        <f aca="false">IF(D161=0,"",E161*162)</f>
        <v/>
      </c>
      <c r="L161" s="3" t="n">
        <f aca="false">SUMIFS(Seasons!$L$2:$L$2865,Seasons!$A$2:$A$2865,B161,Seasons!$B$2:$B$2865,"&gt;="&amp;$B$9,Seasons!$B$2:$B$2865,"&lt;="&amp;$C$9)</f>
        <v>0</v>
      </c>
      <c r="M161" s="3" t="n">
        <f aca="false">SUMIFS(Seasons!$N$2:$N$2865,Seasons!$A$2:$A$2865,B161,Seasons!$B$2:$B$2865,"&gt;="&amp;$B$9,Seasons!$B$2:$B$2865,"&lt;="&amp;$C$9)</f>
        <v>0</v>
      </c>
      <c r="N161" s="3" t="n">
        <f aca="false">IF(J161="",-1000000,J161+ROW()*0.000000001)</f>
        <v>-1000000</v>
      </c>
      <c r="O161" s="3" t="str">
        <f aca="false">IF(J161="","",SUMPRODUCT(($A$25:$A$534=A161)*($N$25:$N$534&gt;N161))+1)</f>
        <v/>
      </c>
      <c r="P161" s="3" t="str">
        <f aca="false">A161&amp;"|"&amp;O161</f>
        <v>1940s|</v>
      </c>
    </row>
    <row r="162" customFormat="false" ht="15" hidden="false" customHeight="true" outlineLevel="0" collapsed="false">
      <c r="A162" s="1" t="s">
        <v>13</v>
      </c>
      <c r="B162" s="7" t="s">
        <v>73</v>
      </c>
      <c r="C162" s="1" t="s">
        <v>72</v>
      </c>
      <c r="D162" s="3" t="n">
        <f aca="false">COUNTIFS(Market_Panel!$A$2:$A$2705,B162,Market_Panel!$B$2:$B$2705,"&gt;="&amp;$B$9,Market_Panel!$B$2:$B$2705,"&lt;="&amp;$C$9)</f>
        <v>0</v>
      </c>
      <c r="E162" s="10" t="str">
        <f aca="false">IF(D162=0,"",AVERAGEIFS(Market_Panel!$M$2:$M$2705,Market_Panel!$A$2:$A$2705,B162,Market_Panel!$B$2:$B$2705,"&gt;="&amp;$B$9,Market_Panel!$B$2:$B$2705,"&lt;="&amp;$C$9))</f>
        <v/>
      </c>
      <c r="F162" s="11" t="str">
        <f aca="false">IF(D162=0,"",AVERAGEIFS(Market_Panel!$P$2:$P$2705,Market_Panel!$A$2:$A$2705,B162,Market_Panel!$B$2:$B$2705,"&gt;="&amp;$B$9,Market_Panel!$B$2:$B$2705,"&lt;="&amp;$C$9))</f>
        <v/>
      </c>
      <c r="G162" s="11" t="str">
        <f aca="false">IF(D162=0,"",AVERAGEIFS(Market_Panel!$R$2:$R$2705,Market_Panel!$A$2:$A$2705,B162,Market_Panel!$B$2:$B$2705,"&gt;="&amp;$B$9,Market_Panel!$B$2:$B$2705,"&lt;="&amp;$C$9))</f>
        <v/>
      </c>
      <c r="H162" s="11" t="n">
        <f aca="false">IF(OR(D162=0,$H$9=0),0,AVERAGEIFS(Market_Panel!$Y$2:$Y$2705,Market_Panel!$A$2:$A$2705,B162,Market_Panel!$B$2:$B$2705,"&gt;="&amp;$B$9,Market_Panel!$B$2:$B$2705,"&lt;="&amp;$C$9))</f>
        <v>0</v>
      </c>
      <c r="I162" s="10" t="str">
        <f aca="false">IF(D162=0,"",$I$9+$F$9*F162+$G$9*G162+$H$9*H162)</f>
        <v/>
      </c>
      <c r="J162" s="5" t="str">
        <f aca="false">IF(D162&lt;5,"",(E162-I162)*162)</f>
        <v/>
      </c>
      <c r="K162" s="5" t="str">
        <f aca="false">IF(D162=0,"",E162*162)</f>
        <v/>
      </c>
      <c r="L162" s="3" t="n">
        <f aca="false">SUMIFS(Seasons!$L$2:$L$2865,Seasons!$A$2:$A$2865,B162,Seasons!$B$2:$B$2865,"&gt;="&amp;$B$9,Seasons!$B$2:$B$2865,"&lt;="&amp;$C$9)</f>
        <v>0</v>
      </c>
      <c r="M162" s="3" t="n">
        <f aca="false">SUMIFS(Seasons!$N$2:$N$2865,Seasons!$A$2:$A$2865,B162,Seasons!$B$2:$B$2865,"&gt;="&amp;$B$9,Seasons!$B$2:$B$2865,"&lt;="&amp;$C$9)</f>
        <v>0</v>
      </c>
      <c r="N162" s="3" t="n">
        <f aca="false">IF(J162="",-1000000,J162+ROW()*0.000000001)</f>
        <v>-1000000</v>
      </c>
      <c r="O162" s="3" t="str">
        <f aca="false">IF(J162="","",SUMPRODUCT(($A$25:$A$534=A162)*($N$25:$N$534&gt;N162))+1)</f>
        <v/>
      </c>
      <c r="P162" s="3" t="str">
        <f aca="false">A162&amp;"|"&amp;O162</f>
        <v>1940s|</v>
      </c>
    </row>
    <row r="163" customFormat="false" ht="15" hidden="false" customHeight="true" outlineLevel="0" collapsed="false">
      <c r="A163" s="1" t="s">
        <v>13</v>
      </c>
      <c r="B163" s="7" t="s">
        <v>74</v>
      </c>
      <c r="C163" s="1" t="s">
        <v>72</v>
      </c>
      <c r="D163" s="3" t="n">
        <f aca="false">COUNTIFS(Market_Panel!$A$2:$A$2705,B163,Market_Panel!$B$2:$B$2705,"&gt;="&amp;$B$9,Market_Panel!$B$2:$B$2705,"&lt;="&amp;$C$9)</f>
        <v>0</v>
      </c>
      <c r="E163" s="10" t="str">
        <f aca="false">IF(D163=0,"",AVERAGEIFS(Market_Panel!$M$2:$M$2705,Market_Panel!$A$2:$A$2705,B163,Market_Panel!$B$2:$B$2705,"&gt;="&amp;$B$9,Market_Panel!$B$2:$B$2705,"&lt;="&amp;$C$9))</f>
        <v/>
      </c>
      <c r="F163" s="11" t="str">
        <f aca="false">IF(D163=0,"",AVERAGEIFS(Market_Panel!$P$2:$P$2705,Market_Panel!$A$2:$A$2705,B163,Market_Panel!$B$2:$B$2705,"&gt;="&amp;$B$9,Market_Panel!$B$2:$B$2705,"&lt;="&amp;$C$9))</f>
        <v/>
      </c>
      <c r="G163" s="11" t="str">
        <f aca="false">IF(D163=0,"",AVERAGEIFS(Market_Panel!$R$2:$R$2705,Market_Panel!$A$2:$A$2705,B163,Market_Panel!$B$2:$B$2705,"&gt;="&amp;$B$9,Market_Panel!$B$2:$B$2705,"&lt;="&amp;$C$9))</f>
        <v/>
      </c>
      <c r="H163" s="11" t="n">
        <f aca="false">IF(OR(D163=0,$H$9=0),0,AVERAGEIFS(Market_Panel!$Y$2:$Y$2705,Market_Panel!$A$2:$A$2705,B163,Market_Panel!$B$2:$B$2705,"&gt;="&amp;$B$9,Market_Panel!$B$2:$B$2705,"&lt;="&amp;$C$9))</f>
        <v>0</v>
      </c>
      <c r="I163" s="10" t="str">
        <f aca="false">IF(D163=0,"",$I$9+$F$9*F163+$G$9*G163+$H$9*H163)</f>
        <v/>
      </c>
      <c r="J163" s="5" t="str">
        <f aca="false">IF(D163&lt;5,"",(E163-I163)*162)</f>
        <v/>
      </c>
      <c r="K163" s="5" t="str">
        <f aca="false">IF(D163=0,"",E163*162)</f>
        <v/>
      </c>
      <c r="L163" s="3" t="n">
        <f aca="false">SUMIFS(Seasons!$L$2:$L$2865,Seasons!$A$2:$A$2865,B163,Seasons!$B$2:$B$2865,"&gt;="&amp;$B$9,Seasons!$B$2:$B$2865,"&lt;="&amp;$C$9)</f>
        <v>0</v>
      </c>
      <c r="M163" s="3" t="n">
        <f aca="false">SUMIFS(Seasons!$N$2:$N$2865,Seasons!$A$2:$A$2865,B163,Seasons!$B$2:$B$2865,"&gt;="&amp;$B$9,Seasons!$B$2:$B$2865,"&lt;="&amp;$C$9)</f>
        <v>0</v>
      </c>
      <c r="N163" s="3" t="n">
        <f aca="false">IF(J163="",-1000000,J163+ROW()*0.000000001)</f>
        <v>-1000000</v>
      </c>
      <c r="O163" s="3" t="str">
        <f aca="false">IF(J163="","",SUMPRODUCT(($A$25:$A$534=A163)*($N$25:$N$534&gt;N163))+1)</f>
        <v/>
      </c>
      <c r="P163" s="3" t="str">
        <f aca="false">A163&amp;"|"&amp;O163</f>
        <v>1940s|</v>
      </c>
    </row>
    <row r="164" customFormat="false" ht="15" hidden="false" customHeight="true" outlineLevel="0" collapsed="false">
      <c r="A164" s="1" t="s">
        <v>13</v>
      </c>
      <c r="B164" s="7" t="s">
        <v>75</v>
      </c>
      <c r="C164" s="1" t="s">
        <v>72</v>
      </c>
      <c r="D164" s="3" t="n">
        <f aca="false">COUNTIFS(Market_Panel!$A$2:$A$2705,B164,Market_Panel!$B$2:$B$2705,"&gt;="&amp;$B$9,Market_Panel!$B$2:$B$2705,"&lt;="&amp;$C$9)</f>
        <v>0</v>
      </c>
      <c r="E164" s="10" t="str">
        <f aca="false">IF(D164=0,"",AVERAGEIFS(Market_Panel!$M$2:$M$2705,Market_Panel!$A$2:$A$2705,B164,Market_Panel!$B$2:$B$2705,"&gt;="&amp;$B$9,Market_Panel!$B$2:$B$2705,"&lt;="&amp;$C$9))</f>
        <v/>
      </c>
      <c r="F164" s="11" t="str">
        <f aca="false">IF(D164=0,"",AVERAGEIFS(Market_Panel!$P$2:$P$2705,Market_Panel!$A$2:$A$2705,B164,Market_Panel!$B$2:$B$2705,"&gt;="&amp;$B$9,Market_Panel!$B$2:$B$2705,"&lt;="&amp;$C$9))</f>
        <v/>
      </c>
      <c r="G164" s="11" t="str">
        <f aca="false">IF(D164=0,"",AVERAGEIFS(Market_Panel!$R$2:$R$2705,Market_Panel!$A$2:$A$2705,B164,Market_Panel!$B$2:$B$2705,"&gt;="&amp;$B$9,Market_Panel!$B$2:$B$2705,"&lt;="&amp;$C$9))</f>
        <v/>
      </c>
      <c r="H164" s="11" t="n">
        <f aca="false">IF(OR(D164=0,$H$9=0),0,AVERAGEIFS(Market_Panel!$Y$2:$Y$2705,Market_Panel!$A$2:$A$2705,B164,Market_Panel!$B$2:$B$2705,"&gt;="&amp;$B$9,Market_Panel!$B$2:$B$2705,"&lt;="&amp;$C$9))</f>
        <v>0</v>
      </c>
      <c r="I164" s="10" t="str">
        <f aca="false">IF(D164=0,"",$I$9+$F$9*F164+$G$9*G164+$H$9*H164)</f>
        <v/>
      </c>
      <c r="J164" s="5" t="str">
        <f aca="false">IF(D164&lt;5,"",(E164-I164)*162)</f>
        <v/>
      </c>
      <c r="K164" s="5" t="str">
        <f aca="false">IF(D164=0,"",E164*162)</f>
        <v/>
      </c>
      <c r="L164" s="3" t="n">
        <f aca="false">SUMIFS(Seasons!$L$2:$L$2865,Seasons!$A$2:$A$2865,B164,Seasons!$B$2:$B$2865,"&gt;="&amp;$B$9,Seasons!$B$2:$B$2865,"&lt;="&amp;$C$9)</f>
        <v>0</v>
      </c>
      <c r="M164" s="3" t="n">
        <f aca="false">SUMIFS(Seasons!$N$2:$N$2865,Seasons!$A$2:$A$2865,B164,Seasons!$B$2:$B$2865,"&gt;="&amp;$B$9,Seasons!$B$2:$B$2865,"&lt;="&amp;$C$9)</f>
        <v>0</v>
      </c>
      <c r="N164" s="3" t="n">
        <f aca="false">IF(J164="",-1000000,J164+ROW()*0.000000001)</f>
        <v>-1000000</v>
      </c>
      <c r="O164" s="3" t="str">
        <f aca="false">IF(J164="","",SUMPRODUCT(($A$25:$A$534=A164)*($N$25:$N$534&gt;N164))+1)</f>
        <v/>
      </c>
      <c r="P164" s="3" t="str">
        <f aca="false">A164&amp;"|"&amp;O164</f>
        <v>1940s|</v>
      </c>
    </row>
    <row r="165" customFormat="false" ht="15" hidden="false" customHeight="true" outlineLevel="0" collapsed="false">
      <c r="A165" s="1" t="s">
        <v>13</v>
      </c>
      <c r="B165" s="7" t="s">
        <v>76</v>
      </c>
      <c r="C165" s="1" t="s">
        <v>72</v>
      </c>
      <c r="D165" s="3" t="n">
        <f aca="false">COUNTIFS(Market_Panel!$A$2:$A$2705,B165,Market_Panel!$B$2:$B$2705,"&gt;="&amp;$B$9,Market_Panel!$B$2:$B$2705,"&lt;="&amp;$C$9)</f>
        <v>0</v>
      </c>
      <c r="E165" s="10" t="str">
        <f aca="false">IF(D165=0,"",AVERAGEIFS(Market_Panel!$M$2:$M$2705,Market_Panel!$A$2:$A$2705,B165,Market_Panel!$B$2:$B$2705,"&gt;="&amp;$B$9,Market_Panel!$B$2:$B$2705,"&lt;="&amp;$C$9))</f>
        <v/>
      </c>
      <c r="F165" s="11" t="str">
        <f aca="false">IF(D165=0,"",AVERAGEIFS(Market_Panel!$P$2:$P$2705,Market_Panel!$A$2:$A$2705,B165,Market_Panel!$B$2:$B$2705,"&gt;="&amp;$B$9,Market_Panel!$B$2:$B$2705,"&lt;="&amp;$C$9))</f>
        <v/>
      </c>
      <c r="G165" s="11" t="str">
        <f aca="false">IF(D165=0,"",AVERAGEIFS(Market_Panel!$R$2:$R$2705,Market_Panel!$A$2:$A$2705,B165,Market_Panel!$B$2:$B$2705,"&gt;="&amp;$B$9,Market_Panel!$B$2:$B$2705,"&lt;="&amp;$C$9))</f>
        <v/>
      </c>
      <c r="H165" s="11" t="n">
        <f aca="false">IF(OR(D165=0,$H$9=0),0,AVERAGEIFS(Market_Panel!$Y$2:$Y$2705,Market_Panel!$A$2:$A$2705,B165,Market_Panel!$B$2:$B$2705,"&gt;="&amp;$B$9,Market_Panel!$B$2:$B$2705,"&lt;="&amp;$C$9))</f>
        <v>0</v>
      </c>
      <c r="I165" s="10" t="str">
        <f aca="false">IF(D165=0,"",$I$9+$F$9*F165+$G$9*G165+$H$9*H165)</f>
        <v/>
      </c>
      <c r="J165" s="5" t="str">
        <f aca="false">IF(D165&lt;5,"",(E165-I165)*162)</f>
        <v/>
      </c>
      <c r="K165" s="5" t="str">
        <f aca="false">IF(D165=0,"",E165*162)</f>
        <v/>
      </c>
      <c r="L165" s="3" t="n">
        <f aca="false">SUMIFS(Seasons!$L$2:$L$2865,Seasons!$A$2:$A$2865,B165,Seasons!$B$2:$B$2865,"&gt;="&amp;$B$9,Seasons!$B$2:$B$2865,"&lt;="&amp;$C$9)</f>
        <v>0</v>
      </c>
      <c r="M165" s="3" t="n">
        <f aca="false">SUMIFS(Seasons!$N$2:$N$2865,Seasons!$A$2:$A$2865,B165,Seasons!$B$2:$B$2865,"&gt;="&amp;$B$9,Seasons!$B$2:$B$2865,"&lt;="&amp;$C$9)</f>
        <v>0</v>
      </c>
      <c r="N165" s="3" t="n">
        <f aca="false">IF(J165="",-1000000,J165+ROW()*0.000000001)</f>
        <v>-1000000</v>
      </c>
      <c r="O165" s="3" t="str">
        <f aca="false">IF(J165="","",SUMPRODUCT(($A$25:$A$534=A165)*($N$25:$N$534&gt;N165))+1)</f>
        <v/>
      </c>
      <c r="P165" s="3" t="str">
        <f aca="false">A165&amp;"|"&amp;O165</f>
        <v>1940s|</v>
      </c>
    </row>
    <row r="166" customFormat="false" ht="15" hidden="false" customHeight="true" outlineLevel="0" collapsed="false">
      <c r="A166" s="1" t="s">
        <v>13</v>
      </c>
      <c r="B166" s="7" t="s">
        <v>77</v>
      </c>
      <c r="C166" s="1" t="s">
        <v>72</v>
      </c>
      <c r="D166" s="3" t="n">
        <f aca="false">COUNTIFS(Market_Panel!$A$2:$A$2705,B166,Market_Panel!$B$2:$B$2705,"&gt;="&amp;$B$9,Market_Panel!$B$2:$B$2705,"&lt;="&amp;$C$9)</f>
        <v>0</v>
      </c>
      <c r="E166" s="10" t="str">
        <f aca="false">IF(D166=0,"",AVERAGEIFS(Market_Panel!$M$2:$M$2705,Market_Panel!$A$2:$A$2705,B166,Market_Panel!$B$2:$B$2705,"&gt;="&amp;$B$9,Market_Panel!$B$2:$B$2705,"&lt;="&amp;$C$9))</f>
        <v/>
      </c>
      <c r="F166" s="11" t="str">
        <f aca="false">IF(D166=0,"",AVERAGEIFS(Market_Panel!$P$2:$P$2705,Market_Panel!$A$2:$A$2705,B166,Market_Panel!$B$2:$B$2705,"&gt;="&amp;$B$9,Market_Panel!$B$2:$B$2705,"&lt;="&amp;$C$9))</f>
        <v/>
      </c>
      <c r="G166" s="11" t="str">
        <f aca="false">IF(D166=0,"",AVERAGEIFS(Market_Panel!$R$2:$R$2705,Market_Panel!$A$2:$A$2705,B166,Market_Panel!$B$2:$B$2705,"&gt;="&amp;$B$9,Market_Panel!$B$2:$B$2705,"&lt;="&amp;$C$9))</f>
        <v/>
      </c>
      <c r="H166" s="11" t="n">
        <f aca="false">IF(OR(D166=0,$H$9=0),0,AVERAGEIFS(Market_Panel!$Y$2:$Y$2705,Market_Panel!$A$2:$A$2705,B166,Market_Panel!$B$2:$B$2705,"&gt;="&amp;$B$9,Market_Panel!$B$2:$B$2705,"&lt;="&amp;$C$9))</f>
        <v>0</v>
      </c>
      <c r="I166" s="10" t="str">
        <f aca="false">IF(D166=0,"",$I$9+$F$9*F166+$G$9*G166+$H$9*H166)</f>
        <v/>
      </c>
      <c r="J166" s="5" t="str">
        <f aca="false">IF(D166&lt;5,"",(E166-I166)*162)</f>
        <v/>
      </c>
      <c r="K166" s="5" t="str">
        <f aca="false">IF(D166=0,"",E166*162)</f>
        <v/>
      </c>
      <c r="L166" s="3" t="n">
        <f aca="false">SUMIFS(Seasons!$L$2:$L$2865,Seasons!$A$2:$A$2865,B166,Seasons!$B$2:$B$2865,"&gt;="&amp;$B$9,Seasons!$B$2:$B$2865,"&lt;="&amp;$C$9)</f>
        <v>0</v>
      </c>
      <c r="M166" s="3" t="n">
        <f aca="false">SUMIFS(Seasons!$N$2:$N$2865,Seasons!$A$2:$A$2865,B166,Seasons!$B$2:$B$2865,"&gt;="&amp;$B$9,Seasons!$B$2:$B$2865,"&lt;="&amp;$C$9)</f>
        <v>0</v>
      </c>
      <c r="N166" s="3" t="n">
        <f aca="false">IF(J166="",-1000000,J166+ROW()*0.000000001)</f>
        <v>-1000000</v>
      </c>
      <c r="O166" s="3" t="str">
        <f aca="false">IF(J166="","",SUMPRODUCT(($A$25:$A$534=A166)*($N$25:$N$534&gt;N166))+1)</f>
        <v/>
      </c>
      <c r="P166" s="3" t="str">
        <f aca="false">A166&amp;"|"&amp;O166</f>
        <v>1940s|</v>
      </c>
    </row>
    <row r="167" customFormat="false" ht="15" hidden="false" customHeight="true" outlineLevel="0" collapsed="false">
      <c r="A167" s="1" t="s">
        <v>13</v>
      </c>
      <c r="B167" s="7" t="s">
        <v>78</v>
      </c>
      <c r="C167" s="1" t="s">
        <v>72</v>
      </c>
      <c r="D167" s="3" t="n">
        <f aca="false">COUNTIFS(Market_Panel!$A$2:$A$2705,B167,Market_Panel!$B$2:$B$2705,"&gt;="&amp;$B$9,Market_Panel!$B$2:$B$2705,"&lt;="&amp;$C$9)</f>
        <v>0</v>
      </c>
      <c r="E167" s="10" t="str">
        <f aca="false">IF(D167=0,"",AVERAGEIFS(Market_Panel!$M$2:$M$2705,Market_Panel!$A$2:$A$2705,B167,Market_Panel!$B$2:$B$2705,"&gt;="&amp;$B$9,Market_Panel!$B$2:$B$2705,"&lt;="&amp;$C$9))</f>
        <v/>
      </c>
      <c r="F167" s="11" t="str">
        <f aca="false">IF(D167=0,"",AVERAGEIFS(Market_Panel!$P$2:$P$2705,Market_Panel!$A$2:$A$2705,B167,Market_Panel!$B$2:$B$2705,"&gt;="&amp;$B$9,Market_Panel!$B$2:$B$2705,"&lt;="&amp;$C$9))</f>
        <v/>
      </c>
      <c r="G167" s="11" t="str">
        <f aca="false">IF(D167=0,"",AVERAGEIFS(Market_Panel!$R$2:$R$2705,Market_Panel!$A$2:$A$2705,B167,Market_Panel!$B$2:$B$2705,"&gt;="&amp;$B$9,Market_Panel!$B$2:$B$2705,"&lt;="&amp;$C$9))</f>
        <v/>
      </c>
      <c r="H167" s="11" t="n">
        <f aca="false">IF(OR(D167=0,$H$9=0),0,AVERAGEIFS(Market_Panel!$Y$2:$Y$2705,Market_Panel!$A$2:$A$2705,B167,Market_Panel!$B$2:$B$2705,"&gt;="&amp;$B$9,Market_Panel!$B$2:$B$2705,"&lt;="&amp;$C$9))</f>
        <v>0</v>
      </c>
      <c r="I167" s="10" t="str">
        <f aca="false">IF(D167=0,"",$I$9+$F$9*F167+$G$9*G167+$H$9*H167)</f>
        <v/>
      </c>
      <c r="J167" s="5" t="str">
        <f aca="false">IF(D167&lt;5,"",(E167-I167)*162)</f>
        <v/>
      </c>
      <c r="K167" s="5" t="str">
        <f aca="false">IF(D167=0,"",E167*162)</f>
        <v/>
      </c>
      <c r="L167" s="3" t="n">
        <f aca="false">SUMIFS(Seasons!$L$2:$L$2865,Seasons!$A$2:$A$2865,B167,Seasons!$B$2:$B$2865,"&gt;="&amp;$B$9,Seasons!$B$2:$B$2865,"&lt;="&amp;$C$9)</f>
        <v>0</v>
      </c>
      <c r="M167" s="3" t="n">
        <f aca="false">SUMIFS(Seasons!$N$2:$N$2865,Seasons!$A$2:$A$2865,B167,Seasons!$B$2:$B$2865,"&gt;="&amp;$B$9,Seasons!$B$2:$B$2865,"&lt;="&amp;$C$9)</f>
        <v>0</v>
      </c>
      <c r="N167" s="3" t="n">
        <f aca="false">IF(J167="",-1000000,J167+ROW()*0.000000001)</f>
        <v>-1000000</v>
      </c>
      <c r="O167" s="3" t="str">
        <f aca="false">IF(J167="","",SUMPRODUCT(($A$25:$A$534=A167)*($N$25:$N$534&gt;N167))+1)</f>
        <v/>
      </c>
      <c r="P167" s="3" t="str">
        <f aca="false">A167&amp;"|"&amp;O167</f>
        <v>1940s|</v>
      </c>
    </row>
    <row r="168" customFormat="false" ht="15" hidden="false" customHeight="true" outlineLevel="0" collapsed="false">
      <c r="A168" s="1" t="s">
        <v>13</v>
      </c>
      <c r="B168" s="7" t="s">
        <v>79</v>
      </c>
      <c r="C168" s="1" t="s">
        <v>72</v>
      </c>
      <c r="D168" s="3" t="n">
        <f aca="false">COUNTIFS(Market_Panel!$A$2:$A$2705,B168,Market_Panel!$B$2:$B$2705,"&gt;="&amp;$B$9,Market_Panel!$B$2:$B$2705,"&lt;="&amp;$C$9)</f>
        <v>0</v>
      </c>
      <c r="E168" s="10" t="str">
        <f aca="false">IF(D168=0,"",AVERAGEIFS(Market_Panel!$M$2:$M$2705,Market_Panel!$A$2:$A$2705,B168,Market_Panel!$B$2:$B$2705,"&gt;="&amp;$B$9,Market_Panel!$B$2:$B$2705,"&lt;="&amp;$C$9))</f>
        <v/>
      </c>
      <c r="F168" s="11" t="str">
        <f aca="false">IF(D168=0,"",AVERAGEIFS(Market_Panel!$P$2:$P$2705,Market_Panel!$A$2:$A$2705,B168,Market_Panel!$B$2:$B$2705,"&gt;="&amp;$B$9,Market_Panel!$B$2:$B$2705,"&lt;="&amp;$C$9))</f>
        <v/>
      </c>
      <c r="G168" s="11" t="str">
        <f aca="false">IF(D168=0,"",AVERAGEIFS(Market_Panel!$R$2:$R$2705,Market_Panel!$A$2:$A$2705,B168,Market_Panel!$B$2:$B$2705,"&gt;="&amp;$B$9,Market_Panel!$B$2:$B$2705,"&lt;="&amp;$C$9))</f>
        <v/>
      </c>
      <c r="H168" s="11" t="n">
        <f aca="false">IF(OR(D168=0,$H$9=0),0,AVERAGEIFS(Market_Panel!$Y$2:$Y$2705,Market_Panel!$A$2:$A$2705,B168,Market_Panel!$B$2:$B$2705,"&gt;="&amp;$B$9,Market_Panel!$B$2:$B$2705,"&lt;="&amp;$C$9))</f>
        <v>0</v>
      </c>
      <c r="I168" s="10" t="str">
        <f aca="false">IF(D168=0,"",$I$9+$F$9*F168+$G$9*G168+$H$9*H168)</f>
        <v/>
      </c>
      <c r="J168" s="5" t="str">
        <f aca="false">IF(D168&lt;5,"",(E168-I168)*162)</f>
        <v/>
      </c>
      <c r="K168" s="5" t="str">
        <f aca="false">IF(D168=0,"",E168*162)</f>
        <v/>
      </c>
      <c r="L168" s="3" t="n">
        <f aca="false">SUMIFS(Seasons!$L$2:$L$2865,Seasons!$A$2:$A$2865,B168,Seasons!$B$2:$B$2865,"&gt;="&amp;$B$9,Seasons!$B$2:$B$2865,"&lt;="&amp;$C$9)</f>
        <v>0</v>
      </c>
      <c r="M168" s="3" t="n">
        <f aca="false">SUMIFS(Seasons!$N$2:$N$2865,Seasons!$A$2:$A$2865,B168,Seasons!$B$2:$B$2865,"&gt;="&amp;$B$9,Seasons!$B$2:$B$2865,"&lt;="&amp;$C$9)</f>
        <v>0</v>
      </c>
      <c r="N168" s="3" t="n">
        <f aca="false">IF(J168="",-1000000,J168+ROW()*0.000000001)</f>
        <v>-1000000</v>
      </c>
      <c r="O168" s="3" t="str">
        <f aca="false">IF(J168="","",SUMPRODUCT(($A$25:$A$534=A168)*($N$25:$N$534&gt;N168))+1)</f>
        <v/>
      </c>
      <c r="P168" s="3" t="str">
        <f aca="false">A168&amp;"|"&amp;O168</f>
        <v>1940s|</v>
      </c>
    </row>
    <row r="169" customFormat="false" ht="15" hidden="false" customHeight="true" outlineLevel="0" collapsed="false">
      <c r="A169" s="1" t="s">
        <v>13</v>
      </c>
      <c r="B169" s="7" t="s">
        <v>80</v>
      </c>
      <c r="C169" s="1" t="s">
        <v>72</v>
      </c>
      <c r="D169" s="3" t="n">
        <f aca="false">COUNTIFS(Market_Panel!$A$2:$A$2705,B169,Market_Panel!$B$2:$B$2705,"&gt;="&amp;$B$9,Market_Panel!$B$2:$B$2705,"&lt;="&amp;$C$9)</f>
        <v>0</v>
      </c>
      <c r="E169" s="10" t="str">
        <f aca="false">IF(D169=0,"",AVERAGEIFS(Market_Panel!$M$2:$M$2705,Market_Panel!$A$2:$A$2705,B169,Market_Panel!$B$2:$B$2705,"&gt;="&amp;$B$9,Market_Panel!$B$2:$B$2705,"&lt;="&amp;$C$9))</f>
        <v/>
      </c>
      <c r="F169" s="11" t="str">
        <f aca="false">IF(D169=0,"",AVERAGEIFS(Market_Panel!$P$2:$P$2705,Market_Panel!$A$2:$A$2705,B169,Market_Panel!$B$2:$B$2705,"&gt;="&amp;$B$9,Market_Panel!$B$2:$B$2705,"&lt;="&amp;$C$9))</f>
        <v/>
      </c>
      <c r="G169" s="11" t="str">
        <f aca="false">IF(D169=0,"",AVERAGEIFS(Market_Panel!$R$2:$R$2705,Market_Panel!$A$2:$A$2705,B169,Market_Panel!$B$2:$B$2705,"&gt;="&amp;$B$9,Market_Panel!$B$2:$B$2705,"&lt;="&amp;$C$9))</f>
        <v/>
      </c>
      <c r="H169" s="11" t="n">
        <f aca="false">IF(OR(D169=0,$H$9=0),0,AVERAGEIFS(Market_Panel!$Y$2:$Y$2705,Market_Panel!$A$2:$A$2705,B169,Market_Panel!$B$2:$B$2705,"&gt;="&amp;$B$9,Market_Panel!$B$2:$B$2705,"&lt;="&amp;$C$9))</f>
        <v>0</v>
      </c>
      <c r="I169" s="10" t="str">
        <f aca="false">IF(D169=0,"",$I$9+$F$9*F169+$G$9*G169+$H$9*H169)</f>
        <v/>
      </c>
      <c r="J169" s="5" t="str">
        <f aca="false">IF(D169&lt;5,"",(E169-I169)*162)</f>
        <v/>
      </c>
      <c r="K169" s="5" t="str">
        <f aca="false">IF(D169=0,"",E169*162)</f>
        <v/>
      </c>
      <c r="L169" s="3" t="n">
        <f aca="false">SUMIFS(Seasons!$L$2:$L$2865,Seasons!$A$2:$A$2865,B169,Seasons!$B$2:$B$2865,"&gt;="&amp;$B$9,Seasons!$B$2:$B$2865,"&lt;="&amp;$C$9)</f>
        <v>0</v>
      </c>
      <c r="M169" s="3" t="n">
        <f aca="false">SUMIFS(Seasons!$N$2:$N$2865,Seasons!$A$2:$A$2865,B169,Seasons!$B$2:$B$2865,"&gt;="&amp;$B$9,Seasons!$B$2:$B$2865,"&lt;="&amp;$C$9)</f>
        <v>0</v>
      </c>
      <c r="N169" s="3" t="n">
        <f aca="false">IF(J169="",-1000000,J169+ROW()*0.000000001)</f>
        <v>-1000000</v>
      </c>
      <c r="O169" s="3" t="str">
        <f aca="false">IF(J169="","",SUMPRODUCT(($A$25:$A$534=A169)*($N$25:$N$534&gt;N169))+1)</f>
        <v/>
      </c>
      <c r="P169" s="3" t="str">
        <f aca="false">A169&amp;"|"&amp;O169</f>
        <v>1940s|</v>
      </c>
    </row>
    <row r="170" customFormat="false" ht="15" hidden="false" customHeight="true" outlineLevel="0" collapsed="false">
      <c r="A170" s="1" t="s">
        <v>13</v>
      </c>
      <c r="B170" s="7" t="s">
        <v>81</v>
      </c>
      <c r="C170" s="1" t="s">
        <v>72</v>
      </c>
      <c r="D170" s="3" t="n">
        <f aca="false">COUNTIFS(Market_Panel!$A$2:$A$2705,B170,Market_Panel!$B$2:$B$2705,"&gt;="&amp;$B$9,Market_Panel!$B$2:$B$2705,"&lt;="&amp;$C$9)</f>
        <v>0</v>
      </c>
      <c r="E170" s="10" t="str">
        <f aca="false">IF(D170=0,"",AVERAGEIFS(Market_Panel!$M$2:$M$2705,Market_Panel!$A$2:$A$2705,B170,Market_Panel!$B$2:$B$2705,"&gt;="&amp;$B$9,Market_Panel!$B$2:$B$2705,"&lt;="&amp;$C$9))</f>
        <v/>
      </c>
      <c r="F170" s="11" t="str">
        <f aca="false">IF(D170=0,"",AVERAGEIFS(Market_Panel!$P$2:$P$2705,Market_Panel!$A$2:$A$2705,B170,Market_Panel!$B$2:$B$2705,"&gt;="&amp;$B$9,Market_Panel!$B$2:$B$2705,"&lt;="&amp;$C$9))</f>
        <v/>
      </c>
      <c r="G170" s="11" t="str">
        <f aca="false">IF(D170=0,"",AVERAGEIFS(Market_Panel!$R$2:$R$2705,Market_Panel!$A$2:$A$2705,B170,Market_Panel!$B$2:$B$2705,"&gt;="&amp;$B$9,Market_Panel!$B$2:$B$2705,"&lt;="&amp;$C$9))</f>
        <v/>
      </c>
      <c r="H170" s="11" t="n">
        <f aca="false">IF(OR(D170=0,$H$9=0),0,AVERAGEIFS(Market_Panel!$Y$2:$Y$2705,Market_Panel!$A$2:$A$2705,B170,Market_Panel!$B$2:$B$2705,"&gt;="&amp;$B$9,Market_Panel!$B$2:$B$2705,"&lt;="&amp;$C$9))</f>
        <v>0</v>
      </c>
      <c r="I170" s="10" t="str">
        <f aca="false">IF(D170=0,"",$I$9+$F$9*F170+$G$9*G170+$H$9*H170)</f>
        <v/>
      </c>
      <c r="J170" s="5" t="str">
        <f aca="false">IF(D170&lt;5,"",(E170-I170)*162)</f>
        <v/>
      </c>
      <c r="K170" s="5" t="str">
        <f aca="false">IF(D170=0,"",E170*162)</f>
        <v/>
      </c>
      <c r="L170" s="3" t="n">
        <f aca="false">SUMIFS(Seasons!$L$2:$L$2865,Seasons!$A$2:$A$2865,B170,Seasons!$B$2:$B$2865,"&gt;="&amp;$B$9,Seasons!$B$2:$B$2865,"&lt;="&amp;$C$9)</f>
        <v>0</v>
      </c>
      <c r="M170" s="3" t="n">
        <f aca="false">SUMIFS(Seasons!$N$2:$N$2865,Seasons!$A$2:$A$2865,B170,Seasons!$B$2:$B$2865,"&gt;="&amp;$B$9,Seasons!$B$2:$B$2865,"&lt;="&amp;$C$9)</f>
        <v>0</v>
      </c>
      <c r="N170" s="3" t="n">
        <f aca="false">IF(J170="",-1000000,J170+ROW()*0.000000001)</f>
        <v>-1000000</v>
      </c>
      <c r="O170" s="3" t="str">
        <f aca="false">IF(J170="","",SUMPRODUCT(($A$25:$A$534=A170)*($N$25:$N$534&gt;N170))+1)</f>
        <v/>
      </c>
      <c r="P170" s="3" t="str">
        <f aca="false">A170&amp;"|"&amp;O170</f>
        <v>1940s|</v>
      </c>
    </row>
    <row r="171" customFormat="false" ht="15" hidden="false" customHeight="true" outlineLevel="0" collapsed="false">
      <c r="A171" s="1" t="s">
        <v>13</v>
      </c>
      <c r="B171" s="7" t="s">
        <v>82</v>
      </c>
      <c r="C171" s="1" t="s">
        <v>72</v>
      </c>
      <c r="D171" s="3" t="n">
        <f aca="false">COUNTIFS(Market_Panel!$A$2:$A$2705,B171,Market_Panel!$B$2:$B$2705,"&gt;="&amp;$B$9,Market_Panel!$B$2:$B$2705,"&lt;="&amp;$C$9)</f>
        <v>0</v>
      </c>
      <c r="E171" s="10" t="str">
        <f aca="false">IF(D171=0,"",AVERAGEIFS(Market_Panel!$M$2:$M$2705,Market_Panel!$A$2:$A$2705,B171,Market_Panel!$B$2:$B$2705,"&gt;="&amp;$B$9,Market_Panel!$B$2:$B$2705,"&lt;="&amp;$C$9))</f>
        <v/>
      </c>
      <c r="F171" s="11" t="str">
        <f aca="false">IF(D171=0,"",AVERAGEIFS(Market_Panel!$P$2:$P$2705,Market_Panel!$A$2:$A$2705,B171,Market_Panel!$B$2:$B$2705,"&gt;="&amp;$B$9,Market_Panel!$B$2:$B$2705,"&lt;="&amp;$C$9))</f>
        <v/>
      </c>
      <c r="G171" s="11" t="str">
        <f aca="false">IF(D171=0,"",AVERAGEIFS(Market_Panel!$R$2:$R$2705,Market_Panel!$A$2:$A$2705,B171,Market_Panel!$B$2:$B$2705,"&gt;="&amp;$B$9,Market_Panel!$B$2:$B$2705,"&lt;="&amp;$C$9))</f>
        <v/>
      </c>
      <c r="H171" s="11" t="n">
        <f aca="false">IF(OR(D171=0,$H$9=0),0,AVERAGEIFS(Market_Panel!$Y$2:$Y$2705,Market_Panel!$A$2:$A$2705,B171,Market_Panel!$B$2:$B$2705,"&gt;="&amp;$B$9,Market_Panel!$B$2:$B$2705,"&lt;="&amp;$C$9))</f>
        <v>0</v>
      </c>
      <c r="I171" s="10" t="str">
        <f aca="false">IF(D171=0,"",$I$9+$F$9*F171+$G$9*G171+$H$9*H171)</f>
        <v/>
      </c>
      <c r="J171" s="5" t="str">
        <f aca="false">IF(D171&lt;5,"",(E171-I171)*162)</f>
        <v/>
      </c>
      <c r="K171" s="5" t="str">
        <f aca="false">IF(D171=0,"",E171*162)</f>
        <v/>
      </c>
      <c r="L171" s="3" t="n">
        <f aca="false">SUMIFS(Seasons!$L$2:$L$2865,Seasons!$A$2:$A$2865,B171,Seasons!$B$2:$B$2865,"&gt;="&amp;$B$9,Seasons!$B$2:$B$2865,"&lt;="&amp;$C$9)</f>
        <v>0</v>
      </c>
      <c r="M171" s="3" t="n">
        <f aca="false">SUMIFS(Seasons!$N$2:$N$2865,Seasons!$A$2:$A$2865,B171,Seasons!$B$2:$B$2865,"&gt;="&amp;$B$9,Seasons!$B$2:$B$2865,"&lt;="&amp;$C$9)</f>
        <v>0</v>
      </c>
      <c r="N171" s="3" t="n">
        <f aca="false">IF(J171="",-1000000,J171+ROW()*0.000000001)</f>
        <v>-1000000</v>
      </c>
      <c r="O171" s="3" t="str">
        <f aca="false">IF(J171="","",SUMPRODUCT(($A$25:$A$534=A171)*($N$25:$N$534&gt;N171))+1)</f>
        <v/>
      </c>
      <c r="P171" s="3" t="str">
        <f aca="false">A171&amp;"|"&amp;O171</f>
        <v>1940s|</v>
      </c>
    </row>
    <row r="172" customFormat="false" ht="15" hidden="false" customHeight="true" outlineLevel="0" collapsed="false">
      <c r="A172" s="1" t="s">
        <v>13</v>
      </c>
      <c r="B172" s="7" t="s">
        <v>83</v>
      </c>
      <c r="C172" s="1" t="s">
        <v>72</v>
      </c>
      <c r="D172" s="3" t="n">
        <f aca="false">COUNTIFS(Market_Panel!$A$2:$A$2705,B172,Market_Panel!$B$2:$B$2705,"&gt;="&amp;$B$9,Market_Panel!$B$2:$B$2705,"&lt;="&amp;$C$9)</f>
        <v>0</v>
      </c>
      <c r="E172" s="10" t="str">
        <f aca="false">IF(D172=0,"",AVERAGEIFS(Market_Panel!$M$2:$M$2705,Market_Panel!$A$2:$A$2705,B172,Market_Panel!$B$2:$B$2705,"&gt;="&amp;$B$9,Market_Panel!$B$2:$B$2705,"&lt;="&amp;$C$9))</f>
        <v/>
      </c>
      <c r="F172" s="11" t="str">
        <f aca="false">IF(D172=0,"",AVERAGEIFS(Market_Panel!$P$2:$P$2705,Market_Panel!$A$2:$A$2705,B172,Market_Panel!$B$2:$B$2705,"&gt;="&amp;$B$9,Market_Panel!$B$2:$B$2705,"&lt;="&amp;$C$9))</f>
        <v/>
      </c>
      <c r="G172" s="11" t="str">
        <f aca="false">IF(D172=0,"",AVERAGEIFS(Market_Panel!$R$2:$R$2705,Market_Panel!$A$2:$A$2705,B172,Market_Panel!$B$2:$B$2705,"&gt;="&amp;$B$9,Market_Panel!$B$2:$B$2705,"&lt;="&amp;$C$9))</f>
        <v/>
      </c>
      <c r="H172" s="11" t="n">
        <f aca="false">IF(OR(D172=0,$H$9=0),0,AVERAGEIFS(Market_Panel!$Y$2:$Y$2705,Market_Panel!$A$2:$A$2705,B172,Market_Panel!$B$2:$B$2705,"&gt;="&amp;$B$9,Market_Panel!$B$2:$B$2705,"&lt;="&amp;$C$9))</f>
        <v>0</v>
      </c>
      <c r="I172" s="10" t="str">
        <f aca="false">IF(D172=0,"",$I$9+$F$9*F172+$G$9*G172+$H$9*H172)</f>
        <v/>
      </c>
      <c r="J172" s="5" t="str">
        <f aca="false">IF(D172&lt;5,"",(E172-I172)*162)</f>
        <v/>
      </c>
      <c r="K172" s="5" t="str">
        <f aca="false">IF(D172=0,"",E172*162)</f>
        <v/>
      </c>
      <c r="L172" s="3" t="n">
        <f aca="false">SUMIFS(Seasons!$L$2:$L$2865,Seasons!$A$2:$A$2865,B172,Seasons!$B$2:$B$2865,"&gt;="&amp;$B$9,Seasons!$B$2:$B$2865,"&lt;="&amp;$C$9)</f>
        <v>0</v>
      </c>
      <c r="M172" s="3" t="n">
        <f aca="false">SUMIFS(Seasons!$N$2:$N$2865,Seasons!$A$2:$A$2865,B172,Seasons!$B$2:$B$2865,"&gt;="&amp;$B$9,Seasons!$B$2:$B$2865,"&lt;="&amp;$C$9)</f>
        <v>0</v>
      </c>
      <c r="N172" s="3" t="n">
        <f aca="false">IF(J172="",-1000000,J172+ROW()*0.000000001)</f>
        <v>-1000000</v>
      </c>
      <c r="O172" s="3" t="str">
        <f aca="false">IF(J172="","",SUMPRODUCT(($A$25:$A$534=A172)*($N$25:$N$534&gt;N172))+1)</f>
        <v/>
      </c>
      <c r="P172" s="3" t="str">
        <f aca="false">A172&amp;"|"&amp;O172</f>
        <v>1940s|</v>
      </c>
    </row>
    <row r="173" customFormat="false" ht="15" hidden="false" customHeight="true" outlineLevel="0" collapsed="false">
      <c r="A173" s="1" t="s">
        <v>13</v>
      </c>
      <c r="B173" s="7" t="s">
        <v>84</v>
      </c>
      <c r="C173" s="1" t="s">
        <v>72</v>
      </c>
      <c r="D173" s="3" t="n">
        <f aca="false">COUNTIFS(Market_Panel!$A$2:$A$2705,B173,Market_Panel!$B$2:$B$2705,"&gt;="&amp;$B$9,Market_Panel!$B$2:$B$2705,"&lt;="&amp;$C$9)</f>
        <v>0</v>
      </c>
      <c r="E173" s="10" t="str">
        <f aca="false">IF(D173=0,"",AVERAGEIFS(Market_Panel!$M$2:$M$2705,Market_Panel!$A$2:$A$2705,B173,Market_Panel!$B$2:$B$2705,"&gt;="&amp;$B$9,Market_Panel!$B$2:$B$2705,"&lt;="&amp;$C$9))</f>
        <v/>
      </c>
      <c r="F173" s="11" t="str">
        <f aca="false">IF(D173=0,"",AVERAGEIFS(Market_Panel!$P$2:$P$2705,Market_Panel!$A$2:$A$2705,B173,Market_Panel!$B$2:$B$2705,"&gt;="&amp;$B$9,Market_Panel!$B$2:$B$2705,"&lt;="&amp;$C$9))</f>
        <v/>
      </c>
      <c r="G173" s="11" t="str">
        <f aca="false">IF(D173=0,"",AVERAGEIFS(Market_Panel!$R$2:$R$2705,Market_Panel!$A$2:$A$2705,B173,Market_Panel!$B$2:$B$2705,"&gt;="&amp;$B$9,Market_Panel!$B$2:$B$2705,"&lt;="&amp;$C$9))</f>
        <v/>
      </c>
      <c r="H173" s="11" t="n">
        <f aca="false">IF(OR(D173=0,$H$9=0),0,AVERAGEIFS(Market_Panel!$Y$2:$Y$2705,Market_Panel!$A$2:$A$2705,B173,Market_Panel!$B$2:$B$2705,"&gt;="&amp;$B$9,Market_Panel!$B$2:$B$2705,"&lt;="&amp;$C$9))</f>
        <v>0</v>
      </c>
      <c r="I173" s="10" t="str">
        <f aca="false">IF(D173=0,"",$I$9+$F$9*F173+$G$9*G173+$H$9*H173)</f>
        <v/>
      </c>
      <c r="J173" s="5" t="str">
        <f aca="false">IF(D173&lt;5,"",(E173-I173)*162)</f>
        <v/>
      </c>
      <c r="K173" s="5" t="str">
        <f aca="false">IF(D173=0,"",E173*162)</f>
        <v/>
      </c>
      <c r="L173" s="3" t="n">
        <f aca="false">SUMIFS(Seasons!$L$2:$L$2865,Seasons!$A$2:$A$2865,B173,Seasons!$B$2:$B$2865,"&gt;="&amp;$B$9,Seasons!$B$2:$B$2865,"&lt;="&amp;$C$9)</f>
        <v>0</v>
      </c>
      <c r="M173" s="3" t="n">
        <f aca="false">SUMIFS(Seasons!$N$2:$N$2865,Seasons!$A$2:$A$2865,B173,Seasons!$B$2:$B$2865,"&gt;="&amp;$B$9,Seasons!$B$2:$B$2865,"&lt;="&amp;$C$9)</f>
        <v>0</v>
      </c>
      <c r="N173" s="3" t="n">
        <f aca="false">IF(J173="",-1000000,J173+ROW()*0.000000001)</f>
        <v>-1000000</v>
      </c>
      <c r="O173" s="3" t="str">
        <f aca="false">IF(J173="","",SUMPRODUCT(($A$25:$A$534=A173)*($N$25:$N$534&gt;N173))+1)</f>
        <v/>
      </c>
      <c r="P173" s="3" t="str">
        <f aca="false">A173&amp;"|"&amp;O173</f>
        <v>1940s|</v>
      </c>
    </row>
    <row r="174" customFormat="false" ht="15" hidden="false" customHeight="true" outlineLevel="0" collapsed="false">
      <c r="A174" s="1" t="s">
        <v>13</v>
      </c>
      <c r="B174" s="7" t="s">
        <v>85</v>
      </c>
      <c r="C174" s="1" t="s">
        <v>72</v>
      </c>
      <c r="D174" s="3" t="n">
        <f aca="false">COUNTIFS(Market_Panel!$A$2:$A$2705,B174,Market_Panel!$B$2:$B$2705,"&gt;="&amp;$B$9,Market_Panel!$B$2:$B$2705,"&lt;="&amp;$C$9)</f>
        <v>0</v>
      </c>
      <c r="E174" s="10" t="str">
        <f aca="false">IF(D174=0,"",AVERAGEIFS(Market_Panel!$M$2:$M$2705,Market_Panel!$A$2:$A$2705,B174,Market_Panel!$B$2:$B$2705,"&gt;="&amp;$B$9,Market_Panel!$B$2:$B$2705,"&lt;="&amp;$C$9))</f>
        <v/>
      </c>
      <c r="F174" s="11" t="str">
        <f aca="false">IF(D174=0,"",AVERAGEIFS(Market_Panel!$P$2:$P$2705,Market_Panel!$A$2:$A$2705,B174,Market_Panel!$B$2:$B$2705,"&gt;="&amp;$B$9,Market_Panel!$B$2:$B$2705,"&lt;="&amp;$C$9))</f>
        <v/>
      </c>
      <c r="G174" s="11" t="str">
        <f aca="false">IF(D174=0,"",AVERAGEIFS(Market_Panel!$R$2:$R$2705,Market_Panel!$A$2:$A$2705,B174,Market_Panel!$B$2:$B$2705,"&gt;="&amp;$B$9,Market_Panel!$B$2:$B$2705,"&lt;="&amp;$C$9))</f>
        <v/>
      </c>
      <c r="H174" s="11" t="n">
        <f aca="false">IF(OR(D174=0,$H$9=0),0,AVERAGEIFS(Market_Panel!$Y$2:$Y$2705,Market_Panel!$A$2:$A$2705,B174,Market_Panel!$B$2:$B$2705,"&gt;="&amp;$B$9,Market_Panel!$B$2:$B$2705,"&lt;="&amp;$C$9))</f>
        <v>0</v>
      </c>
      <c r="I174" s="10" t="str">
        <f aca="false">IF(D174=0,"",$I$9+$F$9*F174+$G$9*G174+$H$9*H174)</f>
        <v/>
      </c>
      <c r="J174" s="5" t="str">
        <f aca="false">IF(D174&lt;5,"",(E174-I174)*162)</f>
        <v/>
      </c>
      <c r="K174" s="5" t="str">
        <f aca="false">IF(D174=0,"",E174*162)</f>
        <v/>
      </c>
      <c r="L174" s="3" t="n">
        <f aca="false">SUMIFS(Seasons!$L$2:$L$2865,Seasons!$A$2:$A$2865,B174,Seasons!$B$2:$B$2865,"&gt;="&amp;$B$9,Seasons!$B$2:$B$2865,"&lt;="&amp;$C$9)</f>
        <v>0</v>
      </c>
      <c r="M174" s="3" t="n">
        <f aca="false">SUMIFS(Seasons!$N$2:$N$2865,Seasons!$A$2:$A$2865,B174,Seasons!$B$2:$B$2865,"&gt;="&amp;$B$9,Seasons!$B$2:$B$2865,"&lt;="&amp;$C$9)</f>
        <v>0</v>
      </c>
      <c r="N174" s="3" t="n">
        <f aca="false">IF(J174="",-1000000,J174+ROW()*0.000000001)</f>
        <v>-1000000</v>
      </c>
      <c r="O174" s="3" t="str">
        <f aca="false">IF(J174="","",SUMPRODUCT(($A$25:$A$534=A174)*($N$25:$N$534&gt;N174))+1)</f>
        <v/>
      </c>
      <c r="P174" s="3" t="str">
        <f aca="false">A174&amp;"|"&amp;O174</f>
        <v>1940s|</v>
      </c>
    </row>
    <row r="175" customFormat="false" ht="15" hidden="false" customHeight="true" outlineLevel="0" collapsed="false">
      <c r="A175" s="1" t="s">
        <v>14</v>
      </c>
      <c r="B175" s="7" t="s">
        <v>54</v>
      </c>
      <c r="C175" s="1" t="s">
        <v>55</v>
      </c>
      <c r="D175" s="3" t="n">
        <f aca="false">COUNTIFS(Market_Panel!$A$2:$A$2705,B175,Market_Panel!$B$2:$B$2705,"&gt;="&amp;$B$10,Market_Panel!$B$2:$B$2705,"&lt;="&amp;$C$10)</f>
        <v>10</v>
      </c>
      <c r="E175" s="10" t="n">
        <f aca="false">IF(D175=0,"",AVERAGEIFS(Market_Panel!$M$2:$M$2705,Market_Panel!$A$2:$A$2705,B175,Market_Panel!$B$2:$B$2705,"&gt;="&amp;$B$10,Market_Panel!$B$2:$B$2705,"&lt;="&amp;$C$10))</f>
        <v>0.054128838950375</v>
      </c>
      <c r="F175" s="11" t="n">
        <f aca="false">IF(D175=0,"",AVERAGEIFS(Market_Panel!$P$2:$P$2705,Market_Panel!$A$2:$A$2705,B175,Market_Panel!$B$2:$B$2705,"&gt;="&amp;$B$10,Market_Panel!$B$2:$B$2705,"&lt;="&amp;$C$10))</f>
        <v>-0.605501384405912</v>
      </c>
      <c r="G175" s="11" t="n">
        <f aca="false">IF(D175=0,"",AVERAGEIFS(Market_Panel!$R$2:$R$2705,Market_Panel!$A$2:$A$2705,B175,Market_Panel!$B$2:$B$2705,"&gt;="&amp;$B$10,Market_Panel!$B$2:$B$2705,"&lt;="&amp;$C$10))</f>
        <v>0</v>
      </c>
      <c r="H175" s="11" t="n">
        <f aca="false">IF(OR(D175=0,$H$10=0),0,AVERAGEIFS(Market_Panel!$Y$2:$Y$2705,Market_Panel!$A$2:$A$2705,B175,Market_Panel!$B$2:$B$2705,"&gt;="&amp;$B$10,Market_Panel!$B$2:$B$2705,"&lt;="&amp;$C$10))</f>
        <v>0</v>
      </c>
      <c r="I175" s="10" t="n">
        <f aca="false">IF(D175=0,"",$I$10+$F$10*F175+$G$10*G175+$H$10*H175)</f>
        <v>-0.0282029289961828</v>
      </c>
      <c r="J175" s="5" t="n">
        <f aca="false">IF(D175&lt;5,"",(E175-I175)*162)</f>
        <v>13.3377464073424</v>
      </c>
      <c r="K175" s="5" t="n">
        <f aca="false">IF(D175=0,"",E175*162)</f>
        <v>8.76887190996075</v>
      </c>
      <c r="L175" s="3" t="n">
        <f aca="false">SUMIFS(Seasons!$L$2:$L$2865,Seasons!$A$2:$A$2865,B175,Seasons!$B$2:$B$2865,"&gt;="&amp;$B$10,Seasons!$B$2:$B$2865,"&lt;="&amp;$C$10)</f>
        <v>2</v>
      </c>
      <c r="M175" s="3" t="n">
        <f aca="false">SUMIFS(Seasons!$N$2:$N$2865,Seasons!$A$2:$A$2865,B175,Seasons!$B$2:$B$2865,"&gt;="&amp;$B$10,Seasons!$B$2:$B$2865,"&lt;="&amp;$C$10)</f>
        <v>1</v>
      </c>
      <c r="N175" s="3" t="n">
        <f aca="false">IF(J175="",-1000000,J175+ROW()*0.000000001)</f>
        <v>13.3377465823424</v>
      </c>
      <c r="O175" s="3" t="n">
        <f aca="false">IF(J175="","",SUMPRODUCT(($A$25:$A$534=A175)*($N$25:$N$534&gt;N175))+1)</f>
        <v>2</v>
      </c>
      <c r="P175" s="3" t="str">
        <f aca="false">A175&amp;"|"&amp;O175</f>
        <v>1950s|2</v>
      </c>
    </row>
    <row r="176" customFormat="false" ht="15" hidden="false" customHeight="true" outlineLevel="0" collapsed="false">
      <c r="A176" s="1" t="s">
        <v>14</v>
      </c>
      <c r="B176" s="7" t="s">
        <v>56</v>
      </c>
      <c r="C176" s="1" t="s">
        <v>55</v>
      </c>
      <c r="D176" s="3" t="n">
        <f aca="false">COUNTIFS(Market_Panel!$A$2:$A$2705,B176,Market_Panel!$B$2:$B$2705,"&gt;="&amp;$B$10,Market_Panel!$B$2:$B$2705,"&lt;="&amp;$C$10)</f>
        <v>10</v>
      </c>
      <c r="E176" s="10" t="n">
        <f aca="false">IF(D176=0,"",AVERAGEIFS(Market_Panel!$M$2:$M$2705,Market_Panel!$A$2:$A$2705,B176,Market_Panel!$B$2:$B$2705,"&gt;="&amp;$B$10,Market_Panel!$B$2:$B$2705,"&lt;="&amp;$C$10))</f>
        <v>-0.0630314517393275</v>
      </c>
      <c r="F176" s="11" t="n">
        <f aca="false">IF(D176=0,"",AVERAGEIFS(Market_Panel!$P$2:$P$2705,Market_Panel!$A$2:$A$2705,B176,Market_Panel!$B$2:$B$2705,"&gt;="&amp;$B$10,Market_Panel!$B$2:$B$2705,"&lt;="&amp;$C$10))</f>
        <v>0.509579611166556</v>
      </c>
      <c r="G176" s="11" t="n">
        <f aca="false">IF(D176=0,"",AVERAGEIFS(Market_Panel!$R$2:$R$2705,Market_Panel!$A$2:$A$2705,B176,Market_Panel!$B$2:$B$2705,"&gt;="&amp;$B$10,Market_Panel!$B$2:$B$2705,"&lt;="&amp;$C$10))</f>
        <v>0</v>
      </c>
      <c r="H176" s="11" t="n">
        <f aca="false">IF(OR(D176=0,$H$10=0),0,AVERAGEIFS(Market_Panel!$Y$2:$Y$2705,Market_Panel!$A$2:$A$2705,B176,Market_Panel!$B$2:$B$2705,"&gt;="&amp;$B$10,Market_Panel!$B$2:$B$2705,"&lt;="&amp;$C$10))</f>
        <v>0</v>
      </c>
      <c r="I176" s="10" t="n">
        <f aca="false">IF(D176=0,"",$I$10+$F$10*F176+$G$10*G176+$H$10*H176)</f>
        <v>0.0237351027788872</v>
      </c>
      <c r="J176" s="5" t="n">
        <f aca="false">IF(D176&lt;5,"",(E176-I176)*162)</f>
        <v>-14.0561818319508</v>
      </c>
      <c r="K176" s="5" t="n">
        <f aca="false">IF(D176=0,"",E176*162)</f>
        <v>-10.2110951817711</v>
      </c>
      <c r="L176" s="3" t="n">
        <f aca="false">SUMIFS(Seasons!$L$2:$L$2865,Seasons!$A$2:$A$2865,B176,Seasons!$B$2:$B$2865,"&gt;="&amp;$B$10,Seasons!$B$2:$B$2865,"&lt;="&amp;$C$10)</f>
        <v>0</v>
      </c>
      <c r="M176" s="3" t="n">
        <f aca="false">SUMIFS(Seasons!$N$2:$N$2865,Seasons!$A$2:$A$2865,B176,Seasons!$B$2:$B$2865,"&gt;="&amp;$B$10,Seasons!$B$2:$B$2865,"&lt;="&amp;$C$10)</f>
        <v>0</v>
      </c>
      <c r="N176" s="3" t="n">
        <f aca="false">IF(J176="",-1000000,J176+ROW()*0.000000001)</f>
        <v>-14.0561816559508</v>
      </c>
      <c r="O176" s="3" t="n">
        <f aca="false">IF(J176="","",SUMPRODUCT(($A$25:$A$534=A176)*($N$25:$N$534&gt;N176))+1)</f>
        <v>16</v>
      </c>
      <c r="P176" s="3" t="str">
        <f aca="false">A176&amp;"|"&amp;O176</f>
        <v>1950s|16</v>
      </c>
    </row>
    <row r="177" customFormat="false" ht="15" hidden="false" customHeight="true" outlineLevel="0" collapsed="false">
      <c r="A177" s="1" t="s">
        <v>14</v>
      </c>
      <c r="B177" s="7" t="s">
        <v>57</v>
      </c>
      <c r="C177" s="1" t="s">
        <v>55</v>
      </c>
      <c r="D177" s="3" t="n">
        <f aca="false">COUNTIFS(Market_Panel!$A$2:$A$2705,B177,Market_Panel!$B$2:$B$2705,"&gt;="&amp;$B$10,Market_Panel!$B$2:$B$2705,"&lt;="&amp;$C$10)</f>
        <v>10</v>
      </c>
      <c r="E177" s="10" t="n">
        <f aca="false">IF(D177=0,"",AVERAGEIFS(Market_Panel!$M$2:$M$2705,Market_Panel!$A$2:$A$2705,B177,Market_Panel!$B$2:$B$2705,"&gt;="&amp;$B$10,Market_Panel!$B$2:$B$2705,"&lt;="&amp;$C$10))</f>
        <v>-0.0185233454665153</v>
      </c>
      <c r="F177" s="11" t="n">
        <f aca="false">IF(D177=0,"",AVERAGEIFS(Market_Panel!$P$2:$P$2705,Market_Panel!$A$2:$A$2705,B177,Market_Panel!$B$2:$B$2705,"&gt;="&amp;$B$10,Market_Panel!$B$2:$B$2705,"&lt;="&amp;$C$10))</f>
        <v>-0.76163539543611</v>
      </c>
      <c r="G177" s="11" t="n">
        <f aca="false">IF(D177=0,"",AVERAGEIFS(Market_Panel!$R$2:$R$2705,Market_Panel!$A$2:$A$2705,B177,Market_Panel!$B$2:$B$2705,"&gt;="&amp;$B$10,Market_Panel!$B$2:$B$2705,"&lt;="&amp;$C$10))</f>
        <v>0</v>
      </c>
      <c r="H177" s="11" t="n">
        <f aca="false">IF(OR(D177=0,$H$10=0),0,AVERAGEIFS(Market_Panel!$Y$2:$Y$2705,Market_Panel!$A$2:$A$2705,B177,Market_Panel!$B$2:$B$2705,"&gt;="&amp;$B$10,Market_Panel!$B$2:$B$2705,"&lt;="&amp;$C$10))</f>
        <v>0</v>
      </c>
      <c r="I177" s="10" t="n">
        <f aca="false">IF(D177=0,"",$I$10+$F$10*F177+$G$10*G177+$H$10*H177)</f>
        <v>-0.0354753094405221</v>
      </c>
      <c r="J177" s="5" t="n">
        <f aca="false">IF(D177&lt;5,"",(E177-I177)*162)</f>
        <v>2.7462181637891</v>
      </c>
      <c r="K177" s="5" t="n">
        <f aca="false">IF(D177=0,"",E177*162)</f>
        <v>-3.00078196557548</v>
      </c>
      <c r="L177" s="3" t="n">
        <f aca="false">SUMIFS(Seasons!$L$2:$L$2865,Seasons!$A$2:$A$2865,B177,Seasons!$B$2:$B$2865,"&gt;="&amp;$B$10,Seasons!$B$2:$B$2865,"&lt;="&amp;$C$10)</f>
        <v>0</v>
      </c>
      <c r="M177" s="3" t="n">
        <f aca="false">SUMIFS(Seasons!$N$2:$N$2865,Seasons!$A$2:$A$2865,B177,Seasons!$B$2:$B$2865,"&gt;="&amp;$B$10,Seasons!$B$2:$B$2865,"&lt;="&amp;$C$10)</f>
        <v>0</v>
      </c>
      <c r="N177" s="3" t="n">
        <f aca="false">IF(J177="",-1000000,J177+ROW()*0.000000001)</f>
        <v>2.7462183407891</v>
      </c>
      <c r="O177" s="3" t="n">
        <f aca="false">IF(J177="","",SUMPRODUCT(($A$25:$A$534=A177)*($N$25:$N$534&gt;N177))+1)</f>
        <v>8</v>
      </c>
      <c r="P177" s="3" t="str">
        <f aca="false">A177&amp;"|"&amp;O177</f>
        <v>1950s|8</v>
      </c>
    </row>
    <row r="178" customFormat="false" ht="15" hidden="false" customHeight="true" outlineLevel="0" collapsed="false">
      <c r="A178" s="1" t="s">
        <v>14</v>
      </c>
      <c r="B178" s="7" t="s">
        <v>58</v>
      </c>
      <c r="C178" s="1" t="s">
        <v>55</v>
      </c>
      <c r="D178" s="3" t="n">
        <f aca="false">COUNTIFS(Market_Panel!$A$2:$A$2705,B178,Market_Panel!$B$2:$B$2705,"&gt;="&amp;$B$10,Market_Panel!$B$2:$B$2705,"&lt;="&amp;$C$10)</f>
        <v>10</v>
      </c>
      <c r="E178" s="10" t="n">
        <f aca="false">IF(D178=0,"",AVERAGEIFS(Market_Panel!$M$2:$M$2705,Market_Panel!$A$2:$A$2705,B178,Market_Panel!$B$2:$B$2705,"&gt;="&amp;$B$10,Market_Panel!$B$2:$B$2705,"&lt;="&amp;$C$10))</f>
        <v>-0.0997303737323671</v>
      </c>
      <c r="F178" s="11" t="n">
        <f aca="false">IF(D178=0,"",AVERAGEIFS(Market_Panel!$P$2:$P$2705,Market_Panel!$A$2:$A$2705,B178,Market_Panel!$B$2:$B$2705,"&gt;="&amp;$B$10,Market_Panel!$B$2:$B$2705,"&lt;="&amp;$C$10))</f>
        <v>-0.516495729659294</v>
      </c>
      <c r="G178" s="11" t="n">
        <f aca="false">IF(D178=0,"",AVERAGEIFS(Market_Panel!$R$2:$R$2705,Market_Panel!$A$2:$A$2705,B178,Market_Panel!$B$2:$B$2705,"&gt;="&amp;$B$10,Market_Panel!$B$2:$B$2705,"&lt;="&amp;$C$10))</f>
        <v>0</v>
      </c>
      <c r="H178" s="11" t="n">
        <f aca="false">IF(OR(D178=0,$H$10=0),0,AVERAGEIFS(Market_Panel!$Y$2:$Y$2705,Market_Panel!$A$2:$A$2705,B178,Market_Panel!$B$2:$B$2705,"&gt;="&amp;$B$10,Market_Panel!$B$2:$B$2705,"&lt;="&amp;$C$10))</f>
        <v>0</v>
      </c>
      <c r="I178" s="10" t="n">
        <f aca="false">IF(D178=0,"",$I$10+$F$10*F178+$G$10*G178+$H$10*H178)</f>
        <v>-0.0240572404383598</v>
      </c>
      <c r="J178" s="5" t="n">
        <f aca="false">IF(D178&lt;5,"",(E178-I178)*162)</f>
        <v>-12.2590475936292</v>
      </c>
      <c r="K178" s="5" t="n">
        <f aca="false">IF(D178=0,"",E178*162)</f>
        <v>-16.1563205446435</v>
      </c>
      <c r="L178" s="3" t="n">
        <f aca="false">SUMIFS(Seasons!$L$2:$L$2865,Seasons!$A$2:$A$2865,B178,Seasons!$B$2:$B$2865,"&gt;="&amp;$B$10,Seasons!$B$2:$B$2865,"&lt;="&amp;$C$10)</f>
        <v>0</v>
      </c>
      <c r="M178" s="3" t="n">
        <f aca="false">SUMIFS(Seasons!$N$2:$N$2865,Seasons!$A$2:$A$2865,B178,Seasons!$B$2:$B$2865,"&gt;="&amp;$B$10,Seasons!$B$2:$B$2865,"&lt;="&amp;$C$10)</f>
        <v>0</v>
      </c>
      <c r="N178" s="3" t="n">
        <f aca="false">IF(J178="",-1000000,J178+ROW()*0.000000001)</f>
        <v>-12.2590474156292</v>
      </c>
      <c r="O178" s="3" t="n">
        <f aca="false">IF(J178="","",SUMPRODUCT(($A$25:$A$534=A178)*($N$25:$N$534&gt;N178))+1)</f>
        <v>15</v>
      </c>
      <c r="P178" s="3" t="str">
        <f aca="false">A178&amp;"|"&amp;O178</f>
        <v>1950s|15</v>
      </c>
    </row>
    <row r="179" customFormat="false" ht="15" hidden="false" customHeight="true" outlineLevel="0" collapsed="false">
      <c r="A179" s="1" t="s">
        <v>14</v>
      </c>
      <c r="B179" s="7" t="s">
        <v>59</v>
      </c>
      <c r="C179" s="1" t="s">
        <v>55</v>
      </c>
      <c r="D179" s="3" t="n">
        <f aca="false">COUNTIFS(Market_Panel!$A$2:$A$2705,B179,Market_Panel!$B$2:$B$2705,"&gt;="&amp;$B$10,Market_Panel!$B$2:$B$2705,"&lt;="&amp;$C$10)</f>
        <v>10</v>
      </c>
      <c r="E179" s="10" t="n">
        <f aca="false">IF(D179=0,"",AVERAGEIFS(Market_Panel!$M$2:$M$2705,Market_Panel!$A$2:$A$2705,B179,Market_Panel!$B$2:$B$2705,"&gt;="&amp;$B$10,Market_Panel!$B$2:$B$2705,"&lt;="&amp;$C$10))</f>
        <v>0.00425485672345156</v>
      </c>
      <c r="F179" s="11" t="n">
        <f aca="false">IF(D179=0,"",AVERAGEIFS(Market_Panel!$P$2:$P$2705,Market_Panel!$A$2:$A$2705,B179,Market_Panel!$B$2:$B$2705,"&gt;="&amp;$B$10,Market_Panel!$B$2:$B$2705,"&lt;="&amp;$C$10))</f>
        <v>-0.56686338392519</v>
      </c>
      <c r="G179" s="11" t="n">
        <f aca="false">IF(D179=0,"",AVERAGEIFS(Market_Panel!$R$2:$R$2705,Market_Panel!$A$2:$A$2705,B179,Market_Panel!$B$2:$B$2705,"&gt;="&amp;$B$10,Market_Panel!$B$2:$B$2705,"&lt;="&amp;$C$10))</f>
        <v>0</v>
      </c>
      <c r="H179" s="11" t="n">
        <f aca="false">IF(OR(D179=0,$H$10=0),0,AVERAGEIFS(Market_Panel!$Y$2:$Y$2705,Market_Panel!$A$2:$A$2705,B179,Market_Panel!$B$2:$B$2705,"&gt;="&amp;$B$10,Market_Panel!$B$2:$B$2705,"&lt;="&amp;$C$10))</f>
        <v>0</v>
      </c>
      <c r="I179" s="10" t="n">
        <f aca="false">IF(D179=0,"",$I$10+$F$10*F179+$G$10*G179+$H$10*H179)</f>
        <v>-0.0264032555153675</v>
      </c>
      <c r="J179" s="5" t="n">
        <f aca="false">IF(D179&lt;5,"",(E179-I179)*162)</f>
        <v>4.96661418268869</v>
      </c>
      <c r="K179" s="5" t="n">
        <f aca="false">IF(D179=0,"",E179*162)</f>
        <v>0.689286789199153</v>
      </c>
      <c r="L179" s="3" t="n">
        <f aca="false">SUMIFS(Seasons!$L$2:$L$2865,Seasons!$A$2:$A$2865,B179,Seasons!$B$2:$B$2865,"&gt;="&amp;$B$10,Seasons!$B$2:$B$2865,"&lt;="&amp;$C$10)</f>
        <v>0</v>
      </c>
      <c r="M179" s="3" t="n">
        <f aca="false">SUMIFS(Seasons!$N$2:$N$2865,Seasons!$A$2:$A$2865,B179,Seasons!$B$2:$B$2865,"&gt;="&amp;$B$10,Seasons!$B$2:$B$2865,"&lt;="&amp;$C$10)</f>
        <v>0</v>
      </c>
      <c r="N179" s="3" t="n">
        <f aca="false">IF(J179="",-1000000,J179+ROW()*0.000000001)</f>
        <v>4.96661436168869</v>
      </c>
      <c r="O179" s="3" t="n">
        <f aca="false">IF(J179="","",SUMPRODUCT(($A$25:$A$534=A179)*($N$25:$N$534&gt;N179))+1)</f>
        <v>6</v>
      </c>
      <c r="P179" s="3" t="str">
        <f aca="false">A179&amp;"|"&amp;O179</f>
        <v>1950s|6</v>
      </c>
    </row>
    <row r="180" customFormat="false" ht="15" hidden="false" customHeight="true" outlineLevel="0" collapsed="false">
      <c r="A180" s="1" t="s">
        <v>14</v>
      </c>
      <c r="B180" s="7" t="s">
        <v>60</v>
      </c>
      <c r="C180" s="1" t="s">
        <v>55</v>
      </c>
      <c r="D180" s="3" t="n">
        <f aca="false">COUNTIFS(Market_Panel!$A$2:$A$2705,B180,Market_Panel!$B$2:$B$2705,"&gt;="&amp;$B$10,Market_Panel!$B$2:$B$2705,"&lt;="&amp;$C$10)</f>
        <v>10</v>
      </c>
      <c r="E180" s="10" t="n">
        <f aca="false">IF(D180=0,"",AVERAGEIFS(Market_Panel!$M$2:$M$2705,Market_Panel!$A$2:$A$2705,B180,Market_Panel!$B$2:$B$2705,"&gt;="&amp;$B$10,Market_Panel!$B$2:$B$2705,"&lt;="&amp;$C$10))</f>
        <v>-0.00192034062821637</v>
      </c>
      <c r="F180" s="11" t="n">
        <f aca="false">IF(D180=0,"",AVERAGEIFS(Market_Panel!$P$2:$P$2705,Market_Panel!$A$2:$A$2705,B180,Market_Panel!$B$2:$B$2705,"&gt;="&amp;$B$10,Market_Panel!$B$2:$B$2705,"&lt;="&amp;$C$10))</f>
        <v>0.291327811149205</v>
      </c>
      <c r="G180" s="11" t="n">
        <f aca="false">IF(D180=0,"",AVERAGEIFS(Market_Panel!$R$2:$R$2705,Market_Panel!$A$2:$A$2705,B180,Market_Panel!$B$2:$B$2705,"&gt;="&amp;$B$10,Market_Panel!$B$2:$B$2705,"&lt;="&amp;$C$10))</f>
        <v>0</v>
      </c>
      <c r="H180" s="11" t="n">
        <f aca="false">IF(OR(D180=0,$H$10=0),0,AVERAGEIFS(Market_Panel!$Y$2:$Y$2705,Market_Panel!$A$2:$A$2705,B180,Market_Panel!$B$2:$B$2705,"&gt;="&amp;$B$10,Market_Panel!$B$2:$B$2705,"&lt;="&amp;$C$10))</f>
        <v>0</v>
      </c>
      <c r="I180" s="10" t="n">
        <f aca="false">IF(D180=0,"",$I$10+$F$10*F180+$G$10*G180+$H$10*H180)</f>
        <v>0.0135694117041794</v>
      </c>
      <c r="J180" s="5" t="n">
        <f aca="false">IF(D180&lt;5,"",(E180-I180)*162)</f>
        <v>-2.50933987784811</v>
      </c>
      <c r="K180" s="5" t="n">
        <f aca="false">IF(D180=0,"",E180*162)</f>
        <v>-0.311095181771051</v>
      </c>
      <c r="L180" s="3" t="n">
        <f aca="false">SUMIFS(Seasons!$L$2:$L$2865,Seasons!$A$2:$A$2865,B180,Seasons!$B$2:$B$2865,"&gt;="&amp;$B$10,Seasons!$B$2:$B$2865,"&lt;="&amp;$C$10)</f>
        <v>1</v>
      </c>
      <c r="M180" s="3" t="n">
        <f aca="false">SUMIFS(Seasons!$N$2:$N$2865,Seasons!$A$2:$A$2865,B180,Seasons!$B$2:$B$2865,"&gt;="&amp;$B$10,Seasons!$B$2:$B$2865,"&lt;="&amp;$C$10)</f>
        <v>0</v>
      </c>
      <c r="N180" s="3" t="n">
        <f aca="false">IF(J180="",-1000000,J180+ROW()*0.000000001)</f>
        <v>-2.50933969784811</v>
      </c>
      <c r="O180" s="3" t="n">
        <f aca="false">IF(J180="","",SUMPRODUCT(($A$25:$A$534=A180)*($N$25:$N$534&gt;N180))+1)</f>
        <v>10</v>
      </c>
      <c r="P180" s="3" t="str">
        <f aca="false">A180&amp;"|"&amp;O180</f>
        <v>1950s|10</v>
      </c>
    </row>
    <row r="181" customFormat="false" ht="15" hidden="false" customHeight="true" outlineLevel="0" collapsed="false">
      <c r="A181" s="1" t="s">
        <v>14</v>
      </c>
      <c r="B181" s="7" t="s">
        <v>61</v>
      </c>
      <c r="C181" s="1" t="s">
        <v>55</v>
      </c>
      <c r="D181" s="3" t="n">
        <f aca="false">COUNTIFS(Market_Panel!$A$2:$A$2705,B181,Market_Panel!$B$2:$B$2705,"&gt;="&amp;$B$10,Market_Panel!$B$2:$B$2705,"&lt;="&amp;$C$10)</f>
        <v>10</v>
      </c>
      <c r="E181" s="10" t="n">
        <f aca="false">IF(D181=0,"",AVERAGEIFS(Market_Panel!$M$2:$M$2705,Market_Panel!$A$2:$A$2705,B181,Market_Panel!$B$2:$B$2705,"&gt;="&amp;$B$10,Market_Panel!$B$2:$B$2705,"&lt;="&amp;$C$10))</f>
        <v>0.0325779636153108</v>
      </c>
      <c r="F181" s="11" t="n">
        <f aca="false">IF(D181=0,"",AVERAGEIFS(Market_Panel!$P$2:$P$2705,Market_Panel!$A$2:$A$2705,B181,Market_Panel!$B$2:$B$2705,"&gt;="&amp;$B$10,Market_Panel!$B$2:$B$2705,"&lt;="&amp;$C$10))</f>
        <v>0.635950359640517</v>
      </c>
      <c r="G181" s="11" t="n">
        <f aca="false">IF(D181=0,"",AVERAGEIFS(Market_Panel!$R$2:$R$2705,Market_Panel!$A$2:$A$2705,B181,Market_Panel!$B$2:$B$2705,"&gt;="&amp;$B$10,Market_Panel!$B$2:$B$2705,"&lt;="&amp;$C$10))</f>
        <v>0</v>
      </c>
      <c r="H181" s="11" t="n">
        <f aca="false">IF(OR(D181=0,$H$10=0),0,AVERAGEIFS(Market_Panel!$Y$2:$Y$2705,Market_Panel!$A$2:$A$2705,B181,Market_Panel!$B$2:$B$2705,"&gt;="&amp;$B$10,Market_Panel!$B$2:$B$2705,"&lt;="&amp;$C$10))</f>
        <v>0</v>
      </c>
      <c r="I181" s="10" t="n">
        <f aca="false">IF(D181=0,"",$I$10+$F$10*F181+$G$10*G181+$H$10*H181)</f>
        <v>0.0296211756074447</v>
      </c>
      <c r="J181" s="5" t="n">
        <f aca="false">IF(D181&lt;5,"",(E181-I181)*162)</f>
        <v>0.4789996572743</v>
      </c>
      <c r="K181" s="5" t="n">
        <f aca="false">IF(D181=0,"",E181*162)</f>
        <v>5.27763010568035</v>
      </c>
      <c r="L181" s="3" t="n">
        <f aca="false">SUMIFS(Seasons!$L$2:$L$2865,Seasons!$A$2:$A$2865,B181,Seasons!$B$2:$B$2865,"&gt;="&amp;$B$10,Seasons!$B$2:$B$2865,"&lt;="&amp;$C$10)</f>
        <v>2</v>
      </c>
      <c r="M181" s="3" t="n">
        <f aca="false">SUMIFS(Seasons!$N$2:$N$2865,Seasons!$A$2:$A$2865,B181,Seasons!$B$2:$B$2865,"&gt;="&amp;$B$10,Seasons!$B$2:$B$2865,"&lt;="&amp;$C$10)</f>
        <v>1</v>
      </c>
      <c r="N181" s="3" t="n">
        <f aca="false">IF(J181="",-1000000,J181+ROW()*0.000000001)</f>
        <v>0.4789998382743</v>
      </c>
      <c r="O181" s="3" t="n">
        <f aca="false">IF(J181="","",SUMPRODUCT(($A$25:$A$534=A181)*($N$25:$N$534&gt;N181))+1)</f>
        <v>9</v>
      </c>
      <c r="P181" s="3" t="str">
        <f aca="false">A181&amp;"|"&amp;O181</f>
        <v>1950s|9</v>
      </c>
    </row>
    <row r="182" customFormat="false" ht="15" hidden="false" customHeight="true" outlineLevel="0" collapsed="false">
      <c r="A182" s="1" t="s">
        <v>14</v>
      </c>
      <c r="B182" s="7" t="s">
        <v>62</v>
      </c>
      <c r="C182" s="1" t="s">
        <v>55</v>
      </c>
      <c r="D182" s="3" t="n">
        <f aca="false">COUNTIFS(Market_Panel!$A$2:$A$2705,B182,Market_Panel!$B$2:$B$2705,"&gt;="&amp;$B$10,Market_Panel!$B$2:$B$2705,"&lt;="&amp;$C$10)</f>
        <v>10</v>
      </c>
      <c r="E182" s="10" t="n">
        <f aca="false">IF(D182=0,"",AVERAGEIFS(Market_Panel!$M$2:$M$2705,Market_Panel!$A$2:$A$2705,B182,Market_Panel!$B$2:$B$2705,"&gt;="&amp;$B$10,Market_Panel!$B$2:$B$2705,"&lt;="&amp;$C$10))</f>
        <v>0.0917720395946996</v>
      </c>
      <c r="F182" s="11" t="n">
        <f aca="false">IF(D182=0,"",AVERAGEIFS(Market_Panel!$P$2:$P$2705,Market_Panel!$A$2:$A$2705,B182,Market_Panel!$B$2:$B$2705,"&gt;="&amp;$B$10,Market_Panel!$B$2:$B$2705,"&lt;="&amp;$C$10))</f>
        <v>0.869381476850992</v>
      </c>
      <c r="G182" s="11" t="n">
        <f aca="false">IF(D182=0,"",AVERAGEIFS(Market_Panel!$R$2:$R$2705,Market_Panel!$A$2:$A$2705,B182,Market_Panel!$B$2:$B$2705,"&gt;="&amp;$B$10,Market_Panel!$B$2:$B$2705,"&lt;="&amp;$C$10))</f>
        <v>0</v>
      </c>
      <c r="H182" s="11" t="n">
        <f aca="false">IF(OR(D182=0,$H$10=0),0,AVERAGEIFS(Market_Panel!$Y$2:$Y$2705,Market_Panel!$A$2:$A$2705,B182,Market_Panel!$B$2:$B$2705,"&gt;="&amp;$B$10,Market_Panel!$B$2:$B$2705,"&lt;="&amp;$C$10))</f>
        <v>0</v>
      </c>
      <c r="I182" s="10" t="n">
        <f aca="false">IF(D182=0,"",$I$10+$F$10*F182+$G$10*G182+$H$10*H182)</f>
        <v>0.0404938860483069</v>
      </c>
      <c r="J182" s="5" t="n">
        <f aca="false">IF(D182&lt;5,"",(E182-I182)*162)</f>
        <v>8.30706087451562</v>
      </c>
      <c r="K182" s="5" t="n">
        <f aca="false">IF(D182=0,"",E182*162)</f>
        <v>14.8670704143413</v>
      </c>
      <c r="L182" s="3" t="n">
        <f aca="false">SUMIFS(Seasons!$L$2:$L$2865,Seasons!$A$2:$A$2865,B182,Seasons!$B$2:$B$2865,"&gt;="&amp;$B$10,Seasons!$B$2:$B$2865,"&lt;="&amp;$C$10)</f>
        <v>5</v>
      </c>
      <c r="M182" s="3" t="n">
        <f aca="false">SUMIFS(Seasons!$N$2:$N$2865,Seasons!$A$2:$A$2865,B182,Seasons!$B$2:$B$2865,"&gt;="&amp;$B$10,Seasons!$B$2:$B$2865,"&lt;="&amp;$C$10)</f>
        <v>2</v>
      </c>
      <c r="N182" s="3" t="n">
        <f aca="false">IF(J182="",-1000000,J182+ROW()*0.000000001)</f>
        <v>8.30706105651562</v>
      </c>
      <c r="O182" s="3" t="n">
        <f aca="false">IF(J182="","",SUMPRODUCT(($A$25:$A$534=A182)*($N$25:$N$534&gt;N182))+1)</f>
        <v>5</v>
      </c>
      <c r="P182" s="3" t="str">
        <f aca="false">A182&amp;"|"&amp;O182</f>
        <v>1950s|5</v>
      </c>
    </row>
    <row r="183" customFormat="false" ht="15" hidden="false" customHeight="true" outlineLevel="0" collapsed="false">
      <c r="A183" s="1" t="s">
        <v>14</v>
      </c>
      <c r="B183" s="7" t="s">
        <v>63</v>
      </c>
      <c r="C183" s="1" t="s">
        <v>55</v>
      </c>
      <c r="D183" s="3" t="n">
        <f aca="false">COUNTIFS(Market_Panel!$A$2:$A$2705,B183,Market_Panel!$B$2:$B$2705,"&gt;="&amp;$B$10,Market_Panel!$B$2:$B$2705,"&lt;="&amp;$C$10)</f>
        <v>10</v>
      </c>
      <c r="E183" s="10" t="n">
        <f aca="false">IF(D183=0,"",AVERAGEIFS(Market_Panel!$M$2:$M$2705,Market_Panel!$A$2:$A$2705,B183,Market_Panel!$B$2:$B$2705,"&gt;="&amp;$B$10,Market_Panel!$B$2:$B$2705,"&lt;="&amp;$C$10))</f>
        <v>-0.088619262621256</v>
      </c>
      <c r="F183" s="11" t="n">
        <f aca="false">IF(D183=0,"",AVERAGEIFS(Market_Panel!$P$2:$P$2705,Market_Panel!$A$2:$A$2705,B183,Market_Panel!$B$2:$B$2705,"&gt;="&amp;$B$10,Market_Panel!$B$2:$B$2705,"&lt;="&amp;$C$10))</f>
        <v>-0.457596958571832</v>
      </c>
      <c r="G183" s="11" t="n">
        <f aca="false">IF(D183=0,"",AVERAGEIFS(Market_Panel!$R$2:$R$2705,Market_Panel!$A$2:$A$2705,B183,Market_Panel!$B$2:$B$2705,"&gt;="&amp;$B$10,Market_Panel!$B$2:$B$2705,"&lt;="&amp;$C$10))</f>
        <v>0</v>
      </c>
      <c r="H183" s="11" t="n">
        <f aca="false">IF(OR(D183=0,$H$10=0),0,AVERAGEIFS(Market_Panel!$Y$2:$Y$2705,Market_Panel!$A$2:$A$2705,B183,Market_Panel!$B$2:$B$2705,"&gt;="&amp;$B$10,Market_Panel!$B$2:$B$2705,"&lt;="&amp;$C$10))</f>
        <v>0</v>
      </c>
      <c r="I183" s="10" t="n">
        <f aca="false">IF(D183=0,"",$I$10+$F$10*F183+$G$10*G183+$H$10*H183)</f>
        <v>-0.0213138646150792</v>
      </c>
      <c r="J183" s="5" t="n">
        <f aca="false">IF(D183&lt;5,"",(E183-I183)*162)</f>
        <v>-10.9034744770007</v>
      </c>
      <c r="K183" s="5" t="n">
        <f aca="false">IF(D183=0,"",E183*162)</f>
        <v>-14.3563205446435</v>
      </c>
      <c r="L183" s="3" t="n">
        <f aca="false">SUMIFS(Seasons!$L$2:$L$2865,Seasons!$A$2:$A$2865,B183,Seasons!$B$2:$B$2865,"&gt;="&amp;$B$10,Seasons!$B$2:$B$2865,"&lt;="&amp;$C$10)</f>
        <v>0</v>
      </c>
      <c r="M183" s="3" t="n">
        <f aca="false">SUMIFS(Seasons!$N$2:$N$2865,Seasons!$A$2:$A$2865,B183,Seasons!$B$2:$B$2865,"&gt;="&amp;$B$10,Seasons!$B$2:$B$2865,"&lt;="&amp;$C$10)</f>
        <v>0</v>
      </c>
      <c r="N183" s="3" t="n">
        <f aca="false">IF(J183="",-1000000,J183+ROW()*0.000000001)</f>
        <v>-10.9034742940007</v>
      </c>
      <c r="O183" s="3" t="n">
        <f aca="false">IF(J183="","",SUMPRODUCT(($A$25:$A$534=A183)*($N$25:$N$534&gt;N183))+1)</f>
        <v>12</v>
      </c>
      <c r="P183" s="3" t="str">
        <f aca="false">A183&amp;"|"&amp;O183</f>
        <v>1950s|12</v>
      </c>
    </row>
    <row r="184" customFormat="false" ht="15" hidden="false" customHeight="true" outlineLevel="0" collapsed="false">
      <c r="A184" s="1" t="s">
        <v>14</v>
      </c>
      <c r="B184" s="7" t="s">
        <v>64</v>
      </c>
      <c r="C184" s="1" t="s">
        <v>55</v>
      </c>
      <c r="D184" s="3" t="n">
        <f aca="false">COUNTIFS(Market_Panel!$A$2:$A$2705,B184,Market_Panel!$B$2:$B$2705,"&gt;="&amp;$B$10,Market_Panel!$B$2:$B$2705,"&lt;="&amp;$C$10)</f>
        <v>10</v>
      </c>
      <c r="E184" s="10" t="n">
        <f aca="false">IF(D184=0,"",AVERAGEIFS(Market_Panel!$M$2:$M$2705,Market_Panel!$A$2:$A$2705,B184,Market_Panel!$B$2:$B$2705,"&gt;="&amp;$B$10,Market_Panel!$B$2:$B$2705,"&lt;="&amp;$C$10))</f>
        <v>0.0289556461301233</v>
      </c>
      <c r="F184" s="11" t="n">
        <f aca="false">IF(D184=0,"",AVERAGEIFS(Market_Panel!$P$2:$P$2705,Market_Panel!$A$2:$A$2705,B184,Market_Panel!$B$2:$B$2705,"&gt;="&amp;$B$10,Market_Panel!$B$2:$B$2705,"&lt;="&amp;$C$10))</f>
        <v>-0.567148216204231</v>
      </c>
      <c r="G184" s="11" t="n">
        <f aca="false">IF(D184=0,"",AVERAGEIFS(Market_Panel!$R$2:$R$2705,Market_Panel!$A$2:$A$2705,B184,Market_Panel!$B$2:$B$2705,"&gt;="&amp;$B$10,Market_Panel!$B$2:$B$2705,"&lt;="&amp;$C$10))</f>
        <v>0</v>
      </c>
      <c r="H184" s="11" t="n">
        <f aca="false">IF(OR(D184=0,$H$10=0),0,AVERAGEIFS(Market_Panel!$Y$2:$Y$2705,Market_Panel!$A$2:$A$2705,B184,Market_Panel!$B$2:$B$2705,"&gt;="&amp;$B$10,Market_Panel!$B$2:$B$2705,"&lt;="&amp;$C$10))</f>
        <v>0</v>
      </c>
      <c r="I184" s="10" t="n">
        <f aca="false">IF(D184=0,"",$I$10+$F$10*F184+$G$10*G184+$H$10*H184)</f>
        <v>-0.0264165223794053</v>
      </c>
      <c r="J184" s="5" t="n">
        <f aca="false">IF(D184&lt;5,"",(E184-I184)*162)</f>
        <v>8.97029129854364</v>
      </c>
      <c r="K184" s="5" t="n">
        <f aca="false">IF(D184=0,"",E184*162)</f>
        <v>4.69081467307998</v>
      </c>
      <c r="L184" s="3" t="n">
        <f aca="false">SUMIFS(Seasons!$L$2:$L$2865,Seasons!$A$2:$A$2865,B184,Seasons!$B$2:$B$2865,"&gt;="&amp;$B$10,Seasons!$B$2:$B$2865,"&lt;="&amp;$C$10)</f>
        <v>0</v>
      </c>
      <c r="M184" s="3" t="n">
        <f aca="false">SUMIFS(Seasons!$N$2:$N$2865,Seasons!$A$2:$A$2865,B184,Seasons!$B$2:$B$2865,"&gt;="&amp;$B$10,Seasons!$B$2:$B$2865,"&lt;="&amp;$C$10)</f>
        <v>0</v>
      </c>
      <c r="N184" s="3" t="n">
        <f aca="false">IF(J184="",-1000000,J184+ROW()*0.000000001)</f>
        <v>8.97029148254364</v>
      </c>
      <c r="O184" s="3" t="n">
        <f aca="false">IF(J184="","",SUMPRODUCT(($A$25:$A$534=A184)*($N$25:$N$534&gt;N184))+1)</f>
        <v>4</v>
      </c>
      <c r="P184" s="3" t="str">
        <f aca="false">A184&amp;"|"&amp;O184</f>
        <v>1950s|4</v>
      </c>
    </row>
    <row r="185" customFormat="false" ht="15" hidden="false" customHeight="true" outlineLevel="0" collapsed="false">
      <c r="A185" s="1" t="s">
        <v>14</v>
      </c>
      <c r="B185" s="7" t="s">
        <v>65</v>
      </c>
      <c r="C185" s="1" t="s">
        <v>55</v>
      </c>
      <c r="D185" s="3" t="n">
        <f aca="false">COUNTIFS(Market_Panel!$A$2:$A$2705,B185,Market_Panel!$B$2:$B$2705,"&gt;="&amp;$B$10,Market_Panel!$B$2:$B$2705,"&lt;="&amp;$C$10)</f>
        <v>10</v>
      </c>
      <c r="E185" s="10" t="n">
        <f aca="false">IF(D185=0,"",AVERAGEIFS(Market_Panel!$M$2:$M$2705,Market_Panel!$A$2:$A$2705,B185,Market_Panel!$B$2:$B$2705,"&gt;="&amp;$B$10,Market_Panel!$B$2:$B$2705,"&lt;="&amp;$C$10))</f>
        <v>0.0500277113198356</v>
      </c>
      <c r="F185" s="11" t="n">
        <f aca="false">IF(D185=0,"",AVERAGEIFS(Market_Panel!$P$2:$P$2705,Market_Panel!$A$2:$A$2705,B185,Market_Panel!$B$2:$B$2705,"&gt;="&amp;$B$10,Market_Panel!$B$2:$B$2705,"&lt;="&amp;$C$10))</f>
        <v>0.509579611166556</v>
      </c>
      <c r="G185" s="11" t="n">
        <f aca="false">IF(D185=0,"",AVERAGEIFS(Market_Panel!$R$2:$R$2705,Market_Panel!$A$2:$A$2705,B185,Market_Panel!$B$2:$B$2705,"&gt;="&amp;$B$10,Market_Panel!$B$2:$B$2705,"&lt;="&amp;$C$10))</f>
        <v>0</v>
      </c>
      <c r="H185" s="11" t="n">
        <f aca="false">IF(OR(D185=0,$H$10=0),0,AVERAGEIFS(Market_Panel!$Y$2:$Y$2705,Market_Panel!$A$2:$A$2705,B185,Market_Panel!$B$2:$B$2705,"&gt;="&amp;$B$10,Market_Panel!$B$2:$B$2705,"&lt;="&amp;$C$10))</f>
        <v>0</v>
      </c>
      <c r="I185" s="10" t="n">
        <f aca="false">IF(D185=0,"",$I$10+$F$10*F185+$G$10*G185+$H$10*H185)</f>
        <v>0.0237351027788872</v>
      </c>
      <c r="J185" s="5" t="n">
        <f aca="false">IF(D185&lt;5,"",(E185-I185)*162)</f>
        <v>4.25940258363363</v>
      </c>
      <c r="K185" s="5" t="n">
        <f aca="false">IF(D185=0,"",E185*162)</f>
        <v>8.10448923381336</v>
      </c>
      <c r="L185" s="3" t="n">
        <f aca="false">SUMIFS(Seasons!$L$2:$L$2865,Seasons!$A$2:$A$2865,B185,Seasons!$B$2:$B$2865,"&gt;="&amp;$B$10,Seasons!$B$2:$B$2865,"&lt;="&amp;$C$10)</f>
        <v>1</v>
      </c>
      <c r="M185" s="3" t="n">
        <f aca="false">SUMIFS(Seasons!$N$2:$N$2865,Seasons!$A$2:$A$2865,B185,Seasons!$B$2:$B$2865,"&gt;="&amp;$B$10,Seasons!$B$2:$B$2865,"&lt;="&amp;$C$10)</f>
        <v>0</v>
      </c>
      <c r="N185" s="3" t="n">
        <f aca="false">IF(J185="",-1000000,J185+ROW()*0.000000001)</f>
        <v>4.25940276863363</v>
      </c>
      <c r="O185" s="3" t="n">
        <f aca="false">IF(J185="","",SUMPRODUCT(($A$25:$A$534=A185)*($N$25:$N$534&gt;N185))+1)</f>
        <v>7</v>
      </c>
      <c r="P185" s="3" t="str">
        <f aca="false">A185&amp;"|"&amp;O185</f>
        <v>1950s|7</v>
      </c>
    </row>
    <row r="186" customFormat="false" ht="15" hidden="false" customHeight="true" outlineLevel="0" collapsed="false">
      <c r="A186" s="1" t="s">
        <v>14</v>
      </c>
      <c r="B186" s="7" t="s">
        <v>66</v>
      </c>
      <c r="C186" s="1" t="s">
        <v>55</v>
      </c>
      <c r="D186" s="3" t="n">
        <f aca="false">COUNTIFS(Market_Panel!$A$2:$A$2705,B186,Market_Panel!$B$2:$B$2705,"&gt;="&amp;$B$10,Market_Panel!$B$2:$B$2705,"&lt;="&amp;$C$10)</f>
        <v>10</v>
      </c>
      <c r="E186" s="10" t="n">
        <f aca="false">IF(D186=0,"",AVERAGEIFS(Market_Panel!$M$2:$M$2705,Market_Panel!$A$2:$A$2705,B186,Market_Panel!$B$2:$B$2705,"&gt;="&amp;$B$10,Market_Panel!$B$2:$B$2705,"&lt;="&amp;$C$10))</f>
        <v>0.0876900489821732</v>
      </c>
      <c r="F186" s="11" t="n">
        <f aca="false">IF(D186=0,"",AVERAGEIFS(Market_Panel!$P$2:$P$2705,Market_Panel!$A$2:$A$2705,B186,Market_Panel!$B$2:$B$2705,"&gt;="&amp;$B$10,Market_Panel!$B$2:$B$2705,"&lt;="&amp;$C$10))</f>
        <v>-0.18367973311809</v>
      </c>
      <c r="G186" s="11" t="n">
        <f aca="false">IF(D186=0,"",AVERAGEIFS(Market_Panel!$R$2:$R$2705,Market_Panel!$A$2:$A$2705,B186,Market_Panel!$B$2:$B$2705,"&gt;="&amp;$B$10,Market_Panel!$B$2:$B$2705,"&lt;="&amp;$C$10))</f>
        <v>0</v>
      </c>
      <c r="H186" s="11" t="n">
        <f aca="false">IF(OR(D186=0,$H$10=0),0,AVERAGEIFS(Market_Panel!$Y$2:$Y$2705,Market_Panel!$A$2:$A$2705,B186,Market_Panel!$B$2:$B$2705,"&gt;="&amp;$B$10,Market_Panel!$B$2:$B$2705,"&lt;="&amp;$C$10))</f>
        <v>0</v>
      </c>
      <c r="I186" s="10" t="n">
        <f aca="false">IF(D186=0,"",$I$10+$F$10*F186+$G$10*G186+$H$10*H186)</f>
        <v>-0.00855539987947338</v>
      </c>
      <c r="J186" s="5" t="n">
        <f aca="false">IF(D186&lt;5,"",(E186-I186)*162)</f>
        <v>15.5917627155868</v>
      </c>
      <c r="K186" s="5" t="n">
        <f aca="false">IF(D186=0,"",E186*162)</f>
        <v>14.2057879351121</v>
      </c>
      <c r="L186" s="3" t="n">
        <f aca="false">SUMIFS(Seasons!$L$2:$L$2865,Seasons!$A$2:$A$2865,B186,Seasons!$B$2:$B$2865,"&gt;="&amp;$B$10,Seasons!$B$2:$B$2865,"&lt;="&amp;$C$10)</f>
        <v>1</v>
      </c>
      <c r="M186" s="3" t="n">
        <f aca="false">SUMIFS(Seasons!$N$2:$N$2865,Seasons!$A$2:$A$2865,B186,Seasons!$B$2:$B$2865,"&gt;="&amp;$B$10,Seasons!$B$2:$B$2865,"&lt;="&amp;$C$10)</f>
        <v>0</v>
      </c>
      <c r="N186" s="3" t="n">
        <f aca="false">IF(J186="",-1000000,J186+ROW()*0.000000001)</f>
        <v>15.5917629015868</v>
      </c>
      <c r="O186" s="3" t="n">
        <f aca="false">IF(J186="","",SUMPRODUCT(($A$25:$A$534=A186)*($N$25:$N$534&gt;N186))+1)</f>
        <v>1</v>
      </c>
      <c r="P186" s="3" t="str">
        <f aca="false">A186&amp;"|"&amp;O186</f>
        <v>1950s|1</v>
      </c>
    </row>
    <row r="187" customFormat="false" ht="15" hidden="false" customHeight="true" outlineLevel="0" collapsed="false">
      <c r="A187" s="1" t="s">
        <v>14</v>
      </c>
      <c r="B187" s="7" t="s">
        <v>67</v>
      </c>
      <c r="C187" s="1" t="s">
        <v>55</v>
      </c>
      <c r="D187" s="3" t="n">
        <f aca="false">COUNTIFS(Market_Panel!$A$2:$A$2705,B187,Market_Panel!$B$2:$B$2705,"&gt;="&amp;$B$10,Market_Panel!$B$2:$B$2705,"&lt;="&amp;$C$10)</f>
        <v>10</v>
      </c>
      <c r="E187" s="10" t="n">
        <f aca="false">IF(D187=0,"",AVERAGEIFS(Market_Panel!$M$2:$M$2705,Market_Panel!$A$2:$A$2705,B187,Market_Panel!$B$2:$B$2705,"&gt;="&amp;$B$10,Market_Panel!$B$2:$B$2705,"&lt;="&amp;$C$10))</f>
        <v>-0.0207515094593852</v>
      </c>
      <c r="F187" s="11" t="n">
        <f aca="false">IF(D187=0,"",AVERAGEIFS(Market_Panel!$P$2:$P$2705,Market_Panel!$A$2:$A$2705,B187,Market_Panel!$B$2:$B$2705,"&gt;="&amp;$B$10,Market_Panel!$B$2:$B$2705,"&lt;="&amp;$C$10))</f>
        <v>0.493875393473743</v>
      </c>
      <c r="G187" s="11" t="n">
        <f aca="false">IF(D187=0,"",AVERAGEIFS(Market_Panel!$R$2:$R$2705,Market_Panel!$A$2:$A$2705,B187,Market_Panel!$B$2:$B$2705,"&gt;="&amp;$B$10,Market_Panel!$B$2:$B$2705,"&lt;="&amp;$C$10))</f>
        <v>0</v>
      </c>
      <c r="H187" s="11" t="n">
        <f aca="false">IF(OR(D187=0,$H$10=0),0,AVERAGEIFS(Market_Panel!$Y$2:$Y$2705,Market_Panel!$A$2:$A$2705,B187,Market_Panel!$B$2:$B$2705,"&gt;="&amp;$B$10,Market_Panel!$B$2:$B$2705,"&lt;="&amp;$C$10))</f>
        <v>0</v>
      </c>
      <c r="I187" s="10" t="n">
        <f aca="false">IF(D187=0,"",$I$10+$F$10*F187+$G$10*G187+$H$10*H187)</f>
        <v>0.0230036346965053</v>
      </c>
      <c r="J187" s="5" t="n">
        <f aca="false">IF(D187&lt;5,"",(E187-I187)*162)</f>
        <v>-7.08833335325426</v>
      </c>
      <c r="K187" s="5" t="n">
        <f aca="false">IF(D187=0,"",E187*162)</f>
        <v>-3.3617445324204</v>
      </c>
      <c r="L187" s="3" t="n">
        <f aca="false">SUMIFS(Seasons!$L$2:$L$2865,Seasons!$A$2:$A$2865,B187,Seasons!$B$2:$B$2865,"&gt;="&amp;$B$10,Seasons!$B$2:$B$2865,"&lt;="&amp;$C$10)</f>
        <v>0</v>
      </c>
      <c r="M187" s="3" t="n">
        <f aca="false">SUMIFS(Seasons!$N$2:$N$2865,Seasons!$A$2:$A$2865,B187,Seasons!$B$2:$B$2865,"&gt;="&amp;$B$10,Seasons!$B$2:$B$2865,"&lt;="&amp;$C$10)</f>
        <v>0</v>
      </c>
      <c r="N187" s="3" t="n">
        <f aca="false">IF(J187="",-1000000,J187+ROW()*0.000000001)</f>
        <v>-7.08833316625426</v>
      </c>
      <c r="O187" s="3" t="n">
        <f aca="false">IF(J187="","",SUMPRODUCT(($A$25:$A$534=A187)*($N$25:$N$534&gt;N187))+1)</f>
        <v>11</v>
      </c>
      <c r="P187" s="3" t="str">
        <f aca="false">A187&amp;"|"&amp;O187</f>
        <v>1950s|11</v>
      </c>
    </row>
    <row r="188" customFormat="false" ht="15" hidden="false" customHeight="true" outlineLevel="0" collapsed="false">
      <c r="A188" s="1" t="s">
        <v>14</v>
      </c>
      <c r="B188" s="7" t="s">
        <v>68</v>
      </c>
      <c r="C188" s="1" t="s">
        <v>55</v>
      </c>
      <c r="D188" s="3" t="n">
        <f aca="false">COUNTIFS(Market_Panel!$A$2:$A$2705,B188,Market_Panel!$B$2:$B$2705,"&gt;="&amp;$B$10,Market_Panel!$B$2:$B$2705,"&lt;="&amp;$C$10)</f>
        <v>10</v>
      </c>
      <c r="E188" s="10" t="n">
        <f aca="false">IF(D188=0,"",AVERAGEIFS(Market_Panel!$M$2:$M$2705,Market_Panel!$A$2:$A$2705,B188,Market_Panel!$B$2:$B$2705,"&gt;="&amp;$B$10,Market_Panel!$B$2:$B$2705,"&lt;="&amp;$C$10))</f>
        <v>-0.0837385224463982</v>
      </c>
      <c r="F188" s="11" t="n">
        <f aca="false">IF(D188=0,"",AVERAGEIFS(Market_Panel!$P$2:$P$2705,Market_Panel!$A$2:$A$2705,B188,Market_Panel!$B$2:$B$2705,"&gt;="&amp;$B$10,Market_Panel!$B$2:$B$2705,"&lt;="&amp;$C$10))</f>
        <v>-0.317551593437306</v>
      </c>
      <c r="G188" s="11" t="n">
        <f aca="false">IF(D188=0,"",AVERAGEIFS(Market_Panel!$R$2:$R$2705,Market_Panel!$A$2:$A$2705,B188,Market_Panel!$B$2:$B$2705,"&gt;="&amp;$B$10,Market_Panel!$B$2:$B$2705,"&lt;="&amp;$C$10))</f>
        <v>0</v>
      </c>
      <c r="H188" s="11" t="n">
        <f aca="false">IF(OR(D188=0,$H$10=0),0,AVERAGEIFS(Market_Panel!$Y$2:$Y$2705,Market_Panel!$A$2:$A$2705,B188,Market_Panel!$B$2:$B$2705,"&gt;="&amp;$B$10,Market_Panel!$B$2:$B$2705,"&lt;="&amp;$C$10))</f>
        <v>0</v>
      </c>
      <c r="I188" s="10" t="n">
        <f aca="false">IF(D188=0,"",$I$10+$F$10*F188+$G$10*G188+$H$10*H188)</f>
        <v>-0.0147908580772679</v>
      </c>
      <c r="J188" s="5" t="n">
        <f aca="false">IF(D188&lt;5,"",(E188-I188)*162)</f>
        <v>-11.1695216277991</v>
      </c>
      <c r="K188" s="5" t="n">
        <f aca="false">IF(D188=0,"",E188*162)</f>
        <v>-13.5656406363165</v>
      </c>
      <c r="L188" s="3" t="n">
        <f aca="false">SUMIFS(Seasons!$L$2:$L$2865,Seasons!$A$2:$A$2865,B188,Seasons!$B$2:$B$2865,"&gt;="&amp;$B$10,Seasons!$B$2:$B$2865,"&lt;="&amp;$C$10)</f>
        <v>0</v>
      </c>
      <c r="M188" s="3" t="n">
        <f aca="false">SUMIFS(Seasons!$N$2:$N$2865,Seasons!$A$2:$A$2865,B188,Seasons!$B$2:$B$2865,"&gt;="&amp;$B$10,Seasons!$B$2:$B$2865,"&lt;="&amp;$C$10)</f>
        <v>0</v>
      </c>
      <c r="N188" s="3" t="n">
        <f aca="false">IF(J188="",-1000000,J188+ROW()*0.000000001)</f>
        <v>-11.1695214397991</v>
      </c>
      <c r="O188" s="3" t="n">
        <f aca="false">IF(J188="","",SUMPRODUCT(($A$25:$A$534=A188)*($N$25:$N$534&gt;N188))+1)</f>
        <v>13</v>
      </c>
      <c r="P188" s="3" t="str">
        <f aca="false">A188&amp;"|"&amp;O188</f>
        <v>1950s|13</v>
      </c>
    </row>
    <row r="189" customFormat="false" ht="15" hidden="false" customHeight="true" outlineLevel="0" collapsed="false">
      <c r="A189" s="1" t="s">
        <v>14</v>
      </c>
      <c r="B189" s="7" t="s">
        <v>69</v>
      </c>
      <c r="C189" s="1" t="s">
        <v>55</v>
      </c>
      <c r="D189" s="3" t="n">
        <f aca="false">COUNTIFS(Market_Panel!$A$2:$A$2705,B189,Market_Panel!$B$2:$B$2705,"&gt;="&amp;$B$10,Market_Panel!$B$2:$B$2705,"&lt;="&amp;$C$10)</f>
        <v>10</v>
      </c>
      <c r="E189" s="10" t="n">
        <f aca="false">IF(D189=0,"",AVERAGEIFS(Market_Panel!$M$2:$M$2705,Market_Panel!$A$2:$A$2705,B189,Market_Panel!$B$2:$B$2705,"&gt;="&amp;$B$10,Market_Panel!$B$2:$B$2705,"&lt;="&amp;$C$10))</f>
        <v>-0.0945270802937796</v>
      </c>
      <c r="F189" s="11" t="n">
        <f aca="false">IF(D189=0,"",AVERAGEIFS(Market_Panel!$P$2:$P$2705,Market_Panel!$A$2:$A$2705,B189,Market_Panel!$B$2:$B$2705,"&gt;="&amp;$B$10,Market_Panel!$B$2:$B$2705,"&lt;="&amp;$C$10))</f>
        <v>-0.438703714658661</v>
      </c>
      <c r="G189" s="11" t="n">
        <f aca="false">IF(D189=0,"",AVERAGEIFS(Market_Panel!$R$2:$R$2705,Market_Panel!$A$2:$A$2705,B189,Market_Panel!$B$2:$B$2705,"&gt;="&amp;$B$10,Market_Panel!$B$2:$B$2705,"&lt;="&amp;$C$10))</f>
        <v>0</v>
      </c>
      <c r="H189" s="11" t="n">
        <f aca="false">IF(OR(D189=0,$H$10=0),0,AVERAGEIFS(Market_Panel!$Y$2:$Y$2705,Market_Panel!$A$2:$A$2705,B189,Market_Panel!$B$2:$B$2705,"&gt;="&amp;$B$10,Market_Panel!$B$2:$B$2705,"&lt;="&amp;$C$10))</f>
        <v>0</v>
      </c>
      <c r="I189" s="10" t="n">
        <f aca="false">IF(D189=0,"",$I$10+$F$10*F189+$G$10*G189+$H$10*H189)</f>
        <v>-0.0204338586723784</v>
      </c>
      <c r="J189" s="5" t="n">
        <f aca="false">IF(D189&lt;5,"",(E189-I189)*162)</f>
        <v>-12.003101902667</v>
      </c>
      <c r="K189" s="5" t="n">
        <f aca="false">IF(D189=0,"",E189*162)</f>
        <v>-15.3133870075923</v>
      </c>
      <c r="L189" s="3" t="n">
        <f aca="false">SUMIFS(Seasons!$L$2:$L$2865,Seasons!$A$2:$A$2865,B189,Seasons!$B$2:$B$2865,"&gt;="&amp;$B$10,Seasons!$B$2:$B$2865,"&lt;="&amp;$C$10)</f>
        <v>0</v>
      </c>
      <c r="M189" s="3" t="n">
        <f aca="false">SUMIFS(Seasons!$N$2:$N$2865,Seasons!$A$2:$A$2865,B189,Seasons!$B$2:$B$2865,"&gt;="&amp;$B$10,Seasons!$B$2:$B$2865,"&lt;="&amp;$C$10)</f>
        <v>0</v>
      </c>
      <c r="N189" s="3" t="n">
        <f aca="false">IF(J189="",-1000000,J189+ROW()*0.000000001)</f>
        <v>-12.003101713667</v>
      </c>
      <c r="O189" s="3" t="n">
        <f aca="false">IF(J189="","",SUMPRODUCT(($A$25:$A$534=A189)*($N$25:$N$534&gt;N189))+1)</f>
        <v>14</v>
      </c>
      <c r="P189" s="3" t="str">
        <f aca="false">A189&amp;"|"&amp;O189</f>
        <v>1950s|14</v>
      </c>
    </row>
    <row r="190" customFormat="false" ht="15" hidden="false" customHeight="true" outlineLevel="0" collapsed="false">
      <c r="A190" s="1" t="s">
        <v>14</v>
      </c>
      <c r="B190" s="7" t="s">
        <v>70</v>
      </c>
      <c r="C190" s="1" t="s">
        <v>55</v>
      </c>
      <c r="D190" s="3" t="n">
        <f aca="false">COUNTIFS(Market_Panel!$A$2:$A$2705,B190,Market_Panel!$B$2:$B$2705,"&gt;="&amp;$B$10,Market_Panel!$B$2:$B$2705,"&lt;="&amp;$C$10)</f>
        <v>10</v>
      </c>
      <c r="E190" s="10" t="n">
        <f aca="false">IF(D190=0,"",AVERAGEIFS(Market_Panel!$M$2:$M$2705,Market_Panel!$A$2:$A$2705,B190,Market_Panel!$B$2:$B$2705,"&gt;="&amp;$B$10,Market_Panel!$B$2:$B$2705,"&lt;="&amp;$C$10))</f>
        <v>0.121434781071276</v>
      </c>
      <c r="F190" s="11" t="n">
        <f aca="false">IF(D190=0,"",AVERAGEIFS(Market_Panel!$P$2:$P$2705,Market_Panel!$A$2:$A$2705,B190,Market_Panel!$B$2:$B$2705,"&gt;="&amp;$B$10,Market_Panel!$B$2:$B$2705,"&lt;="&amp;$C$10))</f>
        <v>1.10548184596906</v>
      </c>
      <c r="G190" s="11" t="n">
        <f aca="false">IF(D190=0,"",AVERAGEIFS(Market_Panel!$R$2:$R$2705,Market_Panel!$A$2:$A$2705,B190,Market_Panel!$B$2:$B$2705,"&gt;="&amp;$B$10,Market_Panel!$B$2:$B$2705,"&lt;="&amp;$C$10))</f>
        <v>0</v>
      </c>
      <c r="H190" s="11" t="n">
        <f aca="false">IF(OR(D190=0,$H$10=0),0,AVERAGEIFS(Market_Panel!$Y$2:$Y$2705,Market_Panel!$A$2:$A$2705,B190,Market_Panel!$B$2:$B$2705,"&gt;="&amp;$B$10,Market_Panel!$B$2:$B$2705,"&lt;="&amp;$C$10))</f>
        <v>0</v>
      </c>
      <c r="I190" s="10" t="n">
        <f aca="false">IF(D190=0,"",$I$10+$F$10*F190+$G$10*G190+$H$10*H190)</f>
        <v>0.0514909243998256</v>
      </c>
      <c r="J190" s="5" t="n">
        <f aca="false">IF(D190&lt;5,"",(E190-I190)*162)</f>
        <v>11.330904780775</v>
      </c>
      <c r="K190" s="5" t="n">
        <f aca="false">IF(D190=0,"",E190*162)</f>
        <v>19.6724345335467</v>
      </c>
      <c r="L190" s="3" t="n">
        <f aca="false">SUMIFS(Seasons!$L$2:$L$2865,Seasons!$A$2:$A$2865,B190,Seasons!$B$2:$B$2865,"&gt;="&amp;$B$10,Seasons!$B$2:$B$2865,"&lt;="&amp;$C$10)</f>
        <v>8</v>
      </c>
      <c r="M190" s="3" t="n">
        <f aca="false">SUMIFS(Seasons!$N$2:$N$2865,Seasons!$A$2:$A$2865,B190,Seasons!$B$2:$B$2865,"&gt;="&amp;$B$10,Seasons!$B$2:$B$2865,"&lt;="&amp;$C$10)</f>
        <v>6</v>
      </c>
      <c r="N190" s="3" t="n">
        <f aca="false">IF(J190="",-1000000,J190+ROW()*0.000000001)</f>
        <v>11.330904970775</v>
      </c>
      <c r="O190" s="3" t="n">
        <f aca="false">IF(J190="","",SUMPRODUCT(($A$25:$A$534=A190)*($N$25:$N$534&gt;N190))+1)</f>
        <v>3</v>
      </c>
      <c r="P190" s="3" t="str">
        <f aca="false">A190&amp;"|"&amp;O190</f>
        <v>1950s|3</v>
      </c>
    </row>
    <row r="191" customFormat="false" ht="15" hidden="false" customHeight="true" outlineLevel="0" collapsed="false">
      <c r="A191" s="1" t="s">
        <v>14</v>
      </c>
      <c r="B191" s="7" t="s">
        <v>71</v>
      </c>
      <c r="C191" s="1" t="s">
        <v>72</v>
      </c>
      <c r="D191" s="3" t="n">
        <f aca="false">COUNTIFS(Market_Panel!$A$2:$A$2705,B191,Market_Panel!$B$2:$B$2705,"&gt;="&amp;$B$10,Market_Panel!$B$2:$B$2705,"&lt;="&amp;$C$10)</f>
        <v>0</v>
      </c>
      <c r="E191" s="10" t="str">
        <f aca="false">IF(D191=0,"",AVERAGEIFS(Market_Panel!$M$2:$M$2705,Market_Panel!$A$2:$A$2705,B191,Market_Panel!$B$2:$B$2705,"&gt;="&amp;$B$10,Market_Panel!$B$2:$B$2705,"&lt;="&amp;$C$10))</f>
        <v/>
      </c>
      <c r="F191" s="11" t="str">
        <f aca="false">IF(D191=0,"",AVERAGEIFS(Market_Panel!$P$2:$P$2705,Market_Panel!$A$2:$A$2705,B191,Market_Panel!$B$2:$B$2705,"&gt;="&amp;$B$10,Market_Panel!$B$2:$B$2705,"&lt;="&amp;$C$10))</f>
        <v/>
      </c>
      <c r="G191" s="11" t="str">
        <f aca="false">IF(D191=0,"",AVERAGEIFS(Market_Panel!$R$2:$R$2705,Market_Panel!$A$2:$A$2705,B191,Market_Panel!$B$2:$B$2705,"&gt;="&amp;$B$10,Market_Panel!$B$2:$B$2705,"&lt;="&amp;$C$10))</f>
        <v/>
      </c>
      <c r="H191" s="11" t="n">
        <f aca="false">IF(OR(D191=0,$H$10=0),0,AVERAGEIFS(Market_Panel!$Y$2:$Y$2705,Market_Panel!$A$2:$A$2705,B191,Market_Panel!$B$2:$B$2705,"&gt;="&amp;$B$10,Market_Panel!$B$2:$B$2705,"&lt;="&amp;$C$10))</f>
        <v>0</v>
      </c>
      <c r="I191" s="10" t="str">
        <f aca="false">IF(D191=0,"",$I$10+$F$10*F191+$G$10*G191+$H$10*H191)</f>
        <v/>
      </c>
      <c r="J191" s="5" t="str">
        <f aca="false">IF(D191&lt;5,"",(E191-I191)*162)</f>
        <v/>
      </c>
      <c r="K191" s="5" t="str">
        <f aca="false">IF(D191=0,"",E191*162)</f>
        <v/>
      </c>
      <c r="L191" s="3" t="n">
        <f aca="false">SUMIFS(Seasons!$L$2:$L$2865,Seasons!$A$2:$A$2865,B191,Seasons!$B$2:$B$2865,"&gt;="&amp;$B$10,Seasons!$B$2:$B$2865,"&lt;="&amp;$C$10)</f>
        <v>0</v>
      </c>
      <c r="M191" s="3" t="n">
        <f aca="false">SUMIFS(Seasons!$N$2:$N$2865,Seasons!$A$2:$A$2865,B191,Seasons!$B$2:$B$2865,"&gt;="&amp;$B$10,Seasons!$B$2:$B$2865,"&lt;="&amp;$C$10)</f>
        <v>0</v>
      </c>
      <c r="N191" s="3" t="n">
        <f aca="false">IF(J191="",-1000000,J191+ROW()*0.000000001)</f>
        <v>-1000000</v>
      </c>
      <c r="O191" s="3" t="str">
        <f aca="false">IF(J191="","",SUMPRODUCT(($A$25:$A$534=A191)*($N$25:$N$534&gt;N191))+1)</f>
        <v/>
      </c>
      <c r="P191" s="3" t="str">
        <f aca="false">A191&amp;"|"&amp;O191</f>
        <v>1950s|</v>
      </c>
    </row>
    <row r="192" customFormat="false" ht="15" hidden="false" customHeight="true" outlineLevel="0" collapsed="false">
      <c r="A192" s="1" t="s">
        <v>14</v>
      </c>
      <c r="B192" s="7" t="s">
        <v>73</v>
      </c>
      <c r="C192" s="1" t="s">
        <v>72</v>
      </c>
      <c r="D192" s="3" t="n">
        <f aca="false">COUNTIFS(Market_Panel!$A$2:$A$2705,B192,Market_Panel!$B$2:$B$2705,"&gt;="&amp;$B$10,Market_Panel!$B$2:$B$2705,"&lt;="&amp;$C$10)</f>
        <v>0</v>
      </c>
      <c r="E192" s="10" t="str">
        <f aca="false">IF(D192=0,"",AVERAGEIFS(Market_Panel!$M$2:$M$2705,Market_Panel!$A$2:$A$2705,B192,Market_Panel!$B$2:$B$2705,"&gt;="&amp;$B$10,Market_Panel!$B$2:$B$2705,"&lt;="&amp;$C$10))</f>
        <v/>
      </c>
      <c r="F192" s="11" t="str">
        <f aca="false">IF(D192=0,"",AVERAGEIFS(Market_Panel!$P$2:$P$2705,Market_Panel!$A$2:$A$2705,B192,Market_Panel!$B$2:$B$2705,"&gt;="&amp;$B$10,Market_Panel!$B$2:$B$2705,"&lt;="&amp;$C$10))</f>
        <v/>
      </c>
      <c r="G192" s="11" t="str">
        <f aca="false">IF(D192=0,"",AVERAGEIFS(Market_Panel!$R$2:$R$2705,Market_Panel!$A$2:$A$2705,B192,Market_Panel!$B$2:$B$2705,"&gt;="&amp;$B$10,Market_Panel!$B$2:$B$2705,"&lt;="&amp;$C$10))</f>
        <v/>
      </c>
      <c r="H192" s="11" t="n">
        <f aca="false">IF(OR(D192=0,$H$10=0),0,AVERAGEIFS(Market_Panel!$Y$2:$Y$2705,Market_Panel!$A$2:$A$2705,B192,Market_Panel!$B$2:$B$2705,"&gt;="&amp;$B$10,Market_Panel!$B$2:$B$2705,"&lt;="&amp;$C$10))</f>
        <v>0</v>
      </c>
      <c r="I192" s="10" t="str">
        <f aca="false">IF(D192=0,"",$I$10+$F$10*F192+$G$10*G192+$H$10*H192)</f>
        <v/>
      </c>
      <c r="J192" s="5" t="str">
        <f aca="false">IF(D192&lt;5,"",(E192-I192)*162)</f>
        <v/>
      </c>
      <c r="K192" s="5" t="str">
        <f aca="false">IF(D192=0,"",E192*162)</f>
        <v/>
      </c>
      <c r="L192" s="3" t="n">
        <f aca="false">SUMIFS(Seasons!$L$2:$L$2865,Seasons!$A$2:$A$2865,B192,Seasons!$B$2:$B$2865,"&gt;="&amp;$B$10,Seasons!$B$2:$B$2865,"&lt;="&amp;$C$10)</f>
        <v>0</v>
      </c>
      <c r="M192" s="3" t="n">
        <f aca="false">SUMIFS(Seasons!$N$2:$N$2865,Seasons!$A$2:$A$2865,B192,Seasons!$B$2:$B$2865,"&gt;="&amp;$B$10,Seasons!$B$2:$B$2865,"&lt;="&amp;$C$10)</f>
        <v>0</v>
      </c>
      <c r="N192" s="3" t="n">
        <f aca="false">IF(J192="",-1000000,J192+ROW()*0.000000001)</f>
        <v>-1000000</v>
      </c>
      <c r="O192" s="3" t="str">
        <f aca="false">IF(J192="","",SUMPRODUCT(($A$25:$A$534=A192)*($N$25:$N$534&gt;N192))+1)</f>
        <v/>
      </c>
      <c r="P192" s="3" t="str">
        <f aca="false">A192&amp;"|"&amp;O192</f>
        <v>1950s|</v>
      </c>
    </row>
    <row r="193" customFormat="false" ht="15" hidden="false" customHeight="true" outlineLevel="0" collapsed="false">
      <c r="A193" s="1" t="s">
        <v>14</v>
      </c>
      <c r="B193" s="7" t="s">
        <v>74</v>
      </c>
      <c r="C193" s="1" t="s">
        <v>72</v>
      </c>
      <c r="D193" s="3" t="n">
        <f aca="false">COUNTIFS(Market_Panel!$A$2:$A$2705,B193,Market_Panel!$B$2:$B$2705,"&gt;="&amp;$B$10,Market_Panel!$B$2:$B$2705,"&lt;="&amp;$C$10)</f>
        <v>0</v>
      </c>
      <c r="E193" s="10" t="str">
        <f aca="false">IF(D193=0,"",AVERAGEIFS(Market_Panel!$M$2:$M$2705,Market_Panel!$A$2:$A$2705,B193,Market_Panel!$B$2:$B$2705,"&gt;="&amp;$B$10,Market_Panel!$B$2:$B$2705,"&lt;="&amp;$C$10))</f>
        <v/>
      </c>
      <c r="F193" s="11" t="str">
        <f aca="false">IF(D193=0,"",AVERAGEIFS(Market_Panel!$P$2:$P$2705,Market_Panel!$A$2:$A$2705,B193,Market_Panel!$B$2:$B$2705,"&gt;="&amp;$B$10,Market_Panel!$B$2:$B$2705,"&lt;="&amp;$C$10))</f>
        <v/>
      </c>
      <c r="G193" s="11" t="str">
        <f aca="false">IF(D193=0,"",AVERAGEIFS(Market_Panel!$R$2:$R$2705,Market_Panel!$A$2:$A$2705,B193,Market_Panel!$B$2:$B$2705,"&gt;="&amp;$B$10,Market_Panel!$B$2:$B$2705,"&lt;="&amp;$C$10))</f>
        <v/>
      </c>
      <c r="H193" s="11" t="n">
        <f aca="false">IF(OR(D193=0,$H$10=0),0,AVERAGEIFS(Market_Panel!$Y$2:$Y$2705,Market_Panel!$A$2:$A$2705,B193,Market_Panel!$B$2:$B$2705,"&gt;="&amp;$B$10,Market_Panel!$B$2:$B$2705,"&lt;="&amp;$C$10))</f>
        <v>0</v>
      </c>
      <c r="I193" s="10" t="str">
        <f aca="false">IF(D193=0,"",$I$10+$F$10*F193+$G$10*G193+$H$10*H193)</f>
        <v/>
      </c>
      <c r="J193" s="5" t="str">
        <f aca="false">IF(D193&lt;5,"",(E193-I193)*162)</f>
        <v/>
      </c>
      <c r="K193" s="5" t="str">
        <f aca="false">IF(D193=0,"",E193*162)</f>
        <v/>
      </c>
      <c r="L193" s="3" t="n">
        <f aca="false">SUMIFS(Seasons!$L$2:$L$2865,Seasons!$A$2:$A$2865,B193,Seasons!$B$2:$B$2865,"&gt;="&amp;$B$10,Seasons!$B$2:$B$2865,"&lt;="&amp;$C$10)</f>
        <v>0</v>
      </c>
      <c r="M193" s="3" t="n">
        <f aca="false">SUMIFS(Seasons!$N$2:$N$2865,Seasons!$A$2:$A$2865,B193,Seasons!$B$2:$B$2865,"&gt;="&amp;$B$10,Seasons!$B$2:$B$2865,"&lt;="&amp;$C$10)</f>
        <v>0</v>
      </c>
      <c r="N193" s="3" t="n">
        <f aca="false">IF(J193="",-1000000,J193+ROW()*0.000000001)</f>
        <v>-1000000</v>
      </c>
      <c r="O193" s="3" t="str">
        <f aca="false">IF(J193="","",SUMPRODUCT(($A$25:$A$534=A193)*($N$25:$N$534&gt;N193))+1)</f>
        <v/>
      </c>
      <c r="P193" s="3" t="str">
        <f aca="false">A193&amp;"|"&amp;O193</f>
        <v>1950s|</v>
      </c>
    </row>
    <row r="194" customFormat="false" ht="15" hidden="false" customHeight="true" outlineLevel="0" collapsed="false">
      <c r="A194" s="1" t="s">
        <v>14</v>
      </c>
      <c r="B194" s="7" t="s">
        <v>75</v>
      </c>
      <c r="C194" s="1" t="s">
        <v>72</v>
      </c>
      <c r="D194" s="3" t="n">
        <f aca="false">COUNTIFS(Market_Panel!$A$2:$A$2705,B194,Market_Panel!$B$2:$B$2705,"&gt;="&amp;$B$10,Market_Panel!$B$2:$B$2705,"&lt;="&amp;$C$10)</f>
        <v>0</v>
      </c>
      <c r="E194" s="10" t="str">
        <f aca="false">IF(D194=0,"",AVERAGEIFS(Market_Panel!$M$2:$M$2705,Market_Panel!$A$2:$A$2705,B194,Market_Panel!$B$2:$B$2705,"&gt;="&amp;$B$10,Market_Panel!$B$2:$B$2705,"&lt;="&amp;$C$10))</f>
        <v/>
      </c>
      <c r="F194" s="11" t="str">
        <f aca="false">IF(D194=0,"",AVERAGEIFS(Market_Panel!$P$2:$P$2705,Market_Panel!$A$2:$A$2705,B194,Market_Panel!$B$2:$B$2705,"&gt;="&amp;$B$10,Market_Panel!$B$2:$B$2705,"&lt;="&amp;$C$10))</f>
        <v/>
      </c>
      <c r="G194" s="11" t="str">
        <f aca="false">IF(D194=0,"",AVERAGEIFS(Market_Panel!$R$2:$R$2705,Market_Panel!$A$2:$A$2705,B194,Market_Panel!$B$2:$B$2705,"&gt;="&amp;$B$10,Market_Panel!$B$2:$B$2705,"&lt;="&amp;$C$10))</f>
        <v/>
      </c>
      <c r="H194" s="11" t="n">
        <f aca="false">IF(OR(D194=0,$H$10=0),0,AVERAGEIFS(Market_Panel!$Y$2:$Y$2705,Market_Panel!$A$2:$A$2705,B194,Market_Panel!$B$2:$B$2705,"&gt;="&amp;$B$10,Market_Panel!$B$2:$B$2705,"&lt;="&amp;$C$10))</f>
        <v>0</v>
      </c>
      <c r="I194" s="10" t="str">
        <f aca="false">IF(D194=0,"",$I$10+$F$10*F194+$G$10*G194+$H$10*H194)</f>
        <v/>
      </c>
      <c r="J194" s="5" t="str">
        <f aca="false">IF(D194&lt;5,"",(E194-I194)*162)</f>
        <v/>
      </c>
      <c r="K194" s="5" t="str">
        <f aca="false">IF(D194=0,"",E194*162)</f>
        <v/>
      </c>
      <c r="L194" s="3" t="n">
        <f aca="false">SUMIFS(Seasons!$L$2:$L$2865,Seasons!$A$2:$A$2865,B194,Seasons!$B$2:$B$2865,"&gt;="&amp;$B$10,Seasons!$B$2:$B$2865,"&lt;="&amp;$C$10)</f>
        <v>0</v>
      </c>
      <c r="M194" s="3" t="n">
        <f aca="false">SUMIFS(Seasons!$N$2:$N$2865,Seasons!$A$2:$A$2865,B194,Seasons!$B$2:$B$2865,"&gt;="&amp;$B$10,Seasons!$B$2:$B$2865,"&lt;="&amp;$C$10)</f>
        <v>0</v>
      </c>
      <c r="N194" s="3" t="n">
        <f aca="false">IF(J194="",-1000000,J194+ROW()*0.000000001)</f>
        <v>-1000000</v>
      </c>
      <c r="O194" s="3" t="str">
        <f aca="false">IF(J194="","",SUMPRODUCT(($A$25:$A$534=A194)*($N$25:$N$534&gt;N194))+1)</f>
        <v/>
      </c>
      <c r="P194" s="3" t="str">
        <f aca="false">A194&amp;"|"&amp;O194</f>
        <v>1950s|</v>
      </c>
    </row>
    <row r="195" customFormat="false" ht="15" hidden="false" customHeight="true" outlineLevel="0" collapsed="false">
      <c r="A195" s="1" t="s">
        <v>14</v>
      </c>
      <c r="B195" s="7" t="s">
        <v>76</v>
      </c>
      <c r="C195" s="1" t="s">
        <v>72</v>
      </c>
      <c r="D195" s="3" t="n">
        <f aca="false">COUNTIFS(Market_Panel!$A$2:$A$2705,B195,Market_Panel!$B$2:$B$2705,"&gt;="&amp;$B$10,Market_Panel!$B$2:$B$2705,"&lt;="&amp;$C$10)</f>
        <v>0</v>
      </c>
      <c r="E195" s="10" t="str">
        <f aca="false">IF(D195=0,"",AVERAGEIFS(Market_Panel!$M$2:$M$2705,Market_Panel!$A$2:$A$2705,B195,Market_Panel!$B$2:$B$2705,"&gt;="&amp;$B$10,Market_Panel!$B$2:$B$2705,"&lt;="&amp;$C$10))</f>
        <v/>
      </c>
      <c r="F195" s="11" t="str">
        <f aca="false">IF(D195=0,"",AVERAGEIFS(Market_Panel!$P$2:$P$2705,Market_Panel!$A$2:$A$2705,B195,Market_Panel!$B$2:$B$2705,"&gt;="&amp;$B$10,Market_Panel!$B$2:$B$2705,"&lt;="&amp;$C$10))</f>
        <v/>
      </c>
      <c r="G195" s="11" t="str">
        <f aca="false">IF(D195=0,"",AVERAGEIFS(Market_Panel!$R$2:$R$2705,Market_Panel!$A$2:$A$2705,B195,Market_Panel!$B$2:$B$2705,"&gt;="&amp;$B$10,Market_Panel!$B$2:$B$2705,"&lt;="&amp;$C$10))</f>
        <v/>
      </c>
      <c r="H195" s="11" t="n">
        <f aca="false">IF(OR(D195=0,$H$10=0),0,AVERAGEIFS(Market_Panel!$Y$2:$Y$2705,Market_Panel!$A$2:$A$2705,B195,Market_Panel!$B$2:$B$2705,"&gt;="&amp;$B$10,Market_Panel!$B$2:$B$2705,"&lt;="&amp;$C$10))</f>
        <v>0</v>
      </c>
      <c r="I195" s="10" t="str">
        <f aca="false">IF(D195=0,"",$I$10+$F$10*F195+$G$10*G195+$H$10*H195)</f>
        <v/>
      </c>
      <c r="J195" s="5" t="str">
        <f aca="false">IF(D195&lt;5,"",(E195-I195)*162)</f>
        <v/>
      </c>
      <c r="K195" s="5" t="str">
        <f aca="false">IF(D195=0,"",E195*162)</f>
        <v/>
      </c>
      <c r="L195" s="3" t="n">
        <f aca="false">SUMIFS(Seasons!$L$2:$L$2865,Seasons!$A$2:$A$2865,B195,Seasons!$B$2:$B$2865,"&gt;="&amp;$B$10,Seasons!$B$2:$B$2865,"&lt;="&amp;$C$10)</f>
        <v>0</v>
      </c>
      <c r="M195" s="3" t="n">
        <f aca="false">SUMIFS(Seasons!$N$2:$N$2865,Seasons!$A$2:$A$2865,B195,Seasons!$B$2:$B$2865,"&gt;="&amp;$B$10,Seasons!$B$2:$B$2865,"&lt;="&amp;$C$10)</f>
        <v>0</v>
      </c>
      <c r="N195" s="3" t="n">
        <f aca="false">IF(J195="",-1000000,J195+ROW()*0.000000001)</f>
        <v>-1000000</v>
      </c>
      <c r="O195" s="3" t="str">
        <f aca="false">IF(J195="","",SUMPRODUCT(($A$25:$A$534=A195)*($N$25:$N$534&gt;N195))+1)</f>
        <v/>
      </c>
      <c r="P195" s="3" t="str">
        <f aca="false">A195&amp;"|"&amp;O195</f>
        <v>1950s|</v>
      </c>
    </row>
    <row r="196" customFormat="false" ht="15" hidden="false" customHeight="true" outlineLevel="0" collapsed="false">
      <c r="A196" s="1" t="s">
        <v>14</v>
      </c>
      <c r="B196" s="7" t="s">
        <v>77</v>
      </c>
      <c r="C196" s="1" t="s">
        <v>72</v>
      </c>
      <c r="D196" s="3" t="n">
        <f aca="false">COUNTIFS(Market_Panel!$A$2:$A$2705,B196,Market_Panel!$B$2:$B$2705,"&gt;="&amp;$B$10,Market_Panel!$B$2:$B$2705,"&lt;="&amp;$C$10)</f>
        <v>0</v>
      </c>
      <c r="E196" s="10" t="str">
        <f aca="false">IF(D196=0,"",AVERAGEIFS(Market_Panel!$M$2:$M$2705,Market_Panel!$A$2:$A$2705,B196,Market_Panel!$B$2:$B$2705,"&gt;="&amp;$B$10,Market_Panel!$B$2:$B$2705,"&lt;="&amp;$C$10))</f>
        <v/>
      </c>
      <c r="F196" s="11" t="str">
        <f aca="false">IF(D196=0,"",AVERAGEIFS(Market_Panel!$P$2:$P$2705,Market_Panel!$A$2:$A$2705,B196,Market_Panel!$B$2:$B$2705,"&gt;="&amp;$B$10,Market_Panel!$B$2:$B$2705,"&lt;="&amp;$C$10))</f>
        <v/>
      </c>
      <c r="G196" s="11" t="str">
        <f aca="false">IF(D196=0,"",AVERAGEIFS(Market_Panel!$R$2:$R$2705,Market_Panel!$A$2:$A$2705,B196,Market_Panel!$B$2:$B$2705,"&gt;="&amp;$B$10,Market_Panel!$B$2:$B$2705,"&lt;="&amp;$C$10))</f>
        <v/>
      </c>
      <c r="H196" s="11" t="n">
        <f aca="false">IF(OR(D196=0,$H$10=0),0,AVERAGEIFS(Market_Panel!$Y$2:$Y$2705,Market_Panel!$A$2:$A$2705,B196,Market_Panel!$B$2:$B$2705,"&gt;="&amp;$B$10,Market_Panel!$B$2:$B$2705,"&lt;="&amp;$C$10))</f>
        <v>0</v>
      </c>
      <c r="I196" s="10" t="str">
        <f aca="false">IF(D196=0,"",$I$10+$F$10*F196+$G$10*G196+$H$10*H196)</f>
        <v/>
      </c>
      <c r="J196" s="5" t="str">
        <f aca="false">IF(D196&lt;5,"",(E196-I196)*162)</f>
        <v/>
      </c>
      <c r="K196" s="5" t="str">
        <f aca="false">IF(D196=0,"",E196*162)</f>
        <v/>
      </c>
      <c r="L196" s="3" t="n">
        <f aca="false">SUMIFS(Seasons!$L$2:$L$2865,Seasons!$A$2:$A$2865,B196,Seasons!$B$2:$B$2865,"&gt;="&amp;$B$10,Seasons!$B$2:$B$2865,"&lt;="&amp;$C$10)</f>
        <v>0</v>
      </c>
      <c r="M196" s="3" t="n">
        <f aca="false">SUMIFS(Seasons!$N$2:$N$2865,Seasons!$A$2:$A$2865,B196,Seasons!$B$2:$B$2865,"&gt;="&amp;$B$10,Seasons!$B$2:$B$2865,"&lt;="&amp;$C$10)</f>
        <v>0</v>
      </c>
      <c r="N196" s="3" t="n">
        <f aca="false">IF(J196="",-1000000,J196+ROW()*0.000000001)</f>
        <v>-1000000</v>
      </c>
      <c r="O196" s="3" t="str">
        <f aca="false">IF(J196="","",SUMPRODUCT(($A$25:$A$534=A196)*($N$25:$N$534&gt;N196))+1)</f>
        <v/>
      </c>
      <c r="P196" s="3" t="str">
        <f aca="false">A196&amp;"|"&amp;O196</f>
        <v>1950s|</v>
      </c>
    </row>
    <row r="197" customFormat="false" ht="15" hidden="false" customHeight="true" outlineLevel="0" collapsed="false">
      <c r="A197" s="1" t="s">
        <v>14</v>
      </c>
      <c r="B197" s="7" t="s">
        <v>78</v>
      </c>
      <c r="C197" s="1" t="s">
        <v>72</v>
      </c>
      <c r="D197" s="3" t="n">
        <f aca="false">COUNTIFS(Market_Panel!$A$2:$A$2705,B197,Market_Panel!$B$2:$B$2705,"&gt;="&amp;$B$10,Market_Panel!$B$2:$B$2705,"&lt;="&amp;$C$10)</f>
        <v>0</v>
      </c>
      <c r="E197" s="10" t="str">
        <f aca="false">IF(D197=0,"",AVERAGEIFS(Market_Panel!$M$2:$M$2705,Market_Panel!$A$2:$A$2705,B197,Market_Panel!$B$2:$B$2705,"&gt;="&amp;$B$10,Market_Panel!$B$2:$B$2705,"&lt;="&amp;$C$10))</f>
        <v/>
      </c>
      <c r="F197" s="11" t="str">
        <f aca="false">IF(D197=0,"",AVERAGEIFS(Market_Panel!$P$2:$P$2705,Market_Panel!$A$2:$A$2705,B197,Market_Panel!$B$2:$B$2705,"&gt;="&amp;$B$10,Market_Panel!$B$2:$B$2705,"&lt;="&amp;$C$10))</f>
        <v/>
      </c>
      <c r="G197" s="11" t="str">
        <f aca="false">IF(D197=0,"",AVERAGEIFS(Market_Panel!$R$2:$R$2705,Market_Panel!$A$2:$A$2705,B197,Market_Panel!$B$2:$B$2705,"&gt;="&amp;$B$10,Market_Panel!$B$2:$B$2705,"&lt;="&amp;$C$10))</f>
        <v/>
      </c>
      <c r="H197" s="11" t="n">
        <f aca="false">IF(OR(D197=0,$H$10=0),0,AVERAGEIFS(Market_Panel!$Y$2:$Y$2705,Market_Panel!$A$2:$A$2705,B197,Market_Panel!$B$2:$B$2705,"&gt;="&amp;$B$10,Market_Panel!$B$2:$B$2705,"&lt;="&amp;$C$10))</f>
        <v>0</v>
      </c>
      <c r="I197" s="10" t="str">
        <f aca="false">IF(D197=0,"",$I$10+$F$10*F197+$G$10*G197+$H$10*H197)</f>
        <v/>
      </c>
      <c r="J197" s="5" t="str">
        <f aca="false">IF(D197&lt;5,"",(E197-I197)*162)</f>
        <v/>
      </c>
      <c r="K197" s="5" t="str">
        <f aca="false">IF(D197=0,"",E197*162)</f>
        <v/>
      </c>
      <c r="L197" s="3" t="n">
        <f aca="false">SUMIFS(Seasons!$L$2:$L$2865,Seasons!$A$2:$A$2865,B197,Seasons!$B$2:$B$2865,"&gt;="&amp;$B$10,Seasons!$B$2:$B$2865,"&lt;="&amp;$C$10)</f>
        <v>0</v>
      </c>
      <c r="M197" s="3" t="n">
        <f aca="false">SUMIFS(Seasons!$N$2:$N$2865,Seasons!$A$2:$A$2865,B197,Seasons!$B$2:$B$2865,"&gt;="&amp;$B$10,Seasons!$B$2:$B$2865,"&lt;="&amp;$C$10)</f>
        <v>0</v>
      </c>
      <c r="N197" s="3" t="n">
        <f aca="false">IF(J197="",-1000000,J197+ROW()*0.000000001)</f>
        <v>-1000000</v>
      </c>
      <c r="O197" s="3" t="str">
        <f aca="false">IF(J197="","",SUMPRODUCT(($A$25:$A$534=A197)*($N$25:$N$534&gt;N197))+1)</f>
        <v/>
      </c>
      <c r="P197" s="3" t="str">
        <f aca="false">A197&amp;"|"&amp;O197</f>
        <v>1950s|</v>
      </c>
    </row>
    <row r="198" customFormat="false" ht="15" hidden="false" customHeight="true" outlineLevel="0" collapsed="false">
      <c r="A198" s="1" t="s">
        <v>14</v>
      </c>
      <c r="B198" s="7" t="s">
        <v>79</v>
      </c>
      <c r="C198" s="1" t="s">
        <v>72</v>
      </c>
      <c r="D198" s="3" t="n">
        <f aca="false">COUNTIFS(Market_Panel!$A$2:$A$2705,B198,Market_Panel!$B$2:$B$2705,"&gt;="&amp;$B$10,Market_Panel!$B$2:$B$2705,"&lt;="&amp;$C$10)</f>
        <v>0</v>
      </c>
      <c r="E198" s="10" t="str">
        <f aca="false">IF(D198=0,"",AVERAGEIFS(Market_Panel!$M$2:$M$2705,Market_Panel!$A$2:$A$2705,B198,Market_Panel!$B$2:$B$2705,"&gt;="&amp;$B$10,Market_Panel!$B$2:$B$2705,"&lt;="&amp;$C$10))</f>
        <v/>
      </c>
      <c r="F198" s="11" t="str">
        <f aca="false">IF(D198=0,"",AVERAGEIFS(Market_Panel!$P$2:$P$2705,Market_Panel!$A$2:$A$2705,B198,Market_Panel!$B$2:$B$2705,"&gt;="&amp;$B$10,Market_Panel!$B$2:$B$2705,"&lt;="&amp;$C$10))</f>
        <v/>
      </c>
      <c r="G198" s="11" t="str">
        <f aca="false">IF(D198=0,"",AVERAGEIFS(Market_Panel!$R$2:$R$2705,Market_Panel!$A$2:$A$2705,B198,Market_Panel!$B$2:$B$2705,"&gt;="&amp;$B$10,Market_Panel!$B$2:$B$2705,"&lt;="&amp;$C$10))</f>
        <v/>
      </c>
      <c r="H198" s="11" t="n">
        <f aca="false">IF(OR(D198=0,$H$10=0),0,AVERAGEIFS(Market_Panel!$Y$2:$Y$2705,Market_Panel!$A$2:$A$2705,B198,Market_Panel!$B$2:$B$2705,"&gt;="&amp;$B$10,Market_Panel!$B$2:$B$2705,"&lt;="&amp;$C$10))</f>
        <v>0</v>
      </c>
      <c r="I198" s="10" t="str">
        <f aca="false">IF(D198=0,"",$I$10+$F$10*F198+$G$10*G198+$H$10*H198)</f>
        <v/>
      </c>
      <c r="J198" s="5" t="str">
        <f aca="false">IF(D198&lt;5,"",(E198-I198)*162)</f>
        <v/>
      </c>
      <c r="K198" s="5" t="str">
        <f aca="false">IF(D198=0,"",E198*162)</f>
        <v/>
      </c>
      <c r="L198" s="3" t="n">
        <f aca="false">SUMIFS(Seasons!$L$2:$L$2865,Seasons!$A$2:$A$2865,B198,Seasons!$B$2:$B$2865,"&gt;="&amp;$B$10,Seasons!$B$2:$B$2865,"&lt;="&amp;$C$10)</f>
        <v>0</v>
      </c>
      <c r="M198" s="3" t="n">
        <f aca="false">SUMIFS(Seasons!$N$2:$N$2865,Seasons!$A$2:$A$2865,B198,Seasons!$B$2:$B$2865,"&gt;="&amp;$B$10,Seasons!$B$2:$B$2865,"&lt;="&amp;$C$10)</f>
        <v>0</v>
      </c>
      <c r="N198" s="3" t="n">
        <f aca="false">IF(J198="",-1000000,J198+ROW()*0.000000001)</f>
        <v>-1000000</v>
      </c>
      <c r="O198" s="3" t="str">
        <f aca="false">IF(J198="","",SUMPRODUCT(($A$25:$A$534=A198)*($N$25:$N$534&gt;N198))+1)</f>
        <v/>
      </c>
      <c r="P198" s="3" t="str">
        <f aca="false">A198&amp;"|"&amp;O198</f>
        <v>1950s|</v>
      </c>
    </row>
    <row r="199" customFormat="false" ht="15" hidden="false" customHeight="true" outlineLevel="0" collapsed="false">
      <c r="A199" s="1" t="s">
        <v>14</v>
      </c>
      <c r="B199" s="7" t="s">
        <v>80</v>
      </c>
      <c r="C199" s="1" t="s">
        <v>72</v>
      </c>
      <c r="D199" s="3" t="n">
        <f aca="false">COUNTIFS(Market_Panel!$A$2:$A$2705,B199,Market_Panel!$B$2:$B$2705,"&gt;="&amp;$B$10,Market_Panel!$B$2:$B$2705,"&lt;="&amp;$C$10)</f>
        <v>0</v>
      </c>
      <c r="E199" s="10" t="str">
        <f aca="false">IF(D199=0,"",AVERAGEIFS(Market_Panel!$M$2:$M$2705,Market_Panel!$A$2:$A$2705,B199,Market_Panel!$B$2:$B$2705,"&gt;="&amp;$B$10,Market_Panel!$B$2:$B$2705,"&lt;="&amp;$C$10))</f>
        <v/>
      </c>
      <c r="F199" s="11" t="str">
        <f aca="false">IF(D199=0,"",AVERAGEIFS(Market_Panel!$P$2:$P$2705,Market_Panel!$A$2:$A$2705,B199,Market_Panel!$B$2:$B$2705,"&gt;="&amp;$B$10,Market_Panel!$B$2:$B$2705,"&lt;="&amp;$C$10))</f>
        <v/>
      </c>
      <c r="G199" s="11" t="str">
        <f aca="false">IF(D199=0,"",AVERAGEIFS(Market_Panel!$R$2:$R$2705,Market_Panel!$A$2:$A$2705,B199,Market_Panel!$B$2:$B$2705,"&gt;="&amp;$B$10,Market_Panel!$B$2:$B$2705,"&lt;="&amp;$C$10))</f>
        <v/>
      </c>
      <c r="H199" s="11" t="n">
        <f aca="false">IF(OR(D199=0,$H$10=0),0,AVERAGEIFS(Market_Panel!$Y$2:$Y$2705,Market_Panel!$A$2:$A$2705,B199,Market_Panel!$B$2:$B$2705,"&gt;="&amp;$B$10,Market_Panel!$B$2:$B$2705,"&lt;="&amp;$C$10))</f>
        <v>0</v>
      </c>
      <c r="I199" s="10" t="str">
        <f aca="false">IF(D199=0,"",$I$10+$F$10*F199+$G$10*G199+$H$10*H199)</f>
        <v/>
      </c>
      <c r="J199" s="5" t="str">
        <f aca="false">IF(D199&lt;5,"",(E199-I199)*162)</f>
        <v/>
      </c>
      <c r="K199" s="5" t="str">
        <f aca="false">IF(D199=0,"",E199*162)</f>
        <v/>
      </c>
      <c r="L199" s="3" t="n">
        <f aca="false">SUMIFS(Seasons!$L$2:$L$2865,Seasons!$A$2:$A$2865,B199,Seasons!$B$2:$B$2865,"&gt;="&amp;$B$10,Seasons!$B$2:$B$2865,"&lt;="&amp;$C$10)</f>
        <v>0</v>
      </c>
      <c r="M199" s="3" t="n">
        <f aca="false">SUMIFS(Seasons!$N$2:$N$2865,Seasons!$A$2:$A$2865,B199,Seasons!$B$2:$B$2865,"&gt;="&amp;$B$10,Seasons!$B$2:$B$2865,"&lt;="&amp;$C$10)</f>
        <v>0</v>
      </c>
      <c r="N199" s="3" t="n">
        <f aca="false">IF(J199="",-1000000,J199+ROW()*0.000000001)</f>
        <v>-1000000</v>
      </c>
      <c r="O199" s="3" t="str">
        <f aca="false">IF(J199="","",SUMPRODUCT(($A$25:$A$534=A199)*($N$25:$N$534&gt;N199))+1)</f>
        <v/>
      </c>
      <c r="P199" s="3" t="str">
        <f aca="false">A199&amp;"|"&amp;O199</f>
        <v>1950s|</v>
      </c>
    </row>
    <row r="200" customFormat="false" ht="15" hidden="false" customHeight="true" outlineLevel="0" collapsed="false">
      <c r="A200" s="1" t="s">
        <v>14</v>
      </c>
      <c r="B200" s="7" t="s">
        <v>81</v>
      </c>
      <c r="C200" s="1" t="s">
        <v>72</v>
      </c>
      <c r="D200" s="3" t="n">
        <f aca="false">COUNTIFS(Market_Panel!$A$2:$A$2705,B200,Market_Panel!$B$2:$B$2705,"&gt;="&amp;$B$10,Market_Panel!$B$2:$B$2705,"&lt;="&amp;$C$10)</f>
        <v>0</v>
      </c>
      <c r="E200" s="10" t="str">
        <f aca="false">IF(D200=0,"",AVERAGEIFS(Market_Panel!$M$2:$M$2705,Market_Panel!$A$2:$A$2705,B200,Market_Panel!$B$2:$B$2705,"&gt;="&amp;$B$10,Market_Panel!$B$2:$B$2705,"&lt;="&amp;$C$10))</f>
        <v/>
      </c>
      <c r="F200" s="11" t="str">
        <f aca="false">IF(D200=0,"",AVERAGEIFS(Market_Panel!$P$2:$P$2705,Market_Panel!$A$2:$A$2705,B200,Market_Panel!$B$2:$B$2705,"&gt;="&amp;$B$10,Market_Panel!$B$2:$B$2705,"&lt;="&amp;$C$10))</f>
        <v/>
      </c>
      <c r="G200" s="11" t="str">
        <f aca="false">IF(D200=0,"",AVERAGEIFS(Market_Panel!$R$2:$R$2705,Market_Panel!$A$2:$A$2705,B200,Market_Panel!$B$2:$B$2705,"&gt;="&amp;$B$10,Market_Panel!$B$2:$B$2705,"&lt;="&amp;$C$10))</f>
        <v/>
      </c>
      <c r="H200" s="11" t="n">
        <f aca="false">IF(OR(D200=0,$H$10=0),0,AVERAGEIFS(Market_Panel!$Y$2:$Y$2705,Market_Panel!$A$2:$A$2705,B200,Market_Panel!$B$2:$B$2705,"&gt;="&amp;$B$10,Market_Panel!$B$2:$B$2705,"&lt;="&amp;$C$10))</f>
        <v>0</v>
      </c>
      <c r="I200" s="10" t="str">
        <f aca="false">IF(D200=0,"",$I$10+$F$10*F200+$G$10*G200+$H$10*H200)</f>
        <v/>
      </c>
      <c r="J200" s="5" t="str">
        <f aca="false">IF(D200&lt;5,"",(E200-I200)*162)</f>
        <v/>
      </c>
      <c r="K200" s="5" t="str">
        <f aca="false">IF(D200=0,"",E200*162)</f>
        <v/>
      </c>
      <c r="L200" s="3" t="n">
        <f aca="false">SUMIFS(Seasons!$L$2:$L$2865,Seasons!$A$2:$A$2865,B200,Seasons!$B$2:$B$2865,"&gt;="&amp;$B$10,Seasons!$B$2:$B$2865,"&lt;="&amp;$C$10)</f>
        <v>0</v>
      </c>
      <c r="M200" s="3" t="n">
        <f aca="false">SUMIFS(Seasons!$N$2:$N$2865,Seasons!$A$2:$A$2865,B200,Seasons!$B$2:$B$2865,"&gt;="&amp;$B$10,Seasons!$B$2:$B$2865,"&lt;="&amp;$C$10)</f>
        <v>0</v>
      </c>
      <c r="N200" s="3" t="n">
        <f aca="false">IF(J200="",-1000000,J200+ROW()*0.000000001)</f>
        <v>-1000000</v>
      </c>
      <c r="O200" s="3" t="str">
        <f aca="false">IF(J200="","",SUMPRODUCT(($A$25:$A$534=A200)*($N$25:$N$534&gt;N200))+1)</f>
        <v/>
      </c>
      <c r="P200" s="3" t="str">
        <f aca="false">A200&amp;"|"&amp;O200</f>
        <v>1950s|</v>
      </c>
    </row>
    <row r="201" customFormat="false" ht="15" hidden="false" customHeight="true" outlineLevel="0" collapsed="false">
      <c r="A201" s="1" t="s">
        <v>14</v>
      </c>
      <c r="B201" s="7" t="s">
        <v>82</v>
      </c>
      <c r="C201" s="1" t="s">
        <v>72</v>
      </c>
      <c r="D201" s="3" t="n">
        <f aca="false">COUNTIFS(Market_Panel!$A$2:$A$2705,B201,Market_Panel!$B$2:$B$2705,"&gt;="&amp;$B$10,Market_Panel!$B$2:$B$2705,"&lt;="&amp;$C$10)</f>
        <v>0</v>
      </c>
      <c r="E201" s="10" t="str">
        <f aca="false">IF(D201=0,"",AVERAGEIFS(Market_Panel!$M$2:$M$2705,Market_Panel!$A$2:$A$2705,B201,Market_Panel!$B$2:$B$2705,"&gt;="&amp;$B$10,Market_Panel!$B$2:$B$2705,"&lt;="&amp;$C$10))</f>
        <v/>
      </c>
      <c r="F201" s="11" t="str">
        <f aca="false">IF(D201=0,"",AVERAGEIFS(Market_Panel!$P$2:$P$2705,Market_Panel!$A$2:$A$2705,B201,Market_Panel!$B$2:$B$2705,"&gt;="&amp;$B$10,Market_Panel!$B$2:$B$2705,"&lt;="&amp;$C$10))</f>
        <v/>
      </c>
      <c r="G201" s="11" t="str">
        <f aca="false">IF(D201=0,"",AVERAGEIFS(Market_Panel!$R$2:$R$2705,Market_Panel!$A$2:$A$2705,B201,Market_Panel!$B$2:$B$2705,"&gt;="&amp;$B$10,Market_Panel!$B$2:$B$2705,"&lt;="&amp;$C$10))</f>
        <v/>
      </c>
      <c r="H201" s="11" t="n">
        <f aca="false">IF(OR(D201=0,$H$10=0),0,AVERAGEIFS(Market_Panel!$Y$2:$Y$2705,Market_Panel!$A$2:$A$2705,B201,Market_Panel!$B$2:$B$2705,"&gt;="&amp;$B$10,Market_Panel!$B$2:$B$2705,"&lt;="&amp;$C$10))</f>
        <v>0</v>
      </c>
      <c r="I201" s="10" t="str">
        <f aca="false">IF(D201=0,"",$I$10+$F$10*F201+$G$10*G201+$H$10*H201)</f>
        <v/>
      </c>
      <c r="J201" s="5" t="str">
        <f aca="false">IF(D201&lt;5,"",(E201-I201)*162)</f>
        <v/>
      </c>
      <c r="K201" s="5" t="str">
        <f aca="false">IF(D201=0,"",E201*162)</f>
        <v/>
      </c>
      <c r="L201" s="3" t="n">
        <f aca="false">SUMIFS(Seasons!$L$2:$L$2865,Seasons!$A$2:$A$2865,B201,Seasons!$B$2:$B$2865,"&gt;="&amp;$B$10,Seasons!$B$2:$B$2865,"&lt;="&amp;$C$10)</f>
        <v>0</v>
      </c>
      <c r="M201" s="3" t="n">
        <f aca="false">SUMIFS(Seasons!$N$2:$N$2865,Seasons!$A$2:$A$2865,B201,Seasons!$B$2:$B$2865,"&gt;="&amp;$B$10,Seasons!$B$2:$B$2865,"&lt;="&amp;$C$10)</f>
        <v>0</v>
      </c>
      <c r="N201" s="3" t="n">
        <f aca="false">IF(J201="",-1000000,J201+ROW()*0.000000001)</f>
        <v>-1000000</v>
      </c>
      <c r="O201" s="3" t="str">
        <f aca="false">IF(J201="","",SUMPRODUCT(($A$25:$A$534=A201)*($N$25:$N$534&gt;N201))+1)</f>
        <v/>
      </c>
      <c r="P201" s="3" t="str">
        <f aca="false">A201&amp;"|"&amp;O201</f>
        <v>1950s|</v>
      </c>
    </row>
    <row r="202" customFormat="false" ht="15" hidden="false" customHeight="true" outlineLevel="0" collapsed="false">
      <c r="A202" s="1" t="s">
        <v>14</v>
      </c>
      <c r="B202" s="7" t="s">
        <v>83</v>
      </c>
      <c r="C202" s="1" t="s">
        <v>72</v>
      </c>
      <c r="D202" s="3" t="n">
        <f aca="false">COUNTIFS(Market_Panel!$A$2:$A$2705,B202,Market_Panel!$B$2:$B$2705,"&gt;="&amp;$B$10,Market_Panel!$B$2:$B$2705,"&lt;="&amp;$C$10)</f>
        <v>0</v>
      </c>
      <c r="E202" s="10" t="str">
        <f aca="false">IF(D202=0,"",AVERAGEIFS(Market_Panel!$M$2:$M$2705,Market_Panel!$A$2:$A$2705,B202,Market_Panel!$B$2:$B$2705,"&gt;="&amp;$B$10,Market_Panel!$B$2:$B$2705,"&lt;="&amp;$C$10))</f>
        <v/>
      </c>
      <c r="F202" s="11" t="str">
        <f aca="false">IF(D202=0,"",AVERAGEIFS(Market_Panel!$P$2:$P$2705,Market_Panel!$A$2:$A$2705,B202,Market_Panel!$B$2:$B$2705,"&gt;="&amp;$B$10,Market_Panel!$B$2:$B$2705,"&lt;="&amp;$C$10))</f>
        <v/>
      </c>
      <c r="G202" s="11" t="str">
        <f aca="false">IF(D202=0,"",AVERAGEIFS(Market_Panel!$R$2:$R$2705,Market_Panel!$A$2:$A$2705,B202,Market_Panel!$B$2:$B$2705,"&gt;="&amp;$B$10,Market_Panel!$B$2:$B$2705,"&lt;="&amp;$C$10))</f>
        <v/>
      </c>
      <c r="H202" s="11" t="n">
        <f aca="false">IF(OR(D202=0,$H$10=0),0,AVERAGEIFS(Market_Panel!$Y$2:$Y$2705,Market_Panel!$A$2:$A$2705,B202,Market_Panel!$B$2:$B$2705,"&gt;="&amp;$B$10,Market_Panel!$B$2:$B$2705,"&lt;="&amp;$C$10))</f>
        <v>0</v>
      </c>
      <c r="I202" s="10" t="str">
        <f aca="false">IF(D202=0,"",$I$10+$F$10*F202+$G$10*G202+$H$10*H202)</f>
        <v/>
      </c>
      <c r="J202" s="5" t="str">
        <f aca="false">IF(D202&lt;5,"",(E202-I202)*162)</f>
        <v/>
      </c>
      <c r="K202" s="5" t="str">
        <f aca="false">IF(D202=0,"",E202*162)</f>
        <v/>
      </c>
      <c r="L202" s="3" t="n">
        <f aca="false">SUMIFS(Seasons!$L$2:$L$2865,Seasons!$A$2:$A$2865,B202,Seasons!$B$2:$B$2865,"&gt;="&amp;$B$10,Seasons!$B$2:$B$2865,"&lt;="&amp;$C$10)</f>
        <v>0</v>
      </c>
      <c r="M202" s="3" t="n">
        <f aca="false">SUMIFS(Seasons!$N$2:$N$2865,Seasons!$A$2:$A$2865,B202,Seasons!$B$2:$B$2865,"&gt;="&amp;$B$10,Seasons!$B$2:$B$2865,"&lt;="&amp;$C$10)</f>
        <v>0</v>
      </c>
      <c r="N202" s="3" t="n">
        <f aca="false">IF(J202="",-1000000,J202+ROW()*0.000000001)</f>
        <v>-1000000</v>
      </c>
      <c r="O202" s="3" t="str">
        <f aca="false">IF(J202="","",SUMPRODUCT(($A$25:$A$534=A202)*($N$25:$N$534&gt;N202))+1)</f>
        <v/>
      </c>
      <c r="P202" s="3" t="str">
        <f aca="false">A202&amp;"|"&amp;O202</f>
        <v>1950s|</v>
      </c>
    </row>
    <row r="203" customFormat="false" ht="15" hidden="false" customHeight="true" outlineLevel="0" collapsed="false">
      <c r="A203" s="1" t="s">
        <v>14</v>
      </c>
      <c r="B203" s="7" t="s">
        <v>84</v>
      </c>
      <c r="C203" s="1" t="s">
        <v>72</v>
      </c>
      <c r="D203" s="3" t="n">
        <f aca="false">COUNTIFS(Market_Panel!$A$2:$A$2705,B203,Market_Panel!$B$2:$B$2705,"&gt;="&amp;$B$10,Market_Panel!$B$2:$B$2705,"&lt;="&amp;$C$10)</f>
        <v>0</v>
      </c>
      <c r="E203" s="10" t="str">
        <f aca="false">IF(D203=0,"",AVERAGEIFS(Market_Panel!$M$2:$M$2705,Market_Panel!$A$2:$A$2705,B203,Market_Panel!$B$2:$B$2705,"&gt;="&amp;$B$10,Market_Panel!$B$2:$B$2705,"&lt;="&amp;$C$10))</f>
        <v/>
      </c>
      <c r="F203" s="11" t="str">
        <f aca="false">IF(D203=0,"",AVERAGEIFS(Market_Panel!$P$2:$P$2705,Market_Panel!$A$2:$A$2705,B203,Market_Panel!$B$2:$B$2705,"&gt;="&amp;$B$10,Market_Panel!$B$2:$B$2705,"&lt;="&amp;$C$10))</f>
        <v/>
      </c>
      <c r="G203" s="11" t="str">
        <f aca="false">IF(D203=0,"",AVERAGEIFS(Market_Panel!$R$2:$R$2705,Market_Panel!$A$2:$A$2705,B203,Market_Panel!$B$2:$B$2705,"&gt;="&amp;$B$10,Market_Panel!$B$2:$B$2705,"&lt;="&amp;$C$10))</f>
        <v/>
      </c>
      <c r="H203" s="11" t="n">
        <f aca="false">IF(OR(D203=0,$H$10=0),0,AVERAGEIFS(Market_Panel!$Y$2:$Y$2705,Market_Panel!$A$2:$A$2705,B203,Market_Panel!$B$2:$B$2705,"&gt;="&amp;$B$10,Market_Panel!$B$2:$B$2705,"&lt;="&amp;$C$10))</f>
        <v>0</v>
      </c>
      <c r="I203" s="10" t="str">
        <f aca="false">IF(D203=0,"",$I$10+$F$10*F203+$G$10*G203+$H$10*H203)</f>
        <v/>
      </c>
      <c r="J203" s="5" t="str">
        <f aca="false">IF(D203&lt;5,"",(E203-I203)*162)</f>
        <v/>
      </c>
      <c r="K203" s="5" t="str">
        <f aca="false">IF(D203=0,"",E203*162)</f>
        <v/>
      </c>
      <c r="L203" s="3" t="n">
        <f aca="false">SUMIFS(Seasons!$L$2:$L$2865,Seasons!$A$2:$A$2865,B203,Seasons!$B$2:$B$2865,"&gt;="&amp;$B$10,Seasons!$B$2:$B$2865,"&lt;="&amp;$C$10)</f>
        <v>0</v>
      </c>
      <c r="M203" s="3" t="n">
        <f aca="false">SUMIFS(Seasons!$N$2:$N$2865,Seasons!$A$2:$A$2865,B203,Seasons!$B$2:$B$2865,"&gt;="&amp;$B$10,Seasons!$B$2:$B$2865,"&lt;="&amp;$C$10)</f>
        <v>0</v>
      </c>
      <c r="N203" s="3" t="n">
        <f aca="false">IF(J203="",-1000000,J203+ROW()*0.000000001)</f>
        <v>-1000000</v>
      </c>
      <c r="O203" s="3" t="str">
        <f aca="false">IF(J203="","",SUMPRODUCT(($A$25:$A$534=A203)*($N$25:$N$534&gt;N203))+1)</f>
        <v/>
      </c>
      <c r="P203" s="3" t="str">
        <f aca="false">A203&amp;"|"&amp;O203</f>
        <v>1950s|</v>
      </c>
    </row>
    <row r="204" customFormat="false" ht="15" hidden="false" customHeight="true" outlineLevel="0" collapsed="false">
      <c r="A204" s="1" t="s">
        <v>14</v>
      </c>
      <c r="B204" s="7" t="s">
        <v>85</v>
      </c>
      <c r="C204" s="1" t="s">
        <v>72</v>
      </c>
      <c r="D204" s="3" t="n">
        <f aca="false">COUNTIFS(Market_Panel!$A$2:$A$2705,B204,Market_Panel!$B$2:$B$2705,"&gt;="&amp;$B$10,Market_Panel!$B$2:$B$2705,"&lt;="&amp;$C$10)</f>
        <v>0</v>
      </c>
      <c r="E204" s="10" t="str">
        <f aca="false">IF(D204=0,"",AVERAGEIFS(Market_Panel!$M$2:$M$2705,Market_Panel!$A$2:$A$2705,B204,Market_Panel!$B$2:$B$2705,"&gt;="&amp;$B$10,Market_Panel!$B$2:$B$2705,"&lt;="&amp;$C$10))</f>
        <v/>
      </c>
      <c r="F204" s="11" t="str">
        <f aca="false">IF(D204=0,"",AVERAGEIFS(Market_Panel!$P$2:$P$2705,Market_Panel!$A$2:$A$2705,B204,Market_Panel!$B$2:$B$2705,"&gt;="&amp;$B$10,Market_Panel!$B$2:$B$2705,"&lt;="&amp;$C$10))</f>
        <v/>
      </c>
      <c r="G204" s="11" t="str">
        <f aca="false">IF(D204=0,"",AVERAGEIFS(Market_Panel!$R$2:$R$2705,Market_Panel!$A$2:$A$2705,B204,Market_Panel!$B$2:$B$2705,"&gt;="&amp;$B$10,Market_Panel!$B$2:$B$2705,"&lt;="&amp;$C$10))</f>
        <v/>
      </c>
      <c r="H204" s="11" t="n">
        <f aca="false">IF(OR(D204=0,$H$10=0),0,AVERAGEIFS(Market_Panel!$Y$2:$Y$2705,Market_Panel!$A$2:$A$2705,B204,Market_Panel!$B$2:$B$2705,"&gt;="&amp;$B$10,Market_Panel!$B$2:$B$2705,"&lt;="&amp;$C$10))</f>
        <v>0</v>
      </c>
      <c r="I204" s="10" t="str">
        <f aca="false">IF(D204=0,"",$I$10+$F$10*F204+$G$10*G204+$H$10*H204)</f>
        <v/>
      </c>
      <c r="J204" s="5" t="str">
        <f aca="false">IF(D204&lt;5,"",(E204-I204)*162)</f>
        <v/>
      </c>
      <c r="K204" s="5" t="str">
        <f aca="false">IF(D204=0,"",E204*162)</f>
        <v/>
      </c>
      <c r="L204" s="3" t="n">
        <f aca="false">SUMIFS(Seasons!$L$2:$L$2865,Seasons!$A$2:$A$2865,B204,Seasons!$B$2:$B$2865,"&gt;="&amp;$B$10,Seasons!$B$2:$B$2865,"&lt;="&amp;$C$10)</f>
        <v>0</v>
      </c>
      <c r="M204" s="3" t="n">
        <f aca="false">SUMIFS(Seasons!$N$2:$N$2865,Seasons!$A$2:$A$2865,B204,Seasons!$B$2:$B$2865,"&gt;="&amp;$B$10,Seasons!$B$2:$B$2865,"&lt;="&amp;$C$10)</f>
        <v>0</v>
      </c>
      <c r="N204" s="3" t="n">
        <f aca="false">IF(J204="",-1000000,J204+ROW()*0.000000001)</f>
        <v>-1000000</v>
      </c>
      <c r="O204" s="3" t="str">
        <f aca="false">IF(J204="","",SUMPRODUCT(($A$25:$A$534=A204)*($N$25:$N$534&gt;N204))+1)</f>
        <v/>
      </c>
      <c r="P204" s="3" t="str">
        <f aca="false">A204&amp;"|"&amp;O204</f>
        <v>1950s|</v>
      </c>
    </row>
    <row r="205" customFormat="false" ht="15" hidden="false" customHeight="true" outlineLevel="0" collapsed="false">
      <c r="A205" s="1" t="s">
        <v>15</v>
      </c>
      <c r="B205" s="7" t="s">
        <v>54</v>
      </c>
      <c r="C205" s="1" t="s">
        <v>55</v>
      </c>
      <c r="D205" s="3" t="n">
        <f aca="false">COUNTIFS(Market_Panel!$A$2:$A$2705,B205,Market_Panel!$B$2:$B$2705,"&gt;="&amp;$B$11,Market_Panel!$B$2:$B$2705,"&lt;="&amp;$C$11)</f>
        <v>10</v>
      </c>
      <c r="E205" s="10" t="n">
        <f aca="false">IF(D205=0,"",AVERAGEIFS(Market_Panel!$M$2:$M$2705,Market_Panel!$A$2:$A$2705,B205,Market_Panel!$B$2:$B$2705,"&gt;="&amp;$B$11,Market_Panel!$B$2:$B$2705,"&lt;="&amp;$C$11))</f>
        <v>0.0308617132965709</v>
      </c>
      <c r="F205" s="11" t="n">
        <f aca="false">IF(D205=0,"",AVERAGEIFS(Market_Panel!$P$2:$P$2705,Market_Panel!$A$2:$A$2705,B205,Market_Panel!$B$2:$B$2705,"&gt;="&amp;$B$11,Market_Panel!$B$2:$B$2705,"&lt;="&amp;$C$11))</f>
        <v>-0.494065649861925</v>
      </c>
      <c r="G205" s="11" t="n">
        <f aca="false">IF(D205=0,"",AVERAGEIFS(Market_Panel!$R$2:$R$2705,Market_Panel!$A$2:$A$2705,B205,Market_Panel!$B$2:$B$2705,"&gt;="&amp;$B$11,Market_Panel!$B$2:$B$2705,"&lt;="&amp;$C$11))</f>
        <v>0</v>
      </c>
      <c r="H205" s="11" t="n">
        <f aca="false">IF(OR(D205=0,$H$11=0),0,AVERAGEIFS(Market_Panel!$Y$2:$Y$2705,Market_Panel!$A$2:$A$2705,B205,Market_Panel!$B$2:$B$2705,"&gt;="&amp;$B$11,Market_Panel!$B$2:$B$2705,"&lt;="&amp;$C$11))</f>
        <v>0</v>
      </c>
      <c r="I205" s="10" t="n">
        <f aca="false">IF(D205=0,"",$I$11+$F$11*F205+$G$11*G205+$H$11*H205)</f>
        <v>0.0175040977134163</v>
      </c>
      <c r="J205" s="5" t="n">
        <f aca="false">IF(D205&lt;5,"",(E205-I205)*162)</f>
        <v>2.16393372447105</v>
      </c>
      <c r="K205" s="5" t="n">
        <f aca="false">IF(D205=0,"",E205*162)</f>
        <v>4.99959755404449</v>
      </c>
      <c r="L205" s="3" t="n">
        <f aca="false">SUMIFS(Seasons!$L$2:$L$2865,Seasons!$A$2:$A$2865,B205,Seasons!$B$2:$B$2865,"&gt;="&amp;$B$11,Seasons!$B$2:$B$2865,"&lt;="&amp;$C$11)</f>
        <v>1</v>
      </c>
      <c r="M205" s="3" t="n">
        <f aca="false">SUMIFS(Seasons!$N$2:$N$2865,Seasons!$A$2:$A$2865,B205,Seasons!$B$2:$B$2865,"&gt;="&amp;$B$11,Seasons!$B$2:$B$2865,"&lt;="&amp;$C$11)</f>
        <v>0</v>
      </c>
      <c r="N205" s="3" t="n">
        <f aca="false">IF(J205="",-1000000,J205+ROW()*0.000000001)</f>
        <v>2.16393392947105</v>
      </c>
      <c r="O205" s="3" t="n">
        <f aca="false">IF(J205="","",SUMPRODUCT(($A$25:$A$534=A205)*($N$25:$N$534&gt;N205))+1)</f>
        <v>10</v>
      </c>
      <c r="P205" s="3" t="str">
        <f aca="false">A205&amp;"|"&amp;O205</f>
        <v>1960s|10</v>
      </c>
    </row>
    <row r="206" customFormat="false" ht="15" hidden="false" customHeight="true" outlineLevel="0" collapsed="false">
      <c r="A206" s="1" t="s">
        <v>15</v>
      </c>
      <c r="B206" s="7" t="s">
        <v>56</v>
      </c>
      <c r="C206" s="1" t="s">
        <v>55</v>
      </c>
      <c r="D206" s="3" t="n">
        <f aca="false">COUNTIFS(Market_Panel!$A$2:$A$2705,B206,Market_Panel!$B$2:$B$2705,"&gt;="&amp;$B$11,Market_Panel!$B$2:$B$2705,"&lt;="&amp;$C$11)</f>
        <v>10</v>
      </c>
      <c r="E206" s="10" t="n">
        <f aca="false">IF(D206=0,"",AVERAGEIFS(Market_Panel!$M$2:$M$2705,Market_Panel!$A$2:$A$2705,B206,Market_Panel!$B$2:$B$2705,"&gt;="&amp;$B$11,Market_Panel!$B$2:$B$2705,"&lt;="&amp;$C$11))</f>
        <v>-0.0419167964384606</v>
      </c>
      <c r="F206" s="11" t="n">
        <f aca="false">IF(D206=0,"",AVERAGEIFS(Market_Panel!$P$2:$P$2705,Market_Panel!$A$2:$A$2705,B206,Market_Panel!$B$2:$B$2705,"&gt;="&amp;$B$11,Market_Panel!$B$2:$B$2705,"&lt;="&amp;$C$11))</f>
        <v>0.523340587032672</v>
      </c>
      <c r="G206" s="11" t="n">
        <f aca="false">IF(D206=0,"",AVERAGEIFS(Market_Panel!$R$2:$R$2705,Market_Panel!$A$2:$A$2705,B206,Market_Panel!$B$2:$B$2705,"&gt;="&amp;$B$11,Market_Panel!$B$2:$B$2705,"&lt;="&amp;$C$11))</f>
        <v>0</v>
      </c>
      <c r="H206" s="11" t="n">
        <f aca="false">IF(OR(D206=0,$H$11=0),0,AVERAGEIFS(Market_Panel!$Y$2:$Y$2705,Market_Panel!$A$2:$A$2705,B206,Market_Panel!$B$2:$B$2705,"&gt;="&amp;$B$11,Market_Panel!$B$2:$B$2705,"&lt;="&amp;$C$11))</f>
        <v>0</v>
      </c>
      <c r="I206" s="10" t="n">
        <f aca="false">IF(D206=0,"",$I$11+$F$11*F206+$G$11*G206+$H$11*H206)</f>
        <v>0.0211149055492276</v>
      </c>
      <c r="J206" s="5" t="n">
        <f aca="false">IF(D206&lt;5,"",(E206-I206)*162)</f>
        <v>-10.2111357220055</v>
      </c>
      <c r="K206" s="5" t="n">
        <f aca="false">IF(D206=0,"",E206*162)</f>
        <v>-6.79052102303061</v>
      </c>
      <c r="L206" s="3" t="n">
        <f aca="false">SUMIFS(Seasons!$L$2:$L$2865,Seasons!$A$2:$A$2865,B206,Seasons!$B$2:$B$2865,"&gt;="&amp;$B$11,Seasons!$B$2:$B$2865,"&lt;="&amp;$C$11)</f>
        <v>0</v>
      </c>
      <c r="M206" s="3" t="n">
        <f aca="false">SUMIFS(Seasons!$N$2:$N$2865,Seasons!$A$2:$A$2865,B206,Seasons!$B$2:$B$2865,"&gt;="&amp;$B$11,Seasons!$B$2:$B$2865,"&lt;="&amp;$C$11)</f>
        <v>0</v>
      </c>
      <c r="N206" s="3" t="n">
        <f aca="false">IF(J206="",-1000000,J206+ROW()*0.000000001)</f>
        <v>-10.2111355160055</v>
      </c>
      <c r="O206" s="3" t="n">
        <f aca="false">IF(J206="","",SUMPRODUCT(($A$25:$A$534=A206)*($N$25:$N$534&gt;N206))+1)</f>
        <v>19</v>
      </c>
      <c r="P206" s="3" t="str">
        <f aca="false">A206&amp;"|"&amp;O206</f>
        <v>1960s|19</v>
      </c>
    </row>
    <row r="207" customFormat="false" ht="15" hidden="false" customHeight="true" outlineLevel="0" collapsed="false">
      <c r="A207" s="1" t="s">
        <v>15</v>
      </c>
      <c r="B207" s="7" t="s">
        <v>57</v>
      </c>
      <c r="C207" s="1" t="s">
        <v>55</v>
      </c>
      <c r="D207" s="3" t="n">
        <f aca="false">COUNTIFS(Market_Panel!$A$2:$A$2705,B207,Market_Panel!$B$2:$B$2705,"&gt;="&amp;$B$11,Market_Panel!$B$2:$B$2705,"&lt;="&amp;$C$11)</f>
        <v>10</v>
      </c>
      <c r="E207" s="10" t="n">
        <f aca="false">IF(D207=0,"",AVERAGEIFS(Market_Panel!$M$2:$M$2705,Market_Panel!$A$2:$A$2705,B207,Market_Panel!$B$2:$B$2705,"&gt;="&amp;$B$11,Market_Panel!$B$2:$B$2705,"&lt;="&amp;$C$11))</f>
        <v>0.0366509549191459</v>
      </c>
      <c r="F207" s="11" t="n">
        <f aca="false">IF(D207=0,"",AVERAGEIFS(Market_Panel!$P$2:$P$2705,Market_Panel!$A$2:$A$2705,B207,Market_Panel!$B$2:$B$2705,"&gt;="&amp;$B$11,Market_Panel!$B$2:$B$2705,"&lt;="&amp;$C$11))</f>
        <v>-0.761943817170055</v>
      </c>
      <c r="G207" s="11" t="n">
        <f aca="false">IF(D207=0,"",AVERAGEIFS(Market_Panel!$R$2:$R$2705,Market_Panel!$A$2:$A$2705,B207,Market_Panel!$B$2:$B$2705,"&gt;="&amp;$B$11,Market_Panel!$B$2:$B$2705,"&lt;="&amp;$C$11))</f>
        <v>0</v>
      </c>
      <c r="H207" s="11" t="n">
        <f aca="false">IF(OR(D207=0,$H$11=0),0,AVERAGEIFS(Market_Panel!$Y$2:$Y$2705,Market_Panel!$A$2:$A$2705,B207,Market_Panel!$B$2:$B$2705,"&gt;="&amp;$B$11,Market_Panel!$B$2:$B$2705,"&lt;="&amp;$C$11))</f>
        <v>0</v>
      </c>
      <c r="I207" s="10" t="n">
        <f aca="false">IF(D207=0,"",$I$11+$F$11*F207+$G$11*G207+$H$11*H207)</f>
        <v>0.0165533893822867</v>
      </c>
      <c r="J207" s="5" t="n">
        <f aca="false">IF(D207&lt;5,"",(E207-I207)*162)</f>
        <v>3.2558056169712</v>
      </c>
      <c r="K207" s="5" t="n">
        <f aca="false">IF(D207=0,"",E207*162)</f>
        <v>5.93745469690163</v>
      </c>
      <c r="L207" s="3" t="n">
        <f aca="false">SUMIFS(Seasons!$L$2:$L$2865,Seasons!$A$2:$A$2865,B207,Seasons!$B$2:$B$2865,"&gt;="&amp;$B$11,Seasons!$B$2:$B$2865,"&lt;="&amp;$C$11)</f>
        <v>1</v>
      </c>
      <c r="M207" s="3" t="n">
        <f aca="false">SUMIFS(Seasons!$N$2:$N$2865,Seasons!$A$2:$A$2865,B207,Seasons!$B$2:$B$2865,"&gt;="&amp;$B$11,Seasons!$B$2:$B$2865,"&lt;="&amp;$C$11)</f>
        <v>0</v>
      </c>
      <c r="N207" s="3" t="n">
        <f aca="false">IF(J207="",-1000000,J207+ROW()*0.000000001)</f>
        <v>3.2558058239712</v>
      </c>
      <c r="O207" s="3" t="n">
        <f aca="false">IF(J207="","",SUMPRODUCT(($A$25:$A$534=A207)*($N$25:$N$534&gt;N207))+1)</f>
        <v>8</v>
      </c>
      <c r="P207" s="3" t="str">
        <f aca="false">A207&amp;"|"&amp;O207</f>
        <v>1960s|8</v>
      </c>
    </row>
    <row r="208" customFormat="false" ht="15" hidden="false" customHeight="true" outlineLevel="0" collapsed="false">
      <c r="A208" s="1" t="s">
        <v>15</v>
      </c>
      <c r="B208" s="7" t="s">
        <v>58</v>
      </c>
      <c r="C208" s="1" t="s">
        <v>55</v>
      </c>
      <c r="D208" s="3" t="n">
        <f aca="false">COUNTIFS(Market_Panel!$A$2:$A$2705,B208,Market_Panel!$B$2:$B$2705,"&gt;="&amp;$B$11,Market_Panel!$B$2:$B$2705,"&lt;="&amp;$C$11)</f>
        <v>10</v>
      </c>
      <c r="E208" s="10" t="n">
        <f aca="false">IF(D208=0,"",AVERAGEIFS(Market_Panel!$M$2:$M$2705,Market_Panel!$A$2:$A$2705,B208,Market_Panel!$B$2:$B$2705,"&gt;="&amp;$B$11,Market_Panel!$B$2:$B$2705,"&lt;="&amp;$C$11))</f>
        <v>0.0293343624938578</v>
      </c>
      <c r="F208" s="11" t="n">
        <f aca="false">IF(D208=0,"",AVERAGEIFS(Market_Panel!$P$2:$P$2705,Market_Panel!$A$2:$A$2705,B208,Market_Panel!$B$2:$B$2705,"&gt;="&amp;$B$11,Market_Panel!$B$2:$B$2705,"&lt;="&amp;$C$11))</f>
        <v>-0.597863249875585</v>
      </c>
      <c r="G208" s="11" t="n">
        <f aca="false">IF(D208=0,"",AVERAGEIFS(Market_Panel!$R$2:$R$2705,Market_Panel!$A$2:$A$2705,B208,Market_Panel!$B$2:$B$2705,"&gt;="&amp;$B$11,Market_Panel!$B$2:$B$2705,"&lt;="&amp;$C$11))</f>
        <v>0</v>
      </c>
      <c r="H208" s="11" t="n">
        <f aca="false">IF(OR(D208=0,$H$11=0),0,AVERAGEIFS(Market_Panel!$Y$2:$Y$2705,Market_Panel!$A$2:$A$2705,B208,Market_Panel!$B$2:$B$2705,"&gt;="&amp;$B$11,Market_Panel!$B$2:$B$2705,"&lt;="&amp;$C$11))</f>
        <v>0</v>
      </c>
      <c r="I208" s="10" t="n">
        <f aca="false">IF(D208=0,"",$I$11+$F$11*F208+$G$11*G208+$H$11*H208)</f>
        <v>0.0171357166539373</v>
      </c>
      <c r="J208" s="5" t="n">
        <f aca="false">IF(D208&lt;5,"",(E208-I208)*162)</f>
        <v>1.97618062606711</v>
      </c>
      <c r="K208" s="5" t="n">
        <f aca="false">IF(D208=0,"",E208*162)</f>
        <v>4.75216672400496</v>
      </c>
      <c r="L208" s="3" t="n">
        <f aca="false">SUMIFS(Seasons!$L$2:$L$2865,Seasons!$A$2:$A$2865,B208,Seasons!$B$2:$B$2865,"&gt;="&amp;$B$11,Seasons!$B$2:$B$2865,"&lt;="&amp;$C$11)</f>
        <v>1</v>
      </c>
      <c r="M208" s="3" t="n">
        <f aca="false">SUMIFS(Seasons!$N$2:$N$2865,Seasons!$A$2:$A$2865,B208,Seasons!$B$2:$B$2865,"&gt;="&amp;$B$11,Seasons!$B$2:$B$2865,"&lt;="&amp;$C$11)</f>
        <v>1</v>
      </c>
      <c r="N208" s="3" t="n">
        <f aca="false">IF(J208="",-1000000,J208+ROW()*0.000000001)</f>
        <v>1.97618083406711</v>
      </c>
      <c r="O208" s="3" t="n">
        <f aca="false">IF(J208="","",SUMPRODUCT(($A$25:$A$534=A208)*($N$25:$N$534&gt;N208))+1)</f>
        <v>11</v>
      </c>
      <c r="P208" s="3" t="str">
        <f aca="false">A208&amp;"|"&amp;O208</f>
        <v>1960s|11</v>
      </c>
    </row>
    <row r="209" customFormat="false" ht="15" hidden="false" customHeight="true" outlineLevel="0" collapsed="false">
      <c r="A209" s="1" t="s">
        <v>15</v>
      </c>
      <c r="B209" s="7" t="s">
        <v>59</v>
      </c>
      <c r="C209" s="1" t="s">
        <v>55</v>
      </c>
      <c r="D209" s="3" t="n">
        <f aca="false">COUNTIFS(Market_Panel!$A$2:$A$2705,B209,Market_Panel!$B$2:$B$2705,"&gt;="&amp;$B$11,Market_Panel!$B$2:$B$2705,"&lt;="&amp;$C$11)</f>
        <v>10</v>
      </c>
      <c r="E209" s="10" t="n">
        <f aca="false">IF(D209=0,"",AVERAGEIFS(Market_Panel!$M$2:$M$2705,Market_Panel!$A$2:$A$2705,B209,Market_Panel!$B$2:$B$2705,"&gt;="&amp;$B$11,Market_Panel!$B$2:$B$2705,"&lt;="&amp;$C$11))</f>
        <v>0.0517657153599933</v>
      </c>
      <c r="F209" s="11" t="n">
        <f aca="false">IF(D209=0,"",AVERAGEIFS(Market_Panel!$P$2:$P$2705,Market_Panel!$A$2:$A$2705,B209,Market_Panel!$B$2:$B$2705,"&gt;="&amp;$B$11,Market_Panel!$B$2:$B$2705,"&lt;="&amp;$C$11))</f>
        <v>-0.398402418556208</v>
      </c>
      <c r="G209" s="11" t="n">
        <f aca="false">IF(D209=0,"",AVERAGEIFS(Market_Panel!$R$2:$R$2705,Market_Panel!$A$2:$A$2705,B209,Market_Panel!$B$2:$B$2705,"&gt;="&amp;$B$11,Market_Panel!$B$2:$B$2705,"&lt;="&amp;$C$11))</f>
        <v>0</v>
      </c>
      <c r="H209" s="11" t="n">
        <f aca="false">IF(OR(D209=0,$H$11=0),0,AVERAGEIFS(Market_Panel!$Y$2:$Y$2705,Market_Panel!$A$2:$A$2705,B209,Market_Panel!$B$2:$B$2705,"&gt;="&amp;$B$11,Market_Panel!$B$2:$B$2705,"&lt;="&amp;$C$11))</f>
        <v>0</v>
      </c>
      <c r="I209" s="10" t="n">
        <f aca="false">IF(D209=0,"",$I$11+$F$11*F209+$G$11*G209+$H$11*H209)</f>
        <v>0.017843609633701</v>
      </c>
      <c r="J209" s="5" t="n">
        <f aca="false">IF(D209&lt;5,"",(E209-I209)*162)</f>
        <v>5.49538112765935</v>
      </c>
      <c r="K209" s="5" t="n">
        <f aca="false">IF(D209=0,"",E209*162)</f>
        <v>8.38604588831891</v>
      </c>
      <c r="L209" s="3" t="n">
        <f aca="false">SUMIFS(Seasons!$L$2:$L$2865,Seasons!$A$2:$A$2865,B209,Seasons!$B$2:$B$2865,"&gt;="&amp;$B$11,Seasons!$B$2:$B$2865,"&lt;="&amp;$C$11)</f>
        <v>3</v>
      </c>
      <c r="M209" s="3" t="n">
        <f aca="false">SUMIFS(Seasons!$N$2:$N$2865,Seasons!$A$2:$A$2865,B209,Seasons!$B$2:$B$2865,"&gt;="&amp;$B$11,Seasons!$B$2:$B$2865,"&lt;="&amp;$C$11)</f>
        <v>2</v>
      </c>
      <c r="N209" s="3" t="n">
        <f aca="false">IF(J209="",-1000000,J209+ROW()*0.000000001)</f>
        <v>5.49538133665935</v>
      </c>
      <c r="O209" s="3" t="n">
        <f aca="false">IF(J209="","",SUMPRODUCT(($A$25:$A$534=A209)*($N$25:$N$534&gt;N209))+1)</f>
        <v>4</v>
      </c>
      <c r="P209" s="3" t="str">
        <f aca="false">A209&amp;"|"&amp;O209</f>
        <v>1960s|4</v>
      </c>
    </row>
    <row r="210" customFormat="false" ht="15" hidden="false" customHeight="true" outlineLevel="0" collapsed="false">
      <c r="A210" s="1" t="s">
        <v>15</v>
      </c>
      <c r="B210" s="7" t="s">
        <v>60</v>
      </c>
      <c r="C210" s="1" t="s">
        <v>55</v>
      </c>
      <c r="D210" s="3" t="n">
        <f aca="false">COUNTIFS(Market_Panel!$A$2:$A$2705,B210,Market_Panel!$B$2:$B$2705,"&gt;="&amp;$B$11,Market_Panel!$B$2:$B$2705,"&lt;="&amp;$C$11)</f>
        <v>10</v>
      </c>
      <c r="E210" s="10" t="n">
        <f aca="false">IF(D210=0,"",AVERAGEIFS(Market_Panel!$M$2:$M$2705,Market_Panel!$A$2:$A$2705,B210,Market_Panel!$B$2:$B$2705,"&gt;="&amp;$B$11,Market_Panel!$B$2:$B$2705,"&lt;="&amp;$C$11))</f>
        <v>-0.0273762913182453</v>
      </c>
      <c r="F210" s="11" t="n">
        <f aca="false">IF(D210=0,"",AVERAGEIFS(Market_Panel!$P$2:$P$2705,Market_Panel!$A$2:$A$2705,B210,Market_Panel!$B$2:$B$2705,"&gt;="&amp;$B$11,Market_Panel!$B$2:$B$2705,"&lt;="&amp;$C$11))</f>
        <v>0.655423200561545</v>
      </c>
      <c r="G210" s="11" t="n">
        <f aca="false">IF(D210=0,"",AVERAGEIFS(Market_Panel!$R$2:$R$2705,Market_Panel!$A$2:$A$2705,B210,Market_Panel!$B$2:$B$2705,"&gt;="&amp;$B$11,Market_Panel!$B$2:$B$2705,"&lt;="&amp;$C$11))</f>
        <v>0</v>
      </c>
      <c r="H210" s="11" t="n">
        <f aca="false">IF(OR(D210=0,$H$11=0),0,AVERAGEIFS(Market_Panel!$Y$2:$Y$2705,Market_Panel!$A$2:$A$2705,B210,Market_Panel!$B$2:$B$2705,"&gt;="&amp;$B$11,Market_Panel!$B$2:$B$2705,"&lt;="&amp;$C$11))</f>
        <v>0</v>
      </c>
      <c r="I210" s="10" t="n">
        <f aca="false">IF(D210=0,"",$I$11+$F$11*F210+$G$11*G210+$H$11*H210)</f>
        <v>0.0215836710419182</v>
      </c>
      <c r="J210" s="5" t="n">
        <f aca="false">IF(D210&lt;5,"",(E210-I210)*162)</f>
        <v>-7.93151390234649</v>
      </c>
      <c r="K210" s="5" t="n">
        <f aca="false">IF(D210=0,"",E210*162)</f>
        <v>-4.43495919355574</v>
      </c>
      <c r="L210" s="3" t="n">
        <f aca="false">SUMIFS(Seasons!$L$2:$L$2865,Seasons!$A$2:$A$2865,B210,Seasons!$B$2:$B$2865,"&gt;="&amp;$B$11,Seasons!$B$2:$B$2865,"&lt;="&amp;$C$11)</f>
        <v>0</v>
      </c>
      <c r="M210" s="3" t="n">
        <f aca="false">SUMIFS(Seasons!$N$2:$N$2865,Seasons!$A$2:$A$2865,B210,Seasons!$B$2:$B$2865,"&gt;="&amp;$B$11,Seasons!$B$2:$B$2865,"&lt;="&amp;$C$11)</f>
        <v>0</v>
      </c>
      <c r="N210" s="3" t="n">
        <f aca="false">IF(J210="",-1000000,J210+ROW()*0.000000001)</f>
        <v>-7.93151369234649</v>
      </c>
      <c r="O210" s="3" t="n">
        <f aca="false">IF(J210="","",SUMPRODUCT(($A$25:$A$534=A210)*($N$25:$N$534&gt;N210))+1)</f>
        <v>18</v>
      </c>
      <c r="P210" s="3" t="str">
        <f aca="false">A210&amp;"|"&amp;O210</f>
        <v>1960s|18</v>
      </c>
    </row>
    <row r="211" customFormat="false" ht="15" hidden="false" customHeight="true" outlineLevel="0" collapsed="false">
      <c r="A211" s="1" t="s">
        <v>15</v>
      </c>
      <c r="B211" s="7" t="s">
        <v>61</v>
      </c>
      <c r="C211" s="1" t="s">
        <v>55</v>
      </c>
      <c r="D211" s="3" t="n">
        <f aca="false">COUNTIFS(Market_Panel!$A$2:$A$2705,B211,Market_Panel!$B$2:$B$2705,"&gt;="&amp;$B$11,Market_Panel!$B$2:$B$2705,"&lt;="&amp;$C$11)</f>
        <v>10</v>
      </c>
      <c r="E211" s="10" t="n">
        <f aca="false">IF(D211=0,"",AVERAGEIFS(Market_Panel!$M$2:$M$2705,Market_Panel!$A$2:$A$2705,B211,Market_Panel!$B$2:$B$2705,"&gt;="&amp;$B$11,Market_Panel!$B$2:$B$2705,"&lt;="&amp;$C$11))</f>
        <v>0.0613192911454531</v>
      </c>
      <c r="F211" s="11" t="n">
        <f aca="false">IF(D211=0,"",AVERAGEIFS(Market_Panel!$P$2:$P$2705,Market_Panel!$A$2:$A$2705,B211,Market_Panel!$B$2:$B$2705,"&gt;="&amp;$B$11,Market_Panel!$B$2:$B$2705,"&lt;="&amp;$C$11))</f>
        <v>-0.342611940035899</v>
      </c>
      <c r="G211" s="11" t="n">
        <f aca="false">IF(D211=0,"",AVERAGEIFS(Market_Panel!$R$2:$R$2705,Market_Panel!$A$2:$A$2705,B211,Market_Panel!$B$2:$B$2705,"&gt;="&amp;$B$11,Market_Panel!$B$2:$B$2705,"&lt;="&amp;$C$11))</f>
        <v>0</v>
      </c>
      <c r="H211" s="11" t="n">
        <f aca="false">IF(OR(D211=0,$H$11=0),0,AVERAGEIFS(Market_Panel!$Y$2:$Y$2705,Market_Panel!$A$2:$A$2705,B211,Market_Panel!$B$2:$B$2705,"&gt;="&amp;$B$11,Market_Panel!$B$2:$B$2705,"&lt;="&amp;$C$11))</f>
        <v>0</v>
      </c>
      <c r="I211" s="10" t="n">
        <f aca="false">IF(D211=0,"",$I$11+$F$11*F211+$G$11*G211+$H$11*H211)</f>
        <v>0.0180416118570997</v>
      </c>
      <c r="J211" s="5" t="n">
        <f aca="false">IF(D211&lt;5,"",(E211-I211)*162)</f>
        <v>7.01098404471326</v>
      </c>
      <c r="K211" s="5" t="n">
        <f aca="false">IF(D211=0,"",E211*162)</f>
        <v>9.93372516556341</v>
      </c>
      <c r="L211" s="3" t="n">
        <f aca="false">SUMIFS(Seasons!$L$2:$L$2865,Seasons!$A$2:$A$2865,B211,Seasons!$B$2:$B$2865,"&gt;="&amp;$B$11,Seasons!$B$2:$B$2865,"&lt;="&amp;$C$11)</f>
        <v>1</v>
      </c>
      <c r="M211" s="3" t="n">
        <f aca="false">SUMIFS(Seasons!$N$2:$N$2865,Seasons!$A$2:$A$2865,B211,Seasons!$B$2:$B$2865,"&gt;="&amp;$B$11,Seasons!$B$2:$B$2865,"&lt;="&amp;$C$11)</f>
        <v>0</v>
      </c>
      <c r="N211" s="3" t="n">
        <f aca="false">IF(J211="",-1000000,J211+ROW()*0.000000001)</f>
        <v>7.01098425571326</v>
      </c>
      <c r="O211" s="3" t="n">
        <f aca="false">IF(J211="","",SUMPRODUCT(($A$25:$A$534=A211)*($N$25:$N$534&gt;N211))+1)</f>
        <v>3</v>
      </c>
      <c r="P211" s="3" t="str">
        <f aca="false">A211&amp;"|"&amp;O211</f>
        <v>1960s|3</v>
      </c>
    </row>
    <row r="212" customFormat="false" ht="15" hidden="false" customHeight="true" outlineLevel="0" collapsed="false">
      <c r="A212" s="1" t="s">
        <v>15</v>
      </c>
      <c r="B212" s="7" t="s">
        <v>62</v>
      </c>
      <c r="C212" s="1" t="s">
        <v>55</v>
      </c>
      <c r="D212" s="3" t="n">
        <f aca="false">COUNTIFS(Market_Panel!$A$2:$A$2705,B212,Market_Panel!$B$2:$B$2705,"&gt;="&amp;$B$11,Market_Panel!$B$2:$B$2705,"&lt;="&amp;$C$11)</f>
        <v>10</v>
      </c>
      <c r="E212" s="10" t="n">
        <f aca="false">IF(D212=0,"",AVERAGEIFS(Market_Panel!$M$2:$M$2705,Market_Panel!$A$2:$A$2705,B212,Market_Panel!$B$2:$B$2705,"&gt;="&amp;$B$11,Market_Panel!$B$2:$B$2705,"&lt;="&amp;$C$11))</f>
        <v>0.0463835988184565</v>
      </c>
      <c r="F212" s="11" t="n">
        <f aca="false">IF(D212=0,"",AVERAGEIFS(Market_Panel!$P$2:$P$2705,Market_Panel!$A$2:$A$2705,B212,Market_Panel!$B$2:$B$2705,"&gt;="&amp;$B$11,Market_Panel!$B$2:$B$2705,"&lt;="&amp;$C$11))</f>
        <v>0.314693631215322</v>
      </c>
      <c r="G212" s="11" t="n">
        <f aca="false">IF(D212=0,"",AVERAGEIFS(Market_Panel!$R$2:$R$2705,Market_Panel!$A$2:$A$2705,B212,Market_Panel!$B$2:$B$2705,"&gt;="&amp;$B$11,Market_Panel!$B$2:$B$2705,"&lt;="&amp;$C$11))</f>
        <v>0</v>
      </c>
      <c r="H212" s="11" t="n">
        <f aca="false">IF(OR(D212=0,$H$11=0),0,AVERAGEIFS(Market_Panel!$Y$2:$Y$2705,Market_Panel!$A$2:$A$2705,B212,Market_Panel!$B$2:$B$2705,"&gt;="&amp;$B$11,Market_Panel!$B$2:$B$2705,"&lt;="&amp;$C$11))</f>
        <v>0</v>
      </c>
      <c r="I212" s="10" t="n">
        <f aca="false">IF(D212=0,"",$I$11+$F$11*F212+$G$11*G212+$H$11*H212)</f>
        <v>0.0203744107147522</v>
      </c>
      <c r="J212" s="5" t="n">
        <f aca="false">IF(D212&lt;5,"",(E212-I212)*162)</f>
        <v>4.21348847280009</v>
      </c>
      <c r="K212" s="5" t="n">
        <f aca="false">IF(D212=0,"",E212*162)</f>
        <v>7.51414300858994</v>
      </c>
      <c r="L212" s="3" t="n">
        <f aca="false">SUMIFS(Seasons!$L$2:$L$2865,Seasons!$A$2:$A$2865,B212,Seasons!$B$2:$B$2865,"&gt;="&amp;$B$11,Seasons!$B$2:$B$2865,"&lt;="&amp;$C$11)</f>
        <v>3</v>
      </c>
      <c r="M212" s="3" t="n">
        <f aca="false">SUMIFS(Seasons!$N$2:$N$2865,Seasons!$A$2:$A$2865,B212,Seasons!$B$2:$B$2865,"&gt;="&amp;$B$11,Seasons!$B$2:$B$2865,"&lt;="&amp;$C$11)</f>
        <v>2</v>
      </c>
      <c r="N212" s="3" t="n">
        <f aca="false">IF(J212="",-1000000,J212+ROW()*0.000000001)</f>
        <v>4.21348868480009</v>
      </c>
      <c r="O212" s="3" t="n">
        <f aca="false">IF(J212="","",SUMPRODUCT(($A$25:$A$534=A212)*($N$25:$N$534&gt;N212))+1)</f>
        <v>7</v>
      </c>
      <c r="P212" s="3" t="str">
        <f aca="false">A212&amp;"|"&amp;O212</f>
        <v>1960s|7</v>
      </c>
    </row>
    <row r="213" customFormat="false" ht="15" hidden="false" customHeight="true" outlineLevel="0" collapsed="false">
      <c r="A213" s="1" t="s">
        <v>15</v>
      </c>
      <c r="B213" s="7" t="s">
        <v>63</v>
      </c>
      <c r="C213" s="1" t="s">
        <v>55</v>
      </c>
      <c r="D213" s="3" t="n">
        <f aca="false">COUNTIFS(Market_Panel!$A$2:$A$2705,B213,Market_Panel!$B$2:$B$2705,"&gt;="&amp;$B$11,Market_Panel!$B$2:$B$2705,"&lt;="&amp;$C$11)</f>
        <v>10</v>
      </c>
      <c r="E213" s="10" t="n">
        <f aca="false">IF(D213=0,"",AVERAGEIFS(Market_Panel!$M$2:$M$2705,Market_Panel!$A$2:$A$2705,B213,Market_Panel!$B$2:$B$2705,"&gt;="&amp;$B$11,Market_Panel!$B$2:$B$2705,"&lt;="&amp;$C$11))</f>
        <v>0.0663091265247813</v>
      </c>
      <c r="F213" s="11" t="n">
        <f aca="false">IF(D213=0,"",AVERAGEIFS(Market_Panel!$P$2:$P$2705,Market_Panel!$A$2:$A$2705,B213,Market_Panel!$B$2:$B$2705,"&gt;="&amp;$B$11,Market_Panel!$B$2:$B$2705,"&lt;="&amp;$C$11))</f>
        <v>-0.105844956681625</v>
      </c>
      <c r="G213" s="11" t="n">
        <f aca="false">IF(D213=0,"",AVERAGEIFS(Market_Panel!$R$2:$R$2705,Market_Panel!$A$2:$A$2705,B213,Market_Panel!$B$2:$B$2705,"&gt;="&amp;$B$11,Market_Panel!$B$2:$B$2705,"&lt;="&amp;$C$11))</f>
        <v>0</v>
      </c>
      <c r="H213" s="11" t="n">
        <f aca="false">IF(OR(D213=0,$H$11=0),0,AVERAGEIFS(Market_Panel!$Y$2:$Y$2705,Market_Panel!$A$2:$A$2705,B213,Market_Panel!$B$2:$B$2705,"&gt;="&amp;$B$11,Market_Panel!$B$2:$B$2705,"&lt;="&amp;$C$11))</f>
        <v>0</v>
      </c>
      <c r="I213" s="10" t="n">
        <f aca="false">IF(D213=0,"",$I$11+$F$11*F213+$G$11*G213+$H$11*H213)</f>
        <v>0.018881905584182</v>
      </c>
      <c r="J213" s="5" t="n">
        <f aca="false">IF(D213&lt;5,"",(E213-I213)*162)</f>
        <v>7.68320979237708</v>
      </c>
      <c r="K213" s="5" t="n">
        <f aca="false">IF(D213=0,"",E213*162)</f>
        <v>10.7420784970146</v>
      </c>
      <c r="L213" s="3" t="n">
        <f aca="false">SUMIFS(Seasons!$L$2:$L$2865,Seasons!$A$2:$A$2865,B213,Seasons!$B$2:$B$2865,"&gt;="&amp;$B$11,Seasons!$B$2:$B$2865,"&lt;="&amp;$C$11)</f>
        <v>2</v>
      </c>
      <c r="M213" s="3" t="n">
        <f aca="false">SUMIFS(Seasons!$N$2:$N$2865,Seasons!$A$2:$A$2865,B213,Seasons!$B$2:$B$2865,"&gt;="&amp;$B$11,Seasons!$B$2:$B$2865,"&lt;="&amp;$C$11)</f>
        <v>1</v>
      </c>
      <c r="N213" s="3" t="n">
        <f aca="false">IF(J213="",-1000000,J213+ROW()*0.000000001)</f>
        <v>7.68321000537708</v>
      </c>
      <c r="O213" s="3" t="n">
        <f aca="false">IF(J213="","",SUMPRODUCT(($A$25:$A$534=A213)*($N$25:$N$534&gt;N213))+1)</f>
        <v>2</v>
      </c>
      <c r="P213" s="3" t="str">
        <f aca="false">A213&amp;"|"&amp;O213</f>
        <v>1960s|2</v>
      </c>
    </row>
    <row r="214" customFormat="false" ht="15" hidden="false" customHeight="true" outlineLevel="0" collapsed="false">
      <c r="A214" s="1" t="s">
        <v>15</v>
      </c>
      <c r="B214" s="7" t="s">
        <v>64</v>
      </c>
      <c r="C214" s="1" t="s">
        <v>55</v>
      </c>
      <c r="D214" s="3" t="n">
        <f aca="false">COUNTIFS(Market_Panel!$A$2:$A$2705,B214,Market_Panel!$B$2:$B$2705,"&gt;="&amp;$B$11,Market_Panel!$B$2:$B$2705,"&lt;="&amp;$C$11)</f>
        <v>10</v>
      </c>
      <c r="E214" s="10" t="n">
        <f aca="false">IF(D214=0,"",AVERAGEIFS(Market_Panel!$M$2:$M$2705,Market_Panel!$A$2:$A$2705,B214,Market_Panel!$B$2:$B$2705,"&gt;="&amp;$B$11,Market_Panel!$B$2:$B$2705,"&lt;="&amp;$C$11))</f>
        <v>-0.0253632520225973</v>
      </c>
      <c r="F214" s="11" t="n">
        <f aca="false">IF(D214=0,"",AVERAGEIFS(Market_Panel!$P$2:$P$2705,Market_Panel!$A$2:$A$2705,B214,Market_Panel!$B$2:$B$2705,"&gt;="&amp;$B$11,Market_Panel!$B$2:$B$2705,"&lt;="&amp;$C$11))</f>
        <v>-0.42515499464501</v>
      </c>
      <c r="G214" s="11" t="n">
        <f aca="false">IF(D214=0,"",AVERAGEIFS(Market_Panel!$R$2:$R$2705,Market_Panel!$A$2:$A$2705,B214,Market_Panel!$B$2:$B$2705,"&gt;="&amp;$B$11,Market_Panel!$B$2:$B$2705,"&lt;="&amp;$C$11))</f>
        <v>0</v>
      </c>
      <c r="H214" s="11" t="n">
        <f aca="false">IF(OR(D214=0,$H$11=0),0,AVERAGEIFS(Market_Panel!$Y$2:$Y$2705,Market_Panel!$A$2:$A$2705,B214,Market_Panel!$B$2:$B$2705,"&gt;="&amp;$B$11,Market_Panel!$B$2:$B$2705,"&lt;="&amp;$C$11))</f>
        <v>0</v>
      </c>
      <c r="I214" s="10" t="n">
        <f aca="false">IF(D214=0,"",$I$11+$F$11*F214+$G$11*G214+$H$11*H214)</f>
        <v>0.0177486638707731</v>
      </c>
      <c r="J214" s="5" t="n">
        <f aca="false">IF(D214&lt;5,"",(E214-I214)*162)</f>
        <v>-6.984130374726</v>
      </c>
      <c r="K214" s="5" t="n">
        <f aca="false">IF(D214=0,"",E214*162)</f>
        <v>-4.10884682766076</v>
      </c>
      <c r="L214" s="3" t="n">
        <f aca="false">SUMIFS(Seasons!$L$2:$L$2865,Seasons!$A$2:$A$2865,B214,Seasons!$B$2:$B$2865,"&gt;="&amp;$B$11,Seasons!$B$2:$B$2865,"&lt;="&amp;$C$11)</f>
        <v>1</v>
      </c>
      <c r="M214" s="3" t="n">
        <f aca="false">SUMIFS(Seasons!$N$2:$N$2865,Seasons!$A$2:$A$2865,B214,Seasons!$B$2:$B$2865,"&gt;="&amp;$B$11,Seasons!$B$2:$B$2865,"&lt;="&amp;$C$11)</f>
        <v>0</v>
      </c>
      <c r="N214" s="3" t="n">
        <f aca="false">IF(J214="",-1000000,J214+ROW()*0.000000001)</f>
        <v>-6.984130160726</v>
      </c>
      <c r="O214" s="3" t="n">
        <f aca="false">IF(J214="","",SUMPRODUCT(($A$25:$A$534=A214)*($N$25:$N$534&gt;N214))+1)</f>
        <v>17</v>
      </c>
      <c r="P214" s="3" t="str">
        <f aca="false">A214&amp;"|"&amp;O214</f>
        <v>1960s|17</v>
      </c>
    </row>
    <row r="215" customFormat="false" ht="15" hidden="false" customHeight="true" outlineLevel="0" collapsed="false">
      <c r="A215" s="1" t="s">
        <v>15</v>
      </c>
      <c r="B215" s="7" t="s">
        <v>65</v>
      </c>
      <c r="C215" s="1" t="s">
        <v>55</v>
      </c>
      <c r="D215" s="3" t="n">
        <f aca="false">COUNTIFS(Market_Panel!$A$2:$A$2705,B215,Market_Panel!$B$2:$B$2705,"&gt;="&amp;$B$11,Market_Panel!$B$2:$B$2705,"&lt;="&amp;$C$11)</f>
        <v>10</v>
      </c>
      <c r="E215" s="10" t="n">
        <f aca="false">IF(D215=0,"",AVERAGEIFS(Market_Panel!$M$2:$M$2705,Market_Panel!$A$2:$A$2705,B215,Market_Panel!$B$2:$B$2705,"&gt;="&amp;$B$11,Market_Panel!$B$2:$B$2705,"&lt;="&amp;$C$11))</f>
        <v>0.0287853945535855</v>
      </c>
      <c r="F215" s="11" t="n">
        <f aca="false">IF(D215=0,"",AVERAGEIFS(Market_Panel!$P$2:$P$2705,Market_Panel!$A$2:$A$2705,B215,Market_Panel!$B$2:$B$2705,"&gt;="&amp;$B$11,Market_Panel!$B$2:$B$2705,"&lt;="&amp;$C$11))</f>
        <v>0.523340587032672</v>
      </c>
      <c r="G215" s="11" t="n">
        <f aca="false">IF(D215=0,"",AVERAGEIFS(Market_Panel!$R$2:$R$2705,Market_Panel!$A$2:$A$2705,B215,Market_Panel!$B$2:$B$2705,"&gt;="&amp;$B$11,Market_Panel!$B$2:$B$2705,"&lt;="&amp;$C$11))</f>
        <v>0</v>
      </c>
      <c r="H215" s="11" t="n">
        <f aca="false">IF(OR(D215=0,$H$11=0),0,AVERAGEIFS(Market_Panel!$Y$2:$Y$2705,Market_Panel!$A$2:$A$2705,B215,Market_Panel!$B$2:$B$2705,"&gt;="&amp;$B$11,Market_Panel!$B$2:$B$2705,"&lt;="&amp;$C$11))</f>
        <v>0</v>
      </c>
      <c r="I215" s="10" t="n">
        <f aca="false">IF(D215=0,"",$I$11+$F$11*F215+$G$11*G215+$H$11*H215)</f>
        <v>0.0211149055492276</v>
      </c>
      <c r="J215" s="5" t="n">
        <f aca="false">IF(D215&lt;5,"",(E215-I215)*162)</f>
        <v>1.24261921870599</v>
      </c>
      <c r="K215" s="5" t="n">
        <f aca="false">IF(D215=0,"",E215*162)</f>
        <v>4.66323391768086</v>
      </c>
      <c r="L215" s="3" t="n">
        <f aca="false">SUMIFS(Seasons!$L$2:$L$2865,Seasons!$A$2:$A$2865,B215,Seasons!$B$2:$B$2865,"&gt;="&amp;$B$11,Seasons!$B$2:$B$2865,"&lt;="&amp;$C$11)</f>
        <v>0</v>
      </c>
      <c r="M215" s="3" t="n">
        <f aca="false">SUMIFS(Seasons!$N$2:$N$2865,Seasons!$A$2:$A$2865,B215,Seasons!$B$2:$B$2865,"&gt;="&amp;$B$11,Seasons!$B$2:$B$2865,"&lt;="&amp;$C$11)</f>
        <v>0</v>
      </c>
      <c r="N215" s="3" t="n">
        <f aca="false">IF(J215="",-1000000,J215+ROW()*0.000000001)</f>
        <v>1.24261943370599</v>
      </c>
      <c r="O215" s="3" t="n">
        <f aca="false">IF(J215="","",SUMPRODUCT(($A$25:$A$534=A215)*($N$25:$N$534&gt;N215))+1)</f>
        <v>13</v>
      </c>
      <c r="P215" s="3" t="str">
        <f aca="false">A215&amp;"|"&amp;O215</f>
        <v>1960s|13</v>
      </c>
    </row>
    <row r="216" customFormat="false" ht="15" hidden="false" customHeight="true" outlineLevel="0" collapsed="false">
      <c r="A216" s="1" t="s">
        <v>15</v>
      </c>
      <c r="B216" s="7" t="s">
        <v>66</v>
      </c>
      <c r="C216" s="1" t="s">
        <v>55</v>
      </c>
      <c r="D216" s="3" t="n">
        <f aca="false">COUNTIFS(Market_Panel!$A$2:$A$2705,B216,Market_Panel!$B$2:$B$2705,"&gt;="&amp;$B$11,Market_Panel!$B$2:$B$2705,"&lt;="&amp;$C$11)</f>
        <v>10</v>
      </c>
      <c r="E216" s="10" t="n">
        <f aca="false">IF(D216=0,"",AVERAGEIFS(Market_Panel!$M$2:$M$2705,Market_Panel!$A$2:$A$2705,B216,Market_Panel!$B$2:$B$2705,"&gt;="&amp;$B$11,Market_Panel!$B$2:$B$2705,"&lt;="&amp;$C$11))</f>
        <v>-0.0132934337571269</v>
      </c>
      <c r="F216" s="11" t="n">
        <f aca="false">IF(D216=0,"",AVERAGEIFS(Market_Panel!$P$2:$P$2705,Market_Panel!$A$2:$A$2705,B216,Market_Panel!$B$2:$B$2705,"&gt;="&amp;$B$11,Market_Panel!$B$2:$B$2705,"&lt;="&amp;$C$11))</f>
        <v>-0.228398338533817</v>
      </c>
      <c r="G216" s="11" t="n">
        <f aca="false">IF(D216=0,"",AVERAGEIFS(Market_Panel!$R$2:$R$2705,Market_Panel!$A$2:$A$2705,B216,Market_Panel!$B$2:$B$2705,"&gt;="&amp;$B$11,Market_Panel!$B$2:$B$2705,"&lt;="&amp;$C$11))</f>
        <v>0</v>
      </c>
      <c r="H216" s="11" t="n">
        <f aca="false">IF(OR(D216=0,$H$11=0),0,AVERAGEIFS(Market_Panel!$Y$2:$Y$2705,Market_Panel!$A$2:$A$2705,B216,Market_Panel!$B$2:$B$2705,"&gt;="&amp;$B$11,Market_Panel!$B$2:$B$2705,"&lt;="&amp;$C$11))</f>
        <v>0</v>
      </c>
      <c r="I216" s="10" t="n">
        <f aca="false">IF(D216=0,"",$I$11+$F$11*F216+$G$11*G216+$H$11*H216)</f>
        <v>0.0184469596447432</v>
      </c>
      <c r="J216" s="5" t="n">
        <f aca="false">IF(D216&lt;5,"",(E216-I216)*162)</f>
        <v>-5.14194373110294</v>
      </c>
      <c r="K216" s="5" t="n">
        <f aca="false">IF(D216=0,"",E216*162)</f>
        <v>-2.15353626865455</v>
      </c>
      <c r="L216" s="3" t="n">
        <f aca="false">SUMIFS(Seasons!$L$2:$L$2865,Seasons!$A$2:$A$2865,B216,Seasons!$B$2:$B$2865,"&gt;="&amp;$B$11,Seasons!$B$2:$B$2865,"&lt;="&amp;$C$11)</f>
        <v>0</v>
      </c>
      <c r="M216" s="3" t="n">
        <f aca="false">SUMIFS(Seasons!$N$2:$N$2865,Seasons!$A$2:$A$2865,B216,Seasons!$B$2:$B$2865,"&gt;="&amp;$B$11,Seasons!$B$2:$B$2865,"&lt;="&amp;$C$11)</f>
        <v>0</v>
      </c>
      <c r="N216" s="3" t="n">
        <f aca="false">IF(J216="",-1000000,J216+ROW()*0.000000001)</f>
        <v>-5.14194351510294</v>
      </c>
      <c r="O216" s="3" t="n">
        <f aca="false">IF(J216="","",SUMPRODUCT(($A$25:$A$534=A216)*($N$25:$N$534&gt;N216))+1)</f>
        <v>15</v>
      </c>
      <c r="P216" s="3" t="str">
        <f aca="false">A216&amp;"|"&amp;O216</f>
        <v>1960s|15</v>
      </c>
    </row>
    <row r="217" customFormat="false" ht="15" hidden="false" customHeight="true" outlineLevel="0" collapsed="false">
      <c r="A217" s="1" t="s">
        <v>15</v>
      </c>
      <c r="B217" s="7" t="s">
        <v>67</v>
      </c>
      <c r="C217" s="1" t="s">
        <v>55</v>
      </c>
      <c r="D217" s="3" t="n">
        <f aca="false">COUNTIFS(Market_Panel!$A$2:$A$2705,B217,Market_Panel!$B$2:$B$2705,"&gt;="&amp;$B$11,Market_Panel!$B$2:$B$2705,"&lt;="&amp;$C$11)</f>
        <v>10</v>
      </c>
      <c r="E217" s="10" t="n">
        <f aca="false">IF(D217=0,"",AVERAGEIFS(Market_Panel!$M$2:$M$2705,Market_Panel!$A$2:$A$2705,B217,Market_Panel!$B$2:$B$2705,"&gt;="&amp;$B$11,Market_Panel!$B$2:$B$2705,"&lt;="&amp;$C$11))</f>
        <v>0.0471167411458017</v>
      </c>
      <c r="F217" s="11" t="n">
        <f aca="false">IF(D217=0,"",AVERAGEIFS(Market_Panel!$P$2:$P$2705,Market_Panel!$A$2:$A$2705,B217,Market_Panel!$B$2:$B$2705,"&gt;="&amp;$B$11,Market_Panel!$B$2:$B$2705,"&lt;="&amp;$C$11))</f>
        <v>0.441290981149323</v>
      </c>
      <c r="G217" s="11" t="n">
        <f aca="false">IF(D217=0,"",AVERAGEIFS(Market_Panel!$R$2:$R$2705,Market_Panel!$A$2:$A$2705,B217,Market_Panel!$B$2:$B$2705,"&gt;="&amp;$B$11,Market_Panel!$B$2:$B$2705,"&lt;="&amp;$C$11))</f>
        <v>0</v>
      </c>
      <c r="H217" s="11" t="n">
        <f aca="false">IF(OR(D217=0,$H$11=0),0,AVERAGEIFS(Market_Panel!$Y$2:$Y$2705,Market_Panel!$A$2:$A$2705,B217,Market_Panel!$B$2:$B$2705,"&gt;="&amp;$B$11,Market_Panel!$B$2:$B$2705,"&lt;="&amp;$C$11))</f>
        <v>0</v>
      </c>
      <c r="I217" s="10" t="n">
        <f aca="false">IF(D217=0,"",$I$11+$F$11*F217+$G$11*G217+$H$11*H217)</f>
        <v>0.0208237088284829</v>
      </c>
      <c r="J217" s="5" t="n">
        <f aca="false">IF(D217&lt;5,"",(E217-I217)*162)</f>
        <v>4.25947123540564</v>
      </c>
      <c r="K217" s="5" t="n">
        <f aca="false">IF(D217=0,"",E217*162)</f>
        <v>7.63291206561987</v>
      </c>
      <c r="L217" s="3" t="n">
        <f aca="false">SUMIFS(Seasons!$L$2:$L$2865,Seasons!$A$2:$A$2865,B217,Seasons!$B$2:$B$2865,"&gt;="&amp;$B$11,Seasons!$B$2:$B$2865,"&lt;="&amp;$C$11)</f>
        <v>1</v>
      </c>
      <c r="M217" s="3" t="n">
        <f aca="false">SUMIFS(Seasons!$N$2:$N$2865,Seasons!$A$2:$A$2865,B217,Seasons!$B$2:$B$2865,"&gt;="&amp;$B$11,Seasons!$B$2:$B$2865,"&lt;="&amp;$C$11)</f>
        <v>1</v>
      </c>
      <c r="N217" s="3" t="n">
        <f aca="false">IF(J217="",-1000000,J217+ROW()*0.000000001)</f>
        <v>4.25947145240564</v>
      </c>
      <c r="O217" s="3" t="n">
        <f aca="false">IF(J217="","",SUMPRODUCT(($A$25:$A$534=A217)*($N$25:$N$534&gt;N217))+1)</f>
        <v>6</v>
      </c>
      <c r="P217" s="3" t="str">
        <f aca="false">A217&amp;"|"&amp;O217</f>
        <v>1960s|6</v>
      </c>
    </row>
    <row r="218" customFormat="false" ht="15" hidden="false" customHeight="true" outlineLevel="0" collapsed="false">
      <c r="A218" s="1" t="s">
        <v>15</v>
      </c>
      <c r="B218" s="7" t="s">
        <v>68</v>
      </c>
      <c r="C218" s="1" t="s">
        <v>55</v>
      </c>
      <c r="D218" s="3" t="n">
        <f aca="false">COUNTIFS(Market_Panel!$A$2:$A$2705,B218,Market_Panel!$B$2:$B$2705,"&gt;="&amp;$B$11,Market_Panel!$B$2:$B$2705,"&lt;="&amp;$C$11)</f>
        <v>10</v>
      </c>
      <c r="E218" s="10" t="n">
        <f aca="false">IF(D218=0,"",AVERAGEIFS(Market_Panel!$M$2:$M$2705,Market_Panel!$A$2:$A$2705,B218,Market_Panel!$B$2:$B$2705,"&gt;="&amp;$B$11,Market_Panel!$B$2:$B$2705,"&lt;="&amp;$C$11))</f>
        <v>0.0353983233585433</v>
      </c>
      <c r="F218" s="11" t="n">
        <f aca="false">IF(D218=0,"",AVERAGEIFS(Market_Panel!$P$2:$P$2705,Market_Panel!$A$2:$A$2705,B218,Market_Panel!$B$2:$B$2705,"&gt;="&amp;$B$11,Market_Panel!$B$2:$B$2705,"&lt;="&amp;$C$11))</f>
        <v>-0.756431658235645</v>
      </c>
      <c r="G218" s="11" t="n">
        <f aca="false">IF(D218=0,"",AVERAGEIFS(Market_Panel!$R$2:$R$2705,Market_Panel!$A$2:$A$2705,B218,Market_Panel!$B$2:$B$2705,"&gt;="&amp;$B$11,Market_Panel!$B$2:$B$2705,"&lt;="&amp;$C$11))</f>
        <v>0</v>
      </c>
      <c r="H218" s="11" t="n">
        <f aca="false">IF(OR(D218=0,$H$11=0),0,AVERAGEIFS(Market_Panel!$Y$2:$Y$2705,Market_Panel!$A$2:$A$2705,B218,Market_Panel!$B$2:$B$2705,"&gt;="&amp;$B$11,Market_Panel!$B$2:$B$2705,"&lt;="&amp;$C$11))</f>
        <v>0</v>
      </c>
      <c r="I218" s="10" t="n">
        <f aca="false">IF(D218=0,"",$I$11+$F$11*F218+$G$11*G218+$H$11*H218)</f>
        <v>0.0165729522136817</v>
      </c>
      <c r="J218" s="5" t="n">
        <f aca="false">IF(D218&lt;5,"",(E218-I218)*162)</f>
        <v>3.04971012546759</v>
      </c>
      <c r="K218" s="5" t="n">
        <f aca="false">IF(D218=0,"",E218*162)</f>
        <v>5.73452838408402</v>
      </c>
      <c r="L218" s="3" t="n">
        <f aca="false">SUMIFS(Seasons!$L$2:$L$2865,Seasons!$A$2:$A$2865,B218,Seasons!$B$2:$B$2865,"&gt;="&amp;$B$11,Seasons!$B$2:$B$2865,"&lt;="&amp;$C$11)</f>
        <v>2</v>
      </c>
      <c r="M218" s="3" t="n">
        <f aca="false">SUMIFS(Seasons!$N$2:$N$2865,Seasons!$A$2:$A$2865,B218,Seasons!$B$2:$B$2865,"&gt;="&amp;$B$11,Seasons!$B$2:$B$2865,"&lt;="&amp;$C$11)</f>
        <v>0</v>
      </c>
      <c r="N218" s="3" t="n">
        <f aca="false">IF(J218="",-1000000,J218+ROW()*0.000000001)</f>
        <v>3.04971034346759</v>
      </c>
      <c r="O218" s="3" t="n">
        <f aca="false">IF(J218="","",SUMPRODUCT(($A$25:$A$534=A218)*($N$25:$N$534&gt;N218))+1)</f>
        <v>9</v>
      </c>
      <c r="P218" s="3" t="str">
        <f aca="false">A218&amp;"|"&amp;O218</f>
        <v>1960s|9</v>
      </c>
    </row>
    <row r="219" customFormat="false" ht="15" hidden="false" customHeight="true" outlineLevel="0" collapsed="false">
      <c r="A219" s="1" t="s">
        <v>15</v>
      </c>
      <c r="B219" s="7" t="s">
        <v>69</v>
      </c>
      <c r="C219" s="1" t="s">
        <v>55</v>
      </c>
      <c r="D219" s="3" t="n">
        <f aca="false">COUNTIFS(Market_Panel!$A$2:$A$2705,B219,Market_Panel!$B$2:$B$2705,"&gt;="&amp;$B$11,Market_Panel!$B$2:$B$2705,"&lt;="&amp;$C$11)</f>
        <v>10</v>
      </c>
      <c r="E219" s="10" t="n">
        <f aca="false">IF(D219=0,"",AVERAGEIFS(Market_Panel!$M$2:$M$2705,Market_Panel!$A$2:$A$2705,B219,Market_Panel!$B$2:$B$2705,"&gt;="&amp;$B$11,Market_Panel!$B$2:$B$2705,"&lt;="&amp;$C$11))</f>
        <v>-0.0735710982558059</v>
      </c>
      <c r="F219" s="11" t="n">
        <f aca="false">IF(D219=0,"",AVERAGEIFS(Market_Panel!$P$2:$P$2705,Market_Panel!$A$2:$A$2705,B219,Market_Panel!$B$2:$B$2705,"&gt;="&amp;$B$11,Market_Panel!$B$2:$B$2705,"&lt;="&amp;$C$11))</f>
        <v>-0.806332098083714</v>
      </c>
      <c r="G219" s="11" t="n">
        <f aca="false">IF(D219=0,"",AVERAGEIFS(Market_Panel!$R$2:$R$2705,Market_Panel!$A$2:$A$2705,B219,Market_Panel!$B$2:$B$2705,"&gt;="&amp;$B$11,Market_Panel!$B$2:$B$2705,"&lt;="&amp;$C$11))</f>
        <v>0</v>
      </c>
      <c r="H219" s="11" t="n">
        <f aca="false">IF(OR(D219=0,$H$11=0),0,AVERAGEIFS(Market_Panel!$Y$2:$Y$2705,Market_Panel!$A$2:$A$2705,B219,Market_Panel!$B$2:$B$2705,"&gt;="&amp;$B$11,Market_Panel!$B$2:$B$2705,"&lt;="&amp;$C$11))</f>
        <v>0</v>
      </c>
      <c r="I219" s="10" t="n">
        <f aca="false">IF(D219=0,"",$I$11+$F$11*F219+$G$11*G219+$H$11*H219)</f>
        <v>0.0163958539291618</v>
      </c>
      <c r="J219" s="5" t="n">
        <f aca="false">IF(D219&lt;5,"",(E219-I219)*162)</f>
        <v>-14.5746462539648</v>
      </c>
      <c r="K219" s="5" t="n">
        <f aca="false">IF(D219=0,"",E219*162)</f>
        <v>-11.9185179174405</v>
      </c>
      <c r="L219" s="3" t="n">
        <f aca="false">SUMIFS(Seasons!$L$2:$L$2865,Seasons!$A$2:$A$2865,B219,Seasons!$B$2:$B$2865,"&gt;="&amp;$B$11,Seasons!$B$2:$B$2865,"&lt;="&amp;$C$11)</f>
        <v>0</v>
      </c>
      <c r="M219" s="3" t="n">
        <f aca="false">SUMIFS(Seasons!$N$2:$N$2865,Seasons!$A$2:$A$2865,B219,Seasons!$B$2:$B$2865,"&gt;="&amp;$B$11,Seasons!$B$2:$B$2865,"&lt;="&amp;$C$11)</f>
        <v>0</v>
      </c>
      <c r="N219" s="3" t="n">
        <f aca="false">IF(J219="",-1000000,J219+ROW()*0.000000001)</f>
        <v>-14.5746460349648</v>
      </c>
      <c r="O219" s="3" t="n">
        <f aca="false">IF(J219="","",SUMPRODUCT(($A$25:$A$534=A219)*($N$25:$N$534&gt;N219))+1)</f>
        <v>20</v>
      </c>
      <c r="P219" s="3" t="str">
        <f aca="false">A219&amp;"|"&amp;O219</f>
        <v>1960s|20</v>
      </c>
    </row>
    <row r="220" customFormat="false" ht="15" hidden="false" customHeight="true" outlineLevel="0" collapsed="false">
      <c r="A220" s="1" t="s">
        <v>15</v>
      </c>
      <c r="B220" s="7" t="s">
        <v>70</v>
      </c>
      <c r="C220" s="1" t="s">
        <v>55</v>
      </c>
      <c r="D220" s="3" t="n">
        <f aca="false">COUNTIFS(Market_Panel!$A$2:$A$2705,B220,Market_Panel!$B$2:$B$2705,"&gt;="&amp;$B$11,Market_Panel!$B$2:$B$2705,"&lt;="&amp;$C$11)</f>
        <v>10</v>
      </c>
      <c r="E220" s="10" t="n">
        <f aca="false">IF(D220=0,"",AVERAGEIFS(Market_Panel!$M$2:$M$2705,Market_Panel!$A$2:$A$2705,B220,Market_Panel!$B$2:$B$2705,"&gt;="&amp;$B$11,Market_Panel!$B$2:$B$2705,"&lt;="&amp;$C$11))</f>
        <v>0.0522317478741527</v>
      </c>
      <c r="F220" s="11" t="n">
        <f aca="false">IF(D220=0,"",AVERAGEIFS(Market_Panel!$P$2:$P$2705,Market_Panel!$A$2:$A$2705,B220,Market_Panel!$B$2:$B$2705,"&gt;="&amp;$B$11,Market_Panel!$B$2:$B$2705,"&lt;="&amp;$C$11))</f>
        <v>1.47707373800584</v>
      </c>
      <c r="G220" s="11" t="n">
        <f aca="false">IF(D220=0,"",AVERAGEIFS(Market_Panel!$R$2:$R$2705,Market_Panel!$A$2:$A$2705,B220,Market_Panel!$B$2:$B$2705,"&gt;="&amp;$B$11,Market_Panel!$B$2:$B$2705,"&lt;="&amp;$C$11))</f>
        <v>0</v>
      </c>
      <c r="H220" s="11" t="n">
        <f aca="false">IF(OR(D220=0,$H$11=0),0,AVERAGEIFS(Market_Panel!$Y$2:$Y$2705,Market_Panel!$A$2:$A$2705,B220,Market_Panel!$B$2:$B$2705,"&gt;="&amp;$B$11,Market_Panel!$B$2:$B$2705,"&lt;="&amp;$C$11))</f>
        <v>0</v>
      </c>
      <c r="I220" s="10" t="n">
        <f aca="false">IF(D220=0,"",$I$11+$F$11*F220+$G$11*G220+$H$11*H220)</f>
        <v>0.0244997355315148</v>
      </c>
      <c r="J220" s="5" t="n">
        <f aca="false">IF(D220&lt;5,"",(E220-I220)*162)</f>
        <v>4.49258599950734</v>
      </c>
      <c r="K220" s="5" t="n">
        <f aca="false">IF(D220=0,"",E220*162)</f>
        <v>8.46154315561273</v>
      </c>
      <c r="L220" s="3" t="n">
        <f aca="false">SUMIFS(Seasons!$L$2:$L$2865,Seasons!$A$2:$A$2865,B220,Seasons!$B$2:$B$2865,"&gt;="&amp;$B$11,Seasons!$B$2:$B$2865,"&lt;="&amp;$C$11)</f>
        <v>5</v>
      </c>
      <c r="M220" s="3" t="n">
        <f aca="false">SUMIFS(Seasons!$N$2:$N$2865,Seasons!$A$2:$A$2865,B220,Seasons!$B$2:$B$2865,"&gt;="&amp;$B$11,Seasons!$B$2:$B$2865,"&lt;="&amp;$C$11)</f>
        <v>2</v>
      </c>
      <c r="N220" s="3" t="n">
        <f aca="false">IF(J220="",-1000000,J220+ROW()*0.000000001)</f>
        <v>4.49258621950734</v>
      </c>
      <c r="O220" s="3" t="n">
        <f aca="false">IF(J220="","",SUMPRODUCT(($A$25:$A$534=A220)*($N$25:$N$534&gt;N220))+1)</f>
        <v>5</v>
      </c>
      <c r="P220" s="3" t="str">
        <f aca="false">A220&amp;"|"&amp;O220</f>
        <v>1960s|5</v>
      </c>
    </row>
    <row r="221" customFormat="false" ht="15" hidden="false" customHeight="true" outlineLevel="0" collapsed="false">
      <c r="A221" s="1" t="s">
        <v>15</v>
      </c>
      <c r="B221" s="7" t="s">
        <v>71</v>
      </c>
      <c r="C221" s="1" t="s">
        <v>72</v>
      </c>
      <c r="D221" s="3" t="n">
        <f aca="false">COUNTIFS(Market_Panel!$A$2:$A$2705,B221,Market_Panel!$B$2:$B$2705,"&gt;="&amp;$B$11,Market_Panel!$B$2:$B$2705,"&lt;="&amp;$C$11)</f>
        <v>9</v>
      </c>
      <c r="E221" s="10" t="n">
        <f aca="false">IF(D221=0,"",AVERAGEIFS(Market_Panel!$M$2:$M$2705,Market_Panel!$A$2:$A$2705,B221,Market_Panel!$B$2:$B$2705,"&gt;="&amp;$B$11,Market_Panel!$B$2:$B$2705,"&lt;="&amp;$C$11))</f>
        <v>-0.0291466646055185</v>
      </c>
      <c r="F221" s="11" t="n">
        <f aca="false">IF(D221=0,"",AVERAGEIFS(Market_Panel!$P$2:$P$2705,Market_Panel!$A$2:$A$2705,B221,Market_Panel!$B$2:$B$2705,"&gt;="&amp;$B$11,Market_Panel!$B$2:$B$2705,"&lt;="&amp;$C$11))</f>
        <v>0.260362455417941</v>
      </c>
      <c r="G221" s="11" t="n">
        <f aca="false">IF(D221=0,"",AVERAGEIFS(Market_Panel!$R$2:$R$2705,Market_Panel!$A$2:$A$2705,B221,Market_Panel!$B$2:$B$2705,"&gt;="&amp;$B$11,Market_Panel!$B$2:$B$2705,"&lt;="&amp;$C$11))</f>
        <v>1</v>
      </c>
      <c r="H221" s="11" t="n">
        <f aca="false">IF(OR(D221=0,$H$11=0),0,AVERAGEIFS(Market_Panel!$Y$2:$Y$2705,Market_Panel!$A$2:$A$2705,B221,Market_Panel!$B$2:$B$2705,"&gt;="&amp;$B$11,Market_Panel!$B$2:$B$2705,"&lt;="&amp;$C$11))</f>
        <v>0</v>
      </c>
      <c r="I221" s="10" t="n">
        <f aca="false">IF(D221=0,"",$I$11+$F$11*F221+$G$11*G221+$H$11*H221)</f>
        <v>-0.0801603979289362</v>
      </c>
      <c r="J221" s="5" t="n">
        <f aca="false">IF(D221&lt;5,"",(E221-I221)*162)</f>
        <v>8.26422479839367</v>
      </c>
      <c r="K221" s="5" t="n">
        <f aca="false">IF(D221=0,"",E221*162)</f>
        <v>-4.72175966609399</v>
      </c>
      <c r="L221" s="3" t="n">
        <f aca="false">SUMIFS(Seasons!$L$2:$L$2865,Seasons!$A$2:$A$2865,B221,Seasons!$B$2:$B$2865,"&gt;="&amp;$B$11,Seasons!$B$2:$B$2865,"&lt;="&amp;$C$11)</f>
        <v>0</v>
      </c>
      <c r="M221" s="3" t="n">
        <f aca="false">SUMIFS(Seasons!$N$2:$N$2865,Seasons!$A$2:$A$2865,B221,Seasons!$B$2:$B$2865,"&gt;="&amp;$B$11,Seasons!$B$2:$B$2865,"&lt;="&amp;$C$11)</f>
        <v>0</v>
      </c>
      <c r="N221" s="3" t="n">
        <f aca="false">IF(J221="",-1000000,J221+ROW()*0.000000001)</f>
        <v>8.26422501939367</v>
      </c>
      <c r="O221" s="3" t="n">
        <f aca="false">IF(J221="","",SUMPRODUCT(($A$25:$A$534=A221)*($N$25:$N$534&gt;N221))+1)</f>
        <v>1</v>
      </c>
      <c r="P221" s="3" t="str">
        <f aca="false">A221&amp;"|"&amp;O221</f>
        <v>1960s|1</v>
      </c>
    </row>
    <row r="222" customFormat="false" ht="15" hidden="false" customHeight="true" outlineLevel="0" collapsed="false">
      <c r="A222" s="1" t="s">
        <v>15</v>
      </c>
      <c r="B222" s="7" t="s">
        <v>73</v>
      </c>
      <c r="C222" s="1" t="s">
        <v>72</v>
      </c>
      <c r="D222" s="3" t="n">
        <f aca="false">COUNTIFS(Market_Panel!$A$2:$A$2705,B222,Market_Panel!$B$2:$B$2705,"&gt;="&amp;$B$11,Market_Panel!$B$2:$B$2705,"&lt;="&amp;$C$11)</f>
        <v>9</v>
      </c>
      <c r="E222" s="10" t="n">
        <f aca="false">IF(D222=0,"",AVERAGEIFS(Market_Panel!$M$2:$M$2705,Market_Panel!$A$2:$A$2705,B222,Market_Panel!$B$2:$B$2705,"&gt;="&amp;$B$11,Market_Panel!$B$2:$B$2705,"&lt;="&amp;$C$11))</f>
        <v>-0.0815639159867051</v>
      </c>
      <c r="F222" s="11" t="n">
        <f aca="false">IF(D222=0,"",AVERAGEIFS(Market_Panel!$P$2:$P$2705,Market_Panel!$A$2:$A$2705,B222,Market_Panel!$B$2:$B$2705,"&gt;="&amp;$B$11,Market_Panel!$B$2:$B$2705,"&lt;="&amp;$C$11))</f>
        <v>-0.292232871033236</v>
      </c>
      <c r="G222" s="11" t="n">
        <f aca="false">IF(D222=0,"",AVERAGEIFS(Market_Panel!$R$2:$R$2705,Market_Panel!$A$2:$A$2705,B222,Market_Panel!$B$2:$B$2705,"&gt;="&amp;$B$11,Market_Panel!$B$2:$B$2705,"&lt;="&amp;$C$11))</f>
        <v>1</v>
      </c>
      <c r="H222" s="11" t="n">
        <f aca="false">IF(OR(D222=0,$H$11=0),0,AVERAGEIFS(Market_Panel!$Y$2:$Y$2705,Market_Panel!$A$2:$A$2705,B222,Market_Panel!$B$2:$B$2705,"&gt;="&amp;$B$11,Market_Panel!$B$2:$B$2705,"&lt;="&amp;$C$11))</f>
        <v>0</v>
      </c>
      <c r="I222" s="10" t="n">
        <f aca="false">IF(D222=0,"",$I$11+$F$11*F222+$G$11*G222+$H$11*H222)</f>
        <v>-0.0821215767210702</v>
      </c>
      <c r="J222" s="5" t="n">
        <f aca="false">IF(D222&lt;5,"",(E222-I222)*162)</f>
        <v>0.0903410389671549</v>
      </c>
      <c r="K222" s="5" t="n">
        <f aca="false">IF(D222=0,"",E222*162)</f>
        <v>-13.2133543898462</v>
      </c>
      <c r="L222" s="3" t="n">
        <f aca="false">SUMIFS(Seasons!$L$2:$L$2865,Seasons!$A$2:$A$2865,B222,Seasons!$B$2:$B$2865,"&gt;="&amp;$B$11,Seasons!$B$2:$B$2865,"&lt;="&amp;$C$11)</f>
        <v>0</v>
      </c>
      <c r="M222" s="3" t="n">
        <f aca="false">SUMIFS(Seasons!$N$2:$N$2865,Seasons!$A$2:$A$2865,B222,Seasons!$B$2:$B$2865,"&gt;="&amp;$B$11,Seasons!$B$2:$B$2865,"&lt;="&amp;$C$11)</f>
        <v>0</v>
      </c>
      <c r="N222" s="3" t="n">
        <f aca="false">IF(J222="",-1000000,J222+ROW()*0.000000001)</f>
        <v>0.0903412609671549</v>
      </c>
      <c r="O222" s="3" t="n">
        <f aca="false">IF(J222="","",SUMPRODUCT(($A$25:$A$534=A222)*($N$25:$N$534&gt;N222))+1)</f>
        <v>14</v>
      </c>
      <c r="P222" s="3" t="str">
        <f aca="false">A222&amp;"|"&amp;O222</f>
        <v>1960s|14</v>
      </c>
    </row>
    <row r="223" customFormat="false" ht="15" hidden="false" customHeight="true" outlineLevel="0" collapsed="false">
      <c r="A223" s="1" t="s">
        <v>15</v>
      </c>
      <c r="B223" s="7" t="s">
        <v>74</v>
      </c>
      <c r="C223" s="1" t="s">
        <v>72</v>
      </c>
      <c r="D223" s="3" t="n">
        <f aca="false">COUNTIFS(Market_Panel!$A$2:$A$2705,B223,Market_Panel!$B$2:$B$2705,"&gt;="&amp;$B$11,Market_Panel!$B$2:$B$2705,"&lt;="&amp;$C$11)</f>
        <v>8</v>
      </c>
      <c r="E223" s="10" t="n">
        <f aca="false">IF(D223=0,"",AVERAGEIFS(Market_Panel!$M$2:$M$2705,Market_Panel!$A$2:$A$2705,B223,Market_Panel!$B$2:$B$2705,"&gt;="&amp;$B$11,Market_Panel!$B$2:$B$2705,"&lt;="&amp;$C$11))</f>
        <v>-0.0710740966021329</v>
      </c>
      <c r="F223" s="11" t="n">
        <f aca="false">IF(D223=0,"",AVERAGEIFS(Market_Panel!$P$2:$P$2705,Market_Panel!$A$2:$A$2705,B223,Market_Panel!$B$2:$B$2705,"&gt;="&amp;$B$11,Market_Panel!$B$2:$B$2705,"&lt;="&amp;$C$11))</f>
        <v>0.0687041158476172</v>
      </c>
      <c r="G223" s="11" t="n">
        <f aca="false">IF(D223=0,"",AVERAGEIFS(Market_Panel!$R$2:$R$2705,Market_Panel!$A$2:$A$2705,B223,Market_Panel!$B$2:$B$2705,"&gt;="&amp;$B$11,Market_Panel!$B$2:$B$2705,"&lt;="&amp;$C$11))</f>
        <v>1</v>
      </c>
      <c r="H223" s="11" t="n">
        <f aca="false">IF(OR(D223=0,$H$11=0),0,AVERAGEIFS(Market_Panel!$Y$2:$Y$2705,Market_Panel!$A$2:$A$2705,B223,Market_Panel!$B$2:$B$2705,"&gt;="&amp;$B$11,Market_Panel!$B$2:$B$2705,"&lt;="&amp;$C$11))</f>
        <v>0</v>
      </c>
      <c r="I223" s="10" t="n">
        <f aca="false">IF(D223=0,"",$I$11+$F$11*F223+$G$11*G223+$H$11*H223)</f>
        <v>-0.0808405996116302</v>
      </c>
      <c r="J223" s="5" t="n">
        <f aca="false">IF(D223&lt;5,"",(E223-I223)*162)</f>
        <v>1.58217348753857</v>
      </c>
      <c r="K223" s="5" t="n">
        <f aca="false">IF(D223=0,"",E223*162)</f>
        <v>-11.5140036495455</v>
      </c>
      <c r="L223" s="3" t="n">
        <f aca="false">SUMIFS(Seasons!$L$2:$L$2865,Seasons!$A$2:$A$2865,B223,Seasons!$B$2:$B$2865,"&gt;="&amp;$B$11,Seasons!$B$2:$B$2865,"&lt;="&amp;$C$11)</f>
        <v>0</v>
      </c>
      <c r="M223" s="3" t="n">
        <f aca="false">SUMIFS(Seasons!$N$2:$N$2865,Seasons!$A$2:$A$2865,B223,Seasons!$B$2:$B$2865,"&gt;="&amp;$B$11,Seasons!$B$2:$B$2865,"&lt;="&amp;$C$11)</f>
        <v>0</v>
      </c>
      <c r="N223" s="3" t="n">
        <f aca="false">IF(J223="",-1000000,J223+ROW()*0.000000001)</f>
        <v>1.58217371053857</v>
      </c>
      <c r="O223" s="3" t="n">
        <f aca="false">IF(J223="","",SUMPRODUCT(($A$25:$A$534=A223)*($N$25:$N$534&gt;N223))+1)</f>
        <v>12</v>
      </c>
      <c r="P223" s="3" t="str">
        <f aca="false">A223&amp;"|"&amp;O223</f>
        <v>1960s|12</v>
      </c>
    </row>
    <row r="224" customFormat="false" ht="15" hidden="false" customHeight="true" outlineLevel="0" collapsed="false">
      <c r="A224" s="1" t="s">
        <v>15</v>
      </c>
      <c r="B224" s="7" t="s">
        <v>75</v>
      </c>
      <c r="C224" s="1" t="s">
        <v>72</v>
      </c>
      <c r="D224" s="3" t="n">
        <f aca="false">COUNTIFS(Market_Panel!$A$2:$A$2705,B224,Market_Panel!$B$2:$B$2705,"&gt;="&amp;$B$11,Market_Panel!$B$2:$B$2705,"&lt;="&amp;$C$11)</f>
        <v>8</v>
      </c>
      <c r="E224" s="10" t="n">
        <f aca="false">IF(D224=0,"",AVERAGEIFS(Market_Panel!$M$2:$M$2705,Market_Panel!$A$2:$A$2705,B224,Market_Panel!$B$2:$B$2705,"&gt;="&amp;$B$11,Market_Panel!$B$2:$B$2705,"&lt;="&amp;$C$11))</f>
        <v>-0.118057169219263</v>
      </c>
      <c r="F224" s="11" t="n">
        <f aca="false">IF(D224=0,"",AVERAGEIFS(Market_Panel!$P$2:$P$2705,Market_Panel!$A$2:$A$2705,B224,Market_Panel!$B$2:$B$2705,"&gt;="&amp;$B$11,Market_Panel!$B$2:$B$2705,"&lt;="&amp;$C$11))</f>
        <v>1.34887677284958</v>
      </c>
      <c r="G224" s="11" t="n">
        <f aca="false">IF(D224=0,"",AVERAGEIFS(Market_Panel!$R$2:$R$2705,Market_Panel!$A$2:$A$2705,B224,Market_Panel!$B$2:$B$2705,"&gt;="&amp;$B$11,Market_Panel!$B$2:$B$2705,"&lt;="&amp;$C$11))</f>
        <v>1</v>
      </c>
      <c r="H224" s="11" t="n">
        <f aca="false">IF(OR(D224=0,$H$11=0),0,AVERAGEIFS(Market_Panel!$Y$2:$Y$2705,Market_Panel!$A$2:$A$2705,B224,Market_Panel!$B$2:$B$2705,"&gt;="&amp;$B$11,Market_Panel!$B$2:$B$2705,"&lt;="&amp;$C$11))</f>
        <v>0</v>
      </c>
      <c r="I224" s="10" t="n">
        <f aca="false">IF(D224=0,"",$I$11+$F$11*F224+$G$11*G224+$H$11*H224)</f>
        <v>-0.0762972252018143</v>
      </c>
      <c r="J224" s="5" t="n">
        <f aca="false">IF(D224&lt;5,"",(E224-I224)*162)</f>
        <v>-6.76511093082676</v>
      </c>
      <c r="K224" s="5" t="n">
        <f aca="false">IF(D224=0,"",E224*162)</f>
        <v>-19.1252614135207</v>
      </c>
      <c r="L224" s="3" t="n">
        <f aca="false">SUMIFS(Seasons!$L$2:$L$2865,Seasons!$A$2:$A$2865,B224,Seasons!$B$2:$B$2865,"&gt;="&amp;$B$11,Seasons!$B$2:$B$2865,"&lt;="&amp;$C$11)</f>
        <v>1</v>
      </c>
      <c r="M224" s="3" t="n">
        <f aca="false">SUMIFS(Seasons!$N$2:$N$2865,Seasons!$A$2:$A$2865,B224,Seasons!$B$2:$B$2865,"&gt;="&amp;$B$11,Seasons!$B$2:$B$2865,"&lt;="&amp;$C$11)</f>
        <v>1</v>
      </c>
      <c r="N224" s="3" t="n">
        <f aca="false">IF(J224="",-1000000,J224+ROW()*0.000000001)</f>
        <v>-6.76511070682676</v>
      </c>
      <c r="O224" s="3" t="n">
        <f aca="false">IF(J224="","",SUMPRODUCT(($A$25:$A$534=A224)*($N$25:$N$534&gt;N224))+1)</f>
        <v>16</v>
      </c>
      <c r="P224" s="3" t="str">
        <f aca="false">A224&amp;"|"&amp;O224</f>
        <v>1960s|16</v>
      </c>
    </row>
    <row r="225" customFormat="false" ht="15" hidden="false" customHeight="true" outlineLevel="0" collapsed="false">
      <c r="A225" s="1" t="s">
        <v>15</v>
      </c>
      <c r="B225" s="7" t="s">
        <v>76</v>
      </c>
      <c r="C225" s="1" t="s">
        <v>72</v>
      </c>
      <c r="D225" s="3" t="n">
        <f aca="false">COUNTIFS(Market_Panel!$A$2:$A$2705,B225,Market_Panel!$B$2:$B$2705,"&gt;="&amp;$B$11,Market_Panel!$B$2:$B$2705,"&lt;="&amp;$C$11)</f>
        <v>1</v>
      </c>
      <c r="E225" s="10" t="n">
        <f aca="false">IF(D225=0,"",AVERAGEIFS(Market_Panel!$M$2:$M$2705,Market_Panel!$A$2:$A$2705,B225,Market_Panel!$B$2:$B$2705,"&gt;="&amp;$B$11,Market_Panel!$B$2:$B$2705,"&lt;="&amp;$C$11))</f>
        <v>-0.0740437210847839</v>
      </c>
      <c r="F225" s="11" t="n">
        <f aca="false">IF(D225=0,"",AVERAGEIFS(Market_Panel!$P$2:$P$2705,Market_Panel!$A$2:$A$2705,B225,Market_Panel!$B$2:$B$2705,"&gt;="&amp;$B$11,Market_Panel!$B$2:$B$2705,"&lt;="&amp;$C$11))</f>
        <v>-0.618602194376283</v>
      </c>
      <c r="G225" s="11" t="n">
        <f aca="false">IF(D225=0,"",AVERAGEIFS(Market_Panel!$R$2:$R$2705,Market_Panel!$A$2:$A$2705,B225,Market_Panel!$B$2:$B$2705,"&gt;="&amp;$B$11,Market_Panel!$B$2:$B$2705,"&lt;="&amp;$C$11))</f>
        <v>1</v>
      </c>
      <c r="H225" s="11" t="n">
        <f aca="false">IF(OR(D225=0,$H$11=0),0,AVERAGEIFS(Market_Panel!$Y$2:$Y$2705,Market_Panel!$A$2:$A$2705,B225,Market_Panel!$B$2:$B$2705,"&gt;="&amp;$B$11,Market_Panel!$B$2:$B$2705,"&lt;="&amp;$C$11))</f>
        <v>0</v>
      </c>
      <c r="I225" s="10" t="n">
        <f aca="false">IF(D225=0,"",$I$11+$F$11*F225+$G$11*G225+$H$11*H225)</f>
        <v>-0.0832798720679638</v>
      </c>
      <c r="J225" s="5" t="str">
        <f aca="false">IF(D225&lt;5,"",(E225-I225)*162)</f>
        <v/>
      </c>
      <c r="K225" s="5" t="n">
        <f aca="false">IF(D225=0,"",E225*162)</f>
        <v>-11.995082815735</v>
      </c>
      <c r="L225" s="3" t="n">
        <f aca="false">SUMIFS(Seasons!$L$2:$L$2865,Seasons!$A$2:$A$2865,B225,Seasons!$B$2:$B$2865,"&gt;="&amp;$B$11,Seasons!$B$2:$B$2865,"&lt;="&amp;$C$11)</f>
        <v>0</v>
      </c>
      <c r="M225" s="3" t="n">
        <f aca="false">SUMIFS(Seasons!$N$2:$N$2865,Seasons!$A$2:$A$2865,B225,Seasons!$B$2:$B$2865,"&gt;="&amp;$B$11,Seasons!$B$2:$B$2865,"&lt;="&amp;$C$11)</f>
        <v>0</v>
      </c>
      <c r="N225" s="3" t="n">
        <f aca="false">IF(J225="",-1000000,J225+ROW()*0.000000001)</f>
        <v>-1000000</v>
      </c>
      <c r="O225" s="3" t="str">
        <f aca="false">IF(J225="","",SUMPRODUCT(($A$25:$A$534=A225)*($N$25:$N$534&gt;N225))+1)</f>
        <v/>
      </c>
      <c r="P225" s="3" t="str">
        <f aca="false">A225&amp;"|"&amp;O225</f>
        <v>1960s|</v>
      </c>
    </row>
    <row r="226" customFormat="false" ht="15" hidden="false" customHeight="true" outlineLevel="0" collapsed="false">
      <c r="A226" s="1" t="s">
        <v>15</v>
      </c>
      <c r="B226" s="7" t="s">
        <v>77</v>
      </c>
      <c r="C226" s="1" t="s">
        <v>72</v>
      </c>
      <c r="D226" s="3" t="n">
        <f aca="false">COUNTIFS(Market_Panel!$A$2:$A$2705,B226,Market_Panel!$B$2:$B$2705,"&gt;="&amp;$B$11,Market_Panel!$B$2:$B$2705,"&lt;="&amp;$C$11)</f>
        <v>1</v>
      </c>
      <c r="E226" s="10" t="n">
        <f aca="false">IF(D226=0,"",AVERAGEIFS(Market_Panel!$M$2:$M$2705,Market_Panel!$A$2:$A$2705,B226,Market_Panel!$B$2:$B$2705,"&gt;="&amp;$B$11,Market_Panel!$B$2:$B$2705,"&lt;="&amp;$C$11))</f>
        <v>-0.104907918615648</v>
      </c>
      <c r="F226" s="11" t="n">
        <f aca="false">IF(D226=0,"",AVERAGEIFS(Market_Panel!$P$2:$P$2705,Market_Panel!$A$2:$A$2705,B226,Market_Panel!$B$2:$B$2705,"&gt;="&amp;$B$11,Market_Panel!$B$2:$B$2705,"&lt;="&amp;$C$11))</f>
        <v>-0.561589936973698</v>
      </c>
      <c r="G226" s="11" t="n">
        <f aca="false">IF(D226=0,"",AVERAGEIFS(Market_Panel!$R$2:$R$2705,Market_Panel!$A$2:$A$2705,B226,Market_Panel!$B$2:$B$2705,"&gt;="&amp;$B$11,Market_Panel!$B$2:$B$2705,"&lt;="&amp;$C$11))</f>
        <v>1</v>
      </c>
      <c r="H226" s="11" t="n">
        <f aca="false">IF(OR(D226=0,$H$11=0),0,AVERAGEIFS(Market_Panel!$Y$2:$Y$2705,Market_Panel!$A$2:$A$2705,B226,Market_Panel!$B$2:$B$2705,"&gt;="&amp;$B$11,Market_Panel!$B$2:$B$2705,"&lt;="&amp;$C$11))</f>
        <v>0</v>
      </c>
      <c r="I226" s="10" t="n">
        <f aca="false">IF(D226=0,"",$I$11+$F$11*F226+$G$11*G226+$H$11*H226)</f>
        <v>-0.0830775337115616</v>
      </c>
      <c r="J226" s="5" t="str">
        <f aca="false">IF(D226&lt;5,"",(E226-I226)*162)</f>
        <v/>
      </c>
      <c r="K226" s="5" t="n">
        <f aca="false">IF(D226=0,"",E226*162)</f>
        <v>-16.995082815735</v>
      </c>
      <c r="L226" s="3" t="n">
        <f aca="false">SUMIFS(Seasons!$L$2:$L$2865,Seasons!$A$2:$A$2865,B226,Seasons!$B$2:$B$2865,"&gt;="&amp;$B$11,Seasons!$B$2:$B$2865,"&lt;="&amp;$C$11)</f>
        <v>0</v>
      </c>
      <c r="M226" s="3" t="n">
        <f aca="false">SUMIFS(Seasons!$N$2:$N$2865,Seasons!$A$2:$A$2865,B226,Seasons!$B$2:$B$2865,"&gt;="&amp;$B$11,Seasons!$B$2:$B$2865,"&lt;="&amp;$C$11)</f>
        <v>0</v>
      </c>
      <c r="N226" s="3" t="n">
        <f aca="false">IF(J226="",-1000000,J226+ROW()*0.000000001)</f>
        <v>-1000000</v>
      </c>
      <c r="O226" s="3" t="str">
        <f aca="false">IF(J226="","",SUMPRODUCT(($A$25:$A$534=A226)*($N$25:$N$534&gt;N226))+1)</f>
        <v/>
      </c>
      <c r="P226" s="3" t="str">
        <f aca="false">A226&amp;"|"&amp;O226</f>
        <v>1960s|</v>
      </c>
    </row>
    <row r="227" customFormat="false" ht="15" hidden="false" customHeight="true" outlineLevel="0" collapsed="false">
      <c r="A227" s="1" t="s">
        <v>15</v>
      </c>
      <c r="B227" s="7" t="s">
        <v>78</v>
      </c>
      <c r="C227" s="1" t="s">
        <v>72</v>
      </c>
      <c r="D227" s="3" t="n">
        <f aca="false">COUNTIFS(Market_Panel!$A$2:$A$2705,B227,Market_Panel!$B$2:$B$2705,"&gt;="&amp;$B$11,Market_Panel!$B$2:$B$2705,"&lt;="&amp;$C$11)</f>
        <v>1</v>
      </c>
      <c r="E227" s="10" t="n">
        <f aca="false">IF(D227=0,"",AVERAGEIFS(Market_Panel!$M$2:$M$2705,Market_Panel!$A$2:$A$2705,B227,Market_Panel!$B$2:$B$2705,"&gt;="&amp;$B$11,Market_Panel!$B$2:$B$2705,"&lt;="&amp;$C$11))</f>
        <v>-0.178981992689722</v>
      </c>
      <c r="F227" s="11" t="n">
        <f aca="false">IF(D227=0,"",AVERAGEIFS(Market_Panel!$P$2:$P$2705,Market_Panel!$A$2:$A$2705,B227,Market_Panel!$B$2:$B$2705,"&gt;="&amp;$B$11,Market_Panel!$B$2:$B$2705,"&lt;="&amp;$C$11))</f>
        <v>-0.313925213546</v>
      </c>
      <c r="G227" s="11" t="n">
        <f aca="false">IF(D227=0,"",AVERAGEIFS(Market_Panel!$R$2:$R$2705,Market_Panel!$A$2:$A$2705,B227,Market_Panel!$B$2:$B$2705,"&gt;="&amp;$B$11,Market_Panel!$B$2:$B$2705,"&lt;="&amp;$C$11))</f>
        <v>1</v>
      </c>
      <c r="H227" s="11" t="n">
        <f aca="false">IF(OR(D227=0,$H$11=0),0,AVERAGEIFS(Market_Panel!$Y$2:$Y$2705,Market_Panel!$A$2:$A$2705,B227,Market_Panel!$B$2:$B$2705,"&gt;="&amp;$B$11,Market_Panel!$B$2:$B$2705,"&lt;="&amp;$C$11))</f>
        <v>0</v>
      </c>
      <c r="I227" s="10" t="n">
        <f aca="false">IF(D227=0,"",$I$11+$F$11*F227+$G$11*G227+$H$11*H227)</f>
        <v>-0.0821985635504033</v>
      </c>
      <c r="J227" s="5" t="str">
        <f aca="false">IF(D227&lt;5,"",(E227-I227)*162)</f>
        <v/>
      </c>
      <c r="K227" s="5" t="n">
        <f aca="false">IF(D227=0,"",E227*162)</f>
        <v>-28.995082815735</v>
      </c>
      <c r="L227" s="3" t="n">
        <f aca="false">SUMIFS(Seasons!$L$2:$L$2865,Seasons!$A$2:$A$2865,B227,Seasons!$B$2:$B$2865,"&gt;="&amp;$B$11,Seasons!$B$2:$B$2865,"&lt;="&amp;$C$11)</f>
        <v>0</v>
      </c>
      <c r="M227" s="3" t="n">
        <f aca="false">SUMIFS(Seasons!$N$2:$N$2865,Seasons!$A$2:$A$2865,B227,Seasons!$B$2:$B$2865,"&gt;="&amp;$B$11,Seasons!$B$2:$B$2865,"&lt;="&amp;$C$11)</f>
        <v>0</v>
      </c>
      <c r="N227" s="3" t="n">
        <f aca="false">IF(J227="",-1000000,J227+ROW()*0.000000001)</f>
        <v>-1000000</v>
      </c>
      <c r="O227" s="3" t="str">
        <f aca="false">IF(J227="","",SUMPRODUCT(($A$25:$A$534=A227)*($N$25:$N$534&gt;N227))+1)</f>
        <v/>
      </c>
      <c r="P227" s="3" t="str">
        <f aca="false">A227&amp;"|"&amp;O227</f>
        <v>1960s|</v>
      </c>
    </row>
    <row r="228" customFormat="false" ht="15" hidden="false" customHeight="true" outlineLevel="0" collapsed="false">
      <c r="A228" s="1" t="s">
        <v>15</v>
      </c>
      <c r="B228" s="7" t="s">
        <v>79</v>
      </c>
      <c r="C228" s="1" t="s">
        <v>72</v>
      </c>
      <c r="D228" s="3" t="n">
        <f aca="false">COUNTIFS(Market_Panel!$A$2:$A$2705,B228,Market_Panel!$B$2:$B$2705,"&gt;="&amp;$B$11,Market_Panel!$B$2:$B$2705,"&lt;="&amp;$C$11)</f>
        <v>1</v>
      </c>
      <c r="E228" s="10" t="n">
        <f aca="false">IF(D228=0,"",AVERAGEIFS(Market_Panel!$M$2:$M$2705,Market_Panel!$A$2:$A$2705,B228,Market_Panel!$B$2:$B$2705,"&gt;="&amp;$B$11,Market_Panel!$B$2:$B$2705,"&lt;="&amp;$C$11))</f>
        <v>-0.178981992689722</v>
      </c>
      <c r="F228" s="11" t="n">
        <f aca="false">IF(D228=0,"",AVERAGEIFS(Market_Panel!$P$2:$P$2705,Market_Panel!$A$2:$A$2705,B228,Market_Panel!$B$2:$B$2705,"&gt;="&amp;$B$11,Market_Panel!$B$2:$B$2705,"&lt;="&amp;$C$11))</f>
        <v>0.259167942677129</v>
      </c>
      <c r="G228" s="11" t="n">
        <f aca="false">IF(D228=0,"",AVERAGEIFS(Market_Panel!$R$2:$R$2705,Market_Panel!$A$2:$A$2705,B228,Market_Panel!$B$2:$B$2705,"&gt;="&amp;$B$11,Market_Panel!$B$2:$B$2705,"&lt;="&amp;$C$11))</f>
        <v>1</v>
      </c>
      <c r="H228" s="11" t="n">
        <f aca="false">IF(OR(D228=0,$H$11=0),0,AVERAGEIFS(Market_Panel!$Y$2:$Y$2705,Market_Panel!$A$2:$A$2705,B228,Market_Panel!$B$2:$B$2705,"&gt;="&amp;$B$11,Market_Panel!$B$2:$B$2705,"&lt;="&amp;$C$11))</f>
        <v>0</v>
      </c>
      <c r="I228" s="10" t="n">
        <f aca="false">IF(D228=0,"",$I$11+$F$11*F228+$G$11*G228+$H$11*H228)</f>
        <v>-0.0801646372935165</v>
      </c>
      <c r="J228" s="5" t="str">
        <f aca="false">IF(D228&lt;5,"",(E228-I228)*162)</f>
        <v/>
      </c>
      <c r="K228" s="5" t="n">
        <f aca="false">IF(D228=0,"",E228*162)</f>
        <v>-28.995082815735</v>
      </c>
      <c r="L228" s="3" t="n">
        <f aca="false">SUMIFS(Seasons!$L$2:$L$2865,Seasons!$A$2:$A$2865,B228,Seasons!$B$2:$B$2865,"&gt;="&amp;$B$11,Seasons!$B$2:$B$2865,"&lt;="&amp;$C$11)</f>
        <v>0</v>
      </c>
      <c r="M228" s="3" t="n">
        <f aca="false">SUMIFS(Seasons!$N$2:$N$2865,Seasons!$A$2:$A$2865,B228,Seasons!$B$2:$B$2865,"&gt;="&amp;$B$11,Seasons!$B$2:$B$2865,"&lt;="&amp;$C$11)</f>
        <v>0</v>
      </c>
      <c r="N228" s="3" t="n">
        <f aca="false">IF(J228="",-1000000,J228+ROW()*0.000000001)</f>
        <v>-1000000</v>
      </c>
      <c r="O228" s="3" t="str">
        <f aca="false">IF(J228="","",SUMPRODUCT(($A$25:$A$534=A228)*($N$25:$N$534&gt;N228))+1)</f>
        <v/>
      </c>
      <c r="P228" s="3" t="str">
        <f aca="false">A228&amp;"|"&amp;O228</f>
        <v>1960s|</v>
      </c>
    </row>
    <row r="229" customFormat="false" ht="15" hidden="false" customHeight="true" outlineLevel="0" collapsed="false">
      <c r="A229" s="1" t="s">
        <v>15</v>
      </c>
      <c r="B229" s="7" t="s">
        <v>80</v>
      </c>
      <c r="C229" s="1" t="s">
        <v>72</v>
      </c>
      <c r="D229" s="3" t="n">
        <f aca="false">COUNTIFS(Market_Panel!$A$2:$A$2705,B229,Market_Panel!$B$2:$B$2705,"&gt;="&amp;$B$11,Market_Panel!$B$2:$B$2705,"&lt;="&amp;$C$11)</f>
        <v>0</v>
      </c>
      <c r="E229" s="10" t="str">
        <f aca="false">IF(D229=0,"",AVERAGEIFS(Market_Panel!$M$2:$M$2705,Market_Panel!$A$2:$A$2705,B229,Market_Panel!$B$2:$B$2705,"&gt;="&amp;$B$11,Market_Panel!$B$2:$B$2705,"&lt;="&amp;$C$11))</f>
        <v/>
      </c>
      <c r="F229" s="11" t="str">
        <f aca="false">IF(D229=0,"",AVERAGEIFS(Market_Panel!$P$2:$P$2705,Market_Panel!$A$2:$A$2705,B229,Market_Panel!$B$2:$B$2705,"&gt;="&amp;$B$11,Market_Panel!$B$2:$B$2705,"&lt;="&amp;$C$11))</f>
        <v/>
      </c>
      <c r="G229" s="11" t="str">
        <f aca="false">IF(D229=0,"",AVERAGEIFS(Market_Panel!$R$2:$R$2705,Market_Panel!$A$2:$A$2705,B229,Market_Panel!$B$2:$B$2705,"&gt;="&amp;$B$11,Market_Panel!$B$2:$B$2705,"&lt;="&amp;$C$11))</f>
        <v/>
      </c>
      <c r="H229" s="11" t="n">
        <f aca="false">IF(OR(D229=0,$H$11=0),0,AVERAGEIFS(Market_Panel!$Y$2:$Y$2705,Market_Panel!$A$2:$A$2705,B229,Market_Panel!$B$2:$B$2705,"&gt;="&amp;$B$11,Market_Panel!$B$2:$B$2705,"&lt;="&amp;$C$11))</f>
        <v>0</v>
      </c>
      <c r="I229" s="10" t="str">
        <f aca="false">IF(D229=0,"",$I$11+$F$11*F229+$G$11*G229+$H$11*H229)</f>
        <v/>
      </c>
      <c r="J229" s="5" t="str">
        <f aca="false">IF(D229&lt;5,"",(E229-I229)*162)</f>
        <v/>
      </c>
      <c r="K229" s="5" t="str">
        <f aca="false">IF(D229=0,"",E229*162)</f>
        <v/>
      </c>
      <c r="L229" s="3" t="n">
        <f aca="false">SUMIFS(Seasons!$L$2:$L$2865,Seasons!$A$2:$A$2865,B229,Seasons!$B$2:$B$2865,"&gt;="&amp;$B$11,Seasons!$B$2:$B$2865,"&lt;="&amp;$C$11)</f>
        <v>0</v>
      </c>
      <c r="M229" s="3" t="n">
        <f aca="false">SUMIFS(Seasons!$N$2:$N$2865,Seasons!$A$2:$A$2865,B229,Seasons!$B$2:$B$2865,"&gt;="&amp;$B$11,Seasons!$B$2:$B$2865,"&lt;="&amp;$C$11)</f>
        <v>0</v>
      </c>
      <c r="N229" s="3" t="n">
        <f aca="false">IF(J229="",-1000000,J229+ROW()*0.000000001)</f>
        <v>-1000000</v>
      </c>
      <c r="O229" s="3" t="str">
        <f aca="false">IF(J229="","",SUMPRODUCT(($A$25:$A$534=A229)*($N$25:$N$534&gt;N229))+1)</f>
        <v/>
      </c>
      <c r="P229" s="3" t="str">
        <f aca="false">A229&amp;"|"&amp;O229</f>
        <v>1960s|</v>
      </c>
    </row>
    <row r="230" customFormat="false" ht="15" hidden="false" customHeight="true" outlineLevel="0" collapsed="false">
      <c r="A230" s="1" t="s">
        <v>15</v>
      </c>
      <c r="B230" s="7" t="s">
        <v>81</v>
      </c>
      <c r="C230" s="1" t="s">
        <v>72</v>
      </c>
      <c r="D230" s="3" t="n">
        <f aca="false">COUNTIFS(Market_Panel!$A$2:$A$2705,B230,Market_Panel!$B$2:$B$2705,"&gt;="&amp;$B$11,Market_Panel!$B$2:$B$2705,"&lt;="&amp;$C$11)</f>
        <v>0</v>
      </c>
      <c r="E230" s="10" t="str">
        <f aca="false">IF(D230=0,"",AVERAGEIFS(Market_Panel!$M$2:$M$2705,Market_Panel!$A$2:$A$2705,B230,Market_Panel!$B$2:$B$2705,"&gt;="&amp;$B$11,Market_Panel!$B$2:$B$2705,"&lt;="&amp;$C$11))</f>
        <v/>
      </c>
      <c r="F230" s="11" t="str">
        <f aca="false">IF(D230=0,"",AVERAGEIFS(Market_Panel!$P$2:$P$2705,Market_Panel!$A$2:$A$2705,B230,Market_Panel!$B$2:$B$2705,"&gt;="&amp;$B$11,Market_Panel!$B$2:$B$2705,"&lt;="&amp;$C$11))</f>
        <v/>
      </c>
      <c r="G230" s="11" t="str">
        <f aca="false">IF(D230=0,"",AVERAGEIFS(Market_Panel!$R$2:$R$2705,Market_Panel!$A$2:$A$2705,B230,Market_Panel!$B$2:$B$2705,"&gt;="&amp;$B$11,Market_Panel!$B$2:$B$2705,"&lt;="&amp;$C$11))</f>
        <v/>
      </c>
      <c r="H230" s="11" t="n">
        <f aca="false">IF(OR(D230=0,$H$11=0),0,AVERAGEIFS(Market_Panel!$Y$2:$Y$2705,Market_Panel!$A$2:$A$2705,B230,Market_Panel!$B$2:$B$2705,"&gt;="&amp;$B$11,Market_Panel!$B$2:$B$2705,"&lt;="&amp;$C$11))</f>
        <v>0</v>
      </c>
      <c r="I230" s="10" t="str">
        <f aca="false">IF(D230=0,"",$I$11+$F$11*F230+$G$11*G230+$H$11*H230)</f>
        <v/>
      </c>
      <c r="J230" s="5" t="str">
        <f aca="false">IF(D230&lt;5,"",(E230-I230)*162)</f>
        <v/>
      </c>
      <c r="K230" s="5" t="str">
        <f aca="false">IF(D230=0,"",E230*162)</f>
        <v/>
      </c>
      <c r="L230" s="3" t="n">
        <f aca="false">SUMIFS(Seasons!$L$2:$L$2865,Seasons!$A$2:$A$2865,B230,Seasons!$B$2:$B$2865,"&gt;="&amp;$B$11,Seasons!$B$2:$B$2865,"&lt;="&amp;$C$11)</f>
        <v>0</v>
      </c>
      <c r="M230" s="3" t="n">
        <f aca="false">SUMIFS(Seasons!$N$2:$N$2865,Seasons!$A$2:$A$2865,B230,Seasons!$B$2:$B$2865,"&gt;="&amp;$B$11,Seasons!$B$2:$B$2865,"&lt;="&amp;$C$11)</f>
        <v>0</v>
      </c>
      <c r="N230" s="3" t="n">
        <f aca="false">IF(J230="",-1000000,J230+ROW()*0.000000001)</f>
        <v>-1000000</v>
      </c>
      <c r="O230" s="3" t="str">
        <f aca="false">IF(J230="","",SUMPRODUCT(($A$25:$A$534=A230)*($N$25:$N$534&gt;N230))+1)</f>
        <v/>
      </c>
      <c r="P230" s="3" t="str">
        <f aca="false">A230&amp;"|"&amp;O230</f>
        <v>1960s|</v>
      </c>
    </row>
    <row r="231" customFormat="false" ht="15" hidden="false" customHeight="true" outlineLevel="0" collapsed="false">
      <c r="A231" s="1" t="s">
        <v>15</v>
      </c>
      <c r="B231" s="7" t="s">
        <v>82</v>
      </c>
      <c r="C231" s="1" t="s">
        <v>72</v>
      </c>
      <c r="D231" s="3" t="n">
        <f aca="false">COUNTIFS(Market_Panel!$A$2:$A$2705,B231,Market_Panel!$B$2:$B$2705,"&gt;="&amp;$B$11,Market_Panel!$B$2:$B$2705,"&lt;="&amp;$C$11)</f>
        <v>0</v>
      </c>
      <c r="E231" s="10" t="str">
        <f aca="false">IF(D231=0,"",AVERAGEIFS(Market_Panel!$M$2:$M$2705,Market_Panel!$A$2:$A$2705,B231,Market_Panel!$B$2:$B$2705,"&gt;="&amp;$B$11,Market_Panel!$B$2:$B$2705,"&lt;="&amp;$C$11))</f>
        <v/>
      </c>
      <c r="F231" s="11" t="str">
        <f aca="false">IF(D231=0,"",AVERAGEIFS(Market_Panel!$P$2:$P$2705,Market_Panel!$A$2:$A$2705,B231,Market_Panel!$B$2:$B$2705,"&gt;="&amp;$B$11,Market_Panel!$B$2:$B$2705,"&lt;="&amp;$C$11))</f>
        <v/>
      </c>
      <c r="G231" s="11" t="str">
        <f aca="false">IF(D231=0,"",AVERAGEIFS(Market_Panel!$R$2:$R$2705,Market_Panel!$A$2:$A$2705,B231,Market_Panel!$B$2:$B$2705,"&gt;="&amp;$B$11,Market_Panel!$B$2:$B$2705,"&lt;="&amp;$C$11))</f>
        <v/>
      </c>
      <c r="H231" s="11" t="n">
        <f aca="false">IF(OR(D231=0,$H$11=0),0,AVERAGEIFS(Market_Panel!$Y$2:$Y$2705,Market_Panel!$A$2:$A$2705,B231,Market_Panel!$B$2:$B$2705,"&gt;="&amp;$B$11,Market_Panel!$B$2:$B$2705,"&lt;="&amp;$C$11))</f>
        <v>0</v>
      </c>
      <c r="I231" s="10" t="str">
        <f aca="false">IF(D231=0,"",$I$11+$F$11*F231+$G$11*G231+$H$11*H231)</f>
        <v/>
      </c>
      <c r="J231" s="5" t="str">
        <f aca="false">IF(D231&lt;5,"",(E231-I231)*162)</f>
        <v/>
      </c>
      <c r="K231" s="5" t="str">
        <f aca="false">IF(D231=0,"",E231*162)</f>
        <v/>
      </c>
      <c r="L231" s="3" t="n">
        <f aca="false">SUMIFS(Seasons!$L$2:$L$2865,Seasons!$A$2:$A$2865,B231,Seasons!$B$2:$B$2865,"&gt;="&amp;$B$11,Seasons!$B$2:$B$2865,"&lt;="&amp;$C$11)</f>
        <v>0</v>
      </c>
      <c r="M231" s="3" t="n">
        <f aca="false">SUMIFS(Seasons!$N$2:$N$2865,Seasons!$A$2:$A$2865,B231,Seasons!$B$2:$B$2865,"&gt;="&amp;$B$11,Seasons!$B$2:$B$2865,"&lt;="&amp;$C$11)</f>
        <v>0</v>
      </c>
      <c r="N231" s="3" t="n">
        <f aca="false">IF(J231="",-1000000,J231+ROW()*0.000000001)</f>
        <v>-1000000</v>
      </c>
      <c r="O231" s="3" t="str">
        <f aca="false">IF(J231="","",SUMPRODUCT(($A$25:$A$534=A231)*($N$25:$N$534&gt;N231))+1)</f>
        <v/>
      </c>
      <c r="P231" s="3" t="str">
        <f aca="false">A231&amp;"|"&amp;O231</f>
        <v>1960s|</v>
      </c>
    </row>
    <row r="232" customFormat="false" ht="15" hidden="false" customHeight="true" outlineLevel="0" collapsed="false">
      <c r="A232" s="1" t="s">
        <v>15</v>
      </c>
      <c r="B232" s="7" t="s">
        <v>83</v>
      </c>
      <c r="C232" s="1" t="s">
        <v>72</v>
      </c>
      <c r="D232" s="3" t="n">
        <f aca="false">COUNTIFS(Market_Panel!$A$2:$A$2705,B232,Market_Panel!$B$2:$B$2705,"&gt;="&amp;$B$11,Market_Panel!$B$2:$B$2705,"&lt;="&amp;$C$11)</f>
        <v>0</v>
      </c>
      <c r="E232" s="10" t="str">
        <f aca="false">IF(D232=0,"",AVERAGEIFS(Market_Panel!$M$2:$M$2705,Market_Panel!$A$2:$A$2705,B232,Market_Panel!$B$2:$B$2705,"&gt;="&amp;$B$11,Market_Panel!$B$2:$B$2705,"&lt;="&amp;$C$11))</f>
        <v/>
      </c>
      <c r="F232" s="11" t="str">
        <f aca="false">IF(D232=0,"",AVERAGEIFS(Market_Panel!$P$2:$P$2705,Market_Panel!$A$2:$A$2705,B232,Market_Panel!$B$2:$B$2705,"&gt;="&amp;$B$11,Market_Panel!$B$2:$B$2705,"&lt;="&amp;$C$11))</f>
        <v/>
      </c>
      <c r="G232" s="11" t="str">
        <f aca="false">IF(D232=0,"",AVERAGEIFS(Market_Panel!$R$2:$R$2705,Market_Panel!$A$2:$A$2705,B232,Market_Panel!$B$2:$B$2705,"&gt;="&amp;$B$11,Market_Panel!$B$2:$B$2705,"&lt;="&amp;$C$11))</f>
        <v/>
      </c>
      <c r="H232" s="11" t="n">
        <f aca="false">IF(OR(D232=0,$H$11=0),0,AVERAGEIFS(Market_Panel!$Y$2:$Y$2705,Market_Panel!$A$2:$A$2705,B232,Market_Panel!$B$2:$B$2705,"&gt;="&amp;$B$11,Market_Panel!$B$2:$B$2705,"&lt;="&amp;$C$11))</f>
        <v>0</v>
      </c>
      <c r="I232" s="10" t="str">
        <f aca="false">IF(D232=0,"",$I$11+$F$11*F232+$G$11*G232+$H$11*H232)</f>
        <v/>
      </c>
      <c r="J232" s="5" t="str">
        <f aca="false">IF(D232&lt;5,"",(E232-I232)*162)</f>
        <v/>
      </c>
      <c r="K232" s="5" t="str">
        <f aca="false">IF(D232=0,"",E232*162)</f>
        <v/>
      </c>
      <c r="L232" s="3" t="n">
        <f aca="false">SUMIFS(Seasons!$L$2:$L$2865,Seasons!$A$2:$A$2865,B232,Seasons!$B$2:$B$2865,"&gt;="&amp;$B$11,Seasons!$B$2:$B$2865,"&lt;="&amp;$C$11)</f>
        <v>0</v>
      </c>
      <c r="M232" s="3" t="n">
        <f aca="false">SUMIFS(Seasons!$N$2:$N$2865,Seasons!$A$2:$A$2865,B232,Seasons!$B$2:$B$2865,"&gt;="&amp;$B$11,Seasons!$B$2:$B$2865,"&lt;="&amp;$C$11)</f>
        <v>0</v>
      </c>
      <c r="N232" s="3" t="n">
        <f aca="false">IF(J232="",-1000000,J232+ROW()*0.000000001)</f>
        <v>-1000000</v>
      </c>
      <c r="O232" s="3" t="str">
        <f aca="false">IF(J232="","",SUMPRODUCT(($A$25:$A$534=A232)*($N$25:$N$534&gt;N232))+1)</f>
        <v/>
      </c>
      <c r="P232" s="3" t="str">
        <f aca="false">A232&amp;"|"&amp;O232</f>
        <v>1960s|</v>
      </c>
    </row>
    <row r="233" customFormat="false" ht="15" hidden="false" customHeight="true" outlineLevel="0" collapsed="false">
      <c r="A233" s="1" t="s">
        <v>15</v>
      </c>
      <c r="B233" s="7" t="s">
        <v>84</v>
      </c>
      <c r="C233" s="1" t="s">
        <v>72</v>
      </c>
      <c r="D233" s="3" t="n">
        <f aca="false">COUNTIFS(Market_Panel!$A$2:$A$2705,B233,Market_Panel!$B$2:$B$2705,"&gt;="&amp;$B$11,Market_Panel!$B$2:$B$2705,"&lt;="&amp;$C$11)</f>
        <v>0</v>
      </c>
      <c r="E233" s="10" t="str">
        <f aca="false">IF(D233=0,"",AVERAGEIFS(Market_Panel!$M$2:$M$2705,Market_Panel!$A$2:$A$2705,B233,Market_Panel!$B$2:$B$2705,"&gt;="&amp;$B$11,Market_Panel!$B$2:$B$2705,"&lt;="&amp;$C$11))</f>
        <v/>
      </c>
      <c r="F233" s="11" t="str">
        <f aca="false">IF(D233=0,"",AVERAGEIFS(Market_Panel!$P$2:$P$2705,Market_Panel!$A$2:$A$2705,B233,Market_Panel!$B$2:$B$2705,"&gt;="&amp;$B$11,Market_Panel!$B$2:$B$2705,"&lt;="&amp;$C$11))</f>
        <v/>
      </c>
      <c r="G233" s="11" t="str">
        <f aca="false">IF(D233=0,"",AVERAGEIFS(Market_Panel!$R$2:$R$2705,Market_Panel!$A$2:$A$2705,B233,Market_Panel!$B$2:$B$2705,"&gt;="&amp;$B$11,Market_Panel!$B$2:$B$2705,"&lt;="&amp;$C$11))</f>
        <v/>
      </c>
      <c r="H233" s="11" t="n">
        <f aca="false">IF(OR(D233=0,$H$11=0),0,AVERAGEIFS(Market_Panel!$Y$2:$Y$2705,Market_Panel!$A$2:$A$2705,B233,Market_Panel!$B$2:$B$2705,"&gt;="&amp;$B$11,Market_Panel!$B$2:$B$2705,"&lt;="&amp;$C$11))</f>
        <v>0</v>
      </c>
      <c r="I233" s="10" t="str">
        <f aca="false">IF(D233=0,"",$I$11+$F$11*F233+$G$11*G233+$H$11*H233)</f>
        <v/>
      </c>
      <c r="J233" s="5" t="str">
        <f aca="false">IF(D233&lt;5,"",(E233-I233)*162)</f>
        <v/>
      </c>
      <c r="K233" s="5" t="str">
        <f aca="false">IF(D233=0,"",E233*162)</f>
        <v/>
      </c>
      <c r="L233" s="3" t="n">
        <f aca="false">SUMIFS(Seasons!$L$2:$L$2865,Seasons!$A$2:$A$2865,B233,Seasons!$B$2:$B$2865,"&gt;="&amp;$B$11,Seasons!$B$2:$B$2865,"&lt;="&amp;$C$11)</f>
        <v>0</v>
      </c>
      <c r="M233" s="3" t="n">
        <f aca="false">SUMIFS(Seasons!$N$2:$N$2865,Seasons!$A$2:$A$2865,B233,Seasons!$B$2:$B$2865,"&gt;="&amp;$B$11,Seasons!$B$2:$B$2865,"&lt;="&amp;$C$11)</f>
        <v>0</v>
      </c>
      <c r="N233" s="3" t="n">
        <f aca="false">IF(J233="",-1000000,J233+ROW()*0.000000001)</f>
        <v>-1000000</v>
      </c>
      <c r="O233" s="3" t="str">
        <f aca="false">IF(J233="","",SUMPRODUCT(($A$25:$A$534=A233)*($N$25:$N$534&gt;N233))+1)</f>
        <v/>
      </c>
      <c r="P233" s="3" t="str">
        <f aca="false">A233&amp;"|"&amp;O233</f>
        <v>1960s|</v>
      </c>
    </row>
    <row r="234" customFormat="false" ht="15" hidden="false" customHeight="true" outlineLevel="0" collapsed="false">
      <c r="A234" s="1" t="s">
        <v>15</v>
      </c>
      <c r="B234" s="7" t="s">
        <v>85</v>
      </c>
      <c r="C234" s="1" t="s">
        <v>72</v>
      </c>
      <c r="D234" s="3" t="n">
        <f aca="false">COUNTIFS(Market_Panel!$A$2:$A$2705,B234,Market_Panel!$B$2:$B$2705,"&gt;="&amp;$B$11,Market_Panel!$B$2:$B$2705,"&lt;="&amp;$C$11)</f>
        <v>0</v>
      </c>
      <c r="E234" s="10" t="str">
        <f aca="false">IF(D234=0,"",AVERAGEIFS(Market_Panel!$M$2:$M$2705,Market_Panel!$A$2:$A$2705,B234,Market_Panel!$B$2:$B$2705,"&gt;="&amp;$B$11,Market_Panel!$B$2:$B$2705,"&lt;="&amp;$C$11))</f>
        <v/>
      </c>
      <c r="F234" s="11" t="str">
        <f aca="false">IF(D234=0,"",AVERAGEIFS(Market_Panel!$P$2:$P$2705,Market_Panel!$A$2:$A$2705,B234,Market_Panel!$B$2:$B$2705,"&gt;="&amp;$B$11,Market_Panel!$B$2:$B$2705,"&lt;="&amp;$C$11))</f>
        <v/>
      </c>
      <c r="G234" s="11" t="str">
        <f aca="false">IF(D234=0,"",AVERAGEIFS(Market_Panel!$R$2:$R$2705,Market_Panel!$A$2:$A$2705,B234,Market_Panel!$B$2:$B$2705,"&gt;="&amp;$B$11,Market_Panel!$B$2:$B$2705,"&lt;="&amp;$C$11))</f>
        <v/>
      </c>
      <c r="H234" s="11" t="n">
        <f aca="false">IF(OR(D234=0,$H$11=0),0,AVERAGEIFS(Market_Panel!$Y$2:$Y$2705,Market_Panel!$A$2:$A$2705,B234,Market_Panel!$B$2:$B$2705,"&gt;="&amp;$B$11,Market_Panel!$B$2:$B$2705,"&lt;="&amp;$C$11))</f>
        <v>0</v>
      </c>
      <c r="I234" s="10" t="str">
        <f aca="false">IF(D234=0,"",$I$11+$F$11*F234+$G$11*G234+$H$11*H234)</f>
        <v/>
      </c>
      <c r="J234" s="5" t="str">
        <f aca="false">IF(D234&lt;5,"",(E234-I234)*162)</f>
        <v/>
      </c>
      <c r="K234" s="5" t="str">
        <f aca="false">IF(D234=0,"",E234*162)</f>
        <v/>
      </c>
      <c r="L234" s="3" t="n">
        <f aca="false">SUMIFS(Seasons!$L$2:$L$2865,Seasons!$A$2:$A$2865,B234,Seasons!$B$2:$B$2865,"&gt;="&amp;$B$11,Seasons!$B$2:$B$2865,"&lt;="&amp;$C$11)</f>
        <v>0</v>
      </c>
      <c r="M234" s="3" t="n">
        <f aca="false">SUMIFS(Seasons!$N$2:$N$2865,Seasons!$A$2:$A$2865,B234,Seasons!$B$2:$B$2865,"&gt;="&amp;$B$11,Seasons!$B$2:$B$2865,"&lt;="&amp;$C$11)</f>
        <v>0</v>
      </c>
      <c r="N234" s="3" t="n">
        <f aca="false">IF(J234="",-1000000,J234+ROW()*0.000000001)</f>
        <v>-1000000</v>
      </c>
      <c r="O234" s="3" t="str">
        <f aca="false">IF(J234="","",SUMPRODUCT(($A$25:$A$534=A234)*($N$25:$N$534&gt;N234))+1)</f>
        <v/>
      </c>
      <c r="P234" s="3" t="str">
        <f aca="false">A234&amp;"|"&amp;O234</f>
        <v>1960s|</v>
      </c>
    </row>
    <row r="235" customFormat="false" ht="15" hidden="false" customHeight="true" outlineLevel="0" collapsed="false">
      <c r="A235" s="1" t="s">
        <v>16</v>
      </c>
      <c r="B235" s="7" t="s">
        <v>54</v>
      </c>
      <c r="C235" s="1" t="s">
        <v>55</v>
      </c>
      <c r="D235" s="3" t="n">
        <f aca="false">COUNTIFS(Market_Panel!$A$2:$A$2705,B235,Market_Panel!$B$2:$B$2705,"&gt;="&amp;$B$12,Market_Panel!$B$2:$B$2705,"&lt;="&amp;$C$12)</f>
        <v>10</v>
      </c>
      <c r="E235" s="10" t="n">
        <f aca="false">IF(D235=0,"",AVERAGEIFS(Market_Panel!$M$2:$M$2705,Market_Panel!$A$2:$A$2705,B235,Market_Panel!$B$2:$B$2705,"&gt;="&amp;$B$12,Market_Panel!$B$2:$B$2705,"&lt;="&amp;$C$12))</f>
        <v>-0.049167971506581</v>
      </c>
      <c r="F235" s="11" t="n">
        <f aca="false">IF(D235=0,"",AVERAGEIFS(Market_Panel!$P$2:$P$2705,Market_Panel!$A$2:$A$2705,B235,Market_Panel!$B$2:$B$2705,"&gt;="&amp;$B$12,Market_Panel!$B$2:$B$2705,"&lt;="&amp;$C$12))</f>
        <v>-0.666625561303925</v>
      </c>
      <c r="G235" s="11" t="n">
        <f aca="false">IF(D235=0,"",AVERAGEIFS(Market_Panel!$R$2:$R$2705,Market_Panel!$A$2:$A$2705,B235,Market_Panel!$B$2:$B$2705,"&gt;="&amp;$B$12,Market_Panel!$B$2:$B$2705,"&lt;="&amp;$C$12))</f>
        <v>0</v>
      </c>
      <c r="H235" s="11" t="n">
        <f aca="false">IF(OR(D235=0,$H$12=0),0,AVERAGEIFS(Market_Panel!$Y$2:$Y$2705,Market_Panel!$A$2:$A$2705,B235,Market_Panel!$B$2:$B$2705,"&gt;="&amp;$B$12,Market_Panel!$B$2:$B$2705,"&lt;="&amp;$C$12))</f>
        <v>0</v>
      </c>
      <c r="I235" s="10" t="n">
        <f aca="false">IF(D235=0,"",$I$12+$F$12*F235+$G$12*G235+$H$12*H235)</f>
        <v>0.0174802643889451</v>
      </c>
      <c r="J235" s="5" t="n">
        <f aca="false">IF(D235&lt;5,"",(E235-I235)*162)</f>
        <v>-10.7970142150752</v>
      </c>
      <c r="K235" s="5" t="n">
        <f aca="false">IF(D235=0,"",E235*162)</f>
        <v>-7.96521138406613</v>
      </c>
      <c r="L235" s="3" t="n">
        <f aca="false">SUMIFS(Seasons!$L$2:$L$2865,Seasons!$A$2:$A$2865,B235,Seasons!$B$2:$B$2865,"&gt;="&amp;$B$12,Seasons!$B$2:$B$2865,"&lt;="&amp;$C$12)</f>
        <v>0</v>
      </c>
      <c r="M235" s="3" t="n">
        <f aca="false">SUMIFS(Seasons!$N$2:$N$2865,Seasons!$A$2:$A$2865,B235,Seasons!$B$2:$B$2865,"&gt;="&amp;$B$12,Seasons!$B$2:$B$2865,"&lt;="&amp;$C$12)</f>
        <v>0</v>
      </c>
      <c r="N235" s="3" t="n">
        <f aca="false">IF(J235="",-1000000,J235+ROW()*0.000000001)</f>
        <v>-10.7970139800752</v>
      </c>
      <c r="O235" s="3" t="n">
        <f aca="false">IF(J235="","",SUMPRODUCT(($A$25:$A$534=A235)*($N$25:$N$534&gt;N235))+1)</f>
        <v>24</v>
      </c>
      <c r="P235" s="3" t="str">
        <f aca="false">A235&amp;"|"&amp;O235</f>
        <v>1970s|24</v>
      </c>
    </row>
    <row r="236" customFormat="false" ht="15" hidden="false" customHeight="true" outlineLevel="0" collapsed="false">
      <c r="A236" s="1" t="s">
        <v>16</v>
      </c>
      <c r="B236" s="7" t="s">
        <v>56</v>
      </c>
      <c r="C236" s="1" t="s">
        <v>55</v>
      </c>
      <c r="D236" s="3" t="n">
        <f aca="false">COUNTIFS(Market_Panel!$A$2:$A$2705,B236,Market_Panel!$B$2:$B$2705,"&gt;="&amp;$B$12,Market_Panel!$B$2:$B$2705,"&lt;="&amp;$C$12)</f>
        <v>10</v>
      </c>
      <c r="E236" s="10" t="n">
        <f aca="false">IF(D236=0,"",AVERAGEIFS(Market_Panel!$M$2:$M$2705,Market_Panel!$A$2:$A$2705,B236,Market_Panel!$B$2:$B$2705,"&gt;="&amp;$B$12,Market_Panel!$B$2:$B$2705,"&lt;="&amp;$C$12))</f>
        <v>-0.0127683368443237</v>
      </c>
      <c r="F236" s="11" t="n">
        <f aca="false">IF(D236=0,"",AVERAGEIFS(Market_Panel!$P$2:$P$2705,Market_Panel!$A$2:$A$2705,B236,Market_Panel!$B$2:$B$2705,"&gt;="&amp;$B$12,Market_Panel!$B$2:$B$2705,"&lt;="&amp;$C$12))</f>
        <v>0.574809857039935</v>
      </c>
      <c r="G236" s="11" t="n">
        <f aca="false">IF(D236=0,"",AVERAGEIFS(Market_Panel!$R$2:$R$2705,Market_Panel!$A$2:$A$2705,B236,Market_Panel!$B$2:$B$2705,"&gt;="&amp;$B$12,Market_Panel!$B$2:$B$2705,"&lt;="&amp;$C$12))</f>
        <v>0</v>
      </c>
      <c r="H236" s="11" t="n">
        <f aca="false">IF(OR(D236=0,$H$12=0),0,AVERAGEIFS(Market_Panel!$Y$2:$Y$2705,Market_Panel!$A$2:$A$2705,B236,Market_Panel!$B$2:$B$2705,"&gt;="&amp;$B$12,Market_Panel!$B$2:$B$2705,"&lt;="&amp;$C$12))</f>
        <v>0</v>
      </c>
      <c r="I236" s="10" t="n">
        <f aca="false">IF(D236=0,"",$I$12+$F$12*F236+$G$12*G236+$H$12*H236)</f>
        <v>0.00735590345485125</v>
      </c>
      <c r="J236" s="5" t="n">
        <f aca="false">IF(D236&lt;5,"",(E236-I236)*162)</f>
        <v>-3.26012692846633</v>
      </c>
      <c r="K236" s="5" t="n">
        <f aca="false">IF(D236=0,"",E236*162)</f>
        <v>-2.06847056878043</v>
      </c>
      <c r="L236" s="3" t="n">
        <f aca="false">SUMIFS(Seasons!$L$2:$L$2865,Seasons!$A$2:$A$2865,B236,Seasons!$B$2:$B$2865,"&gt;="&amp;$B$12,Seasons!$B$2:$B$2865,"&lt;="&amp;$C$12)</f>
        <v>0</v>
      </c>
      <c r="M236" s="3" t="n">
        <f aca="false">SUMIFS(Seasons!$N$2:$N$2865,Seasons!$A$2:$A$2865,B236,Seasons!$B$2:$B$2865,"&gt;="&amp;$B$12,Seasons!$B$2:$B$2865,"&lt;="&amp;$C$12)</f>
        <v>0</v>
      </c>
      <c r="N236" s="3" t="n">
        <f aca="false">IF(J236="",-1000000,J236+ROW()*0.000000001)</f>
        <v>-3.26012669246633</v>
      </c>
      <c r="O236" s="3" t="n">
        <f aca="false">IF(J236="","",SUMPRODUCT(($A$25:$A$534=A236)*($N$25:$N$534&gt;N236))+1)</f>
        <v>17</v>
      </c>
      <c r="P236" s="3" t="str">
        <f aca="false">A236&amp;"|"&amp;O236</f>
        <v>1970s|17</v>
      </c>
    </row>
    <row r="237" customFormat="false" ht="15" hidden="false" customHeight="true" outlineLevel="0" collapsed="false">
      <c r="A237" s="1" t="s">
        <v>16</v>
      </c>
      <c r="B237" s="7" t="s">
        <v>57</v>
      </c>
      <c r="C237" s="1" t="s">
        <v>55</v>
      </c>
      <c r="D237" s="3" t="n">
        <f aca="false">COUNTIFS(Market_Panel!$A$2:$A$2705,B237,Market_Panel!$B$2:$B$2705,"&gt;="&amp;$B$12,Market_Panel!$B$2:$B$2705,"&lt;="&amp;$C$12)</f>
        <v>10</v>
      </c>
      <c r="E237" s="10" t="n">
        <f aca="false">IF(D237=0,"",AVERAGEIFS(Market_Panel!$M$2:$M$2705,Market_Panel!$A$2:$A$2705,B237,Market_Panel!$B$2:$B$2705,"&gt;="&amp;$B$12,Market_Panel!$B$2:$B$2705,"&lt;="&amp;$C$12))</f>
        <v>0.0920147058536326</v>
      </c>
      <c r="F237" s="11" t="n">
        <f aca="false">IF(D237=0,"",AVERAGEIFS(Market_Panel!$P$2:$P$2705,Market_Panel!$A$2:$A$2705,B237,Market_Panel!$B$2:$B$2705,"&gt;="&amp;$B$12,Market_Panel!$B$2:$B$2705,"&lt;="&amp;$C$12))</f>
        <v>-0.759978584423959</v>
      </c>
      <c r="G237" s="11" t="n">
        <f aca="false">IF(D237=0,"",AVERAGEIFS(Market_Panel!$R$2:$R$2705,Market_Panel!$A$2:$A$2705,B237,Market_Panel!$B$2:$B$2705,"&gt;="&amp;$B$12,Market_Panel!$B$2:$B$2705,"&lt;="&amp;$C$12))</f>
        <v>0</v>
      </c>
      <c r="H237" s="11" t="n">
        <f aca="false">IF(OR(D237=0,$H$12=0),0,AVERAGEIFS(Market_Panel!$Y$2:$Y$2705,Market_Panel!$A$2:$A$2705,B237,Market_Panel!$B$2:$B$2705,"&gt;="&amp;$B$12,Market_Panel!$B$2:$B$2705,"&lt;="&amp;$C$12))</f>
        <v>0</v>
      </c>
      <c r="I237" s="10" t="n">
        <f aca="false">IF(D237=0,"",$I$12+$F$12*F237+$G$12*G237+$H$12*H237)</f>
        <v>0.0182415925147504</v>
      </c>
      <c r="J237" s="5" t="n">
        <f aca="false">IF(D237&lt;5,"",(E237-I237)*162)</f>
        <v>11.9512443608989</v>
      </c>
      <c r="K237" s="5" t="n">
        <f aca="false">IF(D237=0,"",E237*162)</f>
        <v>14.9063823482885</v>
      </c>
      <c r="L237" s="3" t="n">
        <f aca="false">SUMIFS(Seasons!$L$2:$L$2865,Seasons!$A$2:$A$2865,B237,Seasons!$B$2:$B$2865,"&gt;="&amp;$B$12,Seasons!$B$2:$B$2865,"&lt;="&amp;$C$12)</f>
        <v>6</v>
      </c>
      <c r="M237" s="3" t="n">
        <f aca="false">SUMIFS(Seasons!$N$2:$N$2865,Seasons!$A$2:$A$2865,B237,Seasons!$B$2:$B$2865,"&gt;="&amp;$B$12,Seasons!$B$2:$B$2865,"&lt;="&amp;$C$12)</f>
        <v>2</v>
      </c>
      <c r="N237" s="3" t="n">
        <f aca="false">IF(J237="",-1000000,J237+ROW()*0.000000001)</f>
        <v>11.9512445978989</v>
      </c>
      <c r="O237" s="3" t="n">
        <f aca="false">IF(J237="","",SUMPRODUCT(($A$25:$A$534=A237)*($N$25:$N$534&gt;N237))+1)</f>
        <v>2</v>
      </c>
      <c r="P237" s="3" t="str">
        <f aca="false">A237&amp;"|"&amp;O237</f>
        <v>1970s|2</v>
      </c>
    </row>
    <row r="238" customFormat="false" ht="15" hidden="false" customHeight="true" outlineLevel="0" collapsed="false">
      <c r="A238" s="1" t="s">
        <v>16</v>
      </c>
      <c r="B238" s="7" t="s">
        <v>58</v>
      </c>
      <c r="C238" s="1" t="s">
        <v>55</v>
      </c>
      <c r="D238" s="3" t="n">
        <f aca="false">COUNTIFS(Market_Panel!$A$2:$A$2705,B238,Market_Panel!$B$2:$B$2705,"&gt;="&amp;$B$12,Market_Panel!$B$2:$B$2705,"&lt;="&amp;$C$12)</f>
        <v>10</v>
      </c>
      <c r="E238" s="10" t="n">
        <f aca="false">IF(D238=0,"",AVERAGEIFS(Market_Panel!$M$2:$M$2705,Market_Panel!$A$2:$A$2705,B238,Market_Panel!$B$2:$B$2705,"&gt;="&amp;$B$12,Market_Panel!$B$2:$B$2705,"&lt;="&amp;$C$12))</f>
        <v>0.0687974197892217</v>
      </c>
      <c r="F238" s="11" t="n">
        <f aca="false">IF(D238=0,"",AVERAGEIFS(Market_Panel!$P$2:$P$2705,Market_Panel!$A$2:$A$2705,B238,Market_Panel!$B$2:$B$2705,"&gt;="&amp;$B$12,Market_Panel!$B$2:$B$2705,"&lt;="&amp;$C$12))</f>
        <v>-0.64059525127095</v>
      </c>
      <c r="G238" s="11" t="n">
        <f aca="false">IF(D238=0,"",AVERAGEIFS(Market_Panel!$R$2:$R$2705,Market_Panel!$A$2:$A$2705,B238,Market_Panel!$B$2:$B$2705,"&gt;="&amp;$B$12,Market_Panel!$B$2:$B$2705,"&lt;="&amp;$C$12))</f>
        <v>0</v>
      </c>
      <c r="H238" s="11" t="n">
        <f aca="false">IF(OR(D238=0,$H$12=0),0,AVERAGEIFS(Market_Panel!$Y$2:$Y$2705,Market_Panel!$A$2:$A$2705,B238,Market_Panel!$B$2:$B$2705,"&gt;="&amp;$B$12,Market_Panel!$B$2:$B$2705,"&lt;="&amp;$C$12))</f>
        <v>0</v>
      </c>
      <c r="I238" s="10" t="n">
        <f aca="false">IF(D238=0,"",$I$12+$F$12*F238+$G$12*G238+$H$12*H238)</f>
        <v>0.0172679776681813</v>
      </c>
      <c r="J238" s="5" t="n">
        <f aca="false">IF(D238&lt;5,"",(E238-I238)*162)</f>
        <v>8.34776962360853</v>
      </c>
      <c r="K238" s="5" t="n">
        <f aca="false">IF(D238=0,"",E238*162)</f>
        <v>11.1451820058539</v>
      </c>
      <c r="L238" s="3" t="n">
        <f aca="false">SUMIFS(Seasons!$L$2:$L$2865,Seasons!$A$2:$A$2865,B238,Seasons!$B$2:$B$2865,"&gt;="&amp;$B$12,Seasons!$B$2:$B$2865,"&lt;="&amp;$C$12)</f>
        <v>6</v>
      </c>
      <c r="M238" s="3" t="n">
        <f aca="false">SUMIFS(Seasons!$N$2:$N$2865,Seasons!$A$2:$A$2865,B238,Seasons!$B$2:$B$2865,"&gt;="&amp;$B$12,Seasons!$B$2:$B$2865,"&lt;="&amp;$C$12)</f>
        <v>2</v>
      </c>
      <c r="N238" s="3" t="n">
        <f aca="false">IF(J238="",-1000000,J238+ROW()*0.000000001)</f>
        <v>8.34776986160853</v>
      </c>
      <c r="O238" s="3" t="n">
        <f aca="false">IF(J238="","",SUMPRODUCT(($A$25:$A$534=A238)*($N$25:$N$534&gt;N238))+1)</f>
        <v>6</v>
      </c>
      <c r="P238" s="3" t="str">
        <f aca="false">A238&amp;"|"&amp;O238</f>
        <v>1970s|6</v>
      </c>
    </row>
    <row r="239" customFormat="false" ht="15" hidden="false" customHeight="true" outlineLevel="0" collapsed="false">
      <c r="A239" s="1" t="s">
        <v>16</v>
      </c>
      <c r="B239" s="7" t="s">
        <v>59</v>
      </c>
      <c r="C239" s="1" t="s">
        <v>55</v>
      </c>
      <c r="D239" s="3" t="n">
        <f aca="false">COUNTIFS(Market_Panel!$A$2:$A$2705,B239,Market_Panel!$B$2:$B$2705,"&gt;="&amp;$B$12,Market_Panel!$B$2:$B$2705,"&lt;="&amp;$C$12)</f>
        <v>10</v>
      </c>
      <c r="E239" s="10" t="n">
        <f aca="false">IF(D239=0,"",AVERAGEIFS(Market_Panel!$M$2:$M$2705,Market_Panel!$A$2:$A$2705,B239,Market_Panel!$B$2:$B$2705,"&gt;="&amp;$B$12,Market_Panel!$B$2:$B$2705,"&lt;="&amp;$C$12))</f>
        <v>-0.00406351812314213</v>
      </c>
      <c r="F239" s="11" t="n">
        <f aca="false">IF(D239=0,"",AVERAGEIFS(Market_Panel!$P$2:$P$2705,Market_Panel!$A$2:$A$2705,B239,Market_Panel!$B$2:$B$2705,"&gt;="&amp;$B$12,Market_Panel!$B$2:$B$2705,"&lt;="&amp;$C$12))</f>
        <v>-0.511362973114743</v>
      </c>
      <c r="G239" s="11" t="n">
        <f aca="false">IF(D239=0,"",AVERAGEIFS(Market_Panel!$R$2:$R$2705,Market_Panel!$A$2:$A$2705,B239,Market_Panel!$B$2:$B$2705,"&gt;="&amp;$B$12,Market_Panel!$B$2:$B$2705,"&lt;="&amp;$C$12))</f>
        <v>0</v>
      </c>
      <c r="H239" s="11" t="n">
        <f aca="false">IF(OR(D239=0,$H$12=0),0,AVERAGEIFS(Market_Panel!$Y$2:$Y$2705,Market_Panel!$A$2:$A$2705,B239,Market_Panel!$B$2:$B$2705,"&gt;="&amp;$B$12,Market_Panel!$B$2:$B$2705,"&lt;="&amp;$C$12))</f>
        <v>0</v>
      </c>
      <c r="I239" s="10" t="n">
        <f aca="false">IF(D239=0,"",$I$12+$F$12*F239+$G$12*G239+$H$12*H239)</f>
        <v>0.0162140410645889</v>
      </c>
      <c r="J239" s="5" t="n">
        <f aca="false">IF(D239&lt;5,"",(E239-I239)*162)</f>
        <v>-3.28496458841243</v>
      </c>
      <c r="K239" s="5" t="n">
        <f aca="false">IF(D239=0,"",E239*162)</f>
        <v>-0.658289935949025</v>
      </c>
      <c r="L239" s="3" t="n">
        <f aca="false">SUMIFS(Seasons!$L$2:$L$2865,Seasons!$A$2:$A$2865,B239,Seasons!$B$2:$B$2865,"&gt;="&amp;$B$12,Seasons!$B$2:$B$2865,"&lt;="&amp;$C$12)</f>
        <v>0</v>
      </c>
      <c r="M239" s="3" t="n">
        <f aca="false">SUMIFS(Seasons!$N$2:$N$2865,Seasons!$A$2:$A$2865,B239,Seasons!$B$2:$B$2865,"&gt;="&amp;$B$12,Seasons!$B$2:$B$2865,"&lt;="&amp;$C$12)</f>
        <v>0</v>
      </c>
      <c r="N239" s="3" t="n">
        <f aca="false">IF(J239="",-1000000,J239+ROW()*0.000000001)</f>
        <v>-3.28496434941243</v>
      </c>
      <c r="O239" s="3" t="n">
        <f aca="false">IF(J239="","",SUMPRODUCT(($A$25:$A$534=A239)*($N$25:$N$534&gt;N239))+1)</f>
        <v>18</v>
      </c>
      <c r="P239" s="3" t="str">
        <f aca="false">A239&amp;"|"&amp;O239</f>
        <v>1970s|18</v>
      </c>
    </row>
    <row r="240" customFormat="false" ht="15" hidden="false" customHeight="true" outlineLevel="0" collapsed="false">
      <c r="A240" s="1" t="s">
        <v>16</v>
      </c>
      <c r="B240" s="7" t="s">
        <v>60</v>
      </c>
      <c r="C240" s="1" t="s">
        <v>55</v>
      </c>
      <c r="D240" s="3" t="n">
        <f aca="false">COUNTIFS(Market_Panel!$A$2:$A$2705,B240,Market_Panel!$B$2:$B$2705,"&gt;="&amp;$B$12,Market_Panel!$B$2:$B$2705,"&lt;="&amp;$C$12)</f>
        <v>10</v>
      </c>
      <c r="E240" s="10" t="n">
        <f aca="false">IF(D240=0,"",AVERAGEIFS(Market_Panel!$M$2:$M$2705,Market_Panel!$A$2:$A$2705,B240,Market_Panel!$B$2:$B$2705,"&gt;="&amp;$B$12,Market_Panel!$B$2:$B$2705,"&lt;="&amp;$C$12))</f>
        <v>0.00291417943426556</v>
      </c>
      <c r="F240" s="11" t="n">
        <f aca="false">IF(D240=0,"",AVERAGEIFS(Market_Panel!$P$2:$P$2705,Market_Panel!$A$2:$A$2705,B240,Market_Panel!$B$2:$B$2705,"&gt;="&amp;$B$12,Market_Panel!$B$2:$B$2705,"&lt;="&amp;$C$12))</f>
        <v>0.70768083690123</v>
      </c>
      <c r="G240" s="11" t="n">
        <f aca="false">IF(D240=0,"",AVERAGEIFS(Market_Panel!$R$2:$R$2705,Market_Panel!$A$2:$A$2705,B240,Market_Panel!$B$2:$B$2705,"&gt;="&amp;$B$12,Market_Panel!$B$2:$B$2705,"&lt;="&amp;$C$12))</f>
        <v>0</v>
      </c>
      <c r="H240" s="11" t="n">
        <f aca="false">IF(OR(D240=0,$H$12=0),0,AVERAGEIFS(Market_Panel!$Y$2:$Y$2705,Market_Panel!$A$2:$A$2705,B240,Market_Panel!$B$2:$B$2705,"&gt;="&amp;$B$12,Market_Panel!$B$2:$B$2705,"&lt;="&amp;$C$12))</f>
        <v>0</v>
      </c>
      <c r="I240" s="10" t="n">
        <f aca="false">IF(D240=0,"",$I$12+$F$12*F240+$G$12*G240+$H$12*H240)</f>
        <v>0.00627229190494309</v>
      </c>
      <c r="J240" s="5" t="n">
        <f aca="false">IF(D240&lt;5,"",(E240-I240)*162)</f>
        <v>-0.54401422024976</v>
      </c>
      <c r="K240" s="5" t="n">
        <f aca="false">IF(D240=0,"",E240*162)</f>
        <v>0.472097068351021</v>
      </c>
      <c r="L240" s="3" t="n">
        <f aca="false">SUMIFS(Seasons!$L$2:$L$2865,Seasons!$A$2:$A$2865,B240,Seasons!$B$2:$B$2865,"&gt;="&amp;$B$12,Seasons!$B$2:$B$2865,"&lt;="&amp;$C$12)</f>
        <v>3</v>
      </c>
      <c r="M240" s="3" t="n">
        <f aca="false">SUMIFS(Seasons!$N$2:$N$2865,Seasons!$A$2:$A$2865,B240,Seasons!$B$2:$B$2865,"&gt;="&amp;$B$12,Seasons!$B$2:$B$2865,"&lt;="&amp;$C$12)</f>
        <v>0</v>
      </c>
      <c r="N240" s="3" t="n">
        <f aca="false">IF(J240="",-1000000,J240+ROW()*0.000000001)</f>
        <v>-0.54401398024976</v>
      </c>
      <c r="O240" s="3" t="n">
        <f aca="false">IF(J240="","",SUMPRODUCT(($A$25:$A$534=A240)*($N$25:$N$534&gt;N240))+1)</f>
        <v>11</v>
      </c>
      <c r="P240" s="3" t="str">
        <f aca="false">A240&amp;"|"&amp;O240</f>
        <v>1970s|11</v>
      </c>
    </row>
    <row r="241" customFormat="false" ht="15" hidden="false" customHeight="true" outlineLevel="0" collapsed="false">
      <c r="A241" s="1" t="s">
        <v>16</v>
      </c>
      <c r="B241" s="7" t="s">
        <v>61</v>
      </c>
      <c r="C241" s="1" t="s">
        <v>55</v>
      </c>
      <c r="D241" s="3" t="n">
        <f aca="false">COUNTIFS(Market_Panel!$A$2:$A$2705,B241,Market_Panel!$B$2:$B$2705,"&gt;="&amp;$B$12,Market_Panel!$B$2:$B$2705,"&lt;="&amp;$C$12)</f>
        <v>10</v>
      </c>
      <c r="E241" s="10" t="n">
        <f aca="false">IF(D241=0,"",AVERAGEIFS(Market_Panel!$M$2:$M$2705,Market_Panel!$A$2:$A$2705,B241,Market_Panel!$B$2:$B$2705,"&gt;="&amp;$B$12,Market_Panel!$B$2:$B$2705,"&lt;="&amp;$C$12))</f>
        <v>-0.00764731653863761</v>
      </c>
      <c r="F241" s="11" t="n">
        <f aca="false">IF(D241=0,"",AVERAGEIFS(Market_Panel!$P$2:$P$2705,Market_Panel!$A$2:$A$2705,B241,Market_Panel!$B$2:$B$2705,"&gt;="&amp;$B$12,Market_Panel!$B$2:$B$2705,"&lt;="&amp;$C$12))</f>
        <v>-0.253103190216853</v>
      </c>
      <c r="G241" s="11" t="n">
        <f aca="false">IF(D241=0,"",AVERAGEIFS(Market_Panel!$R$2:$R$2705,Market_Panel!$A$2:$A$2705,B241,Market_Panel!$B$2:$B$2705,"&gt;="&amp;$B$12,Market_Panel!$B$2:$B$2705,"&lt;="&amp;$C$12))</f>
        <v>0</v>
      </c>
      <c r="H241" s="11" t="n">
        <f aca="false">IF(OR(D241=0,$H$12=0),0,AVERAGEIFS(Market_Panel!$Y$2:$Y$2705,Market_Panel!$A$2:$A$2705,B241,Market_Panel!$B$2:$B$2705,"&gt;="&amp;$B$12,Market_Panel!$B$2:$B$2705,"&lt;="&amp;$C$12))</f>
        <v>0</v>
      </c>
      <c r="I241" s="10" t="n">
        <f aca="false">IF(D241=0,"",$I$12+$F$12*F241+$G$12*G241+$H$12*H241)</f>
        <v>0.0141078378596674</v>
      </c>
      <c r="J241" s="5" t="n">
        <f aca="false">IF(D241&lt;5,"",(E241-I241)*162)</f>
        <v>-3.52433501252541</v>
      </c>
      <c r="K241" s="5" t="n">
        <f aca="false">IF(D241=0,"",E241*162)</f>
        <v>-1.23886527925929</v>
      </c>
      <c r="L241" s="3" t="n">
        <f aca="false">SUMIFS(Seasons!$L$2:$L$2865,Seasons!$A$2:$A$2865,B241,Seasons!$B$2:$B$2865,"&gt;="&amp;$B$12,Seasons!$B$2:$B$2865,"&lt;="&amp;$C$12)</f>
        <v>1</v>
      </c>
      <c r="M241" s="3" t="n">
        <f aca="false">SUMIFS(Seasons!$N$2:$N$2865,Seasons!$A$2:$A$2865,B241,Seasons!$B$2:$B$2865,"&gt;="&amp;$B$12,Seasons!$B$2:$B$2865,"&lt;="&amp;$C$12)</f>
        <v>0</v>
      </c>
      <c r="N241" s="3" t="n">
        <f aca="false">IF(J241="",-1000000,J241+ROW()*0.000000001)</f>
        <v>-3.52433477152541</v>
      </c>
      <c r="O241" s="3" t="n">
        <f aca="false">IF(J241="","",SUMPRODUCT(($A$25:$A$534=A241)*($N$25:$N$534&gt;N241))+1)</f>
        <v>19</v>
      </c>
      <c r="P241" s="3" t="str">
        <f aca="false">A241&amp;"|"&amp;O241</f>
        <v>1970s|19</v>
      </c>
    </row>
    <row r="242" customFormat="false" ht="15" hidden="false" customHeight="true" outlineLevel="0" collapsed="false">
      <c r="A242" s="1" t="s">
        <v>16</v>
      </c>
      <c r="B242" s="7" t="s">
        <v>62</v>
      </c>
      <c r="C242" s="1" t="s">
        <v>55</v>
      </c>
      <c r="D242" s="3" t="n">
        <f aca="false">COUNTIFS(Market_Panel!$A$2:$A$2705,B242,Market_Panel!$B$2:$B$2705,"&gt;="&amp;$B$12,Market_Panel!$B$2:$B$2705,"&lt;="&amp;$C$12)</f>
        <v>10</v>
      </c>
      <c r="E242" s="10" t="n">
        <f aca="false">IF(D242=0,"",AVERAGEIFS(Market_Panel!$M$2:$M$2705,Market_Panel!$A$2:$A$2705,B242,Market_Panel!$B$2:$B$2705,"&gt;="&amp;$B$12,Market_Panel!$B$2:$B$2705,"&lt;="&amp;$C$12))</f>
        <v>0.0647947334723699</v>
      </c>
      <c r="F242" s="11" t="n">
        <f aca="false">IF(D242=0,"",AVERAGEIFS(Market_Panel!$P$2:$P$2705,Market_Panel!$A$2:$A$2705,B242,Market_Panel!$B$2:$B$2705,"&gt;="&amp;$B$12,Market_Panel!$B$2:$B$2705,"&lt;="&amp;$C$12))</f>
        <v>0.470780874305562</v>
      </c>
      <c r="G242" s="11" t="n">
        <f aca="false">IF(D242=0,"",AVERAGEIFS(Market_Panel!$R$2:$R$2705,Market_Panel!$A$2:$A$2705,B242,Market_Panel!$B$2:$B$2705,"&gt;="&amp;$B$12,Market_Panel!$B$2:$B$2705,"&lt;="&amp;$C$12))</f>
        <v>0</v>
      </c>
      <c r="H242" s="11" t="n">
        <f aca="false">IF(OR(D242=0,$H$12=0),0,AVERAGEIFS(Market_Panel!$Y$2:$Y$2705,Market_Panel!$A$2:$A$2705,B242,Market_Panel!$B$2:$B$2705,"&gt;="&amp;$B$12,Market_Panel!$B$2:$B$2705,"&lt;="&amp;$C$12))</f>
        <v>0</v>
      </c>
      <c r="I242" s="10" t="n">
        <f aca="false">IF(D242=0,"",$I$12+$F$12*F242+$G$12*G242+$H$12*H242)</f>
        <v>0.00820429794500884</v>
      </c>
      <c r="J242" s="5" t="n">
        <f aca="false">IF(D242&lt;5,"",(E242-I242)*162)</f>
        <v>9.16765055543249</v>
      </c>
      <c r="K242" s="5" t="n">
        <f aca="false">IF(D242=0,"",E242*162)</f>
        <v>10.4967468225239</v>
      </c>
      <c r="L242" s="3" t="n">
        <f aca="false">SUMIFS(Seasons!$L$2:$L$2865,Seasons!$A$2:$A$2865,B242,Seasons!$B$2:$B$2865,"&gt;="&amp;$B$12,Seasons!$B$2:$B$2865,"&lt;="&amp;$C$12)</f>
        <v>3</v>
      </c>
      <c r="M242" s="3" t="n">
        <f aca="false">SUMIFS(Seasons!$N$2:$N$2865,Seasons!$A$2:$A$2865,B242,Seasons!$B$2:$B$2865,"&gt;="&amp;$B$12,Seasons!$B$2:$B$2865,"&lt;="&amp;$C$12)</f>
        <v>0</v>
      </c>
      <c r="N242" s="3" t="n">
        <f aca="false">IF(J242="",-1000000,J242+ROW()*0.000000001)</f>
        <v>9.16765079743249</v>
      </c>
      <c r="O242" s="3" t="n">
        <f aca="false">IF(J242="","",SUMPRODUCT(($A$25:$A$534=A242)*($N$25:$N$534&gt;N242))+1)</f>
        <v>4</v>
      </c>
      <c r="P242" s="3" t="str">
        <f aca="false">A242&amp;"|"&amp;O242</f>
        <v>1970s|4</v>
      </c>
    </row>
    <row r="243" customFormat="false" ht="15" hidden="false" customHeight="true" outlineLevel="0" collapsed="false">
      <c r="A243" s="1" t="s">
        <v>16</v>
      </c>
      <c r="B243" s="7" t="s">
        <v>63</v>
      </c>
      <c r="C243" s="1" t="s">
        <v>55</v>
      </c>
      <c r="D243" s="3" t="n">
        <f aca="false">COUNTIFS(Market_Panel!$A$2:$A$2705,B243,Market_Panel!$B$2:$B$2705,"&gt;="&amp;$B$12,Market_Panel!$B$2:$B$2705,"&lt;="&amp;$C$12)</f>
        <v>10</v>
      </c>
      <c r="E243" s="10" t="n">
        <f aca="false">IF(D243=0,"",AVERAGEIFS(Market_Panel!$M$2:$M$2705,Market_Panel!$A$2:$A$2705,B243,Market_Panel!$B$2:$B$2705,"&gt;="&amp;$B$12,Market_Panel!$B$2:$B$2705,"&lt;="&amp;$C$12))</f>
        <v>0.0898118902092812</v>
      </c>
      <c r="F243" s="11" t="n">
        <f aca="false">IF(D243=0,"",AVERAGEIFS(Market_Panel!$P$2:$P$2705,Market_Panel!$A$2:$A$2705,B243,Market_Panel!$B$2:$B$2705,"&gt;="&amp;$B$12,Market_Panel!$B$2:$B$2705,"&lt;="&amp;$C$12))</f>
        <v>-0.0572397451598761</v>
      </c>
      <c r="G243" s="11" t="n">
        <f aca="false">IF(D243=0,"",AVERAGEIFS(Market_Panel!$R$2:$R$2705,Market_Panel!$A$2:$A$2705,B243,Market_Panel!$B$2:$B$2705,"&gt;="&amp;$B$12,Market_Panel!$B$2:$B$2705,"&lt;="&amp;$C$12))</f>
        <v>0</v>
      </c>
      <c r="H243" s="11" t="n">
        <f aca="false">IF(OR(D243=0,$H$12=0),0,AVERAGEIFS(Market_Panel!$Y$2:$Y$2705,Market_Panel!$A$2:$A$2705,B243,Market_Panel!$B$2:$B$2705,"&gt;="&amp;$B$12,Market_Panel!$B$2:$B$2705,"&lt;="&amp;$C$12))</f>
        <v>0</v>
      </c>
      <c r="I243" s="10" t="n">
        <f aca="false">IF(D243=0,"",$I$12+$F$12*F243+$G$12*G243+$H$12*H243)</f>
        <v>0.0125104996636964</v>
      </c>
      <c r="J243" s="5" t="n">
        <f aca="false">IF(D243&lt;5,"",(E243-I243)*162)</f>
        <v>12.5228252683847</v>
      </c>
      <c r="K243" s="5" t="n">
        <f aca="false">IF(D243=0,"",E243*162)</f>
        <v>14.5495262139035</v>
      </c>
      <c r="L243" s="3" t="n">
        <f aca="false">SUMIFS(Seasons!$L$2:$L$2865,Seasons!$A$2:$A$2865,B243,Seasons!$B$2:$B$2865,"&gt;="&amp;$B$12,Seasons!$B$2:$B$2865,"&lt;="&amp;$C$12)</f>
        <v>5</v>
      </c>
      <c r="M243" s="3" t="n">
        <f aca="false">SUMIFS(Seasons!$N$2:$N$2865,Seasons!$A$2:$A$2865,B243,Seasons!$B$2:$B$2865,"&gt;="&amp;$B$12,Seasons!$B$2:$B$2865,"&lt;="&amp;$C$12)</f>
        <v>1</v>
      </c>
      <c r="N243" s="3" t="n">
        <f aca="false">IF(J243="",-1000000,J243+ROW()*0.000000001)</f>
        <v>12.5228255113847</v>
      </c>
      <c r="O243" s="3" t="n">
        <f aca="false">IF(J243="","",SUMPRODUCT(($A$25:$A$534=A243)*($N$25:$N$534&gt;N243))+1)</f>
        <v>1</v>
      </c>
      <c r="P243" s="3" t="str">
        <f aca="false">A243&amp;"|"&amp;O243</f>
        <v>1970s|1</v>
      </c>
    </row>
    <row r="244" customFormat="false" ht="15" hidden="false" customHeight="true" outlineLevel="0" collapsed="false">
      <c r="A244" s="1" t="s">
        <v>16</v>
      </c>
      <c r="B244" s="7" t="s">
        <v>64</v>
      </c>
      <c r="C244" s="1" t="s">
        <v>55</v>
      </c>
      <c r="D244" s="3" t="n">
        <f aca="false">COUNTIFS(Market_Panel!$A$2:$A$2705,B244,Market_Panel!$B$2:$B$2705,"&gt;="&amp;$B$12,Market_Panel!$B$2:$B$2705,"&lt;="&amp;$C$12)</f>
        <v>10</v>
      </c>
      <c r="E244" s="10" t="n">
        <f aca="false">IF(D244=0,"",AVERAGEIFS(Market_Panel!$M$2:$M$2705,Market_Panel!$A$2:$A$2705,B244,Market_Panel!$B$2:$B$2705,"&gt;="&amp;$B$12,Market_Panel!$B$2:$B$2705,"&lt;="&amp;$C$12))</f>
        <v>0.0562698493527716</v>
      </c>
      <c r="F244" s="11" t="n">
        <f aca="false">IF(D244=0,"",AVERAGEIFS(Market_Panel!$P$2:$P$2705,Market_Panel!$A$2:$A$2705,B244,Market_Panel!$B$2:$B$2705,"&gt;="&amp;$B$12,Market_Panel!$B$2:$B$2705,"&lt;="&amp;$C$12))</f>
        <v>-0.397940926604096</v>
      </c>
      <c r="G244" s="11" t="n">
        <f aca="false">IF(D244=0,"",AVERAGEIFS(Market_Panel!$R$2:$R$2705,Market_Panel!$A$2:$A$2705,B244,Market_Panel!$B$2:$B$2705,"&gt;="&amp;$B$12,Market_Panel!$B$2:$B$2705,"&lt;="&amp;$C$12))</f>
        <v>0</v>
      </c>
      <c r="H244" s="11" t="n">
        <f aca="false">IF(OR(D244=0,$H$12=0),0,AVERAGEIFS(Market_Panel!$Y$2:$Y$2705,Market_Panel!$A$2:$A$2705,B244,Market_Panel!$B$2:$B$2705,"&gt;="&amp;$B$12,Market_Panel!$B$2:$B$2705,"&lt;="&amp;$C$12))</f>
        <v>0</v>
      </c>
      <c r="I244" s="10" t="n">
        <f aca="false">IF(D244=0,"",$I$12+$F$12*F244+$G$12*G244+$H$12*H244)</f>
        <v>0.0152890426959349</v>
      </c>
      <c r="J244" s="5" t="n">
        <f aca="false">IF(D244&lt;5,"",(E244-I244)*162)</f>
        <v>6.63889067840754</v>
      </c>
      <c r="K244" s="5" t="n">
        <f aca="false">IF(D244=0,"",E244*162)</f>
        <v>9.115715595149</v>
      </c>
      <c r="L244" s="3" t="n">
        <f aca="false">SUMIFS(Seasons!$L$2:$L$2865,Seasons!$A$2:$A$2865,B244,Seasons!$B$2:$B$2865,"&gt;="&amp;$B$12,Seasons!$B$2:$B$2865,"&lt;="&amp;$C$12)</f>
        <v>1</v>
      </c>
      <c r="M244" s="3" t="n">
        <f aca="false">SUMIFS(Seasons!$N$2:$N$2865,Seasons!$A$2:$A$2865,B244,Seasons!$B$2:$B$2865,"&gt;="&amp;$B$12,Seasons!$B$2:$B$2865,"&lt;="&amp;$C$12)</f>
        <v>0</v>
      </c>
      <c r="N244" s="3" t="n">
        <f aca="false">IF(J244="",-1000000,J244+ROW()*0.000000001)</f>
        <v>6.63889092240754</v>
      </c>
      <c r="O244" s="3" t="n">
        <f aca="false">IF(J244="","",SUMPRODUCT(($A$25:$A$534=A244)*($N$25:$N$534&gt;N244))+1)</f>
        <v>7</v>
      </c>
      <c r="P244" s="3" t="str">
        <f aca="false">A244&amp;"|"&amp;O244</f>
        <v>1970s|7</v>
      </c>
    </row>
    <row r="245" customFormat="false" ht="15" hidden="false" customHeight="true" outlineLevel="0" collapsed="false">
      <c r="A245" s="1" t="s">
        <v>16</v>
      </c>
      <c r="B245" s="7" t="s">
        <v>65</v>
      </c>
      <c r="C245" s="1" t="s">
        <v>55</v>
      </c>
      <c r="D245" s="3" t="n">
        <f aca="false">COUNTIFS(Market_Panel!$A$2:$A$2705,B245,Market_Panel!$B$2:$B$2705,"&gt;="&amp;$B$12,Market_Panel!$B$2:$B$2705,"&lt;="&amp;$C$12)</f>
        <v>10</v>
      </c>
      <c r="E245" s="10" t="n">
        <f aca="false">IF(D245=0,"",AVERAGEIFS(Market_Panel!$M$2:$M$2705,Market_Panel!$A$2:$A$2705,B245,Market_Panel!$B$2:$B$2705,"&gt;="&amp;$B$12,Market_Panel!$B$2:$B$2705,"&lt;="&amp;$C$12))</f>
        <v>-0.0310279925242107</v>
      </c>
      <c r="F245" s="11" t="n">
        <f aca="false">IF(D245=0,"",AVERAGEIFS(Market_Panel!$P$2:$P$2705,Market_Panel!$A$2:$A$2705,B245,Market_Panel!$B$2:$B$2705,"&gt;="&amp;$B$12,Market_Panel!$B$2:$B$2705,"&lt;="&amp;$C$12))</f>
        <v>0.574809857039935</v>
      </c>
      <c r="G245" s="11" t="n">
        <f aca="false">IF(D245=0,"",AVERAGEIFS(Market_Panel!$R$2:$R$2705,Market_Panel!$A$2:$A$2705,B245,Market_Panel!$B$2:$B$2705,"&gt;="&amp;$B$12,Market_Panel!$B$2:$B$2705,"&lt;="&amp;$C$12))</f>
        <v>0</v>
      </c>
      <c r="H245" s="11" t="n">
        <f aca="false">IF(OR(D245=0,$H$12=0),0,AVERAGEIFS(Market_Panel!$Y$2:$Y$2705,Market_Panel!$A$2:$A$2705,B245,Market_Panel!$B$2:$B$2705,"&gt;="&amp;$B$12,Market_Panel!$B$2:$B$2705,"&lt;="&amp;$C$12))</f>
        <v>0</v>
      </c>
      <c r="I245" s="10" t="n">
        <f aca="false">IF(D245=0,"",$I$12+$F$12*F245+$G$12*G245+$H$12*H245)</f>
        <v>0.00735590345485125</v>
      </c>
      <c r="J245" s="5" t="n">
        <f aca="false">IF(D245&lt;5,"",(E245-I245)*162)</f>
        <v>-6.21819114860804</v>
      </c>
      <c r="K245" s="5" t="n">
        <f aca="false">IF(D245=0,"",E245*162)</f>
        <v>-5.02653478892214</v>
      </c>
      <c r="L245" s="3" t="n">
        <f aca="false">SUMIFS(Seasons!$L$2:$L$2865,Seasons!$A$2:$A$2865,B245,Seasons!$B$2:$B$2865,"&gt;="&amp;$B$12,Seasons!$B$2:$B$2865,"&lt;="&amp;$C$12)</f>
        <v>0</v>
      </c>
      <c r="M245" s="3" t="n">
        <f aca="false">SUMIFS(Seasons!$N$2:$N$2865,Seasons!$A$2:$A$2865,B245,Seasons!$B$2:$B$2865,"&gt;="&amp;$B$12,Seasons!$B$2:$B$2865,"&lt;="&amp;$C$12)</f>
        <v>0</v>
      </c>
      <c r="N245" s="3" t="n">
        <f aca="false">IF(J245="",-1000000,J245+ROW()*0.000000001)</f>
        <v>-6.21819090360804</v>
      </c>
      <c r="O245" s="3" t="n">
        <f aca="false">IF(J245="","",SUMPRODUCT(($A$25:$A$534=A245)*($N$25:$N$534&gt;N245))+1)</f>
        <v>20</v>
      </c>
      <c r="P245" s="3" t="str">
        <f aca="false">A245&amp;"|"&amp;O245</f>
        <v>1970s|20</v>
      </c>
    </row>
    <row r="246" customFormat="false" ht="15" hidden="false" customHeight="true" outlineLevel="0" collapsed="false">
      <c r="A246" s="1" t="s">
        <v>16</v>
      </c>
      <c r="B246" s="7" t="s">
        <v>66</v>
      </c>
      <c r="C246" s="1" t="s">
        <v>55</v>
      </c>
      <c r="D246" s="3" t="n">
        <f aca="false">COUNTIFS(Market_Panel!$A$2:$A$2705,B246,Market_Panel!$B$2:$B$2705,"&gt;="&amp;$B$12,Market_Panel!$B$2:$B$2705,"&lt;="&amp;$C$12)</f>
        <v>10</v>
      </c>
      <c r="E246" s="10" t="n">
        <f aca="false">IF(D246=0,"",AVERAGEIFS(Market_Panel!$M$2:$M$2705,Market_Panel!$A$2:$A$2705,B246,Market_Panel!$B$2:$B$2705,"&gt;="&amp;$B$12,Market_Panel!$B$2:$B$2705,"&lt;="&amp;$C$12))</f>
        <v>-0.0401034514627747</v>
      </c>
      <c r="F246" s="11" t="n">
        <f aca="false">IF(D246=0,"",AVERAGEIFS(Market_Panel!$P$2:$P$2705,Market_Panel!$A$2:$A$2705,B246,Market_Panel!$B$2:$B$2705,"&gt;="&amp;$B$12,Market_Panel!$B$2:$B$2705,"&lt;="&amp;$C$12))</f>
        <v>-0.302393356942902</v>
      </c>
      <c r="G246" s="11" t="n">
        <f aca="false">IF(D246=0,"",AVERAGEIFS(Market_Panel!$R$2:$R$2705,Market_Panel!$A$2:$A$2705,B246,Market_Panel!$B$2:$B$2705,"&gt;="&amp;$B$12,Market_Panel!$B$2:$B$2705,"&lt;="&amp;$C$12))</f>
        <v>0</v>
      </c>
      <c r="H246" s="11" t="n">
        <f aca="false">IF(OR(D246=0,$H$12=0),0,AVERAGEIFS(Market_Panel!$Y$2:$Y$2705,Market_Panel!$A$2:$A$2705,B246,Market_Panel!$B$2:$B$2705,"&gt;="&amp;$B$12,Market_Panel!$B$2:$B$2705,"&lt;="&amp;$C$12))</f>
        <v>0</v>
      </c>
      <c r="I246" s="10" t="n">
        <f aca="false">IF(D246=0,"",$I$12+$F$12*F246+$G$12*G246+$H$12*H246)</f>
        <v>0.0145098172385882</v>
      </c>
      <c r="J246" s="5" t="n">
        <f aca="false">IF(D246&lt;5,"",(E246-I246)*162)</f>
        <v>-8.84734952962079</v>
      </c>
      <c r="K246" s="5" t="n">
        <f aca="false">IF(D246=0,"",E246*162)</f>
        <v>-6.4967591369695</v>
      </c>
      <c r="L246" s="3" t="n">
        <f aca="false">SUMIFS(Seasons!$L$2:$L$2865,Seasons!$A$2:$A$2865,B246,Seasons!$B$2:$B$2865,"&gt;="&amp;$B$12,Seasons!$B$2:$B$2865,"&lt;="&amp;$C$12)</f>
        <v>0</v>
      </c>
      <c r="M246" s="3" t="n">
        <f aca="false">SUMIFS(Seasons!$N$2:$N$2865,Seasons!$A$2:$A$2865,B246,Seasons!$B$2:$B$2865,"&gt;="&amp;$B$12,Seasons!$B$2:$B$2865,"&lt;="&amp;$C$12)</f>
        <v>0</v>
      </c>
      <c r="N246" s="3" t="n">
        <f aca="false">IF(J246="",-1000000,J246+ROW()*0.000000001)</f>
        <v>-8.84734928362079</v>
      </c>
      <c r="O246" s="3" t="n">
        <f aca="false">IF(J246="","",SUMPRODUCT(($A$25:$A$534=A246)*($N$25:$N$534&gt;N246))+1)</f>
        <v>23</v>
      </c>
      <c r="P246" s="3" t="str">
        <f aca="false">A246&amp;"|"&amp;O246</f>
        <v>1970s|23</v>
      </c>
    </row>
    <row r="247" customFormat="false" ht="15" hidden="false" customHeight="true" outlineLevel="0" collapsed="false">
      <c r="A247" s="1" t="s">
        <v>16</v>
      </c>
      <c r="B247" s="7" t="s">
        <v>67</v>
      </c>
      <c r="C247" s="1" t="s">
        <v>55</v>
      </c>
      <c r="D247" s="3" t="n">
        <f aca="false">COUNTIFS(Market_Panel!$A$2:$A$2705,B247,Market_Panel!$B$2:$B$2705,"&gt;="&amp;$B$12,Market_Panel!$B$2:$B$2705,"&lt;="&amp;$C$12)</f>
        <v>10</v>
      </c>
      <c r="E247" s="10" t="n">
        <f aca="false">IF(D247=0,"",AVERAGEIFS(Market_Panel!$M$2:$M$2705,Market_Panel!$A$2:$A$2705,B247,Market_Panel!$B$2:$B$2705,"&gt;="&amp;$B$12,Market_Panel!$B$2:$B$2705,"&lt;="&amp;$C$12))</f>
        <v>-0.00964872505508136</v>
      </c>
      <c r="F247" s="11" t="n">
        <f aca="false">IF(D247=0,"",AVERAGEIFS(Market_Panel!$P$2:$P$2705,Market_Panel!$A$2:$A$2705,B247,Market_Panel!$B$2:$B$2705,"&gt;="&amp;$B$12,Market_Panel!$B$2:$B$2705,"&lt;="&amp;$C$12))</f>
        <v>0.415621973121597</v>
      </c>
      <c r="G247" s="11" t="n">
        <f aca="false">IF(D247=0,"",AVERAGEIFS(Market_Panel!$R$2:$R$2705,Market_Panel!$A$2:$A$2705,B247,Market_Panel!$B$2:$B$2705,"&gt;="&amp;$B$12,Market_Panel!$B$2:$B$2705,"&lt;="&amp;$C$12))</f>
        <v>0</v>
      </c>
      <c r="H247" s="11" t="n">
        <f aca="false">IF(OR(D247=0,$H$12=0),0,AVERAGEIFS(Market_Panel!$Y$2:$Y$2705,Market_Panel!$A$2:$A$2705,B247,Market_Panel!$B$2:$B$2705,"&gt;="&amp;$B$12,Market_Panel!$B$2:$B$2705,"&lt;="&amp;$C$12))</f>
        <v>0</v>
      </c>
      <c r="I247" s="10" t="n">
        <f aca="false">IF(D247=0,"",$I$12+$F$12*F247+$G$12*G247+$H$12*H247)</f>
        <v>0.00865413900485187</v>
      </c>
      <c r="J247" s="5" t="n">
        <f aca="false">IF(D247&lt;5,"",(E247-I247)*162)</f>
        <v>-2.96506397770918</v>
      </c>
      <c r="K247" s="5" t="n">
        <f aca="false">IF(D247=0,"",E247*162)</f>
        <v>-1.56309345892318</v>
      </c>
      <c r="L247" s="3" t="n">
        <f aca="false">SUMIFS(Seasons!$L$2:$L$2865,Seasons!$A$2:$A$2865,B247,Seasons!$B$2:$B$2865,"&gt;="&amp;$B$12,Seasons!$B$2:$B$2865,"&lt;="&amp;$C$12)</f>
        <v>1</v>
      </c>
      <c r="M247" s="3" t="n">
        <f aca="false">SUMIFS(Seasons!$N$2:$N$2865,Seasons!$A$2:$A$2865,B247,Seasons!$B$2:$B$2865,"&gt;="&amp;$B$12,Seasons!$B$2:$B$2865,"&lt;="&amp;$C$12)</f>
        <v>0</v>
      </c>
      <c r="N247" s="3" t="n">
        <f aca="false">IF(J247="",-1000000,J247+ROW()*0.000000001)</f>
        <v>-2.96506373070918</v>
      </c>
      <c r="O247" s="3" t="n">
        <f aca="false">IF(J247="","",SUMPRODUCT(($A$25:$A$534=A247)*($N$25:$N$534&gt;N247))+1)</f>
        <v>16</v>
      </c>
      <c r="P247" s="3" t="str">
        <f aca="false">A247&amp;"|"&amp;O247</f>
        <v>1970s|16</v>
      </c>
    </row>
    <row r="248" customFormat="false" ht="15" hidden="false" customHeight="true" outlineLevel="0" collapsed="false">
      <c r="A248" s="1" t="s">
        <v>16</v>
      </c>
      <c r="B248" s="7" t="s">
        <v>68</v>
      </c>
      <c r="C248" s="1" t="s">
        <v>55</v>
      </c>
      <c r="D248" s="3" t="n">
        <f aca="false">COUNTIFS(Market_Panel!$A$2:$A$2705,B248,Market_Panel!$B$2:$B$2705,"&gt;="&amp;$B$12,Market_Panel!$B$2:$B$2705,"&lt;="&amp;$C$12)</f>
        <v>10</v>
      </c>
      <c r="E248" s="10" t="n">
        <f aca="false">IF(D248=0,"",AVERAGEIFS(Market_Panel!$M$2:$M$2705,Market_Panel!$A$2:$A$2705,B248,Market_Panel!$B$2:$B$2705,"&gt;="&amp;$B$12,Market_Panel!$B$2:$B$2705,"&lt;="&amp;$C$12))</f>
        <v>0.00548087972826967</v>
      </c>
      <c r="F248" s="11" t="n">
        <f aca="false">IF(D248=0,"",AVERAGEIFS(Market_Panel!$P$2:$P$2705,Market_Panel!$A$2:$A$2705,B248,Market_Panel!$B$2:$B$2705,"&gt;="&amp;$B$12,Market_Panel!$B$2:$B$2705,"&lt;="&amp;$C$12))</f>
        <v>-0.799726418847105</v>
      </c>
      <c r="G248" s="11" t="n">
        <f aca="false">IF(D248=0,"",AVERAGEIFS(Market_Panel!$R$2:$R$2705,Market_Panel!$A$2:$A$2705,B248,Market_Panel!$B$2:$B$2705,"&gt;="&amp;$B$12,Market_Panel!$B$2:$B$2705,"&lt;="&amp;$C$12))</f>
        <v>0</v>
      </c>
      <c r="H248" s="11" t="n">
        <f aca="false">IF(OR(D248=0,$H$12=0),0,AVERAGEIFS(Market_Panel!$Y$2:$Y$2705,Market_Panel!$A$2:$A$2705,B248,Market_Panel!$B$2:$B$2705,"&gt;="&amp;$B$12,Market_Panel!$B$2:$B$2705,"&lt;="&amp;$C$12))</f>
        <v>0</v>
      </c>
      <c r="I248" s="10" t="n">
        <f aca="false">IF(D248=0,"",$I$12+$F$12*F248+$G$12*G248+$H$12*H248)</f>
        <v>0.0185657506756198</v>
      </c>
      <c r="J248" s="5" t="n">
        <f aca="false">IF(D248&lt;5,"",(E248-I248)*162)</f>
        <v>-2.11974909347073</v>
      </c>
      <c r="K248" s="5" t="n">
        <f aca="false">IF(D248=0,"",E248*162)</f>
        <v>0.887902515979686</v>
      </c>
      <c r="L248" s="3" t="n">
        <f aca="false">SUMIFS(Seasons!$L$2:$L$2865,Seasons!$A$2:$A$2865,B248,Seasons!$B$2:$B$2865,"&gt;="&amp;$B$12,Seasons!$B$2:$B$2865,"&lt;="&amp;$C$12)</f>
        <v>1</v>
      </c>
      <c r="M248" s="3" t="n">
        <f aca="false">SUMIFS(Seasons!$N$2:$N$2865,Seasons!$A$2:$A$2865,B248,Seasons!$B$2:$B$2865,"&gt;="&amp;$B$12,Seasons!$B$2:$B$2865,"&lt;="&amp;$C$12)</f>
        <v>0</v>
      </c>
      <c r="N248" s="3" t="n">
        <f aca="false">IF(J248="",-1000000,J248+ROW()*0.000000001)</f>
        <v>-2.11974884547073</v>
      </c>
      <c r="O248" s="3" t="n">
        <f aca="false">IF(J248="","",SUMPRODUCT(($A$25:$A$534=A248)*($N$25:$N$534&gt;N248))+1)</f>
        <v>13</v>
      </c>
      <c r="P248" s="3" t="str">
        <f aca="false">A248&amp;"|"&amp;O248</f>
        <v>1970s|13</v>
      </c>
    </row>
    <row r="249" customFormat="false" ht="15" hidden="false" customHeight="true" outlineLevel="0" collapsed="false">
      <c r="A249" s="1" t="s">
        <v>16</v>
      </c>
      <c r="B249" s="7" t="s">
        <v>69</v>
      </c>
      <c r="C249" s="1" t="s">
        <v>55</v>
      </c>
      <c r="D249" s="3" t="n">
        <f aca="false">COUNTIFS(Market_Panel!$A$2:$A$2705,B249,Market_Panel!$B$2:$B$2705,"&gt;="&amp;$B$12,Market_Panel!$B$2:$B$2705,"&lt;="&amp;$C$12)</f>
        <v>10</v>
      </c>
      <c r="E249" s="10" t="n">
        <f aca="false">IF(D249=0,"",AVERAGEIFS(Market_Panel!$M$2:$M$2705,Market_Panel!$A$2:$A$2705,B249,Market_Panel!$B$2:$B$2705,"&gt;="&amp;$B$12,Market_Panel!$B$2:$B$2705,"&lt;="&amp;$C$12))</f>
        <v>0.0208378580101181</v>
      </c>
      <c r="F249" s="11" t="n">
        <f aca="false">IF(D249=0,"",AVERAGEIFS(Market_Panel!$P$2:$P$2705,Market_Panel!$A$2:$A$2705,B249,Market_Panel!$B$2:$B$2705,"&gt;="&amp;$B$12,Market_Panel!$B$2:$B$2705,"&lt;="&amp;$C$12))</f>
        <v>-0.940754987830089</v>
      </c>
      <c r="G249" s="11" t="n">
        <f aca="false">IF(D249=0,"",AVERAGEIFS(Market_Panel!$R$2:$R$2705,Market_Panel!$A$2:$A$2705,B249,Market_Panel!$B$2:$B$2705,"&gt;="&amp;$B$12,Market_Panel!$B$2:$B$2705,"&lt;="&amp;$C$12))</f>
        <v>0</v>
      </c>
      <c r="H249" s="11" t="n">
        <f aca="false">IF(OR(D249=0,$H$12=0),0,AVERAGEIFS(Market_Panel!$Y$2:$Y$2705,Market_Panel!$A$2:$A$2705,B249,Market_Panel!$B$2:$B$2705,"&gt;="&amp;$B$12,Market_Panel!$B$2:$B$2705,"&lt;="&amp;$C$12))</f>
        <v>0</v>
      </c>
      <c r="I249" s="10" t="n">
        <f aca="false">IF(D249=0,"",$I$12+$F$12*F249+$G$12*G249+$H$12*H249)</f>
        <v>0.0197158903553039</v>
      </c>
      <c r="J249" s="5" t="n">
        <f aca="false">IF(D249&lt;5,"",(E249-I249)*162)</f>
        <v>0.18175876007989</v>
      </c>
      <c r="K249" s="5" t="n">
        <f aca="false">IF(D249=0,"",E249*162)</f>
        <v>3.37573299763912</v>
      </c>
      <c r="L249" s="3" t="n">
        <f aca="false">SUMIFS(Seasons!$L$2:$L$2865,Seasons!$A$2:$A$2865,B249,Seasons!$B$2:$B$2865,"&gt;="&amp;$B$12,Seasons!$B$2:$B$2865,"&lt;="&amp;$C$12)</f>
        <v>5</v>
      </c>
      <c r="M249" s="3" t="n">
        <f aca="false">SUMIFS(Seasons!$N$2:$N$2865,Seasons!$A$2:$A$2865,B249,Seasons!$B$2:$B$2865,"&gt;="&amp;$B$12,Seasons!$B$2:$B$2865,"&lt;="&amp;$C$12)</f>
        <v>3</v>
      </c>
      <c r="N249" s="3" t="n">
        <f aca="false">IF(J249="",-1000000,J249+ROW()*0.000000001)</f>
        <v>0.18175900907989</v>
      </c>
      <c r="O249" s="3" t="n">
        <f aca="false">IF(J249="","",SUMPRODUCT(($A$25:$A$534=A249)*($N$25:$N$534&gt;N249))+1)</f>
        <v>9</v>
      </c>
      <c r="P249" s="3" t="str">
        <f aca="false">A249&amp;"|"&amp;O249</f>
        <v>1970s|9</v>
      </c>
    </row>
    <row r="250" customFormat="false" ht="15" hidden="false" customHeight="true" outlineLevel="0" collapsed="false">
      <c r="A250" s="1" t="s">
        <v>16</v>
      </c>
      <c r="B250" s="7" t="s">
        <v>70</v>
      </c>
      <c r="C250" s="1" t="s">
        <v>55</v>
      </c>
      <c r="D250" s="3" t="n">
        <f aca="false">COUNTIFS(Market_Panel!$A$2:$A$2705,B250,Market_Panel!$B$2:$B$2705,"&gt;="&amp;$B$12,Market_Panel!$B$2:$B$2705,"&lt;="&amp;$C$12)</f>
        <v>10</v>
      </c>
      <c r="E250" s="10" t="n">
        <f aca="false">IF(D250=0,"",AVERAGEIFS(Market_Panel!$M$2:$M$2705,Market_Panel!$A$2:$A$2705,B250,Market_Panel!$B$2:$B$2705,"&gt;="&amp;$B$12,Market_Panel!$B$2:$B$2705,"&lt;="&amp;$C$12))</f>
        <v>0.0548967638564351</v>
      </c>
      <c r="F250" s="11" t="n">
        <f aca="false">IF(D250=0,"",AVERAGEIFS(Market_Panel!$P$2:$P$2705,Market_Panel!$A$2:$A$2705,B250,Market_Panel!$B$2:$B$2705,"&gt;="&amp;$B$12,Market_Panel!$B$2:$B$2705,"&lt;="&amp;$C$12))</f>
        <v>1.42862723396756</v>
      </c>
      <c r="G250" s="11" t="n">
        <f aca="false">IF(D250=0,"",AVERAGEIFS(Market_Panel!$R$2:$R$2705,Market_Panel!$A$2:$A$2705,B250,Market_Panel!$B$2:$B$2705,"&gt;="&amp;$B$12,Market_Panel!$B$2:$B$2705,"&lt;="&amp;$C$12))</f>
        <v>0</v>
      </c>
      <c r="H250" s="11" t="n">
        <f aca="false">IF(OR(D250=0,$H$12=0),0,AVERAGEIFS(Market_Panel!$Y$2:$Y$2705,Market_Panel!$A$2:$A$2705,B250,Market_Panel!$B$2:$B$2705,"&gt;="&amp;$B$12,Market_Panel!$B$2:$B$2705,"&lt;="&amp;$C$12))</f>
        <v>0</v>
      </c>
      <c r="I250" s="10" t="n">
        <f aca="false">IF(D250=0,"",$I$12+$F$12*F250+$G$12*G250+$H$12*H250)</f>
        <v>0.000392709745307716</v>
      </c>
      <c r="J250" s="5" t="n">
        <f aca="false">IF(D250&lt;5,"",(E250-I250)*162)</f>
        <v>8.82965676600264</v>
      </c>
      <c r="K250" s="5" t="n">
        <f aca="false">IF(D250=0,"",E250*162)</f>
        <v>8.89327574474249</v>
      </c>
      <c r="L250" s="3" t="n">
        <f aca="false">SUMIFS(Seasons!$L$2:$L$2865,Seasons!$A$2:$A$2865,B250,Seasons!$B$2:$B$2865,"&gt;="&amp;$B$12,Seasons!$B$2:$B$2865,"&lt;="&amp;$C$12)</f>
        <v>3</v>
      </c>
      <c r="M250" s="3" t="n">
        <f aca="false">SUMIFS(Seasons!$N$2:$N$2865,Seasons!$A$2:$A$2865,B250,Seasons!$B$2:$B$2865,"&gt;="&amp;$B$12,Seasons!$B$2:$B$2865,"&lt;="&amp;$C$12)</f>
        <v>2</v>
      </c>
      <c r="N250" s="3" t="n">
        <f aca="false">IF(J250="",-1000000,J250+ROW()*0.000000001)</f>
        <v>8.82965701600264</v>
      </c>
      <c r="O250" s="3" t="n">
        <f aca="false">IF(J250="","",SUMPRODUCT(($A$25:$A$534=A250)*($N$25:$N$534&gt;N250))+1)</f>
        <v>5</v>
      </c>
      <c r="P250" s="3" t="str">
        <f aca="false">A250&amp;"|"&amp;O250</f>
        <v>1970s|5</v>
      </c>
    </row>
    <row r="251" customFormat="false" ht="15" hidden="false" customHeight="true" outlineLevel="0" collapsed="false">
      <c r="A251" s="1" t="s">
        <v>16</v>
      </c>
      <c r="B251" s="7" t="s">
        <v>71</v>
      </c>
      <c r="C251" s="1" t="s">
        <v>72</v>
      </c>
      <c r="D251" s="3" t="n">
        <f aca="false">COUNTIFS(Market_Panel!$A$2:$A$2705,B251,Market_Panel!$B$2:$B$2705,"&gt;="&amp;$B$12,Market_Panel!$B$2:$B$2705,"&lt;="&amp;$C$12)</f>
        <v>10</v>
      </c>
      <c r="E251" s="10" t="n">
        <f aca="false">IF(D251=0,"",AVERAGEIFS(Market_Panel!$M$2:$M$2705,Market_Panel!$A$2:$A$2705,B251,Market_Panel!$B$2:$B$2705,"&gt;="&amp;$B$12,Market_Panel!$B$2:$B$2705,"&lt;="&amp;$C$12))</f>
        <v>-0.0155354163528711</v>
      </c>
      <c r="F251" s="11" t="n">
        <f aca="false">IF(D251=0,"",AVERAGEIFS(Market_Panel!$P$2:$P$2705,Market_Panel!$A$2:$A$2705,B251,Market_Panel!$B$2:$B$2705,"&gt;="&amp;$B$12,Market_Panel!$B$2:$B$2705,"&lt;="&amp;$C$12))</f>
        <v>0.470780874305562</v>
      </c>
      <c r="G251" s="11" t="n">
        <f aca="false">IF(D251=0,"",AVERAGEIFS(Market_Panel!$R$2:$R$2705,Market_Panel!$A$2:$A$2705,B251,Market_Panel!$B$2:$B$2705,"&gt;="&amp;$B$12,Market_Panel!$B$2:$B$2705,"&lt;="&amp;$C$12))</f>
        <v>0.1</v>
      </c>
      <c r="H251" s="11" t="n">
        <f aca="false">IF(OR(D251=0,$H$12=0),0,AVERAGEIFS(Market_Panel!$Y$2:$Y$2705,Market_Panel!$A$2:$A$2705,B251,Market_Panel!$B$2:$B$2705,"&gt;="&amp;$B$12,Market_Panel!$B$2:$B$2705,"&lt;="&amp;$C$12))</f>
        <v>0</v>
      </c>
      <c r="I251" s="10" t="n">
        <f aca="false">IF(D251=0,"",$I$12+$F$12*F251+$G$12*G251+$H$12*H251)</f>
        <v>0.0020319075588218</v>
      </c>
      <c r="J251" s="5" t="n">
        <f aca="false">IF(D251&lt;5,"",(E251-I251)*162)</f>
        <v>-2.84590647369426</v>
      </c>
      <c r="K251" s="5" t="n">
        <f aca="false">IF(D251=0,"",E251*162)</f>
        <v>-2.51673744916512</v>
      </c>
      <c r="L251" s="3" t="n">
        <f aca="false">SUMIFS(Seasons!$L$2:$L$2865,Seasons!$A$2:$A$2865,B251,Seasons!$B$2:$B$2865,"&gt;="&amp;$B$12,Seasons!$B$2:$B$2865,"&lt;="&amp;$C$12)</f>
        <v>1</v>
      </c>
      <c r="M251" s="3" t="n">
        <f aca="false">SUMIFS(Seasons!$N$2:$N$2865,Seasons!$A$2:$A$2865,B251,Seasons!$B$2:$B$2865,"&gt;="&amp;$B$12,Seasons!$B$2:$B$2865,"&lt;="&amp;$C$12)</f>
        <v>0</v>
      </c>
      <c r="N251" s="3" t="n">
        <f aca="false">IF(J251="",-1000000,J251+ROW()*0.000000001)</f>
        <v>-2.84590622269426</v>
      </c>
      <c r="O251" s="3" t="n">
        <f aca="false">IF(J251="","",SUMPRODUCT(($A$25:$A$534=A251)*($N$25:$N$534&gt;N251))+1)</f>
        <v>15</v>
      </c>
      <c r="P251" s="3" t="str">
        <f aca="false">A251&amp;"|"&amp;O251</f>
        <v>1970s|15</v>
      </c>
    </row>
    <row r="252" customFormat="false" ht="15" hidden="false" customHeight="true" outlineLevel="0" collapsed="false">
      <c r="A252" s="1" t="s">
        <v>16</v>
      </c>
      <c r="B252" s="7" t="s">
        <v>73</v>
      </c>
      <c r="C252" s="1" t="s">
        <v>72</v>
      </c>
      <c r="D252" s="3" t="n">
        <f aca="false">COUNTIFS(Market_Panel!$A$2:$A$2705,B252,Market_Panel!$B$2:$B$2705,"&gt;="&amp;$B$12,Market_Panel!$B$2:$B$2705,"&lt;="&amp;$C$12)</f>
        <v>10</v>
      </c>
      <c r="E252" s="10" t="n">
        <f aca="false">IF(D252=0,"",AVERAGEIFS(Market_Panel!$M$2:$M$2705,Market_Panel!$A$2:$A$2705,B252,Market_Panel!$B$2:$B$2705,"&gt;="&amp;$B$12,Market_Panel!$B$2:$B$2705,"&lt;="&amp;$C$12))</f>
        <v>-0.0357764211014266</v>
      </c>
      <c r="F252" s="11" t="n">
        <f aca="false">IF(D252=0,"",AVERAGEIFS(Market_Panel!$P$2:$P$2705,Market_Panel!$A$2:$A$2705,B252,Market_Panel!$B$2:$B$2705,"&gt;="&amp;$B$12,Market_Panel!$B$2:$B$2705,"&lt;="&amp;$C$12))</f>
        <v>-0.0576457064778056</v>
      </c>
      <c r="G252" s="11" t="n">
        <f aca="false">IF(D252=0,"",AVERAGEIFS(Market_Panel!$R$2:$R$2705,Market_Panel!$A$2:$A$2705,B252,Market_Panel!$B$2:$B$2705,"&gt;="&amp;$B$12,Market_Panel!$B$2:$B$2705,"&lt;="&amp;$C$12))</f>
        <v>0.1</v>
      </c>
      <c r="H252" s="11" t="n">
        <f aca="false">IF(OR(D252=0,$H$12=0),0,AVERAGEIFS(Market_Panel!$Y$2:$Y$2705,Market_Panel!$A$2:$A$2705,B252,Market_Panel!$B$2:$B$2705,"&gt;="&amp;$B$12,Market_Panel!$B$2:$B$2705,"&lt;="&amp;$C$12))</f>
        <v>0</v>
      </c>
      <c r="I252" s="10" t="n">
        <f aca="false">IF(D252=0,"",$I$12+$F$12*F252+$G$12*G252+$H$12*H252)</f>
        <v>0.00634142004087832</v>
      </c>
      <c r="J252" s="5" t="n">
        <f aca="false">IF(D252&lt;5,"",(E252-I252)*162)</f>
        <v>-6.82309026505339</v>
      </c>
      <c r="K252" s="5" t="n">
        <f aca="false">IF(D252=0,"",E252*162)</f>
        <v>-5.7957802184311</v>
      </c>
      <c r="L252" s="3" t="n">
        <f aca="false">SUMIFS(Seasons!$L$2:$L$2865,Seasons!$A$2:$A$2865,B252,Seasons!$B$2:$B$2865,"&gt;="&amp;$B$12,Seasons!$B$2:$B$2865,"&lt;="&amp;$C$12)</f>
        <v>0</v>
      </c>
      <c r="M252" s="3" t="n">
        <f aca="false">SUMIFS(Seasons!$N$2:$N$2865,Seasons!$A$2:$A$2865,B252,Seasons!$B$2:$B$2865,"&gt;="&amp;$B$12,Seasons!$B$2:$B$2865,"&lt;="&amp;$C$12)</f>
        <v>0</v>
      </c>
      <c r="N252" s="3" t="n">
        <f aca="false">IF(J252="",-1000000,J252+ROW()*0.000000001)</f>
        <v>-6.82309001305339</v>
      </c>
      <c r="O252" s="3" t="n">
        <f aca="false">IF(J252="","",SUMPRODUCT(($A$25:$A$534=A252)*($N$25:$N$534&gt;N252))+1)</f>
        <v>21</v>
      </c>
      <c r="P252" s="3" t="str">
        <f aca="false">A252&amp;"|"&amp;O252</f>
        <v>1970s|21</v>
      </c>
    </row>
    <row r="253" customFormat="false" ht="15" hidden="false" customHeight="true" outlineLevel="0" collapsed="false">
      <c r="A253" s="1" t="s">
        <v>16</v>
      </c>
      <c r="B253" s="7" t="s">
        <v>74</v>
      </c>
      <c r="C253" s="1" t="s">
        <v>72</v>
      </c>
      <c r="D253" s="3" t="n">
        <f aca="false">COUNTIFS(Market_Panel!$A$2:$A$2705,B253,Market_Panel!$B$2:$B$2705,"&gt;="&amp;$B$12,Market_Panel!$B$2:$B$2705,"&lt;="&amp;$C$12)</f>
        <v>10</v>
      </c>
      <c r="E253" s="10" t="n">
        <f aca="false">IF(D253=0,"",AVERAGEIFS(Market_Panel!$M$2:$M$2705,Market_Panel!$A$2:$A$2705,B253,Market_Panel!$B$2:$B$2705,"&gt;="&amp;$B$12,Market_Panel!$B$2:$B$2705,"&lt;="&amp;$C$12))</f>
        <v>-0.00719937298533971</v>
      </c>
      <c r="F253" s="11" t="n">
        <f aca="false">IF(D253=0,"",AVERAGEIFS(Market_Panel!$P$2:$P$2705,Market_Panel!$A$2:$A$2705,B253,Market_Panel!$B$2:$B$2705,"&gt;="&amp;$B$12,Market_Panel!$B$2:$B$2705,"&lt;="&amp;$C$12))</f>
        <v>0.430357605940063</v>
      </c>
      <c r="G253" s="11" t="n">
        <f aca="false">IF(D253=0,"",AVERAGEIFS(Market_Panel!$R$2:$R$2705,Market_Panel!$A$2:$A$2705,B253,Market_Panel!$B$2:$B$2705,"&gt;="&amp;$B$12,Market_Panel!$B$2:$B$2705,"&lt;="&amp;$C$12))</f>
        <v>0.2</v>
      </c>
      <c r="H253" s="11" t="n">
        <f aca="false">IF(OR(D253=0,$H$12=0),0,AVERAGEIFS(Market_Panel!$Y$2:$Y$2705,Market_Panel!$A$2:$A$2705,B253,Market_Panel!$B$2:$B$2705,"&gt;="&amp;$B$12,Market_Panel!$B$2:$B$2705,"&lt;="&amp;$C$12))</f>
        <v>0</v>
      </c>
      <c r="I253" s="10" t="n">
        <f aca="false">IF(D253=0,"",$I$12+$F$12*F253+$G$12*G253+$H$12*H253)</f>
        <v>-0.00381081625508875</v>
      </c>
      <c r="J253" s="5" t="n">
        <f aca="false">IF(D253&lt;5,"",(E253-I253)*162)</f>
        <v>-0.548946190300656</v>
      </c>
      <c r="K253" s="5" t="n">
        <f aca="false">IF(D253=0,"",E253*162)</f>
        <v>-1.16629842362503</v>
      </c>
      <c r="L253" s="3" t="n">
        <f aca="false">SUMIFS(Seasons!$L$2:$L$2865,Seasons!$A$2:$A$2865,B253,Seasons!$B$2:$B$2865,"&gt;="&amp;$B$12,Seasons!$B$2:$B$2865,"&lt;="&amp;$C$12)</f>
        <v>0</v>
      </c>
      <c r="M253" s="3" t="n">
        <f aca="false">SUMIFS(Seasons!$N$2:$N$2865,Seasons!$A$2:$A$2865,B253,Seasons!$B$2:$B$2865,"&gt;="&amp;$B$12,Seasons!$B$2:$B$2865,"&lt;="&amp;$C$12)</f>
        <v>0</v>
      </c>
      <c r="N253" s="3" t="n">
        <f aca="false">IF(J253="",-1000000,J253+ROW()*0.000000001)</f>
        <v>-0.548945937300656</v>
      </c>
      <c r="O253" s="3" t="n">
        <f aca="false">IF(J253="","",SUMPRODUCT(($A$25:$A$534=A253)*($N$25:$N$534&gt;N253))+1)</f>
        <v>12</v>
      </c>
      <c r="P253" s="3" t="str">
        <f aca="false">A253&amp;"|"&amp;O253</f>
        <v>1970s|12</v>
      </c>
    </row>
    <row r="254" customFormat="false" ht="15" hidden="false" customHeight="true" outlineLevel="0" collapsed="false">
      <c r="A254" s="1" t="s">
        <v>16</v>
      </c>
      <c r="B254" s="7" t="s">
        <v>75</v>
      </c>
      <c r="C254" s="1" t="s">
        <v>72</v>
      </c>
      <c r="D254" s="3" t="n">
        <f aca="false">COUNTIFS(Market_Panel!$A$2:$A$2705,B254,Market_Panel!$B$2:$B$2705,"&gt;="&amp;$B$12,Market_Panel!$B$2:$B$2705,"&lt;="&amp;$C$12)</f>
        <v>10</v>
      </c>
      <c r="E254" s="10" t="n">
        <f aca="false">IF(D254=0,"",AVERAGEIFS(Market_Panel!$M$2:$M$2705,Market_Panel!$A$2:$A$2705,B254,Market_Panel!$B$2:$B$2705,"&gt;="&amp;$B$12,Market_Panel!$B$2:$B$2705,"&lt;="&amp;$C$12))</f>
        <v>-0.0267284270199351</v>
      </c>
      <c r="F254" s="11" t="n">
        <f aca="false">IF(D254=0,"",AVERAGEIFS(Market_Panel!$P$2:$P$2705,Market_Panel!$A$2:$A$2705,B254,Market_Panel!$B$2:$B$2705,"&gt;="&amp;$B$12,Market_Panel!$B$2:$B$2705,"&lt;="&amp;$C$12))</f>
        <v>1.42862723396756</v>
      </c>
      <c r="G254" s="11" t="n">
        <f aca="false">IF(D254=0,"",AVERAGEIFS(Market_Panel!$R$2:$R$2705,Market_Panel!$A$2:$A$2705,B254,Market_Panel!$B$2:$B$2705,"&gt;="&amp;$B$12,Market_Panel!$B$2:$B$2705,"&lt;="&amp;$C$12))</f>
        <v>0.2</v>
      </c>
      <c r="H254" s="11" t="n">
        <f aca="false">IF(OR(D254=0,$H$12=0),0,AVERAGEIFS(Market_Panel!$Y$2:$Y$2705,Market_Panel!$A$2:$A$2705,B254,Market_Panel!$B$2:$B$2705,"&gt;="&amp;$B$12,Market_Panel!$B$2:$B$2705,"&lt;="&amp;$C$12))</f>
        <v>0</v>
      </c>
      <c r="I254" s="10" t="n">
        <f aca="false">IF(D254=0,"",$I$12+$F$12*F254+$G$12*G254+$H$12*H254)</f>
        <v>-0.0119520710270664</v>
      </c>
      <c r="J254" s="5" t="n">
        <f aca="false">IF(D254&lt;5,"",(E254-I254)*162)</f>
        <v>-2.39376967084473</v>
      </c>
      <c r="K254" s="5" t="n">
        <f aca="false">IF(D254=0,"",E254*162)</f>
        <v>-4.33000517722948</v>
      </c>
      <c r="L254" s="3" t="n">
        <f aca="false">SUMIFS(Seasons!$L$2:$L$2865,Seasons!$A$2:$A$2865,B254,Seasons!$B$2:$B$2865,"&gt;="&amp;$B$12,Seasons!$B$2:$B$2865,"&lt;="&amp;$C$12)</f>
        <v>1</v>
      </c>
      <c r="M254" s="3" t="n">
        <f aca="false">SUMIFS(Seasons!$N$2:$N$2865,Seasons!$A$2:$A$2865,B254,Seasons!$B$2:$B$2865,"&gt;="&amp;$B$12,Seasons!$B$2:$B$2865,"&lt;="&amp;$C$12)</f>
        <v>0</v>
      </c>
      <c r="N254" s="3" t="n">
        <f aca="false">IF(J254="",-1000000,J254+ROW()*0.000000001)</f>
        <v>-2.39376941684473</v>
      </c>
      <c r="O254" s="3" t="n">
        <f aca="false">IF(J254="","",SUMPRODUCT(($A$25:$A$534=A254)*($N$25:$N$534&gt;N254))+1)</f>
        <v>14</v>
      </c>
      <c r="P254" s="3" t="str">
        <f aca="false">A254&amp;"|"&amp;O254</f>
        <v>1970s|14</v>
      </c>
    </row>
    <row r="255" customFormat="false" ht="15" hidden="false" customHeight="true" outlineLevel="0" collapsed="false">
      <c r="A255" s="1" t="s">
        <v>16</v>
      </c>
      <c r="B255" s="7" t="s">
        <v>76</v>
      </c>
      <c r="C255" s="1" t="s">
        <v>72</v>
      </c>
      <c r="D255" s="3" t="n">
        <f aca="false">COUNTIFS(Market_Panel!$A$2:$A$2705,B255,Market_Panel!$B$2:$B$2705,"&gt;="&amp;$B$12,Market_Panel!$B$2:$B$2705,"&lt;="&amp;$C$12)</f>
        <v>10</v>
      </c>
      <c r="E255" s="10" t="n">
        <f aca="false">IF(D255=0,"",AVERAGEIFS(Market_Panel!$M$2:$M$2705,Market_Panel!$A$2:$A$2705,B255,Market_Panel!$B$2:$B$2705,"&gt;="&amp;$B$12,Market_Panel!$B$2:$B$2705,"&lt;="&amp;$C$12))</f>
        <v>0.0280705716196433</v>
      </c>
      <c r="F255" s="11" t="n">
        <f aca="false">IF(D255=0,"",AVERAGEIFS(Market_Panel!$P$2:$P$2705,Market_Panel!$A$2:$A$2705,B255,Market_Panel!$B$2:$B$2705,"&gt;="&amp;$B$12,Market_Panel!$B$2:$B$2705,"&lt;="&amp;$C$12))</f>
        <v>-0.629547023223571</v>
      </c>
      <c r="G255" s="11" t="n">
        <f aca="false">IF(D255=0,"",AVERAGEIFS(Market_Panel!$R$2:$R$2705,Market_Panel!$A$2:$A$2705,B255,Market_Panel!$B$2:$B$2705,"&gt;="&amp;$B$12,Market_Panel!$B$2:$B$2705,"&lt;="&amp;$C$12))</f>
        <v>0.9</v>
      </c>
      <c r="H255" s="11" t="n">
        <f aca="false">IF(OR(D255=0,$H$12=0),0,AVERAGEIFS(Market_Panel!$Y$2:$Y$2705,Market_Panel!$A$2:$A$2705,B255,Market_Panel!$B$2:$B$2705,"&gt;="&amp;$B$12,Market_Panel!$B$2:$B$2705,"&lt;="&amp;$C$12))</f>
        <v>0</v>
      </c>
      <c r="I255" s="10" t="n">
        <f aca="false">IF(D255=0,"",$I$12+$F$12*F255+$G$12*G255+$H$12*H255)</f>
        <v>-0.0383736381573955</v>
      </c>
      <c r="J255" s="5" t="n">
        <f aca="false">IF(D255&lt;5,"",(E255-I255)*162)</f>
        <v>10.7639619838803</v>
      </c>
      <c r="K255" s="5" t="n">
        <f aca="false">IF(D255=0,"",E255*162)</f>
        <v>4.54743260238221</v>
      </c>
      <c r="L255" s="3" t="n">
        <f aca="false">SUMIFS(Seasons!$L$2:$L$2865,Seasons!$A$2:$A$2865,B255,Seasons!$B$2:$B$2865,"&gt;="&amp;$B$12,Seasons!$B$2:$B$2865,"&lt;="&amp;$C$12)</f>
        <v>3</v>
      </c>
      <c r="M255" s="3" t="n">
        <f aca="false">SUMIFS(Seasons!$N$2:$N$2865,Seasons!$A$2:$A$2865,B255,Seasons!$B$2:$B$2865,"&gt;="&amp;$B$12,Seasons!$B$2:$B$2865,"&lt;="&amp;$C$12)</f>
        <v>0</v>
      </c>
      <c r="N255" s="3" t="n">
        <f aca="false">IF(J255="",-1000000,J255+ROW()*0.000000001)</f>
        <v>10.7639622388803</v>
      </c>
      <c r="O255" s="3" t="n">
        <f aca="false">IF(J255="","",SUMPRODUCT(($A$25:$A$534=A255)*($N$25:$N$534&gt;N255))+1)</f>
        <v>3</v>
      </c>
      <c r="P255" s="3" t="str">
        <f aca="false">A255&amp;"|"&amp;O255</f>
        <v>1970s|3</v>
      </c>
    </row>
    <row r="256" customFormat="false" ht="15" hidden="false" customHeight="true" outlineLevel="0" collapsed="false">
      <c r="A256" s="1" t="s">
        <v>16</v>
      </c>
      <c r="B256" s="7" t="s">
        <v>77</v>
      </c>
      <c r="C256" s="1" t="s">
        <v>72</v>
      </c>
      <c r="D256" s="3" t="n">
        <f aca="false">COUNTIFS(Market_Panel!$A$2:$A$2705,B256,Market_Panel!$B$2:$B$2705,"&gt;="&amp;$B$12,Market_Panel!$B$2:$B$2705,"&lt;="&amp;$C$12)</f>
        <v>10</v>
      </c>
      <c r="E256" s="10" t="n">
        <f aca="false">IF(D256=0,"",AVERAGEIFS(Market_Panel!$M$2:$M$2705,Market_Panel!$A$2:$A$2705,B256,Market_Panel!$B$2:$B$2705,"&gt;="&amp;$B$12,Market_Panel!$B$2:$B$2705,"&lt;="&amp;$C$12))</f>
        <v>-0.0420204350655663</v>
      </c>
      <c r="F256" s="11" t="n">
        <f aca="false">IF(D256=0,"",AVERAGEIFS(Market_Panel!$P$2:$P$2705,Market_Panel!$A$2:$A$2705,B256,Market_Panel!$B$2:$B$2705,"&gt;="&amp;$B$12,Market_Panel!$B$2:$B$2705,"&lt;="&amp;$C$12))</f>
        <v>-0.281282104855146</v>
      </c>
      <c r="G256" s="11" t="n">
        <f aca="false">IF(D256=0,"",AVERAGEIFS(Market_Panel!$R$2:$R$2705,Market_Panel!$A$2:$A$2705,B256,Market_Panel!$B$2:$B$2705,"&gt;="&amp;$B$12,Market_Panel!$B$2:$B$2705,"&lt;="&amp;$C$12))</f>
        <v>0.9</v>
      </c>
      <c r="H256" s="11" t="n">
        <f aca="false">IF(OR(D256=0,$H$12=0),0,AVERAGEIFS(Market_Panel!$Y$2:$Y$2705,Market_Panel!$A$2:$A$2705,B256,Market_Panel!$B$2:$B$2705,"&gt;="&amp;$B$12,Market_Panel!$B$2:$B$2705,"&lt;="&amp;$C$12))</f>
        <v>0</v>
      </c>
      <c r="I256" s="10" t="n">
        <f aca="false">IF(D256=0,"",$I$12+$F$12*F256+$G$12*G256+$H$12*H256)</f>
        <v>-0.0412138662370394</v>
      </c>
      <c r="J256" s="5" t="n">
        <f aca="false">IF(D256&lt;5,"",(E256-I256)*162)</f>
        <v>-0.130664150221366</v>
      </c>
      <c r="K256" s="5" t="n">
        <f aca="false">IF(D256=0,"",E256*162)</f>
        <v>-6.80731048062175</v>
      </c>
      <c r="L256" s="3" t="n">
        <f aca="false">SUMIFS(Seasons!$L$2:$L$2865,Seasons!$A$2:$A$2865,B256,Seasons!$B$2:$B$2865,"&gt;="&amp;$B$12,Seasons!$B$2:$B$2865,"&lt;="&amp;$C$12)</f>
        <v>0</v>
      </c>
      <c r="M256" s="3" t="n">
        <f aca="false">SUMIFS(Seasons!$N$2:$N$2865,Seasons!$A$2:$A$2865,B256,Seasons!$B$2:$B$2865,"&gt;="&amp;$B$12,Seasons!$B$2:$B$2865,"&lt;="&amp;$C$12)</f>
        <v>0</v>
      </c>
      <c r="N256" s="3" t="n">
        <f aca="false">IF(J256="",-1000000,J256+ROW()*0.000000001)</f>
        <v>-0.130663894221366</v>
      </c>
      <c r="O256" s="3" t="n">
        <f aca="false">IF(J256="","",SUMPRODUCT(($A$25:$A$534=A256)*($N$25:$N$534&gt;N256))+1)</f>
        <v>10</v>
      </c>
      <c r="P256" s="3" t="str">
        <f aca="false">A256&amp;"|"&amp;O256</f>
        <v>1970s|10</v>
      </c>
    </row>
    <row r="257" customFormat="false" ht="15" hidden="false" customHeight="true" outlineLevel="0" collapsed="false">
      <c r="A257" s="1" t="s">
        <v>16</v>
      </c>
      <c r="B257" s="7" t="s">
        <v>78</v>
      </c>
      <c r="C257" s="1" t="s">
        <v>72</v>
      </c>
      <c r="D257" s="3" t="n">
        <f aca="false">COUNTIFS(Market_Panel!$A$2:$A$2705,B257,Market_Panel!$B$2:$B$2705,"&gt;="&amp;$B$12,Market_Panel!$B$2:$B$2705,"&lt;="&amp;$C$12)</f>
        <v>10</v>
      </c>
      <c r="E257" s="10" t="n">
        <f aca="false">IF(D257=0,"",AVERAGEIFS(Market_Panel!$M$2:$M$2705,Market_Panel!$A$2:$A$2705,B257,Market_Panel!$B$2:$B$2705,"&gt;="&amp;$B$12,Market_Panel!$B$2:$B$2705,"&lt;="&amp;$C$12))</f>
        <v>-0.0856720180820257</v>
      </c>
      <c r="F257" s="11" t="n">
        <f aca="false">IF(D257=0,"",AVERAGEIFS(Market_Panel!$P$2:$P$2705,Market_Panel!$A$2:$A$2705,B257,Market_Panel!$B$2:$B$2705,"&gt;="&amp;$B$12,Market_Panel!$B$2:$B$2705,"&lt;="&amp;$C$12))</f>
        <v>-0.153412067824242</v>
      </c>
      <c r="G257" s="11" t="n">
        <f aca="false">IF(D257=0,"",AVERAGEIFS(Market_Panel!$R$2:$R$2705,Market_Panel!$A$2:$A$2705,B257,Market_Panel!$B$2:$B$2705,"&gt;="&amp;$B$12,Market_Panel!$B$2:$B$2705,"&lt;="&amp;$C$12))</f>
        <v>0.9</v>
      </c>
      <c r="H257" s="11" t="n">
        <f aca="false">IF(OR(D257=0,$H$12=0),0,AVERAGEIFS(Market_Panel!$Y$2:$Y$2705,Market_Panel!$A$2:$A$2705,B257,Market_Panel!$B$2:$B$2705,"&gt;="&amp;$B$12,Market_Panel!$B$2:$B$2705,"&lt;="&amp;$C$12))</f>
        <v>0</v>
      </c>
      <c r="I257" s="10" t="n">
        <f aca="false">IF(D257=0,"",$I$12+$F$12*F257+$G$12*G257+$H$12*H257)</f>
        <v>-0.0422566932648713</v>
      </c>
      <c r="J257" s="5" t="n">
        <f aca="false">IF(D257&lt;5,"",(E257-I257)*162)</f>
        <v>-7.03328262037902</v>
      </c>
      <c r="K257" s="5" t="n">
        <f aca="false">IF(D257=0,"",E257*162)</f>
        <v>-13.8788669292882</v>
      </c>
      <c r="L257" s="3" t="n">
        <f aca="false">SUMIFS(Seasons!$L$2:$L$2865,Seasons!$A$2:$A$2865,B257,Seasons!$B$2:$B$2865,"&gt;="&amp;$B$12,Seasons!$B$2:$B$2865,"&lt;="&amp;$C$12)</f>
        <v>0</v>
      </c>
      <c r="M257" s="3" t="n">
        <f aca="false">SUMIFS(Seasons!$N$2:$N$2865,Seasons!$A$2:$A$2865,B257,Seasons!$B$2:$B$2865,"&gt;="&amp;$B$12,Seasons!$B$2:$B$2865,"&lt;="&amp;$C$12)</f>
        <v>0</v>
      </c>
      <c r="N257" s="3" t="n">
        <f aca="false">IF(J257="",-1000000,J257+ROW()*0.000000001)</f>
        <v>-7.03328236337902</v>
      </c>
      <c r="O257" s="3" t="n">
        <f aca="false">IF(J257="","",SUMPRODUCT(($A$25:$A$534=A257)*($N$25:$N$534&gt;N257))+1)</f>
        <v>22</v>
      </c>
      <c r="P257" s="3" t="str">
        <f aca="false">A257&amp;"|"&amp;O257</f>
        <v>1970s|22</v>
      </c>
    </row>
    <row r="258" customFormat="false" ht="15" hidden="false" customHeight="true" outlineLevel="0" collapsed="false">
      <c r="A258" s="1" t="s">
        <v>16</v>
      </c>
      <c r="B258" s="7" t="s">
        <v>79</v>
      </c>
      <c r="C258" s="1" t="s">
        <v>72</v>
      </c>
      <c r="D258" s="3" t="n">
        <f aca="false">COUNTIFS(Market_Panel!$A$2:$A$2705,B258,Market_Panel!$B$2:$B$2705,"&gt;="&amp;$B$12,Market_Panel!$B$2:$B$2705,"&lt;="&amp;$C$12)</f>
        <v>10</v>
      </c>
      <c r="E258" s="10" t="n">
        <f aca="false">IF(D258=0,"",AVERAGEIFS(Market_Panel!$M$2:$M$2705,Market_Panel!$A$2:$A$2705,B258,Market_Panel!$B$2:$B$2705,"&gt;="&amp;$B$12,Market_Panel!$B$2:$B$2705,"&lt;="&amp;$C$12))</f>
        <v>-0.0353025873603998</v>
      </c>
      <c r="F258" s="11" t="n">
        <f aca="false">IF(D258=0,"",AVERAGEIFS(Market_Panel!$P$2:$P$2705,Market_Panel!$A$2:$A$2705,B258,Market_Panel!$B$2:$B$2705,"&gt;="&amp;$B$12,Market_Panel!$B$2:$B$2705,"&lt;="&amp;$C$12))</f>
        <v>0.203003331136721</v>
      </c>
      <c r="G258" s="11" t="n">
        <f aca="false">IF(D258=0,"",AVERAGEIFS(Market_Panel!$R$2:$R$2705,Market_Panel!$A$2:$A$2705,B258,Market_Panel!$B$2:$B$2705,"&gt;="&amp;$B$12,Market_Panel!$B$2:$B$2705,"&lt;="&amp;$C$12))</f>
        <v>0.9</v>
      </c>
      <c r="H258" s="11" t="n">
        <f aca="false">IF(OR(D258=0,$H$12=0),0,AVERAGEIFS(Market_Panel!$Y$2:$Y$2705,Market_Panel!$A$2:$A$2705,B258,Market_Panel!$B$2:$B$2705,"&gt;="&amp;$B$12,Market_Panel!$B$2:$B$2705,"&lt;="&amp;$C$12))</f>
        <v>0</v>
      </c>
      <c r="I258" s="10" t="n">
        <f aca="false">IF(D258=0,"",$I$12+$F$12*F258+$G$12*G258+$H$12*H258)</f>
        <v>-0.04516339150163</v>
      </c>
      <c r="J258" s="5" t="n">
        <f aca="false">IF(D258&lt;5,"",(E258-I258)*162)</f>
        <v>1.59745027087929</v>
      </c>
      <c r="K258" s="5" t="n">
        <f aca="false">IF(D258=0,"",E258*162)</f>
        <v>-5.71901915238477</v>
      </c>
      <c r="L258" s="3" t="n">
        <f aca="false">SUMIFS(Seasons!$L$2:$L$2865,Seasons!$A$2:$A$2865,B258,Seasons!$B$2:$B$2865,"&gt;="&amp;$B$12,Seasons!$B$2:$B$2865,"&lt;="&amp;$C$12)</f>
        <v>0</v>
      </c>
      <c r="M258" s="3" t="n">
        <f aca="false">SUMIFS(Seasons!$N$2:$N$2865,Seasons!$A$2:$A$2865,B258,Seasons!$B$2:$B$2865,"&gt;="&amp;$B$12,Seasons!$B$2:$B$2865,"&lt;="&amp;$C$12)</f>
        <v>0</v>
      </c>
      <c r="N258" s="3" t="n">
        <f aca="false">IF(J258="",-1000000,J258+ROW()*0.000000001)</f>
        <v>1.59745052887929</v>
      </c>
      <c r="O258" s="3" t="n">
        <f aca="false">IF(J258="","",SUMPRODUCT(($A$25:$A$534=A258)*($N$25:$N$534&gt;N258))+1)</f>
        <v>8</v>
      </c>
      <c r="P258" s="3" t="str">
        <f aca="false">A258&amp;"|"&amp;O258</f>
        <v>1970s|8</v>
      </c>
    </row>
    <row r="259" customFormat="false" ht="15" hidden="false" customHeight="true" outlineLevel="0" collapsed="false">
      <c r="A259" s="1" t="s">
        <v>16</v>
      </c>
      <c r="B259" s="7" t="s">
        <v>80</v>
      </c>
      <c r="C259" s="1" t="s">
        <v>72</v>
      </c>
      <c r="D259" s="3" t="n">
        <f aca="false">COUNTIFS(Market_Panel!$A$2:$A$2705,B259,Market_Panel!$B$2:$B$2705,"&gt;="&amp;$B$12,Market_Panel!$B$2:$B$2705,"&lt;="&amp;$C$12)</f>
        <v>3</v>
      </c>
      <c r="E259" s="10" t="n">
        <f aca="false">IF(D259=0,"",AVERAGEIFS(Market_Panel!$M$2:$M$2705,Market_Panel!$A$2:$A$2705,B259,Market_Panel!$B$2:$B$2705,"&gt;="&amp;$B$12,Market_Panel!$B$2:$B$2705,"&lt;="&amp;$C$12))</f>
        <v>-0.113775080932119</v>
      </c>
      <c r="F259" s="11" t="n">
        <f aca="false">IF(D259=0,"",AVERAGEIFS(Market_Panel!$P$2:$P$2705,Market_Panel!$A$2:$A$2705,B259,Market_Panel!$B$2:$B$2705,"&gt;="&amp;$B$12,Market_Panel!$B$2:$B$2705,"&lt;="&amp;$C$12))</f>
        <v>-0.52932008268524</v>
      </c>
      <c r="G259" s="11" t="n">
        <f aca="false">IF(D259=0,"",AVERAGEIFS(Market_Panel!$R$2:$R$2705,Market_Panel!$A$2:$A$2705,B259,Market_Panel!$B$2:$B$2705,"&gt;="&amp;$B$12,Market_Panel!$B$2:$B$2705,"&lt;="&amp;$C$12))</f>
        <v>1</v>
      </c>
      <c r="H259" s="11" t="n">
        <f aca="false">IF(OR(D259=0,$H$12=0),0,AVERAGEIFS(Market_Panel!$Y$2:$Y$2705,Market_Panel!$A$2:$A$2705,B259,Market_Panel!$B$2:$B$2705,"&gt;="&amp;$B$12,Market_Panel!$B$2:$B$2705,"&lt;="&amp;$C$12))</f>
        <v>0</v>
      </c>
      <c r="I259" s="10" t="n">
        <f aca="false">IF(D259=0,"",$I$12+$F$12*F259+$G$12*G259+$H$12*H259)</f>
        <v>-0.0453634159858417</v>
      </c>
      <c r="J259" s="5" t="str">
        <f aca="false">IF(D259&lt;5,"",(E259-I259)*162)</f>
        <v/>
      </c>
      <c r="K259" s="5" t="n">
        <f aca="false">IF(D259=0,"",E259*162)</f>
        <v>-18.4315631110034</v>
      </c>
      <c r="L259" s="3" t="n">
        <f aca="false">SUMIFS(Seasons!$L$2:$L$2865,Seasons!$A$2:$A$2865,B259,Seasons!$B$2:$B$2865,"&gt;="&amp;$B$12,Seasons!$B$2:$B$2865,"&lt;="&amp;$C$12)</f>
        <v>0</v>
      </c>
      <c r="M259" s="3" t="n">
        <f aca="false">SUMIFS(Seasons!$N$2:$N$2865,Seasons!$A$2:$A$2865,B259,Seasons!$B$2:$B$2865,"&gt;="&amp;$B$12,Seasons!$B$2:$B$2865,"&lt;="&amp;$C$12)</f>
        <v>0</v>
      </c>
      <c r="N259" s="3" t="n">
        <f aca="false">IF(J259="",-1000000,J259+ROW()*0.000000001)</f>
        <v>-1000000</v>
      </c>
      <c r="O259" s="3" t="str">
        <f aca="false">IF(J259="","",SUMPRODUCT(($A$25:$A$534=A259)*($N$25:$N$534&gt;N259))+1)</f>
        <v/>
      </c>
      <c r="P259" s="3" t="str">
        <f aca="false">A259&amp;"|"&amp;O259</f>
        <v>1970s|</v>
      </c>
    </row>
    <row r="260" customFormat="false" ht="15" hidden="false" customHeight="true" outlineLevel="0" collapsed="false">
      <c r="A260" s="1" t="s">
        <v>16</v>
      </c>
      <c r="B260" s="7" t="s">
        <v>81</v>
      </c>
      <c r="C260" s="1" t="s">
        <v>72</v>
      </c>
      <c r="D260" s="3" t="n">
        <f aca="false">COUNTIFS(Market_Panel!$A$2:$A$2705,B260,Market_Panel!$B$2:$B$2705,"&gt;="&amp;$B$12,Market_Panel!$B$2:$B$2705,"&lt;="&amp;$C$12)</f>
        <v>3</v>
      </c>
      <c r="E260" s="10" t="n">
        <f aca="false">IF(D260=0,"",AVERAGEIFS(Market_Panel!$M$2:$M$2705,Market_Panel!$A$2:$A$2705,B260,Market_Panel!$B$2:$B$2705,"&gt;="&amp;$B$12,Market_Panel!$B$2:$B$2705,"&lt;="&amp;$C$12))</f>
        <v>-0.156981123413524</v>
      </c>
      <c r="F260" s="11" t="n">
        <f aca="false">IF(D260=0,"",AVERAGEIFS(Market_Panel!$P$2:$P$2705,Market_Panel!$A$2:$A$2705,B260,Market_Panel!$B$2:$B$2705,"&gt;="&amp;$B$12,Market_Panel!$B$2:$B$2705,"&lt;="&amp;$C$12))</f>
        <v>-0.315652516082993</v>
      </c>
      <c r="G260" s="11" t="n">
        <f aca="false">IF(D260=0,"",AVERAGEIFS(Market_Panel!$R$2:$R$2705,Market_Panel!$A$2:$A$2705,B260,Market_Panel!$B$2:$B$2705,"&gt;="&amp;$B$12,Market_Panel!$B$2:$B$2705,"&lt;="&amp;$C$12))</f>
        <v>1</v>
      </c>
      <c r="H260" s="11" t="n">
        <f aca="false">IF(OR(D260=0,$H$12=0),0,AVERAGEIFS(Market_Panel!$Y$2:$Y$2705,Market_Panel!$A$2:$A$2705,B260,Market_Panel!$B$2:$B$2705,"&gt;="&amp;$B$12,Market_Panel!$B$2:$B$2705,"&lt;="&amp;$C$12))</f>
        <v>0</v>
      </c>
      <c r="I260" s="10" t="n">
        <f aca="false">IF(D260=0,"",$I$12+$F$12*F260+$G$12*G260+$H$12*H260)</f>
        <v>-0.0471059533198229</v>
      </c>
      <c r="J260" s="5" t="str">
        <f aca="false">IF(D260&lt;5,"",(E260-I260)*162)</f>
        <v/>
      </c>
      <c r="K260" s="5" t="n">
        <f aca="false">IF(D260=0,"",E260*162)</f>
        <v>-25.4309419929909</v>
      </c>
      <c r="L260" s="3" t="n">
        <f aca="false">SUMIFS(Seasons!$L$2:$L$2865,Seasons!$A$2:$A$2865,B260,Seasons!$B$2:$B$2865,"&gt;="&amp;$B$12,Seasons!$B$2:$B$2865,"&lt;="&amp;$C$12)</f>
        <v>0</v>
      </c>
      <c r="M260" s="3" t="n">
        <f aca="false">SUMIFS(Seasons!$N$2:$N$2865,Seasons!$A$2:$A$2865,B260,Seasons!$B$2:$B$2865,"&gt;="&amp;$B$12,Seasons!$B$2:$B$2865,"&lt;="&amp;$C$12)</f>
        <v>0</v>
      </c>
      <c r="N260" s="3" t="n">
        <f aca="false">IF(J260="",-1000000,J260+ROW()*0.000000001)</f>
        <v>-1000000</v>
      </c>
      <c r="O260" s="3" t="str">
        <f aca="false">IF(J260="","",SUMPRODUCT(($A$25:$A$534=A260)*($N$25:$N$534&gt;N260))+1)</f>
        <v/>
      </c>
      <c r="P260" s="3" t="str">
        <f aca="false">A260&amp;"|"&amp;O260</f>
        <v>1970s|</v>
      </c>
    </row>
    <row r="261" customFormat="false" ht="15" hidden="false" customHeight="true" outlineLevel="0" collapsed="false">
      <c r="A261" s="1" t="s">
        <v>16</v>
      </c>
      <c r="B261" s="7" t="s">
        <v>82</v>
      </c>
      <c r="C261" s="1" t="s">
        <v>72</v>
      </c>
      <c r="D261" s="3" t="n">
        <f aca="false">COUNTIFS(Market_Panel!$A$2:$A$2705,B261,Market_Panel!$B$2:$B$2705,"&gt;="&amp;$B$12,Market_Panel!$B$2:$B$2705,"&lt;="&amp;$C$12)</f>
        <v>0</v>
      </c>
      <c r="E261" s="10" t="str">
        <f aca="false">IF(D261=0,"",AVERAGEIFS(Market_Panel!$M$2:$M$2705,Market_Panel!$A$2:$A$2705,B261,Market_Panel!$B$2:$B$2705,"&gt;="&amp;$B$12,Market_Panel!$B$2:$B$2705,"&lt;="&amp;$C$12))</f>
        <v/>
      </c>
      <c r="F261" s="11" t="str">
        <f aca="false">IF(D261=0,"",AVERAGEIFS(Market_Panel!$P$2:$P$2705,Market_Panel!$A$2:$A$2705,B261,Market_Panel!$B$2:$B$2705,"&gt;="&amp;$B$12,Market_Panel!$B$2:$B$2705,"&lt;="&amp;$C$12))</f>
        <v/>
      </c>
      <c r="G261" s="11" t="str">
        <f aca="false">IF(D261=0,"",AVERAGEIFS(Market_Panel!$R$2:$R$2705,Market_Panel!$A$2:$A$2705,B261,Market_Panel!$B$2:$B$2705,"&gt;="&amp;$B$12,Market_Panel!$B$2:$B$2705,"&lt;="&amp;$C$12))</f>
        <v/>
      </c>
      <c r="H261" s="11" t="n">
        <f aca="false">IF(OR(D261=0,$H$12=0),0,AVERAGEIFS(Market_Panel!$Y$2:$Y$2705,Market_Panel!$A$2:$A$2705,B261,Market_Panel!$B$2:$B$2705,"&gt;="&amp;$B$12,Market_Panel!$B$2:$B$2705,"&lt;="&amp;$C$12))</f>
        <v>0</v>
      </c>
      <c r="I261" s="10" t="str">
        <f aca="false">IF(D261=0,"",$I$12+$F$12*F261+$G$12*G261+$H$12*H261)</f>
        <v/>
      </c>
      <c r="J261" s="5" t="str">
        <f aca="false">IF(D261&lt;5,"",(E261-I261)*162)</f>
        <v/>
      </c>
      <c r="K261" s="5" t="str">
        <f aca="false">IF(D261=0,"",E261*162)</f>
        <v/>
      </c>
      <c r="L261" s="3" t="n">
        <f aca="false">SUMIFS(Seasons!$L$2:$L$2865,Seasons!$A$2:$A$2865,B261,Seasons!$B$2:$B$2865,"&gt;="&amp;$B$12,Seasons!$B$2:$B$2865,"&lt;="&amp;$C$12)</f>
        <v>0</v>
      </c>
      <c r="M261" s="3" t="n">
        <f aca="false">SUMIFS(Seasons!$N$2:$N$2865,Seasons!$A$2:$A$2865,B261,Seasons!$B$2:$B$2865,"&gt;="&amp;$B$12,Seasons!$B$2:$B$2865,"&lt;="&amp;$C$12)</f>
        <v>0</v>
      </c>
      <c r="N261" s="3" t="n">
        <f aca="false">IF(J261="",-1000000,J261+ROW()*0.000000001)</f>
        <v>-1000000</v>
      </c>
      <c r="O261" s="3" t="str">
        <f aca="false">IF(J261="","",SUMPRODUCT(($A$25:$A$534=A261)*($N$25:$N$534&gt;N261))+1)</f>
        <v/>
      </c>
      <c r="P261" s="3" t="str">
        <f aca="false">A261&amp;"|"&amp;O261</f>
        <v>1970s|</v>
      </c>
    </row>
    <row r="262" customFormat="false" ht="15" hidden="false" customHeight="true" outlineLevel="0" collapsed="false">
      <c r="A262" s="1" t="s">
        <v>16</v>
      </c>
      <c r="B262" s="7" t="s">
        <v>83</v>
      </c>
      <c r="C262" s="1" t="s">
        <v>72</v>
      </c>
      <c r="D262" s="3" t="n">
        <f aca="false">COUNTIFS(Market_Panel!$A$2:$A$2705,B262,Market_Panel!$B$2:$B$2705,"&gt;="&amp;$B$12,Market_Panel!$B$2:$B$2705,"&lt;="&amp;$C$12)</f>
        <v>0</v>
      </c>
      <c r="E262" s="10" t="str">
        <f aca="false">IF(D262=0,"",AVERAGEIFS(Market_Panel!$M$2:$M$2705,Market_Panel!$A$2:$A$2705,B262,Market_Panel!$B$2:$B$2705,"&gt;="&amp;$B$12,Market_Panel!$B$2:$B$2705,"&lt;="&amp;$C$12))</f>
        <v/>
      </c>
      <c r="F262" s="11" t="str">
        <f aca="false">IF(D262=0,"",AVERAGEIFS(Market_Panel!$P$2:$P$2705,Market_Panel!$A$2:$A$2705,B262,Market_Panel!$B$2:$B$2705,"&gt;="&amp;$B$12,Market_Panel!$B$2:$B$2705,"&lt;="&amp;$C$12))</f>
        <v/>
      </c>
      <c r="G262" s="11" t="str">
        <f aca="false">IF(D262=0,"",AVERAGEIFS(Market_Panel!$R$2:$R$2705,Market_Panel!$A$2:$A$2705,B262,Market_Panel!$B$2:$B$2705,"&gt;="&amp;$B$12,Market_Panel!$B$2:$B$2705,"&lt;="&amp;$C$12))</f>
        <v/>
      </c>
      <c r="H262" s="11" t="n">
        <f aca="false">IF(OR(D262=0,$H$12=0),0,AVERAGEIFS(Market_Panel!$Y$2:$Y$2705,Market_Panel!$A$2:$A$2705,B262,Market_Panel!$B$2:$B$2705,"&gt;="&amp;$B$12,Market_Panel!$B$2:$B$2705,"&lt;="&amp;$C$12))</f>
        <v>0</v>
      </c>
      <c r="I262" s="10" t="str">
        <f aca="false">IF(D262=0,"",$I$12+$F$12*F262+$G$12*G262+$H$12*H262)</f>
        <v/>
      </c>
      <c r="J262" s="5" t="str">
        <f aca="false">IF(D262&lt;5,"",(E262-I262)*162)</f>
        <v/>
      </c>
      <c r="K262" s="5" t="str">
        <f aca="false">IF(D262=0,"",E262*162)</f>
        <v/>
      </c>
      <c r="L262" s="3" t="n">
        <f aca="false">SUMIFS(Seasons!$L$2:$L$2865,Seasons!$A$2:$A$2865,B262,Seasons!$B$2:$B$2865,"&gt;="&amp;$B$12,Seasons!$B$2:$B$2865,"&lt;="&amp;$C$12)</f>
        <v>0</v>
      </c>
      <c r="M262" s="3" t="n">
        <f aca="false">SUMIFS(Seasons!$N$2:$N$2865,Seasons!$A$2:$A$2865,B262,Seasons!$B$2:$B$2865,"&gt;="&amp;$B$12,Seasons!$B$2:$B$2865,"&lt;="&amp;$C$12)</f>
        <v>0</v>
      </c>
      <c r="N262" s="3" t="n">
        <f aca="false">IF(J262="",-1000000,J262+ROW()*0.000000001)</f>
        <v>-1000000</v>
      </c>
      <c r="O262" s="3" t="str">
        <f aca="false">IF(J262="","",SUMPRODUCT(($A$25:$A$534=A262)*($N$25:$N$534&gt;N262))+1)</f>
        <v/>
      </c>
      <c r="P262" s="3" t="str">
        <f aca="false">A262&amp;"|"&amp;O262</f>
        <v>1970s|</v>
      </c>
    </row>
    <row r="263" customFormat="false" ht="15" hidden="false" customHeight="true" outlineLevel="0" collapsed="false">
      <c r="A263" s="1" t="s">
        <v>16</v>
      </c>
      <c r="B263" s="7" t="s">
        <v>84</v>
      </c>
      <c r="C263" s="1" t="s">
        <v>72</v>
      </c>
      <c r="D263" s="3" t="n">
        <f aca="false">COUNTIFS(Market_Panel!$A$2:$A$2705,B263,Market_Panel!$B$2:$B$2705,"&gt;="&amp;$B$12,Market_Panel!$B$2:$B$2705,"&lt;="&amp;$C$12)</f>
        <v>0</v>
      </c>
      <c r="E263" s="10" t="str">
        <f aca="false">IF(D263=0,"",AVERAGEIFS(Market_Panel!$M$2:$M$2705,Market_Panel!$A$2:$A$2705,B263,Market_Panel!$B$2:$B$2705,"&gt;="&amp;$B$12,Market_Panel!$B$2:$B$2705,"&lt;="&amp;$C$12))</f>
        <v/>
      </c>
      <c r="F263" s="11" t="str">
        <f aca="false">IF(D263=0,"",AVERAGEIFS(Market_Panel!$P$2:$P$2705,Market_Panel!$A$2:$A$2705,B263,Market_Panel!$B$2:$B$2705,"&gt;="&amp;$B$12,Market_Panel!$B$2:$B$2705,"&lt;="&amp;$C$12))</f>
        <v/>
      </c>
      <c r="G263" s="11" t="str">
        <f aca="false">IF(D263=0,"",AVERAGEIFS(Market_Panel!$R$2:$R$2705,Market_Panel!$A$2:$A$2705,B263,Market_Panel!$B$2:$B$2705,"&gt;="&amp;$B$12,Market_Panel!$B$2:$B$2705,"&lt;="&amp;$C$12))</f>
        <v/>
      </c>
      <c r="H263" s="11" t="n">
        <f aca="false">IF(OR(D263=0,$H$12=0),0,AVERAGEIFS(Market_Panel!$Y$2:$Y$2705,Market_Panel!$A$2:$A$2705,B263,Market_Panel!$B$2:$B$2705,"&gt;="&amp;$B$12,Market_Panel!$B$2:$B$2705,"&lt;="&amp;$C$12))</f>
        <v>0</v>
      </c>
      <c r="I263" s="10" t="str">
        <f aca="false">IF(D263=0,"",$I$12+$F$12*F263+$G$12*G263+$H$12*H263)</f>
        <v/>
      </c>
      <c r="J263" s="5" t="str">
        <f aca="false">IF(D263&lt;5,"",(E263-I263)*162)</f>
        <v/>
      </c>
      <c r="K263" s="5" t="str">
        <f aca="false">IF(D263=0,"",E263*162)</f>
        <v/>
      </c>
      <c r="L263" s="3" t="n">
        <f aca="false">SUMIFS(Seasons!$L$2:$L$2865,Seasons!$A$2:$A$2865,B263,Seasons!$B$2:$B$2865,"&gt;="&amp;$B$12,Seasons!$B$2:$B$2865,"&lt;="&amp;$C$12)</f>
        <v>0</v>
      </c>
      <c r="M263" s="3" t="n">
        <f aca="false">SUMIFS(Seasons!$N$2:$N$2865,Seasons!$A$2:$A$2865,B263,Seasons!$B$2:$B$2865,"&gt;="&amp;$B$12,Seasons!$B$2:$B$2865,"&lt;="&amp;$C$12)</f>
        <v>0</v>
      </c>
      <c r="N263" s="3" t="n">
        <f aca="false">IF(J263="",-1000000,J263+ROW()*0.000000001)</f>
        <v>-1000000</v>
      </c>
      <c r="O263" s="3" t="str">
        <f aca="false">IF(J263="","",SUMPRODUCT(($A$25:$A$534=A263)*($N$25:$N$534&gt;N263))+1)</f>
        <v/>
      </c>
      <c r="P263" s="3" t="str">
        <f aca="false">A263&amp;"|"&amp;O263</f>
        <v>1970s|</v>
      </c>
    </row>
    <row r="264" customFormat="false" ht="15" hidden="false" customHeight="true" outlineLevel="0" collapsed="false">
      <c r="A264" s="1" t="s">
        <v>16</v>
      </c>
      <c r="B264" s="7" t="s">
        <v>85</v>
      </c>
      <c r="C264" s="1" t="s">
        <v>72</v>
      </c>
      <c r="D264" s="3" t="n">
        <f aca="false">COUNTIFS(Market_Panel!$A$2:$A$2705,B264,Market_Panel!$B$2:$B$2705,"&gt;="&amp;$B$12,Market_Panel!$B$2:$B$2705,"&lt;="&amp;$C$12)</f>
        <v>0</v>
      </c>
      <c r="E264" s="10" t="str">
        <f aca="false">IF(D264=0,"",AVERAGEIFS(Market_Panel!$M$2:$M$2705,Market_Panel!$A$2:$A$2705,B264,Market_Panel!$B$2:$B$2705,"&gt;="&amp;$B$12,Market_Panel!$B$2:$B$2705,"&lt;="&amp;$C$12))</f>
        <v/>
      </c>
      <c r="F264" s="11" t="str">
        <f aca="false">IF(D264=0,"",AVERAGEIFS(Market_Panel!$P$2:$P$2705,Market_Panel!$A$2:$A$2705,B264,Market_Panel!$B$2:$B$2705,"&gt;="&amp;$B$12,Market_Panel!$B$2:$B$2705,"&lt;="&amp;$C$12))</f>
        <v/>
      </c>
      <c r="G264" s="11" t="str">
        <f aca="false">IF(D264=0,"",AVERAGEIFS(Market_Panel!$R$2:$R$2705,Market_Panel!$A$2:$A$2705,B264,Market_Panel!$B$2:$B$2705,"&gt;="&amp;$B$12,Market_Panel!$B$2:$B$2705,"&lt;="&amp;$C$12))</f>
        <v/>
      </c>
      <c r="H264" s="11" t="n">
        <f aca="false">IF(OR(D264=0,$H$12=0),0,AVERAGEIFS(Market_Panel!$Y$2:$Y$2705,Market_Panel!$A$2:$A$2705,B264,Market_Panel!$B$2:$B$2705,"&gt;="&amp;$B$12,Market_Panel!$B$2:$B$2705,"&lt;="&amp;$C$12))</f>
        <v>0</v>
      </c>
      <c r="I264" s="10" t="str">
        <f aca="false">IF(D264=0,"",$I$12+$F$12*F264+$G$12*G264+$H$12*H264)</f>
        <v/>
      </c>
      <c r="J264" s="5" t="str">
        <f aca="false">IF(D264&lt;5,"",(E264-I264)*162)</f>
        <v/>
      </c>
      <c r="K264" s="5" t="str">
        <f aca="false">IF(D264=0,"",E264*162)</f>
        <v/>
      </c>
      <c r="L264" s="3" t="n">
        <f aca="false">SUMIFS(Seasons!$L$2:$L$2865,Seasons!$A$2:$A$2865,B264,Seasons!$B$2:$B$2865,"&gt;="&amp;$B$12,Seasons!$B$2:$B$2865,"&lt;="&amp;$C$12)</f>
        <v>0</v>
      </c>
      <c r="M264" s="3" t="n">
        <f aca="false">SUMIFS(Seasons!$N$2:$N$2865,Seasons!$A$2:$A$2865,B264,Seasons!$B$2:$B$2865,"&gt;="&amp;$B$12,Seasons!$B$2:$B$2865,"&lt;="&amp;$C$12)</f>
        <v>0</v>
      </c>
      <c r="N264" s="3" t="n">
        <f aca="false">IF(J264="",-1000000,J264+ROW()*0.000000001)</f>
        <v>-1000000</v>
      </c>
      <c r="O264" s="3" t="str">
        <f aca="false">IF(J264="","",SUMPRODUCT(($A$25:$A$534=A264)*($N$25:$N$534&gt;N264))+1)</f>
        <v/>
      </c>
      <c r="P264" s="3" t="str">
        <f aca="false">A264&amp;"|"&amp;O264</f>
        <v>1970s|</v>
      </c>
    </row>
    <row r="265" customFormat="false" ht="15" hidden="false" customHeight="true" outlineLevel="0" collapsed="false">
      <c r="A265" s="1" t="s">
        <v>17</v>
      </c>
      <c r="B265" s="7" t="s">
        <v>54</v>
      </c>
      <c r="C265" s="1" t="s">
        <v>55</v>
      </c>
      <c r="D265" s="3" t="n">
        <f aca="false">COUNTIFS(Market_Panel!$A$2:$A$2705,B265,Market_Panel!$B$2:$B$2705,"&gt;="&amp;$B$13,Market_Panel!$B$2:$B$2705,"&lt;="&amp;$C$13)</f>
        <v>10</v>
      </c>
      <c r="E265" s="10" t="n">
        <f aca="false">IF(D265=0,"",AVERAGEIFS(Market_Panel!$M$2:$M$2705,Market_Panel!$A$2:$A$2705,B265,Market_Panel!$B$2:$B$2705,"&gt;="&amp;$B$13,Market_Panel!$B$2:$B$2705,"&lt;="&amp;$C$13))</f>
        <v>-0.0423685730666009</v>
      </c>
      <c r="F265" s="11" t="n">
        <f aca="false">IF(D265=0,"",AVERAGEIFS(Market_Panel!$P$2:$P$2705,Market_Panel!$A$2:$A$2705,B265,Market_Panel!$B$2:$B$2705,"&gt;="&amp;$B$13,Market_Panel!$B$2:$B$2705,"&lt;="&amp;$C$13))</f>
        <v>-0.70960592403739</v>
      </c>
      <c r="G265" s="11" t="n">
        <f aca="false">IF(D265=0,"",AVERAGEIFS(Market_Panel!$R$2:$R$2705,Market_Panel!$A$2:$A$2705,B265,Market_Panel!$B$2:$B$2705,"&gt;="&amp;$B$13,Market_Panel!$B$2:$B$2705,"&lt;="&amp;$C$13))</f>
        <v>0</v>
      </c>
      <c r="H265" s="11" t="n">
        <f aca="false">IF(OR(D265=0,$H$13=0),0,AVERAGEIFS(Market_Panel!$Y$2:$Y$2705,Market_Panel!$A$2:$A$2705,B265,Market_Panel!$B$2:$B$2705,"&gt;="&amp;$B$13,Market_Panel!$B$2:$B$2705,"&lt;="&amp;$C$13))</f>
        <v>0</v>
      </c>
      <c r="I265" s="10" t="n">
        <f aca="false">IF(D265=0,"",$I$13+$F$13*F265+$G$13*G265+$H$13*H265)</f>
        <v>-0.00796697473483658</v>
      </c>
      <c r="J265" s="5" t="n">
        <f aca="false">IF(D265&lt;5,"",(E265-I265)*162)</f>
        <v>-5.57305892974581</v>
      </c>
      <c r="K265" s="5" t="n">
        <f aca="false">IF(D265=0,"",E265*162)</f>
        <v>-6.86370883678934</v>
      </c>
      <c r="L265" s="3" t="n">
        <f aca="false">SUMIFS(Seasons!$L$2:$L$2865,Seasons!$A$2:$A$2865,B265,Seasons!$B$2:$B$2865,"&gt;="&amp;$B$13,Seasons!$B$2:$B$2865,"&lt;="&amp;$C$13)</f>
        <v>1</v>
      </c>
      <c r="M265" s="3" t="n">
        <f aca="false">SUMIFS(Seasons!$N$2:$N$2865,Seasons!$A$2:$A$2865,B265,Seasons!$B$2:$B$2865,"&gt;="&amp;$B$13,Seasons!$B$2:$B$2865,"&lt;="&amp;$C$13)</f>
        <v>0</v>
      </c>
      <c r="N265" s="3" t="n">
        <f aca="false">IF(J265="",-1000000,J265+ROW()*0.000000001)</f>
        <v>-5.57305866474581</v>
      </c>
      <c r="O265" s="3" t="n">
        <f aca="false">IF(J265="","",SUMPRODUCT(($A$25:$A$534=A265)*($N$25:$N$534&gt;N265))+1)</f>
        <v>22</v>
      </c>
      <c r="P265" s="3" t="str">
        <f aca="false">A265&amp;"|"&amp;O265</f>
        <v>1980s|22</v>
      </c>
    </row>
    <row r="266" customFormat="false" ht="15" hidden="false" customHeight="true" outlineLevel="0" collapsed="false">
      <c r="A266" s="1" t="s">
        <v>17</v>
      </c>
      <c r="B266" s="7" t="s">
        <v>56</v>
      </c>
      <c r="C266" s="1" t="s">
        <v>55</v>
      </c>
      <c r="D266" s="3" t="n">
        <f aca="false">COUNTIFS(Market_Panel!$A$2:$A$2705,B266,Market_Panel!$B$2:$B$2705,"&gt;="&amp;$B$13,Market_Panel!$B$2:$B$2705,"&lt;="&amp;$C$13)</f>
        <v>10</v>
      </c>
      <c r="E266" s="10" t="n">
        <f aca="false">IF(D266=0,"",AVERAGEIFS(Market_Panel!$M$2:$M$2705,Market_Panel!$A$2:$A$2705,B266,Market_Panel!$B$2:$B$2705,"&gt;="&amp;$B$13,Market_Panel!$B$2:$B$2705,"&lt;="&amp;$C$13))</f>
        <v>-0.0312993768845061</v>
      </c>
      <c r="F266" s="11" t="n">
        <f aca="false">IF(D266=0,"",AVERAGEIFS(Market_Panel!$P$2:$P$2705,Market_Panel!$A$2:$A$2705,B266,Market_Panel!$B$2:$B$2705,"&gt;="&amp;$B$13,Market_Panel!$B$2:$B$2705,"&lt;="&amp;$C$13))</f>
        <v>0.552818820027608</v>
      </c>
      <c r="G266" s="11" t="n">
        <f aca="false">IF(D266=0,"",AVERAGEIFS(Market_Panel!$R$2:$R$2705,Market_Panel!$A$2:$A$2705,B266,Market_Panel!$B$2:$B$2705,"&gt;="&amp;$B$13,Market_Panel!$B$2:$B$2705,"&lt;="&amp;$C$13))</f>
        <v>0</v>
      </c>
      <c r="H266" s="11" t="n">
        <f aca="false">IF(OR(D266=0,$H$13=0),0,AVERAGEIFS(Market_Panel!$Y$2:$Y$2705,Market_Panel!$A$2:$A$2705,B266,Market_Panel!$B$2:$B$2705,"&gt;="&amp;$B$13,Market_Panel!$B$2:$B$2705,"&lt;="&amp;$C$13))</f>
        <v>0</v>
      </c>
      <c r="I266" s="10" t="n">
        <f aca="false">IF(D266=0,"",$I$13+$F$13*F266+$G$13*G266+$H$13*H266)</f>
        <v>0.0097833077628349</v>
      </c>
      <c r="J266" s="5" t="n">
        <f aca="false">IF(D266&lt;5,"",(E266-I266)*162)</f>
        <v>-6.65539491286924</v>
      </c>
      <c r="K266" s="5" t="n">
        <f aca="false">IF(D266=0,"",E266*162)</f>
        <v>-5.07049905528998</v>
      </c>
      <c r="L266" s="3" t="n">
        <f aca="false">SUMIFS(Seasons!$L$2:$L$2865,Seasons!$A$2:$A$2865,B266,Seasons!$B$2:$B$2865,"&gt;="&amp;$B$13,Seasons!$B$2:$B$2865,"&lt;="&amp;$C$13)</f>
        <v>2</v>
      </c>
      <c r="M266" s="3" t="n">
        <f aca="false">SUMIFS(Seasons!$N$2:$N$2865,Seasons!$A$2:$A$2865,B266,Seasons!$B$2:$B$2865,"&gt;="&amp;$B$13,Seasons!$B$2:$B$2865,"&lt;="&amp;$C$13)</f>
        <v>0</v>
      </c>
      <c r="N266" s="3" t="n">
        <f aca="false">IF(J266="",-1000000,J266+ROW()*0.000000001)</f>
        <v>-6.65539464686924</v>
      </c>
      <c r="O266" s="3" t="n">
        <f aca="false">IF(J266="","",SUMPRODUCT(($A$25:$A$534=A266)*($N$25:$N$534&gt;N266))+1)</f>
        <v>26</v>
      </c>
      <c r="P266" s="3" t="str">
        <f aca="false">A266&amp;"|"&amp;O266</f>
        <v>1980s|26</v>
      </c>
    </row>
    <row r="267" customFormat="false" ht="15" hidden="false" customHeight="true" outlineLevel="0" collapsed="false">
      <c r="A267" s="1" t="s">
        <v>17</v>
      </c>
      <c r="B267" s="7" t="s">
        <v>57</v>
      </c>
      <c r="C267" s="1" t="s">
        <v>55</v>
      </c>
      <c r="D267" s="3" t="n">
        <f aca="false">COUNTIFS(Market_Panel!$A$2:$A$2705,B267,Market_Panel!$B$2:$B$2705,"&gt;="&amp;$B$13,Market_Panel!$B$2:$B$2705,"&lt;="&amp;$C$13)</f>
        <v>10</v>
      </c>
      <c r="E267" s="10" t="n">
        <f aca="false">IF(D267=0,"",AVERAGEIFS(Market_Panel!$M$2:$M$2705,Market_Panel!$A$2:$A$2705,B267,Market_Panel!$B$2:$B$2705,"&gt;="&amp;$B$13,Market_Panel!$B$2:$B$2705,"&lt;="&amp;$C$13))</f>
        <v>0.00320963148566032</v>
      </c>
      <c r="F267" s="11" t="n">
        <f aca="false">IF(D267=0,"",AVERAGEIFS(Market_Panel!$P$2:$P$2705,Market_Panel!$A$2:$A$2705,B267,Market_Panel!$B$2:$B$2705,"&gt;="&amp;$B$13,Market_Panel!$B$2:$B$2705,"&lt;="&amp;$C$13))</f>
        <v>-0.798951489087935</v>
      </c>
      <c r="G267" s="11" t="n">
        <f aca="false">IF(D267=0,"",AVERAGEIFS(Market_Panel!$R$2:$R$2705,Market_Panel!$A$2:$A$2705,B267,Market_Panel!$B$2:$B$2705,"&gt;="&amp;$B$13,Market_Panel!$B$2:$B$2705,"&lt;="&amp;$C$13))</f>
        <v>0</v>
      </c>
      <c r="H267" s="11" t="n">
        <f aca="false">IF(OR(D267=0,$H$13=0),0,AVERAGEIFS(Market_Panel!$Y$2:$Y$2705,Market_Panel!$A$2:$A$2705,B267,Market_Panel!$B$2:$B$2705,"&gt;="&amp;$B$13,Market_Panel!$B$2:$B$2705,"&lt;="&amp;$C$13))</f>
        <v>0</v>
      </c>
      <c r="I267" s="10" t="n">
        <f aca="false">IF(D267=0,"",$I$13+$F$13*F267+$G$13*G267+$H$13*H267)</f>
        <v>-0.00922321517769628</v>
      </c>
      <c r="J267" s="5" t="n">
        <f aca="false">IF(D267&lt;5,"",(E267-I267)*162)</f>
        <v>2.01412115946377</v>
      </c>
      <c r="K267" s="5" t="n">
        <f aca="false">IF(D267=0,"",E267*162)</f>
        <v>0.519960300676972</v>
      </c>
      <c r="L267" s="3" t="n">
        <f aca="false">SUMIFS(Seasons!$L$2:$L$2865,Seasons!$A$2:$A$2865,B267,Seasons!$B$2:$B$2865,"&gt;="&amp;$B$13,Seasons!$B$2:$B$2865,"&lt;="&amp;$C$13)</f>
        <v>0</v>
      </c>
      <c r="M267" s="3" t="n">
        <f aca="false">SUMIFS(Seasons!$N$2:$N$2865,Seasons!$A$2:$A$2865,B267,Seasons!$B$2:$B$2865,"&gt;="&amp;$B$13,Seasons!$B$2:$B$2865,"&lt;="&amp;$C$13)</f>
        <v>0</v>
      </c>
      <c r="N267" s="3" t="n">
        <f aca="false">IF(J267="",-1000000,J267+ROW()*0.000000001)</f>
        <v>2.01412142646377</v>
      </c>
      <c r="O267" s="3" t="n">
        <f aca="false">IF(J267="","",SUMPRODUCT(($A$25:$A$534=A267)*($N$25:$N$534&gt;N267))+1)</f>
        <v>12</v>
      </c>
      <c r="P267" s="3" t="str">
        <f aca="false">A267&amp;"|"&amp;O267</f>
        <v>1980s|12</v>
      </c>
    </row>
    <row r="268" customFormat="false" ht="15" hidden="false" customHeight="true" outlineLevel="0" collapsed="false">
      <c r="A268" s="1" t="s">
        <v>17</v>
      </c>
      <c r="B268" s="7" t="s">
        <v>58</v>
      </c>
      <c r="C268" s="1" t="s">
        <v>55</v>
      </c>
      <c r="D268" s="3" t="n">
        <f aca="false">COUNTIFS(Market_Panel!$A$2:$A$2705,B268,Market_Panel!$B$2:$B$2705,"&gt;="&amp;$B$13,Market_Panel!$B$2:$B$2705,"&lt;="&amp;$C$13)</f>
        <v>10</v>
      </c>
      <c r="E268" s="10" t="n">
        <f aca="false">IF(D268=0,"",AVERAGEIFS(Market_Panel!$M$2:$M$2705,Market_Panel!$A$2:$A$2705,B268,Market_Panel!$B$2:$B$2705,"&gt;="&amp;$B$13,Market_Panel!$B$2:$B$2705,"&lt;="&amp;$C$13))</f>
        <v>-0.030505064134939</v>
      </c>
      <c r="F268" s="11" t="n">
        <f aca="false">IF(D268=0,"",AVERAGEIFS(Market_Panel!$P$2:$P$2705,Market_Panel!$A$2:$A$2705,B268,Market_Panel!$B$2:$B$2705,"&gt;="&amp;$B$13,Market_Panel!$B$2:$B$2705,"&lt;="&amp;$C$13))</f>
        <v>-0.739458625530637</v>
      </c>
      <c r="G268" s="11" t="n">
        <f aca="false">IF(D268=0,"",AVERAGEIFS(Market_Panel!$R$2:$R$2705,Market_Panel!$A$2:$A$2705,B268,Market_Panel!$B$2:$B$2705,"&gt;="&amp;$B$13,Market_Panel!$B$2:$B$2705,"&lt;="&amp;$C$13))</f>
        <v>0</v>
      </c>
      <c r="H268" s="11" t="n">
        <f aca="false">IF(OR(D268=0,$H$13=0),0,AVERAGEIFS(Market_Panel!$Y$2:$Y$2705,Market_Panel!$A$2:$A$2705,B268,Market_Panel!$B$2:$B$2705,"&gt;="&amp;$B$13,Market_Panel!$B$2:$B$2705,"&lt;="&amp;$C$13))</f>
        <v>0</v>
      </c>
      <c r="I268" s="10" t="n">
        <f aca="false">IF(D268=0,"",$I$13+$F$13*F268+$G$13*G268+$H$13*H268)</f>
        <v>-0.0083867176837252</v>
      </c>
      <c r="J268" s="5" t="n">
        <f aca="false">IF(D268&lt;5,"",(E268-I268)*162)</f>
        <v>-3.58317212509663</v>
      </c>
      <c r="K268" s="5" t="n">
        <f aca="false">IF(D268=0,"",E268*162)</f>
        <v>-4.94182038986012</v>
      </c>
      <c r="L268" s="3" t="n">
        <f aca="false">SUMIFS(Seasons!$L$2:$L$2865,Seasons!$A$2:$A$2865,B268,Seasons!$B$2:$B$2865,"&gt;="&amp;$B$13,Seasons!$B$2:$B$2865,"&lt;="&amp;$C$13)</f>
        <v>0</v>
      </c>
      <c r="M268" s="3" t="n">
        <f aca="false">SUMIFS(Seasons!$N$2:$N$2865,Seasons!$A$2:$A$2865,B268,Seasons!$B$2:$B$2865,"&gt;="&amp;$B$13,Seasons!$B$2:$B$2865,"&lt;="&amp;$C$13)</f>
        <v>0</v>
      </c>
      <c r="N268" s="3" t="n">
        <f aca="false">IF(J268="",-1000000,J268+ROW()*0.000000001)</f>
        <v>-3.58317185709663</v>
      </c>
      <c r="O268" s="3" t="n">
        <f aca="false">IF(J268="","",SUMPRODUCT(($A$25:$A$534=A268)*($N$25:$N$534&gt;N268))+1)</f>
        <v>19</v>
      </c>
      <c r="P268" s="3" t="str">
        <f aca="false">A268&amp;"|"&amp;O268</f>
        <v>1980s|19</v>
      </c>
    </row>
    <row r="269" customFormat="false" ht="15" hidden="false" customHeight="true" outlineLevel="0" collapsed="false">
      <c r="A269" s="1" t="s">
        <v>17</v>
      </c>
      <c r="B269" s="7" t="s">
        <v>59</v>
      </c>
      <c r="C269" s="1" t="s">
        <v>55</v>
      </c>
      <c r="D269" s="3" t="n">
        <f aca="false">COUNTIFS(Market_Panel!$A$2:$A$2705,B269,Market_Panel!$B$2:$B$2705,"&gt;="&amp;$B$13,Market_Panel!$B$2:$B$2705,"&lt;="&amp;$C$13)</f>
        <v>10</v>
      </c>
      <c r="E269" s="10" t="n">
        <f aca="false">IF(D269=0,"",AVERAGEIFS(Market_Panel!$M$2:$M$2705,Market_Panel!$A$2:$A$2705,B269,Market_Panel!$B$2:$B$2705,"&gt;="&amp;$B$13,Market_Panel!$B$2:$B$2705,"&lt;="&amp;$C$13))</f>
        <v>0.0310512351158402</v>
      </c>
      <c r="F269" s="11" t="n">
        <f aca="false">IF(D269=0,"",AVERAGEIFS(Market_Panel!$P$2:$P$2705,Market_Panel!$A$2:$A$2705,B269,Market_Panel!$B$2:$B$2705,"&gt;="&amp;$B$13,Market_Panel!$B$2:$B$2705,"&lt;="&amp;$C$13))</f>
        <v>-0.670529455425412</v>
      </c>
      <c r="G269" s="11" t="n">
        <f aca="false">IF(D269=0,"",AVERAGEIFS(Market_Panel!$R$2:$R$2705,Market_Panel!$A$2:$A$2705,B269,Market_Panel!$B$2:$B$2705,"&gt;="&amp;$B$13,Market_Panel!$B$2:$B$2705,"&lt;="&amp;$C$13))</f>
        <v>0</v>
      </c>
      <c r="H269" s="11" t="n">
        <f aca="false">IF(OR(D269=0,$H$13=0),0,AVERAGEIFS(Market_Panel!$Y$2:$Y$2705,Market_Panel!$A$2:$A$2705,B269,Market_Panel!$B$2:$B$2705,"&gt;="&amp;$B$13,Market_Panel!$B$2:$B$2705,"&lt;="&amp;$C$13))</f>
        <v>0</v>
      </c>
      <c r="I269" s="10" t="n">
        <f aca="false">IF(D269=0,"",$I$13+$F$13*F269+$G$13*G269+$H$13*H269)</f>
        <v>-0.00741754130513323</v>
      </c>
      <c r="J269" s="5" t="n">
        <f aca="false">IF(D269&lt;5,"",(E269-I269)*162)</f>
        <v>6.2319417801977</v>
      </c>
      <c r="K269" s="5" t="n">
        <f aca="false">IF(D269=0,"",E269*162)</f>
        <v>5.03030008876612</v>
      </c>
      <c r="L269" s="3" t="n">
        <f aca="false">SUMIFS(Seasons!$L$2:$L$2865,Seasons!$A$2:$A$2865,B269,Seasons!$B$2:$B$2865,"&gt;="&amp;$B$13,Seasons!$B$2:$B$2865,"&lt;="&amp;$C$13)</f>
        <v>3</v>
      </c>
      <c r="M269" s="3" t="n">
        <f aca="false">SUMIFS(Seasons!$N$2:$N$2865,Seasons!$A$2:$A$2865,B269,Seasons!$B$2:$B$2865,"&gt;="&amp;$B$13,Seasons!$B$2:$B$2865,"&lt;="&amp;$C$13)</f>
        <v>1</v>
      </c>
      <c r="N269" s="3" t="n">
        <f aca="false">IF(J269="",-1000000,J269+ROW()*0.000000001)</f>
        <v>6.2319420491977</v>
      </c>
      <c r="O269" s="3" t="n">
        <f aca="false">IF(J269="","",SUMPRODUCT(($A$25:$A$534=A269)*($N$25:$N$534&gt;N269))+1)</f>
        <v>2</v>
      </c>
      <c r="P269" s="3" t="str">
        <f aca="false">A269&amp;"|"&amp;O269</f>
        <v>1980s|2</v>
      </c>
    </row>
    <row r="270" customFormat="false" ht="15" hidden="false" customHeight="true" outlineLevel="0" collapsed="false">
      <c r="A270" s="1" t="s">
        <v>17</v>
      </c>
      <c r="B270" s="7" t="s">
        <v>60</v>
      </c>
      <c r="C270" s="1" t="s">
        <v>55</v>
      </c>
      <c r="D270" s="3" t="n">
        <f aca="false">COUNTIFS(Market_Panel!$A$2:$A$2705,B270,Market_Panel!$B$2:$B$2705,"&gt;="&amp;$B$13,Market_Panel!$B$2:$B$2705,"&lt;="&amp;$C$13)</f>
        <v>10</v>
      </c>
      <c r="E270" s="10" t="n">
        <f aca="false">IF(D270=0,"",AVERAGEIFS(Market_Panel!$M$2:$M$2705,Market_Panel!$A$2:$A$2705,B270,Market_Panel!$B$2:$B$2705,"&gt;="&amp;$B$13,Market_Panel!$B$2:$B$2705,"&lt;="&amp;$C$13))</f>
        <v>0.0026984113008657</v>
      </c>
      <c r="F270" s="11" t="n">
        <f aca="false">IF(D270=0,"",AVERAGEIFS(Market_Panel!$P$2:$P$2705,Market_Panel!$A$2:$A$2705,B270,Market_Panel!$B$2:$B$2705,"&gt;="&amp;$B$13,Market_Panel!$B$2:$B$2705,"&lt;="&amp;$C$13))</f>
        <v>0.675539125508674</v>
      </c>
      <c r="G270" s="11" t="n">
        <f aca="false">IF(D270=0,"",AVERAGEIFS(Market_Panel!$R$2:$R$2705,Market_Panel!$A$2:$A$2705,B270,Market_Panel!$B$2:$B$2705,"&gt;="&amp;$B$13,Market_Panel!$B$2:$B$2705,"&lt;="&amp;$C$13))</f>
        <v>0</v>
      </c>
      <c r="H270" s="11" t="n">
        <f aca="false">IF(OR(D270=0,$H$13=0),0,AVERAGEIFS(Market_Panel!$Y$2:$Y$2705,Market_Panel!$A$2:$A$2705,B270,Market_Panel!$B$2:$B$2705,"&gt;="&amp;$B$13,Market_Panel!$B$2:$B$2705,"&lt;="&amp;$C$13))</f>
        <v>0</v>
      </c>
      <c r="I270" s="10" t="n">
        <f aca="false">IF(D270=0,"",$I$13+$F$13*F270+$G$13*G270+$H$13*H270)</f>
        <v>0.0115088126697455</v>
      </c>
      <c r="J270" s="5" t="n">
        <f aca="false">IF(D270&lt;5,"",(E270-I270)*162)</f>
        <v>-1.42728502175852</v>
      </c>
      <c r="K270" s="5" t="n">
        <f aca="false">IF(D270=0,"",E270*162)</f>
        <v>0.437142630740243</v>
      </c>
      <c r="L270" s="3" t="n">
        <f aca="false">SUMIFS(Seasons!$L$2:$L$2865,Seasons!$A$2:$A$2865,B270,Seasons!$B$2:$B$2865,"&gt;="&amp;$B$13,Seasons!$B$2:$B$2865,"&lt;="&amp;$C$13)</f>
        <v>3</v>
      </c>
      <c r="M270" s="3" t="n">
        <f aca="false">SUMIFS(Seasons!$N$2:$N$2865,Seasons!$A$2:$A$2865,B270,Seasons!$B$2:$B$2865,"&gt;="&amp;$B$13,Seasons!$B$2:$B$2865,"&lt;="&amp;$C$13)</f>
        <v>1</v>
      </c>
      <c r="N270" s="3" t="n">
        <f aca="false">IF(J270="",-1000000,J270+ROW()*0.000000001)</f>
        <v>-1.42728475175852</v>
      </c>
      <c r="O270" s="3" t="n">
        <f aca="false">IF(J270="","",SUMPRODUCT(($A$25:$A$534=A270)*($N$25:$N$534&gt;N270))+1)</f>
        <v>16</v>
      </c>
      <c r="P270" s="3" t="str">
        <f aca="false">A270&amp;"|"&amp;O270</f>
        <v>1980s|16</v>
      </c>
    </row>
    <row r="271" customFormat="false" ht="15" hidden="false" customHeight="true" outlineLevel="0" collapsed="false">
      <c r="A271" s="1" t="s">
        <v>17</v>
      </c>
      <c r="B271" s="7" t="s">
        <v>61</v>
      </c>
      <c r="C271" s="1" t="s">
        <v>55</v>
      </c>
      <c r="D271" s="3" t="n">
        <f aca="false">COUNTIFS(Market_Panel!$A$2:$A$2705,B271,Market_Panel!$B$2:$B$2705,"&gt;="&amp;$B$13,Market_Panel!$B$2:$B$2705,"&lt;="&amp;$C$13)</f>
        <v>10</v>
      </c>
      <c r="E271" s="10" t="n">
        <f aca="false">IF(D271=0,"",AVERAGEIFS(Market_Panel!$M$2:$M$2705,Market_Panel!$A$2:$A$2705,B271,Market_Panel!$B$2:$B$2705,"&gt;="&amp;$B$13,Market_Panel!$B$2:$B$2705,"&lt;="&amp;$C$13))</f>
        <v>-0.00660370151607848</v>
      </c>
      <c r="F271" s="11" t="n">
        <f aca="false">IF(D271=0,"",AVERAGEIFS(Market_Panel!$P$2:$P$2705,Market_Panel!$A$2:$A$2705,B271,Market_Panel!$B$2:$B$2705,"&gt;="&amp;$B$13,Market_Panel!$B$2:$B$2705,"&lt;="&amp;$C$13))</f>
        <v>-0.178209560008344</v>
      </c>
      <c r="G271" s="11" t="n">
        <f aca="false">IF(D271=0,"",AVERAGEIFS(Market_Panel!$R$2:$R$2705,Market_Panel!$A$2:$A$2705,B271,Market_Panel!$B$2:$B$2705,"&gt;="&amp;$B$13,Market_Panel!$B$2:$B$2705,"&lt;="&amp;$C$13))</f>
        <v>0</v>
      </c>
      <c r="H271" s="11" t="n">
        <f aca="false">IF(OR(D271=0,$H$13=0),0,AVERAGEIFS(Market_Panel!$Y$2:$Y$2705,Market_Panel!$A$2:$A$2705,B271,Market_Panel!$B$2:$B$2705,"&gt;="&amp;$B$13,Market_Panel!$B$2:$B$2705,"&lt;="&amp;$C$13))</f>
        <v>0</v>
      </c>
      <c r="I271" s="10" t="n">
        <f aca="false">IF(D271=0,"",$I$13+$F$13*F271+$G$13*G271+$H$13*H271)</f>
        <v>-0.000495293255132163</v>
      </c>
      <c r="J271" s="5" t="n">
        <f aca="false">IF(D271&lt;5,"",(E271-I271)*162)</f>
        <v>-0.989562138273303</v>
      </c>
      <c r="K271" s="5" t="n">
        <f aca="false">IF(D271=0,"",E271*162)</f>
        <v>-1.06979964560471</v>
      </c>
      <c r="L271" s="3" t="n">
        <f aca="false">SUMIFS(Seasons!$L$2:$L$2865,Seasons!$A$2:$A$2865,B271,Seasons!$B$2:$B$2865,"&gt;="&amp;$B$13,Seasons!$B$2:$B$2865,"&lt;="&amp;$C$13)</f>
        <v>2</v>
      </c>
      <c r="M271" s="3" t="n">
        <f aca="false">SUMIFS(Seasons!$N$2:$N$2865,Seasons!$A$2:$A$2865,B271,Seasons!$B$2:$B$2865,"&gt;="&amp;$B$13,Seasons!$B$2:$B$2865,"&lt;="&amp;$C$13)</f>
        <v>0</v>
      </c>
      <c r="N271" s="3" t="n">
        <f aca="false">IF(J271="",-1000000,J271+ROW()*0.000000001)</f>
        <v>-0.989561867273303</v>
      </c>
      <c r="O271" s="3" t="n">
        <f aca="false">IF(J271="","",SUMPRODUCT(($A$25:$A$534=A271)*($N$25:$N$534&gt;N271))+1)</f>
        <v>15</v>
      </c>
      <c r="P271" s="3" t="str">
        <f aca="false">A271&amp;"|"&amp;O271</f>
        <v>1980s|15</v>
      </c>
    </row>
    <row r="272" customFormat="false" ht="15" hidden="false" customHeight="true" outlineLevel="0" collapsed="false">
      <c r="A272" s="1" t="s">
        <v>17</v>
      </c>
      <c r="B272" s="7" t="s">
        <v>62</v>
      </c>
      <c r="C272" s="1" t="s">
        <v>55</v>
      </c>
      <c r="D272" s="3" t="n">
        <f aca="false">COUNTIFS(Market_Panel!$A$2:$A$2705,B272,Market_Panel!$B$2:$B$2705,"&gt;="&amp;$B$13,Market_Panel!$B$2:$B$2705,"&lt;="&amp;$C$13)</f>
        <v>10</v>
      </c>
      <c r="E272" s="10" t="n">
        <f aca="false">IF(D272=0,"",AVERAGEIFS(Market_Panel!$M$2:$M$2705,Market_Panel!$A$2:$A$2705,B272,Market_Panel!$B$2:$B$2705,"&gt;="&amp;$B$13,Market_Panel!$B$2:$B$2705,"&lt;="&amp;$C$13))</f>
        <v>0.0283149303953626</v>
      </c>
      <c r="F272" s="11" t="n">
        <f aca="false">IF(D272=0,"",AVERAGEIFS(Market_Panel!$P$2:$P$2705,Market_Panel!$A$2:$A$2705,B272,Market_Panel!$B$2:$B$2705,"&gt;="&amp;$B$13,Market_Panel!$B$2:$B$2705,"&lt;="&amp;$C$13))</f>
        <v>0.646934776408408</v>
      </c>
      <c r="G272" s="11" t="n">
        <f aca="false">IF(D272=0,"",AVERAGEIFS(Market_Panel!$R$2:$R$2705,Market_Panel!$A$2:$A$2705,B272,Market_Panel!$B$2:$B$2705,"&gt;="&amp;$B$13,Market_Panel!$B$2:$B$2705,"&lt;="&amp;$C$13))</f>
        <v>0</v>
      </c>
      <c r="H272" s="11" t="n">
        <f aca="false">IF(OR(D272=0,$H$13=0),0,AVERAGEIFS(Market_Panel!$Y$2:$Y$2705,Market_Panel!$A$2:$A$2705,B272,Market_Panel!$B$2:$B$2705,"&gt;="&amp;$B$13,Market_Panel!$B$2:$B$2705,"&lt;="&amp;$C$13))</f>
        <v>0</v>
      </c>
      <c r="I272" s="10" t="n">
        <f aca="false">IF(D272=0,"",$I$13+$F$13*F272+$G$13*G272+$H$13*H272)</f>
        <v>0.0111066221395149</v>
      </c>
      <c r="J272" s="5" t="n">
        <f aca="false">IF(D272&lt;5,"",(E272-I272)*162)</f>
        <v>2.78774593744734</v>
      </c>
      <c r="K272" s="5" t="n">
        <f aca="false">IF(D272=0,"",E272*162)</f>
        <v>4.58701872404875</v>
      </c>
      <c r="L272" s="3" t="n">
        <f aca="false">SUMIFS(Seasons!$L$2:$L$2865,Seasons!$A$2:$A$2865,B272,Seasons!$B$2:$B$2865,"&gt;="&amp;$B$13,Seasons!$B$2:$B$2865,"&lt;="&amp;$C$13)</f>
        <v>4</v>
      </c>
      <c r="M272" s="3" t="n">
        <f aca="false">SUMIFS(Seasons!$N$2:$N$2865,Seasons!$A$2:$A$2865,B272,Seasons!$B$2:$B$2865,"&gt;="&amp;$B$13,Seasons!$B$2:$B$2865,"&lt;="&amp;$C$13)</f>
        <v>2</v>
      </c>
      <c r="N272" s="3" t="n">
        <f aca="false">IF(J272="",-1000000,J272+ROW()*0.000000001)</f>
        <v>2.78774620944734</v>
      </c>
      <c r="O272" s="3" t="n">
        <f aca="false">IF(J272="","",SUMPRODUCT(($A$25:$A$534=A272)*($N$25:$N$534&gt;N272))+1)</f>
        <v>9</v>
      </c>
      <c r="P272" s="3" t="str">
        <f aca="false">A272&amp;"|"&amp;O272</f>
        <v>1980s|9</v>
      </c>
    </row>
    <row r="273" customFormat="false" ht="15" hidden="false" customHeight="true" outlineLevel="0" collapsed="false">
      <c r="A273" s="1" t="s">
        <v>17</v>
      </c>
      <c r="B273" s="7" t="s">
        <v>63</v>
      </c>
      <c r="C273" s="1" t="s">
        <v>55</v>
      </c>
      <c r="D273" s="3" t="n">
        <f aca="false">COUNTIFS(Market_Panel!$A$2:$A$2705,B273,Market_Panel!$B$2:$B$2705,"&gt;="&amp;$B$13,Market_Panel!$B$2:$B$2705,"&lt;="&amp;$C$13)</f>
        <v>10</v>
      </c>
      <c r="E273" s="10" t="n">
        <f aca="false">IF(D273=0,"",AVERAGEIFS(Market_Panel!$M$2:$M$2705,Market_Panel!$A$2:$A$2705,B273,Market_Panel!$B$2:$B$2705,"&gt;="&amp;$B$13,Market_Panel!$B$2:$B$2705,"&lt;="&amp;$C$13))</f>
        <v>0.0141888508706768</v>
      </c>
      <c r="F273" s="11" t="n">
        <f aca="false">IF(D273=0,"",AVERAGEIFS(Market_Panel!$P$2:$P$2705,Market_Panel!$A$2:$A$2705,B273,Market_Panel!$B$2:$B$2705,"&gt;="&amp;$B$13,Market_Panel!$B$2:$B$2705,"&lt;="&amp;$C$13))</f>
        <v>-0.08973037722286</v>
      </c>
      <c r="G273" s="11" t="n">
        <f aca="false">IF(D273=0,"",AVERAGEIFS(Market_Panel!$R$2:$R$2705,Market_Panel!$A$2:$A$2705,B273,Market_Panel!$B$2:$B$2705,"&gt;="&amp;$B$13,Market_Panel!$B$2:$B$2705,"&lt;="&amp;$C$13))</f>
        <v>0</v>
      </c>
      <c r="H273" s="11" t="n">
        <f aca="false">IF(OR(D273=0,$H$13=0),0,AVERAGEIFS(Market_Panel!$Y$2:$Y$2705,Market_Panel!$A$2:$A$2705,B273,Market_Panel!$B$2:$B$2705,"&gt;="&amp;$B$13,Market_Panel!$B$2:$B$2705,"&lt;="&amp;$C$13))</f>
        <v>0</v>
      </c>
      <c r="I273" s="10" t="n">
        <f aca="false">IF(D273=0,"",$I$13+$F$13*F273+$G$13*G273+$H$13*H273)</f>
        <v>0.000748765447763949</v>
      </c>
      <c r="J273" s="5" t="n">
        <f aca="false">IF(D273&lt;5,"",(E273-I273)*162)</f>
        <v>2.17729383851188</v>
      </c>
      <c r="K273" s="5" t="n">
        <f aca="false">IF(D273=0,"",E273*162)</f>
        <v>2.29859384104964</v>
      </c>
      <c r="L273" s="3" t="n">
        <f aca="false">SUMIFS(Seasons!$L$2:$L$2865,Seasons!$A$2:$A$2865,B273,Seasons!$B$2:$B$2865,"&gt;="&amp;$B$13,Seasons!$B$2:$B$2865,"&lt;="&amp;$C$13)</f>
        <v>1</v>
      </c>
      <c r="M273" s="3" t="n">
        <f aca="false">SUMIFS(Seasons!$N$2:$N$2865,Seasons!$A$2:$A$2865,B273,Seasons!$B$2:$B$2865,"&gt;="&amp;$B$13,Seasons!$B$2:$B$2865,"&lt;="&amp;$C$13)</f>
        <v>1</v>
      </c>
      <c r="N273" s="3" t="n">
        <f aca="false">IF(J273="",-1000000,J273+ROW()*0.000000001)</f>
        <v>2.17729411151188</v>
      </c>
      <c r="O273" s="3" t="n">
        <f aca="false">IF(J273="","",SUMPRODUCT(($A$25:$A$534=A273)*($N$25:$N$534&gt;N273))+1)</f>
        <v>11</v>
      </c>
      <c r="P273" s="3" t="str">
        <f aca="false">A273&amp;"|"&amp;O273</f>
        <v>1980s|11</v>
      </c>
    </row>
    <row r="274" customFormat="false" ht="15" hidden="false" customHeight="true" outlineLevel="0" collapsed="false">
      <c r="A274" s="1" t="s">
        <v>17</v>
      </c>
      <c r="B274" s="7" t="s">
        <v>64</v>
      </c>
      <c r="C274" s="1" t="s">
        <v>55</v>
      </c>
      <c r="D274" s="3" t="n">
        <f aca="false">COUNTIFS(Market_Panel!$A$2:$A$2705,B274,Market_Panel!$B$2:$B$2705,"&gt;="&amp;$B$13,Market_Panel!$B$2:$B$2705,"&lt;="&amp;$C$13)</f>
        <v>10</v>
      </c>
      <c r="E274" s="10" t="n">
        <f aca="false">IF(D274=0,"",AVERAGEIFS(Market_Panel!$M$2:$M$2705,Market_Panel!$A$2:$A$2705,B274,Market_Panel!$B$2:$B$2705,"&gt;="&amp;$B$13,Market_Panel!$B$2:$B$2705,"&lt;="&amp;$C$13))</f>
        <v>0.0260703687757454</v>
      </c>
      <c r="F274" s="11" t="n">
        <f aca="false">IF(D274=0,"",AVERAGEIFS(Market_Panel!$P$2:$P$2705,Market_Panel!$A$2:$A$2705,B274,Market_Panel!$B$2:$B$2705,"&gt;="&amp;$B$13,Market_Panel!$B$2:$B$2705,"&lt;="&amp;$C$13))</f>
        <v>-0.385457790036648</v>
      </c>
      <c r="G274" s="11" t="n">
        <f aca="false">IF(D274=0,"",AVERAGEIFS(Market_Panel!$R$2:$R$2705,Market_Panel!$A$2:$A$2705,B274,Market_Panel!$B$2:$B$2705,"&gt;="&amp;$B$13,Market_Panel!$B$2:$B$2705,"&lt;="&amp;$C$13))</f>
        <v>0</v>
      </c>
      <c r="H274" s="11" t="n">
        <f aca="false">IF(OR(D274=0,$H$13=0),0,AVERAGEIFS(Market_Panel!$Y$2:$Y$2705,Market_Panel!$A$2:$A$2705,B274,Market_Panel!$B$2:$B$2705,"&gt;="&amp;$B$13,Market_Panel!$B$2:$B$2705,"&lt;="&amp;$C$13))</f>
        <v>0</v>
      </c>
      <c r="I274" s="10" t="n">
        <f aca="false">IF(D274=0,"",$I$13+$F$13*F274+$G$13*G274+$H$13*H274)</f>
        <v>-0.00340930032560463</v>
      </c>
      <c r="J274" s="5" t="n">
        <f aca="false">IF(D274&lt;5,"",(E274-I274)*162)</f>
        <v>4.77570639441871</v>
      </c>
      <c r="K274" s="5" t="n">
        <f aca="false">IF(D274=0,"",E274*162)</f>
        <v>4.22339974167076</v>
      </c>
      <c r="L274" s="3" t="n">
        <f aca="false">SUMIFS(Seasons!$L$2:$L$2865,Seasons!$A$2:$A$2865,B274,Seasons!$B$2:$B$2865,"&gt;="&amp;$B$13,Seasons!$B$2:$B$2865,"&lt;="&amp;$C$13)</f>
        <v>2</v>
      </c>
      <c r="M274" s="3" t="n">
        <f aca="false">SUMIFS(Seasons!$N$2:$N$2865,Seasons!$A$2:$A$2865,B274,Seasons!$B$2:$B$2865,"&gt;="&amp;$B$13,Seasons!$B$2:$B$2865,"&lt;="&amp;$C$13)</f>
        <v>0</v>
      </c>
      <c r="N274" s="3" t="n">
        <f aca="false">IF(J274="",-1000000,J274+ROW()*0.000000001)</f>
        <v>4.77570666841871</v>
      </c>
      <c r="O274" s="3" t="n">
        <f aca="false">IF(J274="","",SUMPRODUCT(($A$25:$A$534=A274)*($N$25:$N$534&gt;N274))+1)</f>
        <v>5</v>
      </c>
      <c r="P274" s="3" t="str">
        <f aca="false">A274&amp;"|"&amp;O274</f>
        <v>1980s|5</v>
      </c>
    </row>
    <row r="275" customFormat="false" ht="15" hidden="false" customHeight="true" outlineLevel="0" collapsed="false">
      <c r="A275" s="1" t="s">
        <v>17</v>
      </c>
      <c r="B275" s="7" t="s">
        <v>65</v>
      </c>
      <c r="C275" s="1" t="s">
        <v>55</v>
      </c>
      <c r="D275" s="3" t="n">
        <f aca="false">COUNTIFS(Market_Panel!$A$2:$A$2705,B275,Market_Panel!$B$2:$B$2705,"&gt;="&amp;$B$13,Market_Panel!$B$2:$B$2705,"&lt;="&amp;$C$13)</f>
        <v>10</v>
      </c>
      <c r="E275" s="10" t="n">
        <f aca="false">IF(D275=0,"",AVERAGEIFS(Market_Panel!$M$2:$M$2705,Market_Panel!$A$2:$A$2705,B275,Market_Panel!$B$2:$B$2705,"&gt;="&amp;$B$13,Market_Panel!$B$2:$B$2705,"&lt;="&amp;$C$13))</f>
        <v>-0.0133461096240184</v>
      </c>
      <c r="F275" s="11" t="n">
        <f aca="false">IF(D275=0,"",AVERAGEIFS(Market_Panel!$P$2:$P$2705,Market_Panel!$A$2:$A$2705,B275,Market_Panel!$B$2:$B$2705,"&gt;="&amp;$B$13,Market_Panel!$B$2:$B$2705,"&lt;="&amp;$C$13))</f>
        <v>0.552818820027608</v>
      </c>
      <c r="G275" s="11" t="n">
        <f aca="false">IF(D275=0,"",AVERAGEIFS(Market_Panel!$R$2:$R$2705,Market_Panel!$A$2:$A$2705,B275,Market_Panel!$B$2:$B$2705,"&gt;="&amp;$B$13,Market_Panel!$B$2:$B$2705,"&lt;="&amp;$C$13))</f>
        <v>0</v>
      </c>
      <c r="H275" s="11" t="n">
        <f aca="false">IF(OR(D275=0,$H$13=0),0,AVERAGEIFS(Market_Panel!$Y$2:$Y$2705,Market_Panel!$A$2:$A$2705,B275,Market_Panel!$B$2:$B$2705,"&gt;="&amp;$B$13,Market_Panel!$B$2:$B$2705,"&lt;="&amp;$C$13))</f>
        <v>0</v>
      </c>
      <c r="I275" s="10" t="n">
        <f aca="false">IF(D275=0,"",$I$13+$F$13*F275+$G$13*G275+$H$13*H275)</f>
        <v>0.0097833077628349</v>
      </c>
      <c r="J275" s="5" t="n">
        <f aca="false">IF(D275&lt;5,"",(E275-I275)*162)</f>
        <v>-3.74696561667024</v>
      </c>
      <c r="K275" s="5" t="n">
        <f aca="false">IF(D275=0,"",E275*162)</f>
        <v>-2.16206975909099</v>
      </c>
      <c r="L275" s="3" t="n">
        <f aca="false">SUMIFS(Seasons!$L$2:$L$2865,Seasons!$A$2:$A$2865,B275,Seasons!$B$2:$B$2865,"&gt;="&amp;$B$13,Seasons!$B$2:$B$2865,"&lt;="&amp;$C$13)</f>
        <v>1</v>
      </c>
      <c r="M275" s="3" t="n">
        <f aca="false">SUMIFS(Seasons!$N$2:$N$2865,Seasons!$A$2:$A$2865,B275,Seasons!$B$2:$B$2865,"&gt;="&amp;$B$13,Seasons!$B$2:$B$2865,"&lt;="&amp;$C$13)</f>
        <v>0</v>
      </c>
      <c r="N275" s="3" t="n">
        <f aca="false">IF(J275="",-1000000,J275+ROW()*0.000000001)</f>
        <v>-3.74696534167024</v>
      </c>
      <c r="O275" s="3" t="n">
        <f aca="false">IF(J275="","",SUMPRODUCT(($A$25:$A$534=A275)*($N$25:$N$534&gt;N275))+1)</f>
        <v>20</v>
      </c>
      <c r="P275" s="3" t="str">
        <f aca="false">A275&amp;"|"&amp;O275</f>
        <v>1980s|20</v>
      </c>
    </row>
    <row r="276" customFormat="false" ht="15" hidden="false" customHeight="true" outlineLevel="0" collapsed="false">
      <c r="A276" s="1" t="s">
        <v>17</v>
      </c>
      <c r="B276" s="7" t="s">
        <v>66</v>
      </c>
      <c r="C276" s="1" t="s">
        <v>55</v>
      </c>
      <c r="D276" s="3" t="n">
        <f aca="false">COUNTIFS(Market_Panel!$A$2:$A$2705,B276,Market_Panel!$B$2:$B$2705,"&gt;="&amp;$B$13,Market_Panel!$B$2:$B$2705,"&lt;="&amp;$C$13)</f>
        <v>10</v>
      </c>
      <c r="E276" s="10" t="n">
        <f aca="false">IF(D276=0,"",AVERAGEIFS(Market_Panel!$M$2:$M$2705,Market_Panel!$A$2:$A$2705,B276,Market_Panel!$B$2:$B$2705,"&gt;="&amp;$B$13,Market_Panel!$B$2:$B$2705,"&lt;="&amp;$C$13))</f>
        <v>-0.042666454893891</v>
      </c>
      <c r="F276" s="11" t="n">
        <f aca="false">IF(D276=0,"",AVERAGEIFS(Market_Panel!$P$2:$P$2705,Market_Panel!$A$2:$A$2705,B276,Market_Panel!$B$2:$B$2705,"&gt;="&amp;$B$13,Market_Panel!$B$2:$B$2705,"&lt;="&amp;$C$13))</f>
        <v>-0.432285308216674</v>
      </c>
      <c r="G276" s="11" t="n">
        <f aca="false">IF(D276=0,"",AVERAGEIFS(Market_Panel!$R$2:$R$2705,Market_Panel!$A$2:$A$2705,B276,Market_Panel!$B$2:$B$2705,"&gt;="&amp;$B$13,Market_Panel!$B$2:$B$2705,"&lt;="&amp;$C$13))</f>
        <v>0</v>
      </c>
      <c r="H276" s="11" t="n">
        <f aca="false">IF(OR(D276=0,$H$13=0),0,AVERAGEIFS(Market_Panel!$Y$2:$Y$2705,Market_Panel!$A$2:$A$2705,B276,Market_Panel!$B$2:$B$2705,"&gt;="&amp;$B$13,Market_Panel!$B$2:$B$2705,"&lt;="&amp;$C$13))</f>
        <v>0</v>
      </c>
      <c r="I276" s="10" t="n">
        <f aca="false">IF(D276=0,"",$I$13+$F$13*F276+$G$13*G276+$H$13*H276)</f>
        <v>-0.00406771713838338</v>
      </c>
      <c r="J276" s="5" t="n">
        <f aca="false">IF(D276&lt;5,"",(E276-I276)*162)</f>
        <v>-6.25299551639223</v>
      </c>
      <c r="K276" s="5" t="n">
        <f aca="false">IF(D276=0,"",E276*162)</f>
        <v>-6.91196569281034</v>
      </c>
      <c r="L276" s="3" t="n">
        <f aca="false">SUMIFS(Seasons!$L$2:$L$2865,Seasons!$A$2:$A$2865,B276,Seasons!$B$2:$B$2865,"&gt;="&amp;$B$13,Seasons!$B$2:$B$2865,"&lt;="&amp;$C$13)</f>
        <v>0</v>
      </c>
      <c r="M276" s="3" t="n">
        <f aca="false">SUMIFS(Seasons!$N$2:$N$2865,Seasons!$A$2:$A$2865,B276,Seasons!$B$2:$B$2865,"&gt;="&amp;$B$13,Seasons!$B$2:$B$2865,"&lt;="&amp;$C$13)</f>
        <v>0</v>
      </c>
      <c r="N276" s="3" t="n">
        <f aca="false">IF(J276="",-1000000,J276+ROW()*0.000000001)</f>
        <v>-6.25299524039223</v>
      </c>
      <c r="O276" s="3" t="n">
        <f aca="false">IF(J276="","",SUMPRODUCT(($A$25:$A$534=A276)*($N$25:$N$534&gt;N276))+1)</f>
        <v>23</v>
      </c>
      <c r="P276" s="3" t="str">
        <f aca="false">A276&amp;"|"&amp;O276</f>
        <v>1980s|23</v>
      </c>
    </row>
    <row r="277" customFormat="false" ht="15" hidden="false" customHeight="true" outlineLevel="0" collapsed="false">
      <c r="A277" s="1" t="s">
        <v>17</v>
      </c>
      <c r="B277" s="7" t="s">
        <v>67</v>
      </c>
      <c r="C277" s="1" t="s">
        <v>55</v>
      </c>
      <c r="D277" s="3" t="n">
        <f aca="false">COUNTIFS(Market_Panel!$A$2:$A$2705,B277,Market_Panel!$B$2:$B$2705,"&gt;="&amp;$B$13,Market_Panel!$B$2:$B$2705,"&lt;="&amp;$C$13)</f>
        <v>10</v>
      </c>
      <c r="E277" s="10" t="n">
        <f aca="false">IF(D277=0,"",AVERAGEIFS(Market_Panel!$M$2:$M$2705,Market_Panel!$A$2:$A$2705,B277,Market_Panel!$B$2:$B$2705,"&gt;="&amp;$B$13,Market_Panel!$B$2:$B$2705,"&lt;="&amp;$C$13))</f>
        <v>0.0362978310876214</v>
      </c>
      <c r="F277" s="11" t="n">
        <f aca="false">IF(D277=0,"",AVERAGEIFS(Market_Panel!$P$2:$P$2705,Market_Panel!$A$2:$A$2705,B277,Market_Panel!$B$2:$B$2705,"&gt;="&amp;$B$13,Market_Panel!$B$2:$B$2705,"&lt;="&amp;$C$13))</f>
        <v>0.294328321543323</v>
      </c>
      <c r="G277" s="11" t="n">
        <f aca="false">IF(D277=0,"",AVERAGEIFS(Market_Panel!$R$2:$R$2705,Market_Panel!$A$2:$A$2705,B277,Market_Panel!$B$2:$B$2705,"&gt;="&amp;$B$13,Market_Panel!$B$2:$B$2705,"&lt;="&amp;$C$13))</f>
        <v>0</v>
      </c>
      <c r="H277" s="11" t="n">
        <f aca="false">IF(OR(D277=0,$H$13=0),0,AVERAGEIFS(Market_Panel!$Y$2:$Y$2705,Market_Panel!$A$2:$A$2705,B277,Market_Panel!$B$2:$B$2705,"&gt;="&amp;$B$13,Market_Panel!$B$2:$B$2705,"&lt;="&amp;$C$13))</f>
        <v>0</v>
      </c>
      <c r="I277" s="10" t="n">
        <f aca="false">IF(D277=0,"",$I$13+$F$13*F277+$G$13*G277+$H$13*H277)</f>
        <v>0.00614881042536531</v>
      </c>
      <c r="J277" s="5" t="n">
        <f aca="false">IF(D277&lt;5,"",(E277-I277)*162)</f>
        <v>4.88414134728548</v>
      </c>
      <c r="K277" s="5" t="n">
        <f aca="false">IF(D277=0,"",E277*162)</f>
        <v>5.88024863619466</v>
      </c>
      <c r="L277" s="3" t="n">
        <f aca="false">SUMIFS(Seasons!$L$2:$L$2865,Seasons!$A$2:$A$2865,B277,Seasons!$B$2:$B$2865,"&gt;="&amp;$B$13,Seasons!$B$2:$B$2865,"&lt;="&amp;$C$13)</f>
        <v>2</v>
      </c>
      <c r="M277" s="3" t="n">
        <f aca="false">SUMIFS(Seasons!$N$2:$N$2865,Seasons!$A$2:$A$2865,B277,Seasons!$B$2:$B$2865,"&gt;="&amp;$B$13,Seasons!$B$2:$B$2865,"&lt;="&amp;$C$13)</f>
        <v>1</v>
      </c>
      <c r="N277" s="3" t="n">
        <f aca="false">IF(J277="",-1000000,J277+ROW()*0.000000001)</f>
        <v>4.88414162428548</v>
      </c>
      <c r="O277" s="3" t="n">
        <f aca="false">IF(J277="","",SUMPRODUCT(($A$25:$A$534=A277)*($N$25:$N$534&gt;N277))+1)</f>
        <v>4</v>
      </c>
      <c r="P277" s="3" t="str">
        <f aca="false">A277&amp;"|"&amp;O277</f>
        <v>1980s|4</v>
      </c>
    </row>
    <row r="278" customFormat="false" ht="15" hidden="false" customHeight="true" outlineLevel="0" collapsed="false">
      <c r="A278" s="1" t="s">
        <v>17</v>
      </c>
      <c r="B278" s="7" t="s">
        <v>68</v>
      </c>
      <c r="C278" s="1" t="s">
        <v>55</v>
      </c>
      <c r="D278" s="3" t="n">
        <f aca="false">COUNTIFS(Market_Panel!$A$2:$A$2705,B278,Market_Panel!$B$2:$B$2705,"&gt;="&amp;$B$13,Market_Panel!$B$2:$B$2705,"&lt;="&amp;$C$13)</f>
        <v>10</v>
      </c>
      <c r="E278" s="10" t="n">
        <f aca="false">IF(D278=0,"",AVERAGEIFS(Market_Panel!$M$2:$M$2705,Market_Panel!$A$2:$A$2705,B278,Market_Panel!$B$2:$B$2705,"&gt;="&amp;$B$13,Market_Panel!$B$2:$B$2705,"&lt;="&amp;$C$13))</f>
        <v>-0.0348639037092683</v>
      </c>
      <c r="F278" s="11" t="n">
        <f aca="false">IF(D278=0,"",AVERAGEIFS(Market_Panel!$P$2:$P$2705,Market_Panel!$A$2:$A$2705,B278,Market_Panel!$B$2:$B$2705,"&gt;="&amp;$B$13,Market_Panel!$B$2:$B$2705,"&lt;="&amp;$C$13))</f>
        <v>-0.814716852658827</v>
      </c>
      <c r="G278" s="11" t="n">
        <f aca="false">IF(D278=0,"",AVERAGEIFS(Market_Panel!$R$2:$R$2705,Market_Panel!$A$2:$A$2705,B278,Market_Panel!$B$2:$B$2705,"&gt;="&amp;$B$13,Market_Panel!$B$2:$B$2705,"&lt;="&amp;$C$13))</f>
        <v>0</v>
      </c>
      <c r="H278" s="11" t="n">
        <f aca="false">IF(OR(D278=0,$H$13=0),0,AVERAGEIFS(Market_Panel!$Y$2:$Y$2705,Market_Panel!$A$2:$A$2705,B278,Market_Panel!$B$2:$B$2705,"&gt;="&amp;$B$13,Market_Panel!$B$2:$B$2705,"&lt;="&amp;$C$13))</f>
        <v>0</v>
      </c>
      <c r="I278" s="10" t="n">
        <f aca="false">IF(D278=0,"",$I$13+$F$13*F278+$G$13*G278+$H$13*H278)</f>
        <v>-0.00944488356496248</v>
      </c>
      <c r="J278" s="5" t="n">
        <f aca="false">IF(D278&lt;5,"",(E278-I278)*162)</f>
        <v>-4.11788126337755</v>
      </c>
      <c r="K278" s="5" t="n">
        <f aca="false">IF(D278=0,"",E278*162)</f>
        <v>-5.64795240090147</v>
      </c>
      <c r="L278" s="3" t="n">
        <f aca="false">SUMIFS(Seasons!$L$2:$L$2865,Seasons!$A$2:$A$2865,B278,Seasons!$B$2:$B$2865,"&gt;="&amp;$B$13,Seasons!$B$2:$B$2865,"&lt;="&amp;$C$13)</f>
        <v>1</v>
      </c>
      <c r="M278" s="3" t="n">
        <f aca="false">SUMIFS(Seasons!$N$2:$N$2865,Seasons!$A$2:$A$2865,B278,Seasons!$B$2:$B$2865,"&gt;="&amp;$B$13,Seasons!$B$2:$B$2865,"&lt;="&amp;$C$13)</f>
        <v>1</v>
      </c>
      <c r="N278" s="3" t="n">
        <f aca="false">IF(J278="",-1000000,J278+ROW()*0.000000001)</f>
        <v>-4.11788098537755</v>
      </c>
      <c r="O278" s="3" t="n">
        <f aca="false">IF(J278="","",SUMPRODUCT(($A$25:$A$534=A278)*($N$25:$N$534&gt;N278))+1)</f>
        <v>21</v>
      </c>
      <c r="P278" s="3" t="str">
        <f aca="false">A278&amp;"|"&amp;O278</f>
        <v>1980s|21</v>
      </c>
    </row>
    <row r="279" customFormat="false" ht="15" hidden="false" customHeight="true" outlineLevel="0" collapsed="false">
      <c r="A279" s="1" t="s">
        <v>17</v>
      </c>
      <c r="B279" s="7" t="s">
        <v>69</v>
      </c>
      <c r="C279" s="1" t="s">
        <v>55</v>
      </c>
      <c r="D279" s="3" t="n">
        <f aca="false">COUNTIFS(Market_Panel!$A$2:$A$2705,B279,Market_Panel!$B$2:$B$2705,"&gt;="&amp;$B$13,Market_Panel!$B$2:$B$2705,"&lt;="&amp;$C$13)</f>
        <v>10</v>
      </c>
      <c r="E279" s="10" t="n">
        <f aca="false">IF(D279=0,"",AVERAGEIFS(Market_Panel!$M$2:$M$2705,Market_Panel!$A$2:$A$2705,B279,Market_Panel!$B$2:$B$2705,"&gt;="&amp;$B$13,Market_Panel!$B$2:$B$2705,"&lt;="&amp;$C$13))</f>
        <v>0.0149541366419458</v>
      </c>
      <c r="F279" s="11" t="n">
        <f aca="false">IF(D279=0,"",AVERAGEIFS(Market_Panel!$P$2:$P$2705,Market_Panel!$A$2:$A$2705,B279,Market_Panel!$B$2:$B$2705,"&gt;="&amp;$B$13,Market_Panel!$B$2:$B$2705,"&lt;="&amp;$C$13))</f>
        <v>-0.859019337989472</v>
      </c>
      <c r="G279" s="11" t="n">
        <f aca="false">IF(D279=0,"",AVERAGEIFS(Market_Panel!$R$2:$R$2705,Market_Panel!$A$2:$A$2705,B279,Market_Panel!$B$2:$B$2705,"&gt;="&amp;$B$13,Market_Panel!$B$2:$B$2705,"&lt;="&amp;$C$13))</f>
        <v>0</v>
      </c>
      <c r="H279" s="11" t="n">
        <f aca="false">IF(OR(D279=0,$H$13=0),0,AVERAGEIFS(Market_Panel!$Y$2:$Y$2705,Market_Panel!$A$2:$A$2705,B279,Market_Panel!$B$2:$B$2705,"&gt;="&amp;$B$13,Market_Panel!$B$2:$B$2705,"&lt;="&amp;$C$13))</f>
        <v>0</v>
      </c>
      <c r="I279" s="10" t="n">
        <f aca="false">IF(D279=0,"",$I$13+$F$13*F279+$G$13*G279+$H$13*H279)</f>
        <v>-0.0100677972346009</v>
      </c>
      <c r="J279" s="5" t="n">
        <f aca="false">IF(D279&lt;5,"",(E279-I279)*162)</f>
        <v>4.05355328800057</v>
      </c>
      <c r="K279" s="5" t="n">
        <f aca="false">IF(D279=0,"",E279*162)</f>
        <v>2.42257013599522</v>
      </c>
      <c r="L279" s="3" t="n">
        <f aca="false">SUMIFS(Seasons!$L$2:$L$2865,Seasons!$A$2:$A$2865,B279,Seasons!$B$2:$B$2865,"&gt;="&amp;$B$13,Seasons!$B$2:$B$2865,"&lt;="&amp;$C$13)</f>
        <v>3</v>
      </c>
      <c r="M279" s="3" t="n">
        <f aca="false">SUMIFS(Seasons!$N$2:$N$2865,Seasons!$A$2:$A$2865,B279,Seasons!$B$2:$B$2865,"&gt;="&amp;$B$13,Seasons!$B$2:$B$2865,"&lt;="&amp;$C$13)</f>
        <v>1</v>
      </c>
      <c r="N279" s="3" t="n">
        <f aca="false">IF(J279="",-1000000,J279+ROW()*0.000000001)</f>
        <v>4.05355356700057</v>
      </c>
      <c r="O279" s="3" t="n">
        <f aca="false">IF(J279="","",SUMPRODUCT(($A$25:$A$534=A279)*($N$25:$N$534&gt;N279))+1)</f>
        <v>6</v>
      </c>
      <c r="P279" s="3" t="str">
        <f aca="false">A279&amp;"|"&amp;O279</f>
        <v>1980s|6</v>
      </c>
    </row>
    <row r="280" customFormat="false" ht="15" hidden="false" customHeight="true" outlineLevel="0" collapsed="false">
      <c r="A280" s="1" t="s">
        <v>17</v>
      </c>
      <c r="B280" s="7" t="s">
        <v>70</v>
      </c>
      <c r="C280" s="1" t="s">
        <v>55</v>
      </c>
      <c r="D280" s="3" t="n">
        <f aca="false">COUNTIFS(Market_Panel!$A$2:$A$2705,B280,Market_Panel!$B$2:$B$2705,"&gt;="&amp;$B$13,Market_Panel!$B$2:$B$2705,"&lt;="&amp;$C$13)</f>
        <v>10</v>
      </c>
      <c r="E280" s="10" t="n">
        <f aca="false">IF(D280=0,"",AVERAGEIFS(Market_Panel!$M$2:$M$2705,Market_Panel!$A$2:$A$2705,B280,Market_Panel!$B$2:$B$2705,"&gt;="&amp;$B$13,Market_Panel!$B$2:$B$2705,"&lt;="&amp;$C$13))</f>
        <v>0.0469281482842259</v>
      </c>
      <c r="F280" s="11" t="n">
        <f aca="false">IF(D280=0,"",AVERAGEIFS(Market_Panel!$P$2:$P$2705,Market_Panel!$A$2:$A$2705,B280,Market_Panel!$B$2:$B$2705,"&gt;="&amp;$B$13,Market_Panel!$B$2:$B$2705,"&lt;="&amp;$C$13))</f>
        <v>1.45873033226459</v>
      </c>
      <c r="G280" s="11" t="n">
        <f aca="false">IF(D280=0,"",AVERAGEIFS(Market_Panel!$R$2:$R$2705,Market_Panel!$A$2:$A$2705,B280,Market_Panel!$B$2:$B$2705,"&gt;="&amp;$B$13,Market_Panel!$B$2:$B$2705,"&lt;="&amp;$C$13))</f>
        <v>0</v>
      </c>
      <c r="H280" s="11" t="n">
        <f aca="false">IF(OR(D280=0,$H$13=0),0,AVERAGEIFS(Market_Panel!$Y$2:$Y$2705,Market_Panel!$A$2:$A$2705,B280,Market_Panel!$B$2:$B$2705,"&gt;="&amp;$B$13,Market_Panel!$B$2:$B$2705,"&lt;="&amp;$C$13))</f>
        <v>0</v>
      </c>
      <c r="I280" s="10" t="n">
        <f aca="false">IF(D280=0,"",$I$13+$F$13*F280+$G$13*G280+$H$13*H280)</f>
        <v>0.0225208474345631</v>
      </c>
      <c r="J280" s="5" t="n">
        <f aca="false">IF(D280&lt;5,"",(E280-I280)*162)</f>
        <v>3.95398273764537</v>
      </c>
      <c r="K280" s="5" t="n">
        <f aca="false">IF(D280=0,"",E280*162)</f>
        <v>7.60236002204459</v>
      </c>
      <c r="L280" s="3" t="n">
        <f aca="false">SUMIFS(Seasons!$L$2:$L$2865,Seasons!$A$2:$A$2865,B280,Seasons!$B$2:$B$2865,"&gt;="&amp;$B$13,Seasons!$B$2:$B$2865,"&lt;="&amp;$C$13)</f>
        <v>2</v>
      </c>
      <c r="M280" s="3" t="n">
        <f aca="false">SUMIFS(Seasons!$N$2:$N$2865,Seasons!$A$2:$A$2865,B280,Seasons!$B$2:$B$2865,"&gt;="&amp;$B$13,Seasons!$B$2:$B$2865,"&lt;="&amp;$C$13)</f>
        <v>0</v>
      </c>
      <c r="N280" s="3" t="n">
        <f aca="false">IF(J280="",-1000000,J280+ROW()*0.000000001)</f>
        <v>3.95398301764537</v>
      </c>
      <c r="O280" s="3" t="n">
        <f aca="false">IF(J280="","",SUMPRODUCT(($A$25:$A$534=A280)*($N$25:$N$534&gt;N280))+1)</f>
        <v>7</v>
      </c>
      <c r="P280" s="3" t="str">
        <f aca="false">A280&amp;"|"&amp;O280</f>
        <v>1980s|7</v>
      </c>
    </row>
    <row r="281" customFormat="false" ht="15" hidden="false" customHeight="true" outlineLevel="0" collapsed="false">
      <c r="A281" s="1" t="s">
        <v>17</v>
      </c>
      <c r="B281" s="7" t="s">
        <v>71</v>
      </c>
      <c r="C281" s="1" t="s">
        <v>72</v>
      </c>
      <c r="D281" s="3" t="n">
        <f aca="false">COUNTIFS(Market_Panel!$A$2:$A$2705,B281,Market_Panel!$B$2:$B$2705,"&gt;="&amp;$B$13,Market_Panel!$B$2:$B$2705,"&lt;="&amp;$C$13)</f>
        <v>10</v>
      </c>
      <c r="E281" s="10" t="n">
        <f aca="false">IF(D281=0,"",AVERAGEIFS(Market_Panel!$M$2:$M$2705,Market_Panel!$A$2:$A$2705,B281,Market_Panel!$B$2:$B$2705,"&gt;="&amp;$B$13,Market_Panel!$B$2:$B$2705,"&lt;="&amp;$C$13))</f>
        <v>-0.00121726776913749</v>
      </c>
      <c r="F281" s="11" t="n">
        <f aca="false">IF(D281=0,"",AVERAGEIFS(Market_Panel!$P$2:$P$2705,Market_Panel!$A$2:$A$2705,B281,Market_Panel!$B$2:$B$2705,"&gt;="&amp;$B$13,Market_Panel!$B$2:$B$2705,"&lt;="&amp;$C$13))</f>
        <v>0.646934776408408</v>
      </c>
      <c r="G281" s="11" t="n">
        <f aca="false">IF(D281=0,"",AVERAGEIFS(Market_Panel!$R$2:$R$2705,Market_Panel!$A$2:$A$2705,B281,Market_Panel!$B$2:$B$2705,"&gt;="&amp;$B$13,Market_Panel!$B$2:$B$2705,"&lt;="&amp;$C$13))</f>
        <v>0</v>
      </c>
      <c r="H281" s="11" t="n">
        <f aca="false">IF(OR(D281=0,$H$13=0),0,AVERAGEIFS(Market_Panel!$Y$2:$Y$2705,Market_Panel!$A$2:$A$2705,B281,Market_Panel!$B$2:$B$2705,"&gt;="&amp;$B$13,Market_Panel!$B$2:$B$2705,"&lt;="&amp;$C$13))</f>
        <v>0</v>
      </c>
      <c r="I281" s="10" t="n">
        <f aca="false">IF(D281=0,"",$I$13+$F$13*F281+$G$13*G281+$H$13*H281)</f>
        <v>0.0111066221395149</v>
      </c>
      <c r="J281" s="5" t="n">
        <f aca="false">IF(D281&lt;5,"",(E281-I281)*162)</f>
        <v>-1.99647016520168</v>
      </c>
      <c r="K281" s="5" t="n">
        <f aca="false">IF(D281=0,"",E281*162)</f>
        <v>-0.197197378600274</v>
      </c>
      <c r="L281" s="3" t="n">
        <f aca="false">SUMIFS(Seasons!$L$2:$L$2865,Seasons!$A$2:$A$2865,B281,Seasons!$B$2:$B$2865,"&gt;="&amp;$B$13,Seasons!$B$2:$B$2865,"&lt;="&amp;$C$13)</f>
        <v>2</v>
      </c>
      <c r="M281" s="3" t="n">
        <f aca="false">SUMIFS(Seasons!$N$2:$N$2865,Seasons!$A$2:$A$2865,B281,Seasons!$B$2:$B$2865,"&gt;="&amp;$B$13,Seasons!$B$2:$B$2865,"&lt;="&amp;$C$13)</f>
        <v>0</v>
      </c>
      <c r="N281" s="3" t="n">
        <f aca="false">IF(J281="",-1000000,J281+ROW()*0.000000001)</f>
        <v>-1.99646988420168</v>
      </c>
      <c r="O281" s="3" t="n">
        <f aca="false">IF(J281="","",SUMPRODUCT(($A$25:$A$534=A281)*($N$25:$N$534&gt;N281))+1)</f>
        <v>17</v>
      </c>
      <c r="P281" s="3" t="str">
        <f aca="false">A281&amp;"|"&amp;O281</f>
        <v>1980s|17</v>
      </c>
    </row>
    <row r="282" customFormat="false" ht="15" hidden="false" customHeight="true" outlineLevel="0" collapsed="false">
      <c r="A282" s="1" t="s">
        <v>17</v>
      </c>
      <c r="B282" s="7" t="s">
        <v>73</v>
      </c>
      <c r="C282" s="1" t="s">
        <v>72</v>
      </c>
      <c r="D282" s="3" t="n">
        <f aca="false">COUNTIFS(Market_Panel!$A$2:$A$2705,B282,Market_Panel!$B$2:$B$2705,"&gt;="&amp;$B$13,Market_Panel!$B$2:$B$2705,"&lt;="&amp;$C$13)</f>
        <v>10</v>
      </c>
      <c r="E282" s="10" t="n">
        <f aca="false">IF(D282=0,"",AVERAGEIFS(Market_Panel!$M$2:$M$2705,Market_Panel!$A$2:$A$2705,B282,Market_Panel!$B$2:$B$2705,"&gt;="&amp;$B$13,Market_Panel!$B$2:$B$2705,"&lt;="&amp;$C$13))</f>
        <v>-0.0353272905295226</v>
      </c>
      <c r="F282" s="11" t="n">
        <f aca="false">IF(D282=0,"",AVERAGEIFS(Market_Panel!$P$2:$P$2705,Market_Panel!$A$2:$A$2705,B282,Market_Panel!$B$2:$B$2705,"&gt;="&amp;$B$13,Market_Panel!$B$2:$B$2705,"&lt;="&amp;$C$13))</f>
        <v>0.127761463667009</v>
      </c>
      <c r="G282" s="11" t="n">
        <f aca="false">IF(D282=0,"",AVERAGEIFS(Market_Panel!$R$2:$R$2705,Market_Panel!$A$2:$A$2705,B282,Market_Panel!$B$2:$B$2705,"&gt;="&amp;$B$13,Market_Panel!$B$2:$B$2705,"&lt;="&amp;$C$13))</f>
        <v>0</v>
      </c>
      <c r="H282" s="11" t="n">
        <f aca="false">IF(OR(D282=0,$H$13=0),0,AVERAGEIFS(Market_Panel!$Y$2:$Y$2705,Market_Panel!$A$2:$A$2705,B282,Market_Panel!$B$2:$B$2705,"&gt;="&amp;$B$13,Market_Panel!$B$2:$B$2705,"&lt;="&amp;$C$13))</f>
        <v>0</v>
      </c>
      <c r="I282" s="10" t="n">
        <f aca="false">IF(D282=0,"",$I$13+$F$13*F282+$G$13*G282+$H$13*H282)</f>
        <v>0.00380680247918562</v>
      </c>
      <c r="J282" s="5" t="n">
        <f aca="false">IF(D282&lt;5,"",(E282-I282)*162)</f>
        <v>-6.33972306741073</v>
      </c>
      <c r="K282" s="5" t="n">
        <f aca="false">IF(D282=0,"",E282*162)</f>
        <v>-5.72302106578266</v>
      </c>
      <c r="L282" s="3" t="n">
        <f aca="false">SUMIFS(Seasons!$L$2:$L$2865,Seasons!$A$2:$A$2865,B282,Seasons!$B$2:$B$2865,"&gt;="&amp;$B$13,Seasons!$B$2:$B$2865,"&lt;="&amp;$C$13)</f>
        <v>0</v>
      </c>
      <c r="M282" s="3" t="n">
        <f aca="false">SUMIFS(Seasons!$N$2:$N$2865,Seasons!$A$2:$A$2865,B282,Seasons!$B$2:$B$2865,"&gt;="&amp;$B$13,Seasons!$B$2:$B$2865,"&lt;="&amp;$C$13)</f>
        <v>0</v>
      </c>
      <c r="N282" s="3" t="n">
        <f aca="false">IF(J282="",-1000000,J282+ROW()*0.000000001)</f>
        <v>-6.33972278541073</v>
      </c>
      <c r="O282" s="3" t="n">
        <f aca="false">IF(J282="","",SUMPRODUCT(($A$25:$A$534=A282)*($N$25:$N$534&gt;N282))+1)</f>
        <v>24</v>
      </c>
      <c r="P282" s="3" t="str">
        <f aca="false">A282&amp;"|"&amp;O282</f>
        <v>1980s|24</v>
      </c>
    </row>
    <row r="283" customFormat="false" ht="15" hidden="false" customHeight="true" outlineLevel="0" collapsed="false">
      <c r="A283" s="1" t="s">
        <v>17</v>
      </c>
      <c r="B283" s="7" t="s">
        <v>74</v>
      </c>
      <c r="C283" s="1" t="s">
        <v>72</v>
      </c>
      <c r="D283" s="3" t="n">
        <f aca="false">COUNTIFS(Market_Panel!$A$2:$A$2705,B283,Market_Panel!$B$2:$B$2705,"&gt;="&amp;$B$13,Market_Panel!$B$2:$B$2705,"&lt;="&amp;$C$13)</f>
        <v>10</v>
      </c>
      <c r="E283" s="10" t="n">
        <f aca="false">IF(D283=0,"",AVERAGEIFS(Market_Panel!$M$2:$M$2705,Market_Panel!$A$2:$A$2705,B283,Market_Panel!$B$2:$B$2705,"&gt;="&amp;$B$13,Market_Panel!$B$2:$B$2705,"&lt;="&amp;$C$13))</f>
        <v>0.0230692881444634</v>
      </c>
      <c r="F283" s="11" t="n">
        <f aca="false">IF(D283=0,"",AVERAGEIFS(Market_Panel!$P$2:$P$2705,Market_Panel!$A$2:$A$2705,B283,Market_Panel!$B$2:$B$2705,"&gt;="&amp;$B$13,Market_Panel!$B$2:$B$2705,"&lt;="&amp;$C$13))</f>
        <v>0.656936305743186</v>
      </c>
      <c r="G283" s="11" t="n">
        <f aca="false">IF(D283=0,"",AVERAGEIFS(Market_Panel!$R$2:$R$2705,Market_Panel!$A$2:$A$2705,B283,Market_Panel!$B$2:$B$2705,"&gt;="&amp;$B$13,Market_Panel!$B$2:$B$2705,"&lt;="&amp;$C$13))</f>
        <v>0</v>
      </c>
      <c r="H283" s="11" t="n">
        <f aca="false">IF(OR(D283=0,$H$13=0),0,AVERAGEIFS(Market_Panel!$Y$2:$Y$2705,Market_Panel!$A$2:$A$2705,B283,Market_Panel!$B$2:$B$2705,"&gt;="&amp;$B$13,Market_Panel!$B$2:$B$2705,"&lt;="&amp;$C$13))</f>
        <v>0</v>
      </c>
      <c r="I283" s="10" t="n">
        <f aca="false">IF(D283=0,"",$I$13+$F$13*F283+$G$13*G283+$H$13*H283)</f>
        <v>0.0112472483209452</v>
      </c>
      <c r="J283" s="5" t="n">
        <f aca="false">IF(D283&lt;5,"",(E283-I283)*162)</f>
        <v>1.91517045140995</v>
      </c>
      <c r="K283" s="5" t="n">
        <f aca="false">IF(D283=0,"",E283*162)</f>
        <v>3.73722467940307</v>
      </c>
      <c r="L283" s="3" t="n">
        <f aca="false">SUMIFS(Seasons!$L$2:$L$2865,Seasons!$A$2:$A$2865,B283,Seasons!$B$2:$B$2865,"&gt;="&amp;$B$13,Seasons!$B$2:$B$2865,"&lt;="&amp;$C$13)</f>
        <v>3</v>
      </c>
      <c r="M283" s="3" t="n">
        <f aca="false">SUMIFS(Seasons!$N$2:$N$2865,Seasons!$A$2:$A$2865,B283,Seasons!$B$2:$B$2865,"&gt;="&amp;$B$13,Seasons!$B$2:$B$2865,"&lt;="&amp;$C$13)</f>
        <v>0</v>
      </c>
      <c r="N283" s="3" t="n">
        <f aca="false">IF(J283="",-1000000,J283+ROW()*0.000000001)</f>
        <v>1.91517073440995</v>
      </c>
      <c r="O283" s="3" t="n">
        <f aca="false">IF(J283="","",SUMPRODUCT(($A$25:$A$534=A283)*($N$25:$N$534&gt;N283))+1)</f>
        <v>13</v>
      </c>
      <c r="P283" s="3" t="str">
        <f aca="false">A283&amp;"|"&amp;O283</f>
        <v>1980s|13</v>
      </c>
    </row>
    <row r="284" customFormat="false" ht="15" hidden="false" customHeight="true" outlineLevel="0" collapsed="false">
      <c r="A284" s="1" t="s">
        <v>17</v>
      </c>
      <c r="B284" s="7" t="s">
        <v>75</v>
      </c>
      <c r="C284" s="1" t="s">
        <v>72</v>
      </c>
      <c r="D284" s="3" t="n">
        <f aca="false">COUNTIFS(Market_Panel!$A$2:$A$2705,B284,Market_Panel!$B$2:$B$2705,"&gt;="&amp;$B$13,Market_Panel!$B$2:$B$2705,"&lt;="&amp;$C$13)</f>
        <v>10</v>
      </c>
      <c r="E284" s="10" t="n">
        <f aca="false">IF(D284=0,"",AVERAGEIFS(Market_Panel!$M$2:$M$2705,Market_Panel!$A$2:$A$2705,B284,Market_Panel!$B$2:$B$2705,"&gt;="&amp;$B$13,Market_Panel!$B$2:$B$2705,"&lt;="&amp;$C$13))</f>
        <v>0.0190381927148829</v>
      </c>
      <c r="F284" s="11" t="n">
        <f aca="false">IF(D284=0,"",AVERAGEIFS(Market_Panel!$P$2:$P$2705,Market_Panel!$A$2:$A$2705,B284,Market_Panel!$B$2:$B$2705,"&gt;="&amp;$B$13,Market_Panel!$B$2:$B$2705,"&lt;="&amp;$C$13))</f>
        <v>1.45873033226459</v>
      </c>
      <c r="G284" s="11" t="n">
        <f aca="false">IF(D284=0,"",AVERAGEIFS(Market_Panel!$R$2:$R$2705,Market_Panel!$A$2:$A$2705,B284,Market_Panel!$B$2:$B$2705,"&gt;="&amp;$B$13,Market_Panel!$B$2:$B$2705,"&lt;="&amp;$C$13))</f>
        <v>0</v>
      </c>
      <c r="H284" s="11" t="n">
        <f aca="false">IF(OR(D284=0,$H$13=0),0,AVERAGEIFS(Market_Panel!$Y$2:$Y$2705,Market_Panel!$A$2:$A$2705,B284,Market_Panel!$B$2:$B$2705,"&gt;="&amp;$B$13,Market_Panel!$B$2:$B$2705,"&lt;="&amp;$C$13))</f>
        <v>0</v>
      </c>
      <c r="I284" s="10" t="n">
        <f aca="false">IF(D284=0,"",$I$13+$F$13*F284+$G$13*G284+$H$13*H284)</f>
        <v>0.0225208474345631</v>
      </c>
      <c r="J284" s="5" t="n">
        <f aca="false">IF(D284&lt;5,"",(E284-I284)*162)</f>
        <v>-0.564190064588198</v>
      </c>
      <c r="K284" s="5" t="n">
        <f aca="false">IF(D284=0,"",E284*162)</f>
        <v>3.08418721981102</v>
      </c>
      <c r="L284" s="3" t="n">
        <f aca="false">SUMIFS(Seasons!$L$2:$L$2865,Seasons!$A$2:$A$2865,B284,Seasons!$B$2:$B$2865,"&gt;="&amp;$B$13,Seasons!$B$2:$B$2865,"&lt;="&amp;$C$13)</f>
        <v>2</v>
      </c>
      <c r="M284" s="3" t="n">
        <f aca="false">SUMIFS(Seasons!$N$2:$N$2865,Seasons!$A$2:$A$2865,B284,Seasons!$B$2:$B$2865,"&gt;="&amp;$B$13,Seasons!$B$2:$B$2865,"&lt;="&amp;$C$13)</f>
        <v>1</v>
      </c>
      <c r="N284" s="3" t="n">
        <f aca="false">IF(J284="",-1000000,J284+ROW()*0.000000001)</f>
        <v>-0.564189780588198</v>
      </c>
      <c r="O284" s="3" t="n">
        <f aca="false">IF(J284="","",SUMPRODUCT(($A$25:$A$534=A284)*($N$25:$N$534&gt;N284))+1)</f>
        <v>14</v>
      </c>
      <c r="P284" s="3" t="str">
        <f aca="false">A284&amp;"|"&amp;O284</f>
        <v>1980s|14</v>
      </c>
    </row>
    <row r="285" customFormat="false" ht="15" hidden="false" customHeight="true" outlineLevel="0" collapsed="false">
      <c r="A285" s="1" t="s">
        <v>17</v>
      </c>
      <c r="B285" s="7" t="s">
        <v>76</v>
      </c>
      <c r="C285" s="1" t="s">
        <v>72</v>
      </c>
      <c r="D285" s="3" t="n">
        <f aca="false">COUNTIFS(Market_Panel!$A$2:$A$2705,B285,Market_Panel!$B$2:$B$2705,"&gt;="&amp;$B$13,Market_Panel!$B$2:$B$2705,"&lt;="&amp;$C$13)</f>
        <v>10</v>
      </c>
      <c r="E285" s="10" t="n">
        <f aca="false">IF(D285=0,"",AVERAGEIFS(Market_Panel!$M$2:$M$2705,Market_Panel!$A$2:$A$2705,B285,Market_Panel!$B$2:$B$2705,"&gt;="&amp;$B$13,Market_Panel!$B$2:$B$2705,"&lt;="&amp;$C$13))</f>
        <v>0.0279437969965249</v>
      </c>
      <c r="F285" s="11" t="n">
        <f aca="false">IF(D285=0,"",AVERAGEIFS(Market_Panel!$P$2:$P$2705,Market_Panel!$A$2:$A$2705,B285,Market_Panel!$B$2:$B$2705,"&gt;="&amp;$B$13,Market_Panel!$B$2:$B$2705,"&lt;="&amp;$C$13))</f>
        <v>-0.635772594583884</v>
      </c>
      <c r="G285" s="11" t="n">
        <f aca="false">IF(D285=0,"",AVERAGEIFS(Market_Panel!$R$2:$R$2705,Market_Panel!$A$2:$A$2705,B285,Market_Panel!$B$2:$B$2705,"&gt;="&amp;$B$13,Market_Panel!$B$2:$B$2705,"&lt;="&amp;$C$13))</f>
        <v>0</v>
      </c>
      <c r="H285" s="11" t="n">
        <f aca="false">IF(OR(D285=0,$H$13=0),0,AVERAGEIFS(Market_Panel!$Y$2:$Y$2705,Market_Panel!$A$2:$A$2705,B285,Market_Panel!$B$2:$B$2705,"&gt;="&amp;$B$13,Market_Panel!$B$2:$B$2705,"&lt;="&amp;$C$13))</f>
        <v>0</v>
      </c>
      <c r="I285" s="10" t="n">
        <f aca="false">IF(D285=0,"",$I$13+$F$13*F285+$G$13*G285+$H$13*H285)</f>
        <v>-0.00692884358151066</v>
      </c>
      <c r="J285" s="5" t="n">
        <f aca="false">IF(D285&lt;5,"",(E285-I285)*162)</f>
        <v>5.64936777364175</v>
      </c>
      <c r="K285" s="5" t="n">
        <f aca="false">IF(D285=0,"",E285*162)</f>
        <v>4.52689511343703</v>
      </c>
      <c r="L285" s="3" t="n">
        <f aca="false">SUMIFS(Seasons!$L$2:$L$2865,Seasons!$A$2:$A$2865,B285,Seasons!$B$2:$B$2865,"&gt;="&amp;$B$13,Seasons!$B$2:$B$2865,"&lt;="&amp;$C$13)</f>
        <v>4</v>
      </c>
      <c r="M285" s="3" t="n">
        <f aca="false">SUMIFS(Seasons!$N$2:$N$2865,Seasons!$A$2:$A$2865,B285,Seasons!$B$2:$B$2865,"&gt;="&amp;$B$13,Seasons!$B$2:$B$2865,"&lt;="&amp;$C$13)</f>
        <v>1</v>
      </c>
      <c r="N285" s="3" t="n">
        <f aca="false">IF(J285="",-1000000,J285+ROW()*0.000000001)</f>
        <v>5.64936805864175</v>
      </c>
      <c r="O285" s="3" t="n">
        <f aca="false">IF(J285="","",SUMPRODUCT(($A$25:$A$534=A285)*($N$25:$N$534&gt;N285))+1)</f>
        <v>3</v>
      </c>
      <c r="P285" s="3" t="str">
        <f aca="false">A285&amp;"|"&amp;O285</f>
        <v>1980s|3</v>
      </c>
    </row>
    <row r="286" customFormat="false" ht="15" hidden="false" customHeight="true" outlineLevel="0" collapsed="false">
      <c r="A286" s="1" t="s">
        <v>17</v>
      </c>
      <c r="B286" s="7" t="s">
        <v>77</v>
      </c>
      <c r="C286" s="1" t="s">
        <v>72</v>
      </c>
      <c r="D286" s="3" t="n">
        <f aca="false">COUNTIFS(Market_Panel!$A$2:$A$2705,B286,Market_Panel!$B$2:$B$2705,"&gt;="&amp;$B$13,Market_Panel!$B$2:$B$2705,"&lt;="&amp;$C$13)</f>
        <v>10</v>
      </c>
      <c r="E286" s="10" t="n">
        <f aca="false">IF(D286=0,"",AVERAGEIFS(Market_Panel!$M$2:$M$2705,Market_Panel!$A$2:$A$2705,B286,Market_Panel!$B$2:$B$2705,"&gt;="&amp;$B$13,Market_Panel!$B$2:$B$2705,"&lt;="&amp;$C$13))</f>
        <v>0.015795449396568</v>
      </c>
      <c r="F286" s="11" t="n">
        <f aca="false">IF(D286=0,"",AVERAGEIFS(Market_Panel!$P$2:$P$2705,Market_Panel!$A$2:$A$2705,B286,Market_Panel!$B$2:$B$2705,"&gt;="&amp;$B$13,Market_Panel!$B$2:$B$2705,"&lt;="&amp;$C$13))</f>
        <v>-0.277912121366506</v>
      </c>
      <c r="G286" s="11" t="n">
        <f aca="false">IF(D286=0,"",AVERAGEIFS(Market_Panel!$R$2:$R$2705,Market_Panel!$A$2:$A$2705,B286,Market_Panel!$B$2:$B$2705,"&gt;="&amp;$B$13,Market_Panel!$B$2:$B$2705,"&lt;="&amp;$C$13))</f>
        <v>0</v>
      </c>
      <c r="H286" s="11" t="n">
        <f aca="false">IF(OR(D286=0,$H$13=0),0,AVERAGEIFS(Market_Panel!$Y$2:$Y$2705,Market_Panel!$A$2:$A$2705,B286,Market_Panel!$B$2:$B$2705,"&gt;="&amp;$B$13,Market_Panel!$B$2:$B$2705,"&lt;="&amp;$C$13))</f>
        <v>0</v>
      </c>
      <c r="I286" s="10" t="n">
        <f aca="false">IF(D286=0,"",$I$13+$F$13*F286+$G$13*G286+$H$13*H286)</f>
        <v>-0.00189715791135731</v>
      </c>
      <c r="J286" s="5" t="n">
        <f aca="false">IF(D286&lt;5,"",(E286-I286)*162)</f>
        <v>2.8662023838839</v>
      </c>
      <c r="K286" s="5" t="n">
        <f aca="false">IF(D286=0,"",E286*162)</f>
        <v>2.55886280224402</v>
      </c>
      <c r="L286" s="3" t="n">
        <f aca="false">SUMIFS(Seasons!$L$2:$L$2865,Seasons!$A$2:$A$2865,B286,Seasons!$B$2:$B$2865,"&gt;="&amp;$B$13,Seasons!$B$2:$B$2865,"&lt;="&amp;$C$13)</f>
        <v>2</v>
      </c>
      <c r="M286" s="3" t="n">
        <f aca="false">SUMIFS(Seasons!$N$2:$N$2865,Seasons!$A$2:$A$2865,B286,Seasons!$B$2:$B$2865,"&gt;="&amp;$B$13,Seasons!$B$2:$B$2865,"&lt;="&amp;$C$13)</f>
        <v>0</v>
      </c>
      <c r="N286" s="3" t="n">
        <f aca="false">IF(J286="",-1000000,J286+ROW()*0.000000001)</f>
        <v>2.8662026698839</v>
      </c>
      <c r="O286" s="3" t="n">
        <f aca="false">IF(J286="","",SUMPRODUCT(($A$25:$A$534=A286)*($N$25:$N$534&gt;N286))+1)</f>
        <v>8</v>
      </c>
      <c r="P286" s="3" t="str">
        <f aca="false">A286&amp;"|"&amp;O286</f>
        <v>1980s|8</v>
      </c>
    </row>
    <row r="287" customFormat="false" ht="15" hidden="false" customHeight="true" outlineLevel="0" collapsed="false">
      <c r="A287" s="1" t="s">
        <v>17</v>
      </c>
      <c r="B287" s="7" t="s">
        <v>78</v>
      </c>
      <c r="C287" s="1" t="s">
        <v>72</v>
      </c>
      <c r="D287" s="3" t="n">
        <f aca="false">COUNTIFS(Market_Panel!$A$2:$A$2705,B287,Market_Panel!$B$2:$B$2705,"&gt;="&amp;$B$13,Market_Panel!$B$2:$B$2705,"&lt;="&amp;$C$13)</f>
        <v>10</v>
      </c>
      <c r="E287" s="10" t="n">
        <f aca="false">IF(D287=0,"",AVERAGEIFS(Market_Panel!$M$2:$M$2705,Market_Panel!$A$2:$A$2705,B287,Market_Panel!$B$2:$B$2705,"&gt;="&amp;$B$13,Market_Panel!$B$2:$B$2705,"&lt;="&amp;$C$13))</f>
        <v>-0.0172816163968919</v>
      </c>
      <c r="F287" s="11" t="n">
        <f aca="false">IF(D287=0,"",AVERAGEIFS(Market_Panel!$P$2:$P$2705,Market_Panel!$A$2:$A$2705,B287,Market_Panel!$B$2:$B$2705,"&gt;="&amp;$B$13,Market_Panel!$B$2:$B$2705,"&lt;="&amp;$C$13))</f>
        <v>0.154174838181465</v>
      </c>
      <c r="G287" s="11" t="n">
        <f aca="false">IF(D287=0,"",AVERAGEIFS(Market_Panel!$R$2:$R$2705,Market_Panel!$A$2:$A$2705,B287,Market_Panel!$B$2:$B$2705,"&gt;="&amp;$B$13,Market_Panel!$B$2:$B$2705,"&lt;="&amp;$C$13))</f>
        <v>0</v>
      </c>
      <c r="H287" s="11" t="n">
        <f aca="false">IF(OR(D287=0,$H$13=0),0,AVERAGEIFS(Market_Panel!$Y$2:$Y$2705,Market_Panel!$A$2:$A$2705,B287,Market_Panel!$B$2:$B$2705,"&gt;="&amp;$B$13,Market_Panel!$B$2:$B$2705,"&lt;="&amp;$C$13))</f>
        <v>0</v>
      </c>
      <c r="I287" s="10" t="n">
        <f aca="false">IF(D287=0,"",$I$13+$F$13*F287+$G$13*G287+$H$13*H287)</f>
        <v>0.00417818688174313</v>
      </c>
      <c r="J287" s="5" t="n">
        <f aca="false">IF(D287&lt;5,"",(E287-I287)*162)</f>
        <v>-3.47648813113888</v>
      </c>
      <c r="K287" s="5" t="n">
        <f aca="false">IF(D287=0,"",E287*162)</f>
        <v>-2.79962185629649</v>
      </c>
      <c r="L287" s="3" t="n">
        <f aca="false">SUMIFS(Seasons!$L$2:$L$2865,Seasons!$A$2:$A$2865,B287,Seasons!$B$2:$B$2865,"&gt;="&amp;$B$13,Seasons!$B$2:$B$2865,"&lt;="&amp;$C$13)</f>
        <v>1</v>
      </c>
      <c r="M287" s="3" t="n">
        <f aca="false">SUMIFS(Seasons!$N$2:$N$2865,Seasons!$A$2:$A$2865,B287,Seasons!$B$2:$B$2865,"&gt;="&amp;$B$13,Seasons!$B$2:$B$2865,"&lt;="&amp;$C$13)</f>
        <v>0</v>
      </c>
      <c r="N287" s="3" t="n">
        <f aca="false">IF(J287="",-1000000,J287+ROW()*0.000000001)</f>
        <v>-3.47648784413888</v>
      </c>
      <c r="O287" s="3" t="n">
        <f aca="false">IF(J287="","",SUMPRODUCT(($A$25:$A$534=A287)*($N$25:$N$534&gt;N287))+1)</f>
        <v>18</v>
      </c>
      <c r="P287" s="3" t="str">
        <f aca="false">A287&amp;"|"&amp;O287</f>
        <v>1980s|18</v>
      </c>
    </row>
    <row r="288" customFormat="false" ht="15" hidden="false" customHeight="true" outlineLevel="0" collapsed="false">
      <c r="A288" s="1" t="s">
        <v>17</v>
      </c>
      <c r="B288" s="7" t="s">
        <v>79</v>
      </c>
      <c r="C288" s="1" t="s">
        <v>72</v>
      </c>
      <c r="D288" s="3" t="n">
        <f aca="false">COUNTIFS(Market_Panel!$A$2:$A$2705,B288,Market_Panel!$B$2:$B$2705,"&gt;="&amp;$B$13,Market_Panel!$B$2:$B$2705,"&lt;="&amp;$C$13)</f>
        <v>10</v>
      </c>
      <c r="E288" s="10" t="n">
        <f aca="false">IF(D288=0,"",AVERAGEIFS(Market_Panel!$M$2:$M$2705,Market_Panel!$A$2:$A$2705,B288,Market_Panel!$B$2:$B$2705,"&gt;="&amp;$B$13,Market_Panel!$B$2:$B$2705,"&lt;="&amp;$C$13))</f>
        <v>0.0201216781078519</v>
      </c>
      <c r="F288" s="11" t="n">
        <f aca="false">IF(D288=0,"",AVERAGEIFS(Market_Panel!$P$2:$P$2705,Market_Panel!$A$2:$A$2705,B288,Market_Panel!$B$2:$B$2705,"&gt;="&amp;$B$13,Market_Panel!$B$2:$B$2705,"&lt;="&amp;$C$13))</f>
        <v>0.177061962242592</v>
      </c>
      <c r="G288" s="11" t="n">
        <f aca="false">IF(D288=0,"",AVERAGEIFS(Market_Panel!$R$2:$R$2705,Market_Panel!$A$2:$A$2705,B288,Market_Panel!$B$2:$B$2705,"&gt;="&amp;$B$13,Market_Panel!$B$2:$B$2705,"&lt;="&amp;$C$13))</f>
        <v>0</v>
      </c>
      <c r="H288" s="11" t="n">
        <f aca="false">IF(OR(D288=0,$H$13=0),0,AVERAGEIFS(Market_Panel!$Y$2:$Y$2705,Market_Panel!$A$2:$A$2705,B288,Market_Panel!$B$2:$B$2705,"&gt;="&amp;$B$13,Market_Panel!$B$2:$B$2705,"&lt;="&amp;$C$13))</f>
        <v>0</v>
      </c>
      <c r="I288" s="10" t="n">
        <f aca="false">IF(D288=0,"",$I$13+$F$13*F288+$G$13*G288+$H$13*H288)</f>
        <v>0.0044999905532524</v>
      </c>
      <c r="J288" s="5" t="n">
        <f aca="false">IF(D288&lt;5,"",(E288-I288)*162)</f>
        <v>2.53071338384512</v>
      </c>
      <c r="K288" s="5" t="n">
        <f aca="false">IF(D288=0,"",E288*162)</f>
        <v>3.25971185347201</v>
      </c>
      <c r="L288" s="3" t="n">
        <f aca="false">SUMIFS(Seasons!$L$2:$L$2865,Seasons!$A$2:$A$2865,B288,Seasons!$B$2:$B$2865,"&gt;="&amp;$B$13,Seasons!$B$2:$B$2865,"&lt;="&amp;$C$13)</f>
        <v>1</v>
      </c>
      <c r="M288" s="3" t="n">
        <f aca="false">SUMIFS(Seasons!$N$2:$N$2865,Seasons!$A$2:$A$2865,B288,Seasons!$B$2:$B$2865,"&gt;="&amp;$B$13,Seasons!$B$2:$B$2865,"&lt;="&amp;$C$13)</f>
        <v>0</v>
      </c>
      <c r="N288" s="3" t="n">
        <f aca="false">IF(J288="",-1000000,J288+ROW()*0.000000001)</f>
        <v>2.53071367184512</v>
      </c>
      <c r="O288" s="3" t="n">
        <f aca="false">IF(J288="","",SUMPRODUCT(($A$25:$A$534=A288)*($N$25:$N$534&gt;N288))+1)</f>
        <v>10</v>
      </c>
      <c r="P288" s="3" t="str">
        <f aca="false">A288&amp;"|"&amp;O288</f>
        <v>1980s|10</v>
      </c>
    </row>
    <row r="289" customFormat="false" ht="15" hidden="false" customHeight="true" outlineLevel="0" collapsed="false">
      <c r="A289" s="1" t="s">
        <v>17</v>
      </c>
      <c r="B289" s="7" t="s">
        <v>80</v>
      </c>
      <c r="C289" s="1" t="s">
        <v>72</v>
      </c>
      <c r="D289" s="3" t="n">
        <f aca="false">COUNTIFS(Market_Panel!$A$2:$A$2705,B289,Market_Panel!$B$2:$B$2705,"&gt;="&amp;$B$13,Market_Panel!$B$2:$B$2705,"&lt;="&amp;$C$13)</f>
        <v>10</v>
      </c>
      <c r="E289" s="10" t="n">
        <f aca="false">IF(D289=0,"",AVERAGEIFS(Market_Panel!$M$2:$M$2705,Market_Panel!$A$2:$A$2705,B289,Market_Panel!$B$2:$B$2705,"&gt;="&amp;$B$13,Market_Panel!$B$2:$B$2705,"&lt;="&amp;$C$13))</f>
        <v>-0.0710350055764212</v>
      </c>
      <c r="F289" s="11" t="n">
        <f aca="false">IF(D289=0,"",AVERAGEIFS(Market_Panel!$P$2:$P$2705,Market_Panel!$A$2:$A$2705,B289,Market_Panel!$B$2:$B$2705,"&gt;="&amp;$B$13,Market_Panel!$B$2:$B$2705,"&lt;="&amp;$C$13))</f>
        <v>-0.505463851681488</v>
      </c>
      <c r="G289" s="11" t="n">
        <f aca="false">IF(D289=0,"",AVERAGEIFS(Market_Panel!$R$2:$R$2705,Market_Panel!$A$2:$A$2705,B289,Market_Panel!$B$2:$B$2705,"&gt;="&amp;$B$13,Market_Panel!$B$2:$B$2705,"&lt;="&amp;$C$13))</f>
        <v>0.7</v>
      </c>
      <c r="H289" s="11" t="n">
        <f aca="false">IF(OR(D289=0,$H$13=0),0,AVERAGEIFS(Market_Panel!$Y$2:$Y$2705,Market_Panel!$A$2:$A$2705,B289,Market_Panel!$B$2:$B$2705,"&gt;="&amp;$B$13,Market_Panel!$B$2:$B$2705,"&lt;="&amp;$C$13))</f>
        <v>0</v>
      </c>
      <c r="I289" s="10" t="n">
        <f aca="false">IF(D289=0,"",$I$13+$F$13*F289+$G$13*G289+$H$13*H289)</f>
        <v>-0.0312320565816758</v>
      </c>
      <c r="J289" s="5" t="n">
        <f aca="false">IF(D289&lt;5,"",(E289-I289)*162)</f>
        <v>-6.44807773714876</v>
      </c>
      <c r="K289" s="5" t="n">
        <f aca="false">IF(D289=0,"",E289*162)</f>
        <v>-11.5076709033802</v>
      </c>
      <c r="L289" s="3" t="n">
        <f aca="false">SUMIFS(Seasons!$L$2:$L$2865,Seasons!$A$2:$A$2865,B289,Seasons!$B$2:$B$2865,"&gt;="&amp;$B$13,Seasons!$B$2:$B$2865,"&lt;="&amp;$C$13)</f>
        <v>0</v>
      </c>
      <c r="M289" s="3" t="n">
        <f aca="false">SUMIFS(Seasons!$N$2:$N$2865,Seasons!$A$2:$A$2865,B289,Seasons!$B$2:$B$2865,"&gt;="&amp;$B$13,Seasons!$B$2:$B$2865,"&lt;="&amp;$C$13)</f>
        <v>0</v>
      </c>
      <c r="N289" s="3" t="n">
        <f aca="false">IF(J289="",-1000000,J289+ROW()*0.000000001)</f>
        <v>-6.44807744814876</v>
      </c>
      <c r="O289" s="3" t="n">
        <f aca="false">IF(J289="","",SUMPRODUCT(($A$25:$A$534=A289)*($N$25:$N$534&gt;N289))+1)</f>
        <v>25</v>
      </c>
      <c r="P289" s="3" t="str">
        <f aca="false">A289&amp;"|"&amp;O289</f>
        <v>1980s|25</v>
      </c>
    </row>
    <row r="290" customFormat="false" ht="15" hidden="false" customHeight="true" outlineLevel="0" collapsed="false">
      <c r="A290" s="1" t="s">
        <v>17</v>
      </c>
      <c r="B290" s="7" t="s">
        <v>81</v>
      </c>
      <c r="C290" s="1" t="s">
        <v>72</v>
      </c>
      <c r="D290" s="3" t="n">
        <f aca="false">COUNTIFS(Market_Panel!$A$2:$A$2705,B290,Market_Panel!$B$2:$B$2705,"&gt;="&amp;$B$13,Market_Panel!$B$2:$B$2705,"&lt;="&amp;$C$13)</f>
        <v>10</v>
      </c>
      <c r="E290" s="10" t="n">
        <f aca="false">IF(D290=0,"",AVERAGEIFS(Market_Panel!$M$2:$M$2705,Market_Panel!$A$2:$A$2705,B290,Market_Panel!$B$2:$B$2705,"&gt;="&amp;$B$13,Market_Panel!$B$2:$B$2705,"&lt;="&amp;$C$13))</f>
        <v>0.0168324147830403</v>
      </c>
      <c r="F290" s="11" t="n">
        <f aca="false">IF(D290=0,"",AVERAGEIFS(Market_Panel!$P$2:$P$2705,Market_Panel!$A$2:$A$2705,B290,Market_Panel!$B$2:$B$2705,"&gt;="&amp;$B$13,Market_Panel!$B$2:$B$2705,"&lt;="&amp;$C$13))</f>
        <v>-0.305656586441378</v>
      </c>
      <c r="G290" s="11" t="n">
        <f aca="false">IF(D290=0,"",AVERAGEIFS(Market_Panel!$R$2:$R$2705,Market_Panel!$A$2:$A$2705,B290,Market_Panel!$B$2:$B$2705,"&gt;="&amp;$B$13,Market_Panel!$B$2:$B$2705,"&lt;="&amp;$C$13))</f>
        <v>0.7</v>
      </c>
      <c r="H290" s="11" t="n">
        <f aca="false">IF(OR(D290=0,$H$13=0),0,AVERAGEIFS(Market_Panel!$Y$2:$Y$2705,Market_Panel!$A$2:$A$2705,B290,Market_Panel!$B$2:$B$2705,"&gt;="&amp;$B$13,Market_Panel!$B$2:$B$2705,"&lt;="&amp;$C$13))</f>
        <v>0</v>
      </c>
      <c r="I290" s="10" t="n">
        <f aca="false">IF(D290=0,"",$I$13+$F$13*F290+$G$13*G290+$H$13*H290)</f>
        <v>-0.028422672957208</v>
      </c>
      <c r="J290" s="5" t="n">
        <f aca="false">IF(D290&lt;5,"",(E290-I290)*162)</f>
        <v>7.33132421392023</v>
      </c>
      <c r="K290" s="5" t="n">
        <f aca="false">IF(D290=0,"",E290*162)</f>
        <v>2.72685119485253</v>
      </c>
      <c r="L290" s="3" t="n">
        <f aca="false">SUMIFS(Seasons!$L$2:$L$2865,Seasons!$A$2:$A$2865,B290,Seasons!$B$2:$B$2865,"&gt;="&amp;$B$13,Seasons!$B$2:$B$2865,"&lt;="&amp;$C$13)</f>
        <v>2</v>
      </c>
      <c r="M290" s="3" t="n">
        <f aca="false">SUMIFS(Seasons!$N$2:$N$2865,Seasons!$A$2:$A$2865,B290,Seasons!$B$2:$B$2865,"&gt;="&amp;$B$13,Seasons!$B$2:$B$2865,"&lt;="&amp;$C$13)</f>
        <v>0</v>
      </c>
      <c r="N290" s="3" t="n">
        <f aca="false">IF(J290="",-1000000,J290+ROW()*0.000000001)</f>
        <v>7.33132450392023</v>
      </c>
      <c r="O290" s="3" t="n">
        <f aca="false">IF(J290="","",SUMPRODUCT(($A$25:$A$534=A290)*($N$25:$N$534&gt;N290))+1)</f>
        <v>1</v>
      </c>
      <c r="P290" s="3" t="str">
        <f aca="false">A290&amp;"|"&amp;O290</f>
        <v>1980s|1</v>
      </c>
    </row>
    <row r="291" customFormat="false" ht="15" hidden="false" customHeight="true" outlineLevel="0" collapsed="false">
      <c r="A291" s="1" t="s">
        <v>17</v>
      </c>
      <c r="B291" s="7" t="s">
        <v>82</v>
      </c>
      <c r="C291" s="1" t="s">
        <v>72</v>
      </c>
      <c r="D291" s="3" t="n">
        <f aca="false">COUNTIFS(Market_Panel!$A$2:$A$2705,B291,Market_Panel!$B$2:$B$2705,"&gt;="&amp;$B$13,Market_Panel!$B$2:$B$2705,"&lt;="&amp;$C$13)</f>
        <v>0</v>
      </c>
      <c r="E291" s="10" t="str">
        <f aca="false">IF(D291=0,"",AVERAGEIFS(Market_Panel!$M$2:$M$2705,Market_Panel!$A$2:$A$2705,B291,Market_Panel!$B$2:$B$2705,"&gt;="&amp;$B$13,Market_Panel!$B$2:$B$2705,"&lt;="&amp;$C$13))</f>
        <v/>
      </c>
      <c r="F291" s="11" t="str">
        <f aca="false">IF(D291=0,"",AVERAGEIFS(Market_Panel!$P$2:$P$2705,Market_Panel!$A$2:$A$2705,B291,Market_Panel!$B$2:$B$2705,"&gt;="&amp;$B$13,Market_Panel!$B$2:$B$2705,"&lt;="&amp;$C$13))</f>
        <v/>
      </c>
      <c r="G291" s="11" t="str">
        <f aca="false">IF(D291=0,"",AVERAGEIFS(Market_Panel!$R$2:$R$2705,Market_Panel!$A$2:$A$2705,B291,Market_Panel!$B$2:$B$2705,"&gt;="&amp;$B$13,Market_Panel!$B$2:$B$2705,"&lt;="&amp;$C$13))</f>
        <v/>
      </c>
      <c r="H291" s="11" t="n">
        <f aca="false">IF(OR(D291=0,$H$13=0),0,AVERAGEIFS(Market_Panel!$Y$2:$Y$2705,Market_Panel!$A$2:$A$2705,B291,Market_Panel!$B$2:$B$2705,"&gt;="&amp;$B$13,Market_Panel!$B$2:$B$2705,"&lt;="&amp;$C$13))</f>
        <v>0</v>
      </c>
      <c r="I291" s="10" t="str">
        <f aca="false">IF(D291=0,"",$I$13+$F$13*F291+$G$13*G291+$H$13*H291)</f>
        <v/>
      </c>
      <c r="J291" s="5" t="str">
        <f aca="false">IF(D291&lt;5,"",(E291-I291)*162)</f>
        <v/>
      </c>
      <c r="K291" s="5" t="str">
        <f aca="false">IF(D291=0,"",E291*162)</f>
        <v/>
      </c>
      <c r="L291" s="3" t="n">
        <f aca="false">SUMIFS(Seasons!$L$2:$L$2865,Seasons!$A$2:$A$2865,B291,Seasons!$B$2:$B$2865,"&gt;="&amp;$B$13,Seasons!$B$2:$B$2865,"&lt;="&amp;$C$13)</f>
        <v>0</v>
      </c>
      <c r="M291" s="3" t="n">
        <f aca="false">SUMIFS(Seasons!$N$2:$N$2865,Seasons!$A$2:$A$2865,B291,Seasons!$B$2:$B$2865,"&gt;="&amp;$B$13,Seasons!$B$2:$B$2865,"&lt;="&amp;$C$13)</f>
        <v>0</v>
      </c>
      <c r="N291" s="3" t="n">
        <f aca="false">IF(J291="",-1000000,J291+ROW()*0.000000001)</f>
        <v>-1000000</v>
      </c>
      <c r="O291" s="3" t="str">
        <f aca="false">IF(J291="","",SUMPRODUCT(($A$25:$A$534=A291)*($N$25:$N$534&gt;N291))+1)</f>
        <v/>
      </c>
      <c r="P291" s="3" t="str">
        <f aca="false">A291&amp;"|"&amp;O291</f>
        <v>1980s|</v>
      </c>
    </row>
    <row r="292" customFormat="false" ht="15" hidden="false" customHeight="true" outlineLevel="0" collapsed="false">
      <c r="A292" s="1" t="s">
        <v>17</v>
      </c>
      <c r="B292" s="7" t="s">
        <v>83</v>
      </c>
      <c r="C292" s="1" t="s">
        <v>72</v>
      </c>
      <c r="D292" s="3" t="n">
        <f aca="false">COUNTIFS(Market_Panel!$A$2:$A$2705,B292,Market_Panel!$B$2:$B$2705,"&gt;="&amp;$B$13,Market_Panel!$B$2:$B$2705,"&lt;="&amp;$C$13)</f>
        <v>0</v>
      </c>
      <c r="E292" s="10" t="str">
        <f aca="false">IF(D292=0,"",AVERAGEIFS(Market_Panel!$M$2:$M$2705,Market_Panel!$A$2:$A$2705,B292,Market_Panel!$B$2:$B$2705,"&gt;="&amp;$B$13,Market_Panel!$B$2:$B$2705,"&lt;="&amp;$C$13))</f>
        <v/>
      </c>
      <c r="F292" s="11" t="str">
        <f aca="false">IF(D292=0,"",AVERAGEIFS(Market_Panel!$P$2:$P$2705,Market_Panel!$A$2:$A$2705,B292,Market_Panel!$B$2:$B$2705,"&gt;="&amp;$B$13,Market_Panel!$B$2:$B$2705,"&lt;="&amp;$C$13))</f>
        <v/>
      </c>
      <c r="G292" s="11" t="str">
        <f aca="false">IF(D292=0,"",AVERAGEIFS(Market_Panel!$R$2:$R$2705,Market_Panel!$A$2:$A$2705,B292,Market_Panel!$B$2:$B$2705,"&gt;="&amp;$B$13,Market_Panel!$B$2:$B$2705,"&lt;="&amp;$C$13))</f>
        <v/>
      </c>
      <c r="H292" s="11" t="n">
        <f aca="false">IF(OR(D292=0,$H$13=0),0,AVERAGEIFS(Market_Panel!$Y$2:$Y$2705,Market_Panel!$A$2:$A$2705,B292,Market_Panel!$B$2:$B$2705,"&gt;="&amp;$B$13,Market_Panel!$B$2:$B$2705,"&lt;="&amp;$C$13))</f>
        <v>0</v>
      </c>
      <c r="I292" s="10" t="str">
        <f aca="false">IF(D292=0,"",$I$13+$F$13*F292+$G$13*G292+$H$13*H292)</f>
        <v/>
      </c>
      <c r="J292" s="5" t="str">
        <f aca="false">IF(D292&lt;5,"",(E292-I292)*162)</f>
        <v/>
      </c>
      <c r="K292" s="5" t="str">
        <f aca="false">IF(D292=0,"",E292*162)</f>
        <v/>
      </c>
      <c r="L292" s="3" t="n">
        <f aca="false">SUMIFS(Seasons!$L$2:$L$2865,Seasons!$A$2:$A$2865,B292,Seasons!$B$2:$B$2865,"&gt;="&amp;$B$13,Seasons!$B$2:$B$2865,"&lt;="&amp;$C$13)</f>
        <v>0</v>
      </c>
      <c r="M292" s="3" t="n">
        <f aca="false">SUMIFS(Seasons!$N$2:$N$2865,Seasons!$A$2:$A$2865,B292,Seasons!$B$2:$B$2865,"&gt;="&amp;$B$13,Seasons!$B$2:$B$2865,"&lt;="&amp;$C$13)</f>
        <v>0</v>
      </c>
      <c r="N292" s="3" t="n">
        <f aca="false">IF(J292="",-1000000,J292+ROW()*0.000000001)</f>
        <v>-1000000</v>
      </c>
      <c r="O292" s="3" t="str">
        <f aca="false">IF(J292="","",SUMPRODUCT(($A$25:$A$534=A292)*($N$25:$N$534&gt;N292))+1)</f>
        <v/>
      </c>
      <c r="P292" s="3" t="str">
        <f aca="false">A292&amp;"|"&amp;O292</f>
        <v>1980s|</v>
      </c>
    </row>
    <row r="293" customFormat="false" ht="15" hidden="false" customHeight="true" outlineLevel="0" collapsed="false">
      <c r="A293" s="1" t="s">
        <v>17</v>
      </c>
      <c r="B293" s="7" t="s">
        <v>84</v>
      </c>
      <c r="C293" s="1" t="s">
        <v>72</v>
      </c>
      <c r="D293" s="3" t="n">
        <f aca="false">COUNTIFS(Market_Panel!$A$2:$A$2705,B293,Market_Panel!$B$2:$B$2705,"&gt;="&amp;$B$13,Market_Panel!$B$2:$B$2705,"&lt;="&amp;$C$13)</f>
        <v>0</v>
      </c>
      <c r="E293" s="10" t="str">
        <f aca="false">IF(D293=0,"",AVERAGEIFS(Market_Panel!$M$2:$M$2705,Market_Panel!$A$2:$A$2705,B293,Market_Panel!$B$2:$B$2705,"&gt;="&amp;$B$13,Market_Panel!$B$2:$B$2705,"&lt;="&amp;$C$13))</f>
        <v/>
      </c>
      <c r="F293" s="11" t="str">
        <f aca="false">IF(D293=0,"",AVERAGEIFS(Market_Panel!$P$2:$P$2705,Market_Panel!$A$2:$A$2705,B293,Market_Panel!$B$2:$B$2705,"&gt;="&amp;$B$13,Market_Panel!$B$2:$B$2705,"&lt;="&amp;$C$13))</f>
        <v/>
      </c>
      <c r="G293" s="11" t="str">
        <f aca="false">IF(D293=0,"",AVERAGEIFS(Market_Panel!$R$2:$R$2705,Market_Panel!$A$2:$A$2705,B293,Market_Panel!$B$2:$B$2705,"&gt;="&amp;$B$13,Market_Panel!$B$2:$B$2705,"&lt;="&amp;$C$13))</f>
        <v/>
      </c>
      <c r="H293" s="11" t="n">
        <f aca="false">IF(OR(D293=0,$H$13=0),0,AVERAGEIFS(Market_Panel!$Y$2:$Y$2705,Market_Panel!$A$2:$A$2705,B293,Market_Panel!$B$2:$B$2705,"&gt;="&amp;$B$13,Market_Panel!$B$2:$B$2705,"&lt;="&amp;$C$13))</f>
        <v>0</v>
      </c>
      <c r="I293" s="10" t="str">
        <f aca="false">IF(D293=0,"",$I$13+$F$13*F293+$G$13*G293+$H$13*H293)</f>
        <v/>
      </c>
      <c r="J293" s="5" t="str">
        <f aca="false">IF(D293&lt;5,"",(E293-I293)*162)</f>
        <v/>
      </c>
      <c r="K293" s="5" t="str">
        <f aca="false">IF(D293=0,"",E293*162)</f>
        <v/>
      </c>
      <c r="L293" s="3" t="n">
        <f aca="false">SUMIFS(Seasons!$L$2:$L$2865,Seasons!$A$2:$A$2865,B293,Seasons!$B$2:$B$2865,"&gt;="&amp;$B$13,Seasons!$B$2:$B$2865,"&lt;="&amp;$C$13)</f>
        <v>0</v>
      </c>
      <c r="M293" s="3" t="n">
        <f aca="false">SUMIFS(Seasons!$N$2:$N$2865,Seasons!$A$2:$A$2865,B293,Seasons!$B$2:$B$2865,"&gt;="&amp;$B$13,Seasons!$B$2:$B$2865,"&lt;="&amp;$C$13)</f>
        <v>0</v>
      </c>
      <c r="N293" s="3" t="n">
        <f aca="false">IF(J293="",-1000000,J293+ROW()*0.000000001)</f>
        <v>-1000000</v>
      </c>
      <c r="O293" s="3" t="str">
        <f aca="false">IF(J293="","",SUMPRODUCT(($A$25:$A$534=A293)*($N$25:$N$534&gt;N293))+1)</f>
        <v/>
      </c>
      <c r="P293" s="3" t="str">
        <f aca="false">A293&amp;"|"&amp;O293</f>
        <v>1980s|</v>
      </c>
    </row>
    <row r="294" customFormat="false" ht="15" hidden="false" customHeight="true" outlineLevel="0" collapsed="false">
      <c r="A294" s="1" t="s">
        <v>17</v>
      </c>
      <c r="B294" s="7" t="s">
        <v>85</v>
      </c>
      <c r="C294" s="1" t="s">
        <v>72</v>
      </c>
      <c r="D294" s="3" t="n">
        <f aca="false">COUNTIFS(Market_Panel!$A$2:$A$2705,B294,Market_Panel!$B$2:$B$2705,"&gt;="&amp;$B$13,Market_Panel!$B$2:$B$2705,"&lt;="&amp;$C$13)</f>
        <v>0</v>
      </c>
      <c r="E294" s="10" t="str">
        <f aca="false">IF(D294=0,"",AVERAGEIFS(Market_Panel!$M$2:$M$2705,Market_Panel!$A$2:$A$2705,B294,Market_Panel!$B$2:$B$2705,"&gt;="&amp;$B$13,Market_Panel!$B$2:$B$2705,"&lt;="&amp;$C$13))</f>
        <v/>
      </c>
      <c r="F294" s="11" t="str">
        <f aca="false">IF(D294=0,"",AVERAGEIFS(Market_Panel!$P$2:$P$2705,Market_Panel!$A$2:$A$2705,B294,Market_Panel!$B$2:$B$2705,"&gt;="&amp;$B$13,Market_Panel!$B$2:$B$2705,"&lt;="&amp;$C$13))</f>
        <v/>
      </c>
      <c r="G294" s="11" t="str">
        <f aca="false">IF(D294=0,"",AVERAGEIFS(Market_Panel!$R$2:$R$2705,Market_Panel!$A$2:$A$2705,B294,Market_Panel!$B$2:$B$2705,"&gt;="&amp;$B$13,Market_Panel!$B$2:$B$2705,"&lt;="&amp;$C$13))</f>
        <v/>
      </c>
      <c r="H294" s="11" t="n">
        <f aca="false">IF(OR(D294=0,$H$13=0),0,AVERAGEIFS(Market_Panel!$Y$2:$Y$2705,Market_Panel!$A$2:$A$2705,B294,Market_Panel!$B$2:$B$2705,"&gt;="&amp;$B$13,Market_Panel!$B$2:$B$2705,"&lt;="&amp;$C$13))</f>
        <v>0</v>
      </c>
      <c r="I294" s="10" t="str">
        <f aca="false">IF(D294=0,"",$I$13+$F$13*F294+$G$13*G294+$H$13*H294)</f>
        <v/>
      </c>
      <c r="J294" s="5" t="str">
        <f aca="false">IF(D294&lt;5,"",(E294-I294)*162)</f>
        <v/>
      </c>
      <c r="K294" s="5" t="str">
        <f aca="false">IF(D294=0,"",E294*162)</f>
        <v/>
      </c>
      <c r="L294" s="3" t="n">
        <f aca="false">SUMIFS(Seasons!$L$2:$L$2865,Seasons!$A$2:$A$2865,B294,Seasons!$B$2:$B$2865,"&gt;="&amp;$B$13,Seasons!$B$2:$B$2865,"&lt;="&amp;$C$13)</f>
        <v>0</v>
      </c>
      <c r="M294" s="3" t="n">
        <f aca="false">SUMIFS(Seasons!$N$2:$N$2865,Seasons!$A$2:$A$2865,B294,Seasons!$B$2:$B$2865,"&gt;="&amp;$B$13,Seasons!$B$2:$B$2865,"&lt;="&amp;$C$13)</f>
        <v>0</v>
      </c>
      <c r="N294" s="3" t="n">
        <f aca="false">IF(J294="",-1000000,J294+ROW()*0.000000001)</f>
        <v>-1000000</v>
      </c>
      <c r="O294" s="3" t="str">
        <f aca="false">IF(J294="","",SUMPRODUCT(($A$25:$A$534=A294)*($N$25:$N$534&gt;N294))+1)</f>
        <v/>
      </c>
      <c r="P294" s="3" t="str">
        <f aca="false">A294&amp;"|"&amp;O294</f>
        <v>1980s|</v>
      </c>
    </row>
    <row r="295" customFormat="false" ht="15" hidden="false" customHeight="true" outlineLevel="0" collapsed="false">
      <c r="A295" s="1" t="s">
        <v>18</v>
      </c>
      <c r="B295" s="7" t="s">
        <v>54</v>
      </c>
      <c r="C295" s="1" t="s">
        <v>55</v>
      </c>
      <c r="D295" s="3" t="n">
        <f aca="false">COUNTIFS(Market_Panel!$A$2:$A$2705,B295,Market_Panel!$B$2:$B$2705,"&gt;="&amp;$B$14,Market_Panel!$B$2:$B$2705,"&lt;="&amp;$C$14)</f>
        <v>10</v>
      </c>
      <c r="E295" s="10" t="n">
        <f aca="false">IF(D295=0,"",AVERAGEIFS(Market_Panel!$M$2:$M$2705,Market_Panel!$A$2:$A$2705,B295,Market_Panel!$B$2:$B$2705,"&gt;="&amp;$B$14,Market_Panel!$B$2:$B$2705,"&lt;="&amp;$C$14))</f>
        <v>0.0956074547481795</v>
      </c>
      <c r="F295" s="11" t="n">
        <f aca="false">IF(D295=0,"",AVERAGEIFS(Market_Panel!$P$2:$P$2705,Market_Panel!$A$2:$A$2705,B295,Market_Panel!$B$2:$B$2705,"&gt;="&amp;$B$14,Market_Panel!$B$2:$B$2705,"&lt;="&amp;$C$14))</f>
        <v>-0.720813384932337</v>
      </c>
      <c r="G295" s="11" t="n">
        <f aca="false">IF(D295=0,"",AVERAGEIFS(Market_Panel!$R$2:$R$2705,Market_Panel!$A$2:$A$2705,B295,Market_Panel!$B$2:$B$2705,"&gt;="&amp;$B$14,Market_Panel!$B$2:$B$2705,"&lt;="&amp;$C$14))</f>
        <v>0</v>
      </c>
      <c r="H295" s="11" t="n">
        <f aca="false">IF(OR(D295=0,$H$14=0),0,AVERAGEIFS(Market_Panel!$Y$2:$Y$2705,Market_Panel!$A$2:$A$2705,B295,Market_Panel!$B$2:$B$2705,"&gt;="&amp;$B$14,Market_Panel!$B$2:$B$2705,"&lt;="&amp;$C$14))</f>
        <v>0</v>
      </c>
      <c r="I295" s="10" t="n">
        <f aca="false">IF(D295=0,"",$I$14+$F$14*F295+$G$14*G295+$H$14*H295)</f>
        <v>0.00121112555448808</v>
      </c>
      <c r="J295" s="5" t="n">
        <f aca="false">IF(D295&lt;5,"",(E295-I295)*162)</f>
        <v>15.292205329378</v>
      </c>
      <c r="K295" s="5" t="n">
        <f aca="false">IF(D295=0,"",E295*162)</f>
        <v>15.4884076692051</v>
      </c>
      <c r="L295" s="3" t="n">
        <f aca="false">SUMIFS(Seasons!$L$2:$L$2865,Seasons!$A$2:$A$2865,B295,Seasons!$B$2:$B$2865,"&gt;="&amp;$B$14,Seasons!$B$2:$B$2865,"&lt;="&amp;$C$14)</f>
        <v>8</v>
      </c>
      <c r="M295" s="3" t="n">
        <f aca="false">SUMIFS(Seasons!$N$2:$N$2865,Seasons!$A$2:$A$2865,B295,Seasons!$B$2:$B$2865,"&gt;="&amp;$B$14,Seasons!$B$2:$B$2865,"&lt;="&amp;$C$14)</f>
        <v>1</v>
      </c>
      <c r="N295" s="3" t="n">
        <f aca="false">IF(J295="",-1000000,J295+ROW()*0.000000001)</f>
        <v>15.292205624378</v>
      </c>
      <c r="O295" s="3" t="n">
        <f aca="false">IF(J295="","",SUMPRODUCT(($A$25:$A$534=A295)*($N$25:$N$534&gt;N295))+1)</f>
        <v>1</v>
      </c>
      <c r="P295" s="3" t="str">
        <f aca="false">A295&amp;"|"&amp;O295</f>
        <v>1990s|1</v>
      </c>
    </row>
    <row r="296" customFormat="false" ht="15" hidden="false" customHeight="true" outlineLevel="0" collapsed="false">
      <c r="A296" s="1" t="s">
        <v>18</v>
      </c>
      <c r="B296" s="7" t="s">
        <v>56</v>
      </c>
      <c r="C296" s="1" t="s">
        <v>55</v>
      </c>
      <c r="D296" s="3" t="n">
        <f aca="false">COUNTIFS(Market_Panel!$A$2:$A$2705,B296,Market_Panel!$B$2:$B$2705,"&gt;="&amp;$B$14,Market_Panel!$B$2:$B$2705,"&lt;="&amp;$C$14)</f>
        <v>10</v>
      </c>
      <c r="E296" s="10" t="n">
        <f aca="false">IF(D296=0,"",AVERAGEIFS(Market_Panel!$M$2:$M$2705,Market_Panel!$A$2:$A$2705,B296,Market_Panel!$B$2:$B$2705,"&gt;="&amp;$B$14,Market_Panel!$B$2:$B$2705,"&lt;="&amp;$C$14))</f>
        <v>-0.0248236801752852</v>
      </c>
      <c r="F296" s="11" t="n">
        <f aca="false">IF(D296=0,"",AVERAGEIFS(Market_Panel!$P$2:$P$2705,Market_Panel!$A$2:$A$2705,B296,Market_Panel!$B$2:$B$2705,"&gt;="&amp;$B$14,Market_Panel!$B$2:$B$2705,"&lt;="&amp;$C$14))</f>
        <v>0.534043041978869</v>
      </c>
      <c r="G296" s="11" t="n">
        <f aca="false">IF(D296=0,"",AVERAGEIFS(Market_Panel!$R$2:$R$2705,Market_Panel!$A$2:$A$2705,B296,Market_Panel!$B$2:$B$2705,"&gt;="&amp;$B$14,Market_Panel!$B$2:$B$2705,"&lt;="&amp;$C$14))</f>
        <v>0</v>
      </c>
      <c r="H296" s="11" t="n">
        <f aca="false">IF(OR(D296=0,$H$14=0),0,AVERAGEIFS(Market_Panel!$Y$2:$Y$2705,Market_Panel!$A$2:$A$2705,B296,Market_Panel!$B$2:$B$2705,"&gt;="&amp;$B$14,Market_Panel!$B$2:$B$2705,"&lt;="&amp;$C$14))</f>
        <v>0</v>
      </c>
      <c r="I296" s="10" t="n">
        <f aca="false">IF(D296=0,"",$I$14+$F$14*F296+$G$14*G296+$H$14*H296)</f>
        <v>0.00380481459769186</v>
      </c>
      <c r="J296" s="5" t="n">
        <f aca="false">IF(D296&lt;5,"",(E296-I296)*162)</f>
        <v>-4.63781615322228</v>
      </c>
      <c r="K296" s="5" t="n">
        <f aca="false">IF(D296=0,"",E296*162)</f>
        <v>-4.0214361883962</v>
      </c>
      <c r="L296" s="3" t="n">
        <f aca="false">SUMIFS(Seasons!$L$2:$L$2865,Seasons!$A$2:$A$2865,B296,Seasons!$B$2:$B$2865,"&gt;="&amp;$B$14,Seasons!$B$2:$B$2865,"&lt;="&amp;$C$14)</f>
        <v>1</v>
      </c>
      <c r="M296" s="3" t="n">
        <f aca="false">SUMIFS(Seasons!$N$2:$N$2865,Seasons!$A$2:$A$2865,B296,Seasons!$B$2:$B$2865,"&gt;="&amp;$B$14,Seasons!$B$2:$B$2865,"&lt;="&amp;$C$14)</f>
        <v>0</v>
      </c>
      <c r="N296" s="3" t="n">
        <f aca="false">IF(J296="",-1000000,J296+ROW()*0.000000001)</f>
        <v>-4.63781585722228</v>
      </c>
      <c r="O296" s="3" t="n">
        <f aca="false">IF(J296="","",SUMPRODUCT(($A$25:$A$534=A296)*($N$25:$N$534&gt;N296))+1)</f>
        <v>23</v>
      </c>
      <c r="P296" s="3" t="str">
        <f aca="false">A296&amp;"|"&amp;O296</f>
        <v>1990s|23</v>
      </c>
    </row>
    <row r="297" customFormat="false" ht="15" hidden="false" customHeight="true" outlineLevel="0" collapsed="false">
      <c r="A297" s="1" t="s">
        <v>18</v>
      </c>
      <c r="B297" s="7" t="s">
        <v>57</v>
      </c>
      <c r="C297" s="1" t="s">
        <v>55</v>
      </c>
      <c r="D297" s="3" t="n">
        <f aca="false">COUNTIFS(Market_Panel!$A$2:$A$2705,B297,Market_Panel!$B$2:$B$2705,"&gt;="&amp;$B$14,Market_Panel!$B$2:$B$2705,"&lt;="&amp;$C$14)</f>
        <v>10</v>
      </c>
      <c r="E297" s="10" t="n">
        <f aca="false">IF(D297=0,"",AVERAGEIFS(Market_Panel!$M$2:$M$2705,Market_Panel!$A$2:$A$2705,B297,Market_Panel!$B$2:$B$2705,"&gt;="&amp;$B$14,Market_Panel!$B$2:$B$2705,"&lt;="&amp;$C$14))</f>
        <v>0.0227333422059742</v>
      </c>
      <c r="F297" s="11" t="n">
        <f aca="false">IF(D297=0,"",AVERAGEIFS(Market_Panel!$P$2:$P$2705,Market_Panel!$A$2:$A$2705,B297,Market_Panel!$B$2:$B$2705,"&gt;="&amp;$B$14,Market_Panel!$B$2:$B$2705,"&lt;="&amp;$C$14))</f>
        <v>-0.867315303225202</v>
      </c>
      <c r="G297" s="11" t="n">
        <f aca="false">IF(D297=0,"",AVERAGEIFS(Market_Panel!$R$2:$R$2705,Market_Panel!$A$2:$A$2705,B297,Market_Panel!$B$2:$B$2705,"&gt;="&amp;$B$14,Market_Panel!$B$2:$B$2705,"&lt;="&amp;$C$14))</f>
        <v>0</v>
      </c>
      <c r="H297" s="11" t="n">
        <f aca="false">IF(OR(D297=0,$H$14=0),0,AVERAGEIFS(Market_Panel!$Y$2:$Y$2705,Market_Panel!$A$2:$A$2705,B297,Market_Panel!$B$2:$B$2705,"&gt;="&amp;$B$14,Market_Panel!$B$2:$B$2705,"&lt;="&amp;$C$14))</f>
        <v>0</v>
      </c>
      <c r="I297" s="10" t="n">
        <f aca="false">IF(D297=0,"",$I$14+$F$14*F297+$G$14*G297+$H$14*H297)</f>
        <v>0.000908317669748746</v>
      </c>
      <c r="J297" s="5" t="n">
        <f aca="false">IF(D297&lt;5,"",(E297-I297)*162)</f>
        <v>3.53565397486852</v>
      </c>
      <c r="K297" s="5" t="n">
        <f aca="false">IF(D297=0,"",E297*162)</f>
        <v>3.68280143736782</v>
      </c>
      <c r="L297" s="3" t="n">
        <f aca="false">SUMIFS(Seasons!$L$2:$L$2865,Seasons!$A$2:$A$2865,B297,Seasons!$B$2:$B$2865,"&gt;="&amp;$B$14,Seasons!$B$2:$B$2865,"&lt;="&amp;$C$14)</f>
        <v>2</v>
      </c>
      <c r="M297" s="3" t="n">
        <f aca="false">SUMIFS(Seasons!$N$2:$N$2865,Seasons!$A$2:$A$2865,B297,Seasons!$B$2:$B$2865,"&gt;="&amp;$B$14,Seasons!$B$2:$B$2865,"&lt;="&amp;$C$14)</f>
        <v>1</v>
      </c>
      <c r="N297" s="3" t="n">
        <f aca="false">IF(J297="",-1000000,J297+ROW()*0.000000001)</f>
        <v>3.53565427186852</v>
      </c>
      <c r="O297" s="3" t="n">
        <f aca="false">IF(J297="","",SUMPRODUCT(($A$25:$A$534=A297)*($N$25:$N$534&gt;N297))+1)</f>
        <v>5</v>
      </c>
      <c r="P297" s="3" t="str">
        <f aca="false">A297&amp;"|"&amp;O297</f>
        <v>1990s|5</v>
      </c>
    </row>
    <row r="298" customFormat="false" ht="15" hidden="false" customHeight="true" outlineLevel="0" collapsed="false">
      <c r="A298" s="1" t="s">
        <v>18</v>
      </c>
      <c r="B298" s="7" t="s">
        <v>58</v>
      </c>
      <c r="C298" s="1" t="s">
        <v>55</v>
      </c>
      <c r="D298" s="3" t="n">
        <f aca="false">COUNTIFS(Market_Panel!$A$2:$A$2705,B298,Market_Panel!$B$2:$B$2705,"&gt;="&amp;$B$14,Market_Panel!$B$2:$B$2705,"&lt;="&amp;$C$14)</f>
        <v>10</v>
      </c>
      <c r="E298" s="10" t="n">
        <f aca="false">IF(D298=0,"",AVERAGEIFS(Market_Panel!$M$2:$M$2705,Market_Panel!$A$2:$A$2705,B298,Market_Panel!$B$2:$B$2705,"&gt;="&amp;$B$14,Market_Panel!$B$2:$B$2705,"&lt;="&amp;$C$14))</f>
        <v>-0.00367113625428642</v>
      </c>
      <c r="F298" s="11" t="n">
        <f aca="false">IF(D298=0,"",AVERAGEIFS(Market_Panel!$P$2:$P$2705,Market_Panel!$A$2:$A$2705,B298,Market_Panel!$B$2:$B$2705,"&gt;="&amp;$B$14,Market_Panel!$B$2:$B$2705,"&lt;="&amp;$C$14))</f>
        <v>-0.85413283110036</v>
      </c>
      <c r="G298" s="11" t="n">
        <f aca="false">IF(D298=0,"",AVERAGEIFS(Market_Panel!$R$2:$R$2705,Market_Panel!$A$2:$A$2705,B298,Market_Panel!$B$2:$B$2705,"&gt;="&amp;$B$14,Market_Panel!$B$2:$B$2705,"&lt;="&amp;$C$14))</f>
        <v>0</v>
      </c>
      <c r="H298" s="11" t="n">
        <f aca="false">IF(OR(D298=0,$H$14=0),0,AVERAGEIFS(Market_Panel!$Y$2:$Y$2705,Market_Panel!$A$2:$A$2705,B298,Market_Panel!$B$2:$B$2705,"&gt;="&amp;$B$14,Market_Panel!$B$2:$B$2705,"&lt;="&amp;$C$14))</f>
        <v>0</v>
      </c>
      <c r="I298" s="10" t="n">
        <f aca="false">IF(D298=0,"",$I$14+$F$14*F298+$G$14*G298+$H$14*H298)</f>
        <v>0.000935564797610777</v>
      </c>
      <c r="J298" s="5" t="n">
        <f aca="false">IF(D298&lt;5,"",(E298-I298)*162)</f>
        <v>-0.746285570407346</v>
      </c>
      <c r="K298" s="5" t="n">
        <f aca="false">IF(D298=0,"",E298*162)</f>
        <v>-0.594724073194401</v>
      </c>
      <c r="L298" s="3" t="n">
        <f aca="false">SUMIFS(Seasons!$L$2:$L$2865,Seasons!$A$2:$A$2865,B298,Seasons!$B$2:$B$2865,"&gt;="&amp;$B$14,Seasons!$B$2:$B$2865,"&lt;="&amp;$C$14)</f>
        <v>3</v>
      </c>
      <c r="M298" s="3" t="n">
        <f aca="false">SUMIFS(Seasons!$N$2:$N$2865,Seasons!$A$2:$A$2865,B298,Seasons!$B$2:$B$2865,"&gt;="&amp;$B$14,Seasons!$B$2:$B$2865,"&lt;="&amp;$C$14)</f>
        <v>0</v>
      </c>
      <c r="N298" s="3" t="n">
        <f aca="false">IF(J298="",-1000000,J298+ROW()*0.000000001)</f>
        <v>-0.746285272407346</v>
      </c>
      <c r="O298" s="3" t="n">
        <f aca="false">IF(J298="","",SUMPRODUCT(($A$25:$A$534=A298)*($N$25:$N$534&gt;N298))+1)</f>
        <v>15</v>
      </c>
      <c r="P298" s="3" t="str">
        <f aca="false">A298&amp;"|"&amp;O298</f>
        <v>1990s|15</v>
      </c>
    </row>
    <row r="299" customFormat="false" ht="15" hidden="false" customHeight="true" outlineLevel="0" collapsed="false">
      <c r="A299" s="1" t="s">
        <v>18</v>
      </c>
      <c r="B299" s="7" t="s">
        <v>59</v>
      </c>
      <c r="C299" s="1" t="s">
        <v>55</v>
      </c>
      <c r="D299" s="3" t="n">
        <f aca="false">COUNTIFS(Market_Panel!$A$2:$A$2705,B299,Market_Panel!$B$2:$B$2705,"&gt;="&amp;$B$14,Market_Panel!$B$2:$B$2705,"&lt;="&amp;$C$14)</f>
        <v>10</v>
      </c>
      <c r="E299" s="10" t="n">
        <f aca="false">IF(D299=0,"",AVERAGEIFS(Market_Panel!$M$2:$M$2705,Market_Panel!$A$2:$A$2705,B299,Market_Panel!$B$2:$B$2705,"&gt;="&amp;$B$14,Market_Panel!$B$2:$B$2705,"&lt;="&amp;$C$14))</f>
        <v>-0.0129494518731818</v>
      </c>
      <c r="F299" s="11" t="n">
        <f aca="false">IF(D299=0,"",AVERAGEIFS(Market_Panel!$P$2:$P$2705,Market_Panel!$A$2:$A$2705,B299,Market_Panel!$B$2:$B$2705,"&gt;="&amp;$B$14,Market_Panel!$B$2:$B$2705,"&lt;="&amp;$C$14))</f>
        <v>-0.797687101829293</v>
      </c>
      <c r="G299" s="11" t="n">
        <f aca="false">IF(D299=0,"",AVERAGEIFS(Market_Panel!$R$2:$R$2705,Market_Panel!$A$2:$A$2705,B299,Market_Panel!$B$2:$B$2705,"&gt;="&amp;$B$14,Market_Panel!$B$2:$B$2705,"&lt;="&amp;$C$14))</f>
        <v>0</v>
      </c>
      <c r="H299" s="11" t="n">
        <f aca="false">IF(OR(D299=0,$H$14=0),0,AVERAGEIFS(Market_Panel!$Y$2:$Y$2705,Market_Panel!$A$2:$A$2705,B299,Market_Panel!$B$2:$B$2705,"&gt;="&amp;$B$14,Market_Panel!$B$2:$B$2705,"&lt;="&amp;$C$14))</f>
        <v>0</v>
      </c>
      <c r="I299" s="10" t="n">
        <f aca="false">IF(D299=0,"",$I$14+$F$14*F299+$G$14*G299+$H$14*H299)</f>
        <v>0.00105223365821213</v>
      </c>
      <c r="J299" s="5" t="n">
        <f aca="false">IF(D299&lt;5,"",(E299-I299)*162)</f>
        <v>-2.26827305608581</v>
      </c>
      <c r="K299" s="5" t="n">
        <f aca="false">IF(D299=0,"",E299*162)</f>
        <v>-2.09781120345544</v>
      </c>
      <c r="L299" s="3" t="n">
        <f aca="false">SUMIFS(Seasons!$L$2:$L$2865,Seasons!$A$2:$A$2865,B299,Seasons!$B$2:$B$2865,"&gt;="&amp;$B$14,Seasons!$B$2:$B$2865,"&lt;="&amp;$C$14)</f>
        <v>1</v>
      </c>
      <c r="M299" s="3" t="n">
        <f aca="false">SUMIFS(Seasons!$N$2:$N$2865,Seasons!$A$2:$A$2865,B299,Seasons!$B$2:$B$2865,"&gt;="&amp;$B$14,Seasons!$B$2:$B$2865,"&lt;="&amp;$C$14)</f>
        <v>0</v>
      </c>
      <c r="N299" s="3" t="n">
        <f aca="false">IF(J299="",-1000000,J299+ROW()*0.000000001)</f>
        <v>-2.26827275708581</v>
      </c>
      <c r="O299" s="3" t="n">
        <f aca="false">IF(J299="","",SUMPRODUCT(($A$25:$A$534=A299)*($N$25:$N$534&gt;N299))+1)</f>
        <v>19</v>
      </c>
      <c r="P299" s="3" t="str">
        <f aca="false">A299&amp;"|"&amp;O299</f>
        <v>1990s|19</v>
      </c>
    </row>
    <row r="300" customFormat="false" ht="15" hidden="false" customHeight="true" outlineLevel="0" collapsed="false">
      <c r="A300" s="1" t="s">
        <v>18</v>
      </c>
      <c r="B300" s="7" t="s">
        <v>60</v>
      </c>
      <c r="C300" s="1" t="s">
        <v>55</v>
      </c>
      <c r="D300" s="3" t="n">
        <f aca="false">COUNTIFS(Market_Panel!$A$2:$A$2705,B300,Market_Panel!$B$2:$B$2705,"&gt;="&amp;$B$14,Market_Panel!$B$2:$B$2705,"&lt;="&amp;$C$14)</f>
        <v>10</v>
      </c>
      <c r="E300" s="10" t="n">
        <f aca="false">IF(D300=0,"",AVERAGEIFS(Market_Panel!$M$2:$M$2705,Market_Panel!$A$2:$A$2705,B300,Market_Panel!$B$2:$B$2705,"&gt;="&amp;$B$14,Market_Panel!$B$2:$B$2705,"&lt;="&amp;$C$14))</f>
        <v>-0.0291993438505718</v>
      </c>
      <c r="F300" s="11" t="n">
        <f aca="false">IF(D300=0,"",AVERAGEIFS(Market_Panel!$P$2:$P$2705,Market_Panel!$A$2:$A$2705,B300,Market_Panel!$B$2:$B$2705,"&gt;="&amp;$B$14,Market_Panel!$B$2:$B$2705,"&lt;="&amp;$C$14))</f>
        <v>0.626819692841821</v>
      </c>
      <c r="G300" s="11" t="n">
        <f aca="false">IF(D300=0,"",AVERAGEIFS(Market_Panel!$R$2:$R$2705,Market_Panel!$A$2:$A$2705,B300,Market_Panel!$B$2:$B$2705,"&gt;="&amp;$B$14,Market_Panel!$B$2:$B$2705,"&lt;="&amp;$C$14))</f>
        <v>0</v>
      </c>
      <c r="H300" s="11" t="n">
        <f aca="false">IF(OR(D300=0,$H$14=0),0,AVERAGEIFS(Market_Panel!$Y$2:$Y$2705,Market_Panel!$A$2:$A$2705,B300,Market_Panel!$B$2:$B$2705,"&gt;="&amp;$B$14,Market_Panel!$B$2:$B$2705,"&lt;="&amp;$C$14))</f>
        <v>0</v>
      </c>
      <c r="I300" s="10" t="n">
        <f aca="false">IF(D300=0,"",$I$14+$F$14*F300+$G$14*G300+$H$14*H300)</f>
        <v>0.00399657660141423</v>
      </c>
      <c r="J300" s="5" t="n">
        <f aca="false">IF(D300&lt;5,"",(E300-I300)*162)</f>
        <v>-5.37773911322174</v>
      </c>
      <c r="K300" s="5" t="n">
        <f aca="false">IF(D300=0,"",E300*162)</f>
        <v>-4.73029370379264</v>
      </c>
      <c r="L300" s="3" t="n">
        <f aca="false">SUMIFS(Seasons!$L$2:$L$2865,Seasons!$A$2:$A$2865,B300,Seasons!$B$2:$B$2865,"&gt;="&amp;$B$14,Seasons!$B$2:$B$2865,"&lt;="&amp;$C$14)</f>
        <v>1</v>
      </c>
      <c r="M300" s="3" t="n">
        <f aca="false">SUMIFS(Seasons!$N$2:$N$2865,Seasons!$A$2:$A$2865,B300,Seasons!$B$2:$B$2865,"&gt;="&amp;$B$14,Seasons!$B$2:$B$2865,"&lt;="&amp;$C$14)</f>
        <v>0</v>
      </c>
      <c r="N300" s="3" t="n">
        <f aca="false">IF(J300="",-1000000,J300+ROW()*0.000000001)</f>
        <v>-5.37773881322174</v>
      </c>
      <c r="O300" s="3" t="n">
        <f aca="false">IF(J300="","",SUMPRODUCT(($A$25:$A$534=A300)*($N$25:$N$534&gt;N300))+1)</f>
        <v>26</v>
      </c>
      <c r="P300" s="3" t="str">
        <f aca="false">A300&amp;"|"&amp;O300</f>
        <v>1990s|26</v>
      </c>
    </row>
    <row r="301" customFormat="false" ht="15" hidden="false" customHeight="true" outlineLevel="0" collapsed="false">
      <c r="A301" s="1" t="s">
        <v>18</v>
      </c>
      <c r="B301" s="7" t="s">
        <v>61</v>
      </c>
      <c r="C301" s="1" t="s">
        <v>55</v>
      </c>
      <c r="D301" s="3" t="n">
        <f aca="false">COUNTIFS(Market_Panel!$A$2:$A$2705,B301,Market_Panel!$B$2:$B$2705,"&gt;="&amp;$B$14,Market_Panel!$B$2:$B$2705,"&lt;="&amp;$C$14)</f>
        <v>10</v>
      </c>
      <c r="E301" s="10" t="n">
        <f aca="false">IF(D301=0,"",AVERAGEIFS(Market_Panel!$M$2:$M$2705,Market_Panel!$A$2:$A$2705,B301,Market_Panel!$B$2:$B$2705,"&gt;="&amp;$B$14,Market_Panel!$B$2:$B$2705,"&lt;="&amp;$C$14))</f>
        <v>0.0063640409532771</v>
      </c>
      <c r="F301" s="11" t="n">
        <f aca="false">IF(D301=0,"",AVERAGEIFS(Market_Panel!$P$2:$P$2705,Market_Panel!$A$2:$A$2705,B301,Market_Panel!$B$2:$B$2705,"&gt;="&amp;$B$14,Market_Panel!$B$2:$B$2705,"&lt;="&amp;$C$14))</f>
        <v>-0.105753314700664</v>
      </c>
      <c r="G301" s="11" t="n">
        <f aca="false">IF(D301=0,"",AVERAGEIFS(Market_Panel!$R$2:$R$2705,Market_Panel!$A$2:$A$2705,B301,Market_Panel!$B$2:$B$2705,"&gt;="&amp;$B$14,Market_Panel!$B$2:$B$2705,"&lt;="&amp;$C$14))</f>
        <v>0</v>
      </c>
      <c r="H301" s="11" t="n">
        <f aca="false">IF(OR(D301=0,$H$14=0),0,AVERAGEIFS(Market_Panel!$Y$2:$Y$2705,Market_Panel!$A$2:$A$2705,B301,Market_Panel!$B$2:$B$2705,"&gt;="&amp;$B$14,Market_Panel!$B$2:$B$2705,"&lt;="&amp;$C$14))</f>
        <v>0</v>
      </c>
      <c r="I301" s="10" t="n">
        <f aca="false">IF(D301=0,"",$I$14+$F$14*F301+$G$14*G301+$H$14*H301)</f>
        <v>0.00248240610169678</v>
      </c>
      <c r="J301" s="5" t="n">
        <f aca="false">IF(D301&lt;5,"",(E301-I301)*162)</f>
        <v>0.628824845956011</v>
      </c>
      <c r="K301" s="5" t="n">
        <f aca="false">IF(D301=0,"",E301*162)</f>
        <v>1.03097463443089</v>
      </c>
      <c r="L301" s="3" t="n">
        <f aca="false">SUMIFS(Seasons!$L$2:$L$2865,Seasons!$A$2:$A$2865,B301,Seasons!$B$2:$B$2865,"&gt;="&amp;$B$14,Seasons!$B$2:$B$2865,"&lt;="&amp;$C$14)</f>
        <v>1</v>
      </c>
      <c r="M301" s="3" t="n">
        <f aca="false">SUMIFS(Seasons!$N$2:$N$2865,Seasons!$A$2:$A$2865,B301,Seasons!$B$2:$B$2865,"&gt;="&amp;$B$14,Seasons!$B$2:$B$2865,"&lt;="&amp;$C$14)</f>
        <v>0</v>
      </c>
      <c r="N301" s="3" t="n">
        <f aca="false">IF(J301="",-1000000,J301+ROW()*0.000000001)</f>
        <v>0.628825146956011</v>
      </c>
      <c r="O301" s="3" t="n">
        <f aca="false">IF(J301="","",SUMPRODUCT(($A$25:$A$534=A301)*($N$25:$N$534&gt;N301))+1)</f>
        <v>13</v>
      </c>
      <c r="P301" s="3" t="str">
        <f aca="false">A301&amp;"|"&amp;O301</f>
        <v>1990s|13</v>
      </c>
    </row>
    <row r="302" customFormat="false" ht="15" hidden="false" customHeight="true" outlineLevel="0" collapsed="false">
      <c r="A302" s="1" t="s">
        <v>18</v>
      </c>
      <c r="B302" s="7" t="s">
        <v>62</v>
      </c>
      <c r="C302" s="1" t="s">
        <v>55</v>
      </c>
      <c r="D302" s="3" t="n">
        <f aca="false">COUNTIFS(Market_Panel!$A$2:$A$2705,B302,Market_Panel!$B$2:$B$2705,"&gt;="&amp;$B$14,Market_Panel!$B$2:$B$2705,"&lt;="&amp;$C$14)</f>
        <v>10</v>
      </c>
      <c r="E302" s="10" t="n">
        <f aca="false">IF(D302=0,"",AVERAGEIFS(Market_Panel!$M$2:$M$2705,Market_Panel!$A$2:$A$2705,B302,Market_Panel!$B$2:$B$2705,"&gt;="&amp;$B$14,Market_Panel!$B$2:$B$2705,"&lt;="&amp;$C$14))</f>
        <v>0.0130700928248526</v>
      </c>
      <c r="F302" s="11" t="n">
        <f aca="false">IF(D302=0,"",AVERAGEIFS(Market_Panel!$P$2:$P$2705,Market_Panel!$A$2:$A$2705,B302,Market_Panel!$B$2:$B$2705,"&gt;="&amp;$B$14,Market_Panel!$B$2:$B$2705,"&lt;="&amp;$C$14))</f>
        <v>0.767296727526351</v>
      </c>
      <c r="G302" s="11" t="n">
        <f aca="false">IF(D302=0,"",AVERAGEIFS(Market_Panel!$R$2:$R$2705,Market_Panel!$A$2:$A$2705,B302,Market_Panel!$B$2:$B$2705,"&gt;="&amp;$B$14,Market_Panel!$B$2:$B$2705,"&lt;="&amp;$C$14))</f>
        <v>0</v>
      </c>
      <c r="H302" s="11" t="n">
        <f aca="false">IF(OR(D302=0,$H$14=0),0,AVERAGEIFS(Market_Panel!$Y$2:$Y$2705,Market_Panel!$A$2:$A$2705,B302,Market_Panel!$B$2:$B$2705,"&gt;="&amp;$B$14,Market_Panel!$B$2:$B$2705,"&lt;="&amp;$C$14))</f>
        <v>0</v>
      </c>
      <c r="I302" s="10" t="n">
        <f aca="false">IF(D302=0,"",$I$14+$F$14*F302+$G$14*G302+$H$14*H302)</f>
        <v>0.00428693152797731</v>
      </c>
      <c r="J302" s="5" t="n">
        <f aca="false">IF(D302&lt;5,"",(E302-I302)*162)</f>
        <v>1.4228721300938</v>
      </c>
      <c r="K302" s="5" t="n">
        <f aca="false">IF(D302=0,"",E302*162)</f>
        <v>2.11735503762613</v>
      </c>
      <c r="L302" s="3" t="n">
        <f aca="false">SUMIFS(Seasons!$L$2:$L$2865,Seasons!$A$2:$A$2865,B302,Seasons!$B$2:$B$2865,"&gt;="&amp;$B$14,Seasons!$B$2:$B$2865,"&lt;="&amp;$C$14)</f>
        <v>2</v>
      </c>
      <c r="M302" s="3" t="n">
        <f aca="false">SUMIFS(Seasons!$N$2:$N$2865,Seasons!$A$2:$A$2865,B302,Seasons!$B$2:$B$2865,"&gt;="&amp;$B$14,Seasons!$B$2:$B$2865,"&lt;="&amp;$C$14)</f>
        <v>0</v>
      </c>
      <c r="N302" s="3" t="n">
        <f aca="false">IF(J302="",-1000000,J302+ROW()*0.000000001)</f>
        <v>1.4228724320938</v>
      </c>
      <c r="O302" s="3" t="n">
        <f aca="false">IF(J302="","",SUMPRODUCT(($A$25:$A$534=A302)*($N$25:$N$534&gt;N302))+1)</f>
        <v>12</v>
      </c>
      <c r="P302" s="3" t="str">
        <f aca="false">A302&amp;"|"&amp;O302</f>
        <v>1990s|12</v>
      </c>
    </row>
    <row r="303" customFormat="false" ht="15" hidden="false" customHeight="true" outlineLevel="0" collapsed="false">
      <c r="A303" s="1" t="s">
        <v>18</v>
      </c>
      <c r="B303" s="7" t="s">
        <v>63</v>
      </c>
      <c r="C303" s="1" t="s">
        <v>55</v>
      </c>
      <c r="D303" s="3" t="n">
        <f aca="false">COUNTIFS(Market_Panel!$A$2:$A$2705,B303,Market_Panel!$B$2:$B$2705,"&gt;="&amp;$B$14,Market_Panel!$B$2:$B$2705,"&lt;="&amp;$C$14)</f>
        <v>10</v>
      </c>
      <c r="E303" s="10" t="n">
        <f aca="false">IF(D303=0,"",AVERAGEIFS(Market_Panel!$M$2:$M$2705,Market_Panel!$A$2:$A$2705,B303,Market_Panel!$B$2:$B$2705,"&gt;="&amp;$B$14,Market_Panel!$B$2:$B$2705,"&lt;="&amp;$C$14))</f>
        <v>0.0132558934778539</v>
      </c>
      <c r="F303" s="11" t="n">
        <f aca="false">IF(D303=0,"",AVERAGEIFS(Market_Panel!$P$2:$P$2705,Market_Panel!$A$2:$A$2705,B303,Market_Panel!$B$2:$B$2705,"&gt;="&amp;$B$14,Market_Panel!$B$2:$B$2705,"&lt;="&amp;$C$14))</f>
        <v>-0.176028125932898</v>
      </c>
      <c r="G303" s="11" t="n">
        <f aca="false">IF(D303=0,"",AVERAGEIFS(Market_Panel!$R$2:$R$2705,Market_Panel!$A$2:$A$2705,B303,Market_Panel!$B$2:$B$2705,"&gt;="&amp;$B$14,Market_Panel!$B$2:$B$2705,"&lt;="&amp;$C$14))</f>
        <v>0</v>
      </c>
      <c r="H303" s="11" t="n">
        <f aca="false">IF(OR(D303=0,$H$14=0),0,AVERAGEIFS(Market_Panel!$Y$2:$Y$2705,Market_Panel!$A$2:$A$2705,B303,Market_Panel!$B$2:$B$2705,"&gt;="&amp;$B$14,Market_Panel!$B$2:$B$2705,"&lt;="&amp;$C$14))</f>
        <v>0</v>
      </c>
      <c r="I303" s="10" t="n">
        <f aca="false">IF(D303=0,"",$I$14+$F$14*F303+$G$14*G303+$H$14*H303)</f>
        <v>0.00233715362181356</v>
      </c>
      <c r="J303" s="5" t="n">
        <f aca="false">IF(D303&lt;5,"",(E303-I303)*162)</f>
        <v>1.76883585667854</v>
      </c>
      <c r="K303" s="5" t="n">
        <f aca="false">IF(D303=0,"",E303*162)</f>
        <v>2.14745474341233</v>
      </c>
      <c r="L303" s="3" t="n">
        <f aca="false">SUMIFS(Seasons!$L$2:$L$2865,Seasons!$A$2:$A$2865,B303,Seasons!$B$2:$B$2865,"&gt;="&amp;$B$14,Seasons!$B$2:$B$2865,"&lt;="&amp;$C$14)</f>
        <v>2</v>
      </c>
      <c r="M303" s="3" t="n">
        <f aca="false">SUMIFS(Seasons!$N$2:$N$2865,Seasons!$A$2:$A$2865,B303,Seasons!$B$2:$B$2865,"&gt;="&amp;$B$14,Seasons!$B$2:$B$2865,"&lt;="&amp;$C$14)</f>
        <v>0</v>
      </c>
      <c r="N303" s="3" t="n">
        <f aca="false">IF(J303="",-1000000,J303+ROW()*0.000000001)</f>
        <v>1.76883615967854</v>
      </c>
      <c r="O303" s="3" t="n">
        <f aca="false">IF(J303="","",SUMPRODUCT(($A$25:$A$534=A303)*($N$25:$N$534&gt;N303))+1)</f>
        <v>10</v>
      </c>
      <c r="P303" s="3" t="str">
        <f aca="false">A303&amp;"|"&amp;O303</f>
        <v>1990s|10</v>
      </c>
    </row>
    <row r="304" customFormat="false" ht="15" hidden="false" customHeight="true" outlineLevel="0" collapsed="false">
      <c r="A304" s="1" t="s">
        <v>18</v>
      </c>
      <c r="B304" s="7" t="s">
        <v>64</v>
      </c>
      <c r="C304" s="1" t="s">
        <v>55</v>
      </c>
      <c r="D304" s="3" t="n">
        <f aca="false">COUNTIFS(Market_Panel!$A$2:$A$2705,B304,Market_Panel!$B$2:$B$2705,"&gt;="&amp;$B$14,Market_Panel!$B$2:$B$2705,"&lt;="&amp;$C$14)</f>
        <v>10</v>
      </c>
      <c r="E304" s="10" t="n">
        <f aca="false">IF(D304=0,"",AVERAGEIFS(Market_Panel!$M$2:$M$2705,Market_Panel!$A$2:$A$2705,B304,Market_Panel!$B$2:$B$2705,"&gt;="&amp;$B$14,Market_Panel!$B$2:$B$2705,"&lt;="&amp;$C$14))</f>
        <v>0.0227296684951072</v>
      </c>
      <c r="F304" s="11" t="n">
        <f aca="false">IF(D304=0,"",AVERAGEIFS(Market_Panel!$P$2:$P$2705,Market_Panel!$A$2:$A$2705,B304,Market_Panel!$B$2:$B$2705,"&gt;="&amp;$B$14,Market_Panel!$B$2:$B$2705,"&lt;="&amp;$C$14))</f>
        <v>-0.357534168001607</v>
      </c>
      <c r="G304" s="11" t="n">
        <f aca="false">IF(D304=0,"",AVERAGEIFS(Market_Panel!$R$2:$R$2705,Market_Panel!$A$2:$A$2705,B304,Market_Panel!$B$2:$B$2705,"&gt;="&amp;$B$14,Market_Panel!$B$2:$B$2705,"&lt;="&amp;$C$14))</f>
        <v>0</v>
      </c>
      <c r="H304" s="11" t="n">
        <f aca="false">IF(OR(D304=0,$H$14=0),0,AVERAGEIFS(Market_Panel!$Y$2:$Y$2705,Market_Panel!$A$2:$A$2705,B304,Market_Panel!$B$2:$B$2705,"&gt;="&amp;$B$14,Market_Panel!$B$2:$B$2705,"&lt;="&amp;$C$14))</f>
        <v>0</v>
      </c>
      <c r="I304" s="10" t="n">
        <f aca="false">IF(D304=0,"",$I$14+$F$14*F304+$G$14*G304+$H$14*H304)</f>
        <v>0.00196199498016107</v>
      </c>
      <c r="J304" s="5" t="n">
        <f aca="false">IF(D304&lt;5,"",(E304-I304)*162)</f>
        <v>3.36436310942127</v>
      </c>
      <c r="K304" s="5" t="n">
        <f aca="false">IF(D304=0,"",E304*162)</f>
        <v>3.68220629620736</v>
      </c>
      <c r="L304" s="3" t="n">
        <f aca="false">SUMIFS(Seasons!$L$2:$L$2865,Seasons!$A$2:$A$2865,B304,Seasons!$B$2:$B$2865,"&gt;="&amp;$B$14,Seasons!$B$2:$B$2865,"&lt;="&amp;$C$14)</f>
        <v>4</v>
      </c>
      <c r="M304" s="3" t="n">
        <f aca="false">SUMIFS(Seasons!$N$2:$N$2865,Seasons!$A$2:$A$2865,B304,Seasons!$B$2:$B$2865,"&gt;="&amp;$B$14,Seasons!$B$2:$B$2865,"&lt;="&amp;$C$14)</f>
        <v>0</v>
      </c>
      <c r="N304" s="3" t="n">
        <f aca="false">IF(J304="",-1000000,J304+ROW()*0.000000001)</f>
        <v>3.36436341342127</v>
      </c>
      <c r="O304" s="3" t="n">
        <f aca="false">IF(J304="","",SUMPRODUCT(($A$25:$A$534=A304)*($N$25:$N$534&gt;N304))+1)</f>
        <v>6</v>
      </c>
      <c r="P304" s="3" t="str">
        <f aca="false">A304&amp;"|"&amp;O304</f>
        <v>1990s|6</v>
      </c>
    </row>
    <row r="305" customFormat="false" ht="15" hidden="false" customHeight="true" outlineLevel="0" collapsed="false">
      <c r="A305" s="1" t="s">
        <v>18</v>
      </c>
      <c r="B305" s="7" t="s">
        <v>65</v>
      </c>
      <c r="C305" s="1" t="s">
        <v>55</v>
      </c>
      <c r="D305" s="3" t="n">
        <f aca="false">COUNTIFS(Market_Panel!$A$2:$A$2705,B305,Market_Panel!$B$2:$B$2705,"&gt;="&amp;$B$14,Market_Panel!$B$2:$B$2705,"&lt;="&amp;$C$14)</f>
        <v>10</v>
      </c>
      <c r="E305" s="10" t="n">
        <f aca="false">IF(D305=0,"",AVERAGEIFS(Market_Panel!$M$2:$M$2705,Market_Panel!$A$2:$A$2705,B305,Market_Panel!$B$2:$B$2705,"&gt;="&amp;$B$14,Market_Panel!$B$2:$B$2705,"&lt;="&amp;$C$14))</f>
        <v>0.0274804493883147</v>
      </c>
      <c r="F305" s="11" t="n">
        <f aca="false">IF(D305=0,"",AVERAGEIFS(Market_Panel!$P$2:$P$2705,Market_Panel!$A$2:$A$2705,B305,Market_Panel!$B$2:$B$2705,"&gt;="&amp;$B$14,Market_Panel!$B$2:$B$2705,"&lt;="&amp;$C$14))</f>
        <v>0.534043041978869</v>
      </c>
      <c r="G305" s="11" t="n">
        <f aca="false">IF(D305=0,"",AVERAGEIFS(Market_Panel!$R$2:$R$2705,Market_Panel!$A$2:$A$2705,B305,Market_Panel!$B$2:$B$2705,"&gt;="&amp;$B$14,Market_Panel!$B$2:$B$2705,"&lt;="&amp;$C$14))</f>
        <v>0</v>
      </c>
      <c r="H305" s="11" t="n">
        <f aca="false">IF(OR(D305=0,$H$14=0),0,AVERAGEIFS(Market_Panel!$Y$2:$Y$2705,Market_Panel!$A$2:$A$2705,B305,Market_Panel!$B$2:$B$2705,"&gt;="&amp;$B$14,Market_Panel!$B$2:$B$2705,"&lt;="&amp;$C$14))</f>
        <v>0</v>
      </c>
      <c r="I305" s="10" t="n">
        <f aca="false">IF(D305=0,"",$I$14+$F$14*F305+$G$14*G305+$H$14*H305)</f>
        <v>0.00380481459769186</v>
      </c>
      <c r="J305" s="5" t="n">
        <f aca="false">IF(D305&lt;5,"",(E305-I305)*162)</f>
        <v>3.83545283608089</v>
      </c>
      <c r="K305" s="5" t="n">
        <f aca="false">IF(D305=0,"",E305*162)</f>
        <v>4.45183280090698</v>
      </c>
      <c r="L305" s="3" t="n">
        <f aca="false">SUMIFS(Seasons!$L$2:$L$2865,Seasons!$A$2:$A$2865,B305,Seasons!$B$2:$B$2865,"&gt;="&amp;$B$14,Seasons!$B$2:$B$2865,"&lt;="&amp;$C$14)</f>
        <v>1</v>
      </c>
      <c r="M305" s="3" t="n">
        <f aca="false">SUMIFS(Seasons!$N$2:$N$2865,Seasons!$A$2:$A$2865,B305,Seasons!$B$2:$B$2865,"&gt;="&amp;$B$14,Seasons!$B$2:$B$2865,"&lt;="&amp;$C$14)</f>
        <v>0</v>
      </c>
      <c r="N305" s="3" t="n">
        <f aca="false">IF(J305="",-1000000,J305+ROW()*0.000000001)</f>
        <v>3.83545314108089</v>
      </c>
      <c r="O305" s="3" t="n">
        <f aca="false">IF(J305="","",SUMPRODUCT(($A$25:$A$534=A305)*($N$25:$N$534&gt;N305))+1)</f>
        <v>4</v>
      </c>
      <c r="P305" s="3" t="str">
        <f aca="false">A305&amp;"|"&amp;O305</f>
        <v>1990s|4</v>
      </c>
    </row>
    <row r="306" customFormat="false" ht="15" hidden="false" customHeight="true" outlineLevel="0" collapsed="false">
      <c r="A306" s="1" t="s">
        <v>18</v>
      </c>
      <c r="B306" s="7" t="s">
        <v>66</v>
      </c>
      <c r="C306" s="1" t="s">
        <v>55</v>
      </c>
      <c r="D306" s="3" t="n">
        <f aca="false">COUNTIFS(Market_Panel!$A$2:$A$2705,B306,Market_Panel!$B$2:$B$2705,"&gt;="&amp;$B$14,Market_Panel!$B$2:$B$2705,"&lt;="&amp;$C$14)</f>
        <v>10</v>
      </c>
      <c r="E306" s="10" t="n">
        <f aca="false">IF(D306=0,"",AVERAGEIFS(Market_Panel!$M$2:$M$2705,Market_Panel!$A$2:$A$2705,B306,Market_Panel!$B$2:$B$2705,"&gt;="&amp;$B$14,Market_Panel!$B$2:$B$2705,"&lt;="&amp;$C$14))</f>
        <v>0.034117922897662</v>
      </c>
      <c r="F306" s="11" t="n">
        <f aca="false">IF(D306=0,"",AVERAGEIFS(Market_Panel!$P$2:$P$2705,Market_Panel!$A$2:$A$2705,B306,Market_Panel!$B$2:$B$2705,"&gt;="&amp;$B$14,Market_Panel!$B$2:$B$2705,"&lt;="&amp;$C$14))</f>
        <v>-0.521269249678741</v>
      </c>
      <c r="G306" s="11" t="n">
        <f aca="false">IF(D306=0,"",AVERAGEIFS(Market_Panel!$R$2:$R$2705,Market_Panel!$A$2:$A$2705,B306,Market_Panel!$B$2:$B$2705,"&gt;="&amp;$B$14,Market_Panel!$B$2:$B$2705,"&lt;="&amp;$C$14))</f>
        <v>0</v>
      </c>
      <c r="H306" s="11" t="n">
        <f aca="false">IF(OR(D306=0,$H$14=0),0,AVERAGEIFS(Market_Panel!$Y$2:$Y$2705,Market_Panel!$A$2:$A$2705,B306,Market_Panel!$B$2:$B$2705,"&gt;="&amp;$B$14,Market_Panel!$B$2:$B$2705,"&lt;="&amp;$C$14))</f>
        <v>0</v>
      </c>
      <c r="I306" s="10" t="n">
        <f aca="false">IF(D306=0,"",$I$14+$F$14*F306+$G$14*G306+$H$14*H306)</f>
        <v>0.0016235675089169</v>
      </c>
      <c r="J306" s="5" t="n">
        <f aca="false">IF(D306&lt;5,"",(E306-I306)*162)</f>
        <v>5.2640855729767</v>
      </c>
      <c r="K306" s="5" t="n">
        <f aca="false">IF(D306=0,"",E306*162)</f>
        <v>5.52710350942124</v>
      </c>
      <c r="L306" s="3" t="n">
        <f aca="false">SUMIFS(Seasons!$L$2:$L$2865,Seasons!$A$2:$A$2865,B306,Seasons!$B$2:$B$2865,"&gt;="&amp;$B$14,Seasons!$B$2:$B$2865,"&lt;="&amp;$C$14)</f>
        <v>5</v>
      </c>
      <c r="M306" s="3" t="n">
        <f aca="false">SUMIFS(Seasons!$N$2:$N$2865,Seasons!$A$2:$A$2865,B306,Seasons!$B$2:$B$2865,"&gt;="&amp;$B$14,Seasons!$B$2:$B$2865,"&lt;="&amp;$C$14)</f>
        <v>0</v>
      </c>
      <c r="N306" s="3" t="n">
        <f aca="false">IF(J306="",-1000000,J306+ROW()*0.000000001)</f>
        <v>5.2640858789767</v>
      </c>
      <c r="O306" s="3" t="n">
        <f aca="false">IF(J306="","",SUMPRODUCT(($A$25:$A$534=A306)*($N$25:$N$534&gt;N306))+1)</f>
        <v>3</v>
      </c>
      <c r="P306" s="3" t="str">
        <f aca="false">A306&amp;"|"&amp;O306</f>
        <v>1990s|3</v>
      </c>
    </row>
    <row r="307" customFormat="false" ht="15" hidden="false" customHeight="true" outlineLevel="0" collapsed="false">
      <c r="A307" s="1" t="s">
        <v>18</v>
      </c>
      <c r="B307" s="7" t="s">
        <v>67</v>
      </c>
      <c r="C307" s="1" t="s">
        <v>55</v>
      </c>
      <c r="D307" s="3" t="n">
        <f aca="false">COUNTIFS(Market_Panel!$A$2:$A$2705,B307,Market_Panel!$B$2:$B$2705,"&gt;="&amp;$B$14,Market_Panel!$B$2:$B$2705,"&lt;="&amp;$C$14)</f>
        <v>10</v>
      </c>
      <c r="E307" s="10" t="n">
        <f aca="false">IF(D307=0,"",AVERAGEIFS(Market_Panel!$M$2:$M$2705,Market_Panel!$A$2:$A$2705,B307,Market_Panel!$B$2:$B$2705,"&gt;="&amp;$B$14,Market_Panel!$B$2:$B$2705,"&lt;="&amp;$C$14))</f>
        <v>-0.0484000378157586</v>
      </c>
      <c r="F307" s="11" t="n">
        <f aca="false">IF(D307=0,"",AVERAGEIFS(Market_Panel!$P$2:$P$2705,Market_Panel!$A$2:$A$2705,B307,Market_Panel!$B$2:$B$2705,"&gt;="&amp;$B$14,Market_Panel!$B$2:$B$2705,"&lt;="&amp;$C$14))</f>
        <v>0.178297973782975</v>
      </c>
      <c r="G307" s="11" t="n">
        <f aca="false">IF(D307=0,"",AVERAGEIFS(Market_Panel!$R$2:$R$2705,Market_Panel!$A$2:$A$2705,B307,Market_Panel!$B$2:$B$2705,"&gt;="&amp;$B$14,Market_Panel!$B$2:$B$2705,"&lt;="&amp;$C$14))</f>
        <v>0</v>
      </c>
      <c r="H307" s="11" t="n">
        <f aca="false">IF(OR(D307=0,$H$14=0),0,AVERAGEIFS(Market_Panel!$Y$2:$Y$2705,Market_Panel!$A$2:$A$2705,B307,Market_Panel!$B$2:$B$2705,"&gt;="&amp;$B$14,Market_Panel!$B$2:$B$2705,"&lt;="&amp;$C$14))</f>
        <v>0</v>
      </c>
      <c r="I307" s="10" t="n">
        <f aca="false">IF(D307=0,"",$I$14+$F$14*F307+$G$14*G307+$H$14*H307)</f>
        <v>0.00306951766191041</v>
      </c>
      <c r="J307" s="5" t="n">
        <f aca="false">IF(D307&lt;5,"",(E307-I307)*162)</f>
        <v>-8.33806798738237</v>
      </c>
      <c r="K307" s="5" t="n">
        <f aca="false">IF(D307=0,"",E307*162)</f>
        <v>-7.84080612615289</v>
      </c>
      <c r="L307" s="3" t="n">
        <f aca="false">SUMIFS(Seasons!$L$2:$L$2865,Seasons!$A$2:$A$2865,B307,Seasons!$B$2:$B$2865,"&gt;="&amp;$B$14,Seasons!$B$2:$B$2865,"&lt;="&amp;$C$14)</f>
        <v>0</v>
      </c>
      <c r="M307" s="3" t="n">
        <f aca="false">SUMIFS(Seasons!$N$2:$N$2865,Seasons!$A$2:$A$2865,B307,Seasons!$B$2:$B$2865,"&gt;="&amp;$B$14,Seasons!$B$2:$B$2865,"&lt;="&amp;$C$14)</f>
        <v>0</v>
      </c>
      <c r="N307" s="3" t="n">
        <f aca="false">IF(J307="",-1000000,J307+ROW()*0.000000001)</f>
        <v>-8.33806768038237</v>
      </c>
      <c r="O307" s="3" t="n">
        <f aca="false">IF(J307="","",SUMPRODUCT(($A$25:$A$534=A307)*($N$25:$N$534&gt;N307))+1)</f>
        <v>28</v>
      </c>
      <c r="P307" s="3" t="str">
        <f aca="false">A307&amp;"|"&amp;O307</f>
        <v>1990s|28</v>
      </c>
    </row>
    <row r="308" customFormat="false" ht="15" hidden="false" customHeight="true" outlineLevel="0" collapsed="false">
      <c r="A308" s="1" t="s">
        <v>18</v>
      </c>
      <c r="B308" s="7" t="s">
        <v>68</v>
      </c>
      <c r="C308" s="1" t="s">
        <v>55</v>
      </c>
      <c r="D308" s="3" t="n">
        <f aca="false">COUNTIFS(Market_Panel!$A$2:$A$2705,B308,Market_Panel!$B$2:$B$2705,"&gt;="&amp;$B$14,Market_Panel!$B$2:$B$2705,"&lt;="&amp;$C$14)</f>
        <v>10</v>
      </c>
      <c r="E308" s="10" t="n">
        <f aca="false">IF(D308=0,"",AVERAGEIFS(Market_Panel!$M$2:$M$2705,Market_Panel!$A$2:$A$2705,B308,Market_Panel!$B$2:$B$2705,"&gt;="&amp;$B$14,Market_Panel!$B$2:$B$2705,"&lt;="&amp;$C$14))</f>
        <v>-0.0377948773891123</v>
      </c>
      <c r="F308" s="11" t="n">
        <f aca="false">IF(D308=0,"",AVERAGEIFS(Market_Panel!$P$2:$P$2705,Market_Panel!$A$2:$A$2705,B308,Market_Panel!$B$2:$B$2705,"&gt;="&amp;$B$14,Market_Panel!$B$2:$B$2705,"&lt;="&amp;$C$14))</f>
        <v>-0.795966498215704</v>
      </c>
      <c r="G308" s="11" t="n">
        <f aca="false">IF(D308=0,"",AVERAGEIFS(Market_Panel!$R$2:$R$2705,Market_Panel!$A$2:$A$2705,B308,Market_Panel!$B$2:$B$2705,"&gt;="&amp;$B$14,Market_Panel!$B$2:$B$2705,"&lt;="&amp;$C$14))</f>
        <v>0</v>
      </c>
      <c r="H308" s="11" t="n">
        <f aca="false">IF(OR(D308=0,$H$14=0),0,AVERAGEIFS(Market_Panel!$Y$2:$Y$2705,Market_Panel!$A$2:$A$2705,B308,Market_Panel!$B$2:$B$2705,"&gt;="&amp;$B$14,Market_Panel!$B$2:$B$2705,"&lt;="&amp;$C$14))</f>
        <v>0</v>
      </c>
      <c r="I308" s="10" t="n">
        <f aca="false">IF(D308=0,"",$I$14+$F$14*F308+$G$14*G308+$H$14*H308)</f>
        <v>0.0010557900098748</v>
      </c>
      <c r="J308" s="5" t="n">
        <f aca="false">IF(D308&lt;5,"",(E308-I308)*162)</f>
        <v>-6.29380811863591</v>
      </c>
      <c r="K308" s="5" t="n">
        <f aca="false">IF(D308=0,"",E308*162)</f>
        <v>-6.12277013703619</v>
      </c>
      <c r="L308" s="3" t="n">
        <f aca="false">SUMIFS(Seasons!$L$2:$L$2865,Seasons!$A$2:$A$2865,B308,Seasons!$B$2:$B$2865,"&gt;="&amp;$B$14,Seasons!$B$2:$B$2865,"&lt;="&amp;$C$14)</f>
        <v>1</v>
      </c>
      <c r="M308" s="3" t="n">
        <f aca="false">SUMIFS(Seasons!$N$2:$N$2865,Seasons!$A$2:$A$2865,B308,Seasons!$B$2:$B$2865,"&gt;="&amp;$B$14,Seasons!$B$2:$B$2865,"&lt;="&amp;$C$14)</f>
        <v>1</v>
      </c>
      <c r="N308" s="3" t="n">
        <f aca="false">IF(J308="",-1000000,J308+ROW()*0.000000001)</f>
        <v>-6.29380781063591</v>
      </c>
      <c r="O308" s="3" t="n">
        <f aca="false">IF(J308="","",SUMPRODUCT(($A$25:$A$534=A308)*($N$25:$N$534&gt;N308))+1)</f>
        <v>27</v>
      </c>
      <c r="P308" s="3" t="str">
        <f aca="false">A308&amp;"|"&amp;O308</f>
        <v>1990s|27</v>
      </c>
    </row>
    <row r="309" customFormat="false" ht="15" hidden="false" customHeight="true" outlineLevel="0" collapsed="false">
      <c r="A309" s="1" t="s">
        <v>18</v>
      </c>
      <c r="B309" s="7" t="s">
        <v>69</v>
      </c>
      <c r="C309" s="1" t="s">
        <v>55</v>
      </c>
      <c r="D309" s="3" t="n">
        <f aca="false">COUNTIFS(Market_Panel!$A$2:$A$2705,B309,Market_Panel!$B$2:$B$2705,"&gt;="&amp;$B$14,Market_Panel!$B$2:$B$2705,"&lt;="&amp;$C$14)</f>
        <v>10</v>
      </c>
      <c r="E309" s="10" t="n">
        <f aca="false">IF(D309=0,"",AVERAGEIFS(Market_Panel!$M$2:$M$2705,Market_Panel!$A$2:$A$2705,B309,Market_Panel!$B$2:$B$2705,"&gt;="&amp;$B$14,Market_Panel!$B$2:$B$2705,"&lt;="&amp;$C$14))</f>
        <v>-0.00441285064493294</v>
      </c>
      <c r="F309" s="11" t="n">
        <f aca="false">IF(D309=0,"",AVERAGEIFS(Market_Panel!$P$2:$P$2705,Market_Panel!$A$2:$A$2705,B309,Market_Panel!$B$2:$B$2705,"&gt;="&amp;$B$14,Market_Panel!$B$2:$B$2705,"&lt;="&amp;$C$14))</f>
        <v>-0.770823460434899</v>
      </c>
      <c r="G309" s="11" t="n">
        <f aca="false">IF(D309=0,"",AVERAGEIFS(Market_Panel!$R$2:$R$2705,Market_Panel!$A$2:$A$2705,B309,Market_Panel!$B$2:$B$2705,"&gt;="&amp;$B$14,Market_Panel!$B$2:$B$2705,"&lt;="&amp;$C$14))</f>
        <v>0</v>
      </c>
      <c r="H309" s="11" t="n">
        <f aca="false">IF(OR(D309=0,$H$14=0),0,AVERAGEIFS(Market_Panel!$Y$2:$Y$2705,Market_Panel!$A$2:$A$2705,B309,Market_Panel!$B$2:$B$2705,"&gt;="&amp;$B$14,Market_Panel!$B$2:$B$2705,"&lt;="&amp;$C$14))</f>
        <v>0</v>
      </c>
      <c r="I309" s="10" t="n">
        <f aca="false">IF(D309=0,"",$I$14+$F$14*F309+$G$14*G309+$H$14*H309)</f>
        <v>0.00110775868151436</v>
      </c>
      <c r="J309" s="5" t="n">
        <f aca="false">IF(D309&lt;5,"",(E309-I309)*162)</f>
        <v>-0.894338710884462</v>
      </c>
      <c r="K309" s="5" t="n">
        <f aca="false">IF(D309=0,"",E309*162)</f>
        <v>-0.714881804479136</v>
      </c>
      <c r="L309" s="3" t="n">
        <f aca="false">SUMIFS(Seasons!$L$2:$L$2865,Seasons!$A$2:$A$2865,B309,Seasons!$B$2:$B$2865,"&gt;="&amp;$B$14,Seasons!$B$2:$B$2865,"&lt;="&amp;$C$14)</f>
        <v>2</v>
      </c>
      <c r="M309" s="3" t="n">
        <f aca="false">SUMIFS(Seasons!$N$2:$N$2865,Seasons!$A$2:$A$2865,B309,Seasons!$B$2:$B$2865,"&gt;="&amp;$B$14,Seasons!$B$2:$B$2865,"&lt;="&amp;$C$14)</f>
        <v>0</v>
      </c>
      <c r="N309" s="3" t="n">
        <f aca="false">IF(J309="",-1000000,J309+ROW()*0.000000001)</f>
        <v>-0.894338401884462</v>
      </c>
      <c r="O309" s="3" t="n">
        <f aca="false">IF(J309="","",SUMPRODUCT(($A$25:$A$534=A309)*($N$25:$N$534&gt;N309))+1)</f>
        <v>16</v>
      </c>
      <c r="P309" s="3" t="str">
        <f aca="false">A309&amp;"|"&amp;O309</f>
        <v>1990s|16</v>
      </c>
    </row>
    <row r="310" customFormat="false" ht="15" hidden="false" customHeight="true" outlineLevel="0" collapsed="false">
      <c r="A310" s="1" t="s">
        <v>18</v>
      </c>
      <c r="B310" s="7" t="s">
        <v>70</v>
      </c>
      <c r="C310" s="1" t="s">
        <v>55</v>
      </c>
      <c r="D310" s="3" t="n">
        <f aca="false">COUNTIFS(Market_Panel!$A$2:$A$2705,B310,Market_Panel!$B$2:$B$2705,"&gt;="&amp;$B$14,Market_Panel!$B$2:$B$2705,"&lt;="&amp;$C$14)</f>
        <v>10</v>
      </c>
      <c r="E310" s="10" t="n">
        <f aca="false">IF(D310=0,"",AVERAGEIFS(Market_Panel!$M$2:$M$2705,Market_Panel!$A$2:$A$2705,B310,Market_Panel!$B$2:$B$2705,"&gt;="&amp;$B$14,Market_Panel!$B$2:$B$2705,"&lt;="&amp;$C$14))</f>
        <v>0.0501428889170168</v>
      </c>
      <c r="F310" s="11" t="n">
        <f aca="false">IF(D310=0,"",AVERAGEIFS(Market_Panel!$P$2:$P$2705,Market_Panel!$A$2:$A$2705,B310,Market_Panel!$B$2:$B$2705,"&gt;="&amp;$B$14,Market_Panel!$B$2:$B$2705,"&lt;="&amp;$C$14))</f>
        <v>1.52369955475274</v>
      </c>
      <c r="G310" s="11" t="n">
        <f aca="false">IF(D310=0,"",AVERAGEIFS(Market_Panel!$R$2:$R$2705,Market_Panel!$A$2:$A$2705,B310,Market_Panel!$B$2:$B$2705,"&gt;="&amp;$B$14,Market_Panel!$B$2:$B$2705,"&lt;="&amp;$C$14))</f>
        <v>0</v>
      </c>
      <c r="H310" s="11" t="n">
        <f aca="false">IF(OR(D310=0,$H$14=0),0,AVERAGEIFS(Market_Panel!$Y$2:$Y$2705,Market_Panel!$A$2:$A$2705,B310,Market_Panel!$B$2:$B$2705,"&gt;="&amp;$B$14,Market_Panel!$B$2:$B$2705,"&lt;="&amp;$C$14))</f>
        <v>0</v>
      </c>
      <c r="I310" s="10" t="n">
        <f aca="false">IF(D310=0,"",$I$14+$F$14*F310+$G$14*G310+$H$14*H310)</f>
        <v>0.00585035638133248</v>
      </c>
      <c r="J310" s="5" t="n">
        <f aca="false">IF(D310&lt;5,"",(E310-I310)*162)</f>
        <v>7.17539027078087</v>
      </c>
      <c r="K310" s="5" t="n">
        <f aca="false">IF(D310=0,"",E310*162)</f>
        <v>8.12314800455673</v>
      </c>
      <c r="L310" s="3" t="n">
        <f aca="false">SUMIFS(Seasons!$L$2:$L$2865,Seasons!$A$2:$A$2865,B310,Seasons!$B$2:$B$2865,"&gt;="&amp;$B$14,Seasons!$B$2:$B$2865,"&lt;="&amp;$C$14)</f>
        <v>5</v>
      </c>
      <c r="M310" s="3" t="n">
        <f aca="false">SUMIFS(Seasons!$N$2:$N$2865,Seasons!$A$2:$A$2865,B310,Seasons!$B$2:$B$2865,"&gt;="&amp;$B$14,Seasons!$B$2:$B$2865,"&lt;="&amp;$C$14)</f>
        <v>3</v>
      </c>
      <c r="N310" s="3" t="n">
        <f aca="false">IF(J310="",-1000000,J310+ROW()*0.000000001)</f>
        <v>7.17539058078087</v>
      </c>
      <c r="O310" s="3" t="n">
        <f aca="false">IF(J310="","",SUMPRODUCT(($A$25:$A$534=A310)*($N$25:$N$534&gt;N310))+1)</f>
        <v>2</v>
      </c>
      <c r="P310" s="3" t="str">
        <f aca="false">A310&amp;"|"&amp;O310</f>
        <v>1990s|2</v>
      </c>
    </row>
    <row r="311" customFormat="false" ht="15" hidden="false" customHeight="true" outlineLevel="0" collapsed="false">
      <c r="A311" s="1" t="s">
        <v>18</v>
      </c>
      <c r="B311" s="7" t="s">
        <v>71</v>
      </c>
      <c r="C311" s="1" t="s">
        <v>72</v>
      </c>
      <c r="D311" s="3" t="n">
        <f aca="false">COUNTIFS(Market_Panel!$A$2:$A$2705,B311,Market_Panel!$B$2:$B$2705,"&gt;="&amp;$B$14,Market_Panel!$B$2:$B$2705,"&lt;="&amp;$C$14)</f>
        <v>10</v>
      </c>
      <c r="E311" s="10" t="n">
        <f aca="false">IF(D311=0,"",AVERAGEIFS(Market_Panel!$M$2:$M$2705,Market_Panel!$A$2:$A$2705,B311,Market_Panel!$B$2:$B$2705,"&gt;="&amp;$B$14,Market_Panel!$B$2:$B$2705,"&lt;="&amp;$C$14))</f>
        <v>-0.0266723434618773</v>
      </c>
      <c r="F311" s="11" t="n">
        <f aca="false">IF(D311=0,"",AVERAGEIFS(Market_Panel!$P$2:$P$2705,Market_Panel!$A$2:$A$2705,B311,Market_Panel!$B$2:$B$2705,"&gt;="&amp;$B$14,Market_Panel!$B$2:$B$2705,"&lt;="&amp;$C$14))</f>
        <v>0.767296727526351</v>
      </c>
      <c r="G311" s="11" t="n">
        <f aca="false">IF(D311=0,"",AVERAGEIFS(Market_Panel!$R$2:$R$2705,Market_Panel!$A$2:$A$2705,B311,Market_Panel!$B$2:$B$2705,"&gt;="&amp;$B$14,Market_Panel!$B$2:$B$2705,"&lt;="&amp;$C$14))</f>
        <v>0</v>
      </c>
      <c r="H311" s="11" t="n">
        <f aca="false">IF(OR(D311=0,$H$14=0),0,AVERAGEIFS(Market_Panel!$Y$2:$Y$2705,Market_Panel!$A$2:$A$2705,B311,Market_Panel!$B$2:$B$2705,"&gt;="&amp;$B$14,Market_Panel!$B$2:$B$2705,"&lt;="&amp;$C$14))</f>
        <v>0</v>
      </c>
      <c r="I311" s="10" t="n">
        <f aca="false">IF(D311=0,"",$I$14+$F$14*F311+$G$14*G311+$H$14*H311)</f>
        <v>0.00428693152797731</v>
      </c>
      <c r="J311" s="5" t="n">
        <f aca="false">IF(D311&lt;5,"",(E311-I311)*162)</f>
        <v>-5.01540254835645</v>
      </c>
      <c r="K311" s="5" t="n">
        <f aca="false">IF(D311=0,"",E311*162)</f>
        <v>-4.32091964082412</v>
      </c>
      <c r="L311" s="3" t="n">
        <f aca="false">SUMIFS(Seasons!$L$2:$L$2865,Seasons!$A$2:$A$2865,B311,Seasons!$B$2:$B$2865,"&gt;="&amp;$B$14,Seasons!$B$2:$B$2865,"&lt;="&amp;$C$14)</f>
        <v>0</v>
      </c>
      <c r="M311" s="3" t="n">
        <f aca="false">SUMIFS(Seasons!$N$2:$N$2865,Seasons!$A$2:$A$2865,B311,Seasons!$B$2:$B$2865,"&gt;="&amp;$B$14,Seasons!$B$2:$B$2865,"&lt;="&amp;$C$14)</f>
        <v>0</v>
      </c>
      <c r="N311" s="3" t="n">
        <f aca="false">IF(J311="",-1000000,J311+ROW()*0.000000001)</f>
        <v>-5.01540223735645</v>
      </c>
      <c r="O311" s="3" t="n">
        <f aca="false">IF(J311="","",SUMPRODUCT(($A$25:$A$534=A311)*($N$25:$N$534&gt;N311))+1)</f>
        <v>25</v>
      </c>
      <c r="P311" s="3" t="str">
        <f aca="false">A311&amp;"|"&amp;O311</f>
        <v>1990s|25</v>
      </c>
    </row>
    <row r="312" customFormat="false" ht="15" hidden="false" customHeight="true" outlineLevel="0" collapsed="false">
      <c r="A312" s="1" t="s">
        <v>18</v>
      </c>
      <c r="B312" s="7" t="s">
        <v>73</v>
      </c>
      <c r="C312" s="1" t="s">
        <v>72</v>
      </c>
      <c r="D312" s="3" t="n">
        <f aca="false">COUNTIFS(Market_Panel!$A$2:$A$2705,B312,Market_Panel!$B$2:$B$2705,"&gt;="&amp;$B$14,Market_Panel!$B$2:$B$2705,"&lt;="&amp;$C$14)</f>
        <v>10</v>
      </c>
      <c r="E312" s="10" t="n">
        <f aca="false">IF(D312=0,"",AVERAGEIFS(Market_Panel!$M$2:$M$2705,Market_Panel!$A$2:$A$2705,B312,Market_Panel!$B$2:$B$2705,"&gt;="&amp;$B$14,Market_Panel!$B$2:$B$2705,"&lt;="&amp;$C$14))</f>
        <v>0.0173748361646837</v>
      </c>
      <c r="F312" s="11" t="n">
        <f aca="false">IF(D312=0,"",AVERAGEIFS(Market_Panel!$P$2:$P$2705,Market_Panel!$A$2:$A$2705,B312,Market_Panel!$B$2:$B$2705,"&gt;="&amp;$B$14,Market_Panel!$B$2:$B$2705,"&lt;="&amp;$C$14))</f>
        <v>0.267170066000292</v>
      </c>
      <c r="G312" s="11" t="n">
        <f aca="false">IF(D312=0,"",AVERAGEIFS(Market_Panel!$R$2:$R$2705,Market_Panel!$A$2:$A$2705,B312,Market_Panel!$B$2:$B$2705,"&gt;="&amp;$B$14,Market_Panel!$B$2:$B$2705,"&lt;="&amp;$C$14))</f>
        <v>0</v>
      </c>
      <c r="H312" s="11" t="n">
        <f aca="false">IF(OR(D312=0,$H$14=0),0,AVERAGEIFS(Market_Panel!$Y$2:$Y$2705,Market_Panel!$A$2:$A$2705,B312,Market_Panel!$B$2:$B$2705,"&gt;="&amp;$B$14,Market_Panel!$B$2:$B$2705,"&lt;="&amp;$C$14))</f>
        <v>0</v>
      </c>
      <c r="I312" s="10" t="n">
        <f aca="false">IF(D312=0,"",$I$14+$F$14*F312+$G$14*G312+$H$14*H312)</f>
        <v>0.00325320925155149</v>
      </c>
      <c r="J312" s="5" t="n">
        <f aca="false">IF(D312&lt;5,"",(E312-I312)*162)</f>
        <v>2.28770355992742</v>
      </c>
      <c r="K312" s="5" t="n">
        <f aca="false">IF(D312=0,"",E312*162)</f>
        <v>2.81472345867876</v>
      </c>
      <c r="L312" s="3" t="n">
        <f aca="false">SUMIFS(Seasons!$L$2:$L$2865,Seasons!$A$2:$A$2865,B312,Seasons!$B$2:$B$2865,"&gt;="&amp;$B$14,Seasons!$B$2:$B$2865,"&lt;="&amp;$C$14)</f>
        <v>3</v>
      </c>
      <c r="M312" s="3" t="n">
        <f aca="false">SUMIFS(Seasons!$N$2:$N$2865,Seasons!$A$2:$A$2865,B312,Seasons!$B$2:$B$2865,"&gt;="&amp;$B$14,Seasons!$B$2:$B$2865,"&lt;="&amp;$C$14)</f>
        <v>0</v>
      </c>
      <c r="N312" s="3" t="n">
        <f aca="false">IF(J312="",-1000000,J312+ROW()*0.000000001)</f>
        <v>2.28770387192742</v>
      </c>
      <c r="O312" s="3" t="n">
        <f aca="false">IF(J312="","",SUMPRODUCT(($A$25:$A$534=A312)*($N$25:$N$534&gt;N312))+1)</f>
        <v>9</v>
      </c>
      <c r="P312" s="3" t="str">
        <f aca="false">A312&amp;"|"&amp;O312</f>
        <v>1990s|9</v>
      </c>
    </row>
    <row r="313" customFormat="false" ht="15" hidden="false" customHeight="true" outlineLevel="0" collapsed="false">
      <c r="A313" s="1" t="s">
        <v>18</v>
      </c>
      <c r="B313" s="7" t="s">
        <v>74</v>
      </c>
      <c r="C313" s="1" t="s">
        <v>72</v>
      </c>
      <c r="D313" s="3" t="n">
        <f aca="false">COUNTIFS(Market_Panel!$A$2:$A$2705,B313,Market_Panel!$B$2:$B$2705,"&gt;="&amp;$B$14,Market_Panel!$B$2:$B$2705,"&lt;="&amp;$C$14)</f>
        <v>10</v>
      </c>
      <c r="E313" s="10" t="n">
        <f aca="false">IF(D313=0,"",AVERAGEIFS(Market_Panel!$M$2:$M$2705,Market_Panel!$A$2:$A$2705,B313,Market_Panel!$B$2:$B$2705,"&gt;="&amp;$B$14,Market_Panel!$B$2:$B$2705,"&lt;="&amp;$C$14))</f>
        <v>0.0243681548075065</v>
      </c>
      <c r="F313" s="11" t="n">
        <f aca="false">IF(D313=0,"",AVERAGEIFS(Market_Panel!$P$2:$P$2705,Market_Panel!$A$2:$A$2705,B313,Market_Panel!$B$2:$B$2705,"&gt;="&amp;$B$14,Market_Panel!$B$2:$B$2705,"&lt;="&amp;$C$14))</f>
        <v>0.755870281045787</v>
      </c>
      <c r="G313" s="11" t="n">
        <f aca="false">IF(D313=0,"",AVERAGEIFS(Market_Panel!$R$2:$R$2705,Market_Panel!$A$2:$A$2705,B313,Market_Panel!$B$2:$B$2705,"&gt;="&amp;$B$14,Market_Panel!$B$2:$B$2705,"&lt;="&amp;$C$14))</f>
        <v>0</v>
      </c>
      <c r="H313" s="11" t="n">
        <f aca="false">IF(OR(D313=0,$H$14=0),0,AVERAGEIFS(Market_Panel!$Y$2:$Y$2705,Market_Panel!$A$2:$A$2705,B313,Market_Panel!$B$2:$B$2705,"&gt;="&amp;$B$14,Market_Panel!$B$2:$B$2705,"&lt;="&amp;$C$14))</f>
        <v>0</v>
      </c>
      <c r="I313" s="10" t="n">
        <f aca="false">IF(D313=0,"",$I$14+$F$14*F313+$G$14*G313+$H$14*H313)</f>
        <v>0.00426331396631542</v>
      </c>
      <c r="J313" s="5" t="n">
        <f aca="false">IF(D313&lt;5,"",(E313-I313)*162)</f>
        <v>3.25698421627296</v>
      </c>
      <c r="K313" s="5" t="n">
        <f aca="false">IF(D313=0,"",E313*162)</f>
        <v>3.94764107881606</v>
      </c>
      <c r="L313" s="3" t="n">
        <f aca="false">SUMIFS(Seasons!$L$2:$L$2865,Seasons!$A$2:$A$2865,B313,Seasons!$B$2:$B$2865,"&gt;="&amp;$B$14,Seasons!$B$2:$B$2865,"&lt;="&amp;$C$14)</f>
        <v>3</v>
      </c>
      <c r="M313" s="3" t="n">
        <f aca="false">SUMIFS(Seasons!$N$2:$N$2865,Seasons!$A$2:$A$2865,B313,Seasons!$B$2:$B$2865,"&gt;="&amp;$B$14,Seasons!$B$2:$B$2865,"&lt;="&amp;$C$14)</f>
        <v>0</v>
      </c>
      <c r="N313" s="3" t="n">
        <f aca="false">IF(J313="",-1000000,J313+ROW()*0.000000001)</f>
        <v>3.25698452927296</v>
      </c>
      <c r="O313" s="3" t="n">
        <f aca="false">IF(J313="","",SUMPRODUCT(($A$25:$A$534=A313)*($N$25:$N$534&gt;N313))+1)</f>
        <v>7</v>
      </c>
      <c r="P313" s="3" t="str">
        <f aca="false">A313&amp;"|"&amp;O313</f>
        <v>1990s|7</v>
      </c>
    </row>
    <row r="314" customFormat="false" ht="15" hidden="false" customHeight="true" outlineLevel="0" collapsed="false">
      <c r="A314" s="1" t="s">
        <v>18</v>
      </c>
      <c r="B314" s="7" t="s">
        <v>75</v>
      </c>
      <c r="C314" s="1" t="s">
        <v>72</v>
      </c>
      <c r="D314" s="3" t="n">
        <f aca="false">COUNTIFS(Market_Panel!$A$2:$A$2705,B314,Market_Panel!$B$2:$B$2705,"&gt;="&amp;$B$14,Market_Panel!$B$2:$B$2705,"&lt;="&amp;$C$14)</f>
        <v>10</v>
      </c>
      <c r="E314" s="10" t="n">
        <f aca="false">IF(D314=0,"",AVERAGEIFS(Market_Panel!$M$2:$M$2705,Market_Panel!$A$2:$A$2705,B314,Market_Panel!$B$2:$B$2705,"&gt;="&amp;$B$14,Market_Panel!$B$2:$B$2705,"&lt;="&amp;$C$14))</f>
        <v>-0.00656776289393113</v>
      </c>
      <c r="F314" s="11" t="n">
        <f aca="false">IF(D314=0,"",AVERAGEIFS(Market_Panel!$P$2:$P$2705,Market_Panel!$A$2:$A$2705,B314,Market_Panel!$B$2:$B$2705,"&gt;="&amp;$B$14,Market_Panel!$B$2:$B$2705,"&lt;="&amp;$C$14))</f>
        <v>1.52369955475274</v>
      </c>
      <c r="G314" s="11" t="n">
        <f aca="false">IF(D314=0,"",AVERAGEIFS(Market_Panel!$R$2:$R$2705,Market_Panel!$A$2:$A$2705,B314,Market_Panel!$B$2:$B$2705,"&gt;="&amp;$B$14,Market_Panel!$B$2:$B$2705,"&lt;="&amp;$C$14))</f>
        <v>0</v>
      </c>
      <c r="H314" s="11" t="n">
        <f aca="false">IF(OR(D314=0,$H$14=0),0,AVERAGEIFS(Market_Panel!$Y$2:$Y$2705,Market_Panel!$A$2:$A$2705,B314,Market_Panel!$B$2:$B$2705,"&gt;="&amp;$B$14,Market_Panel!$B$2:$B$2705,"&lt;="&amp;$C$14))</f>
        <v>0</v>
      </c>
      <c r="I314" s="10" t="n">
        <f aca="false">IF(D314=0,"",$I$14+$F$14*F314+$G$14*G314+$H$14*H314)</f>
        <v>0.00585035638133248</v>
      </c>
      <c r="J314" s="5" t="n">
        <f aca="false">IF(D314&lt;5,"",(E314-I314)*162)</f>
        <v>-2.01173532259271</v>
      </c>
      <c r="K314" s="5" t="n">
        <f aca="false">IF(D314=0,"",E314*162)</f>
        <v>-1.06397758881684</v>
      </c>
      <c r="L314" s="3" t="n">
        <f aca="false">SUMIFS(Seasons!$L$2:$L$2865,Seasons!$A$2:$A$2865,B314,Seasons!$B$2:$B$2865,"&gt;="&amp;$B$14,Seasons!$B$2:$B$2865,"&lt;="&amp;$C$14)</f>
        <v>1</v>
      </c>
      <c r="M314" s="3" t="n">
        <f aca="false">SUMIFS(Seasons!$N$2:$N$2865,Seasons!$A$2:$A$2865,B314,Seasons!$B$2:$B$2865,"&gt;="&amp;$B$14,Seasons!$B$2:$B$2865,"&lt;="&amp;$C$14)</f>
        <v>0</v>
      </c>
      <c r="N314" s="3" t="n">
        <f aca="false">IF(J314="",-1000000,J314+ROW()*0.000000001)</f>
        <v>-2.01173500859271</v>
      </c>
      <c r="O314" s="3" t="n">
        <f aca="false">IF(J314="","",SUMPRODUCT(($A$25:$A$534=A314)*($N$25:$N$534&gt;N314))+1)</f>
        <v>18</v>
      </c>
      <c r="P314" s="3" t="str">
        <f aca="false">A314&amp;"|"&amp;O314</f>
        <v>1990s|18</v>
      </c>
    </row>
    <row r="315" customFormat="false" ht="15" hidden="false" customHeight="true" outlineLevel="0" collapsed="false">
      <c r="A315" s="1" t="s">
        <v>18</v>
      </c>
      <c r="B315" s="7" t="s">
        <v>76</v>
      </c>
      <c r="C315" s="1" t="s">
        <v>72</v>
      </c>
      <c r="D315" s="3" t="n">
        <f aca="false">COUNTIFS(Market_Panel!$A$2:$A$2705,B315,Market_Panel!$B$2:$B$2705,"&gt;="&amp;$B$14,Market_Panel!$B$2:$B$2705,"&lt;="&amp;$C$14)</f>
        <v>10</v>
      </c>
      <c r="E315" s="10" t="n">
        <f aca="false">IF(D315=0,"",AVERAGEIFS(Market_Panel!$M$2:$M$2705,Market_Panel!$A$2:$A$2705,B315,Market_Panel!$B$2:$B$2705,"&gt;="&amp;$B$14,Market_Panel!$B$2:$B$2705,"&lt;="&amp;$C$14))</f>
        <v>-0.0295669345261335</v>
      </c>
      <c r="F315" s="11" t="n">
        <f aca="false">IF(D315=0,"",AVERAGEIFS(Market_Panel!$P$2:$P$2705,Market_Panel!$A$2:$A$2705,B315,Market_Panel!$B$2:$B$2705,"&gt;="&amp;$B$14,Market_Panel!$B$2:$B$2705,"&lt;="&amp;$C$14))</f>
        <v>-0.639900074232943</v>
      </c>
      <c r="G315" s="11" t="n">
        <f aca="false">IF(D315=0,"",AVERAGEIFS(Market_Panel!$R$2:$R$2705,Market_Panel!$A$2:$A$2705,B315,Market_Panel!$B$2:$B$2705,"&gt;="&amp;$B$14,Market_Panel!$B$2:$B$2705,"&lt;="&amp;$C$14))</f>
        <v>0</v>
      </c>
      <c r="H315" s="11" t="n">
        <f aca="false">IF(OR(D315=0,$H$14=0),0,AVERAGEIFS(Market_Panel!$Y$2:$Y$2705,Market_Panel!$A$2:$A$2705,B315,Market_Panel!$B$2:$B$2705,"&gt;="&amp;$B$14,Market_Panel!$B$2:$B$2705,"&lt;="&amp;$C$14))</f>
        <v>0</v>
      </c>
      <c r="I315" s="10" t="n">
        <f aca="false">IF(D315=0,"",$I$14+$F$14*F315+$G$14*G315+$H$14*H315)</f>
        <v>0.00137836697184045</v>
      </c>
      <c r="J315" s="5" t="n">
        <f aca="false">IF(D315&lt;5,"",(E315-I315)*162)</f>
        <v>-5.01313884267178</v>
      </c>
      <c r="K315" s="5" t="n">
        <f aca="false">IF(D315=0,"",E315*162)</f>
        <v>-4.78984339323363</v>
      </c>
      <c r="L315" s="3" t="n">
        <f aca="false">SUMIFS(Seasons!$L$2:$L$2865,Seasons!$A$2:$A$2865,B315,Seasons!$B$2:$B$2865,"&gt;="&amp;$B$14,Seasons!$B$2:$B$2865,"&lt;="&amp;$C$14)</f>
        <v>0</v>
      </c>
      <c r="M315" s="3" t="n">
        <f aca="false">SUMIFS(Seasons!$N$2:$N$2865,Seasons!$A$2:$A$2865,B315,Seasons!$B$2:$B$2865,"&gt;="&amp;$B$14,Seasons!$B$2:$B$2865,"&lt;="&amp;$C$14)</f>
        <v>0</v>
      </c>
      <c r="N315" s="3" t="n">
        <f aca="false">IF(J315="",-1000000,J315+ROW()*0.000000001)</f>
        <v>-5.01313852767178</v>
      </c>
      <c r="O315" s="3" t="n">
        <f aca="false">IF(J315="","",SUMPRODUCT(($A$25:$A$534=A315)*($N$25:$N$534&gt;N315))+1)</f>
        <v>24</v>
      </c>
      <c r="P315" s="3" t="str">
        <f aca="false">A315&amp;"|"&amp;O315</f>
        <v>1990s|24</v>
      </c>
    </row>
    <row r="316" customFormat="false" ht="15" hidden="false" customHeight="true" outlineLevel="0" collapsed="false">
      <c r="A316" s="1" t="s">
        <v>18</v>
      </c>
      <c r="B316" s="7" t="s">
        <v>77</v>
      </c>
      <c r="C316" s="1" t="s">
        <v>72</v>
      </c>
      <c r="D316" s="3" t="n">
        <f aca="false">COUNTIFS(Market_Panel!$A$2:$A$2705,B316,Market_Panel!$B$2:$B$2705,"&gt;="&amp;$B$14,Market_Panel!$B$2:$B$2705,"&lt;="&amp;$C$14)</f>
        <v>10</v>
      </c>
      <c r="E316" s="10" t="n">
        <f aca="false">IF(D316=0,"",AVERAGEIFS(Market_Panel!$M$2:$M$2705,Market_Panel!$A$2:$A$2705,B316,Market_Panel!$B$2:$B$2705,"&gt;="&amp;$B$14,Market_Panel!$B$2:$B$2705,"&lt;="&amp;$C$14))</f>
        <v>-0.0230046501921101</v>
      </c>
      <c r="F316" s="11" t="n">
        <f aca="false">IF(D316=0,"",AVERAGEIFS(Market_Panel!$P$2:$P$2705,Market_Panel!$A$2:$A$2705,B316,Market_Panel!$B$2:$B$2705,"&gt;="&amp;$B$14,Market_Panel!$B$2:$B$2705,"&lt;="&amp;$C$14))</f>
        <v>-0.302333672276648</v>
      </c>
      <c r="G316" s="11" t="n">
        <f aca="false">IF(D316=0,"",AVERAGEIFS(Market_Panel!$R$2:$R$2705,Market_Panel!$A$2:$A$2705,B316,Market_Panel!$B$2:$B$2705,"&gt;="&amp;$B$14,Market_Panel!$B$2:$B$2705,"&lt;="&amp;$C$14))</f>
        <v>0</v>
      </c>
      <c r="H316" s="11" t="n">
        <f aca="false">IF(OR(D316=0,$H$14=0),0,AVERAGEIFS(Market_Panel!$Y$2:$Y$2705,Market_Panel!$A$2:$A$2705,B316,Market_Panel!$B$2:$B$2705,"&gt;="&amp;$B$14,Market_Panel!$B$2:$B$2705,"&lt;="&amp;$C$14))</f>
        <v>0</v>
      </c>
      <c r="I316" s="10" t="n">
        <f aca="false">IF(D316=0,"",$I$14+$F$14*F316+$G$14*G316+$H$14*H316)</f>
        <v>0.00207609004145319</v>
      </c>
      <c r="J316" s="5" t="n">
        <f aca="false">IF(D316&lt;5,"",(E316-I316)*162)</f>
        <v>-4.06307991783725</v>
      </c>
      <c r="K316" s="5" t="n">
        <f aca="false">IF(D316=0,"",E316*162)</f>
        <v>-3.72675333112183</v>
      </c>
      <c r="L316" s="3" t="n">
        <f aca="false">SUMIFS(Seasons!$L$2:$L$2865,Seasons!$A$2:$A$2865,B316,Seasons!$B$2:$B$2865,"&gt;="&amp;$B$14,Seasons!$B$2:$B$2865,"&lt;="&amp;$C$14)</f>
        <v>0</v>
      </c>
      <c r="M316" s="3" t="n">
        <f aca="false">SUMIFS(Seasons!$N$2:$N$2865,Seasons!$A$2:$A$2865,B316,Seasons!$B$2:$B$2865,"&gt;="&amp;$B$14,Seasons!$B$2:$B$2865,"&lt;="&amp;$C$14)</f>
        <v>0</v>
      </c>
      <c r="N316" s="3" t="n">
        <f aca="false">IF(J316="",-1000000,J316+ROW()*0.000000001)</f>
        <v>-4.06307960183725</v>
      </c>
      <c r="O316" s="3" t="n">
        <f aca="false">IF(J316="","",SUMPRODUCT(($A$25:$A$534=A316)*($N$25:$N$534&gt;N316))+1)</f>
        <v>22</v>
      </c>
      <c r="P316" s="3" t="str">
        <f aca="false">A316&amp;"|"&amp;O316</f>
        <v>1990s|22</v>
      </c>
    </row>
    <row r="317" customFormat="false" ht="15" hidden="false" customHeight="true" outlineLevel="0" collapsed="false">
      <c r="A317" s="1" t="s">
        <v>18</v>
      </c>
      <c r="B317" s="7" t="s">
        <v>78</v>
      </c>
      <c r="C317" s="1" t="s">
        <v>72</v>
      </c>
      <c r="D317" s="3" t="n">
        <f aca="false">COUNTIFS(Market_Panel!$A$2:$A$2705,B317,Market_Panel!$B$2:$B$2705,"&gt;="&amp;$B$14,Market_Panel!$B$2:$B$2705,"&lt;="&amp;$C$14)</f>
        <v>10</v>
      </c>
      <c r="E317" s="10" t="n">
        <f aca="false">IF(D317=0,"",AVERAGEIFS(Market_Panel!$M$2:$M$2705,Market_Panel!$A$2:$A$2705,B317,Market_Panel!$B$2:$B$2705,"&gt;="&amp;$B$14,Market_Panel!$B$2:$B$2705,"&lt;="&amp;$C$14))</f>
        <v>-0.0155373945545646</v>
      </c>
      <c r="F317" s="11" t="n">
        <f aca="false">IF(D317=0,"",AVERAGEIFS(Market_Panel!$P$2:$P$2705,Market_Panel!$A$2:$A$2705,B317,Market_Panel!$B$2:$B$2705,"&gt;="&amp;$B$14,Market_Panel!$B$2:$B$2705,"&lt;="&amp;$C$14))</f>
        <v>0.334009556601475</v>
      </c>
      <c r="G317" s="11" t="n">
        <f aca="false">IF(D317=0,"",AVERAGEIFS(Market_Panel!$R$2:$R$2705,Market_Panel!$A$2:$A$2705,B317,Market_Panel!$B$2:$B$2705,"&gt;="&amp;$B$14,Market_Panel!$B$2:$B$2705,"&lt;="&amp;$C$14))</f>
        <v>0</v>
      </c>
      <c r="H317" s="11" t="n">
        <f aca="false">IF(OR(D317=0,$H$14=0),0,AVERAGEIFS(Market_Panel!$Y$2:$Y$2705,Market_Panel!$A$2:$A$2705,B317,Market_Panel!$B$2:$B$2705,"&gt;="&amp;$B$14,Market_Panel!$B$2:$B$2705,"&lt;="&amp;$C$14))</f>
        <v>0</v>
      </c>
      <c r="I317" s="10" t="n">
        <f aca="false">IF(D317=0,"",$I$14+$F$14*F317+$G$14*G317+$H$14*H317)</f>
        <v>0.00339136119523826</v>
      </c>
      <c r="J317" s="5" t="n">
        <f aca="false">IF(D317&lt;5,"",(E317-I317)*162)</f>
        <v>-3.06645843146806</v>
      </c>
      <c r="K317" s="5" t="n">
        <f aca="false">IF(D317=0,"",E317*162)</f>
        <v>-2.51705791783946</v>
      </c>
      <c r="L317" s="3" t="n">
        <f aca="false">SUMIFS(Seasons!$L$2:$L$2865,Seasons!$A$2:$A$2865,B317,Seasons!$B$2:$B$2865,"&gt;="&amp;$B$14,Seasons!$B$2:$B$2865,"&lt;="&amp;$C$14)</f>
        <v>2</v>
      </c>
      <c r="M317" s="3" t="n">
        <f aca="false">SUMIFS(Seasons!$N$2:$N$2865,Seasons!$A$2:$A$2865,B317,Seasons!$B$2:$B$2865,"&gt;="&amp;$B$14,Seasons!$B$2:$B$2865,"&lt;="&amp;$C$14)</f>
        <v>0</v>
      </c>
      <c r="N317" s="3" t="n">
        <f aca="false">IF(J317="",-1000000,J317+ROW()*0.000000001)</f>
        <v>-3.06645811446806</v>
      </c>
      <c r="O317" s="3" t="n">
        <f aca="false">IF(J317="","",SUMPRODUCT(($A$25:$A$534=A317)*($N$25:$N$534&gt;N317))+1)</f>
        <v>21</v>
      </c>
      <c r="P317" s="3" t="str">
        <f aca="false">A317&amp;"|"&amp;O317</f>
        <v>1990s|21</v>
      </c>
    </row>
    <row r="318" customFormat="false" ht="15" hidden="false" customHeight="true" outlineLevel="0" collapsed="false">
      <c r="A318" s="1" t="s">
        <v>18</v>
      </c>
      <c r="B318" s="7" t="s">
        <v>79</v>
      </c>
      <c r="C318" s="1" t="s">
        <v>72</v>
      </c>
      <c r="D318" s="3" t="n">
        <f aca="false">COUNTIFS(Market_Panel!$A$2:$A$2705,B318,Market_Panel!$B$2:$B$2705,"&gt;="&amp;$B$14,Market_Panel!$B$2:$B$2705,"&lt;="&amp;$C$14)</f>
        <v>10</v>
      </c>
      <c r="E318" s="10" t="n">
        <f aca="false">IF(D318=0,"",AVERAGEIFS(Market_Panel!$M$2:$M$2705,Market_Panel!$A$2:$A$2705,B318,Market_Panel!$B$2:$B$2705,"&gt;="&amp;$B$14,Market_Panel!$B$2:$B$2705,"&lt;="&amp;$C$14))</f>
        <v>0.00361196683354587</v>
      </c>
      <c r="F318" s="11" t="n">
        <f aca="false">IF(D318=0,"",AVERAGEIFS(Market_Panel!$P$2:$P$2705,Market_Panel!$A$2:$A$2705,B318,Market_Panel!$B$2:$B$2705,"&gt;="&amp;$B$14,Market_Panel!$B$2:$B$2705,"&lt;="&amp;$C$14))</f>
        <v>0.212683462484913</v>
      </c>
      <c r="G318" s="11" t="n">
        <f aca="false">IF(D318=0,"",AVERAGEIFS(Market_Panel!$R$2:$R$2705,Market_Panel!$A$2:$A$2705,B318,Market_Panel!$B$2:$B$2705,"&gt;="&amp;$B$14,Market_Panel!$B$2:$B$2705,"&lt;="&amp;$C$14))</f>
        <v>0</v>
      </c>
      <c r="H318" s="11" t="n">
        <f aca="false">IF(OR(D318=0,$H$14=0),0,AVERAGEIFS(Market_Panel!$Y$2:$Y$2705,Market_Panel!$A$2:$A$2705,B318,Market_Panel!$B$2:$B$2705,"&gt;="&amp;$B$14,Market_Panel!$B$2:$B$2705,"&lt;="&amp;$C$14))</f>
        <v>0</v>
      </c>
      <c r="I318" s="10" t="n">
        <f aca="false">IF(D318=0,"",$I$14+$F$14*F318+$G$14*G318+$H$14*H318)</f>
        <v>0.00314058974902634</v>
      </c>
      <c r="J318" s="5" t="n">
        <f aca="false">IF(D318&lt;5,"",(E318-I318)*162)</f>
        <v>0.0763630876921639</v>
      </c>
      <c r="K318" s="5" t="n">
        <f aca="false">IF(D318=0,"",E318*162)</f>
        <v>0.585138627034431</v>
      </c>
      <c r="L318" s="3" t="n">
        <f aca="false">SUMIFS(Seasons!$L$2:$L$2865,Seasons!$A$2:$A$2865,B318,Seasons!$B$2:$B$2865,"&gt;="&amp;$B$14,Seasons!$B$2:$B$2865,"&lt;="&amp;$C$14)</f>
        <v>0</v>
      </c>
      <c r="M318" s="3" t="n">
        <f aca="false">SUMIFS(Seasons!$N$2:$N$2865,Seasons!$A$2:$A$2865,B318,Seasons!$B$2:$B$2865,"&gt;="&amp;$B$14,Seasons!$B$2:$B$2865,"&lt;="&amp;$C$14)</f>
        <v>0</v>
      </c>
      <c r="N318" s="3" t="n">
        <f aca="false">IF(J318="",-1000000,J318+ROW()*0.000000001)</f>
        <v>0.0763634056921639</v>
      </c>
      <c r="O318" s="3" t="n">
        <f aca="false">IF(J318="","",SUMPRODUCT(($A$25:$A$534=A318)*($N$25:$N$534&gt;N318))+1)</f>
        <v>14</v>
      </c>
      <c r="P318" s="3" t="str">
        <f aca="false">A318&amp;"|"&amp;O318</f>
        <v>1990s|14</v>
      </c>
    </row>
    <row r="319" customFormat="false" ht="15" hidden="false" customHeight="true" outlineLevel="0" collapsed="false">
      <c r="A319" s="1" t="s">
        <v>18</v>
      </c>
      <c r="B319" s="7" t="s">
        <v>80</v>
      </c>
      <c r="C319" s="1" t="s">
        <v>72</v>
      </c>
      <c r="D319" s="3" t="n">
        <f aca="false">COUNTIFS(Market_Panel!$A$2:$A$2705,B319,Market_Panel!$B$2:$B$2705,"&gt;="&amp;$B$14,Market_Panel!$B$2:$B$2705,"&lt;="&amp;$C$14)</f>
        <v>10</v>
      </c>
      <c r="E319" s="10" t="n">
        <f aca="false">IF(D319=0,"",AVERAGEIFS(Market_Panel!$M$2:$M$2705,Market_Panel!$A$2:$A$2705,B319,Market_Panel!$B$2:$B$2705,"&gt;="&amp;$B$14,Market_Panel!$B$2:$B$2705,"&lt;="&amp;$C$14))</f>
        <v>-0.00855582301839532</v>
      </c>
      <c r="F319" s="11" t="n">
        <f aca="false">IF(D319=0,"",AVERAGEIFS(Market_Panel!$P$2:$P$2705,Market_Panel!$A$2:$A$2705,B319,Market_Panel!$B$2:$B$2705,"&gt;="&amp;$B$14,Market_Panel!$B$2:$B$2705,"&lt;="&amp;$C$14))</f>
        <v>-0.436241545766297</v>
      </c>
      <c r="G319" s="11" t="n">
        <f aca="false">IF(D319=0,"",AVERAGEIFS(Market_Panel!$R$2:$R$2705,Market_Panel!$A$2:$A$2705,B319,Market_Panel!$B$2:$B$2705,"&gt;="&amp;$B$14,Market_Panel!$B$2:$B$2705,"&lt;="&amp;$C$14))</f>
        <v>0</v>
      </c>
      <c r="H319" s="11" t="n">
        <f aca="false">IF(OR(D319=0,$H$14=0),0,AVERAGEIFS(Market_Panel!$Y$2:$Y$2705,Market_Panel!$A$2:$A$2705,B319,Market_Panel!$B$2:$B$2705,"&gt;="&amp;$B$14,Market_Panel!$B$2:$B$2705,"&lt;="&amp;$C$14))</f>
        <v>0</v>
      </c>
      <c r="I319" s="10" t="n">
        <f aca="false">IF(D319=0,"",$I$14+$F$14*F319+$G$14*G319+$H$14*H319)</f>
        <v>0.00179931305181484</v>
      </c>
      <c r="J319" s="5" t="n">
        <f aca="false">IF(D319&lt;5,"",(E319-I319)*162)</f>
        <v>-1.67753204337405</v>
      </c>
      <c r="K319" s="5" t="n">
        <f aca="false">IF(D319=0,"",E319*162)</f>
        <v>-1.38604332898004</v>
      </c>
      <c r="L319" s="3" t="n">
        <f aca="false">SUMIFS(Seasons!$L$2:$L$2865,Seasons!$A$2:$A$2865,B319,Seasons!$B$2:$B$2865,"&gt;="&amp;$B$14,Seasons!$B$2:$B$2865,"&lt;="&amp;$C$14)</f>
        <v>2</v>
      </c>
      <c r="M319" s="3" t="n">
        <f aca="false">SUMIFS(Seasons!$N$2:$N$2865,Seasons!$A$2:$A$2865,B319,Seasons!$B$2:$B$2865,"&gt;="&amp;$B$14,Seasons!$B$2:$B$2865,"&lt;="&amp;$C$14)</f>
        <v>0</v>
      </c>
      <c r="N319" s="3" t="n">
        <f aca="false">IF(J319="",-1000000,J319+ROW()*0.000000001)</f>
        <v>-1.67753172437405</v>
      </c>
      <c r="O319" s="3" t="n">
        <f aca="false">IF(J319="","",SUMPRODUCT(($A$25:$A$534=A319)*($N$25:$N$534&gt;N319))+1)</f>
        <v>17</v>
      </c>
      <c r="P319" s="3" t="str">
        <f aca="false">A319&amp;"|"&amp;O319</f>
        <v>1990s|17</v>
      </c>
    </row>
    <row r="320" customFormat="false" ht="15" hidden="false" customHeight="true" outlineLevel="0" collapsed="false">
      <c r="A320" s="1" t="s">
        <v>18</v>
      </c>
      <c r="B320" s="7" t="s">
        <v>81</v>
      </c>
      <c r="C320" s="1" t="s">
        <v>72</v>
      </c>
      <c r="D320" s="3" t="n">
        <f aca="false">COUNTIFS(Market_Panel!$A$2:$A$2705,B320,Market_Panel!$B$2:$B$2705,"&gt;="&amp;$B$14,Market_Panel!$B$2:$B$2705,"&lt;="&amp;$C$14)</f>
        <v>10</v>
      </c>
      <c r="E320" s="10" t="n">
        <f aca="false">IF(D320=0,"",AVERAGEIFS(Market_Panel!$M$2:$M$2705,Market_Panel!$A$2:$A$2705,B320,Market_Panel!$B$2:$B$2705,"&gt;="&amp;$B$14,Market_Panel!$B$2:$B$2705,"&lt;="&amp;$C$14))</f>
        <v>0.0126424435890417</v>
      </c>
      <c r="F320" s="11" t="n">
        <f aca="false">IF(D320=0,"",AVERAGEIFS(Market_Panel!$P$2:$P$2705,Market_Panel!$A$2:$A$2705,B320,Market_Panel!$B$2:$B$2705,"&gt;="&amp;$B$14,Market_Panel!$B$2:$B$2705,"&lt;="&amp;$C$14))</f>
        <v>0.345162072611058</v>
      </c>
      <c r="G320" s="11" t="n">
        <f aca="false">IF(D320=0,"",AVERAGEIFS(Market_Panel!$R$2:$R$2705,Market_Panel!$A$2:$A$2705,B320,Market_Panel!$B$2:$B$2705,"&gt;="&amp;$B$14,Market_Panel!$B$2:$B$2705,"&lt;="&amp;$C$14))</f>
        <v>0</v>
      </c>
      <c r="H320" s="11" t="n">
        <f aca="false">IF(OR(D320=0,$H$14=0),0,AVERAGEIFS(Market_Panel!$Y$2:$Y$2705,Market_Panel!$A$2:$A$2705,B320,Market_Panel!$B$2:$B$2705,"&gt;="&amp;$B$14,Market_Panel!$B$2:$B$2705,"&lt;="&amp;$C$14))</f>
        <v>0</v>
      </c>
      <c r="I320" s="10" t="n">
        <f aca="false">IF(D320=0,"",$I$14+$F$14*F320+$G$14*G320+$H$14*H320)</f>
        <v>0.0034144125642697</v>
      </c>
      <c r="J320" s="5" t="n">
        <f aca="false">IF(D320&lt;5,"",(E320-I320)*162)</f>
        <v>1.49494102601306</v>
      </c>
      <c r="K320" s="5" t="n">
        <f aca="false">IF(D320=0,"",E320*162)</f>
        <v>2.04807586142476</v>
      </c>
      <c r="L320" s="3" t="n">
        <f aca="false">SUMIFS(Seasons!$L$2:$L$2865,Seasons!$A$2:$A$2865,B320,Seasons!$B$2:$B$2865,"&gt;="&amp;$B$14,Seasons!$B$2:$B$2865,"&lt;="&amp;$C$14)</f>
        <v>3</v>
      </c>
      <c r="M320" s="3" t="n">
        <f aca="false">SUMIFS(Seasons!$N$2:$N$2865,Seasons!$A$2:$A$2865,B320,Seasons!$B$2:$B$2865,"&gt;="&amp;$B$14,Seasons!$B$2:$B$2865,"&lt;="&amp;$C$14)</f>
        <v>2</v>
      </c>
      <c r="N320" s="3" t="n">
        <f aca="false">IF(J320="",-1000000,J320+ROW()*0.000000001)</f>
        <v>1.49494134601306</v>
      </c>
      <c r="O320" s="3" t="n">
        <f aca="false">IF(J320="","",SUMPRODUCT(($A$25:$A$534=A320)*($N$25:$N$534&gt;N320))+1)</f>
        <v>11</v>
      </c>
      <c r="P320" s="3" t="str">
        <f aca="false">A320&amp;"|"&amp;O320</f>
        <v>1990s|11</v>
      </c>
    </row>
    <row r="321" customFormat="false" ht="15" hidden="false" customHeight="true" outlineLevel="0" collapsed="false">
      <c r="A321" s="1" t="s">
        <v>18</v>
      </c>
      <c r="B321" s="7" t="s">
        <v>82</v>
      </c>
      <c r="C321" s="1" t="s">
        <v>72</v>
      </c>
      <c r="D321" s="3" t="n">
        <f aca="false">COUNTIFS(Market_Panel!$A$2:$A$2705,B321,Market_Panel!$B$2:$B$2705,"&gt;="&amp;$B$14,Market_Panel!$B$2:$B$2705,"&lt;="&amp;$C$14)</f>
        <v>7</v>
      </c>
      <c r="E321" s="10" t="n">
        <f aca="false">IF(D321=0,"",AVERAGEIFS(Market_Panel!$M$2:$M$2705,Market_Panel!$A$2:$A$2705,B321,Market_Panel!$B$2:$B$2705,"&gt;="&amp;$B$14,Market_Panel!$B$2:$B$2705,"&lt;="&amp;$C$14))</f>
        <v>-0.0220412907265336</v>
      </c>
      <c r="F321" s="11" t="n">
        <f aca="false">IF(D321=0,"",AVERAGEIFS(Market_Panel!$P$2:$P$2705,Market_Panel!$A$2:$A$2705,B321,Market_Panel!$B$2:$B$2705,"&gt;="&amp;$B$14,Market_Panel!$B$2:$B$2705,"&lt;="&amp;$C$14))</f>
        <v>-0.46612141694632</v>
      </c>
      <c r="G321" s="11" t="n">
        <f aca="false">IF(D321=0,"",AVERAGEIFS(Market_Panel!$R$2:$R$2705,Market_Panel!$A$2:$A$2705,B321,Market_Panel!$B$2:$B$2705,"&gt;="&amp;$B$14,Market_Panel!$B$2:$B$2705,"&lt;="&amp;$C$14))</f>
        <v>1</v>
      </c>
      <c r="H321" s="11" t="n">
        <f aca="false">IF(OR(D321=0,$H$14=0),0,AVERAGEIFS(Market_Panel!$Y$2:$Y$2705,Market_Panel!$A$2:$A$2705,B321,Market_Panel!$B$2:$B$2705,"&gt;="&amp;$B$14,Market_Panel!$B$2:$B$2705,"&lt;="&amp;$C$14))</f>
        <v>0</v>
      </c>
      <c r="I321" s="10" t="n">
        <f aca="false">IF(D321=0,"",$I$14+$F$14*F321+$G$14*G321+$H$14*H321)</f>
        <v>-0.0399777338679201</v>
      </c>
      <c r="J321" s="5" t="n">
        <f aca="false">IF(D321&lt;5,"",(E321-I321)*162)</f>
        <v>2.90570378890461</v>
      </c>
      <c r="K321" s="5" t="n">
        <f aca="false">IF(D321=0,"",E321*162)</f>
        <v>-3.57068909769844</v>
      </c>
      <c r="L321" s="3" t="n">
        <f aca="false">SUMIFS(Seasons!$L$2:$L$2865,Seasons!$A$2:$A$2865,B321,Seasons!$B$2:$B$2865,"&gt;="&amp;$B$14,Seasons!$B$2:$B$2865,"&lt;="&amp;$C$14)</f>
        <v>1</v>
      </c>
      <c r="M321" s="3" t="n">
        <f aca="false">SUMIFS(Seasons!$N$2:$N$2865,Seasons!$A$2:$A$2865,B321,Seasons!$B$2:$B$2865,"&gt;="&amp;$B$14,Seasons!$B$2:$B$2865,"&lt;="&amp;$C$14)</f>
        <v>0</v>
      </c>
      <c r="N321" s="3" t="n">
        <f aca="false">IF(J321="",-1000000,J321+ROW()*0.000000001)</f>
        <v>2.90570410990461</v>
      </c>
      <c r="O321" s="3" t="n">
        <f aca="false">IF(J321="","",SUMPRODUCT(($A$25:$A$534=A321)*($N$25:$N$534&gt;N321))+1)</f>
        <v>8</v>
      </c>
      <c r="P321" s="3" t="str">
        <f aca="false">A321&amp;"|"&amp;O321</f>
        <v>1990s|8</v>
      </c>
    </row>
    <row r="322" customFormat="false" ht="15" hidden="false" customHeight="true" outlineLevel="0" collapsed="false">
      <c r="A322" s="1" t="s">
        <v>18</v>
      </c>
      <c r="B322" s="7" t="s">
        <v>83</v>
      </c>
      <c r="C322" s="1" t="s">
        <v>72</v>
      </c>
      <c r="D322" s="3" t="n">
        <f aca="false">COUNTIFS(Market_Panel!$A$2:$A$2705,B322,Market_Panel!$B$2:$B$2705,"&gt;="&amp;$B$14,Market_Panel!$B$2:$B$2705,"&lt;="&amp;$C$14)</f>
        <v>7</v>
      </c>
      <c r="E322" s="10" t="n">
        <f aca="false">IF(D322=0,"",AVERAGEIFS(Market_Panel!$M$2:$M$2705,Market_Panel!$A$2:$A$2705,B322,Market_Panel!$B$2:$B$2705,"&gt;="&amp;$B$14,Market_Panel!$B$2:$B$2705,"&lt;="&amp;$C$14))</f>
        <v>-0.0575474981530309</v>
      </c>
      <c r="F322" s="11" t="n">
        <f aca="false">IF(D322=0,"",AVERAGEIFS(Market_Panel!$P$2:$P$2705,Market_Panel!$A$2:$A$2705,B322,Market_Panel!$B$2:$B$2705,"&gt;="&amp;$B$14,Market_Panel!$B$2:$B$2705,"&lt;="&amp;$C$14))</f>
        <v>-0.827460898862324</v>
      </c>
      <c r="G322" s="11" t="n">
        <f aca="false">IF(D322=0,"",AVERAGEIFS(Market_Panel!$R$2:$R$2705,Market_Panel!$A$2:$A$2705,B322,Market_Panel!$B$2:$B$2705,"&gt;="&amp;$B$14,Market_Panel!$B$2:$B$2705,"&lt;="&amp;$C$14))</f>
        <v>1</v>
      </c>
      <c r="H322" s="11" t="n">
        <f aca="false">IF(OR(D322=0,$H$14=0),0,AVERAGEIFS(Market_Panel!$Y$2:$Y$2705,Market_Panel!$A$2:$A$2705,B322,Market_Panel!$B$2:$B$2705,"&gt;="&amp;$B$14,Market_Panel!$B$2:$B$2705,"&lt;="&amp;$C$14))</f>
        <v>0</v>
      </c>
      <c r="I322" s="10" t="n">
        <f aca="false">IF(D322=0,"",$I$14+$F$14*F322+$G$14*G322+$H$14*H322)</f>
        <v>-0.0407245940146457</v>
      </c>
      <c r="J322" s="5" t="n">
        <f aca="false">IF(D322&lt;5,"",(E322-I322)*162)</f>
        <v>-2.7253104704184</v>
      </c>
      <c r="K322" s="5" t="n">
        <f aca="false">IF(D322=0,"",E322*162)</f>
        <v>-9.322694700791</v>
      </c>
      <c r="L322" s="3" t="n">
        <f aca="false">SUMIFS(Seasons!$L$2:$L$2865,Seasons!$A$2:$A$2865,B322,Seasons!$B$2:$B$2865,"&gt;="&amp;$B$14,Seasons!$B$2:$B$2865,"&lt;="&amp;$C$14)</f>
        <v>1</v>
      </c>
      <c r="M322" s="3" t="n">
        <f aca="false">SUMIFS(Seasons!$N$2:$N$2865,Seasons!$A$2:$A$2865,B322,Seasons!$B$2:$B$2865,"&gt;="&amp;$B$14,Seasons!$B$2:$B$2865,"&lt;="&amp;$C$14)</f>
        <v>1</v>
      </c>
      <c r="N322" s="3" t="n">
        <f aca="false">IF(J322="",-1000000,J322+ROW()*0.000000001)</f>
        <v>-2.7253101484184</v>
      </c>
      <c r="O322" s="3" t="n">
        <f aca="false">IF(J322="","",SUMPRODUCT(($A$25:$A$534=A322)*($N$25:$N$534&gt;N322))+1)</f>
        <v>20</v>
      </c>
      <c r="P322" s="3" t="str">
        <f aca="false">A322&amp;"|"&amp;O322</f>
        <v>1990s|20</v>
      </c>
    </row>
    <row r="323" customFormat="false" ht="15" hidden="false" customHeight="true" outlineLevel="0" collapsed="false">
      <c r="A323" s="1" t="s">
        <v>18</v>
      </c>
      <c r="B323" s="7" t="s">
        <v>84</v>
      </c>
      <c r="C323" s="1" t="s">
        <v>72</v>
      </c>
      <c r="D323" s="3" t="n">
        <f aca="false">COUNTIFS(Market_Panel!$A$2:$A$2705,B323,Market_Panel!$B$2:$B$2705,"&gt;="&amp;$B$14,Market_Panel!$B$2:$B$2705,"&lt;="&amp;$C$14)</f>
        <v>2</v>
      </c>
      <c r="E323" s="10" t="n">
        <f aca="false">IF(D323=0,"",AVERAGEIFS(Market_Panel!$M$2:$M$2705,Market_Panel!$A$2:$A$2705,B323,Market_Panel!$B$2:$B$2705,"&gt;="&amp;$B$14,Market_Panel!$B$2:$B$2705,"&lt;="&amp;$C$14))</f>
        <v>0.00934913483297681</v>
      </c>
      <c r="F323" s="11" t="n">
        <f aca="false">IF(D323=0,"",AVERAGEIFS(Market_Panel!$P$2:$P$2705,Market_Panel!$A$2:$A$2705,B323,Market_Panel!$B$2:$B$2705,"&gt;="&amp;$B$14,Market_Panel!$B$2:$B$2705,"&lt;="&amp;$C$14))</f>
        <v>0.422412527532829</v>
      </c>
      <c r="G323" s="11" t="n">
        <f aca="false">IF(D323=0,"",AVERAGEIFS(Market_Panel!$R$2:$R$2705,Market_Panel!$A$2:$A$2705,B323,Market_Panel!$B$2:$B$2705,"&gt;="&amp;$B$14,Market_Panel!$B$2:$B$2705,"&lt;="&amp;$C$14))</f>
        <v>1</v>
      </c>
      <c r="H323" s="11" t="n">
        <f aca="false">IF(OR(D323=0,$H$14=0),0,AVERAGEIFS(Market_Panel!$Y$2:$Y$2705,Market_Panel!$A$2:$A$2705,B323,Market_Panel!$B$2:$B$2705,"&gt;="&amp;$B$14,Market_Panel!$B$2:$B$2705,"&lt;="&amp;$C$14))</f>
        <v>0</v>
      </c>
      <c r="I323" s="10" t="n">
        <f aca="false">IF(D323=0,"",$I$14+$F$14*F323+$G$14*G323+$H$14*H323)</f>
        <v>-0.038141204439623</v>
      </c>
      <c r="J323" s="5" t="str">
        <f aca="false">IF(D323&lt;5,"",(E323-I323)*162)</f>
        <v/>
      </c>
      <c r="K323" s="5" t="n">
        <f aca="false">IF(D323=0,"",E323*162)</f>
        <v>1.51455984294224</v>
      </c>
      <c r="L323" s="3" t="n">
        <f aca="false">SUMIFS(Seasons!$L$2:$L$2865,Seasons!$A$2:$A$2865,B323,Seasons!$B$2:$B$2865,"&gt;="&amp;$B$14,Seasons!$B$2:$B$2865,"&lt;="&amp;$C$14)</f>
        <v>1</v>
      </c>
      <c r="M323" s="3" t="n">
        <f aca="false">SUMIFS(Seasons!$N$2:$N$2865,Seasons!$A$2:$A$2865,B323,Seasons!$B$2:$B$2865,"&gt;="&amp;$B$14,Seasons!$B$2:$B$2865,"&lt;="&amp;$C$14)</f>
        <v>0</v>
      </c>
      <c r="N323" s="3" t="n">
        <f aca="false">IF(J323="",-1000000,J323+ROW()*0.000000001)</f>
        <v>-1000000</v>
      </c>
      <c r="O323" s="3" t="str">
        <f aca="false">IF(J323="","",SUMPRODUCT(($A$25:$A$534=A323)*($N$25:$N$534&gt;N323))+1)</f>
        <v/>
      </c>
      <c r="P323" s="3" t="str">
        <f aca="false">A323&amp;"|"&amp;O323</f>
        <v>1990s|</v>
      </c>
    </row>
    <row r="324" customFormat="false" ht="15" hidden="false" customHeight="true" outlineLevel="0" collapsed="false">
      <c r="A324" s="1" t="s">
        <v>18</v>
      </c>
      <c r="B324" s="7" t="s">
        <v>85</v>
      </c>
      <c r="C324" s="1" t="s">
        <v>72</v>
      </c>
      <c r="D324" s="3" t="n">
        <f aca="false">COUNTIFS(Market_Panel!$A$2:$A$2705,B324,Market_Panel!$B$2:$B$2705,"&gt;="&amp;$B$14,Market_Panel!$B$2:$B$2705,"&lt;="&amp;$C$14)</f>
        <v>2</v>
      </c>
      <c r="E324" s="10" t="n">
        <f aca="false">IF(D324=0,"",AVERAGEIFS(Market_Panel!$M$2:$M$2705,Market_Panel!$A$2:$A$2705,B324,Market_Panel!$B$2:$B$2705,"&gt;="&amp;$B$14,Market_Panel!$B$2:$B$2705,"&lt;="&amp;$C$14))</f>
        <v>-0.092502717018875</v>
      </c>
      <c r="F324" s="11" t="n">
        <f aca="false">IF(D324=0,"",AVERAGEIFS(Market_Panel!$P$2:$P$2705,Market_Panel!$A$2:$A$2705,B324,Market_Panel!$B$2:$B$2705,"&gt;="&amp;$B$14,Market_Panel!$B$2:$B$2705,"&lt;="&amp;$C$14))</f>
        <v>-1.01633953998578</v>
      </c>
      <c r="G324" s="11" t="n">
        <f aca="false">IF(D324=0,"",AVERAGEIFS(Market_Panel!$R$2:$R$2705,Market_Panel!$A$2:$A$2705,B324,Market_Panel!$B$2:$B$2705,"&gt;="&amp;$B$14,Market_Panel!$B$2:$B$2705,"&lt;="&amp;$C$14))</f>
        <v>1</v>
      </c>
      <c r="H324" s="11" t="n">
        <f aca="false">IF(OR(D324=0,$H$14=0),0,AVERAGEIFS(Market_Panel!$Y$2:$Y$2705,Market_Panel!$A$2:$A$2705,B324,Market_Panel!$B$2:$B$2705,"&gt;="&amp;$B$14,Market_Panel!$B$2:$B$2705,"&lt;="&amp;$C$14))</f>
        <v>0</v>
      </c>
      <c r="I324" s="10" t="n">
        <f aca="false">IF(D324=0,"",$I$14+$F$14*F324+$G$14*G324+$H$14*H324)</f>
        <v>-0.0411149912357708</v>
      </c>
      <c r="J324" s="5" t="str">
        <f aca="false">IF(D324&lt;5,"",(E324-I324)*162)</f>
        <v/>
      </c>
      <c r="K324" s="5" t="n">
        <f aca="false">IF(D324=0,"",E324*162)</f>
        <v>-14.9854401570578</v>
      </c>
      <c r="L324" s="3" t="n">
        <f aca="false">SUMIFS(Seasons!$L$2:$L$2865,Seasons!$A$2:$A$2865,B324,Seasons!$B$2:$B$2865,"&gt;="&amp;$B$14,Seasons!$B$2:$B$2865,"&lt;="&amp;$C$14)</f>
        <v>0</v>
      </c>
      <c r="M324" s="3" t="n">
        <f aca="false">SUMIFS(Seasons!$N$2:$N$2865,Seasons!$A$2:$A$2865,B324,Seasons!$B$2:$B$2865,"&gt;="&amp;$B$14,Seasons!$B$2:$B$2865,"&lt;="&amp;$C$14)</f>
        <v>0</v>
      </c>
      <c r="N324" s="3" t="n">
        <f aca="false">IF(J324="",-1000000,J324+ROW()*0.000000001)</f>
        <v>-1000000</v>
      </c>
      <c r="O324" s="3" t="str">
        <f aca="false">IF(J324="","",SUMPRODUCT(($A$25:$A$534=A324)*($N$25:$N$534&gt;N324))+1)</f>
        <v/>
      </c>
      <c r="P324" s="3" t="str">
        <f aca="false">A324&amp;"|"&amp;O324</f>
        <v>1990s|</v>
      </c>
    </row>
    <row r="325" customFormat="false" ht="15" hidden="false" customHeight="true" outlineLevel="0" collapsed="false">
      <c r="A325" s="1" t="s">
        <v>19</v>
      </c>
      <c r="B325" s="7" t="s">
        <v>54</v>
      </c>
      <c r="C325" s="1" t="s">
        <v>55</v>
      </c>
      <c r="D325" s="3" t="n">
        <f aca="false">COUNTIFS(Market_Panel!$A$2:$A$2705,B325,Market_Panel!$B$2:$B$2705,"&gt;="&amp;$B$15,Market_Panel!$B$2:$B$2705,"&lt;="&amp;$C$15)</f>
        <v>10</v>
      </c>
      <c r="E325" s="10" t="n">
        <f aca="false">IF(D325=0,"",AVERAGEIFS(Market_Panel!$M$2:$M$2705,Market_Panel!$A$2:$A$2705,B325,Market_Panel!$B$2:$B$2705,"&gt;="&amp;$B$15,Market_Panel!$B$2:$B$2705,"&lt;="&amp;$C$15))</f>
        <v>0.0514051752424985</v>
      </c>
      <c r="F325" s="11" t="n">
        <f aca="false">IF(D325=0,"",AVERAGEIFS(Market_Panel!$P$2:$P$2705,Market_Panel!$A$2:$A$2705,B325,Market_Panel!$B$2:$B$2705,"&gt;="&amp;$B$15,Market_Panel!$B$2:$B$2705,"&lt;="&amp;$C$15))</f>
        <v>-0.68672657379917</v>
      </c>
      <c r="G325" s="11" t="n">
        <f aca="false">IF(D325=0,"",AVERAGEIFS(Market_Panel!$R$2:$R$2705,Market_Panel!$A$2:$A$2705,B325,Market_Panel!$B$2:$B$2705,"&gt;="&amp;$B$15,Market_Panel!$B$2:$B$2705,"&lt;="&amp;$C$15))</f>
        <v>0</v>
      </c>
      <c r="H325" s="11" t="n">
        <f aca="false">IF(OR(D325=0,$H$15=0),0,AVERAGEIFS(Market_Panel!$Y$2:$Y$2705,Market_Panel!$A$2:$A$2705,B325,Market_Panel!$B$2:$B$2705,"&gt;="&amp;$B$15,Market_Panel!$B$2:$B$2705,"&lt;="&amp;$C$15))</f>
        <v>0</v>
      </c>
      <c r="I325" s="10" t="n">
        <f aca="false">IF(D325=0,"",$I$15+$F$15*F325+$G$15*G325+$H$15*H325)</f>
        <v>-0.00941592447848638</v>
      </c>
      <c r="J325" s="5" t="n">
        <f aca="false">IF(D325&lt;5,"",(E325-I325)*162)</f>
        <v>9.85301815479956</v>
      </c>
      <c r="K325" s="5" t="n">
        <f aca="false">IF(D325=0,"",E325*162)</f>
        <v>8.32763838928477</v>
      </c>
      <c r="L325" s="3" t="n">
        <f aca="false">SUMIFS(Seasons!$L$2:$L$2865,Seasons!$A$2:$A$2865,B325,Seasons!$B$2:$B$2865,"&gt;="&amp;$B$15,Seasons!$B$2:$B$2865,"&lt;="&amp;$C$15)</f>
        <v>6</v>
      </c>
      <c r="M325" s="3" t="n">
        <f aca="false">SUMIFS(Seasons!$N$2:$N$2865,Seasons!$A$2:$A$2865,B325,Seasons!$B$2:$B$2865,"&gt;="&amp;$B$15,Seasons!$B$2:$B$2865,"&lt;="&amp;$C$15)</f>
        <v>0</v>
      </c>
      <c r="N325" s="3" t="n">
        <f aca="false">IF(J325="",-1000000,J325+ROW()*0.000000001)</f>
        <v>9.85301847979956</v>
      </c>
      <c r="O325" s="3" t="n">
        <f aca="false">IF(J325="","",SUMPRODUCT(($A$25:$A$534=A325)*($N$25:$N$534&gt;N325))+1)</f>
        <v>4</v>
      </c>
      <c r="P325" s="3" t="str">
        <f aca="false">A325&amp;"|"&amp;O325</f>
        <v>2000s|4</v>
      </c>
    </row>
    <row r="326" customFormat="false" ht="15" hidden="false" customHeight="true" outlineLevel="0" collapsed="false">
      <c r="A326" s="1" t="s">
        <v>19</v>
      </c>
      <c r="B326" s="7" t="s">
        <v>56</v>
      </c>
      <c r="C326" s="1" t="s">
        <v>55</v>
      </c>
      <c r="D326" s="3" t="n">
        <f aca="false">COUNTIFS(Market_Panel!$A$2:$A$2705,B326,Market_Panel!$B$2:$B$2705,"&gt;="&amp;$B$15,Market_Panel!$B$2:$B$2705,"&lt;="&amp;$C$15)</f>
        <v>10</v>
      </c>
      <c r="E326" s="10" t="n">
        <f aca="false">IF(D326=0,"",AVERAGEIFS(Market_Panel!$M$2:$M$2705,Market_Panel!$A$2:$A$2705,B326,Market_Panel!$B$2:$B$2705,"&gt;="&amp;$B$15,Market_Panel!$B$2:$B$2705,"&lt;="&amp;$C$15))</f>
        <v>-0.00115315042271118</v>
      </c>
      <c r="F326" s="11" t="n">
        <f aca="false">IF(D326=0,"",AVERAGEIFS(Market_Panel!$P$2:$P$2705,Market_Panel!$A$2:$A$2705,B326,Market_Panel!$B$2:$B$2705,"&gt;="&amp;$B$15,Market_Panel!$B$2:$B$2705,"&lt;="&amp;$C$15))</f>
        <v>0.523324303311797</v>
      </c>
      <c r="G326" s="11" t="n">
        <f aca="false">IF(D326=0,"",AVERAGEIFS(Market_Panel!$R$2:$R$2705,Market_Panel!$A$2:$A$2705,B326,Market_Panel!$B$2:$B$2705,"&gt;="&amp;$B$15,Market_Panel!$B$2:$B$2705,"&lt;="&amp;$C$15))</f>
        <v>0</v>
      </c>
      <c r="H326" s="11" t="n">
        <f aca="false">IF(OR(D326=0,$H$15=0),0,AVERAGEIFS(Market_Panel!$Y$2:$Y$2705,Market_Panel!$A$2:$A$2705,B326,Market_Panel!$B$2:$B$2705,"&gt;="&amp;$B$15,Market_Panel!$B$2:$B$2705,"&lt;="&amp;$C$15))</f>
        <v>0</v>
      </c>
      <c r="I326" s="10" t="n">
        <f aca="false">IF(D326=0,"",$I$15+$F$15*F326+$G$15*G326+$H$15*H326)</f>
        <v>0.0122748550531692</v>
      </c>
      <c r="J326" s="5" t="n">
        <f aca="false">IF(D326&lt;5,"",(E326-I326)*162)</f>
        <v>-2.17533688709262</v>
      </c>
      <c r="K326" s="5" t="n">
        <f aca="false">IF(D326=0,"",E326*162)</f>
        <v>-0.186810368479211</v>
      </c>
      <c r="L326" s="3" t="n">
        <f aca="false">SUMIFS(Seasons!$L$2:$L$2865,Seasons!$A$2:$A$2865,B326,Seasons!$B$2:$B$2865,"&gt;="&amp;$B$15,Seasons!$B$2:$B$2865,"&lt;="&amp;$C$15)</f>
        <v>3</v>
      </c>
      <c r="M326" s="3" t="n">
        <f aca="false">SUMIFS(Seasons!$N$2:$N$2865,Seasons!$A$2:$A$2865,B326,Seasons!$B$2:$B$2865,"&gt;="&amp;$B$15,Seasons!$B$2:$B$2865,"&lt;="&amp;$C$15)</f>
        <v>0</v>
      </c>
      <c r="N326" s="3" t="n">
        <f aca="false">IF(J326="",-1000000,J326+ROW()*0.000000001)</f>
        <v>-2.17533656109262</v>
      </c>
      <c r="O326" s="3" t="n">
        <f aca="false">IF(J326="","",SUMPRODUCT(($A$25:$A$534=A326)*($N$25:$N$534&gt;N326))+1)</f>
        <v>18</v>
      </c>
      <c r="P326" s="3" t="str">
        <f aca="false">A326&amp;"|"&amp;O326</f>
        <v>2000s|18</v>
      </c>
    </row>
    <row r="327" customFormat="false" ht="15" hidden="false" customHeight="true" outlineLevel="0" collapsed="false">
      <c r="A327" s="1" t="s">
        <v>19</v>
      </c>
      <c r="B327" s="7" t="s">
        <v>57</v>
      </c>
      <c r="C327" s="1" t="s">
        <v>55</v>
      </c>
      <c r="D327" s="3" t="n">
        <f aca="false">COUNTIFS(Market_Panel!$A$2:$A$2705,B327,Market_Panel!$B$2:$B$2705,"&gt;="&amp;$B$15,Market_Panel!$B$2:$B$2705,"&lt;="&amp;$C$15)</f>
        <v>10</v>
      </c>
      <c r="E327" s="10" t="n">
        <f aca="false">IF(D327=0,"",AVERAGEIFS(Market_Panel!$M$2:$M$2705,Market_Panel!$A$2:$A$2705,B327,Market_Panel!$B$2:$B$2705,"&gt;="&amp;$B$15,Market_Panel!$B$2:$B$2705,"&lt;="&amp;$C$15))</f>
        <v>-0.0364111827821928</v>
      </c>
      <c r="F327" s="11" t="n">
        <f aca="false">IF(D327=0,"",AVERAGEIFS(Market_Panel!$P$2:$P$2705,Market_Panel!$A$2:$A$2705,B327,Market_Panel!$B$2:$B$2705,"&gt;="&amp;$B$15,Market_Panel!$B$2:$B$2705,"&lt;="&amp;$C$15))</f>
        <v>-0.968616069037615</v>
      </c>
      <c r="G327" s="11" t="n">
        <f aca="false">IF(D327=0,"",AVERAGEIFS(Market_Panel!$R$2:$R$2705,Market_Panel!$A$2:$A$2705,B327,Market_Panel!$B$2:$B$2705,"&gt;="&amp;$B$15,Market_Panel!$B$2:$B$2705,"&lt;="&amp;$C$15))</f>
        <v>0</v>
      </c>
      <c r="H327" s="11" t="n">
        <f aca="false">IF(OR(D327=0,$H$15=0),0,AVERAGEIFS(Market_Panel!$Y$2:$Y$2705,Market_Panel!$A$2:$A$2705,B327,Market_Panel!$B$2:$B$2705,"&gt;="&amp;$B$15,Market_Panel!$B$2:$B$2705,"&lt;="&amp;$C$15))</f>
        <v>0</v>
      </c>
      <c r="I327" s="10" t="n">
        <f aca="false">IF(D327=0,"",$I$15+$F$15*F327+$G$15*G327+$H$15*H327)</f>
        <v>-0.0144689375452635</v>
      </c>
      <c r="J327" s="5" t="n">
        <f aca="false">IF(D327&lt;5,"",(E327-I327)*162)</f>
        <v>-3.55464372838256</v>
      </c>
      <c r="K327" s="5" t="n">
        <f aca="false">IF(D327=0,"",E327*162)</f>
        <v>-5.89861161071524</v>
      </c>
      <c r="L327" s="3" t="n">
        <f aca="false">SUMIFS(Seasons!$L$2:$L$2865,Seasons!$A$2:$A$2865,B327,Seasons!$B$2:$B$2865,"&gt;="&amp;$B$15,Seasons!$B$2:$B$2865,"&lt;="&amp;$C$15)</f>
        <v>0</v>
      </c>
      <c r="M327" s="3" t="n">
        <f aca="false">SUMIFS(Seasons!$N$2:$N$2865,Seasons!$A$2:$A$2865,B327,Seasons!$B$2:$B$2865,"&gt;="&amp;$B$15,Seasons!$B$2:$B$2865,"&lt;="&amp;$C$15)</f>
        <v>0</v>
      </c>
      <c r="N327" s="3" t="n">
        <f aca="false">IF(J327="",-1000000,J327+ROW()*0.000000001)</f>
        <v>-3.55464340138256</v>
      </c>
      <c r="O327" s="3" t="n">
        <f aca="false">IF(J327="","",SUMPRODUCT(($A$25:$A$534=A327)*($N$25:$N$534&gt;N327))+1)</f>
        <v>19</v>
      </c>
      <c r="P327" s="3" t="str">
        <f aca="false">A327&amp;"|"&amp;O327</f>
        <v>2000s|19</v>
      </c>
    </row>
    <row r="328" customFormat="false" ht="15" hidden="false" customHeight="true" outlineLevel="0" collapsed="false">
      <c r="A328" s="1" t="s">
        <v>19</v>
      </c>
      <c r="B328" s="7" t="s">
        <v>58</v>
      </c>
      <c r="C328" s="1" t="s">
        <v>55</v>
      </c>
      <c r="D328" s="3" t="n">
        <f aca="false">COUNTIFS(Market_Panel!$A$2:$A$2705,B328,Market_Panel!$B$2:$B$2705,"&gt;="&amp;$B$15,Market_Panel!$B$2:$B$2705,"&lt;="&amp;$C$15)</f>
        <v>10</v>
      </c>
      <c r="E328" s="10" t="n">
        <f aca="false">IF(D328=0,"",AVERAGEIFS(Market_Panel!$M$2:$M$2705,Market_Panel!$A$2:$A$2705,B328,Market_Panel!$B$2:$B$2705,"&gt;="&amp;$B$15,Market_Panel!$B$2:$B$2705,"&lt;="&amp;$C$15))</f>
        <v>-0.078831242593557</v>
      </c>
      <c r="F328" s="11" t="n">
        <f aca="false">IF(D328=0,"",AVERAGEIFS(Market_Panel!$P$2:$P$2705,Market_Panel!$A$2:$A$2705,B328,Market_Panel!$B$2:$B$2705,"&gt;="&amp;$B$15,Market_Panel!$B$2:$B$2705,"&lt;="&amp;$C$15))</f>
        <v>-0.950115974683354</v>
      </c>
      <c r="G328" s="11" t="n">
        <f aca="false">IF(D328=0,"",AVERAGEIFS(Market_Panel!$R$2:$R$2705,Market_Panel!$A$2:$A$2705,B328,Market_Panel!$B$2:$B$2705,"&gt;="&amp;$B$15,Market_Panel!$B$2:$B$2705,"&lt;="&amp;$C$15))</f>
        <v>0</v>
      </c>
      <c r="H328" s="11" t="n">
        <f aca="false">IF(OR(D328=0,$H$15=0),0,AVERAGEIFS(Market_Panel!$Y$2:$Y$2705,Market_Panel!$A$2:$A$2705,B328,Market_Panel!$B$2:$B$2705,"&gt;="&amp;$B$15,Market_Panel!$B$2:$B$2705,"&lt;="&amp;$C$15))</f>
        <v>0</v>
      </c>
      <c r="I328" s="10" t="n">
        <f aca="false">IF(D328=0,"",$I$15+$F$15*F328+$G$15*G328+$H$15*H328)</f>
        <v>-0.0141373139122877</v>
      </c>
      <c r="J328" s="5" t="n">
        <f aca="false">IF(D328&lt;5,"",(E328-I328)*162)</f>
        <v>-10.4804164463656</v>
      </c>
      <c r="K328" s="5" t="n">
        <f aca="false">IF(D328=0,"",E328*162)</f>
        <v>-12.7706613001562</v>
      </c>
      <c r="L328" s="3" t="n">
        <f aca="false">SUMIFS(Seasons!$L$2:$L$2865,Seasons!$A$2:$A$2865,B328,Seasons!$B$2:$B$2865,"&gt;="&amp;$B$15,Seasons!$B$2:$B$2865,"&lt;="&amp;$C$15)</f>
        <v>0</v>
      </c>
      <c r="M328" s="3" t="n">
        <f aca="false">SUMIFS(Seasons!$N$2:$N$2865,Seasons!$A$2:$A$2865,B328,Seasons!$B$2:$B$2865,"&gt;="&amp;$B$15,Seasons!$B$2:$B$2865,"&lt;="&amp;$C$15)</f>
        <v>0</v>
      </c>
      <c r="N328" s="3" t="n">
        <f aca="false">IF(J328="",-1000000,J328+ROW()*0.000000001)</f>
        <v>-10.4804161183656</v>
      </c>
      <c r="O328" s="3" t="n">
        <f aca="false">IF(J328="","",SUMPRODUCT(($A$25:$A$534=A328)*($N$25:$N$534&gt;N328))+1)</f>
        <v>28</v>
      </c>
      <c r="P328" s="3" t="str">
        <f aca="false">A328&amp;"|"&amp;O328</f>
        <v>2000s|28</v>
      </c>
    </row>
    <row r="329" customFormat="false" ht="15" hidden="false" customHeight="true" outlineLevel="0" collapsed="false">
      <c r="A329" s="1" t="s">
        <v>19</v>
      </c>
      <c r="B329" s="7" t="s">
        <v>59</v>
      </c>
      <c r="C329" s="1" t="s">
        <v>55</v>
      </c>
      <c r="D329" s="3" t="n">
        <f aca="false">COUNTIFS(Market_Panel!$A$2:$A$2705,B329,Market_Panel!$B$2:$B$2705,"&gt;="&amp;$B$15,Market_Panel!$B$2:$B$2705,"&lt;="&amp;$C$15)</f>
        <v>10</v>
      </c>
      <c r="E329" s="10" t="n">
        <f aca="false">IF(D329=0,"",AVERAGEIFS(Market_Panel!$M$2:$M$2705,Market_Panel!$A$2:$A$2705,B329,Market_Panel!$B$2:$B$2705,"&gt;="&amp;$B$15,Market_Panel!$B$2:$B$2705,"&lt;="&amp;$C$15))</f>
        <v>0.0639070443476285</v>
      </c>
      <c r="F329" s="11" t="n">
        <f aca="false">IF(D329=0,"",AVERAGEIFS(Market_Panel!$P$2:$P$2705,Market_Panel!$A$2:$A$2705,B329,Market_Panel!$B$2:$B$2705,"&gt;="&amp;$B$15,Market_Panel!$B$2:$B$2705,"&lt;="&amp;$C$15))</f>
        <v>-0.908587098741972</v>
      </c>
      <c r="G329" s="11" t="n">
        <f aca="false">IF(D329=0,"",AVERAGEIFS(Market_Panel!$R$2:$R$2705,Market_Panel!$A$2:$A$2705,B329,Market_Panel!$B$2:$B$2705,"&gt;="&amp;$B$15,Market_Panel!$B$2:$B$2705,"&lt;="&amp;$C$15))</f>
        <v>0</v>
      </c>
      <c r="H329" s="11" t="n">
        <f aca="false">IF(OR(D329=0,$H$15=0),0,AVERAGEIFS(Market_Panel!$Y$2:$Y$2705,Market_Panel!$A$2:$A$2705,B329,Market_Panel!$B$2:$B$2705,"&gt;="&amp;$B$15,Market_Panel!$B$2:$B$2705,"&lt;="&amp;$C$15))</f>
        <v>0</v>
      </c>
      <c r="I329" s="10" t="n">
        <f aca="false">IF(D329=0,"",$I$15+$F$15*F329+$G$15*G329+$H$15*H329)</f>
        <v>-0.0133928876164342</v>
      </c>
      <c r="J329" s="5" t="n">
        <f aca="false">IF(D329&lt;5,"",(E329-I329)*162)</f>
        <v>12.5225889781782</v>
      </c>
      <c r="K329" s="5" t="n">
        <f aca="false">IF(D329=0,"",E329*162)</f>
        <v>10.3529411843158</v>
      </c>
      <c r="L329" s="3" t="n">
        <f aca="false">SUMIFS(Seasons!$L$2:$L$2865,Seasons!$A$2:$A$2865,B329,Seasons!$B$2:$B$2865,"&gt;="&amp;$B$15,Seasons!$B$2:$B$2865,"&lt;="&amp;$C$15)</f>
        <v>7</v>
      </c>
      <c r="M329" s="3" t="n">
        <f aca="false">SUMIFS(Seasons!$N$2:$N$2865,Seasons!$A$2:$A$2865,B329,Seasons!$B$2:$B$2865,"&gt;="&amp;$B$15,Seasons!$B$2:$B$2865,"&lt;="&amp;$C$15)</f>
        <v>1</v>
      </c>
      <c r="N329" s="3" t="n">
        <f aca="false">IF(J329="",-1000000,J329+ROW()*0.000000001)</f>
        <v>12.5225893071782</v>
      </c>
      <c r="O329" s="3" t="n">
        <f aca="false">IF(J329="","",SUMPRODUCT(($A$25:$A$534=A329)*($N$25:$N$534&gt;N329))+1)</f>
        <v>1</v>
      </c>
      <c r="P329" s="3" t="str">
        <f aca="false">A329&amp;"|"&amp;O329</f>
        <v>2000s|1</v>
      </c>
    </row>
    <row r="330" customFormat="false" ht="15" hidden="false" customHeight="true" outlineLevel="0" collapsed="false">
      <c r="A330" s="1" t="s">
        <v>19</v>
      </c>
      <c r="B330" s="7" t="s">
        <v>60</v>
      </c>
      <c r="C330" s="1" t="s">
        <v>55</v>
      </c>
      <c r="D330" s="3" t="n">
        <f aca="false">COUNTIFS(Market_Panel!$A$2:$A$2705,B330,Market_Panel!$B$2:$B$2705,"&gt;="&amp;$B$15,Market_Panel!$B$2:$B$2705,"&lt;="&amp;$C$15)</f>
        <v>10</v>
      </c>
      <c r="E330" s="10" t="n">
        <f aca="false">IF(D330=0,"",AVERAGEIFS(Market_Panel!$M$2:$M$2705,Market_Panel!$A$2:$A$2705,B330,Market_Panel!$B$2:$B$2705,"&gt;="&amp;$B$15,Market_Panel!$B$2:$B$2705,"&lt;="&amp;$C$15))</f>
        <v>0.0250066532733244</v>
      </c>
      <c r="F330" s="11" t="n">
        <f aca="false">IF(D330=0,"",AVERAGEIFS(Market_Panel!$P$2:$P$2705,Market_Panel!$A$2:$A$2705,B330,Market_Panel!$B$2:$B$2705,"&gt;="&amp;$B$15,Market_Panel!$B$2:$B$2705,"&lt;="&amp;$C$15))</f>
        <v>0.605005346657238</v>
      </c>
      <c r="G330" s="11" t="n">
        <f aca="false">IF(D330=0,"",AVERAGEIFS(Market_Panel!$R$2:$R$2705,Market_Panel!$A$2:$A$2705,B330,Market_Panel!$B$2:$B$2705,"&gt;="&amp;$B$15,Market_Panel!$B$2:$B$2705,"&lt;="&amp;$C$15))</f>
        <v>0</v>
      </c>
      <c r="H330" s="11" t="n">
        <f aca="false">IF(OR(D330=0,$H$15=0),0,AVERAGEIFS(Market_Panel!$Y$2:$Y$2705,Market_Panel!$A$2:$A$2705,B330,Market_Panel!$B$2:$B$2705,"&gt;="&amp;$B$15,Market_Panel!$B$2:$B$2705,"&lt;="&amp;$C$15))</f>
        <v>0</v>
      </c>
      <c r="I330" s="10" t="n">
        <f aca="false">IF(D330=0,"",$I$15+$F$15*F330+$G$15*G330+$H$15*H330)</f>
        <v>0.0137390294417301</v>
      </c>
      <c r="J330" s="5" t="n">
        <f aca="false">IF(D330&lt;5,"",(E330-I330)*162)</f>
        <v>1.82535506071828</v>
      </c>
      <c r="K330" s="5" t="n">
        <f aca="false">IF(D330=0,"",E330*162)</f>
        <v>4.05107783027856</v>
      </c>
      <c r="L330" s="3" t="n">
        <f aca="false">SUMIFS(Seasons!$L$2:$L$2865,Seasons!$A$2:$A$2865,B330,Seasons!$B$2:$B$2865,"&gt;="&amp;$B$15,Seasons!$B$2:$B$2865,"&lt;="&amp;$C$15)</f>
        <v>3</v>
      </c>
      <c r="M330" s="3" t="n">
        <f aca="false">SUMIFS(Seasons!$N$2:$N$2865,Seasons!$A$2:$A$2865,B330,Seasons!$B$2:$B$2865,"&gt;="&amp;$B$15,Seasons!$B$2:$B$2865,"&lt;="&amp;$C$15)</f>
        <v>1</v>
      </c>
      <c r="N330" s="3" t="n">
        <f aca="false">IF(J330="",-1000000,J330+ROW()*0.000000001)</f>
        <v>1.82535539071828</v>
      </c>
      <c r="O330" s="3" t="n">
        <f aca="false">IF(J330="","",SUMPRODUCT(($A$25:$A$534=A330)*($N$25:$N$534&gt;N330))+1)</f>
        <v>15</v>
      </c>
      <c r="P330" s="3" t="str">
        <f aca="false">A330&amp;"|"&amp;O330</f>
        <v>2000s|15</v>
      </c>
    </row>
    <row r="331" customFormat="false" ht="15" hidden="false" customHeight="true" outlineLevel="0" collapsed="false">
      <c r="A331" s="1" t="s">
        <v>19</v>
      </c>
      <c r="B331" s="7" t="s">
        <v>61</v>
      </c>
      <c r="C331" s="1" t="s">
        <v>55</v>
      </c>
      <c r="D331" s="3" t="n">
        <f aca="false">COUNTIFS(Market_Panel!$A$2:$A$2705,B331,Market_Panel!$B$2:$B$2705,"&gt;="&amp;$B$15,Market_Panel!$B$2:$B$2705,"&lt;="&amp;$C$15)</f>
        <v>10</v>
      </c>
      <c r="E331" s="10" t="n">
        <f aca="false">IF(D331=0,"",AVERAGEIFS(Market_Panel!$M$2:$M$2705,Market_Panel!$A$2:$A$2705,B331,Market_Panel!$B$2:$B$2705,"&gt;="&amp;$B$15,Market_Panel!$B$2:$B$2705,"&lt;="&amp;$C$15))</f>
        <v>0.0288253788311804</v>
      </c>
      <c r="F331" s="11" t="n">
        <f aca="false">IF(D331=0,"",AVERAGEIFS(Market_Panel!$P$2:$P$2705,Market_Panel!$A$2:$A$2705,B331,Market_Panel!$B$2:$B$2705,"&gt;="&amp;$B$15,Market_Panel!$B$2:$B$2705,"&lt;="&amp;$C$15))</f>
        <v>-0.0510340910162917</v>
      </c>
      <c r="G331" s="11" t="n">
        <f aca="false">IF(D331=0,"",AVERAGEIFS(Market_Panel!$R$2:$R$2705,Market_Panel!$A$2:$A$2705,B331,Market_Panel!$B$2:$B$2705,"&gt;="&amp;$B$15,Market_Panel!$B$2:$B$2705,"&lt;="&amp;$C$15))</f>
        <v>0</v>
      </c>
      <c r="H331" s="11" t="n">
        <f aca="false">IF(OR(D331=0,$H$15=0),0,AVERAGEIFS(Market_Panel!$Y$2:$Y$2705,Market_Panel!$A$2:$A$2705,B331,Market_Panel!$B$2:$B$2705,"&gt;="&amp;$B$15,Market_Panel!$B$2:$B$2705,"&lt;="&amp;$C$15))</f>
        <v>0</v>
      </c>
      <c r="I331" s="10" t="n">
        <f aca="false">IF(D331=0,"",$I$15+$F$15*F331+$G$15*G331+$H$15*H331)</f>
        <v>0.00197918770629632</v>
      </c>
      <c r="J331" s="5" t="n">
        <f aca="false">IF(D331&lt;5,"",(E331-I331)*162)</f>
        <v>4.34908296223122</v>
      </c>
      <c r="K331" s="5" t="n">
        <f aca="false">IF(D331=0,"",E331*162)</f>
        <v>4.66971137065123</v>
      </c>
      <c r="L331" s="3" t="n">
        <f aca="false">SUMIFS(Seasons!$L$2:$L$2865,Seasons!$A$2:$A$2865,B331,Seasons!$B$2:$B$2865,"&gt;="&amp;$B$15,Seasons!$B$2:$B$2865,"&lt;="&amp;$C$15)</f>
        <v>3</v>
      </c>
      <c r="M331" s="3" t="n">
        <f aca="false">SUMIFS(Seasons!$N$2:$N$2865,Seasons!$A$2:$A$2865,B331,Seasons!$B$2:$B$2865,"&gt;="&amp;$B$15,Seasons!$B$2:$B$2865,"&lt;="&amp;$C$15)</f>
        <v>0</v>
      </c>
      <c r="N331" s="3" t="n">
        <f aca="false">IF(J331="",-1000000,J331+ROW()*0.000000001)</f>
        <v>4.34908329323122</v>
      </c>
      <c r="O331" s="3" t="n">
        <f aca="false">IF(J331="","",SUMPRODUCT(($A$25:$A$534=A331)*($N$25:$N$534&gt;N331))+1)</f>
        <v>8</v>
      </c>
      <c r="P331" s="3" t="str">
        <f aca="false">A331&amp;"|"&amp;O331</f>
        <v>2000s|8</v>
      </c>
    </row>
    <row r="332" customFormat="false" ht="15" hidden="false" customHeight="true" outlineLevel="0" collapsed="false">
      <c r="A332" s="1" t="s">
        <v>19</v>
      </c>
      <c r="B332" s="7" t="s">
        <v>62</v>
      </c>
      <c r="C332" s="1" t="s">
        <v>55</v>
      </c>
      <c r="D332" s="3" t="n">
        <f aca="false">COUNTIFS(Market_Panel!$A$2:$A$2705,B332,Market_Panel!$B$2:$B$2705,"&gt;="&amp;$B$15,Market_Panel!$B$2:$B$2705,"&lt;="&amp;$C$15)</f>
        <v>10</v>
      </c>
      <c r="E332" s="10" t="n">
        <f aca="false">IF(D332=0,"",AVERAGEIFS(Market_Panel!$M$2:$M$2705,Market_Panel!$A$2:$A$2705,B332,Market_Panel!$B$2:$B$2705,"&gt;="&amp;$B$15,Market_Panel!$B$2:$B$2705,"&lt;="&amp;$C$15))</f>
        <v>0.0321073357363257</v>
      </c>
      <c r="F332" s="11" t="n">
        <f aca="false">IF(D332=0,"",AVERAGEIFS(Market_Panel!$P$2:$P$2705,Market_Panel!$A$2:$A$2705,B332,Market_Panel!$B$2:$B$2705,"&gt;="&amp;$B$15,Market_Panel!$B$2:$B$2705,"&lt;="&amp;$C$15))</f>
        <v>0.81094878406267</v>
      </c>
      <c r="G332" s="11" t="n">
        <f aca="false">IF(D332=0,"",AVERAGEIFS(Market_Panel!$R$2:$R$2705,Market_Panel!$A$2:$A$2705,B332,Market_Panel!$B$2:$B$2705,"&gt;="&amp;$B$15,Market_Panel!$B$2:$B$2705,"&lt;="&amp;$C$15))</f>
        <v>0</v>
      </c>
      <c r="H332" s="11" t="n">
        <f aca="false">IF(OR(D332=0,$H$15=0),0,AVERAGEIFS(Market_Panel!$Y$2:$Y$2705,Market_Panel!$A$2:$A$2705,B332,Market_Panel!$B$2:$B$2705,"&gt;="&amp;$B$15,Market_Panel!$B$2:$B$2705,"&lt;="&amp;$C$15))</f>
        <v>0</v>
      </c>
      <c r="I332" s="10" t="n">
        <f aca="false">IF(D332=0,"",$I$15+$F$15*F332+$G$15*G332+$H$15*H332)</f>
        <v>0.0174306706621537</v>
      </c>
      <c r="J332" s="5" t="n">
        <f aca="false">IF(D332&lt;5,"",(E332-I332)*162)</f>
        <v>2.37761974201587</v>
      </c>
      <c r="K332" s="5" t="n">
        <f aca="false">IF(D332=0,"",E332*162)</f>
        <v>5.20138838928477</v>
      </c>
      <c r="L332" s="3" t="n">
        <f aca="false">SUMIFS(Seasons!$L$2:$L$2865,Seasons!$A$2:$A$2865,B332,Seasons!$B$2:$B$2865,"&gt;="&amp;$B$15,Seasons!$B$2:$B$2865,"&lt;="&amp;$C$15)</f>
        <v>4</v>
      </c>
      <c r="M332" s="3" t="n">
        <f aca="false">SUMIFS(Seasons!$N$2:$N$2865,Seasons!$A$2:$A$2865,B332,Seasons!$B$2:$B$2865,"&gt;="&amp;$B$15,Seasons!$B$2:$B$2865,"&lt;="&amp;$C$15)</f>
        <v>0</v>
      </c>
      <c r="N332" s="3" t="n">
        <f aca="false">IF(J332="",-1000000,J332+ROW()*0.000000001)</f>
        <v>2.37762007401587</v>
      </c>
      <c r="O332" s="3" t="n">
        <f aca="false">IF(J332="","",SUMPRODUCT(($A$25:$A$534=A332)*($N$25:$N$534&gt;N332))+1)</f>
        <v>13</v>
      </c>
      <c r="P332" s="3" t="str">
        <f aca="false">A332&amp;"|"&amp;O332</f>
        <v>2000s|13</v>
      </c>
    </row>
    <row r="333" customFormat="false" ht="15" hidden="false" customHeight="true" outlineLevel="0" collapsed="false">
      <c r="A333" s="1" t="s">
        <v>19</v>
      </c>
      <c r="B333" s="7" t="s">
        <v>63</v>
      </c>
      <c r="C333" s="1" t="s">
        <v>55</v>
      </c>
      <c r="D333" s="3" t="n">
        <f aca="false">COUNTIFS(Market_Panel!$A$2:$A$2705,B333,Market_Panel!$B$2:$B$2705,"&gt;="&amp;$B$15,Market_Panel!$B$2:$B$2705,"&lt;="&amp;$C$15)</f>
        <v>10</v>
      </c>
      <c r="E333" s="10" t="n">
        <f aca="false">IF(D333=0,"",AVERAGEIFS(Market_Panel!$M$2:$M$2705,Market_Panel!$A$2:$A$2705,B333,Market_Panel!$B$2:$B$2705,"&gt;="&amp;$B$15,Market_Panel!$B$2:$B$2705,"&lt;="&amp;$C$15))</f>
        <v>-0.0686249700684439</v>
      </c>
      <c r="F333" s="11" t="n">
        <f aca="false">IF(D333=0,"",AVERAGEIFS(Market_Panel!$P$2:$P$2705,Market_Panel!$A$2:$A$2705,B333,Market_Panel!$B$2:$B$2705,"&gt;="&amp;$B$15,Market_Panel!$B$2:$B$2705,"&lt;="&amp;$C$15))</f>
        <v>-0.264966506758852</v>
      </c>
      <c r="G333" s="11" t="n">
        <f aca="false">IF(D333=0,"",AVERAGEIFS(Market_Panel!$R$2:$R$2705,Market_Panel!$A$2:$A$2705,B333,Market_Panel!$B$2:$B$2705,"&gt;="&amp;$B$15,Market_Panel!$B$2:$B$2705,"&lt;="&amp;$C$15))</f>
        <v>0</v>
      </c>
      <c r="H333" s="11" t="n">
        <f aca="false">IF(OR(D333=0,$H$15=0),0,AVERAGEIFS(Market_Panel!$Y$2:$Y$2705,Market_Panel!$A$2:$A$2705,B333,Market_Panel!$B$2:$B$2705,"&gt;="&amp;$B$15,Market_Panel!$B$2:$B$2705,"&lt;="&amp;$C$15))</f>
        <v>0</v>
      </c>
      <c r="I333" s="10" t="n">
        <f aca="false">IF(D333=0,"",$I$15+$F$15*F333+$G$15*G333+$H$15*H333)</f>
        <v>-0.00185566002806124</v>
      </c>
      <c r="J333" s="5" t="n">
        <f aca="false">IF(D333&lt;5,"",(E333-I333)*162)</f>
        <v>-10.816628226542</v>
      </c>
      <c r="K333" s="5" t="n">
        <f aca="false">IF(D333=0,"",E333*162)</f>
        <v>-11.1172451510879</v>
      </c>
      <c r="L333" s="3" t="n">
        <f aca="false">SUMIFS(Seasons!$L$2:$L$2865,Seasons!$A$2:$A$2865,B333,Seasons!$B$2:$B$2865,"&gt;="&amp;$B$15,Seasons!$B$2:$B$2865,"&lt;="&amp;$C$15)</f>
        <v>0</v>
      </c>
      <c r="M333" s="3" t="n">
        <f aca="false">SUMIFS(Seasons!$N$2:$N$2865,Seasons!$A$2:$A$2865,B333,Seasons!$B$2:$B$2865,"&gt;="&amp;$B$15,Seasons!$B$2:$B$2865,"&lt;="&amp;$C$15)</f>
        <v>0</v>
      </c>
      <c r="N333" s="3" t="n">
        <f aca="false">IF(J333="",-1000000,J333+ROW()*0.000000001)</f>
        <v>-10.816627893542</v>
      </c>
      <c r="O333" s="3" t="n">
        <f aca="false">IF(J333="","",SUMPRODUCT(($A$25:$A$534=A333)*($N$25:$N$534&gt;N333))+1)</f>
        <v>29</v>
      </c>
      <c r="P333" s="3" t="str">
        <f aca="false">A333&amp;"|"&amp;O333</f>
        <v>2000s|29</v>
      </c>
    </row>
    <row r="334" customFormat="false" ht="15" hidden="false" customHeight="true" outlineLevel="0" collapsed="false">
      <c r="A334" s="1" t="s">
        <v>19</v>
      </c>
      <c r="B334" s="7" t="s">
        <v>64</v>
      </c>
      <c r="C334" s="1" t="s">
        <v>55</v>
      </c>
      <c r="D334" s="3" t="n">
        <f aca="false">COUNTIFS(Market_Panel!$A$2:$A$2705,B334,Market_Panel!$B$2:$B$2705,"&gt;="&amp;$B$15,Market_Panel!$B$2:$B$2705,"&lt;="&amp;$C$15)</f>
        <v>10</v>
      </c>
      <c r="E334" s="10" t="n">
        <f aca="false">IF(D334=0,"",AVERAGEIFS(Market_Panel!$M$2:$M$2705,Market_Panel!$A$2:$A$2705,B334,Market_Panel!$B$2:$B$2705,"&gt;="&amp;$B$15,Market_Panel!$B$2:$B$2705,"&lt;="&amp;$C$15))</f>
        <v>0.0682241979401445</v>
      </c>
      <c r="F334" s="11" t="n">
        <f aca="false">IF(D334=0,"",AVERAGEIFS(Market_Panel!$P$2:$P$2705,Market_Panel!$A$2:$A$2705,B334,Market_Panel!$B$2:$B$2705,"&gt;="&amp;$B$15,Market_Panel!$B$2:$B$2705,"&lt;="&amp;$C$15))</f>
        <v>-0.322457500501518</v>
      </c>
      <c r="G334" s="11" t="n">
        <f aca="false">IF(D334=0,"",AVERAGEIFS(Market_Panel!$R$2:$R$2705,Market_Panel!$A$2:$A$2705,B334,Market_Panel!$B$2:$B$2705,"&gt;="&amp;$B$15,Market_Panel!$B$2:$B$2705,"&lt;="&amp;$C$15))</f>
        <v>0</v>
      </c>
      <c r="H334" s="11" t="n">
        <f aca="false">IF(OR(D334=0,$H$15=0),0,AVERAGEIFS(Market_Panel!$Y$2:$Y$2705,Market_Panel!$A$2:$A$2705,B334,Market_Panel!$B$2:$B$2705,"&gt;="&amp;$B$15,Market_Panel!$B$2:$B$2705,"&lt;="&amp;$C$15))</f>
        <v>0</v>
      </c>
      <c r="I334" s="10" t="n">
        <f aca="false">IF(D334=0,"",$I$15+$F$15*F334+$G$15*G334+$H$15*H334)</f>
        <v>-0.00288621543190117</v>
      </c>
      <c r="J334" s="5" t="n">
        <f aca="false">IF(D334&lt;5,"",(E334-I334)*162)</f>
        <v>11.5198869662714</v>
      </c>
      <c r="K334" s="5" t="n">
        <f aca="false">IF(D334=0,"",E334*162)</f>
        <v>11.0523200663034</v>
      </c>
      <c r="L334" s="3" t="n">
        <f aca="false">SUMIFS(Seasons!$L$2:$L$2865,Seasons!$A$2:$A$2865,B334,Seasons!$B$2:$B$2865,"&gt;="&amp;$B$15,Seasons!$B$2:$B$2865,"&lt;="&amp;$C$15)</f>
        <v>6</v>
      </c>
      <c r="M334" s="3" t="n">
        <f aca="false">SUMIFS(Seasons!$N$2:$N$2865,Seasons!$A$2:$A$2865,B334,Seasons!$B$2:$B$2865,"&gt;="&amp;$B$15,Seasons!$B$2:$B$2865,"&lt;="&amp;$C$15)</f>
        <v>2</v>
      </c>
      <c r="N334" s="3" t="n">
        <f aca="false">IF(J334="",-1000000,J334+ROW()*0.000000001)</f>
        <v>11.5198873002714</v>
      </c>
      <c r="O334" s="3" t="n">
        <f aca="false">IF(J334="","",SUMPRODUCT(($A$25:$A$534=A334)*($N$25:$N$534&gt;N334))+1)</f>
        <v>2</v>
      </c>
      <c r="P334" s="3" t="str">
        <f aca="false">A334&amp;"|"&amp;O334</f>
        <v>2000s|2</v>
      </c>
    </row>
    <row r="335" customFormat="false" ht="15" hidden="false" customHeight="true" outlineLevel="0" collapsed="false">
      <c r="A335" s="1" t="s">
        <v>19</v>
      </c>
      <c r="B335" s="7" t="s">
        <v>65</v>
      </c>
      <c r="C335" s="1" t="s">
        <v>55</v>
      </c>
      <c r="D335" s="3" t="n">
        <f aca="false">COUNTIFS(Market_Panel!$A$2:$A$2705,B335,Market_Panel!$B$2:$B$2705,"&gt;="&amp;$B$15,Market_Panel!$B$2:$B$2705,"&lt;="&amp;$C$15)</f>
        <v>10</v>
      </c>
      <c r="E335" s="10" t="n">
        <f aca="false">IF(D335=0,"",AVERAGEIFS(Market_Panel!$M$2:$M$2705,Market_Panel!$A$2:$A$2705,B335,Market_Panel!$B$2:$B$2705,"&gt;="&amp;$B$15,Market_Panel!$B$2:$B$2705,"&lt;="&amp;$C$15))</f>
        <v>0.0286838713721661</v>
      </c>
      <c r="F335" s="11" t="n">
        <f aca="false">IF(D335=0,"",AVERAGEIFS(Market_Panel!$P$2:$P$2705,Market_Panel!$A$2:$A$2705,B335,Market_Panel!$B$2:$B$2705,"&gt;="&amp;$B$15,Market_Panel!$B$2:$B$2705,"&lt;="&amp;$C$15))</f>
        <v>0.523324303311797</v>
      </c>
      <c r="G335" s="11" t="n">
        <f aca="false">IF(D335=0,"",AVERAGEIFS(Market_Panel!$R$2:$R$2705,Market_Panel!$A$2:$A$2705,B335,Market_Panel!$B$2:$B$2705,"&gt;="&amp;$B$15,Market_Panel!$B$2:$B$2705,"&lt;="&amp;$C$15))</f>
        <v>0</v>
      </c>
      <c r="H335" s="11" t="n">
        <f aca="false">IF(OR(D335=0,$H$15=0),0,AVERAGEIFS(Market_Panel!$Y$2:$Y$2705,Market_Panel!$A$2:$A$2705,B335,Market_Panel!$B$2:$B$2705,"&gt;="&amp;$B$15,Market_Panel!$B$2:$B$2705,"&lt;="&amp;$C$15))</f>
        <v>0</v>
      </c>
      <c r="I335" s="10" t="n">
        <f aca="false">IF(D335=0,"",$I$15+$F$15*F335+$G$15*G335+$H$15*H335)</f>
        <v>0.0122748550531692</v>
      </c>
      <c r="J335" s="5" t="n">
        <f aca="false">IF(D335&lt;5,"",(E335-I335)*162)</f>
        <v>2.65826064367749</v>
      </c>
      <c r="K335" s="5" t="n">
        <f aca="false">IF(D335=0,"",E335*162)</f>
        <v>4.6467871622909</v>
      </c>
      <c r="L335" s="3" t="n">
        <f aca="false">SUMIFS(Seasons!$L$2:$L$2865,Seasons!$A$2:$A$2865,B335,Seasons!$B$2:$B$2865,"&gt;="&amp;$B$15,Seasons!$B$2:$B$2865,"&lt;="&amp;$C$15)</f>
        <v>3</v>
      </c>
      <c r="M335" s="3" t="n">
        <f aca="false">SUMIFS(Seasons!$N$2:$N$2865,Seasons!$A$2:$A$2865,B335,Seasons!$B$2:$B$2865,"&gt;="&amp;$B$15,Seasons!$B$2:$B$2865,"&lt;="&amp;$C$15)</f>
        <v>1</v>
      </c>
      <c r="N335" s="3" t="n">
        <f aca="false">IF(J335="",-1000000,J335+ROW()*0.000000001)</f>
        <v>2.65826097867749</v>
      </c>
      <c r="O335" s="3" t="n">
        <f aca="false">IF(J335="","",SUMPRODUCT(($A$25:$A$534=A335)*($N$25:$N$534&gt;N335))+1)</f>
        <v>12</v>
      </c>
      <c r="P335" s="3" t="str">
        <f aca="false">A335&amp;"|"&amp;O335</f>
        <v>2000s|12</v>
      </c>
    </row>
    <row r="336" customFormat="false" ht="15" hidden="false" customHeight="true" outlineLevel="0" collapsed="false">
      <c r="A336" s="1" t="s">
        <v>19</v>
      </c>
      <c r="B336" s="7" t="s">
        <v>66</v>
      </c>
      <c r="C336" s="1" t="s">
        <v>55</v>
      </c>
      <c r="D336" s="3" t="n">
        <f aca="false">COUNTIFS(Market_Panel!$A$2:$A$2705,B336,Market_Panel!$B$2:$B$2705,"&gt;="&amp;$B$15,Market_Panel!$B$2:$B$2705,"&lt;="&amp;$C$15)</f>
        <v>10</v>
      </c>
      <c r="E336" s="10" t="n">
        <f aca="false">IF(D336=0,"",AVERAGEIFS(Market_Panel!$M$2:$M$2705,Market_Panel!$A$2:$A$2705,B336,Market_Panel!$B$2:$B$2705,"&gt;="&amp;$B$15,Market_Panel!$B$2:$B$2705,"&lt;="&amp;$C$15))</f>
        <v>0.00371227400793064</v>
      </c>
      <c r="F336" s="11" t="n">
        <f aca="false">IF(D336=0,"",AVERAGEIFS(Market_Panel!$P$2:$P$2705,Market_Panel!$A$2:$A$2705,B336,Market_Panel!$B$2:$B$2705,"&gt;="&amp;$B$15,Market_Panel!$B$2:$B$2705,"&lt;="&amp;$C$15))</f>
        <v>-0.636036637088972</v>
      </c>
      <c r="G336" s="11" t="n">
        <f aca="false">IF(D336=0,"",AVERAGEIFS(Market_Panel!$R$2:$R$2705,Market_Panel!$A$2:$A$2705,B336,Market_Panel!$B$2:$B$2705,"&gt;="&amp;$B$15,Market_Panel!$B$2:$B$2705,"&lt;="&amp;$C$15))</f>
        <v>0</v>
      </c>
      <c r="H336" s="11" t="n">
        <f aca="false">IF(OR(D336=0,$H$15=0),0,AVERAGEIFS(Market_Panel!$Y$2:$Y$2705,Market_Panel!$A$2:$A$2705,B336,Market_Panel!$B$2:$B$2705,"&gt;="&amp;$B$15,Market_Panel!$B$2:$B$2705,"&lt;="&amp;$C$15))</f>
        <v>0</v>
      </c>
      <c r="I336" s="10" t="n">
        <f aca="false">IF(D336=0,"",$I$15+$F$15*F336+$G$15*G336+$H$15*H336)</f>
        <v>-0.00850728149292896</v>
      </c>
      <c r="J336" s="5" t="n">
        <f aca="false">IF(D336&lt;5,"",(E336-I336)*162)</f>
        <v>1.97956799113926</v>
      </c>
      <c r="K336" s="5" t="n">
        <f aca="false">IF(D336=0,"",E336*162)</f>
        <v>0.601388389284764</v>
      </c>
      <c r="L336" s="3" t="n">
        <f aca="false">SUMIFS(Seasons!$L$2:$L$2865,Seasons!$A$2:$A$2865,B336,Seasons!$B$2:$B$2865,"&gt;="&amp;$B$15,Seasons!$B$2:$B$2865,"&lt;="&amp;$C$15)</f>
        <v>2</v>
      </c>
      <c r="M336" s="3" t="n">
        <f aca="false">SUMIFS(Seasons!$N$2:$N$2865,Seasons!$A$2:$A$2865,B336,Seasons!$B$2:$B$2865,"&gt;="&amp;$B$15,Seasons!$B$2:$B$2865,"&lt;="&amp;$C$15)</f>
        <v>0</v>
      </c>
      <c r="N336" s="3" t="n">
        <f aca="false">IF(J336="",-1000000,J336+ROW()*0.000000001)</f>
        <v>1.97956832713926</v>
      </c>
      <c r="O336" s="3" t="n">
        <f aca="false">IF(J336="","",SUMPRODUCT(($A$25:$A$534=A336)*($N$25:$N$534&gt;N336))+1)</f>
        <v>14</v>
      </c>
      <c r="P336" s="3" t="str">
        <f aca="false">A336&amp;"|"&amp;O336</f>
        <v>2000s|14</v>
      </c>
    </row>
    <row r="337" customFormat="false" ht="15" hidden="false" customHeight="true" outlineLevel="0" collapsed="false">
      <c r="A337" s="1" t="s">
        <v>19</v>
      </c>
      <c r="B337" s="7" t="s">
        <v>67</v>
      </c>
      <c r="C337" s="1" t="s">
        <v>55</v>
      </c>
      <c r="D337" s="3" t="n">
        <f aca="false">COUNTIFS(Market_Panel!$A$2:$A$2705,B337,Market_Panel!$B$2:$B$2705,"&gt;="&amp;$B$15,Market_Panel!$B$2:$B$2705,"&lt;="&amp;$C$15)</f>
        <v>10</v>
      </c>
      <c r="E337" s="10" t="n">
        <f aca="false">IF(D337=0,"",AVERAGEIFS(Market_Panel!$M$2:$M$2705,Market_Panel!$A$2:$A$2705,B337,Market_Panel!$B$2:$B$2705,"&gt;="&amp;$B$15,Market_Panel!$B$2:$B$2705,"&lt;="&amp;$C$15))</f>
        <v>-0.0501062398532613</v>
      </c>
      <c r="F337" s="11" t="n">
        <f aca="false">IF(D337=0,"",AVERAGEIFS(Market_Panel!$P$2:$P$2705,Market_Panel!$A$2:$A$2705,B337,Market_Panel!$B$2:$B$2705,"&gt;="&amp;$B$15,Market_Panel!$B$2:$B$2705,"&lt;="&amp;$C$15))</f>
        <v>0.00619800131196762</v>
      </c>
      <c r="G337" s="11" t="n">
        <f aca="false">IF(D337=0,"",AVERAGEIFS(Market_Panel!$R$2:$R$2705,Market_Panel!$A$2:$A$2705,B337,Market_Panel!$B$2:$B$2705,"&gt;="&amp;$B$15,Market_Panel!$B$2:$B$2705,"&lt;="&amp;$C$15))</f>
        <v>0</v>
      </c>
      <c r="H337" s="11" t="n">
        <f aca="false">IF(OR(D337=0,$H$15=0),0,AVERAGEIFS(Market_Panel!$Y$2:$Y$2705,Market_Panel!$A$2:$A$2705,B337,Market_Panel!$B$2:$B$2705,"&gt;="&amp;$B$15,Market_Panel!$B$2:$B$2705,"&lt;="&amp;$C$15))</f>
        <v>0</v>
      </c>
      <c r="I337" s="10" t="n">
        <f aca="false">IF(D337=0,"",$I$15+$F$15*F337+$G$15*G337+$H$15*H337)</f>
        <v>0.00300510217015054</v>
      </c>
      <c r="J337" s="5" t="n">
        <f aca="false">IF(D337&lt;5,"",(E337-I337)*162)</f>
        <v>-8.60403740779271</v>
      </c>
      <c r="K337" s="5" t="n">
        <f aca="false">IF(D337=0,"",E337*162)</f>
        <v>-8.11721085622833</v>
      </c>
      <c r="L337" s="3" t="n">
        <f aca="false">SUMIFS(Seasons!$L$2:$L$2865,Seasons!$A$2:$A$2865,B337,Seasons!$B$2:$B$2865,"&gt;="&amp;$B$15,Seasons!$B$2:$B$2865,"&lt;="&amp;$C$15)</f>
        <v>1</v>
      </c>
      <c r="M337" s="3" t="n">
        <f aca="false">SUMIFS(Seasons!$N$2:$N$2865,Seasons!$A$2:$A$2865,B337,Seasons!$B$2:$B$2865,"&gt;="&amp;$B$15,Seasons!$B$2:$B$2865,"&lt;="&amp;$C$15)</f>
        <v>0</v>
      </c>
      <c r="N337" s="3" t="n">
        <f aca="false">IF(J337="",-1000000,J337+ROW()*0.000000001)</f>
        <v>-8.60403707079271</v>
      </c>
      <c r="O337" s="3" t="n">
        <f aca="false">IF(J337="","",SUMPRODUCT(($A$25:$A$534=A337)*($N$25:$N$534&gt;N337))+1)</f>
        <v>26</v>
      </c>
      <c r="P337" s="3" t="str">
        <f aca="false">A337&amp;"|"&amp;O337</f>
        <v>2000s|26</v>
      </c>
    </row>
    <row r="338" customFormat="false" ht="15" hidden="false" customHeight="true" outlineLevel="0" collapsed="false">
      <c r="A338" s="1" t="s">
        <v>19</v>
      </c>
      <c r="B338" s="7" t="s">
        <v>68</v>
      </c>
      <c r="C338" s="1" t="s">
        <v>55</v>
      </c>
      <c r="D338" s="3" t="n">
        <f aca="false">COUNTIFS(Market_Panel!$A$2:$A$2705,B338,Market_Panel!$B$2:$B$2705,"&gt;="&amp;$B$15,Market_Panel!$B$2:$B$2705,"&lt;="&amp;$C$15)</f>
        <v>10</v>
      </c>
      <c r="E338" s="10" t="n">
        <f aca="false">IF(D338=0,"",AVERAGEIFS(Market_Panel!$M$2:$M$2705,Market_Panel!$A$2:$A$2705,B338,Market_Panel!$B$2:$B$2705,"&gt;="&amp;$B$15,Market_Panel!$B$2:$B$2705,"&lt;="&amp;$C$15))</f>
        <v>0.0324222933287795</v>
      </c>
      <c r="F338" s="11" t="n">
        <f aca="false">IF(D338=0,"",AVERAGEIFS(Market_Panel!$P$2:$P$2705,Market_Panel!$A$2:$A$2705,B338,Market_Panel!$B$2:$B$2705,"&gt;="&amp;$B$15,Market_Panel!$B$2:$B$2705,"&lt;="&amp;$C$15))</f>
        <v>-0.775357571573331</v>
      </c>
      <c r="G338" s="11" t="n">
        <f aca="false">IF(D338=0,"",AVERAGEIFS(Market_Panel!$R$2:$R$2705,Market_Panel!$A$2:$A$2705,B338,Market_Panel!$B$2:$B$2705,"&gt;="&amp;$B$15,Market_Panel!$B$2:$B$2705,"&lt;="&amp;$C$15))</f>
        <v>0</v>
      </c>
      <c r="H338" s="11" t="n">
        <f aca="false">IF(OR(D338=0,$H$15=0),0,AVERAGEIFS(Market_Panel!$Y$2:$Y$2705,Market_Panel!$A$2:$A$2705,B338,Market_Panel!$B$2:$B$2705,"&gt;="&amp;$B$15,Market_Panel!$B$2:$B$2705,"&lt;="&amp;$C$15))</f>
        <v>0</v>
      </c>
      <c r="I338" s="10" t="n">
        <f aca="false">IF(D338=0,"",$I$15+$F$15*F338+$G$15*G338+$H$15*H338)</f>
        <v>-0.0110046803471487</v>
      </c>
      <c r="J338" s="5" t="n">
        <f aca="false">IF(D338&lt;5,"",(E338-I338)*162)</f>
        <v>7.03516973550037</v>
      </c>
      <c r="K338" s="5" t="n">
        <f aca="false">IF(D338=0,"",E338*162)</f>
        <v>5.25241151926228</v>
      </c>
      <c r="L338" s="3" t="n">
        <f aca="false">SUMIFS(Seasons!$L$2:$L$2865,Seasons!$A$2:$A$2865,B338,Seasons!$B$2:$B$2865,"&gt;="&amp;$B$15,Seasons!$B$2:$B$2865,"&lt;="&amp;$C$15)</f>
        <v>5</v>
      </c>
      <c r="M338" s="3" t="n">
        <f aca="false">SUMIFS(Seasons!$N$2:$N$2865,Seasons!$A$2:$A$2865,B338,Seasons!$B$2:$B$2865,"&gt;="&amp;$B$15,Seasons!$B$2:$B$2865,"&lt;="&amp;$C$15)</f>
        <v>0</v>
      </c>
      <c r="N338" s="3" t="n">
        <f aca="false">IF(J338="",-1000000,J338+ROW()*0.000000001)</f>
        <v>7.03517007350037</v>
      </c>
      <c r="O338" s="3" t="n">
        <f aca="false">IF(J338="","",SUMPRODUCT(($A$25:$A$534=A338)*($N$25:$N$534&gt;N338))+1)</f>
        <v>6</v>
      </c>
      <c r="P338" s="3" t="str">
        <f aca="false">A338&amp;"|"&amp;O338</f>
        <v>2000s|6</v>
      </c>
    </row>
    <row r="339" customFormat="false" ht="15" hidden="false" customHeight="true" outlineLevel="0" collapsed="false">
      <c r="A339" s="1" t="s">
        <v>19</v>
      </c>
      <c r="B339" s="7" t="s">
        <v>69</v>
      </c>
      <c r="C339" s="1" t="s">
        <v>55</v>
      </c>
      <c r="D339" s="3" t="n">
        <f aca="false">COUNTIFS(Market_Panel!$A$2:$A$2705,B339,Market_Panel!$B$2:$B$2705,"&gt;="&amp;$B$15,Market_Panel!$B$2:$B$2705,"&lt;="&amp;$C$15)</f>
        <v>10</v>
      </c>
      <c r="E339" s="10" t="n">
        <f aca="false">IF(D339=0,"",AVERAGEIFS(Market_Panel!$M$2:$M$2705,Market_Panel!$A$2:$A$2705,B339,Market_Panel!$B$2:$B$2705,"&gt;="&amp;$B$15,Market_Panel!$B$2:$B$2705,"&lt;="&amp;$C$15))</f>
        <v>0.0500277406132523</v>
      </c>
      <c r="F339" s="11" t="n">
        <f aca="false">IF(D339=0,"",AVERAGEIFS(Market_Panel!$P$2:$P$2705,Market_Panel!$A$2:$A$2705,B339,Market_Panel!$B$2:$B$2705,"&gt;="&amp;$B$15,Market_Panel!$B$2:$B$2705,"&lt;="&amp;$C$15))</f>
        <v>-0.742151441567828</v>
      </c>
      <c r="G339" s="11" t="n">
        <f aca="false">IF(D339=0,"",AVERAGEIFS(Market_Panel!$R$2:$R$2705,Market_Panel!$A$2:$A$2705,B339,Market_Panel!$B$2:$B$2705,"&gt;="&amp;$B$15,Market_Panel!$B$2:$B$2705,"&lt;="&amp;$C$15))</f>
        <v>0</v>
      </c>
      <c r="H339" s="11" t="n">
        <f aca="false">IF(OR(D339=0,$H$15=0),0,AVERAGEIFS(Market_Panel!$Y$2:$Y$2705,Market_Panel!$A$2:$A$2705,B339,Market_Panel!$B$2:$B$2705,"&gt;="&amp;$B$15,Market_Panel!$B$2:$B$2705,"&lt;="&amp;$C$15))</f>
        <v>0</v>
      </c>
      <c r="I339" s="10" t="n">
        <f aca="false">IF(D339=0,"",$I$15+$F$15*F339+$G$15*G339+$H$15*H339)</f>
        <v>-0.0104094435197778</v>
      </c>
      <c r="J339" s="5" t="n">
        <f aca="false">IF(D339&lt;5,"",(E339-I339)*162)</f>
        <v>9.79082382955088</v>
      </c>
      <c r="K339" s="5" t="n">
        <f aca="false">IF(D339=0,"",E339*162)</f>
        <v>8.10449397934688</v>
      </c>
      <c r="L339" s="3" t="n">
        <f aca="false">SUMIFS(Seasons!$L$2:$L$2865,Seasons!$A$2:$A$2865,B339,Seasons!$B$2:$B$2865,"&gt;="&amp;$B$15,Seasons!$B$2:$B$2865,"&lt;="&amp;$C$15)</f>
        <v>5</v>
      </c>
      <c r="M339" s="3" t="n">
        <f aca="false">SUMIFS(Seasons!$N$2:$N$2865,Seasons!$A$2:$A$2865,B339,Seasons!$B$2:$B$2865,"&gt;="&amp;$B$15,Seasons!$B$2:$B$2865,"&lt;="&amp;$C$15)</f>
        <v>0</v>
      </c>
      <c r="N339" s="3" t="n">
        <f aca="false">IF(J339="",-1000000,J339+ROW()*0.000000001)</f>
        <v>9.79082416855088</v>
      </c>
      <c r="O339" s="3" t="n">
        <f aca="false">IF(J339="","",SUMPRODUCT(($A$25:$A$534=A339)*($N$25:$N$534&gt;N339))+1)</f>
        <v>5</v>
      </c>
      <c r="P339" s="3" t="str">
        <f aca="false">A339&amp;"|"&amp;O339</f>
        <v>2000s|5</v>
      </c>
    </row>
    <row r="340" customFormat="false" ht="15" hidden="false" customHeight="true" outlineLevel="0" collapsed="false">
      <c r="A340" s="1" t="s">
        <v>19</v>
      </c>
      <c r="B340" s="7" t="s">
        <v>70</v>
      </c>
      <c r="C340" s="1" t="s">
        <v>55</v>
      </c>
      <c r="D340" s="3" t="n">
        <f aca="false">COUNTIFS(Market_Panel!$A$2:$A$2705,B340,Market_Panel!$B$2:$B$2705,"&gt;="&amp;$B$15,Market_Panel!$B$2:$B$2705,"&lt;="&amp;$C$15)</f>
        <v>10</v>
      </c>
      <c r="E340" s="10" t="n">
        <f aca="false">IF(D340=0,"",AVERAGEIFS(Market_Panel!$M$2:$M$2705,Market_Panel!$A$2:$A$2705,B340,Market_Panel!$B$2:$B$2705,"&gt;="&amp;$B$15,Market_Panel!$B$2:$B$2705,"&lt;="&amp;$C$15))</f>
        <v>0.0971490790842285</v>
      </c>
      <c r="F340" s="11" t="n">
        <f aca="false">IF(D340=0,"",AVERAGEIFS(Market_Panel!$P$2:$P$2705,Market_Panel!$A$2:$A$2705,B340,Market_Panel!$B$2:$B$2705,"&gt;="&amp;$B$15,Market_Panel!$B$2:$B$2705,"&lt;="&amp;$C$15))</f>
        <v>1.58201578097148</v>
      </c>
      <c r="G340" s="11" t="n">
        <f aca="false">IF(D340=0,"",AVERAGEIFS(Market_Panel!$R$2:$R$2705,Market_Panel!$A$2:$A$2705,B340,Market_Panel!$B$2:$B$2705,"&gt;="&amp;$B$15,Market_Panel!$B$2:$B$2705,"&lt;="&amp;$C$15))</f>
        <v>0</v>
      </c>
      <c r="H340" s="11" t="n">
        <f aca="false">IF(OR(D340=0,$H$15=0),0,AVERAGEIFS(Market_Panel!$Y$2:$Y$2705,Market_Panel!$A$2:$A$2705,B340,Market_Panel!$B$2:$B$2705,"&gt;="&amp;$B$15,Market_Panel!$B$2:$B$2705,"&lt;="&amp;$C$15))</f>
        <v>0</v>
      </c>
      <c r="I340" s="10" t="n">
        <f aca="false">IF(D340=0,"",$I$15+$F$15*F340+$G$15*G340+$H$15*H340)</f>
        <v>0.0312524401021432</v>
      </c>
      <c r="J340" s="5" t="n">
        <f aca="false">IF(D340&lt;5,"",(E340-I340)*162)</f>
        <v>10.6752555150978</v>
      </c>
      <c r="K340" s="5" t="n">
        <f aca="false">IF(D340=0,"",E340*162)</f>
        <v>15.738150811645</v>
      </c>
      <c r="L340" s="3" t="n">
        <f aca="false">SUMIFS(Seasons!$L$2:$L$2865,Seasons!$A$2:$A$2865,B340,Seasons!$B$2:$B$2865,"&gt;="&amp;$B$15,Seasons!$B$2:$B$2865,"&lt;="&amp;$C$15)</f>
        <v>9</v>
      </c>
      <c r="M340" s="3" t="n">
        <f aca="false">SUMIFS(Seasons!$N$2:$N$2865,Seasons!$A$2:$A$2865,B340,Seasons!$B$2:$B$2865,"&gt;="&amp;$B$15,Seasons!$B$2:$B$2865,"&lt;="&amp;$C$15)</f>
        <v>2</v>
      </c>
      <c r="N340" s="3" t="n">
        <f aca="false">IF(J340="",-1000000,J340+ROW()*0.000000001)</f>
        <v>10.6752558550978</v>
      </c>
      <c r="O340" s="3" t="n">
        <f aca="false">IF(J340="","",SUMPRODUCT(($A$25:$A$534=A340)*($N$25:$N$534&gt;N340))+1)</f>
        <v>3</v>
      </c>
      <c r="P340" s="3" t="str">
        <f aca="false">A340&amp;"|"&amp;O340</f>
        <v>2000s|3</v>
      </c>
    </row>
    <row r="341" customFormat="false" ht="15" hidden="false" customHeight="true" outlineLevel="0" collapsed="false">
      <c r="A341" s="1" t="s">
        <v>19</v>
      </c>
      <c r="B341" s="7" t="s">
        <v>71</v>
      </c>
      <c r="C341" s="1" t="s">
        <v>72</v>
      </c>
      <c r="D341" s="3" t="n">
        <f aca="false">COUNTIFS(Market_Panel!$A$2:$A$2705,B341,Market_Panel!$B$2:$B$2705,"&gt;="&amp;$B$15,Market_Panel!$B$2:$B$2705,"&lt;="&amp;$C$15)</f>
        <v>10</v>
      </c>
      <c r="E341" s="10" t="n">
        <f aca="false">IF(D341=0,"",AVERAGEIFS(Market_Panel!$M$2:$M$2705,Market_Panel!$A$2:$A$2705,B341,Market_Panel!$B$2:$B$2705,"&gt;="&amp;$B$15,Market_Panel!$B$2:$B$2705,"&lt;="&amp;$C$15))</f>
        <v>0.0555641258597825</v>
      </c>
      <c r="F341" s="11" t="n">
        <f aca="false">IF(D341=0,"",AVERAGEIFS(Market_Panel!$P$2:$P$2705,Market_Panel!$A$2:$A$2705,B341,Market_Panel!$B$2:$B$2705,"&gt;="&amp;$B$15,Market_Panel!$B$2:$B$2705,"&lt;="&amp;$C$15))</f>
        <v>0.81094878406267</v>
      </c>
      <c r="G341" s="11" t="n">
        <f aca="false">IF(D341=0,"",AVERAGEIFS(Market_Panel!$R$2:$R$2705,Market_Panel!$A$2:$A$2705,B341,Market_Panel!$B$2:$B$2705,"&gt;="&amp;$B$15,Market_Panel!$B$2:$B$2705,"&lt;="&amp;$C$15))</f>
        <v>0</v>
      </c>
      <c r="H341" s="11" t="n">
        <f aca="false">IF(OR(D341=0,$H$15=0),0,AVERAGEIFS(Market_Panel!$Y$2:$Y$2705,Market_Panel!$A$2:$A$2705,B341,Market_Panel!$B$2:$B$2705,"&gt;="&amp;$B$15,Market_Panel!$B$2:$B$2705,"&lt;="&amp;$C$15))</f>
        <v>0</v>
      </c>
      <c r="I341" s="10" t="n">
        <f aca="false">IF(D341=0,"",$I$15+$F$15*F341+$G$15*G341+$H$15*H341)</f>
        <v>0.0174306706621537</v>
      </c>
      <c r="J341" s="5" t="n">
        <f aca="false">IF(D341&lt;5,"",(E341-I341)*162)</f>
        <v>6.17761974201587</v>
      </c>
      <c r="K341" s="5" t="n">
        <f aca="false">IF(D341=0,"",E341*162)</f>
        <v>9.00138838928477</v>
      </c>
      <c r="L341" s="3" t="n">
        <f aca="false">SUMIFS(Seasons!$L$2:$L$2865,Seasons!$A$2:$A$2865,B341,Seasons!$B$2:$B$2865,"&gt;="&amp;$B$15,Seasons!$B$2:$B$2865,"&lt;="&amp;$C$15)</f>
        <v>6</v>
      </c>
      <c r="M341" s="3" t="n">
        <f aca="false">SUMIFS(Seasons!$N$2:$N$2865,Seasons!$A$2:$A$2865,B341,Seasons!$B$2:$B$2865,"&gt;="&amp;$B$15,Seasons!$B$2:$B$2865,"&lt;="&amp;$C$15)</f>
        <v>1</v>
      </c>
      <c r="N341" s="3" t="n">
        <f aca="false">IF(J341="",-1000000,J341+ROW()*0.000000001)</f>
        <v>6.17762008301587</v>
      </c>
      <c r="O341" s="3" t="n">
        <f aca="false">IF(J341="","",SUMPRODUCT(($A$25:$A$534=A341)*($N$25:$N$534&gt;N341))+1)</f>
        <v>7</v>
      </c>
      <c r="P341" s="3" t="str">
        <f aca="false">A341&amp;"|"&amp;O341</f>
        <v>2000s|7</v>
      </c>
    </row>
    <row r="342" customFormat="false" ht="15" hidden="false" customHeight="true" outlineLevel="0" collapsed="false">
      <c r="A342" s="1" t="s">
        <v>19</v>
      </c>
      <c r="B342" s="7" t="s">
        <v>73</v>
      </c>
      <c r="C342" s="1" t="s">
        <v>72</v>
      </c>
      <c r="D342" s="3" t="n">
        <f aca="false">COUNTIFS(Market_Panel!$A$2:$A$2705,B342,Market_Panel!$B$2:$B$2705,"&gt;="&amp;$B$15,Market_Panel!$B$2:$B$2705,"&lt;="&amp;$C$15)</f>
        <v>10</v>
      </c>
      <c r="E342" s="10" t="n">
        <f aca="false">IF(D342=0,"",AVERAGEIFS(Market_Panel!$M$2:$M$2705,Market_Panel!$A$2:$A$2705,B342,Market_Panel!$B$2:$B$2705,"&gt;="&amp;$B$15,Market_Panel!$B$2:$B$2705,"&lt;="&amp;$C$15))</f>
        <v>-0.0209790840167607</v>
      </c>
      <c r="F342" s="11" t="n">
        <f aca="false">IF(D342=0,"",AVERAGEIFS(Market_Panel!$P$2:$P$2705,Market_Panel!$A$2:$A$2705,B342,Market_Panel!$B$2:$B$2705,"&gt;="&amp;$B$15,Market_Panel!$B$2:$B$2705,"&lt;="&amp;$C$15))</f>
        <v>0.361650230626684</v>
      </c>
      <c r="G342" s="11" t="n">
        <f aca="false">IF(D342=0,"",AVERAGEIFS(Market_Panel!$R$2:$R$2705,Market_Panel!$A$2:$A$2705,B342,Market_Panel!$B$2:$B$2705,"&gt;="&amp;$B$15,Market_Panel!$B$2:$B$2705,"&lt;="&amp;$C$15))</f>
        <v>0</v>
      </c>
      <c r="H342" s="11" t="n">
        <f aca="false">IF(OR(D342=0,$H$15=0),0,AVERAGEIFS(Market_Panel!$Y$2:$Y$2705,Market_Panel!$A$2:$A$2705,B342,Market_Panel!$B$2:$B$2705,"&gt;="&amp;$B$15,Market_Panel!$B$2:$B$2705,"&lt;="&amp;$C$15))</f>
        <v>0</v>
      </c>
      <c r="I342" s="10" t="n">
        <f aca="false">IF(D342=0,"",$I$15+$F$15*F342+$G$15*G342+$H$15*H342)</f>
        <v>0.00937676478859262</v>
      </c>
      <c r="J342" s="5" t="n">
        <f aca="false">IF(D342&lt;5,"",(E342-I342)*162)</f>
        <v>-4.91764750646724</v>
      </c>
      <c r="K342" s="5" t="n">
        <f aca="false">IF(D342=0,"",E342*162)</f>
        <v>-3.39861161071523</v>
      </c>
      <c r="L342" s="3" t="n">
        <f aca="false">SUMIFS(Seasons!$L$2:$L$2865,Seasons!$A$2:$A$2865,B342,Seasons!$B$2:$B$2865,"&gt;="&amp;$B$15,Seasons!$B$2:$B$2865,"&lt;="&amp;$C$15)</f>
        <v>0</v>
      </c>
      <c r="M342" s="3" t="n">
        <f aca="false">SUMIFS(Seasons!$N$2:$N$2865,Seasons!$A$2:$A$2865,B342,Seasons!$B$2:$B$2865,"&gt;="&amp;$B$15,Seasons!$B$2:$B$2865,"&lt;="&amp;$C$15)</f>
        <v>0</v>
      </c>
      <c r="N342" s="3" t="n">
        <f aca="false">IF(J342="",-1000000,J342+ROW()*0.000000001)</f>
        <v>-4.91764716446724</v>
      </c>
      <c r="O342" s="3" t="n">
        <f aca="false">IF(J342="","",SUMPRODUCT(($A$25:$A$534=A342)*($N$25:$N$534&gt;N342))+1)</f>
        <v>23</v>
      </c>
      <c r="P342" s="3" t="str">
        <f aca="false">A342&amp;"|"&amp;O342</f>
        <v>2000s|23</v>
      </c>
    </row>
    <row r="343" customFormat="false" ht="15" hidden="false" customHeight="true" outlineLevel="0" collapsed="false">
      <c r="A343" s="1" t="s">
        <v>19</v>
      </c>
      <c r="B343" s="7" t="s">
        <v>74</v>
      </c>
      <c r="C343" s="1" t="s">
        <v>72</v>
      </c>
      <c r="D343" s="3" t="n">
        <f aca="false">COUNTIFS(Market_Panel!$A$2:$A$2705,B343,Market_Panel!$B$2:$B$2705,"&gt;="&amp;$B$15,Market_Panel!$B$2:$B$2705,"&lt;="&amp;$C$15)</f>
        <v>10</v>
      </c>
      <c r="E343" s="10" t="n">
        <f aca="false">IF(D343=0,"",AVERAGEIFS(Market_Panel!$M$2:$M$2705,Market_Panel!$A$2:$A$2705,B343,Market_Panel!$B$2:$B$2705,"&gt;="&amp;$B$15,Market_Panel!$B$2:$B$2705,"&lt;="&amp;$C$15))</f>
        <v>0.0139185465330438</v>
      </c>
      <c r="F343" s="11" t="n">
        <f aca="false">IF(D343=0,"",AVERAGEIFS(Market_Panel!$P$2:$P$2705,Market_Panel!$A$2:$A$2705,B343,Market_Panel!$B$2:$B$2705,"&gt;="&amp;$B$15,Market_Panel!$B$2:$B$2705,"&lt;="&amp;$C$15))</f>
        <v>0.887491129460176</v>
      </c>
      <c r="G343" s="11" t="n">
        <f aca="false">IF(D343=0,"",AVERAGEIFS(Market_Panel!$R$2:$R$2705,Market_Panel!$A$2:$A$2705,B343,Market_Panel!$B$2:$B$2705,"&gt;="&amp;$B$15,Market_Panel!$B$2:$B$2705,"&lt;="&amp;$C$15))</f>
        <v>0</v>
      </c>
      <c r="H343" s="11" t="n">
        <f aca="false">IF(OR(D343=0,$H$15=0),0,AVERAGEIFS(Market_Panel!$Y$2:$Y$2705,Market_Panel!$A$2:$A$2705,B343,Market_Panel!$B$2:$B$2705,"&gt;="&amp;$B$15,Market_Panel!$B$2:$B$2705,"&lt;="&amp;$C$15))</f>
        <v>0</v>
      </c>
      <c r="I343" s="10" t="n">
        <f aca="false">IF(D343=0,"",$I$15+$F$15*F343+$G$15*G343+$H$15*H343)</f>
        <v>0.018802731267421</v>
      </c>
      <c r="J343" s="5" t="n">
        <f aca="false">IF(D343&lt;5,"",(E343-I343)*162)</f>
        <v>-0.791237926969117</v>
      </c>
      <c r="K343" s="5" t="n">
        <f aca="false">IF(D343=0,"",E343*162)</f>
        <v>2.25480453835309</v>
      </c>
      <c r="L343" s="3" t="n">
        <f aca="false">SUMIFS(Seasons!$L$2:$L$2865,Seasons!$A$2:$A$2865,B343,Seasons!$B$2:$B$2865,"&gt;="&amp;$B$15,Seasons!$B$2:$B$2865,"&lt;="&amp;$C$15)</f>
        <v>3</v>
      </c>
      <c r="M343" s="3" t="n">
        <f aca="false">SUMIFS(Seasons!$N$2:$N$2865,Seasons!$A$2:$A$2865,B343,Seasons!$B$2:$B$2865,"&gt;="&amp;$B$15,Seasons!$B$2:$B$2865,"&lt;="&amp;$C$15)</f>
        <v>0</v>
      </c>
      <c r="N343" s="3" t="n">
        <f aca="false">IF(J343="",-1000000,J343+ROW()*0.000000001)</f>
        <v>-0.791237583969117</v>
      </c>
      <c r="O343" s="3" t="n">
        <f aca="false">IF(J343="","",SUMPRODUCT(($A$25:$A$534=A343)*($N$25:$N$534&gt;N343))+1)</f>
        <v>16</v>
      </c>
      <c r="P343" s="3" t="str">
        <f aca="false">A343&amp;"|"&amp;O343</f>
        <v>2000s|16</v>
      </c>
    </row>
    <row r="344" customFormat="false" ht="15" hidden="false" customHeight="true" outlineLevel="0" collapsed="false">
      <c r="A344" s="1" t="s">
        <v>19</v>
      </c>
      <c r="B344" s="7" t="s">
        <v>75</v>
      </c>
      <c r="C344" s="1" t="s">
        <v>72</v>
      </c>
      <c r="D344" s="3" t="n">
        <f aca="false">COUNTIFS(Market_Panel!$A$2:$A$2705,B344,Market_Panel!$B$2:$B$2705,"&gt;="&amp;$B$15,Market_Panel!$B$2:$B$2705,"&lt;="&amp;$C$15)</f>
        <v>10</v>
      </c>
      <c r="E344" s="10" t="n">
        <f aca="false">IF(D344=0,"",AVERAGEIFS(Market_Panel!$M$2:$M$2705,Market_Panel!$A$2:$A$2705,B344,Market_Panel!$B$2:$B$2705,"&gt;="&amp;$B$15,Market_Panel!$B$2:$B$2705,"&lt;="&amp;$C$15))</f>
        <v>0.00363559277182913</v>
      </c>
      <c r="F344" s="11" t="n">
        <f aca="false">IF(D344=0,"",AVERAGEIFS(Market_Panel!$P$2:$P$2705,Market_Panel!$A$2:$A$2705,B344,Market_Panel!$B$2:$B$2705,"&gt;="&amp;$B$15,Market_Panel!$B$2:$B$2705,"&lt;="&amp;$C$15))</f>
        <v>1.58201578097148</v>
      </c>
      <c r="G344" s="11" t="n">
        <f aca="false">IF(D344=0,"",AVERAGEIFS(Market_Panel!$R$2:$R$2705,Market_Panel!$A$2:$A$2705,B344,Market_Panel!$B$2:$B$2705,"&gt;="&amp;$B$15,Market_Panel!$B$2:$B$2705,"&lt;="&amp;$C$15))</f>
        <v>0</v>
      </c>
      <c r="H344" s="11" t="n">
        <f aca="false">IF(OR(D344=0,$H$15=0),0,AVERAGEIFS(Market_Panel!$Y$2:$Y$2705,Market_Panel!$A$2:$A$2705,B344,Market_Panel!$B$2:$B$2705,"&gt;="&amp;$B$15,Market_Panel!$B$2:$B$2705,"&lt;="&amp;$C$15))</f>
        <v>0</v>
      </c>
      <c r="I344" s="10" t="n">
        <f aca="false">IF(D344=0,"",$I$15+$F$15*F344+$G$15*G344+$H$15*H344)</f>
        <v>0.0312524401021432</v>
      </c>
      <c r="J344" s="5" t="n">
        <f aca="false">IF(D344&lt;5,"",(E344-I344)*162)</f>
        <v>-4.47392926751088</v>
      </c>
      <c r="K344" s="5" t="n">
        <f aca="false">IF(D344=0,"",E344*162)</f>
        <v>0.588966029036319</v>
      </c>
      <c r="L344" s="3" t="n">
        <f aca="false">SUMIFS(Seasons!$L$2:$L$2865,Seasons!$A$2:$A$2865,B344,Seasons!$B$2:$B$2865,"&gt;="&amp;$B$15,Seasons!$B$2:$B$2865,"&lt;="&amp;$C$15)</f>
        <v>2</v>
      </c>
      <c r="M344" s="3" t="n">
        <f aca="false">SUMIFS(Seasons!$N$2:$N$2865,Seasons!$A$2:$A$2865,B344,Seasons!$B$2:$B$2865,"&gt;="&amp;$B$15,Seasons!$B$2:$B$2865,"&lt;="&amp;$C$15)</f>
        <v>0</v>
      </c>
      <c r="N344" s="3" t="n">
        <f aca="false">IF(J344="",-1000000,J344+ROW()*0.000000001)</f>
        <v>-4.47392892351088</v>
      </c>
      <c r="O344" s="3" t="n">
        <f aca="false">IF(J344="","",SUMPRODUCT(($A$25:$A$534=A344)*($N$25:$N$534&gt;N344))+1)</f>
        <v>22</v>
      </c>
      <c r="P344" s="3" t="str">
        <f aca="false">A344&amp;"|"&amp;O344</f>
        <v>2000s|22</v>
      </c>
    </row>
    <row r="345" customFormat="false" ht="15" hidden="false" customHeight="true" outlineLevel="0" collapsed="false">
      <c r="A345" s="1" t="s">
        <v>19</v>
      </c>
      <c r="B345" s="7" t="s">
        <v>76</v>
      </c>
      <c r="C345" s="1" t="s">
        <v>72</v>
      </c>
      <c r="D345" s="3" t="n">
        <f aca="false">COUNTIFS(Market_Panel!$A$2:$A$2705,B345,Market_Panel!$B$2:$B$2705,"&gt;="&amp;$B$15,Market_Panel!$B$2:$B$2705,"&lt;="&amp;$C$15)</f>
        <v>10</v>
      </c>
      <c r="E345" s="10" t="n">
        <f aca="false">IF(D345=0,"",AVERAGEIFS(Market_Panel!$M$2:$M$2705,Market_Panel!$A$2:$A$2705,B345,Market_Panel!$B$2:$B$2705,"&gt;="&amp;$B$15,Market_Panel!$B$2:$B$2705,"&lt;="&amp;$C$15))</f>
        <v>-0.0851766148809583</v>
      </c>
      <c r="F345" s="11" t="n">
        <f aca="false">IF(D345=0,"",AVERAGEIFS(Market_Panel!$P$2:$P$2705,Market_Panel!$A$2:$A$2705,B345,Market_Panel!$B$2:$B$2705,"&gt;="&amp;$B$15,Market_Panel!$B$2:$B$2705,"&lt;="&amp;$C$15))</f>
        <v>-0.613850157724</v>
      </c>
      <c r="G345" s="11" t="n">
        <f aca="false">IF(D345=0,"",AVERAGEIFS(Market_Panel!$R$2:$R$2705,Market_Panel!$A$2:$A$2705,B345,Market_Panel!$B$2:$B$2705,"&gt;="&amp;$B$15,Market_Panel!$B$2:$B$2705,"&lt;="&amp;$C$15))</f>
        <v>0</v>
      </c>
      <c r="H345" s="11" t="n">
        <f aca="false">IF(OR(D345=0,$H$15=0),0,AVERAGEIFS(Market_Panel!$Y$2:$Y$2705,Market_Panel!$A$2:$A$2705,B345,Market_Panel!$B$2:$B$2705,"&gt;="&amp;$B$15,Market_Panel!$B$2:$B$2705,"&lt;="&amp;$C$15))</f>
        <v>0</v>
      </c>
      <c r="I345" s="10" t="n">
        <f aca="false">IF(D345=0,"",$I$15+$F$15*F345+$G$15*G345+$H$15*H345)</f>
        <v>-0.00810957752725918</v>
      </c>
      <c r="J345" s="5" t="n">
        <f aca="false">IF(D345&lt;5,"",(E345-I345)*162)</f>
        <v>-12.4848600512993</v>
      </c>
      <c r="K345" s="5" t="n">
        <f aca="false">IF(D345=0,"",E345*162)</f>
        <v>-13.7986116107152</v>
      </c>
      <c r="L345" s="3" t="n">
        <f aca="false">SUMIFS(Seasons!$L$2:$L$2865,Seasons!$A$2:$A$2865,B345,Seasons!$B$2:$B$2865,"&gt;="&amp;$B$15,Seasons!$B$2:$B$2865,"&lt;="&amp;$C$15)</f>
        <v>0</v>
      </c>
      <c r="M345" s="3" t="n">
        <f aca="false">SUMIFS(Seasons!$N$2:$N$2865,Seasons!$A$2:$A$2865,B345,Seasons!$B$2:$B$2865,"&gt;="&amp;$B$15,Seasons!$B$2:$B$2865,"&lt;="&amp;$C$15)</f>
        <v>0</v>
      </c>
      <c r="N345" s="3" t="n">
        <f aca="false">IF(J345="",-1000000,J345+ROW()*0.000000001)</f>
        <v>-12.4848597062993</v>
      </c>
      <c r="O345" s="3" t="n">
        <f aca="false">IF(J345="","",SUMPRODUCT(($A$25:$A$534=A345)*($N$25:$N$534&gt;N345))+1)</f>
        <v>30</v>
      </c>
      <c r="P345" s="3" t="str">
        <f aca="false">A345&amp;"|"&amp;O345</f>
        <v>2000s|30</v>
      </c>
    </row>
    <row r="346" customFormat="false" ht="15" hidden="false" customHeight="true" outlineLevel="0" collapsed="false">
      <c r="A346" s="1" t="s">
        <v>19</v>
      </c>
      <c r="B346" s="7" t="s">
        <v>77</v>
      </c>
      <c r="C346" s="1" t="s">
        <v>72</v>
      </c>
      <c r="D346" s="3" t="n">
        <f aca="false">COUNTIFS(Market_Panel!$A$2:$A$2705,B346,Market_Panel!$B$2:$B$2705,"&gt;="&amp;$B$15,Market_Panel!$B$2:$B$2705,"&lt;="&amp;$C$15)</f>
        <v>10</v>
      </c>
      <c r="E346" s="10" t="n">
        <f aca="false">IF(D346=0,"",AVERAGEIFS(Market_Panel!$M$2:$M$2705,Market_Panel!$A$2:$A$2705,B346,Market_Panel!$B$2:$B$2705,"&gt;="&amp;$B$15,Market_Panel!$B$2:$B$2705,"&lt;="&amp;$C$15))</f>
        <v>-0.0423271401474255</v>
      </c>
      <c r="F346" s="11" t="n">
        <f aca="false">IF(D346=0,"",AVERAGEIFS(Market_Panel!$P$2:$P$2705,Market_Panel!$A$2:$A$2705,B346,Market_Panel!$B$2:$B$2705,"&gt;="&amp;$B$15,Market_Panel!$B$2:$B$2705,"&lt;="&amp;$C$15))</f>
        <v>-0.332090856234958</v>
      </c>
      <c r="G346" s="11" t="n">
        <f aca="false">IF(D346=0,"",AVERAGEIFS(Market_Panel!$R$2:$R$2705,Market_Panel!$A$2:$A$2705,B346,Market_Panel!$B$2:$B$2705,"&gt;="&amp;$B$15,Market_Panel!$B$2:$B$2705,"&lt;="&amp;$C$15))</f>
        <v>0</v>
      </c>
      <c r="H346" s="11" t="n">
        <f aca="false">IF(OR(D346=0,$H$15=0),0,AVERAGEIFS(Market_Panel!$Y$2:$Y$2705,Market_Panel!$A$2:$A$2705,B346,Market_Panel!$B$2:$B$2705,"&gt;="&amp;$B$15,Market_Panel!$B$2:$B$2705,"&lt;="&amp;$C$15))</f>
        <v>0</v>
      </c>
      <c r="I346" s="10" t="n">
        <f aca="false">IF(D346=0,"",$I$15+$F$15*F346+$G$15*G346+$H$15*H346)</f>
        <v>-0.0030588982498856</v>
      </c>
      <c r="J346" s="5" t="n">
        <f aca="false">IF(D346&lt;5,"",(E346-I346)*162)</f>
        <v>-6.36145518740147</v>
      </c>
      <c r="K346" s="5" t="n">
        <f aca="false">IF(D346=0,"",E346*162)</f>
        <v>-6.85699670388294</v>
      </c>
      <c r="L346" s="3" t="n">
        <f aca="false">SUMIFS(Seasons!$L$2:$L$2865,Seasons!$A$2:$A$2865,B346,Seasons!$B$2:$B$2865,"&gt;="&amp;$B$15,Seasons!$B$2:$B$2865,"&lt;="&amp;$C$15)</f>
        <v>1</v>
      </c>
      <c r="M346" s="3" t="n">
        <f aca="false">SUMIFS(Seasons!$N$2:$N$2865,Seasons!$A$2:$A$2865,B346,Seasons!$B$2:$B$2865,"&gt;="&amp;$B$15,Seasons!$B$2:$B$2865,"&lt;="&amp;$C$15)</f>
        <v>0</v>
      </c>
      <c r="N346" s="3" t="n">
        <f aca="false">IF(J346="",-1000000,J346+ROW()*0.000000001)</f>
        <v>-6.36145484140147</v>
      </c>
      <c r="O346" s="3" t="n">
        <f aca="false">IF(J346="","",SUMPRODUCT(($A$25:$A$534=A346)*($N$25:$N$534&gt;N346))+1)</f>
        <v>25</v>
      </c>
      <c r="P346" s="3" t="str">
        <f aca="false">A346&amp;"|"&amp;O346</f>
        <v>2000s|25</v>
      </c>
    </row>
    <row r="347" customFormat="false" ht="15" hidden="false" customHeight="true" outlineLevel="0" collapsed="false">
      <c r="A347" s="1" t="s">
        <v>19</v>
      </c>
      <c r="B347" s="7" t="s">
        <v>78</v>
      </c>
      <c r="C347" s="1" t="s">
        <v>72</v>
      </c>
      <c r="D347" s="3" t="n">
        <f aca="false">COUNTIFS(Market_Panel!$A$2:$A$2705,B347,Market_Panel!$B$2:$B$2705,"&gt;="&amp;$B$15,Market_Panel!$B$2:$B$2705,"&lt;="&amp;$C$15)</f>
        <v>10</v>
      </c>
      <c r="E347" s="10" t="n">
        <f aca="false">IF(D347=0,"",AVERAGEIFS(Market_Panel!$M$2:$M$2705,Market_Panel!$A$2:$A$2705,B347,Market_Panel!$B$2:$B$2705,"&gt;="&amp;$B$15,Market_Panel!$B$2:$B$2705,"&lt;="&amp;$C$15))</f>
        <v>-0.0256371162821549</v>
      </c>
      <c r="F347" s="11" t="n">
        <f aca="false">IF(D347=0,"",AVERAGEIFS(Market_Panel!$P$2:$P$2705,Market_Panel!$A$2:$A$2705,B347,Market_Panel!$B$2:$B$2705,"&gt;="&amp;$B$15,Market_Panel!$B$2:$B$2705,"&lt;="&amp;$C$15))</f>
        <v>0.416925161936826</v>
      </c>
      <c r="G347" s="11" t="n">
        <f aca="false">IF(D347=0,"",AVERAGEIFS(Market_Panel!$R$2:$R$2705,Market_Panel!$A$2:$A$2705,B347,Market_Panel!$B$2:$B$2705,"&gt;="&amp;$B$15,Market_Panel!$B$2:$B$2705,"&lt;="&amp;$C$15))</f>
        <v>0</v>
      </c>
      <c r="H347" s="11" t="n">
        <f aca="false">IF(OR(D347=0,$H$15=0),0,AVERAGEIFS(Market_Panel!$Y$2:$Y$2705,Market_Panel!$A$2:$A$2705,B347,Market_Panel!$B$2:$B$2705,"&gt;="&amp;$B$15,Market_Panel!$B$2:$B$2705,"&lt;="&amp;$C$15))</f>
        <v>0</v>
      </c>
      <c r="I347" s="10" t="n">
        <f aca="false">IF(D347=0,"",$I$15+$F$15*F347+$G$15*G347+$H$15*H347)</f>
        <v>0.0103675961423438</v>
      </c>
      <c r="J347" s="5" t="n">
        <f aca="false">IF(D347&lt;5,"",(E347-I347)*162)</f>
        <v>-5.8327634127688</v>
      </c>
      <c r="K347" s="5" t="n">
        <f aca="false">IF(D347=0,"",E347*162)</f>
        <v>-4.1532128377091</v>
      </c>
      <c r="L347" s="3" t="n">
        <f aca="false">SUMIFS(Seasons!$L$2:$L$2865,Seasons!$A$2:$A$2865,B347,Seasons!$B$2:$B$2865,"&gt;="&amp;$B$15,Seasons!$B$2:$B$2865,"&lt;="&amp;$C$15)</f>
        <v>2</v>
      </c>
      <c r="M347" s="3" t="n">
        <f aca="false">SUMIFS(Seasons!$N$2:$N$2865,Seasons!$A$2:$A$2865,B347,Seasons!$B$2:$B$2865,"&gt;="&amp;$B$15,Seasons!$B$2:$B$2865,"&lt;="&amp;$C$15)</f>
        <v>0</v>
      </c>
      <c r="N347" s="3" t="n">
        <f aca="false">IF(J347="",-1000000,J347+ROW()*0.000000001)</f>
        <v>-5.8327630657688</v>
      </c>
      <c r="O347" s="3" t="n">
        <f aca="false">IF(J347="","",SUMPRODUCT(($A$25:$A$534=A347)*($N$25:$N$534&gt;N347))+1)</f>
        <v>24</v>
      </c>
      <c r="P347" s="3" t="str">
        <f aca="false">A347&amp;"|"&amp;O347</f>
        <v>2000s|24</v>
      </c>
    </row>
    <row r="348" customFormat="false" ht="15" hidden="false" customHeight="true" outlineLevel="0" collapsed="false">
      <c r="A348" s="1" t="s">
        <v>19</v>
      </c>
      <c r="B348" s="7" t="s">
        <v>79</v>
      </c>
      <c r="C348" s="1" t="s">
        <v>72</v>
      </c>
      <c r="D348" s="3" t="n">
        <f aca="false">COUNTIFS(Market_Panel!$A$2:$A$2705,B348,Market_Panel!$B$2:$B$2705,"&gt;="&amp;$B$15,Market_Panel!$B$2:$B$2705,"&lt;="&amp;$C$15)</f>
        <v>10</v>
      </c>
      <c r="E348" s="10" t="n">
        <f aca="false">IF(D348=0,"",AVERAGEIFS(Market_Panel!$M$2:$M$2705,Market_Panel!$A$2:$A$2705,B348,Market_Panel!$B$2:$B$2705,"&gt;="&amp;$B$15,Market_Panel!$B$2:$B$2705,"&lt;="&amp;$C$15))</f>
        <v>-0.0608763311603846</v>
      </c>
      <c r="F348" s="11" t="n">
        <f aca="false">IF(D348=0,"",AVERAGEIFS(Market_Panel!$P$2:$P$2705,Market_Panel!$A$2:$A$2705,B348,Market_Panel!$B$2:$B$2705,"&gt;="&amp;$B$15,Market_Panel!$B$2:$B$2705,"&lt;="&amp;$C$15))</f>
        <v>-0.0105972581633299</v>
      </c>
      <c r="G348" s="11" t="n">
        <f aca="false">IF(D348=0,"",AVERAGEIFS(Market_Panel!$R$2:$R$2705,Market_Panel!$A$2:$A$2705,B348,Market_Panel!$B$2:$B$2705,"&gt;="&amp;$B$15,Market_Panel!$B$2:$B$2705,"&lt;="&amp;$C$15))</f>
        <v>0</v>
      </c>
      <c r="H348" s="11" t="n">
        <f aca="false">IF(OR(D348=0,$H$15=0),0,AVERAGEIFS(Market_Panel!$Y$2:$Y$2705,Market_Panel!$A$2:$A$2705,B348,Market_Panel!$B$2:$B$2705,"&gt;="&amp;$B$15,Market_Panel!$B$2:$B$2705,"&lt;="&amp;$C$15))</f>
        <v>0</v>
      </c>
      <c r="I348" s="10" t="n">
        <f aca="false">IF(D348=0,"",$I$15+$F$15*F348+$G$15*G348+$H$15*H348)</f>
        <v>0.00270403857245669</v>
      </c>
      <c r="J348" s="5" t="n">
        <f aca="false">IF(D348&lt;5,"",(E348-I348)*162)</f>
        <v>-10.3000198967203</v>
      </c>
      <c r="K348" s="5" t="n">
        <f aca="false">IF(D348=0,"",E348*162)</f>
        <v>-9.86196564798231</v>
      </c>
      <c r="L348" s="3" t="n">
        <f aca="false">SUMIFS(Seasons!$L$2:$L$2865,Seasons!$A$2:$A$2865,B348,Seasons!$B$2:$B$2865,"&gt;="&amp;$B$15,Seasons!$B$2:$B$2865,"&lt;="&amp;$C$15)</f>
        <v>0</v>
      </c>
      <c r="M348" s="3" t="n">
        <f aca="false">SUMIFS(Seasons!$N$2:$N$2865,Seasons!$A$2:$A$2865,B348,Seasons!$B$2:$B$2865,"&gt;="&amp;$B$15,Seasons!$B$2:$B$2865,"&lt;="&amp;$C$15)</f>
        <v>0</v>
      </c>
      <c r="N348" s="3" t="n">
        <f aca="false">IF(J348="",-1000000,J348+ROW()*0.000000001)</f>
        <v>-10.3000195487203</v>
      </c>
      <c r="O348" s="3" t="n">
        <f aca="false">IF(J348="","",SUMPRODUCT(($A$25:$A$534=A348)*($N$25:$N$534&gt;N348))+1)</f>
        <v>27</v>
      </c>
      <c r="P348" s="3" t="str">
        <f aca="false">A348&amp;"|"&amp;O348</f>
        <v>2000s|27</v>
      </c>
    </row>
    <row r="349" customFormat="false" ht="15" hidden="false" customHeight="true" outlineLevel="0" collapsed="false">
      <c r="A349" s="1" t="s">
        <v>19</v>
      </c>
      <c r="B349" s="7" t="s">
        <v>80</v>
      </c>
      <c r="C349" s="1" t="s">
        <v>72</v>
      </c>
      <c r="D349" s="3" t="n">
        <f aca="false">COUNTIFS(Market_Panel!$A$2:$A$2705,B349,Market_Panel!$B$2:$B$2705,"&gt;="&amp;$B$15,Market_Panel!$B$2:$B$2705,"&lt;="&amp;$C$15)</f>
        <v>10</v>
      </c>
      <c r="E349" s="10" t="n">
        <f aca="false">IF(D349=0,"",AVERAGEIFS(Market_Panel!$M$2:$M$2705,Market_Panel!$A$2:$A$2705,B349,Market_Panel!$B$2:$B$2705,"&gt;="&amp;$B$15,Market_Panel!$B$2:$B$2705,"&lt;="&amp;$C$15))</f>
        <v>0.0166752369708936</v>
      </c>
      <c r="F349" s="11" t="n">
        <f aca="false">IF(D349=0,"",AVERAGEIFS(Market_Panel!$P$2:$P$2705,Market_Panel!$A$2:$A$2705,B349,Market_Panel!$B$2:$B$2705,"&gt;="&amp;$B$15,Market_Panel!$B$2:$B$2705,"&lt;="&amp;$C$15))</f>
        <v>-0.353611670144992</v>
      </c>
      <c r="G349" s="11" t="n">
        <f aca="false">IF(D349=0,"",AVERAGEIFS(Market_Panel!$R$2:$R$2705,Market_Panel!$A$2:$A$2705,B349,Market_Panel!$B$2:$B$2705,"&gt;="&amp;$B$15,Market_Panel!$B$2:$B$2705,"&lt;="&amp;$C$15))</f>
        <v>0</v>
      </c>
      <c r="H349" s="11" t="n">
        <f aca="false">IF(OR(D349=0,$H$15=0),0,AVERAGEIFS(Market_Panel!$Y$2:$Y$2705,Market_Panel!$A$2:$A$2705,B349,Market_Panel!$B$2:$B$2705,"&gt;="&amp;$B$15,Market_Panel!$B$2:$B$2705,"&lt;="&amp;$C$15))</f>
        <v>0</v>
      </c>
      <c r="I349" s="10" t="n">
        <f aca="false">IF(D349=0,"",$I$15+$F$15*F349+$G$15*G349+$H$15*H349)</f>
        <v>-0.00344466982254778</v>
      </c>
      <c r="J349" s="5" t="n">
        <f aca="false">IF(D349&lt;5,"",(E349-I349)*162)</f>
        <v>3.2594249005375</v>
      </c>
      <c r="K349" s="5" t="n">
        <f aca="false">IF(D349=0,"",E349*162)</f>
        <v>2.70138838928476</v>
      </c>
      <c r="L349" s="3" t="n">
        <f aca="false">SUMIFS(Seasons!$L$2:$L$2865,Seasons!$A$2:$A$2865,B349,Seasons!$B$2:$B$2865,"&gt;="&amp;$B$15,Seasons!$B$2:$B$2865,"&lt;="&amp;$C$15)</f>
        <v>2</v>
      </c>
      <c r="M349" s="3" t="n">
        <f aca="false">SUMIFS(Seasons!$N$2:$N$2865,Seasons!$A$2:$A$2865,B349,Seasons!$B$2:$B$2865,"&gt;="&amp;$B$15,Seasons!$B$2:$B$2865,"&lt;="&amp;$C$15)</f>
        <v>0</v>
      </c>
      <c r="N349" s="3" t="n">
        <f aca="false">IF(J349="",-1000000,J349+ROW()*0.000000001)</f>
        <v>3.2594252495375</v>
      </c>
      <c r="O349" s="3" t="n">
        <f aca="false">IF(J349="","",SUMPRODUCT(($A$25:$A$534=A349)*($N$25:$N$534&gt;N349))+1)</f>
        <v>10</v>
      </c>
      <c r="P349" s="3" t="str">
        <f aca="false">A349&amp;"|"&amp;O349</f>
        <v>2000s|10</v>
      </c>
    </row>
    <row r="350" customFormat="false" ht="15" hidden="false" customHeight="true" outlineLevel="0" collapsed="false">
      <c r="A350" s="1" t="s">
        <v>19</v>
      </c>
      <c r="B350" s="7" t="s">
        <v>81</v>
      </c>
      <c r="C350" s="1" t="s">
        <v>72</v>
      </c>
      <c r="D350" s="3" t="n">
        <f aca="false">COUNTIFS(Market_Panel!$A$2:$A$2705,B350,Market_Panel!$B$2:$B$2705,"&gt;="&amp;$B$15,Market_Panel!$B$2:$B$2705,"&lt;="&amp;$C$15)</f>
        <v>10</v>
      </c>
      <c r="E350" s="10" t="n">
        <f aca="false">IF(D350=0,"",AVERAGEIFS(Market_Panel!$M$2:$M$2705,Market_Panel!$A$2:$A$2705,B350,Market_Panel!$B$2:$B$2705,"&gt;="&amp;$B$15,Market_Panel!$B$2:$B$2705,"&lt;="&amp;$C$15))</f>
        <v>-0.00282096730791935</v>
      </c>
      <c r="F350" s="11" t="n">
        <f aca="false">IF(D350=0,"",AVERAGEIFS(Market_Panel!$P$2:$P$2705,Market_Panel!$A$2:$A$2705,B350,Market_Panel!$B$2:$B$2705,"&gt;="&amp;$B$15,Market_Panel!$B$2:$B$2705,"&lt;="&amp;$C$15))</f>
        <v>1.11786025954975</v>
      </c>
      <c r="G350" s="11" t="n">
        <f aca="false">IF(D350=0,"",AVERAGEIFS(Market_Panel!$R$2:$R$2705,Market_Panel!$A$2:$A$2705,B350,Market_Panel!$B$2:$B$2705,"&gt;="&amp;$B$15,Market_Panel!$B$2:$B$2705,"&lt;="&amp;$C$15))</f>
        <v>0</v>
      </c>
      <c r="H350" s="11" t="n">
        <f aca="false">IF(OR(D350=0,$H$15=0),0,AVERAGEIFS(Market_Panel!$Y$2:$Y$2705,Market_Panel!$A$2:$A$2705,B350,Market_Panel!$B$2:$B$2705,"&gt;="&amp;$B$15,Market_Panel!$B$2:$B$2705,"&lt;="&amp;$C$15))</f>
        <v>0</v>
      </c>
      <c r="I350" s="10" t="n">
        <f aca="false">IF(D350=0,"",$I$15+$F$15*F350+$G$15*G350+$H$15*H350)</f>
        <v>0.0229322154950614</v>
      </c>
      <c r="J350" s="5" t="n">
        <f aca="false">IF(D350&lt;5,"",(E350-I350)*162)</f>
        <v>-4.17201561408289</v>
      </c>
      <c r="K350" s="5" t="n">
        <f aca="false">IF(D350=0,"",E350*162)</f>
        <v>-0.456996703882934</v>
      </c>
      <c r="L350" s="3" t="n">
        <f aca="false">SUMIFS(Seasons!$L$2:$L$2865,Seasons!$A$2:$A$2865,B350,Seasons!$B$2:$B$2865,"&gt;="&amp;$B$15,Seasons!$B$2:$B$2865,"&lt;="&amp;$C$15)</f>
        <v>0</v>
      </c>
      <c r="M350" s="3" t="n">
        <f aca="false">SUMIFS(Seasons!$N$2:$N$2865,Seasons!$A$2:$A$2865,B350,Seasons!$B$2:$B$2865,"&gt;="&amp;$B$15,Seasons!$B$2:$B$2865,"&lt;="&amp;$C$15)</f>
        <v>0</v>
      </c>
      <c r="N350" s="3" t="n">
        <f aca="false">IF(J350="",-1000000,J350+ROW()*0.000000001)</f>
        <v>-4.17201526408289</v>
      </c>
      <c r="O350" s="3" t="n">
        <f aca="false">IF(J350="","",SUMPRODUCT(($A$25:$A$534=A350)*($N$25:$N$534&gt;N350))+1)</f>
        <v>21</v>
      </c>
      <c r="P350" s="3" t="str">
        <f aca="false">A350&amp;"|"&amp;O350</f>
        <v>2000s|21</v>
      </c>
    </row>
    <row r="351" customFormat="false" ht="15" hidden="false" customHeight="true" outlineLevel="0" collapsed="false">
      <c r="A351" s="1" t="s">
        <v>19</v>
      </c>
      <c r="B351" s="7" t="s">
        <v>82</v>
      </c>
      <c r="C351" s="1" t="s">
        <v>72</v>
      </c>
      <c r="D351" s="3" t="n">
        <f aca="false">COUNTIFS(Market_Panel!$A$2:$A$2705,B351,Market_Panel!$B$2:$B$2705,"&gt;="&amp;$B$15,Market_Panel!$B$2:$B$2705,"&lt;="&amp;$C$15)</f>
        <v>10</v>
      </c>
      <c r="E351" s="10" t="n">
        <f aca="false">IF(D351=0,"",AVERAGEIFS(Market_Panel!$M$2:$M$2705,Market_Panel!$A$2:$A$2705,B351,Market_Panel!$B$2:$B$2705,"&gt;="&amp;$B$15,Market_Panel!$B$2:$B$2705,"&lt;="&amp;$C$15))</f>
        <v>-0.0256409033002569</v>
      </c>
      <c r="F351" s="11" t="n">
        <f aca="false">IF(D351=0,"",AVERAGEIFS(Market_Panel!$P$2:$P$2705,Market_Panel!$A$2:$A$2705,B351,Market_Panel!$B$2:$B$2705,"&gt;="&amp;$B$15,Market_Panel!$B$2:$B$2705,"&lt;="&amp;$C$15))</f>
        <v>-0.368539174481677</v>
      </c>
      <c r="G351" s="11" t="n">
        <f aca="false">IF(D351=0,"",AVERAGEIFS(Market_Panel!$R$2:$R$2705,Market_Panel!$A$2:$A$2705,B351,Market_Panel!$B$2:$B$2705,"&gt;="&amp;$B$15,Market_Panel!$B$2:$B$2705,"&lt;="&amp;$C$15))</f>
        <v>0.3</v>
      </c>
      <c r="H351" s="11" t="n">
        <f aca="false">IF(OR(D351=0,$H$15=0),0,AVERAGEIFS(Market_Panel!$Y$2:$Y$2705,Market_Panel!$A$2:$A$2705,B351,Market_Panel!$B$2:$B$2705,"&gt;="&amp;$B$15,Market_Panel!$B$2:$B$2705,"&lt;="&amp;$C$15))</f>
        <v>0</v>
      </c>
      <c r="I351" s="10" t="n">
        <f aca="false">IF(D351=0,"",$I$15+$F$15*F351+$G$15*G351+$H$15*H351)</f>
        <v>-0.0155513431838359</v>
      </c>
      <c r="J351" s="5" t="n">
        <f aca="false">IF(D351&lt;5,"",(E351-I351)*162)</f>
        <v>-1.63450873886021</v>
      </c>
      <c r="K351" s="5" t="n">
        <f aca="false">IF(D351=0,"",E351*162)</f>
        <v>-4.15382633464162</v>
      </c>
      <c r="L351" s="3" t="n">
        <f aca="false">SUMIFS(Seasons!$L$2:$L$2865,Seasons!$A$2:$A$2865,B351,Seasons!$B$2:$B$2865,"&gt;="&amp;$B$15,Seasons!$B$2:$B$2865,"&lt;="&amp;$C$15)</f>
        <v>2</v>
      </c>
      <c r="M351" s="3" t="n">
        <f aca="false">SUMIFS(Seasons!$N$2:$N$2865,Seasons!$A$2:$A$2865,B351,Seasons!$B$2:$B$2865,"&gt;="&amp;$B$15,Seasons!$B$2:$B$2865,"&lt;="&amp;$C$15)</f>
        <v>0</v>
      </c>
      <c r="N351" s="3" t="n">
        <f aca="false">IF(J351="",-1000000,J351+ROW()*0.000000001)</f>
        <v>-1.63450838786021</v>
      </c>
      <c r="O351" s="3" t="n">
        <f aca="false">IF(J351="","",SUMPRODUCT(($A$25:$A$534=A351)*($N$25:$N$534&gt;N351))+1)</f>
        <v>17</v>
      </c>
      <c r="P351" s="3" t="str">
        <f aca="false">A351&amp;"|"&amp;O351</f>
        <v>2000s|17</v>
      </c>
    </row>
    <row r="352" customFormat="false" ht="15" hidden="false" customHeight="true" outlineLevel="0" collapsed="false">
      <c r="A352" s="1" t="s">
        <v>19</v>
      </c>
      <c r="B352" s="7" t="s">
        <v>83</v>
      </c>
      <c r="C352" s="1" t="s">
        <v>72</v>
      </c>
      <c r="D352" s="3" t="n">
        <f aca="false">COUNTIFS(Market_Panel!$A$2:$A$2705,B352,Market_Panel!$B$2:$B$2705,"&gt;="&amp;$B$15,Market_Panel!$B$2:$B$2705,"&lt;="&amp;$C$15)</f>
        <v>10</v>
      </c>
      <c r="E352" s="10" t="n">
        <f aca="false">IF(D352=0,"",AVERAGEIFS(Market_Panel!$M$2:$M$2705,Market_Panel!$A$2:$A$2705,B352,Market_Panel!$B$2:$B$2705,"&gt;="&amp;$B$15,Market_Panel!$B$2:$B$2705,"&lt;="&amp;$C$15))</f>
        <v>0.00125080632907168</v>
      </c>
      <c r="F352" s="11" t="n">
        <f aca="false">IF(D352=0,"",AVERAGEIFS(Market_Panel!$P$2:$P$2705,Market_Panel!$A$2:$A$2705,B352,Market_Panel!$B$2:$B$2705,"&gt;="&amp;$B$15,Market_Panel!$B$2:$B$2705,"&lt;="&amp;$C$15))</f>
        <v>-0.785681929298147</v>
      </c>
      <c r="G352" s="11" t="n">
        <f aca="false">IF(D352=0,"",AVERAGEIFS(Market_Panel!$R$2:$R$2705,Market_Panel!$A$2:$A$2705,B352,Market_Panel!$B$2:$B$2705,"&gt;="&amp;$B$15,Market_Panel!$B$2:$B$2705,"&lt;="&amp;$C$15))</f>
        <v>0.3</v>
      </c>
      <c r="H352" s="11" t="n">
        <f aca="false">IF(OR(D352=0,$H$15=0),0,AVERAGEIFS(Market_Panel!$Y$2:$Y$2705,Market_Panel!$A$2:$A$2705,B352,Market_Panel!$B$2:$B$2705,"&gt;="&amp;$B$15,Market_Panel!$B$2:$B$2705,"&lt;="&amp;$C$15))</f>
        <v>0</v>
      </c>
      <c r="I352" s="10" t="n">
        <f aca="false">IF(D352=0,"",$I$15+$F$15*F352+$G$15*G352+$H$15*H352)</f>
        <v>-0.0230288399561652</v>
      </c>
      <c r="J352" s="5" t="n">
        <f aca="false">IF(D352&lt;5,"",(E352-I352)*162)</f>
        <v>3.93330269820837</v>
      </c>
      <c r="K352" s="5" t="n">
        <f aca="false">IF(D352=0,"",E352*162)</f>
        <v>0.202630625309612</v>
      </c>
      <c r="L352" s="3" t="n">
        <f aca="false">SUMIFS(Seasons!$L$2:$L$2865,Seasons!$A$2:$A$2865,B352,Seasons!$B$2:$B$2865,"&gt;="&amp;$B$15,Seasons!$B$2:$B$2865,"&lt;="&amp;$C$15)</f>
        <v>1</v>
      </c>
      <c r="M352" s="3" t="n">
        <f aca="false">SUMIFS(Seasons!$N$2:$N$2865,Seasons!$A$2:$A$2865,B352,Seasons!$B$2:$B$2865,"&gt;="&amp;$B$15,Seasons!$B$2:$B$2865,"&lt;="&amp;$C$15)</f>
        <v>1</v>
      </c>
      <c r="N352" s="3" t="n">
        <f aca="false">IF(J352="",-1000000,J352+ROW()*0.000000001)</f>
        <v>3.93330305020837</v>
      </c>
      <c r="O352" s="3" t="n">
        <f aca="false">IF(J352="","",SUMPRODUCT(($A$25:$A$534=A352)*($N$25:$N$534&gt;N352))+1)</f>
        <v>9</v>
      </c>
      <c r="P352" s="3" t="str">
        <f aca="false">A352&amp;"|"&amp;O352</f>
        <v>2000s|9</v>
      </c>
    </row>
    <row r="353" customFormat="false" ht="15" hidden="false" customHeight="true" outlineLevel="0" collapsed="false">
      <c r="A353" s="1" t="s">
        <v>19</v>
      </c>
      <c r="B353" s="7" t="s">
        <v>84</v>
      </c>
      <c r="C353" s="1" t="s">
        <v>72</v>
      </c>
      <c r="D353" s="3" t="n">
        <f aca="false">COUNTIFS(Market_Panel!$A$2:$A$2705,B353,Market_Panel!$B$2:$B$2705,"&gt;="&amp;$B$15,Market_Panel!$B$2:$B$2705,"&lt;="&amp;$C$15)</f>
        <v>10</v>
      </c>
      <c r="E353" s="10" t="n">
        <f aca="false">IF(D353=0,"",AVERAGEIFS(Market_Panel!$M$2:$M$2705,Market_Panel!$A$2:$A$2705,B353,Market_Panel!$B$2:$B$2705,"&gt;="&amp;$B$15,Market_Panel!$B$2:$B$2705,"&lt;="&amp;$C$15))</f>
        <v>-0.00307784944885948</v>
      </c>
      <c r="F353" s="11" t="n">
        <f aca="false">IF(D353=0,"",AVERAGEIFS(Market_Panel!$P$2:$P$2705,Market_Panel!$A$2:$A$2705,B353,Market_Panel!$B$2:$B$2705,"&gt;="&amp;$B$15,Market_Panel!$B$2:$B$2705,"&lt;="&amp;$C$15))</f>
        <v>0.504386319574138</v>
      </c>
      <c r="G353" s="11" t="n">
        <f aca="false">IF(D353=0,"",AVERAGEIFS(Market_Panel!$R$2:$R$2705,Market_Panel!$A$2:$A$2705,B353,Market_Panel!$B$2:$B$2705,"&gt;="&amp;$B$15,Market_Panel!$B$2:$B$2705,"&lt;="&amp;$C$15))</f>
        <v>0.8</v>
      </c>
      <c r="H353" s="11" t="n">
        <f aca="false">IF(OR(D353=0,$H$15=0),0,AVERAGEIFS(Market_Panel!$Y$2:$Y$2705,Market_Panel!$A$2:$A$2705,B353,Market_Panel!$B$2:$B$2705,"&gt;="&amp;$B$15,Market_Panel!$B$2:$B$2705,"&lt;="&amp;$C$15))</f>
        <v>0</v>
      </c>
      <c r="I353" s="10" t="n">
        <f aca="false">IF(D353=0,"",$I$15+$F$15*F353+$G$15*G353+$H$15*H353)</f>
        <v>-0.0196355252442928</v>
      </c>
      <c r="J353" s="5" t="n">
        <f aca="false">IF(D353&lt;5,"",(E353-I353)*162)</f>
        <v>2.68234347886019</v>
      </c>
      <c r="K353" s="5" t="n">
        <f aca="false">IF(D353=0,"",E353*162)</f>
        <v>-0.498611610715235</v>
      </c>
      <c r="L353" s="3" t="n">
        <f aca="false">SUMIFS(Seasons!$L$2:$L$2865,Seasons!$A$2:$A$2865,B353,Seasons!$B$2:$B$2865,"&gt;="&amp;$B$15,Seasons!$B$2:$B$2865,"&lt;="&amp;$C$15)</f>
        <v>3</v>
      </c>
      <c r="M353" s="3" t="n">
        <f aca="false">SUMIFS(Seasons!$N$2:$N$2865,Seasons!$A$2:$A$2865,B353,Seasons!$B$2:$B$2865,"&gt;="&amp;$B$15,Seasons!$B$2:$B$2865,"&lt;="&amp;$C$15)</f>
        <v>1</v>
      </c>
      <c r="N353" s="3" t="n">
        <f aca="false">IF(J353="",-1000000,J353+ROW()*0.000000001)</f>
        <v>2.68234383186019</v>
      </c>
      <c r="O353" s="3" t="n">
        <f aca="false">IF(J353="","",SUMPRODUCT(($A$25:$A$534=A353)*($N$25:$N$534&gt;N353))+1)</f>
        <v>11</v>
      </c>
      <c r="P353" s="3" t="str">
        <f aca="false">A353&amp;"|"&amp;O353</f>
        <v>2000s|11</v>
      </c>
    </row>
    <row r="354" customFormat="false" ht="15" hidden="false" customHeight="true" outlineLevel="0" collapsed="false">
      <c r="A354" s="1" t="s">
        <v>19</v>
      </c>
      <c r="B354" s="7" t="s">
        <v>85</v>
      </c>
      <c r="C354" s="1" t="s">
        <v>72</v>
      </c>
      <c r="D354" s="3" t="n">
        <f aca="false">COUNTIFS(Market_Panel!$A$2:$A$2705,B354,Market_Panel!$B$2:$B$2705,"&gt;="&amp;$B$15,Market_Panel!$B$2:$B$2705,"&lt;="&amp;$C$15)</f>
        <v>10</v>
      </c>
      <c r="E354" s="10" t="n">
        <f aca="false">IF(D354=0,"",AVERAGEIFS(Market_Panel!$M$2:$M$2705,Market_Panel!$A$2:$A$2705,B354,Market_Panel!$B$2:$B$2705,"&gt;="&amp;$B$15,Market_Panel!$B$2:$B$2705,"&lt;="&amp;$C$15))</f>
        <v>-0.0708525599771932</v>
      </c>
      <c r="F354" s="11" t="n">
        <f aca="false">IF(D354=0,"",AVERAGEIFS(Market_Panel!$P$2:$P$2705,Market_Panel!$A$2:$A$2705,B354,Market_Panel!$B$2:$B$2705,"&gt;="&amp;$B$15,Market_Panel!$B$2:$B$2705,"&lt;="&amp;$C$15))</f>
        <v>-0.961673674992673</v>
      </c>
      <c r="G354" s="11" t="n">
        <f aca="false">IF(D354=0,"",AVERAGEIFS(Market_Panel!$R$2:$R$2705,Market_Panel!$A$2:$A$2705,B354,Market_Panel!$B$2:$B$2705,"&gt;="&amp;$B$15,Market_Panel!$B$2:$B$2705,"&lt;="&amp;$C$15))</f>
        <v>0.8</v>
      </c>
      <c r="H354" s="11" t="n">
        <f aca="false">IF(OR(D354=0,$H$15=0),0,AVERAGEIFS(Market_Panel!$Y$2:$Y$2705,Market_Panel!$A$2:$A$2705,B354,Market_Panel!$B$2:$B$2705,"&gt;="&amp;$B$15,Market_Panel!$B$2:$B$2705,"&lt;="&amp;$C$15))</f>
        <v>0</v>
      </c>
      <c r="I354" s="10" t="n">
        <f aca="false">IF(D354=0,"",$I$15+$F$15*F354+$G$15*G354+$H$15*H354)</f>
        <v>-0.0459153988627081</v>
      </c>
      <c r="J354" s="5" t="n">
        <f aca="false">IF(D354&lt;5,"",(E354-I354)*162)</f>
        <v>-4.03982010054658</v>
      </c>
      <c r="K354" s="5" t="n">
        <f aca="false">IF(D354=0,"",E354*162)</f>
        <v>-11.4781147163053</v>
      </c>
      <c r="L354" s="3" t="n">
        <f aca="false">SUMIFS(Seasons!$L$2:$L$2865,Seasons!$A$2:$A$2865,B354,Seasons!$B$2:$B$2865,"&gt;="&amp;$B$15,Seasons!$B$2:$B$2865,"&lt;="&amp;$C$15)</f>
        <v>1</v>
      </c>
      <c r="M354" s="3" t="n">
        <f aca="false">SUMIFS(Seasons!$N$2:$N$2865,Seasons!$A$2:$A$2865,B354,Seasons!$B$2:$B$2865,"&gt;="&amp;$B$15,Seasons!$B$2:$B$2865,"&lt;="&amp;$C$15)</f>
        <v>0</v>
      </c>
      <c r="N354" s="3" t="n">
        <f aca="false">IF(J354="",-1000000,J354+ROW()*0.000000001)</f>
        <v>-4.03981974654658</v>
      </c>
      <c r="O354" s="3" t="n">
        <f aca="false">IF(J354="","",SUMPRODUCT(($A$25:$A$534=A354)*($N$25:$N$534&gt;N354))+1)</f>
        <v>20</v>
      </c>
      <c r="P354" s="3" t="str">
        <f aca="false">A354&amp;"|"&amp;O354</f>
        <v>2000s|20</v>
      </c>
    </row>
    <row r="355" customFormat="false" ht="15" hidden="false" customHeight="true" outlineLevel="0" collapsed="false">
      <c r="A355" s="1" t="s">
        <v>20</v>
      </c>
      <c r="B355" s="7" t="s">
        <v>54</v>
      </c>
      <c r="C355" s="1" t="s">
        <v>55</v>
      </c>
      <c r="D355" s="3" t="n">
        <f aca="false">COUNTIFS(Market_Panel!$A$2:$A$2705,B355,Market_Panel!$B$2:$B$2705,"&gt;="&amp;$B$16,Market_Panel!$B$2:$B$2705,"&lt;="&amp;$C$16)</f>
        <v>10</v>
      </c>
      <c r="E355" s="10" t="n">
        <f aca="false">IF(D355=0,"",AVERAGEIFS(Market_Panel!$M$2:$M$2705,Market_Panel!$A$2:$A$2705,B355,Market_Panel!$B$2:$B$2705,"&gt;="&amp;$B$16,Market_Panel!$B$2:$B$2705,"&lt;="&amp;$C$16))</f>
        <v>0.0206445269590997</v>
      </c>
      <c r="F355" s="11" t="n">
        <f aca="false">IF(D355=0,"",AVERAGEIFS(Market_Panel!$P$2:$P$2705,Market_Panel!$A$2:$A$2705,B355,Market_Panel!$B$2:$B$2705,"&gt;="&amp;$B$16,Market_Panel!$B$2:$B$2705,"&lt;="&amp;$C$16))</f>
        <v>-0.620043526465297</v>
      </c>
      <c r="G355" s="11" t="n">
        <f aca="false">IF(D355=0,"",AVERAGEIFS(Market_Panel!$R$2:$R$2705,Market_Panel!$A$2:$A$2705,B355,Market_Panel!$B$2:$B$2705,"&gt;="&amp;$B$16,Market_Panel!$B$2:$B$2705,"&lt;="&amp;$C$16))</f>
        <v>0</v>
      </c>
      <c r="H355" s="11" t="n">
        <f aca="false">IF(OR(D355=0,$H$16=0),0,AVERAGEIFS(Market_Panel!$Y$2:$Y$2705,Market_Panel!$A$2:$A$2705,B355,Market_Panel!$B$2:$B$2705,"&gt;="&amp;$B$16,Market_Panel!$B$2:$B$2705,"&lt;="&amp;$C$16))</f>
        <v>0</v>
      </c>
      <c r="I355" s="10" t="n">
        <f aca="false">IF(D355=0,"",$I$16+$F$16*F355+$G$16*G355+$H$16*H355)</f>
        <v>-0.00297446746748515</v>
      </c>
      <c r="J355" s="5" t="n">
        <f aca="false">IF(D355&lt;5,"",(E355-I355)*162)</f>
        <v>3.82627709710675</v>
      </c>
      <c r="K355" s="5" t="n">
        <f aca="false">IF(D355=0,"",E355*162)</f>
        <v>3.34441336737416</v>
      </c>
      <c r="L355" s="3" t="n">
        <f aca="false">SUMIFS(Seasons!$L$2:$L$2865,Seasons!$A$2:$A$2865,B355,Seasons!$B$2:$B$2865,"&gt;="&amp;$B$16,Seasons!$B$2:$B$2865,"&lt;="&amp;$C$16)</f>
        <v>5</v>
      </c>
      <c r="M355" s="3" t="n">
        <f aca="false">SUMIFS(Seasons!$N$2:$N$2865,Seasons!$A$2:$A$2865,B355,Seasons!$B$2:$B$2865,"&gt;="&amp;$B$16,Seasons!$B$2:$B$2865,"&lt;="&amp;$C$16)</f>
        <v>0</v>
      </c>
      <c r="N355" s="3" t="n">
        <f aca="false">IF(J355="",-1000000,J355+ROW()*0.000000001)</f>
        <v>3.82627745210675</v>
      </c>
      <c r="O355" s="3" t="n">
        <f aca="false">IF(J355="","",SUMPRODUCT(($A$25:$A$534=A355)*($N$25:$N$534&gt;N355))+1)</f>
        <v>8</v>
      </c>
      <c r="P355" s="3" t="str">
        <f aca="false">A355&amp;"|"&amp;O355</f>
        <v>2010s|8</v>
      </c>
    </row>
    <row r="356" customFormat="false" ht="15" hidden="false" customHeight="true" outlineLevel="0" collapsed="false">
      <c r="A356" s="1" t="s">
        <v>20</v>
      </c>
      <c r="B356" s="7" t="s">
        <v>56</v>
      </c>
      <c r="C356" s="1" t="s">
        <v>55</v>
      </c>
      <c r="D356" s="3" t="n">
        <f aca="false">COUNTIFS(Market_Panel!$A$2:$A$2705,B356,Market_Panel!$B$2:$B$2705,"&gt;="&amp;$B$16,Market_Panel!$B$2:$B$2705,"&lt;="&amp;$C$16)</f>
        <v>10</v>
      </c>
      <c r="E356" s="10" t="n">
        <f aca="false">IF(D356=0,"",AVERAGEIFS(Market_Panel!$M$2:$M$2705,Market_Panel!$A$2:$A$2705,B356,Market_Panel!$B$2:$B$2705,"&gt;="&amp;$B$16,Market_Panel!$B$2:$B$2705,"&lt;="&amp;$C$16))</f>
        <v>0.00436956968654308</v>
      </c>
      <c r="F356" s="11" t="n">
        <f aca="false">IF(D356=0,"",AVERAGEIFS(Market_Panel!$P$2:$P$2705,Market_Panel!$A$2:$A$2705,B356,Market_Panel!$B$2:$B$2705,"&gt;="&amp;$B$16,Market_Panel!$B$2:$B$2705,"&lt;="&amp;$C$16))</f>
        <v>0.477024903445431</v>
      </c>
      <c r="G356" s="11" t="n">
        <f aca="false">IF(D356=0,"",AVERAGEIFS(Market_Panel!$R$2:$R$2705,Market_Panel!$A$2:$A$2705,B356,Market_Panel!$B$2:$B$2705,"&gt;="&amp;$B$16,Market_Panel!$B$2:$B$2705,"&lt;="&amp;$C$16))</f>
        <v>0</v>
      </c>
      <c r="H356" s="11" t="n">
        <f aca="false">IF(OR(D356=0,$H$16=0),0,AVERAGEIFS(Market_Panel!$Y$2:$Y$2705,Market_Panel!$A$2:$A$2705,B356,Market_Panel!$B$2:$B$2705,"&gt;="&amp;$B$16,Market_Panel!$B$2:$B$2705,"&lt;="&amp;$C$16))</f>
        <v>0</v>
      </c>
      <c r="I356" s="10" t="n">
        <f aca="false">IF(D356=0,"",$I$16+$F$16*F356+$G$16*G356+$H$16*H356)</f>
        <v>0.00228837976031685</v>
      </c>
      <c r="J356" s="5" t="n">
        <f aca="false">IF(D356&lt;5,"",(E356-I356)*162)</f>
        <v>0.33715276804865</v>
      </c>
      <c r="K356" s="5" t="n">
        <f aca="false">IF(D356=0,"",E356*162)</f>
        <v>0.707870289219979</v>
      </c>
      <c r="L356" s="3" t="n">
        <f aca="false">SUMIFS(Seasons!$L$2:$L$2865,Seasons!$A$2:$A$2865,B356,Seasons!$B$2:$B$2865,"&gt;="&amp;$B$16,Seasons!$B$2:$B$2865,"&lt;="&amp;$C$16)</f>
        <v>4</v>
      </c>
      <c r="M356" s="3" t="n">
        <f aca="false">SUMIFS(Seasons!$N$2:$N$2865,Seasons!$A$2:$A$2865,B356,Seasons!$B$2:$B$2865,"&gt;="&amp;$B$16,Seasons!$B$2:$B$2865,"&lt;="&amp;$C$16)</f>
        <v>1</v>
      </c>
      <c r="N356" s="3" t="n">
        <f aca="false">IF(J356="",-1000000,J356+ROW()*0.000000001)</f>
        <v>0.33715312404865</v>
      </c>
      <c r="O356" s="3" t="n">
        <f aca="false">IF(J356="","",SUMPRODUCT(($A$25:$A$534=A356)*($N$25:$N$534&gt;N356))+1)</f>
        <v>14</v>
      </c>
      <c r="P356" s="3" t="str">
        <f aca="false">A356&amp;"|"&amp;O356</f>
        <v>2010s|14</v>
      </c>
    </row>
    <row r="357" customFormat="false" ht="15" hidden="false" customHeight="true" outlineLevel="0" collapsed="false">
      <c r="A357" s="1" t="s">
        <v>20</v>
      </c>
      <c r="B357" s="7" t="s">
        <v>57</v>
      </c>
      <c r="C357" s="1" t="s">
        <v>55</v>
      </c>
      <c r="D357" s="3" t="n">
        <f aca="false">COUNTIFS(Market_Panel!$A$2:$A$2705,B357,Market_Panel!$B$2:$B$2705,"&gt;="&amp;$B$16,Market_Panel!$B$2:$B$2705,"&lt;="&amp;$C$16)</f>
        <v>10</v>
      </c>
      <c r="E357" s="10" t="n">
        <f aca="false">IF(D357=0,"",AVERAGEIFS(Market_Panel!$M$2:$M$2705,Market_Panel!$A$2:$A$2705,B357,Market_Panel!$B$2:$B$2705,"&gt;="&amp;$B$16,Market_Panel!$B$2:$B$2705,"&lt;="&amp;$C$16))</f>
        <v>-0.0215914978856208</v>
      </c>
      <c r="F357" s="11" t="n">
        <f aca="false">IF(D357=0,"",AVERAGEIFS(Market_Panel!$P$2:$P$2705,Market_Panel!$A$2:$A$2705,B357,Market_Panel!$B$2:$B$2705,"&gt;="&amp;$B$16,Market_Panel!$B$2:$B$2705,"&lt;="&amp;$C$16))</f>
        <v>-1.02569110275614</v>
      </c>
      <c r="G357" s="11" t="n">
        <f aca="false">IF(D357=0,"",AVERAGEIFS(Market_Panel!$R$2:$R$2705,Market_Panel!$A$2:$A$2705,B357,Market_Panel!$B$2:$B$2705,"&gt;="&amp;$B$16,Market_Panel!$B$2:$B$2705,"&lt;="&amp;$C$16))</f>
        <v>0</v>
      </c>
      <c r="H357" s="11" t="n">
        <f aca="false">IF(OR(D357=0,$H$16=0),0,AVERAGEIFS(Market_Panel!$Y$2:$Y$2705,Market_Panel!$A$2:$A$2705,B357,Market_Panel!$B$2:$B$2705,"&gt;="&amp;$B$16,Market_Panel!$B$2:$B$2705,"&lt;="&amp;$C$16))</f>
        <v>0</v>
      </c>
      <c r="I357" s="10" t="n">
        <f aca="false">IF(D357=0,"",$I$16+$F$16*F357+$G$16*G357+$H$16*H357)</f>
        <v>-0.00492043652843112</v>
      </c>
      <c r="J357" s="5" t="n">
        <f aca="false">IF(D357&lt;5,"",(E357-I357)*162)</f>
        <v>-2.70071193986473</v>
      </c>
      <c r="K357" s="5" t="n">
        <f aca="false">IF(D357=0,"",E357*162)</f>
        <v>-3.49782265747057</v>
      </c>
      <c r="L357" s="3" t="n">
        <f aca="false">SUMIFS(Seasons!$L$2:$L$2865,Seasons!$A$2:$A$2865,B357,Seasons!$B$2:$B$2865,"&gt;="&amp;$B$16,Seasons!$B$2:$B$2865,"&lt;="&amp;$C$16)</f>
        <v>3</v>
      </c>
      <c r="M357" s="3" t="n">
        <f aca="false">SUMIFS(Seasons!$N$2:$N$2865,Seasons!$A$2:$A$2865,B357,Seasons!$B$2:$B$2865,"&gt;="&amp;$B$16,Seasons!$B$2:$B$2865,"&lt;="&amp;$C$16)</f>
        <v>0</v>
      </c>
      <c r="N357" s="3" t="n">
        <f aca="false">IF(J357="",-1000000,J357+ROW()*0.000000001)</f>
        <v>-2.70071158286473</v>
      </c>
      <c r="O357" s="3" t="n">
        <f aca="false">IF(J357="","",SUMPRODUCT(($A$25:$A$534=A357)*($N$25:$N$534&gt;N357))+1)</f>
        <v>19</v>
      </c>
      <c r="P357" s="3" t="str">
        <f aca="false">A357&amp;"|"&amp;O357</f>
        <v>2010s|19</v>
      </c>
    </row>
    <row r="358" customFormat="false" ht="15" hidden="false" customHeight="true" outlineLevel="0" collapsed="false">
      <c r="A358" s="1" t="s">
        <v>20</v>
      </c>
      <c r="B358" s="7" t="s">
        <v>58</v>
      </c>
      <c r="C358" s="1" t="s">
        <v>55</v>
      </c>
      <c r="D358" s="3" t="n">
        <f aca="false">COUNTIFS(Market_Panel!$A$2:$A$2705,B358,Market_Panel!$B$2:$B$2705,"&gt;="&amp;$B$16,Market_Panel!$B$2:$B$2705,"&lt;="&amp;$C$16)</f>
        <v>10</v>
      </c>
      <c r="E358" s="10" t="n">
        <f aca="false">IF(D358=0,"",AVERAGEIFS(Market_Panel!$M$2:$M$2705,Market_Panel!$A$2:$A$2705,B358,Market_Panel!$B$2:$B$2705,"&gt;="&amp;$B$16,Market_Panel!$B$2:$B$2705,"&lt;="&amp;$C$16))</f>
        <v>-0.0104842208363147</v>
      </c>
      <c r="F358" s="11" t="n">
        <f aca="false">IF(D358=0,"",AVERAGEIFS(Market_Panel!$P$2:$P$2705,Market_Panel!$A$2:$A$2705,B358,Market_Panel!$B$2:$B$2705,"&gt;="&amp;$B$16,Market_Panel!$B$2:$B$2705,"&lt;="&amp;$C$16))</f>
        <v>-1.01902698830645</v>
      </c>
      <c r="G358" s="11" t="n">
        <f aca="false">IF(D358=0,"",AVERAGEIFS(Market_Panel!$R$2:$R$2705,Market_Panel!$A$2:$A$2705,B358,Market_Panel!$B$2:$B$2705,"&gt;="&amp;$B$16,Market_Panel!$B$2:$B$2705,"&lt;="&amp;$C$16))</f>
        <v>0</v>
      </c>
      <c r="H358" s="11" t="n">
        <f aca="false">IF(OR(D358=0,$H$16=0),0,AVERAGEIFS(Market_Panel!$Y$2:$Y$2705,Market_Panel!$A$2:$A$2705,B358,Market_Panel!$B$2:$B$2705,"&gt;="&amp;$B$16,Market_Panel!$B$2:$B$2705,"&lt;="&amp;$C$16))</f>
        <v>0</v>
      </c>
      <c r="I358" s="10" t="n">
        <f aca="false">IF(D358=0,"",$I$16+$F$16*F358+$G$16*G358+$H$16*H358)</f>
        <v>-0.00488846749596142</v>
      </c>
      <c r="J358" s="5" t="n">
        <f aca="false">IF(D358&lt;5,"",(E358-I358)*162)</f>
        <v>-0.906512041137238</v>
      </c>
      <c r="K358" s="5" t="n">
        <f aca="false">IF(D358=0,"",E358*162)</f>
        <v>-1.69844377548299</v>
      </c>
      <c r="L358" s="3" t="n">
        <f aca="false">SUMIFS(Seasons!$L$2:$L$2865,Seasons!$A$2:$A$2865,B358,Seasons!$B$2:$B$2865,"&gt;="&amp;$B$16,Seasons!$B$2:$B$2865,"&lt;="&amp;$C$16)</f>
        <v>3</v>
      </c>
      <c r="M358" s="3" t="n">
        <f aca="false">SUMIFS(Seasons!$N$2:$N$2865,Seasons!$A$2:$A$2865,B358,Seasons!$B$2:$B$2865,"&gt;="&amp;$B$16,Seasons!$B$2:$B$2865,"&lt;="&amp;$C$16)</f>
        <v>0</v>
      </c>
      <c r="N358" s="3" t="n">
        <f aca="false">IF(J358="",-1000000,J358+ROW()*0.000000001)</f>
        <v>-0.906511683137238</v>
      </c>
      <c r="O358" s="3" t="n">
        <f aca="false">IF(J358="","",SUMPRODUCT(($A$25:$A$534=A358)*($N$25:$N$534&gt;N358))+1)</f>
        <v>15</v>
      </c>
      <c r="P358" s="3" t="str">
        <f aca="false">A358&amp;"|"&amp;O358</f>
        <v>2010s|15</v>
      </c>
    </row>
    <row r="359" customFormat="false" ht="15" hidden="false" customHeight="true" outlineLevel="0" collapsed="false">
      <c r="A359" s="1" t="s">
        <v>20</v>
      </c>
      <c r="B359" s="7" t="s">
        <v>59</v>
      </c>
      <c r="C359" s="1" t="s">
        <v>55</v>
      </c>
      <c r="D359" s="3" t="n">
        <f aca="false">COUNTIFS(Market_Panel!$A$2:$A$2705,B359,Market_Panel!$B$2:$B$2705,"&gt;="&amp;$B$16,Market_Panel!$B$2:$B$2705,"&lt;="&amp;$C$16)</f>
        <v>10</v>
      </c>
      <c r="E359" s="10" t="n">
        <f aca="false">IF(D359=0,"",AVERAGEIFS(Market_Panel!$M$2:$M$2705,Market_Panel!$A$2:$A$2705,B359,Market_Panel!$B$2:$B$2705,"&gt;="&amp;$B$16,Market_Panel!$B$2:$B$2705,"&lt;="&amp;$C$16))</f>
        <v>0.0549517119909225</v>
      </c>
      <c r="F359" s="11" t="n">
        <f aca="false">IF(D359=0,"",AVERAGEIFS(Market_Panel!$P$2:$P$2705,Market_Panel!$A$2:$A$2705,B359,Market_Panel!$B$2:$B$2705,"&gt;="&amp;$B$16,Market_Panel!$B$2:$B$2705,"&lt;="&amp;$C$16))</f>
        <v>-0.997178522091132</v>
      </c>
      <c r="G359" s="11" t="n">
        <f aca="false">IF(D359=0,"",AVERAGEIFS(Market_Panel!$R$2:$R$2705,Market_Panel!$A$2:$A$2705,B359,Market_Panel!$B$2:$B$2705,"&gt;="&amp;$B$16,Market_Panel!$B$2:$B$2705,"&lt;="&amp;$C$16))</f>
        <v>0</v>
      </c>
      <c r="H359" s="11" t="n">
        <f aca="false">IF(OR(D359=0,$H$16=0),0,AVERAGEIFS(Market_Panel!$Y$2:$Y$2705,Market_Panel!$A$2:$A$2705,B359,Market_Panel!$B$2:$B$2705,"&gt;="&amp;$B$16,Market_Panel!$B$2:$B$2705,"&lt;="&amp;$C$16))</f>
        <v>0</v>
      </c>
      <c r="I359" s="10" t="n">
        <f aca="false">IF(D359=0,"",$I$16+$F$16*F359+$G$16*G359+$H$16*H359)</f>
        <v>-0.00478365622191687</v>
      </c>
      <c r="J359" s="5" t="n">
        <f aca="false">IF(D359&lt;5,"",(E359-I359)*162)</f>
        <v>9.67712965047997</v>
      </c>
      <c r="K359" s="5" t="n">
        <f aca="false">IF(D359=0,"",E359*162)</f>
        <v>8.90217734252944</v>
      </c>
      <c r="L359" s="3" t="n">
        <f aca="false">SUMIFS(Seasons!$L$2:$L$2865,Seasons!$A$2:$A$2865,B359,Seasons!$B$2:$B$2865,"&gt;="&amp;$B$16,Seasons!$B$2:$B$2865,"&lt;="&amp;$C$16)</f>
        <v>6</v>
      </c>
      <c r="M359" s="3" t="n">
        <f aca="false">SUMIFS(Seasons!$N$2:$N$2865,Seasons!$A$2:$A$2865,B359,Seasons!$B$2:$B$2865,"&gt;="&amp;$B$16,Seasons!$B$2:$B$2865,"&lt;="&amp;$C$16)</f>
        <v>1</v>
      </c>
      <c r="N359" s="3" t="n">
        <f aca="false">IF(J359="",-1000000,J359+ROW()*0.000000001)</f>
        <v>9.67713000947997</v>
      </c>
      <c r="O359" s="3" t="n">
        <f aca="false">IF(J359="","",SUMPRODUCT(($A$25:$A$534=A359)*($N$25:$N$534&gt;N359))+1)</f>
        <v>3</v>
      </c>
      <c r="P359" s="3" t="str">
        <f aca="false">A359&amp;"|"&amp;O359</f>
        <v>2010s|3</v>
      </c>
    </row>
    <row r="360" customFormat="false" ht="15" hidden="false" customHeight="true" outlineLevel="0" collapsed="false">
      <c r="A360" s="1" t="s">
        <v>20</v>
      </c>
      <c r="B360" s="7" t="s">
        <v>60</v>
      </c>
      <c r="C360" s="1" t="s">
        <v>55</v>
      </c>
      <c r="D360" s="3" t="n">
        <f aca="false">COUNTIFS(Market_Panel!$A$2:$A$2705,B360,Market_Panel!$B$2:$B$2705,"&gt;="&amp;$B$16,Market_Panel!$B$2:$B$2705,"&lt;="&amp;$C$16)</f>
        <v>10</v>
      </c>
      <c r="E360" s="10" t="n">
        <f aca="false">IF(D360=0,"",AVERAGEIFS(Market_Panel!$M$2:$M$2705,Market_Panel!$A$2:$A$2705,B360,Market_Panel!$B$2:$B$2705,"&gt;="&amp;$B$16,Market_Panel!$B$2:$B$2705,"&lt;="&amp;$C$16))</f>
        <v>-0.0141840904782134</v>
      </c>
      <c r="F360" s="11" t="n">
        <f aca="false">IF(D360=0,"",AVERAGEIFS(Market_Panel!$P$2:$P$2705,Market_Panel!$A$2:$A$2705,B360,Market_Panel!$B$2:$B$2705,"&gt;="&amp;$B$16,Market_Panel!$B$2:$B$2705,"&lt;="&amp;$C$16))</f>
        <v>0.615179976981089</v>
      </c>
      <c r="G360" s="11" t="n">
        <f aca="false">IF(D360=0,"",AVERAGEIFS(Market_Panel!$R$2:$R$2705,Market_Panel!$A$2:$A$2705,B360,Market_Panel!$B$2:$B$2705,"&gt;="&amp;$B$16,Market_Panel!$B$2:$B$2705,"&lt;="&amp;$C$16))</f>
        <v>0</v>
      </c>
      <c r="H360" s="11" t="n">
        <f aca="false">IF(OR(D360=0,$H$16=0),0,AVERAGEIFS(Market_Panel!$Y$2:$Y$2705,Market_Panel!$A$2:$A$2705,B360,Market_Panel!$B$2:$B$2705,"&gt;="&amp;$B$16,Market_Panel!$B$2:$B$2705,"&lt;="&amp;$C$16))</f>
        <v>0</v>
      </c>
      <c r="I360" s="10" t="n">
        <f aca="false">IF(D360=0,"",$I$16+$F$16*F360+$G$16*G360+$H$16*H360)</f>
        <v>0.00295113608976759</v>
      </c>
      <c r="J360" s="5" t="n">
        <f aca="false">IF(D360&lt;5,"",(E360-I360)*162)</f>
        <v>-2.77590670401291</v>
      </c>
      <c r="K360" s="5" t="n">
        <f aca="false">IF(D360=0,"",E360*162)</f>
        <v>-2.29782265747057</v>
      </c>
      <c r="L360" s="3" t="n">
        <f aca="false">SUMIFS(Seasons!$L$2:$L$2865,Seasons!$A$2:$A$2865,B360,Seasons!$B$2:$B$2865,"&gt;="&amp;$B$16,Seasons!$B$2:$B$2865,"&lt;="&amp;$C$16)</f>
        <v>2</v>
      </c>
      <c r="M360" s="3" t="n">
        <f aca="false">SUMIFS(Seasons!$N$2:$N$2865,Seasons!$A$2:$A$2865,B360,Seasons!$B$2:$B$2865,"&gt;="&amp;$B$16,Seasons!$B$2:$B$2865,"&lt;="&amp;$C$16)</f>
        <v>0</v>
      </c>
      <c r="N360" s="3" t="n">
        <f aca="false">IF(J360="",-1000000,J360+ROW()*0.000000001)</f>
        <v>-2.77590634401291</v>
      </c>
      <c r="O360" s="3" t="n">
        <f aca="false">IF(J360="","",SUMPRODUCT(($A$25:$A$534=A360)*($N$25:$N$534&gt;N360))+1)</f>
        <v>20</v>
      </c>
      <c r="P360" s="3" t="str">
        <f aca="false">A360&amp;"|"&amp;O360</f>
        <v>2010s|20</v>
      </c>
    </row>
    <row r="361" customFormat="false" ht="15" hidden="false" customHeight="true" outlineLevel="0" collapsed="false">
      <c r="A361" s="1" t="s">
        <v>20</v>
      </c>
      <c r="B361" s="7" t="s">
        <v>61</v>
      </c>
      <c r="C361" s="1" t="s">
        <v>55</v>
      </c>
      <c r="D361" s="3" t="n">
        <f aca="false">COUNTIFS(Market_Panel!$A$2:$A$2705,B361,Market_Panel!$B$2:$B$2705,"&gt;="&amp;$B$16,Market_Panel!$B$2:$B$2705,"&lt;="&amp;$C$16)</f>
        <v>10</v>
      </c>
      <c r="E361" s="10" t="n">
        <f aca="false">IF(D361=0,"",AVERAGEIFS(Market_Panel!$M$2:$M$2705,Market_Panel!$A$2:$A$2705,B361,Market_Panel!$B$2:$B$2705,"&gt;="&amp;$B$16,Market_Panel!$B$2:$B$2705,"&lt;="&amp;$C$16))</f>
        <v>0.00680356384277429</v>
      </c>
      <c r="F361" s="11" t="n">
        <f aca="false">IF(D361=0,"",AVERAGEIFS(Market_Panel!$P$2:$P$2705,Market_Panel!$A$2:$A$2705,B361,Market_Panel!$B$2:$B$2705,"&gt;="&amp;$B$16,Market_Panel!$B$2:$B$2705,"&lt;="&amp;$C$16))</f>
        <v>-0.00961126561711119</v>
      </c>
      <c r="G361" s="11" t="n">
        <f aca="false">IF(D361=0,"",AVERAGEIFS(Market_Panel!$R$2:$R$2705,Market_Panel!$A$2:$A$2705,B361,Market_Panel!$B$2:$B$2705,"&gt;="&amp;$B$16,Market_Panel!$B$2:$B$2705,"&lt;="&amp;$C$16))</f>
        <v>0</v>
      </c>
      <c r="H361" s="11" t="n">
        <f aca="false">IF(OR(D361=0,$H$16=0),0,AVERAGEIFS(Market_Panel!$Y$2:$Y$2705,Market_Panel!$A$2:$A$2705,B361,Market_Panel!$B$2:$B$2705,"&gt;="&amp;$B$16,Market_Panel!$B$2:$B$2705,"&lt;="&amp;$C$16))</f>
        <v>0</v>
      </c>
      <c r="I361" s="10" t="n">
        <f aca="false">IF(D361=0,"",$I$16+$F$16*F361+$G$16*G361+$H$16*H361)</f>
        <v>-4.61070806793795E-005</v>
      </c>
      <c r="J361" s="5" t="n">
        <f aca="false">IF(D361&lt;5,"",(E361-I361)*162)</f>
        <v>1.10964668959949</v>
      </c>
      <c r="K361" s="5" t="n">
        <f aca="false">IF(D361=0,"",E361*162)</f>
        <v>1.10217734252943</v>
      </c>
      <c r="L361" s="3" t="n">
        <f aca="false">SUMIFS(Seasons!$L$2:$L$2865,Seasons!$A$2:$A$2865,B361,Seasons!$B$2:$B$2865,"&gt;="&amp;$B$16,Seasons!$B$2:$B$2865,"&lt;="&amp;$C$16)</f>
        <v>4</v>
      </c>
      <c r="M361" s="3" t="n">
        <f aca="false">SUMIFS(Seasons!$N$2:$N$2865,Seasons!$A$2:$A$2865,B361,Seasons!$B$2:$B$2865,"&gt;="&amp;$B$16,Seasons!$B$2:$B$2865,"&lt;="&amp;$C$16)</f>
        <v>3</v>
      </c>
      <c r="N361" s="3" t="n">
        <f aca="false">IF(J361="",-1000000,J361+ROW()*0.000000001)</f>
        <v>1.10964705059949</v>
      </c>
      <c r="O361" s="3" t="n">
        <f aca="false">IF(J361="","",SUMPRODUCT(($A$25:$A$534=A361)*($N$25:$N$534&gt;N361))+1)</f>
        <v>12</v>
      </c>
      <c r="P361" s="3" t="str">
        <f aca="false">A361&amp;"|"&amp;O361</f>
        <v>2010s|12</v>
      </c>
    </row>
    <row r="362" customFormat="false" ht="15" hidden="false" customHeight="true" outlineLevel="0" collapsed="false">
      <c r="A362" s="1" t="s">
        <v>20</v>
      </c>
      <c r="B362" s="7" t="s">
        <v>62</v>
      </c>
      <c r="C362" s="1" t="s">
        <v>55</v>
      </c>
      <c r="D362" s="3" t="n">
        <f aca="false">COUNTIFS(Market_Panel!$A$2:$A$2705,B362,Market_Panel!$B$2:$B$2705,"&gt;="&amp;$B$16,Market_Panel!$B$2:$B$2705,"&lt;="&amp;$C$16)</f>
        <v>10</v>
      </c>
      <c r="E362" s="10" t="n">
        <f aca="false">IF(D362=0,"",AVERAGEIFS(Market_Panel!$M$2:$M$2705,Market_Panel!$A$2:$A$2705,B362,Market_Panel!$B$2:$B$2705,"&gt;="&amp;$B$16,Market_Panel!$B$2:$B$2705,"&lt;="&amp;$C$16))</f>
        <v>0.0672633784059053</v>
      </c>
      <c r="F362" s="11" t="n">
        <f aca="false">IF(D362=0,"",AVERAGEIFS(Market_Panel!$P$2:$P$2705,Market_Panel!$A$2:$A$2705,B362,Market_Panel!$B$2:$B$2705,"&gt;="&amp;$B$16,Market_Panel!$B$2:$B$2705,"&lt;="&amp;$C$16))</f>
        <v>0.822481280562593</v>
      </c>
      <c r="G362" s="11" t="n">
        <f aca="false">IF(D362=0,"",AVERAGEIFS(Market_Panel!$R$2:$R$2705,Market_Panel!$A$2:$A$2705,B362,Market_Panel!$B$2:$B$2705,"&gt;="&amp;$B$16,Market_Panel!$B$2:$B$2705,"&lt;="&amp;$C$16))</f>
        <v>0</v>
      </c>
      <c r="H362" s="11" t="n">
        <f aca="false">IF(OR(D362=0,$H$16=0),0,AVERAGEIFS(Market_Panel!$Y$2:$Y$2705,Market_Panel!$A$2:$A$2705,B362,Market_Panel!$B$2:$B$2705,"&gt;="&amp;$B$16,Market_Panel!$B$2:$B$2705,"&lt;="&amp;$C$16))</f>
        <v>0</v>
      </c>
      <c r="I362" s="10" t="n">
        <f aca="false">IF(D362=0,"",$I$16+$F$16*F362+$G$16*G362+$H$16*H362)</f>
        <v>0.00394560011874565</v>
      </c>
      <c r="J362" s="5" t="n">
        <f aca="false">IF(D362&lt;5,"",(E362-I362)*162)</f>
        <v>10.2574800825199</v>
      </c>
      <c r="K362" s="5" t="n">
        <f aca="false">IF(D362=0,"",E362*162)</f>
        <v>10.8966673017567</v>
      </c>
      <c r="L362" s="3" t="n">
        <f aca="false">SUMIFS(Seasons!$L$2:$L$2865,Seasons!$A$2:$A$2865,B362,Seasons!$B$2:$B$2865,"&gt;="&amp;$B$16,Seasons!$B$2:$B$2865,"&lt;="&amp;$C$16)</f>
        <v>7</v>
      </c>
      <c r="M362" s="3" t="n">
        <f aca="false">SUMIFS(Seasons!$N$2:$N$2865,Seasons!$A$2:$A$2865,B362,Seasons!$B$2:$B$2865,"&gt;="&amp;$B$16,Seasons!$B$2:$B$2865,"&lt;="&amp;$C$16)</f>
        <v>0</v>
      </c>
      <c r="N362" s="3" t="n">
        <f aca="false">IF(J362="",-1000000,J362+ROW()*0.000000001)</f>
        <v>10.2574804445199</v>
      </c>
      <c r="O362" s="3" t="n">
        <f aca="false">IF(J362="","",SUMPRODUCT(($A$25:$A$534=A362)*($N$25:$N$534&gt;N362))+1)</f>
        <v>1</v>
      </c>
      <c r="P362" s="3" t="str">
        <f aca="false">A362&amp;"|"&amp;O362</f>
        <v>2010s|1</v>
      </c>
    </row>
    <row r="363" customFormat="false" ht="15" hidden="false" customHeight="true" outlineLevel="0" collapsed="false">
      <c r="A363" s="1" t="s">
        <v>20</v>
      </c>
      <c r="B363" s="7" t="s">
        <v>63</v>
      </c>
      <c r="C363" s="1" t="s">
        <v>55</v>
      </c>
      <c r="D363" s="3" t="n">
        <f aca="false">COUNTIFS(Market_Panel!$A$2:$A$2705,B363,Market_Panel!$B$2:$B$2705,"&gt;="&amp;$B$16,Market_Panel!$B$2:$B$2705,"&lt;="&amp;$C$16)</f>
        <v>10</v>
      </c>
      <c r="E363" s="10" t="n">
        <f aca="false">IF(D363=0,"",AVERAGEIFS(Market_Panel!$M$2:$M$2705,Market_Panel!$A$2:$A$2705,B363,Market_Panel!$B$2:$B$2705,"&gt;="&amp;$B$16,Market_Panel!$B$2:$B$2705,"&lt;="&amp;$C$16))</f>
        <v>-0.0339371768979665</v>
      </c>
      <c r="F363" s="11" t="n">
        <f aca="false">IF(D363=0,"",AVERAGEIFS(Market_Panel!$P$2:$P$2705,Market_Panel!$A$2:$A$2705,B363,Market_Panel!$B$2:$B$2705,"&gt;="&amp;$B$16,Market_Panel!$B$2:$B$2705,"&lt;="&amp;$C$16))</f>
        <v>-0.332636031603226</v>
      </c>
      <c r="G363" s="11" t="n">
        <f aca="false">IF(D363=0,"",AVERAGEIFS(Market_Panel!$R$2:$R$2705,Market_Panel!$A$2:$A$2705,B363,Market_Panel!$B$2:$B$2705,"&gt;="&amp;$B$16,Market_Panel!$B$2:$B$2705,"&lt;="&amp;$C$16))</f>
        <v>0</v>
      </c>
      <c r="H363" s="11" t="n">
        <f aca="false">IF(OR(D363=0,$H$16=0),0,AVERAGEIFS(Market_Panel!$Y$2:$Y$2705,Market_Panel!$A$2:$A$2705,B363,Market_Panel!$B$2:$B$2705,"&gt;="&amp;$B$16,Market_Panel!$B$2:$B$2705,"&lt;="&amp;$C$16))</f>
        <v>0</v>
      </c>
      <c r="I363" s="10" t="n">
        <f aca="false">IF(D363=0,"",$I$16+$F$16*F363+$G$16*G363+$H$16*H363)</f>
        <v>-0.00159571870729391</v>
      </c>
      <c r="J363" s="5" t="n">
        <f aca="false">IF(D363&lt;5,"",(E363-I363)*162)</f>
        <v>-5.23931622688895</v>
      </c>
      <c r="K363" s="5" t="n">
        <f aca="false">IF(D363=0,"",E363*162)</f>
        <v>-5.49782265747057</v>
      </c>
      <c r="L363" s="3" t="n">
        <f aca="false">SUMIFS(Seasons!$L$2:$L$2865,Seasons!$A$2:$A$2865,B363,Seasons!$B$2:$B$2865,"&gt;="&amp;$B$16,Seasons!$B$2:$B$2865,"&lt;="&amp;$C$16)</f>
        <v>3</v>
      </c>
      <c r="M363" s="3" t="n">
        <f aca="false">SUMIFS(Seasons!$N$2:$N$2865,Seasons!$A$2:$A$2865,B363,Seasons!$B$2:$B$2865,"&gt;="&amp;$B$16,Seasons!$B$2:$B$2865,"&lt;="&amp;$C$16)</f>
        <v>0</v>
      </c>
      <c r="N363" s="3" t="n">
        <f aca="false">IF(J363="",-1000000,J363+ROW()*0.000000001)</f>
        <v>-5.23931586388895</v>
      </c>
      <c r="O363" s="3" t="n">
        <f aca="false">IF(J363="","",SUMPRODUCT(($A$25:$A$534=A363)*($N$25:$N$534&gt;N363))+1)</f>
        <v>26</v>
      </c>
      <c r="P363" s="3" t="str">
        <f aca="false">A363&amp;"|"&amp;O363</f>
        <v>2010s|26</v>
      </c>
    </row>
    <row r="364" customFormat="false" ht="15" hidden="false" customHeight="true" outlineLevel="0" collapsed="false">
      <c r="A364" s="1" t="s">
        <v>20</v>
      </c>
      <c r="B364" s="7" t="s">
        <v>64</v>
      </c>
      <c r="C364" s="1" t="s">
        <v>55</v>
      </c>
      <c r="D364" s="3" t="n">
        <f aca="false">COUNTIFS(Market_Panel!$A$2:$A$2705,B364,Market_Panel!$B$2:$B$2705,"&gt;="&amp;$B$16,Market_Panel!$B$2:$B$2705,"&lt;="&amp;$C$16)</f>
        <v>10</v>
      </c>
      <c r="E364" s="10" t="n">
        <f aca="false">IF(D364=0,"",AVERAGEIFS(Market_Panel!$M$2:$M$2705,Market_Panel!$A$2:$A$2705,B364,Market_Panel!$B$2:$B$2705,"&gt;="&amp;$B$16,Market_Panel!$B$2:$B$2705,"&lt;="&amp;$C$16))</f>
        <v>0.0382850453242558</v>
      </c>
      <c r="F364" s="11" t="n">
        <f aca="false">IF(D364=0,"",AVERAGEIFS(Market_Panel!$P$2:$P$2705,Market_Panel!$A$2:$A$2705,B364,Market_Panel!$B$2:$B$2705,"&gt;="&amp;$B$16,Market_Panel!$B$2:$B$2705,"&lt;="&amp;$C$16))</f>
        <v>-0.271344158223563</v>
      </c>
      <c r="G364" s="11" t="n">
        <f aca="false">IF(D364=0,"",AVERAGEIFS(Market_Panel!$R$2:$R$2705,Market_Panel!$A$2:$A$2705,B364,Market_Panel!$B$2:$B$2705,"&gt;="&amp;$B$16,Market_Panel!$B$2:$B$2705,"&lt;="&amp;$C$16))</f>
        <v>0</v>
      </c>
      <c r="H364" s="11" t="n">
        <f aca="false">IF(OR(D364=0,$H$16=0),0,AVERAGEIFS(Market_Panel!$Y$2:$Y$2705,Market_Panel!$A$2:$A$2705,B364,Market_Panel!$B$2:$B$2705,"&gt;="&amp;$B$16,Market_Panel!$B$2:$B$2705,"&lt;="&amp;$C$16))</f>
        <v>0</v>
      </c>
      <c r="I364" s="10" t="n">
        <f aca="false">IF(D364=0,"",$I$16+$F$16*F364+$G$16*G364+$H$16*H364)</f>
        <v>-0.001301689859951</v>
      </c>
      <c r="J364" s="5" t="n">
        <f aca="false">IF(D364&lt;5,"",(E364-I364)*162)</f>
        <v>6.4130510998415</v>
      </c>
      <c r="K364" s="5" t="n">
        <f aca="false">IF(D364=0,"",E364*162)</f>
        <v>6.20217734252943</v>
      </c>
      <c r="L364" s="3" t="n">
        <f aca="false">SUMIFS(Seasons!$L$2:$L$2865,Seasons!$A$2:$A$2865,B364,Seasons!$B$2:$B$2865,"&gt;="&amp;$B$16,Seasons!$B$2:$B$2865,"&lt;="&amp;$C$16)</f>
        <v>4</v>
      </c>
      <c r="M364" s="3" t="n">
        <f aca="false">SUMIFS(Seasons!$N$2:$N$2865,Seasons!$A$2:$A$2865,B364,Seasons!$B$2:$B$2865,"&gt;="&amp;$B$16,Seasons!$B$2:$B$2865,"&lt;="&amp;$C$16)</f>
        <v>2</v>
      </c>
      <c r="N364" s="3" t="n">
        <f aca="false">IF(J364="",-1000000,J364+ROW()*0.000000001)</f>
        <v>6.4130514638415</v>
      </c>
      <c r="O364" s="3" t="n">
        <f aca="false">IF(J364="","",SUMPRODUCT(($A$25:$A$534=A364)*($N$25:$N$534&gt;N364))+1)</f>
        <v>5</v>
      </c>
      <c r="P364" s="3" t="str">
        <f aca="false">A364&amp;"|"&amp;O364</f>
        <v>2010s|5</v>
      </c>
    </row>
    <row r="365" customFormat="false" ht="15" hidden="false" customHeight="true" outlineLevel="0" collapsed="false">
      <c r="A365" s="1" t="s">
        <v>20</v>
      </c>
      <c r="B365" s="7" t="s">
        <v>65</v>
      </c>
      <c r="C365" s="1" t="s">
        <v>55</v>
      </c>
      <c r="D365" s="3" t="n">
        <f aca="false">COUNTIFS(Market_Panel!$A$2:$A$2705,B365,Market_Panel!$B$2:$B$2705,"&gt;="&amp;$B$16,Market_Panel!$B$2:$B$2705,"&lt;="&amp;$C$16)</f>
        <v>10</v>
      </c>
      <c r="E365" s="10" t="n">
        <f aca="false">IF(D365=0,"",AVERAGEIFS(Market_Panel!$M$2:$M$2705,Market_Panel!$A$2:$A$2705,B365,Market_Panel!$B$2:$B$2705,"&gt;="&amp;$B$16,Market_Panel!$B$2:$B$2705,"&lt;="&amp;$C$16))</f>
        <v>-0.0410685318554084</v>
      </c>
      <c r="F365" s="11" t="n">
        <f aca="false">IF(D365=0,"",AVERAGEIFS(Market_Panel!$P$2:$P$2705,Market_Panel!$A$2:$A$2705,B365,Market_Panel!$B$2:$B$2705,"&gt;="&amp;$B$16,Market_Panel!$B$2:$B$2705,"&lt;="&amp;$C$16))</f>
        <v>0.477024903445431</v>
      </c>
      <c r="G365" s="11" t="n">
        <f aca="false">IF(D365=0,"",AVERAGEIFS(Market_Panel!$R$2:$R$2705,Market_Panel!$A$2:$A$2705,B365,Market_Panel!$B$2:$B$2705,"&gt;="&amp;$B$16,Market_Panel!$B$2:$B$2705,"&lt;="&amp;$C$16))</f>
        <v>0</v>
      </c>
      <c r="H365" s="11" t="n">
        <f aca="false">IF(OR(D365=0,$H$16=0),0,AVERAGEIFS(Market_Panel!$Y$2:$Y$2705,Market_Panel!$A$2:$A$2705,B365,Market_Panel!$B$2:$B$2705,"&gt;="&amp;$B$16,Market_Panel!$B$2:$B$2705,"&lt;="&amp;$C$16))</f>
        <v>0</v>
      </c>
      <c r="I365" s="10" t="n">
        <f aca="false">IF(D365=0,"",$I$16+$F$16*F365+$G$16*G365+$H$16*H365)</f>
        <v>0.00228837976031685</v>
      </c>
      <c r="J365" s="5" t="n">
        <f aca="false">IF(D365&lt;5,"",(E365-I365)*162)</f>
        <v>-7.02381968174749</v>
      </c>
      <c r="K365" s="5" t="n">
        <f aca="false">IF(D365=0,"",E365*162)</f>
        <v>-6.65310216057616</v>
      </c>
      <c r="L365" s="3" t="n">
        <f aca="false">SUMIFS(Seasons!$L$2:$L$2865,Seasons!$A$2:$A$2865,B365,Seasons!$B$2:$B$2865,"&gt;="&amp;$B$16,Seasons!$B$2:$B$2865,"&lt;="&amp;$C$16)</f>
        <v>0</v>
      </c>
      <c r="M365" s="3" t="n">
        <f aca="false">SUMIFS(Seasons!$N$2:$N$2865,Seasons!$A$2:$A$2865,B365,Seasons!$B$2:$B$2865,"&gt;="&amp;$B$16,Seasons!$B$2:$B$2865,"&lt;="&amp;$C$16)</f>
        <v>0</v>
      </c>
      <c r="N365" s="3" t="n">
        <f aca="false">IF(J365="",-1000000,J365+ROW()*0.000000001)</f>
        <v>-7.02381931674749</v>
      </c>
      <c r="O365" s="3" t="n">
        <f aca="false">IF(J365="","",SUMPRODUCT(($A$25:$A$534=A365)*($N$25:$N$534&gt;N365))+1)</f>
        <v>28</v>
      </c>
      <c r="P365" s="3" t="str">
        <f aca="false">A365&amp;"|"&amp;O365</f>
        <v>2010s|28</v>
      </c>
    </row>
    <row r="366" customFormat="false" ht="15" hidden="false" customHeight="true" outlineLevel="0" collapsed="false">
      <c r="A366" s="1" t="s">
        <v>20</v>
      </c>
      <c r="B366" s="7" t="s">
        <v>66</v>
      </c>
      <c r="C366" s="1" t="s">
        <v>55</v>
      </c>
      <c r="D366" s="3" t="n">
        <f aca="false">COUNTIFS(Market_Panel!$A$2:$A$2705,B366,Market_Panel!$B$2:$B$2705,"&gt;="&amp;$B$16,Market_Panel!$B$2:$B$2705,"&lt;="&amp;$C$16)</f>
        <v>10</v>
      </c>
      <c r="E366" s="10" t="n">
        <f aca="false">IF(D366=0,"",AVERAGEIFS(Market_Panel!$M$2:$M$2705,Market_Panel!$A$2:$A$2705,B366,Market_Panel!$B$2:$B$2705,"&gt;="&amp;$B$16,Market_Panel!$B$2:$B$2705,"&lt;="&amp;$C$16))</f>
        <v>0.0284621789796503</v>
      </c>
      <c r="F366" s="11" t="n">
        <f aca="false">IF(D366=0,"",AVERAGEIFS(Market_Panel!$P$2:$P$2705,Market_Panel!$A$2:$A$2705,B366,Market_Panel!$B$2:$B$2705,"&gt;="&amp;$B$16,Market_Panel!$B$2:$B$2705,"&lt;="&amp;$C$16))</f>
        <v>-0.782438163698939</v>
      </c>
      <c r="G366" s="11" t="n">
        <f aca="false">IF(D366=0,"",AVERAGEIFS(Market_Panel!$R$2:$R$2705,Market_Panel!$A$2:$A$2705,B366,Market_Panel!$B$2:$B$2705,"&gt;="&amp;$B$16,Market_Panel!$B$2:$B$2705,"&lt;="&amp;$C$16))</f>
        <v>0</v>
      </c>
      <c r="H366" s="11" t="n">
        <f aca="false">IF(OR(D366=0,$H$16=0),0,AVERAGEIFS(Market_Panel!$Y$2:$Y$2705,Market_Panel!$A$2:$A$2705,B366,Market_Panel!$B$2:$B$2705,"&gt;="&amp;$B$16,Market_Panel!$B$2:$B$2705,"&lt;="&amp;$C$16))</f>
        <v>0</v>
      </c>
      <c r="I366" s="10" t="n">
        <f aca="false">IF(D366=0,"",$I$16+$F$16*F366+$G$16*G366+$H$16*H366)</f>
        <v>-0.00375350562324042</v>
      </c>
      <c r="J366" s="5" t="n">
        <f aca="false">IF(D366&lt;5,"",(E366-I366)*162)</f>
        <v>5.2189409056683</v>
      </c>
      <c r="K366" s="5" t="n">
        <f aca="false">IF(D366=0,"",E366*162)</f>
        <v>4.61087299470335</v>
      </c>
      <c r="L366" s="3" t="n">
        <f aca="false">SUMIFS(Seasons!$L$2:$L$2865,Seasons!$A$2:$A$2865,B366,Seasons!$B$2:$B$2865,"&gt;="&amp;$B$16,Seasons!$B$2:$B$2865,"&lt;="&amp;$C$16)</f>
        <v>4</v>
      </c>
      <c r="M366" s="3" t="n">
        <f aca="false">SUMIFS(Seasons!$N$2:$N$2865,Seasons!$A$2:$A$2865,B366,Seasons!$B$2:$B$2865,"&gt;="&amp;$B$16,Seasons!$B$2:$B$2865,"&lt;="&amp;$C$16)</f>
        <v>0</v>
      </c>
      <c r="N366" s="3" t="n">
        <f aca="false">IF(J366="",-1000000,J366+ROW()*0.000000001)</f>
        <v>5.2189412716683</v>
      </c>
      <c r="O366" s="3" t="n">
        <f aca="false">IF(J366="","",SUMPRODUCT(($A$25:$A$534=A366)*($N$25:$N$534&gt;N366))+1)</f>
        <v>7</v>
      </c>
      <c r="P366" s="3" t="str">
        <f aca="false">A366&amp;"|"&amp;O366</f>
        <v>2010s|7</v>
      </c>
    </row>
    <row r="367" customFormat="false" ht="15" hidden="false" customHeight="true" outlineLevel="0" collapsed="false">
      <c r="A367" s="1" t="s">
        <v>20</v>
      </c>
      <c r="B367" s="7" t="s">
        <v>67</v>
      </c>
      <c r="C367" s="1" t="s">
        <v>55</v>
      </c>
      <c r="D367" s="3" t="n">
        <f aca="false">COUNTIFS(Market_Panel!$A$2:$A$2705,B367,Market_Panel!$B$2:$B$2705,"&gt;="&amp;$B$16,Market_Panel!$B$2:$B$2705,"&lt;="&amp;$C$16)</f>
        <v>10</v>
      </c>
      <c r="E367" s="10" t="n">
        <f aca="false">IF(D367=0,"",AVERAGEIFS(Market_Panel!$M$2:$M$2705,Market_Panel!$A$2:$A$2705,B367,Market_Panel!$B$2:$B$2705,"&gt;="&amp;$B$16,Market_Panel!$B$2:$B$2705,"&lt;="&amp;$C$16))</f>
        <v>-0.016476859437649</v>
      </c>
      <c r="F367" s="11" t="n">
        <f aca="false">IF(D367=0,"",AVERAGEIFS(Market_Panel!$P$2:$P$2705,Market_Panel!$A$2:$A$2705,B367,Market_Panel!$B$2:$B$2705,"&gt;="&amp;$B$16,Market_Panel!$B$2:$B$2705,"&lt;="&amp;$C$16))</f>
        <v>-0.216754211421905</v>
      </c>
      <c r="G367" s="11" t="n">
        <f aca="false">IF(D367=0,"",AVERAGEIFS(Market_Panel!$R$2:$R$2705,Market_Panel!$A$2:$A$2705,B367,Market_Panel!$B$2:$B$2705,"&gt;="&amp;$B$16,Market_Panel!$B$2:$B$2705,"&lt;="&amp;$C$16))</f>
        <v>0</v>
      </c>
      <c r="H367" s="11" t="n">
        <f aca="false">IF(OR(D367=0,$H$16=0),0,AVERAGEIFS(Market_Panel!$Y$2:$Y$2705,Market_Panel!$A$2:$A$2705,B367,Market_Panel!$B$2:$B$2705,"&gt;="&amp;$B$16,Market_Panel!$B$2:$B$2705,"&lt;="&amp;$C$16))</f>
        <v>0</v>
      </c>
      <c r="I367" s="10" t="n">
        <f aca="false">IF(D367=0,"",$I$16+$F$16*F367+$G$16*G367+$H$16*H367)</f>
        <v>-0.00103981143709424</v>
      </c>
      <c r="J367" s="5" t="n">
        <f aca="false">IF(D367&lt;5,"",(E367-I367)*162)</f>
        <v>-2.50080177608987</v>
      </c>
      <c r="K367" s="5" t="n">
        <f aca="false">IF(D367=0,"",E367*162)</f>
        <v>-2.66925122889914</v>
      </c>
      <c r="L367" s="3" t="n">
        <f aca="false">SUMIFS(Seasons!$L$2:$L$2865,Seasons!$A$2:$A$2865,B367,Seasons!$B$2:$B$2865,"&gt;="&amp;$B$16,Seasons!$B$2:$B$2865,"&lt;="&amp;$C$16)</f>
        <v>4</v>
      </c>
      <c r="M367" s="3" t="n">
        <f aca="false">SUMIFS(Seasons!$N$2:$N$2865,Seasons!$A$2:$A$2865,B367,Seasons!$B$2:$B$2865,"&gt;="&amp;$B$16,Seasons!$B$2:$B$2865,"&lt;="&amp;$C$16)</f>
        <v>0</v>
      </c>
      <c r="N367" s="3" t="n">
        <f aca="false">IF(J367="",-1000000,J367+ROW()*0.000000001)</f>
        <v>-2.50080140908987</v>
      </c>
      <c r="O367" s="3" t="n">
        <f aca="false">IF(J367="","",SUMPRODUCT(($A$25:$A$534=A367)*($N$25:$N$534&gt;N367))+1)</f>
        <v>18</v>
      </c>
      <c r="P367" s="3" t="str">
        <f aca="false">A367&amp;"|"&amp;O367</f>
        <v>2010s|18</v>
      </c>
    </row>
    <row r="368" customFormat="false" ht="15" hidden="false" customHeight="true" outlineLevel="0" collapsed="false">
      <c r="A368" s="1" t="s">
        <v>20</v>
      </c>
      <c r="B368" s="7" t="s">
        <v>68</v>
      </c>
      <c r="C368" s="1" t="s">
        <v>55</v>
      </c>
      <c r="D368" s="3" t="n">
        <f aca="false">COUNTIFS(Market_Panel!$A$2:$A$2705,B368,Market_Panel!$B$2:$B$2705,"&gt;="&amp;$B$16,Market_Panel!$B$2:$B$2705,"&lt;="&amp;$C$16)</f>
        <v>10</v>
      </c>
      <c r="E368" s="10" t="n">
        <f aca="false">IF(D368=0,"",AVERAGEIFS(Market_Panel!$M$2:$M$2705,Market_Panel!$A$2:$A$2705,B368,Market_Panel!$B$2:$B$2705,"&gt;="&amp;$B$16,Market_Panel!$B$2:$B$2705,"&lt;="&amp;$C$16))</f>
        <v>-0.0277643373917936</v>
      </c>
      <c r="F368" s="11" t="n">
        <f aca="false">IF(D368=0,"",AVERAGEIFS(Market_Panel!$P$2:$P$2705,Market_Panel!$A$2:$A$2705,B368,Market_Panel!$B$2:$B$2705,"&gt;="&amp;$B$16,Market_Panel!$B$2:$B$2705,"&lt;="&amp;$C$16))</f>
        <v>-0.738135095336878</v>
      </c>
      <c r="G368" s="11" t="n">
        <f aca="false">IF(D368=0,"",AVERAGEIFS(Market_Panel!$R$2:$R$2705,Market_Panel!$A$2:$A$2705,B368,Market_Panel!$B$2:$B$2705,"&gt;="&amp;$B$16,Market_Panel!$B$2:$B$2705,"&lt;="&amp;$C$16))</f>
        <v>0</v>
      </c>
      <c r="H368" s="11" t="n">
        <f aca="false">IF(OR(D368=0,$H$16=0),0,AVERAGEIFS(Market_Panel!$Y$2:$Y$2705,Market_Panel!$A$2:$A$2705,B368,Market_Panel!$B$2:$B$2705,"&gt;="&amp;$B$16,Market_Panel!$B$2:$B$2705,"&lt;="&amp;$C$16))</f>
        <v>0</v>
      </c>
      <c r="I368" s="10" t="n">
        <f aca="false">IF(D368=0,"",$I$16+$F$16*F368+$G$16*G368+$H$16*H368)</f>
        <v>-0.00354097532507902</v>
      </c>
      <c r="J368" s="5" t="n">
        <f aca="false">IF(D368&lt;5,"",(E368-I368)*162)</f>
        <v>-3.92418465480777</v>
      </c>
      <c r="K368" s="5" t="n">
        <f aca="false">IF(D368=0,"",E368*162)</f>
        <v>-4.49782265747057</v>
      </c>
      <c r="L368" s="3" t="n">
        <f aca="false">SUMIFS(Seasons!$L$2:$L$2865,Seasons!$A$2:$A$2865,B368,Seasons!$B$2:$B$2865,"&gt;="&amp;$B$16,Seasons!$B$2:$B$2865,"&lt;="&amp;$C$16)</f>
        <v>3</v>
      </c>
      <c r="M368" s="3" t="n">
        <f aca="false">SUMIFS(Seasons!$N$2:$N$2865,Seasons!$A$2:$A$2865,B368,Seasons!$B$2:$B$2865,"&gt;="&amp;$B$16,Seasons!$B$2:$B$2865,"&lt;="&amp;$C$16)</f>
        <v>0</v>
      </c>
      <c r="N368" s="3" t="n">
        <f aca="false">IF(J368="",-1000000,J368+ROW()*0.000000001)</f>
        <v>-3.92418428680777</v>
      </c>
      <c r="O368" s="3" t="n">
        <f aca="false">IF(J368="","",SUMPRODUCT(($A$25:$A$534=A368)*($N$25:$N$534&gt;N368))+1)</f>
        <v>23</v>
      </c>
      <c r="P368" s="3" t="str">
        <f aca="false">A368&amp;"|"&amp;O368</f>
        <v>2010s|23</v>
      </c>
    </row>
    <row r="369" customFormat="false" ht="15" hidden="false" customHeight="true" outlineLevel="0" collapsed="false">
      <c r="A369" s="1" t="s">
        <v>20</v>
      </c>
      <c r="B369" s="7" t="s">
        <v>69</v>
      </c>
      <c r="C369" s="1" t="s">
        <v>55</v>
      </c>
      <c r="D369" s="3" t="n">
        <f aca="false">COUNTIFS(Market_Panel!$A$2:$A$2705,B369,Market_Panel!$B$2:$B$2705,"&gt;="&amp;$B$16,Market_Panel!$B$2:$B$2705,"&lt;="&amp;$C$16)</f>
        <v>10</v>
      </c>
      <c r="E369" s="10" t="n">
        <f aca="false">IF(D369=0,"",AVERAGEIFS(Market_Panel!$M$2:$M$2705,Market_Panel!$A$2:$A$2705,B369,Market_Panel!$B$2:$B$2705,"&gt;="&amp;$B$16,Market_Panel!$B$2:$B$2705,"&lt;="&amp;$C$16))</f>
        <v>0.0179146749538854</v>
      </c>
      <c r="F369" s="11" t="n">
        <f aca="false">IF(D369=0,"",AVERAGEIFS(Market_Panel!$P$2:$P$2705,Market_Panel!$A$2:$A$2705,B369,Market_Panel!$B$2:$B$2705,"&gt;="&amp;$B$16,Market_Panel!$B$2:$B$2705,"&lt;="&amp;$C$16))</f>
        <v>-0.715493591850162</v>
      </c>
      <c r="G369" s="11" t="n">
        <f aca="false">IF(D369=0,"",AVERAGEIFS(Market_Panel!$R$2:$R$2705,Market_Panel!$A$2:$A$2705,B369,Market_Panel!$B$2:$B$2705,"&gt;="&amp;$B$16,Market_Panel!$B$2:$B$2705,"&lt;="&amp;$C$16))</f>
        <v>0</v>
      </c>
      <c r="H369" s="11" t="n">
        <f aca="false">IF(OR(D369=0,$H$16=0),0,AVERAGEIFS(Market_Panel!$Y$2:$Y$2705,Market_Panel!$A$2:$A$2705,B369,Market_Panel!$B$2:$B$2705,"&gt;="&amp;$B$16,Market_Panel!$B$2:$B$2705,"&lt;="&amp;$C$16))</f>
        <v>0</v>
      </c>
      <c r="I369" s="10" t="n">
        <f aca="false">IF(D369=0,"",$I$16+$F$16*F369+$G$16*G369+$H$16*H369)</f>
        <v>-0.003432359699463</v>
      </c>
      <c r="J369" s="5" t="n">
        <f aca="false">IF(D369&lt;5,"",(E369-I369)*162)</f>
        <v>3.45821961384244</v>
      </c>
      <c r="K369" s="5" t="n">
        <f aca="false">IF(D369=0,"",E369*162)</f>
        <v>2.90217734252943</v>
      </c>
      <c r="L369" s="3" t="n">
        <f aca="false">SUMIFS(Seasons!$L$2:$L$2865,Seasons!$A$2:$A$2865,B369,Seasons!$B$2:$B$2865,"&gt;="&amp;$B$16,Seasons!$B$2:$B$2865,"&lt;="&amp;$C$16)</f>
        <v>5</v>
      </c>
      <c r="M369" s="3" t="n">
        <f aca="false">SUMIFS(Seasons!$N$2:$N$2865,Seasons!$A$2:$A$2865,B369,Seasons!$B$2:$B$2865,"&gt;="&amp;$B$16,Seasons!$B$2:$B$2865,"&lt;="&amp;$C$16)</f>
        <v>0</v>
      </c>
      <c r="N369" s="3" t="n">
        <f aca="false">IF(J369="",-1000000,J369+ROW()*0.000000001)</f>
        <v>3.45821998284244</v>
      </c>
      <c r="O369" s="3" t="n">
        <f aca="false">IF(J369="","",SUMPRODUCT(($A$25:$A$534=A369)*($N$25:$N$534&gt;N369))+1)</f>
        <v>9</v>
      </c>
      <c r="P369" s="3" t="str">
        <f aca="false">A369&amp;"|"&amp;O369</f>
        <v>2010s|9</v>
      </c>
    </row>
    <row r="370" customFormat="false" ht="15" hidden="false" customHeight="true" outlineLevel="0" collapsed="false">
      <c r="A370" s="1" t="s">
        <v>20</v>
      </c>
      <c r="B370" s="7" t="s">
        <v>70</v>
      </c>
      <c r="C370" s="1" t="s">
        <v>55</v>
      </c>
      <c r="D370" s="3" t="n">
        <f aca="false">COUNTIFS(Market_Panel!$A$2:$A$2705,B370,Market_Panel!$B$2:$B$2705,"&gt;="&amp;$B$16,Market_Panel!$B$2:$B$2705,"&lt;="&amp;$C$16)</f>
        <v>10</v>
      </c>
      <c r="E370" s="10" t="n">
        <f aca="false">IF(D370=0,"",AVERAGEIFS(Market_Panel!$M$2:$M$2705,Market_Panel!$A$2:$A$2705,B370,Market_Panel!$B$2:$B$2705,"&gt;="&amp;$B$16,Market_Panel!$B$2:$B$2705,"&lt;="&amp;$C$16))</f>
        <v>0.0685319589045027</v>
      </c>
      <c r="F370" s="11" t="n">
        <f aca="false">IF(D370=0,"",AVERAGEIFS(Market_Panel!$P$2:$P$2705,Market_Panel!$A$2:$A$2705,B370,Market_Panel!$B$2:$B$2705,"&gt;="&amp;$B$16,Market_Panel!$B$2:$B$2705,"&lt;="&amp;$C$16))</f>
        <v>1.61146072376969</v>
      </c>
      <c r="G370" s="11" t="n">
        <f aca="false">IF(D370=0,"",AVERAGEIFS(Market_Panel!$R$2:$R$2705,Market_Panel!$A$2:$A$2705,B370,Market_Panel!$B$2:$B$2705,"&gt;="&amp;$B$16,Market_Panel!$B$2:$B$2705,"&lt;="&amp;$C$16))</f>
        <v>0</v>
      </c>
      <c r="H370" s="11" t="n">
        <f aca="false">IF(OR(D370=0,$H$16=0),0,AVERAGEIFS(Market_Panel!$Y$2:$Y$2705,Market_Panel!$A$2:$A$2705,B370,Market_Panel!$B$2:$B$2705,"&gt;="&amp;$B$16,Market_Panel!$B$2:$B$2705,"&lt;="&amp;$C$16))</f>
        <v>0</v>
      </c>
      <c r="I370" s="10" t="n">
        <f aca="false">IF(D370=0,"",$I$16+$F$16*F370+$G$16*G370+$H$16*H370)</f>
        <v>0.00773048551173168</v>
      </c>
      <c r="J370" s="5" t="n">
        <f aca="false">IF(D370&lt;5,"",(E370-I370)*162)</f>
        <v>9.84983868962891</v>
      </c>
      <c r="K370" s="5" t="n">
        <f aca="false">IF(D370=0,"",E370*162)</f>
        <v>11.1021773425294</v>
      </c>
      <c r="L370" s="3" t="n">
        <f aca="false">SUMIFS(Seasons!$L$2:$L$2865,Seasons!$A$2:$A$2865,B370,Seasons!$B$2:$B$2865,"&gt;="&amp;$B$16,Seasons!$B$2:$B$2865,"&lt;="&amp;$C$16)</f>
        <v>7</v>
      </c>
      <c r="M370" s="3" t="n">
        <f aca="false">SUMIFS(Seasons!$N$2:$N$2865,Seasons!$A$2:$A$2865,B370,Seasons!$B$2:$B$2865,"&gt;="&amp;$B$16,Seasons!$B$2:$B$2865,"&lt;="&amp;$C$16)</f>
        <v>0</v>
      </c>
      <c r="N370" s="3" t="n">
        <f aca="false">IF(J370="",-1000000,J370+ROW()*0.000000001)</f>
        <v>9.84983905962891</v>
      </c>
      <c r="O370" s="3" t="n">
        <f aca="false">IF(J370="","",SUMPRODUCT(($A$25:$A$534=A370)*($N$25:$N$534&gt;N370))+1)</f>
        <v>2</v>
      </c>
      <c r="P370" s="3" t="str">
        <f aca="false">A370&amp;"|"&amp;O370</f>
        <v>2010s|2</v>
      </c>
    </row>
    <row r="371" customFormat="false" ht="15" hidden="false" customHeight="true" outlineLevel="0" collapsed="false">
      <c r="A371" s="1" t="s">
        <v>20</v>
      </c>
      <c r="B371" s="7" t="s">
        <v>71</v>
      </c>
      <c r="C371" s="1" t="s">
        <v>72</v>
      </c>
      <c r="D371" s="3" t="n">
        <f aca="false">COUNTIFS(Market_Panel!$A$2:$A$2705,B371,Market_Panel!$B$2:$B$2705,"&gt;="&amp;$B$16,Market_Panel!$B$2:$B$2705,"&lt;="&amp;$C$16)</f>
        <v>10</v>
      </c>
      <c r="E371" s="10" t="n">
        <f aca="false">IF(D371=0,"",AVERAGEIFS(Market_Panel!$M$2:$M$2705,Market_Panel!$A$2:$A$2705,B371,Market_Panel!$B$2:$B$2705,"&gt;="&amp;$B$16,Market_Panel!$B$2:$B$2705,"&lt;="&amp;$C$16))</f>
        <v>0.00742084779339156</v>
      </c>
      <c r="F371" s="11" t="n">
        <f aca="false">IF(D371=0,"",AVERAGEIFS(Market_Panel!$P$2:$P$2705,Market_Panel!$A$2:$A$2705,B371,Market_Panel!$B$2:$B$2705,"&gt;="&amp;$B$16,Market_Panel!$B$2:$B$2705,"&lt;="&amp;$C$16))</f>
        <v>0.822481280562593</v>
      </c>
      <c r="G371" s="11" t="n">
        <f aca="false">IF(D371=0,"",AVERAGEIFS(Market_Panel!$R$2:$R$2705,Market_Panel!$A$2:$A$2705,B371,Market_Panel!$B$2:$B$2705,"&gt;="&amp;$B$16,Market_Panel!$B$2:$B$2705,"&lt;="&amp;$C$16))</f>
        <v>0</v>
      </c>
      <c r="H371" s="11" t="n">
        <f aca="false">IF(OR(D371=0,$H$16=0),0,AVERAGEIFS(Market_Panel!$Y$2:$Y$2705,Market_Panel!$A$2:$A$2705,B371,Market_Panel!$B$2:$B$2705,"&gt;="&amp;$B$16,Market_Panel!$B$2:$B$2705,"&lt;="&amp;$C$16))</f>
        <v>0</v>
      </c>
      <c r="I371" s="10" t="n">
        <f aca="false">IF(D371=0,"",$I$16+$F$16*F371+$G$16*G371+$H$16*H371)</f>
        <v>0.00394560011874565</v>
      </c>
      <c r="J371" s="5" t="n">
        <f aca="false">IF(D371&lt;5,"",(E371-I371)*162)</f>
        <v>0.562990123292638</v>
      </c>
      <c r="K371" s="5" t="n">
        <f aca="false">IF(D371=0,"",E371*162)</f>
        <v>1.20217734252943</v>
      </c>
      <c r="L371" s="3" t="n">
        <f aca="false">SUMIFS(Seasons!$L$2:$L$2865,Seasons!$A$2:$A$2865,B371,Seasons!$B$2:$B$2865,"&gt;="&amp;$B$16,Seasons!$B$2:$B$2865,"&lt;="&amp;$C$16)</f>
        <v>1</v>
      </c>
      <c r="M371" s="3" t="n">
        <f aca="false">SUMIFS(Seasons!$N$2:$N$2865,Seasons!$A$2:$A$2865,B371,Seasons!$B$2:$B$2865,"&gt;="&amp;$B$16,Seasons!$B$2:$B$2865,"&lt;="&amp;$C$16)</f>
        <v>0</v>
      </c>
      <c r="N371" s="3" t="n">
        <f aca="false">IF(J371="",-1000000,J371+ROW()*0.000000001)</f>
        <v>0.562990494292638</v>
      </c>
      <c r="O371" s="3" t="n">
        <f aca="false">IF(J371="","",SUMPRODUCT(($A$25:$A$534=A371)*($N$25:$N$534&gt;N371))+1)</f>
        <v>13</v>
      </c>
      <c r="P371" s="3" t="str">
        <f aca="false">A371&amp;"|"&amp;O371</f>
        <v>2010s|13</v>
      </c>
    </row>
    <row r="372" customFormat="false" ht="15" hidden="false" customHeight="true" outlineLevel="0" collapsed="false">
      <c r="A372" s="1" t="s">
        <v>20</v>
      </c>
      <c r="B372" s="7" t="s">
        <v>73</v>
      </c>
      <c r="C372" s="1" t="s">
        <v>72</v>
      </c>
      <c r="D372" s="3" t="n">
        <f aca="false">COUNTIFS(Market_Panel!$A$2:$A$2705,B372,Market_Panel!$B$2:$B$2705,"&gt;="&amp;$B$16,Market_Panel!$B$2:$B$2705,"&lt;="&amp;$C$16)</f>
        <v>10</v>
      </c>
      <c r="E372" s="10" t="n">
        <f aca="false">IF(D372=0,"",AVERAGEIFS(Market_Panel!$M$2:$M$2705,Market_Panel!$A$2:$A$2705,B372,Market_Panel!$B$2:$B$2705,"&gt;="&amp;$B$16,Market_Panel!$B$2:$B$2705,"&lt;="&amp;$C$16))</f>
        <v>0.0200391921090774</v>
      </c>
      <c r="F372" s="11" t="n">
        <f aca="false">IF(D372=0,"",AVERAGEIFS(Market_Panel!$P$2:$P$2705,Market_Panel!$A$2:$A$2705,B372,Market_Panel!$B$2:$B$2705,"&gt;="&amp;$B$16,Market_Panel!$B$2:$B$2705,"&lt;="&amp;$C$16))</f>
        <v>0.389004200791743</v>
      </c>
      <c r="G372" s="11" t="n">
        <f aca="false">IF(D372=0,"",AVERAGEIFS(Market_Panel!$R$2:$R$2705,Market_Panel!$A$2:$A$2705,B372,Market_Panel!$B$2:$B$2705,"&gt;="&amp;$B$16,Market_Panel!$B$2:$B$2705,"&lt;="&amp;$C$16))</f>
        <v>0</v>
      </c>
      <c r="H372" s="11" t="n">
        <f aca="false">IF(OR(D372=0,$H$16=0),0,AVERAGEIFS(Market_Panel!$Y$2:$Y$2705,Market_Panel!$A$2:$A$2705,B372,Market_Panel!$B$2:$B$2705,"&gt;="&amp;$B$16,Market_Panel!$B$2:$B$2705,"&lt;="&amp;$C$16))</f>
        <v>0</v>
      </c>
      <c r="I372" s="10" t="n">
        <f aca="false">IF(D372=0,"",$I$16+$F$16*F372+$G$16*G372+$H$16*H372)</f>
        <v>0.00186612760327698</v>
      </c>
      <c r="J372" s="5" t="n">
        <f aca="false">IF(D372&lt;5,"",(E372-I372)*162)</f>
        <v>2.94403644993967</v>
      </c>
      <c r="K372" s="5" t="n">
        <f aca="false">IF(D372=0,"",E372*162)</f>
        <v>3.24634912167054</v>
      </c>
      <c r="L372" s="3" t="n">
        <f aca="false">SUMIFS(Seasons!$L$2:$L$2865,Seasons!$A$2:$A$2865,B372,Seasons!$B$2:$B$2865,"&gt;="&amp;$B$16,Seasons!$B$2:$B$2865,"&lt;="&amp;$C$16)</f>
        <v>5</v>
      </c>
      <c r="M372" s="3" t="n">
        <f aca="false">SUMIFS(Seasons!$N$2:$N$2865,Seasons!$A$2:$A$2865,B372,Seasons!$B$2:$B$2865,"&gt;="&amp;$B$16,Seasons!$B$2:$B$2865,"&lt;="&amp;$C$16)</f>
        <v>0</v>
      </c>
      <c r="N372" s="3" t="n">
        <f aca="false">IF(J372="",-1000000,J372+ROW()*0.000000001)</f>
        <v>2.94403682193967</v>
      </c>
      <c r="O372" s="3" t="n">
        <f aca="false">IF(J372="","",SUMPRODUCT(($A$25:$A$534=A372)*($N$25:$N$534&gt;N372))+1)</f>
        <v>10</v>
      </c>
      <c r="P372" s="3" t="str">
        <f aca="false">A372&amp;"|"&amp;O372</f>
        <v>2010s|10</v>
      </c>
    </row>
    <row r="373" customFormat="false" ht="15" hidden="false" customHeight="true" outlineLevel="0" collapsed="false">
      <c r="A373" s="1" t="s">
        <v>20</v>
      </c>
      <c r="B373" s="7" t="s">
        <v>74</v>
      </c>
      <c r="C373" s="1" t="s">
        <v>72</v>
      </c>
      <c r="D373" s="3" t="n">
        <f aca="false">COUNTIFS(Market_Panel!$A$2:$A$2705,B373,Market_Panel!$B$2:$B$2705,"&gt;="&amp;$B$16,Market_Panel!$B$2:$B$2705,"&lt;="&amp;$C$16)</f>
        <v>10</v>
      </c>
      <c r="E373" s="10" t="n">
        <f aca="false">IF(D373=0,"",AVERAGEIFS(Market_Panel!$M$2:$M$2705,Market_Panel!$A$2:$A$2705,B373,Market_Panel!$B$2:$B$2705,"&gt;="&amp;$B$16,Market_Panel!$B$2:$B$2705,"&lt;="&amp;$C$16))</f>
        <v>-0.0129495225769788</v>
      </c>
      <c r="F373" s="11" t="n">
        <f aca="false">IF(D373=0,"",AVERAGEIFS(Market_Panel!$P$2:$P$2705,Market_Panel!$A$2:$A$2705,B373,Market_Panel!$B$2:$B$2705,"&gt;="&amp;$B$16,Market_Panel!$B$2:$B$2705,"&lt;="&amp;$C$16))</f>
        <v>0.953778113478275</v>
      </c>
      <c r="G373" s="11" t="n">
        <f aca="false">IF(D373=0,"",AVERAGEIFS(Market_Panel!$R$2:$R$2705,Market_Panel!$A$2:$A$2705,B373,Market_Panel!$B$2:$B$2705,"&gt;="&amp;$B$16,Market_Panel!$B$2:$B$2705,"&lt;="&amp;$C$16))</f>
        <v>0</v>
      </c>
      <c r="H373" s="11" t="n">
        <f aca="false">IF(OR(D373=0,$H$16=0),0,AVERAGEIFS(Market_Panel!$Y$2:$Y$2705,Market_Panel!$A$2:$A$2705,B373,Market_Panel!$B$2:$B$2705,"&gt;="&amp;$B$16,Market_Panel!$B$2:$B$2705,"&lt;="&amp;$C$16))</f>
        <v>0</v>
      </c>
      <c r="I373" s="10" t="n">
        <f aca="false">IF(D373=0,"",$I$16+$F$16*F373+$G$16*G373+$H$16*H373)</f>
        <v>0.00457545615533373</v>
      </c>
      <c r="J373" s="5" t="n">
        <f aca="false">IF(D373&lt;5,"",(E373-I373)*162)</f>
        <v>-2.83904655463463</v>
      </c>
      <c r="K373" s="5" t="n">
        <f aca="false">IF(D373=0,"",E373*162)</f>
        <v>-2.09782265747056</v>
      </c>
      <c r="L373" s="3" t="n">
        <f aca="false">SUMIFS(Seasons!$L$2:$L$2865,Seasons!$A$2:$A$2865,B373,Seasons!$B$2:$B$2865,"&gt;="&amp;$B$16,Seasons!$B$2:$B$2865,"&lt;="&amp;$C$16)</f>
        <v>4</v>
      </c>
      <c r="M373" s="3" t="n">
        <f aca="false">SUMIFS(Seasons!$N$2:$N$2865,Seasons!$A$2:$A$2865,B373,Seasons!$B$2:$B$2865,"&gt;="&amp;$B$16,Seasons!$B$2:$B$2865,"&lt;="&amp;$C$16)</f>
        <v>1</v>
      </c>
      <c r="N373" s="3" t="n">
        <f aca="false">IF(J373="",-1000000,J373+ROW()*0.000000001)</f>
        <v>-2.83904618163463</v>
      </c>
      <c r="O373" s="3" t="n">
        <f aca="false">IF(J373="","",SUMPRODUCT(($A$25:$A$534=A373)*($N$25:$N$534&gt;N373))+1)</f>
        <v>21</v>
      </c>
      <c r="P373" s="3" t="str">
        <f aca="false">A373&amp;"|"&amp;O373</f>
        <v>2010s|21</v>
      </c>
    </row>
    <row r="374" customFormat="false" ht="15" hidden="false" customHeight="true" outlineLevel="0" collapsed="false">
      <c r="A374" s="1" t="s">
        <v>20</v>
      </c>
      <c r="B374" s="7" t="s">
        <v>75</v>
      </c>
      <c r="C374" s="1" t="s">
        <v>72</v>
      </c>
      <c r="D374" s="3" t="n">
        <f aca="false">COUNTIFS(Market_Panel!$A$2:$A$2705,B374,Market_Panel!$B$2:$B$2705,"&gt;="&amp;$B$16,Market_Panel!$B$2:$B$2705,"&lt;="&amp;$C$16)</f>
        <v>10</v>
      </c>
      <c r="E374" s="10" t="n">
        <f aca="false">IF(D374=0,"",AVERAGEIFS(Market_Panel!$M$2:$M$2705,Market_Panel!$A$2:$A$2705,B374,Market_Panel!$B$2:$B$2705,"&gt;="&amp;$B$16,Market_Panel!$B$2:$B$2705,"&lt;="&amp;$C$16))</f>
        <v>-0.0104803867745097</v>
      </c>
      <c r="F374" s="11" t="n">
        <f aca="false">IF(D374=0,"",AVERAGEIFS(Market_Panel!$P$2:$P$2705,Market_Panel!$A$2:$A$2705,B374,Market_Panel!$B$2:$B$2705,"&gt;="&amp;$B$16,Market_Panel!$B$2:$B$2705,"&lt;="&amp;$C$16))</f>
        <v>1.61146072376969</v>
      </c>
      <c r="G374" s="11" t="n">
        <f aca="false">IF(D374=0,"",AVERAGEIFS(Market_Panel!$R$2:$R$2705,Market_Panel!$A$2:$A$2705,B374,Market_Panel!$B$2:$B$2705,"&gt;="&amp;$B$16,Market_Panel!$B$2:$B$2705,"&lt;="&amp;$C$16))</f>
        <v>0</v>
      </c>
      <c r="H374" s="11" t="n">
        <f aca="false">IF(OR(D374=0,$H$16=0),0,AVERAGEIFS(Market_Panel!$Y$2:$Y$2705,Market_Panel!$A$2:$A$2705,B374,Market_Panel!$B$2:$B$2705,"&gt;="&amp;$B$16,Market_Panel!$B$2:$B$2705,"&lt;="&amp;$C$16))</f>
        <v>0</v>
      </c>
      <c r="I374" s="10" t="n">
        <f aca="false">IF(D374=0,"",$I$16+$F$16*F374+$G$16*G374+$H$16*H374)</f>
        <v>0.00773048551173168</v>
      </c>
      <c r="J374" s="5" t="n">
        <f aca="false">IF(D374&lt;5,"",(E374-I374)*162)</f>
        <v>-2.9501613103711</v>
      </c>
      <c r="K374" s="5" t="n">
        <f aca="false">IF(D374=0,"",E374*162)</f>
        <v>-1.69782265747056</v>
      </c>
      <c r="L374" s="3" t="n">
        <f aca="false">SUMIFS(Seasons!$L$2:$L$2865,Seasons!$A$2:$A$2865,B374,Seasons!$B$2:$B$2865,"&gt;="&amp;$B$16,Seasons!$B$2:$B$2865,"&lt;="&amp;$C$16)</f>
        <v>2</v>
      </c>
      <c r="M374" s="3" t="n">
        <f aca="false">SUMIFS(Seasons!$N$2:$N$2865,Seasons!$A$2:$A$2865,B374,Seasons!$B$2:$B$2865,"&gt;="&amp;$B$16,Seasons!$B$2:$B$2865,"&lt;="&amp;$C$16)</f>
        <v>0</v>
      </c>
      <c r="N374" s="3" t="n">
        <f aca="false">IF(J374="",-1000000,J374+ROW()*0.000000001)</f>
        <v>-2.9501609363711</v>
      </c>
      <c r="O374" s="3" t="n">
        <f aca="false">IF(J374="","",SUMPRODUCT(($A$25:$A$534=A374)*($N$25:$N$534&gt;N374))+1)</f>
        <v>22</v>
      </c>
      <c r="P374" s="3" t="str">
        <f aca="false">A374&amp;"|"&amp;O374</f>
        <v>2010s|22</v>
      </c>
    </row>
    <row r="375" customFormat="false" ht="15" hidden="false" customHeight="true" outlineLevel="0" collapsed="false">
      <c r="A375" s="1" t="s">
        <v>20</v>
      </c>
      <c r="B375" s="7" t="s">
        <v>76</v>
      </c>
      <c r="C375" s="1" t="s">
        <v>72</v>
      </c>
      <c r="D375" s="3" t="n">
        <f aca="false">COUNTIFS(Market_Panel!$A$2:$A$2705,B375,Market_Panel!$B$2:$B$2705,"&gt;="&amp;$B$16,Market_Panel!$B$2:$B$2705,"&lt;="&amp;$C$16)</f>
        <v>10</v>
      </c>
      <c r="E375" s="10" t="n">
        <f aca="false">IF(D375=0,"",AVERAGEIFS(Market_Panel!$M$2:$M$2705,Market_Panel!$A$2:$A$2705,B375,Market_Panel!$B$2:$B$2705,"&gt;="&amp;$B$16,Market_Panel!$B$2:$B$2705,"&lt;="&amp;$C$16))</f>
        <v>-0.0320853250461146</v>
      </c>
      <c r="F375" s="11" t="n">
        <f aca="false">IF(D375=0,"",AVERAGEIFS(Market_Panel!$P$2:$P$2705,Market_Panel!$A$2:$A$2705,B375,Market_Panel!$B$2:$B$2705,"&gt;="&amp;$B$16,Market_Panel!$B$2:$B$2705,"&lt;="&amp;$C$16))</f>
        <v>-0.561886996781325</v>
      </c>
      <c r="G375" s="11" t="n">
        <f aca="false">IF(D375=0,"",AVERAGEIFS(Market_Panel!$R$2:$R$2705,Market_Panel!$A$2:$A$2705,B375,Market_Panel!$B$2:$B$2705,"&gt;="&amp;$B$16,Market_Panel!$B$2:$B$2705,"&lt;="&amp;$C$16))</f>
        <v>0</v>
      </c>
      <c r="H375" s="11" t="n">
        <f aca="false">IF(OR(D375=0,$H$16=0),0,AVERAGEIFS(Market_Panel!$Y$2:$Y$2705,Market_Panel!$A$2:$A$2705,B375,Market_Panel!$B$2:$B$2705,"&gt;="&amp;$B$16,Market_Panel!$B$2:$B$2705,"&lt;="&amp;$C$16))</f>
        <v>0</v>
      </c>
      <c r="I375" s="10" t="n">
        <f aca="false">IF(D375=0,"",$I$16+$F$16*F375+$G$16*G375+$H$16*H375)</f>
        <v>-0.00269547946392846</v>
      </c>
      <c r="J375" s="5" t="n">
        <f aca="false">IF(D375&lt;5,"",(E375-I375)*162)</f>
        <v>-4.76115498431416</v>
      </c>
      <c r="K375" s="5" t="n">
        <f aca="false">IF(D375=0,"",E375*162)</f>
        <v>-5.19782265747057</v>
      </c>
      <c r="L375" s="3" t="n">
        <f aca="false">SUMIFS(Seasons!$L$2:$L$2865,Seasons!$A$2:$A$2865,B375,Seasons!$B$2:$B$2865,"&gt;="&amp;$B$16,Seasons!$B$2:$B$2865,"&lt;="&amp;$C$16)</f>
        <v>2</v>
      </c>
      <c r="M375" s="3" t="n">
        <f aca="false">SUMIFS(Seasons!$N$2:$N$2865,Seasons!$A$2:$A$2865,B375,Seasons!$B$2:$B$2865,"&gt;="&amp;$B$16,Seasons!$B$2:$B$2865,"&lt;="&amp;$C$16)</f>
        <v>1</v>
      </c>
      <c r="N375" s="3" t="n">
        <f aca="false">IF(J375="",-1000000,J375+ROW()*0.000000001)</f>
        <v>-4.76115460931416</v>
      </c>
      <c r="O375" s="3" t="n">
        <f aca="false">IF(J375="","",SUMPRODUCT(($A$25:$A$534=A375)*($N$25:$N$534&gt;N375))+1)</f>
        <v>24</v>
      </c>
      <c r="P375" s="3" t="str">
        <f aca="false">A375&amp;"|"&amp;O375</f>
        <v>2010s|24</v>
      </c>
    </row>
    <row r="376" customFormat="false" ht="15" hidden="false" customHeight="true" outlineLevel="0" collapsed="false">
      <c r="A376" s="1" t="s">
        <v>20</v>
      </c>
      <c r="B376" s="7" t="s">
        <v>77</v>
      </c>
      <c r="C376" s="1" t="s">
        <v>72</v>
      </c>
      <c r="D376" s="3" t="n">
        <f aca="false">COUNTIFS(Market_Panel!$A$2:$A$2705,B376,Market_Panel!$B$2:$B$2705,"&gt;="&amp;$B$16,Market_Panel!$B$2:$B$2705,"&lt;="&amp;$C$16)</f>
        <v>10</v>
      </c>
      <c r="E376" s="10" t="n">
        <f aca="false">IF(D376=0,"",AVERAGEIFS(Market_Panel!$M$2:$M$2705,Market_Panel!$A$2:$A$2705,B376,Market_Panel!$B$2:$B$2705,"&gt;="&amp;$B$16,Market_Panel!$B$2:$B$2705,"&lt;="&amp;$C$16))</f>
        <v>0.00829186195683928</v>
      </c>
      <c r="F376" s="11" t="n">
        <f aca="false">IF(D376=0,"",AVERAGEIFS(Market_Panel!$P$2:$P$2705,Market_Panel!$A$2:$A$2705,B376,Market_Panel!$B$2:$B$2705,"&gt;="&amp;$B$16,Market_Panel!$B$2:$B$2705,"&lt;="&amp;$C$16))</f>
        <v>-0.362846696682001</v>
      </c>
      <c r="G376" s="11" t="n">
        <f aca="false">IF(D376=0,"",AVERAGEIFS(Market_Panel!$R$2:$R$2705,Market_Panel!$A$2:$A$2705,B376,Market_Panel!$B$2:$B$2705,"&gt;="&amp;$B$16,Market_Panel!$B$2:$B$2705,"&lt;="&amp;$C$16))</f>
        <v>0</v>
      </c>
      <c r="H376" s="11" t="n">
        <f aca="false">IF(OR(D376=0,$H$16=0),0,AVERAGEIFS(Market_Panel!$Y$2:$Y$2705,Market_Panel!$A$2:$A$2705,B376,Market_Panel!$B$2:$B$2705,"&gt;="&amp;$B$16,Market_Panel!$B$2:$B$2705,"&lt;="&amp;$C$16))</f>
        <v>0</v>
      </c>
      <c r="I376" s="10" t="n">
        <f aca="false">IF(D376=0,"",$I$16+$F$16*F376+$G$16*G376+$H$16*H376)</f>
        <v>-0.00174064504973987</v>
      </c>
      <c r="J376" s="5" t="n">
        <f aca="false">IF(D376&lt;5,"",(E376-I376)*162)</f>
        <v>1.62526613506582</v>
      </c>
      <c r="K376" s="5" t="n">
        <f aca="false">IF(D376=0,"",E376*162)</f>
        <v>1.34328163700796</v>
      </c>
      <c r="L376" s="3" t="n">
        <f aca="false">SUMIFS(Seasons!$L$2:$L$2865,Seasons!$A$2:$A$2865,B376,Seasons!$B$2:$B$2865,"&gt;="&amp;$B$16,Seasons!$B$2:$B$2865,"&lt;="&amp;$C$16)</f>
        <v>3</v>
      </c>
      <c r="M376" s="3" t="n">
        <f aca="false">SUMIFS(Seasons!$N$2:$N$2865,Seasons!$A$2:$A$2865,B376,Seasons!$B$2:$B$2865,"&gt;="&amp;$B$16,Seasons!$B$2:$B$2865,"&lt;="&amp;$C$16)</f>
        <v>0</v>
      </c>
      <c r="N376" s="3" t="n">
        <f aca="false">IF(J376="",-1000000,J376+ROW()*0.000000001)</f>
        <v>1.62526651106582</v>
      </c>
      <c r="O376" s="3" t="n">
        <f aca="false">IF(J376="","",SUMPRODUCT(($A$25:$A$534=A376)*($N$25:$N$534&gt;N376))+1)</f>
        <v>11</v>
      </c>
      <c r="P376" s="3" t="str">
        <f aca="false">A376&amp;"|"&amp;O376</f>
        <v>2010s|11</v>
      </c>
    </row>
    <row r="377" customFormat="false" ht="15" hidden="false" customHeight="true" outlineLevel="0" collapsed="false">
      <c r="A377" s="1" t="s">
        <v>20</v>
      </c>
      <c r="B377" s="7" t="s">
        <v>78</v>
      </c>
      <c r="C377" s="1" t="s">
        <v>72</v>
      </c>
      <c r="D377" s="3" t="n">
        <f aca="false">COUNTIFS(Market_Panel!$A$2:$A$2705,B377,Market_Panel!$B$2:$B$2705,"&gt;="&amp;$B$16,Market_Panel!$B$2:$B$2705,"&lt;="&amp;$C$16)</f>
        <v>10</v>
      </c>
      <c r="E377" s="10" t="n">
        <f aca="false">IF(D377=0,"",AVERAGEIFS(Market_Panel!$M$2:$M$2705,Market_Panel!$A$2:$A$2705,B377,Market_Panel!$B$2:$B$2705,"&gt;="&amp;$B$16,Market_Panel!$B$2:$B$2705,"&lt;="&amp;$C$16))</f>
        <v>-0.043813720107843</v>
      </c>
      <c r="F377" s="11" t="n">
        <f aca="false">IF(D377=0,"",AVERAGEIFS(Market_Panel!$P$2:$P$2705,Market_Panel!$A$2:$A$2705,B377,Market_Panel!$B$2:$B$2705,"&gt;="&amp;$B$16,Market_Panel!$B$2:$B$2705,"&lt;="&amp;$C$16))</f>
        <v>0.464767507247009</v>
      </c>
      <c r="G377" s="11" t="n">
        <f aca="false">IF(D377=0,"",AVERAGEIFS(Market_Panel!$R$2:$R$2705,Market_Panel!$A$2:$A$2705,B377,Market_Panel!$B$2:$B$2705,"&gt;="&amp;$B$16,Market_Panel!$B$2:$B$2705,"&lt;="&amp;$C$16))</f>
        <v>0</v>
      </c>
      <c r="H377" s="11" t="n">
        <f aca="false">IF(OR(D377=0,$H$16=0),0,AVERAGEIFS(Market_Panel!$Y$2:$Y$2705,Market_Panel!$A$2:$A$2705,B377,Market_Panel!$B$2:$B$2705,"&gt;="&amp;$B$16,Market_Panel!$B$2:$B$2705,"&lt;="&amp;$C$16))</f>
        <v>0</v>
      </c>
      <c r="I377" s="10" t="n">
        <f aca="false">IF(D377=0,"",$I$16+$F$16*F377+$G$16*G377+$H$16*H377)</f>
        <v>0.00222957868479215</v>
      </c>
      <c r="J377" s="5" t="n">
        <f aca="false">IF(D377&lt;5,"",(E377-I377)*162)</f>
        <v>-7.4590144044069</v>
      </c>
      <c r="K377" s="5" t="n">
        <f aca="false">IF(D377=0,"",E377*162)</f>
        <v>-7.09782265747057</v>
      </c>
      <c r="L377" s="3" t="n">
        <f aca="false">SUMIFS(Seasons!$L$2:$L$2865,Seasons!$A$2:$A$2865,B377,Seasons!$B$2:$B$2865,"&gt;="&amp;$B$16,Seasons!$B$2:$B$2865,"&lt;="&amp;$C$16)</f>
        <v>0</v>
      </c>
      <c r="M377" s="3" t="n">
        <f aca="false">SUMIFS(Seasons!$N$2:$N$2865,Seasons!$A$2:$A$2865,B377,Seasons!$B$2:$B$2865,"&gt;="&amp;$B$16,Seasons!$B$2:$B$2865,"&lt;="&amp;$C$16)</f>
        <v>0</v>
      </c>
      <c r="N377" s="3" t="n">
        <f aca="false">IF(J377="",-1000000,J377+ROW()*0.000000001)</f>
        <v>-7.4590140274069</v>
      </c>
      <c r="O377" s="3" t="n">
        <f aca="false">IF(J377="","",SUMPRODUCT(($A$25:$A$534=A377)*($N$25:$N$534&gt;N377))+1)</f>
        <v>29</v>
      </c>
      <c r="P377" s="3" t="str">
        <f aca="false">A377&amp;"|"&amp;O377</f>
        <v>2010s|29</v>
      </c>
    </row>
    <row r="378" customFormat="false" ht="15" hidden="false" customHeight="true" outlineLevel="0" collapsed="false">
      <c r="A378" s="1" t="s">
        <v>20</v>
      </c>
      <c r="B378" s="7" t="s">
        <v>79</v>
      </c>
      <c r="C378" s="1" t="s">
        <v>72</v>
      </c>
      <c r="D378" s="3" t="n">
        <f aca="false">COUNTIFS(Market_Panel!$A$2:$A$2705,B378,Market_Panel!$B$2:$B$2705,"&gt;="&amp;$B$16,Market_Panel!$B$2:$B$2705,"&lt;="&amp;$C$16)</f>
        <v>10</v>
      </c>
      <c r="E378" s="10" t="n">
        <f aca="false">IF(D378=0,"",AVERAGEIFS(Market_Panel!$M$2:$M$2705,Market_Panel!$A$2:$A$2705,B378,Market_Panel!$B$2:$B$2705,"&gt;="&amp;$B$16,Market_Panel!$B$2:$B$2705,"&lt;="&amp;$C$16))</f>
        <v>0.0429127579229829</v>
      </c>
      <c r="F378" s="11" t="n">
        <f aca="false">IF(D378=0,"",AVERAGEIFS(Market_Panel!$P$2:$P$2705,Market_Panel!$A$2:$A$2705,B378,Market_Panel!$B$2:$B$2705,"&gt;="&amp;$B$16,Market_Panel!$B$2:$B$2705,"&lt;="&amp;$C$16))</f>
        <v>-0.276500356368276</v>
      </c>
      <c r="G378" s="11" t="n">
        <f aca="false">IF(D378=0,"",AVERAGEIFS(Market_Panel!$R$2:$R$2705,Market_Panel!$A$2:$A$2705,B378,Market_Panel!$B$2:$B$2705,"&gt;="&amp;$B$16,Market_Panel!$B$2:$B$2705,"&lt;="&amp;$C$16))</f>
        <v>0</v>
      </c>
      <c r="H378" s="11" t="n">
        <f aca="false">IF(OR(D378=0,$H$16=0),0,AVERAGEIFS(Market_Panel!$Y$2:$Y$2705,Market_Panel!$A$2:$A$2705,B378,Market_Panel!$B$2:$B$2705,"&gt;="&amp;$B$16,Market_Panel!$B$2:$B$2705,"&lt;="&amp;$C$16))</f>
        <v>0</v>
      </c>
      <c r="I378" s="10" t="n">
        <f aca="false">IF(D378=0,"",$I$16+$F$16*F378+$G$16*G378+$H$16*H378)</f>
        <v>-0.00132642512930344</v>
      </c>
      <c r="J378" s="5" t="n">
        <f aca="false">IF(D378&lt;5,"",(E378-I378)*162)</f>
        <v>7.16674765447038</v>
      </c>
      <c r="K378" s="5" t="n">
        <f aca="false">IF(D378=0,"",E378*162)</f>
        <v>6.95186678352323</v>
      </c>
      <c r="L378" s="3" t="n">
        <f aca="false">SUMIFS(Seasons!$L$2:$L$2865,Seasons!$A$2:$A$2865,B378,Seasons!$B$2:$B$2865,"&gt;="&amp;$B$16,Seasons!$B$2:$B$2865,"&lt;="&amp;$C$16)</f>
        <v>5</v>
      </c>
      <c r="M378" s="3" t="n">
        <f aca="false">SUMIFS(Seasons!$N$2:$N$2865,Seasons!$A$2:$A$2865,B378,Seasons!$B$2:$B$2865,"&gt;="&amp;$B$16,Seasons!$B$2:$B$2865,"&lt;="&amp;$C$16)</f>
        <v>1</v>
      </c>
      <c r="N378" s="3" t="n">
        <f aca="false">IF(J378="",-1000000,J378+ROW()*0.000000001)</f>
        <v>7.16674803247038</v>
      </c>
      <c r="O378" s="3" t="n">
        <f aca="false">IF(J378="","",SUMPRODUCT(($A$25:$A$534=A378)*($N$25:$N$534&gt;N378))+1)</f>
        <v>4</v>
      </c>
      <c r="P378" s="3" t="str">
        <f aca="false">A378&amp;"|"&amp;O378</f>
        <v>2010s|4</v>
      </c>
    </row>
    <row r="379" customFormat="false" ht="15" hidden="false" customHeight="true" outlineLevel="0" collapsed="false">
      <c r="A379" s="1" t="s">
        <v>20</v>
      </c>
      <c r="B379" s="7" t="s">
        <v>80</v>
      </c>
      <c r="C379" s="1" t="s">
        <v>72</v>
      </c>
      <c r="D379" s="3" t="n">
        <f aca="false">COUNTIFS(Market_Panel!$A$2:$A$2705,B379,Market_Panel!$B$2:$B$2705,"&gt;="&amp;$B$16,Market_Panel!$B$2:$B$2705,"&lt;="&amp;$C$16)</f>
        <v>10</v>
      </c>
      <c r="E379" s="10" t="n">
        <f aca="false">IF(D379=0,"",AVERAGEIFS(Market_Panel!$M$2:$M$2705,Market_Panel!$A$2:$A$2705,B379,Market_Panel!$B$2:$B$2705,"&gt;="&amp;$B$16,Market_Panel!$B$2:$B$2705,"&lt;="&amp;$C$16))</f>
        <v>-0.0320853250461146</v>
      </c>
      <c r="F379" s="11" t="n">
        <f aca="false">IF(D379=0,"",AVERAGEIFS(Market_Panel!$P$2:$P$2705,Market_Panel!$A$2:$A$2705,B379,Market_Panel!$B$2:$B$2705,"&gt;="&amp;$B$16,Market_Panel!$B$2:$B$2705,"&lt;="&amp;$C$16))</f>
        <v>-0.240236590979591</v>
      </c>
      <c r="G379" s="11" t="n">
        <f aca="false">IF(D379=0,"",AVERAGEIFS(Market_Panel!$R$2:$R$2705,Market_Panel!$A$2:$A$2705,B379,Market_Panel!$B$2:$B$2705,"&gt;="&amp;$B$16,Market_Panel!$B$2:$B$2705,"&lt;="&amp;$C$16))</f>
        <v>0</v>
      </c>
      <c r="H379" s="11" t="n">
        <f aca="false">IF(OR(D379=0,$H$16=0),0,AVERAGEIFS(Market_Panel!$Y$2:$Y$2705,Market_Panel!$A$2:$A$2705,B379,Market_Panel!$B$2:$B$2705,"&gt;="&amp;$B$16,Market_Panel!$B$2:$B$2705,"&lt;="&amp;$C$16))</f>
        <v>0</v>
      </c>
      <c r="I379" s="10" t="n">
        <f aca="false">IF(D379=0,"",$I$16+$F$16*F379+$G$16*G379+$H$16*H379)</f>
        <v>-0.00115246090615919</v>
      </c>
      <c r="J379" s="5" t="n">
        <f aca="false">IF(D379&lt;5,"",(E379-I379)*162)</f>
        <v>-5.01112399067278</v>
      </c>
      <c r="K379" s="5" t="n">
        <f aca="false">IF(D379=0,"",E379*162)</f>
        <v>-5.19782265747057</v>
      </c>
      <c r="L379" s="3" t="n">
        <f aca="false">SUMIFS(Seasons!$L$2:$L$2865,Seasons!$A$2:$A$2865,B379,Seasons!$B$2:$B$2865,"&gt;="&amp;$B$16,Seasons!$B$2:$B$2865,"&lt;="&amp;$C$16)</f>
        <v>0</v>
      </c>
      <c r="M379" s="3" t="n">
        <f aca="false">SUMIFS(Seasons!$N$2:$N$2865,Seasons!$A$2:$A$2865,B379,Seasons!$B$2:$B$2865,"&gt;="&amp;$B$16,Seasons!$B$2:$B$2865,"&lt;="&amp;$C$16)</f>
        <v>0</v>
      </c>
      <c r="N379" s="3" t="n">
        <f aca="false">IF(J379="",-1000000,J379+ROW()*0.000000001)</f>
        <v>-5.01112361167278</v>
      </c>
      <c r="O379" s="3" t="n">
        <f aca="false">IF(J379="","",SUMPRODUCT(($A$25:$A$534=A379)*($N$25:$N$534&gt;N379))+1)</f>
        <v>25</v>
      </c>
      <c r="P379" s="3" t="str">
        <f aca="false">A379&amp;"|"&amp;O379</f>
        <v>2010s|25</v>
      </c>
    </row>
    <row r="380" customFormat="false" ht="15" hidden="false" customHeight="true" outlineLevel="0" collapsed="false">
      <c r="A380" s="1" t="s">
        <v>20</v>
      </c>
      <c r="B380" s="7" t="s">
        <v>81</v>
      </c>
      <c r="C380" s="1" t="s">
        <v>72</v>
      </c>
      <c r="D380" s="3" t="n">
        <f aca="false">COUNTIFS(Market_Panel!$A$2:$A$2705,B380,Market_Panel!$B$2:$B$2705,"&gt;="&amp;$B$16,Market_Panel!$B$2:$B$2705,"&lt;="&amp;$C$16)</f>
        <v>10</v>
      </c>
      <c r="E380" s="10" t="n">
        <f aca="false">IF(D380=0,"",AVERAGEIFS(Market_Panel!$M$2:$M$2705,Market_Panel!$A$2:$A$2705,B380,Market_Panel!$B$2:$B$2705,"&gt;="&amp;$B$16,Market_Panel!$B$2:$B$2705,"&lt;="&amp;$C$16))</f>
        <v>-0.00986310282389238</v>
      </c>
      <c r="F380" s="11" t="n">
        <f aca="false">IF(D380=0,"",AVERAGEIFS(Market_Panel!$P$2:$P$2705,Market_Panel!$A$2:$A$2705,B380,Market_Panel!$B$2:$B$2705,"&gt;="&amp;$B$16,Market_Panel!$B$2:$B$2705,"&lt;="&amp;$C$16))</f>
        <v>1.16128070098703</v>
      </c>
      <c r="G380" s="11" t="n">
        <f aca="false">IF(D380=0,"",AVERAGEIFS(Market_Panel!$R$2:$R$2705,Market_Panel!$A$2:$A$2705,B380,Market_Panel!$B$2:$B$2705,"&gt;="&amp;$B$16,Market_Panel!$B$2:$B$2705,"&lt;="&amp;$C$16))</f>
        <v>0</v>
      </c>
      <c r="H380" s="11" t="n">
        <f aca="false">IF(OR(D380=0,$H$16=0),0,AVERAGEIFS(Market_Panel!$Y$2:$Y$2705,Market_Panel!$A$2:$A$2705,B380,Market_Panel!$B$2:$B$2705,"&gt;="&amp;$B$16,Market_Panel!$B$2:$B$2705,"&lt;="&amp;$C$16))</f>
        <v>0</v>
      </c>
      <c r="I380" s="10" t="n">
        <f aca="false">IF(D380=0,"",$I$16+$F$16*F380+$G$16*G380+$H$16*H380)</f>
        <v>0.00557088578183484</v>
      </c>
      <c r="J380" s="5" t="n">
        <f aca="false">IF(D380&lt;5,"",(E380-I380)*162)</f>
        <v>-2.50030615412781</v>
      </c>
      <c r="K380" s="5" t="n">
        <f aca="false">IF(D380=0,"",E380*162)</f>
        <v>-1.59782265747057</v>
      </c>
      <c r="L380" s="3" t="n">
        <f aca="false">SUMIFS(Seasons!$L$2:$L$2865,Seasons!$A$2:$A$2865,B380,Seasons!$B$2:$B$2865,"&gt;="&amp;$B$16,Seasons!$B$2:$B$2865,"&lt;="&amp;$C$16)</f>
        <v>2</v>
      </c>
      <c r="M380" s="3" t="n">
        <f aca="false">SUMIFS(Seasons!$N$2:$N$2865,Seasons!$A$2:$A$2865,B380,Seasons!$B$2:$B$2865,"&gt;="&amp;$B$16,Seasons!$B$2:$B$2865,"&lt;="&amp;$C$16)</f>
        <v>0</v>
      </c>
      <c r="N380" s="3" t="n">
        <f aca="false">IF(J380="",-1000000,J380+ROW()*0.000000001)</f>
        <v>-2.50030577412781</v>
      </c>
      <c r="O380" s="3" t="n">
        <f aca="false">IF(J380="","",SUMPRODUCT(($A$25:$A$534=A380)*($N$25:$N$534&gt;N380))+1)</f>
        <v>17</v>
      </c>
      <c r="P380" s="3" t="str">
        <f aca="false">A380&amp;"|"&amp;O380</f>
        <v>2010s|17</v>
      </c>
    </row>
    <row r="381" customFormat="false" ht="15" hidden="false" customHeight="true" outlineLevel="0" collapsed="false">
      <c r="A381" s="1" t="s">
        <v>20</v>
      </c>
      <c r="B381" s="7" t="s">
        <v>82</v>
      </c>
      <c r="C381" s="1" t="s">
        <v>72</v>
      </c>
      <c r="D381" s="3" t="n">
        <f aca="false">COUNTIFS(Market_Panel!$A$2:$A$2705,B381,Market_Panel!$B$2:$B$2705,"&gt;="&amp;$B$16,Market_Panel!$B$2:$B$2705,"&lt;="&amp;$C$16)</f>
        <v>10</v>
      </c>
      <c r="E381" s="10" t="n">
        <f aca="false">IF(D381=0,"",AVERAGEIFS(Market_Panel!$M$2:$M$2705,Market_Panel!$A$2:$A$2705,B381,Market_Panel!$B$2:$B$2705,"&gt;="&amp;$B$16,Market_Panel!$B$2:$B$2705,"&lt;="&amp;$C$16))</f>
        <v>-0.0361336473970954</v>
      </c>
      <c r="F381" s="11" t="n">
        <f aca="false">IF(D381=0,"",AVERAGEIFS(Market_Panel!$P$2:$P$2705,Market_Panel!$A$2:$A$2705,B381,Market_Panel!$B$2:$B$2705,"&gt;="&amp;$B$16,Market_Panel!$B$2:$B$2705,"&lt;="&amp;$C$16))</f>
        <v>-0.261291521412114</v>
      </c>
      <c r="G381" s="11" t="n">
        <f aca="false">IF(D381=0,"",AVERAGEIFS(Market_Panel!$R$2:$R$2705,Market_Panel!$A$2:$A$2705,B381,Market_Panel!$B$2:$B$2705,"&gt;="&amp;$B$16,Market_Panel!$B$2:$B$2705,"&lt;="&amp;$C$16))</f>
        <v>0</v>
      </c>
      <c r="H381" s="11" t="n">
        <f aca="false">IF(OR(D381=0,$H$16=0),0,AVERAGEIFS(Market_Panel!$Y$2:$Y$2705,Market_Panel!$A$2:$A$2705,B381,Market_Panel!$B$2:$B$2705,"&gt;="&amp;$B$16,Market_Panel!$B$2:$B$2705,"&lt;="&amp;$C$16))</f>
        <v>0</v>
      </c>
      <c r="I381" s="10" t="n">
        <f aca="false">IF(D381=0,"",$I$16+$F$16*F381+$G$16*G381+$H$16*H381)</f>
        <v>-0.00125346543717772</v>
      </c>
      <c r="J381" s="5" t="n">
        <f aca="false">IF(D381&lt;5,"",(E381-I381)*162)</f>
        <v>-5.65058947750667</v>
      </c>
      <c r="K381" s="5" t="n">
        <f aca="false">IF(D381=0,"",E381*162)</f>
        <v>-5.85365087832946</v>
      </c>
      <c r="L381" s="3" t="n">
        <f aca="false">SUMIFS(Seasons!$L$2:$L$2865,Seasons!$A$2:$A$2865,B381,Seasons!$B$2:$B$2865,"&gt;="&amp;$B$16,Seasons!$B$2:$B$2865,"&lt;="&amp;$C$16)</f>
        <v>2</v>
      </c>
      <c r="M381" s="3" t="n">
        <f aca="false">SUMIFS(Seasons!$N$2:$N$2865,Seasons!$A$2:$A$2865,B381,Seasons!$B$2:$B$2865,"&gt;="&amp;$B$16,Seasons!$B$2:$B$2865,"&lt;="&amp;$C$16)</f>
        <v>0</v>
      </c>
      <c r="N381" s="3" t="n">
        <f aca="false">IF(J381="",-1000000,J381+ROW()*0.000000001)</f>
        <v>-5.65058909650667</v>
      </c>
      <c r="O381" s="3" t="n">
        <f aca="false">IF(J381="","",SUMPRODUCT(($A$25:$A$534=A381)*($N$25:$N$534&gt;N381))+1)</f>
        <v>27</v>
      </c>
      <c r="P381" s="3" t="str">
        <f aca="false">A381&amp;"|"&amp;O381</f>
        <v>2010s|27</v>
      </c>
    </row>
    <row r="382" customFormat="false" ht="15" hidden="false" customHeight="true" outlineLevel="0" collapsed="false">
      <c r="A382" s="1" t="s">
        <v>20</v>
      </c>
      <c r="B382" s="7" t="s">
        <v>83</v>
      </c>
      <c r="C382" s="1" t="s">
        <v>72</v>
      </c>
      <c r="D382" s="3" t="n">
        <f aca="false">COUNTIFS(Market_Panel!$A$2:$A$2705,B382,Market_Panel!$B$2:$B$2705,"&gt;="&amp;$B$16,Market_Panel!$B$2:$B$2705,"&lt;="&amp;$C$16)</f>
        <v>10</v>
      </c>
      <c r="E382" s="10" t="n">
        <f aca="false">IF(D382=0,"",AVERAGEIFS(Market_Panel!$M$2:$M$2705,Market_Panel!$A$2:$A$2705,B382,Market_Panel!$B$2:$B$2705,"&gt;="&amp;$B$16,Market_Panel!$B$2:$B$2705,"&lt;="&amp;$C$16))</f>
        <v>-0.0630223697512753</v>
      </c>
      <c r="F382" s="11" t="n">
        <f aca="false">IF(D382=0,"",AVERAGEIFS(Market_Panel!$P$2:$P$2705,Market_Panel!$A$2:$A$2705,B382,Market_Panel!$B$2:$B$2705,"&gt;="&amp;$B$16,Market_Panel!$B$2:$B$2705,"&lt;="&amp;$C$16))</f>
        <v>-0.70171009112453</v>
      </c>
      <c r="G382" s="11" t="n">
        <f aca="false">IF(D382=0,"",AVERAGEIFS(Market_Panel!$R$2:$R$2705,Market_Panel!$A$2:$A$2705,B382,Market_Panel!$B$2:$B$2705,"&gt;="&amp;$B$16,Market_Panel!$B$2:$B$2705,"&lt;="&amp;$C$16))</f>
        <v>0</v>
      </c>
      <c r="H382" s="11" t="n">
        <f aca="false">IF(OR(D382=0,$H$16=0),0,AVERAGEIFS(Market_Panel!$Y$2:$Y$2705,Market_Panel!$A$2:$A$2705,B382,Market_Panel!$B$2:$B$2705,"&gt;="&amp;$B$16,Market_Panel!$B$2:$B$2705,"&lt;="&amp;$C$16))</f>
        <v>0</v>
      </c>
      <c r="I382" s="10" t="n">
        <f aca="false">IF(D382=0,"",$I$16+$F$16*F382+$G$16*G382+$H$16*H382)</f>
        <v>-0.00336623760843792</v>
      </c>
      <c r="J382" s="5" t="n">
        <f aca="false">IF(D382&lt;5,"",(E382-I382)*162)</f>
        <v>-9.66429340713965</v>
      </c>
      <c r="K382" s="5" t="n">
        <f aca="false">IF(D382=0,"",E382*162)</f>
        <v>-10.2096238997066</v>
      </c>
      <c r="L382" s="3" t="n">
        <f aca="false">SUMIFS(Seasons!$L$2:$L$2865,Seasons!$A$2:$A$2865,B382,Seasons!$B$2:$B$2865,"&gt;="&amp;$B$16,Seasons!$B$2:$B$2865,"&lt;="&amp;$C$16)</f>
        <v>0</v>
      </c>
      <c r="M382" s="3" t="n">
        <f aca="false">SUMIFS(Seasons!$N$2:$N$2865,Seasons!$A$2:$A$2865,B382,Seasons!$B$2:$B$2865,"&gt;="&amp;$B$16,Seasons!$B$2:$B$2865,"&lt;="&amp;$C$16)</f>
        <v>0</v>
      </c>
      <c r="N382" s="3" t="n">
        <f aca="false">IF(J382="",-1000000,J382+ROW()*0.000000001)</f>
        <v>-9.66429302513965</v>
      </c>
      <c r="O382" s="3" t="n">
        <f aca="false">IF(J382="","",SUMPRODUCT(($A$25:$A$534=A382)*($N$25:$N$534&gt;N382))+1)</f>
        <v>30</v>
      </c>
      <c r="P382" s="3" t="str">
        <f aca="false">A382&amp;"|"&amp;O382</f>
        <v>2010s|30</v>
      </c>
    </row>
    <row r="383" customFormat="false" ht="15" hidden="false" customHeight="true" outlineLevel="0" collapsed="false">
      <c r="A383" s="1" t="s">
        <v>20</v>
      </c>
      <c r="B383" s="7" t="s">
        <v>84</v>
      </c>
      <c r="C383" s="1" t="s">
        <v>72</v>
      </c>
      <c r="D383" s="3" t="n">
        <f aca="false">COUNTIFS(Market_Panel!$A$2:$A$2705,B383,Market_Panel!$B$2:$B$2705,"&gt;="&amp;$B$16,Market_Panel!$B$2:$B$2705,"&lt;="&amp;$C$16)</f>
        <v>10</v>
      </c>
      <c r="E383" s="10" t="n">
        <f aca="false">IF(D383=0,"",AVERAGEIFS(Market_Panel!$M$2:$M$2705,Market_Panel!$A$2:$A$2705,B383,Market_Panel!$B$2:$B$2705,"&gt;="&amp;$B$16,Market_Panel!$B$2:$B$2705,"&lt;="&amp;$C$16))</f>
        <v>-0.0104803867745097</v>
      </c>
      <c r="F383" s="11" t="n">
        <f aca="false">IF(D383=0,"",AVERAGEIFS(Market_Panel!$P$2:$P$2705,Market_Panel!$A$2:$A$2705,B383,Market_Panel!$B$2:$B$2705,"&gt;="&amp;$B$16,Market_Panel!$B$2:$B$2705,"&lt;="&amp;$C$16))</f>
        <v>0.586637629437051</v>
      </c>
      <c r="G383" s="11" t="n">
        <f aca="false">IF(D383=0,"",AVERAGEIFS(Market_Panel!$R$2:$R$2705,Market_Panel!$A$2:$A$2705,B383,Market_Panel!$B$2:$B$2705,"&gt;="&amp;$B$16,Market_Panel!$B$2:$B$2705,"&lt;="&amp;$C$16))</f>
        <v>0</v>
      </c>
      <c r="H383" s="11" t="n">
        <f aca="false">IF(OR(D383=0,$H$16=0),0,AVERAGEIFS(Market_Panel!$Y$2:$Y$2705,Market_Panel!$A$2:$A$2705,B383,Market_Panel!$B$2:$B$2705,"&gt;="&amp;$B$16,Market_Panel!$B$2:$B$2705,"&lt;="&amp;$C$16))</f>
        <v>0</v>
      </c>
      <c r="I383" s="10" t="n">
        <f aca="false">IF(D383=0,"",$I$16+$F$16*F383+$G$16*G383+$H$16*H383)</f>
        <v>0.00281421298583748</v>
      </c>
      <c r="J383" s="5" t="n">
        <f aca="false">IF(D383&lt;5,"",(E383-I383)*162)</f>
        <v>-2.15372516117624</v>
      </c>
      <c r="K383" s="5" t="n">
        <f aca="false">IF(D383=0,"",E383*162)</f>
        <v>-1.69782265747056</v>
      </c>
      <c r="L383" s="3" t="n">
        <f aca="false">SUMIFS(Seasons!$L$2:$L$2865,Seasons!$A$2:$A$2865,B383,Seasons!$B$2:$B$2865,"&gt;="&amp;$B$16,Seasons!$B$2:$B$2865,"&lt;="&amp;$C$16)</f>
        <v>2</v>
      </c>
      <c r="M383" s="3" t="n">
        <f aca="false">SUMIFS(Seasons!$N$2:$N$2865,Seasons!$A$2:$A$2865,B383,Seasons!$B$2:$B$2865,"&gt;="&amp;$B$16,Seasons!$B$2:$B$2865,"&lt;="&amp;$C$16)</f>
        <v>0</v>
      </c>
      <c r="N383" s="3" t="n">
        <f aca="false">IF(J383="",-1000000,J383+ROW()*0.000000001)</f>
        <v>-2.15372477817624</v>
      </c>
      <c r="O383" s="3" t="n">
        <f aca="false">IF(J383="","",SUMPRODUCT(($A$25:$A$534=A383)*($N$25:$N$534&gt;N383))+1)</f>
        <v>16</v>
      </c>
      <c r="P383" s="3" t="str">
        <f aca="false">A383&amp;"|"&amp;O383</f>
        <v>2010s|16</v>
      </c>
    </row>
    <row r="384" customFormat="false" ht="15" hidden="false" customHeight="true" outlineLevel="0" collapsed="false">
      <c r="A384" s="1" t="s">
        <v>20</v>
      </c>
      <c r="B384" s="7" t="s">
        <v>85</v>
      </c>
      <c r="C384" s="1" t="s">
        <v>72</v>
      </c>
      <c r="D384" s="3" t="n">
        <f aca="false">COUNTIFS(Market_Panel!$A$2:$A$2705,B384,Market_Panel!$B$2:$B$2705,"&gt;="&amp;$B$16,Market_Panel!$B$2:$B$2705,"&lt;="&amp;$C$16)</f>
        <v>10</v>
      </c>
      <c r="E384" s="10" t="n">
        <f aca="false">IF(D384=0,"",AVERAGEIFS(Market_Panel!$M$2:$M$2705,Market_Panel!$A$2:$A$2705,B384,Market_Panel!$B$2:$B$2705,"&gt;="&amp;$B$16,Market_Panel!$B$2:$B$2705,"&lt;="&amp;$C$16))</f>
        <v>0.0305292322514693</v>
      </c>
      <c r="F384" s="11" t="n">
        <f aca="false">IF(D384=0,"",AVERAGEIFS(Market_Panel!$P$2:$P$2705,Market_Panel!$A$2:$A$2705,B384,Market_Panel!$B$2:$B$2705,"&gt;="&amp;$B$16,Market_Panel!$B$2:$B$2705,"&lt;="&amp;$C$16))</f>
        <v>-0.859757033758997</v>
      </c>
      <c r="G384" s="11" t="n">
        <f aca="false">IF(D384=0,"",AVERAGEIFS(Market_Panel!$R$2:$R$2705,Market_Panel!$A$2:$A$2705,B384,Market_Panel!$B$2:$B$2705,"&gt;="&amp;$B$16,Market_Panel!$B$2:$B$2705,"&lt;="&amp;$C$16))</f>
        <v>0</v>
      </c>
      <c r="H384" s="11" t="n">
        <f aca="false">IF(OR(D384=0,$H$16=0),0,AVERAGEIFS(Market_Panel!$Y$2:$Y$2705,Market_Panel!$A$2:$A$2705,B384,Market_Panel!$B$2:$B$2705,"&gt;="&amp;$B$16,Market_Panel!$B$2:$B$2705,"&lt;="&amp;$C$16))</f>
        <v>0</v>
      </c>
      <c r="I384" s="10" t="n">
        <f aca="false">IF(D384=0,"",$I$16+$F$16*F384+$G$16*G384+$H$16*H384)</f>
        <v>-0.00412441904108937</v>
      </c>
      <c r="J384" s="5" t="n">
        <f aca="false">IF(D384&lt;5,"",(E384-I384)*162)</f>
        <v>5.6138915093945</v>
      </c>
      <c r="K384" s="5" t="n">
        <f aca="false">IF(D384=0,"",E384*162)</f>
        <v>4.94573562473802</v>
      </c>
      <c r="L384" s="3" t="n">
        <f aca="false">SUMIFS(Seasons!$L$2:$L$2865,Seasons!$A$2:$A$2865,B384,Seasons!$B$2:$B$2865,"&gt;="&amp;$B$16,Seasons!$B$2:$B$2865,"&lt;="&amp;$C$16)</f>
        <v>4</v>
      </c>
      <c r="M384" s="3" t="n">
        <f aca="false">SUMIFS(Seasons!$N$2:$N$2865,Seasons!$A$2:$A$2865,B384,Seasons!$B$2:$B$2865,"&gt;="&amp;$B$16,Seasons!$B$2:$B$2865,"&lt;="&amp;$C$16)</f>
        <v>0</v>
      </c>
      <c r="N384" s="3" t="n">
        <f aca="false">IF(J384="",-1000000,J384+ROW()*0.000000001)</f>
        <v>5.6138918933945</v>
      </c>
      <c r="O384" s="3" t="n">
        <f aca="false">IF(J384="","",SUMPRODUCT(($A$25:$A$534=A384)*($N$25:$N$534&gt;N384))+1)</f>
        <v>6</v>
      </c>
      <c r="P384" s="3" t="str">
        <f aca="false">A384&amp;"|"&amp;O384</f>
        <v>2010s|6</v>
      </c>
    </row>
    <row r="385" customFormat="false" ht="15" hidden="false" customHeight="true" outlineLevel="0" collapsed="false">
      <c r="A385" s="1" t="s">
        <v>21</v>
      </c>
      <c r="B385" s="7" t="s">
        <v>54</v>
      </c>
      <c r="C385" s="1" t="s">
        <v>55</v>
      </c>
      <c r="D385" s="3" t="n">
        <f aca="false">COUNTIFS(Market_Panel!$A$2:$A$2705,B385,Market_Panel!$B$2:$B$2705,"&gt;="&amp;$B$17,Market_Panel!$B$2:$B$2705,"&lt;="&amp;$C$17)</f>
        <v>6</v>
      </c>
      <c r="E385" s="10" t="n">
        <f aca="false">IF(D385=0,"",AVERAGEIFS(Market_Panel!$M$2:$M$2705,Market_Panel!$A$2:$A$2705,B385,Market_Panel!$B$2:$B$2705,"&gt;="&amp;$B$17,Market_Panel!$B$2:$B$2705,"&lt;="&amp;$C$17))</f>
        <v>0.0689896710962567</v>
      </c>
      <c r="F385" s="11" t="n">
        <f aca="false">IF(D385=0,"",AVERAGEIFS(Market_Panel!$P$2:$P$2705,Market_Panel!$A$2:$A$2705,B385,Market_Panel!$B$2:$B$2705,"&gt;="&amp;$B$17,Market_Panel!$B$2:$B$2705,"&lt;="&amp;$C$17))</f>
        <v>-0.5592315387639</v>
      </c>
      <c r="G385" s="11" t="n">
        <f aca="false">IF(D385=0,"",AVERAGEIFS(Market_Panel!$R$2:$R$2705,Market_Panel!$A$2:$A$2705,B385,Market_Panel!$B$2:$B$2705,"&gt;="&amp;$B$17,Market_Panel!$B$2:$B$2705,"&lt;="&amp;$C$17))</f>
        <v>0</v>
      </c>
      <c r="H385" s="11" t="n">
        <f aca="false">IF(OR(D385=0,$H$17=0),0,AVERAGEIFS(Market_Panel!$Y$2:$Y$2705,Market_Panel!$A$2:$A$2705,B385,Market_Panel!$B$2:$B$2705,"&gt;="&amp;$B$17,Market_Panel!$B$2:$B$2705,"&lt;="&amp;$C$17))</f>
        <v>0</v>
      </c>
      <c r="I385" s="10" t="n">
        <f aca="false">IF(D385=0,"",$I$17+$F$17*F385+$G$17*G385+$H$17*H385)</f>
        <v>-0.011740987014544</v>
      </c>
      <c r="J385" s="5" t="n">
        <f aca="false">IF(D385&lt;5,"",(E385-I385)*162)</f>
        <v>13.0783666139497</v>
      </c>
      <c r="K385" s="5" t="n">
        <f aca="false">IF(D385=0,"",E385*162)</f>
        <v>11.1763267175936</v>
      </c>
      <c r="L385" s="3" t="n">
        <f aca="false">SUMIFS(Seasons!$L$2:$L$2865,Seasons!$A$2:$A$2865,B385,Seasons!$B$2:$B$2865,"&gt;="&amp;$B$17,Seasons!$B$2:$B$2865,"&lt;="&amp;$C$17)</f>
        <v>5</v>
      </c>
      <c r="M385" s="3" t="n">
        <f aca="false">SUMIFS(Seasons!$N$2:$N$2865,Seasons!$A$2:$A$2865,B385,Seasons!$B$2:$B$2865,"&gt;="&amp;$B$17,Seasons!$B$2:$B$2865,"&lt;="&amp;$C$17)</f>
        <v>1</v>
      </c>
      <c r="N385" s="3" t="n">
        <f aca="false">IF(J385="",-1000000,J385+ROW()*0.000000001)</f>
        <v>13.0783669989497</v>
      </c>
      <c r="O385" s="3" t="n">
        <f aca="false">IF(J385="","",SUMPRODUCT(($A$25:$A$534=A385)*($N$25:$N$534&gt;N385))+1)</f>
        <v>3</v>
      </c>
      <c r="P385" s="3" t="str">
        <f aca="false">A385&amp;"|"&amp;O385</f>
        <v>2020s|3</v>
      </c>
    </row>
    <row r="386" customFormat="false" ht="15" hidden="false" customHeight="true" outlineLevel="0" collapsed="false">
      <c r="A386" s="1" t="s">
        <v>21</v>
      </c>
      <c r="B386" s="7" t="s">
        <v>56</v>
      </c>
      <c r="C386" s="1" t="s">
        <v>55</v>
      </c>
      <c r="D386" s="3" t="n">
        <f aca="false">COUNTIFS(Market_Panel!$A$2:$A$2705,B386,Market_Panel!$B$2:$B$2705,"&gt;="&amp;$B$17,Market_Panel!$B$2:$B$2705,"&lt;="&amp;$C$17)</f>
        <v>6</v>
      </c>
      <c r="E386" s="10" t="n">
        <f aca="false">IF(D386=0,"",AVERAGEIFS(Market_Panel!$M$2:$M$2705,Market_Panel!$A$2:$A$2705,B386,Market_Panel!$B$2:$B$2705,"&gt;="&amp;$B$17,Market_Panel!$B$2:$B$2705,"&lt;="&amp;$C$17))</f>
        <v>0.0090652021138167</v>
      </c>
      <c r="F386" s="11" t="n">
        <f aca="false">IF(D386=0,"",AVERAGEIFS(Market_Panel!$P$2:$P$2705,Market_Panel!$A$2:$A$2705,B386,Market_Panel!$B$2:$B$2705,"&gt;="&amp;$B$17,Market_Panel!$B$2:$B$2705,"&lt;="&amp;$C$17))</f>
        <v>0.453628363150779</v>
      </c>
      <c r="G386" s="11" t="n">
        <f aca="false">IF(D386=0,"",AVERAGEIFS(Market_Panel!$R$2:$R$2705,Market_Panel!$A$2:$A$2705,B386,Market_Panel!$B$2:$B$2705,"&gt;="&amp;$B$17,Market_Panel!$B$2:$B$2705,"&lt;="&amp;$C$17))</f>
        <v>0</v>
      </c>
      <c r="H386" s="11" t="n">
        <f aca="false">IF(OR(D386=0,$H$17=0),0,AVERAGEIFS(Market_Panel!$Y$2:$Y$2705,Market_Panel!$A$2:$A$2705,B386,Market_Panel!$B$2:$B$2705,"&gt;="&amp;$B$17,Market_Panel!$B$2:$B$2705,"&lt;="&amp;$C$17))</f>
        <v>0</v>
      </c>
      <c r="I386" s="10" t="n">
        <f aca="false">IF(D386=0,"",$I$17+$F$17*F386+$G$17*G386+$H$17*H386)</f>
        <v>0.00952386328738649</v>
      </c>
      <c r="J386" s="5" t="n">
        <f aca="false">IF(D386&lt;5,"",(E386-I386)*162)</f>
        <v>-0.0743031101183051</v>
      </c>
      <c r="K386" s="5" t="n">
        <f aca="false">IF(D386=0,"",E386*162)</f>
        <v>1.46856274243831</v>
      </c>
      <c r="L386" s="3" t="n">
        <f aca="false">SUMIFS(Seasons!$L$2:$L$2865,Seasons!$A$2:$A$2865,B386,Seasons!$B$2:$B$2865,"&gt;="&amp;$B$17,Seasons!$B$2:$B$2865,"&lt;="&amp;$C$17)</f>
        <v>2</v>
      </c>
      <c r="M386" s="3" t="n">
        <f aca="false">SUMIFS(Seasons!$N$2:$N$2865,Seasons!$A$2:$A$2865,B386,Seasons!$B$2:$B$2865,"&gt;="&amp;$B$17,Seasons!$B$2:$B$2865,"&lt;="&amp;$C$17)</f>
        <v>0</v>
      </c>
      <c r="N386" s="3" t="n">
        <f aca="false">IF(J386="",-1000000,J386+ROW()*0.000000001)</f>
        <v>-0.0743027241183051</v>
      </c>
      <c r="O386" s="3" t="n">
        <f aca="false">IF(J386="","",SUMPRODUCT(($A$25:$A$534=A386)*($N$25:$N$534&gt;N386))+1)</f>
        <v>17</v>
      </c>
      <c r="P386" s="3" t="str">
        <f aca="false">A386&amp;"|"&amp;O386</f>
        <v>2020s|17</v>
      </c>
    </row>
    <row r="387" customFormat="false" ht="15" hidden="false" customHeight="true" outlineLevel="0" collapsed="false">
      <c r="A387" s="1" t="s">
        <v>21</v>
      </c>
      <c r="B387" s="7" t="s">
        <v>57</v>
      </c>
      <c r="C387" s="1" t="s">
        <v>55</v>
      </c>
      <c r="D387" s="3" t="n">
        <f aca="false">COUNTIFS(Market_Panel!$A$2:$A$2705,B387,Market_Panel!$B$2:$B$2705,"&gt;="&amp;$B$17,Market_Panel!$B$2:$B$2705,"&lt;="&amp;$C$17)</f>
        <v>6</v>
      </c>
      <c r="E387" s="10" t="n">
        <f aca="false">IF(D387=0,"",AVERAGEIFS(Market_Panel!$M$2:$M$2705,Market_Panel!$A$2:$A$2705,B387,Market_Panel!$B$2:$B$2705,"&gt;="&amp;$B$17,Market_Panel!$B$2:$B$2705,"&lt;="&amp;$C$17))</f>
        <v>-0.0157290365693109</v>
      </c>
      <c r="F387" s="11" t="n">
        <f aca="false">IF(D387=0,"",AVERAGEIFS(Market_Panel!$P$2:$P$2705,Market_Panel!$A$2:$A$2705,B387,Market_Panel!$B$2:$B$2705,"&gt;="&amp;$B$17,Market_Panel!$B$2:$B$2705,"&lt;="&amp;$C$17))</f>
        <v>-1.03689968806707</v>
      </c>
      <c r="G387" s="11" t="n">
        <f aca="false">IF(D387=0,"",AVERAGEIFS(Market_Panel!$R$2:$R$2705,Market_Panel!$A$2:$A$2705,B387,Market_Panel!$B$2:$B$2705,"&gt;="&amp;$B$17,Market_Panel!$B$2:$B$2705,"&lt;="&amp;$C$17))</f>
        <v>0</v>
      </c>
      <c r="H387" s="11" t="n">
        <f aca="false">IF(OR(D387=0,$H$17=0),0,AVERAGEIFS(Market_Panel!$Y$2:$Y$2705,Market_Panel!$A$2:$A$2705,B387,Market_Panel!$B$2:$B$2705,"&gt;="&amp;$B$17,Market_Panel!$B$2:$B$2705,"&lt;="&amp;$C$17))</f>
        <v>0</v>
      </c>
      <c r="I387" s="10" t="n">
        <f aca="false">IF(D387=0,"",$I$17+$F$17*F387+$G$17*G387+$H$17*H387)</f>
        <v>-0.0217695622101171</v>
      </c>
      <c r="J387" s="5" t="n">
        <f aca="false">IF(D387&lt;5,"",(E387-I387)*162)</f>
        <v>0.978565153810607</v>
      </c>
      <c r="K387" s="5" t="n">
        <f aca="false">IF(D387=0,"",E387*162)</f>
        <v>-2.54810392422836</v>
      </c>
      <c r="L387" s="3" t="n">
        <f aca="false">SUMIFS(Seasons!$L$2:$L$2865,Seasons!$A$2:$A$2865,B387,Seasons!$B$2:$B$2865,"&gt;="&amp;$B$17,Seasons!$B$2:$B$2865,"&lt;="&amp;$C$17)</f>
        <v>2</v>
      </c>
      <c r="M387" s="3" t="n">
        <f aca="false">SUMIFS(Seasons!$N$2:$N$2865,Seasons!$A$2:$A$2865,B387,Seasons!$B$2:$B$2865,"&gt;="&amp;$B$17,Seasons!$B$2:$B$2865,"&lt;="&amp;$C$17)</f>
        <v>0</v>
      </c>
      <c r="N387" s="3" t="n">
        <f aca="false">IF(J387="",-1000000,J387+ROW()*0.000000001)</f>
        <v>0.978565540810607</v>
      </c>
      <c r="O387" s="3" t="n">
        <f aca="false">IF(J387="","",SUMPRODUCT(($A$25:$A$534=A387)*($N$25:$N$534&gt;N387))+1)</f>
        <v>15</v>
      </c>
      <c r="P387" s="3" t="str">
        <f aca="false">A387&amp;"|"&amp;O387</f>
        <v>2020s|15</v>
      </c>
    </row>
    <row r="388" customFormat="false" ht="15" hidden="false" customHeight="true" outlineLevel="0" collapsed="false">
      <c r="A388" s="1" t="s">
        <v>21</v>
      </c>
      <c r="B388" s="7" t="s">
        <v>58</v>
      </c>
      <c r="C388" s="1" t="s">
        <v>55</v>
      </c>
      <c r="D388" s="3" t="n">
        <f aca="false">COUNTIFS(Market_Panel!$A$2:$A$2705,B388,Market_Panel!$B$2:$B$2705,"&gt;="&amp;$B$17,Market_Panel!$B$2:$B$2705,"&lt;="&amp;$C$17)</f>
        <v>6</v>
      </c>
      <c r="E388" s="10" t="n">
        <f aca="false">IF(D388=0,"",AVERAGEIFS(Market_Panel!$M$2:$M$2705,Market_Panel!$A$2:$A$2705,B388,Market_Panel!$B$2:$B$2705,"&gt;="&amp;$B$17,Market_Panel!$B$2:$B$2705,"&lt;="&amp;$C$17))</f>
        <v>-0.091243439861492</v>
      </c>
      <c r="F388" s="11" t="n">
        <f aca="false">IF(D388=0,"",AVERAGEIFS(Market_Panel!$P$2:$P$2705,Market_Panel!$A$2:$A$2705,B388,Market_Panel!$B$2:$B$2705,"&gt;="&amp;$B$17,Market_Panel!$B$2:$B$2705,"&lt;="&amp;$C$17))</f>
        <v>-1.057629237709</v>
      </c>
      <c r="G388" s="11" t="n">
        <f aca="false">IF(D388=0,"",AVERAGEIFS(Market_Panel!$R$2:$R$2705,Market_Panel!$A$2:$A$2705,B388,Market_Panel!$B$2:$B$2705,"&gt;="&amp;$B$17,Market_Panel!$B$2:$B$2705,"&lt;="&amp;$C$17))</f>
        <v>0</v>
      </c>
      <c r="H388" s="11" t="n">
        <f aca="false">IF(OR(D388=0,$H$17=0),0,AVERAGEIFS(Market_Panel!$Y$2:$Y$2705,Market_Panel!$A$2:$A$2705,B388,Market_Panel!$B$2:$B$2705,"&gt;="&amp;$B$17,Market_Panel!$B$2:$B$2705,"&lt;="&amp;$C$17))</f>
        <v>0</v>
      </c>
      <c r="I388" s="10" t="n">
        <f aca="false">IF(D388=0,"",$I$17+$F$17*F388+$G$17*G388+$H$17*H388)</f>
        <v>-0.0222047761712274</v>
      </c>
      <c r="J388" s="5" t="n">
        <f aca="false">IF(D388&lt;5,"",(E388-I388)*162)</f>
        <v>-11.1842635178229</v>
      </c>
      <c r="K388" s="5" t="n">
        <f aca="false">IF(D388=0,"",E388*162)</f>
        <v>-14.7814372575617</v>
      </c>
      <c r="L388" s="3" t="n">
        <f aca="false">SUMIFS(Seasons!$L$2:$L$2865,Seasons!$A$2:$A$2865,B388,Seasons!$B$2:$B$2865,"&gt;="&amp;$B$17,Seasons!$B$2:$B$2865,"&lt;="&amp;$C$17)</f>
        <v>0</v>
      </c>
      <c r="M388" s="3" t="n">
        <f aca="false">SUMIFS(Seasons!$N$2:$N$2865,Seasons!$A$2:$A$2865,B388,Seasons!$B$2:$B$2865,"&gt;="&amp;$B$17,Seasons!$B$2:$B$2865,"&lt;="&amp;$C$17)</f>
        <v>0</v>
      </c>
      <c r="N388" s="3" t="n">
        <f aca="false">IF(J388="",-1000000,J388+ROW()*0.000000001)</f>
        <v>-11.1842631298229</v>
      </c>
      <c r="O388" s="3" t="n">
        <f aca="false">IF(J388="","",SUMPRODUCT(($A$25:$A$534=A388)*($N$25:$N$534&gt;N388))+1)</f>
        <v>27</v>
      </c>
      <c r="P388" s="3" t="str">
        <f aca="false">A388&amp;"|"&amp;O388</f>
        <v>2020s|27</v>
      </c>
    </row>
    <row r="389" customFormat="false" ht="15" hidden="false" customHeight="true" outlineLevel="0" collapsed="false">
      <c r="A389" s="1" t="s">
        <v>21</v>
      </c>
      <c r="B389" s="7" t="s">
        <v>59</v>
      </c>
      <c r="C389" s="1" t="s">
        <v>55</v>
      </c>
      <c r="D389" s="3" t="n">
        <f aca="false">COUNTIFS(Market_Panel!$A$2:$A$2705,B389,Market_Panel!$B$2:$B$2705,"&gt;="&amp;$B$17,Market_Panel!$B$2:$B$2705,"&lt;="&amp;$C$17)</f>
        <v>6</v>
      </c>
      <c r="E389" s="10" t="n">
        <f aca="false">IF(D389=0,"",AVERAGEIFS(Market_Panel!$M$2:$M$2705,Market_Panel!$A$2:$A$2705,B389,Market_Panel!$B$2:$B$2705,"&gt;="&amp;$B$17,Market_Panel!$B$2:$B$2705,"&lt;="&amp;$C$17))</f>
        <v>0.0131733332334421</v>
      </c>
      <c r="F389" s="11" t="n">
        <f aca="false">IF(D389=0,"",AVERAGEIFS(Market_Panel!$P$2:$P$2705,Market_Panel!$A$2:$A$2705,B389,Market_Panel!$B$2:$B$2705,"&gt;="&amp;$B$17,Market_Panel!$B$2:$B$2705,"&lt;="&amp;$C$17))</f>
        <v>-1.06223763989081</v>
      </c>
      <c r="G389" s="11" t="n">
        <f aca="false">IF(D389=0,"",AVERAGEIFS(Market_Panel!$R$2:$R$2705,Market_Panel!$A$2:$A$2705,B389,Market_Panel!$B$2:$B$2705,"&gt;="&amp;$B$17,Market_Panel!$B$2:$B$2705,"&lt;="&amp;$C$17))</f>
        <v>0</v>
      </c>
      <c r="H389" s="11" t="n">
        <f aca="false">IF(OR(D389=0,$H$17=0),0,AVERAGEIFS(Market_Panel!$Y$2:$Y$2705,Market_Panel!$A$2:$A$2705,B389,Market_Panel!$B$2:$B$2705,"&gt;="&amp;$B$17,Market_Panel!$B$2:$B$2705,"&lt;="&amp;$C$17))</f>
        <v>0</v>
      </c>
      <c r="I389" s="10" t="n">
        <f aca="false">IF(D389=0,"",$I$17+$F$17*F389+$G$17*G389+$H$17*H389)</f>
        <v>-0.0223015289228587</v>
      </c>
      <c r="J389" s="5" t="n">
        <f aca="false">IF(D389&lt;5,"",(E389-I389)*162)</f>
        <v>5.74692766932072</v>
      </c>
      <c r="K389" s="5" t="n">
        <f aca="false">IF(D389=0,"",E389*162)</f>
        <v>2.13407998381762</v>
      </c>
      <c r="L389" s="3" t="n">
        <f aca="false">SUMIFS(Seasons!$L$2:$L$2865,Seasons!$A$2:$A$2865,B389,Seasons!$B$2:$B$2865,"&gt;="&amp;$B$17,Seasons!$B$2:$B$2865,"&lt;="&amp;$C$17)</f>
        <v>3</v>
      </c>
      <c r="M389" s="3" t="n">
        <f aca="false">SUMIFS(Seasons!$N$2:$N$2865,Seasons!$A$2:$A$2865,B389,Seasons!$B$2:$B$2865,"&gt;="&amp;$B$17,Seasons!$B$2:$B$2865,"&lt;="&amp;$C$17)</f>
        <v>0</v>
      </c>
      <c r="N389" s="3" t="n">
        <f aca="false">IF(J389="",-1000000,J389+ROW()*0.000000001)</f>
        <v>5.74692805832072</v>
      </c>
      <c r="O389" s="3" t="n">
        <f aca="false">IF(J389="","",SUMPRODUCT(($A$25:$A$534=A389)*($N$25:$N$534&gt;N389))+1)</f>
        <v>8</v>
      </c>
      <c r="P389" s="3" t="str">
        <f aca="false">A389&amp;"|"&amp;O389</f>
        <v>2020s|8</v>
      </c>
    </row>
    <row r="390" customFormat="false" ht="15" hidden="false" customHeight="true" outlineLevel="0" collapsed="false">
      <c r="A390" s="1" t="s">
        <v>21</v>
      </c>
      <c r="B390" s="7" t="s">
        <v>60</v>
      </c>
      <c r="C390" s="1" t="s">
        <v>55</v>
      </c>
      <c r="D390" s="3" t="n">
        <f aca="false">COUNTIFS(Market_Panel!$A$2:$A$2705,B390,Market_Panel!$B$2:$B$2705,"&gt;="&amp;$B$17,Market_Panel!$B$2:$B$2705,"&lt;="&amp;$C$17)</f>
        <v>6</v>
      </c>
      <c r="E390" s="10" t="n">
        <f aca="false">IF(D390=0,"",AVERAGEIFS(Market_Panel!$M$2:$M$2705,Market_Panel!$A$2:$A$2705,B390,Market_Panel!$B$2:$B$2705,"&gt;="&amp;$B$17,Market_Panel!$B$2:$B$2705,"&lt;="&amp;$C$17))</f>
        <v>0.0407524449121706</v>
      </c>
      <c r="F390" s="11" t="n">
        <f aca="false">IF(D390=0,"",AVERAGEIFS(Market_Panel!$P$2:$P$2705,Market_Panel!$A$2:$A$2705,B390,Market_Panel!$B$2:$B$2705,"&gt;="&amp;$B$17,Market_Panel!$B$2:$B$2705,"&lt;="&amp;$C$17))</f>
        <v>0.608862892746789</v>
      </c>
      <c r="G390" s="11" t="n">
        <f aca="false">IF(D390=0,"",AVERAGEIFS(Market_Panel!$R$2:$R$2705,Market_Panel!$A$2:$A$2705,B390,Market_Panel!$B$2:$B$2705,"&gt;="&amp;$B$17,Market_Panel!$B$2:$B$2705,"&lt;="&amp;$C$17))</f>
        <v>0</v>
      </c>
      <c r="H390" s="11" t="n">
        <f aca="false">IF(OR(D390=0,$H$17=0),0,AVERAGEIFS(Market_Panel!$Y$2:$Y$2705,Market_Panel!$A$2:$A$2705,B390,Market_Panel!$B$2:$B$2705,"&gt;="&amp;$B$17,Market_Panel!$B$2:$B$2705,"&lt;="&amp;$C$17))</f>
        <v>0</v>
      </c>
      <c r="I390" s="10" t="n">
        <f aca="false">IF(D390=0,"",$I$17+$F$17*F390+$G$17*G390+$H$17*H390)</f>
        <v>0.0127829902676427</v>
      </c>
      <c r="J390" s="5" t="n">
        <f aca="false">IF(D390&lt;5,"",(E390-I390)*162)</f>
        <v>4.53105165241353</v>
      </c>
      <c r="K390" s="5" t="n">
        <f aca="false">IF(D390=0,"",E390*162)</f>
        <v>6.60189607577164</v>
      </c>
      <c r="L390" s="3" t="n">
        <f aca="false">SUMIFS(Seasons!$L$2:$L$2865,Seasons!$A$2:$A$2865,B390,Seasons!$B$2:$B$2865,"&gt;="&amp;$B$17,Seasons!$B$2:$B$2865,"&lt;="&amp;$C$17)</f>
        <v>4</v>
      </c>
      <c r="M390" s="3" t="n">
        <f aca="false">SUMIFS(Seasons!$N$2:$N$2865,Seasons!$A$2:$A$2865,B390,Seasons!$B$2:$B$2865,"&gt;="&amp;$B$17,Seasons!$B$2:$B$2865,"&lt;="&amp;$C$17)</f>
        <v>0</v>
      </c>
      <c r="N390" s="3" t="n">
        <f aca="false">IF(J390="",-1000000,J390+ROW()*0.000000001)</f>
        <v>4.53105204241353</v>
      </c>
      <c r="O390" s="3" t="n">
        <f aca="false">IF(J390="","",SUMPRODUCT(($A$25:$A$534=A390)*($N$25:$N$534&gt;N390))+1)</f>
        <v>11</v>
      </c>
      <c r="P390" s="3" t="str">
        <f aca="false">A390&amp;"|"&amp;O390</f>
        <v>2020s|11</v>
      </c>
    </row>
    <row r="391" customFormat="false" ht="15" hidden="false" customHeight="true" outlineLevel="0" collapsed="false">
      <c r="A391" s="1" t="s">
        <v>21</v>
      </c>
      <c r="B391" s="7" t="s">
        <v>61</v>
      </c>
      <c r="C391" s="1" t="s">
        <v>55</v>
      </c>
      <c r="D391" s="3" t="n">
        <f aca="false">COUNTIFS(Market_Panel!$A$2:$A$2705,B391,Market_Panel!$B$2:$B$2705,"&gt;="&amp;$B$17,Market_Panel!$B$2:$B$2705,"&lt;="&amp;$C$17)</f>
        <v>6</v>
      </c>
      <c r="E391" s="10" t="n">
        <f aca="false">IF(D391=0,"",AVERAGEIFS(Market_Panel!$M$2:$M$2705,Market_Panel!$A$2:$A$2705,B391,Market_Panel!$B$2:$B$2705,"&gt;="&amp;$B$17,Market_Panel!$B$2:$B$2705,"&lt;="&amp;$C$17))</f>
        <v>0.0208964778339813</v>
      </c>
      <c r="F391" s="11" t="n">
        <f aca="false">IF(D391=0,"",AVERAGEIFS(Market_Panel!$P$2:$P$2705,Market_Panel!$A$2:$A$2705,B391,Market_Panel!$B$2:$B$2705,"&gt;="&amp;$B$17,Market_Panel!$B$2:$B$2705,"&lt;="&amp;$C$17))</f>
        <v>0.00177400002012718</v>
      </c>
      <c r="G391" s="11" t="n">
        <f aca="false">IF(D391=0,"",AVERAGEIFS(Market_Panel!$R$2:$R$2705,Market_Panel!$A$2:$A$2705,B391,Market_Panel!$B$2:$B$2705,"&gt;="&amp;$B$17,Market_Panel!$B$2:$B$2705,"&lt;="&amp;$C$17))</f>
        <v>0</v>
      </c>
      <c r="H391" s="11" t="n">
        <f aca="false">IF(OR(D391=0,$H$17=0),0,AVERAGEIFS(Market_Panel!$Y$2:$Y$2705,Market_Panel!$A$2:$A$2705,B391,Market_Panel!$B$2:$B$2705,"&gt;="&amp;$B$17,Market_Panel!$B$2:$B$2705,"&lt;="&amp;$C$17))</f>
        <v>0</v>
      </c>
      <c r="I391" s="10" t="n">
        <f aca="false">IF(D391=0,"",$I$17+$F$17*F391+$G$17*G391+$H$17*H391)</f>
        <v>3.72448793681443E-005</v>
      </c>
      <c r="J391" s="5" t="n">
        <f aca="false">IF(D391&lt;5,"",(E391-I391)*162)</f>
        <v>3.37919573864733</v>
      </c>
      <c r="K391" s="5" t="n">
        <f aca="false">IF(D391=0,"",E391*162)</f>
        <v>3.38522940910497</v>
      </c>
      <c r="L391" s="3" t="n">
        <f aca="false">SUMIFS(Seasons!$L$2:$L$2865,Seasons!$A$2:$A$2865,B391,Seasons!$B$2:$B$2865,"&gt;="&amp;$B$17,Seasons!$B$2:$B$2865,"&lt;="&amp;$C$17)</f>
        <v>1</v>
      </c>
      <c r="M391" s="3" t="n">
        <f aca="false">SUMIFS(Seasons!$N$2:$N$2865,Seasons!$A$2:$A$2865,B391,Seasons!$B$2:$B$2865,"&gt;="&amp;$B$17,Seasons!$B$2:$B$2865,"&lt;="&amp;$C$17)</f>
        <v>0</v>
      </c>
      <c r="N391" s="3" t="n">
        <f aca="false">IF(J391="",-1000000,J391+ROW()*0.000000001)</f>
        <v>3.37919612964733</v>
      </c>
      <c r="O391" s="3" t="n">
        <f aca="false">IF(J391="","",SUMPRODUCT(($A$25:$A$534=A391)*($N$25:$N$534&gt;N391))+1)</f>
        <v>12</v>
      </c>
      <c r="P391" s="3" t="str">
        <f aca="false">A391&amp;"|"&amp;O391</f>
        <v>2020s|12</v>
      </c>
    </row>
    <row r="392" customFormat="false" ht="15" hidden="false" customHeight="true" outlineLevel="0" collapsed="false">
      <c r="A392" s="1" t="s">
        <v>21</v>
      </c>
      <c r="B392" s="7" t="s">
        <v>62</v>
      </c>
      <c r="C392" s="1" t="s">
        <v>55</v>
      </c>
      <c r="D392" s="3" t="n">
        <f aca="false">COUNTIFS(Market_Panel!$A$2:$A$2705,B392,Market_Panel!$B$2:$B$2705,"&gt;="&amp;$B$17,Market_Panel!$B$2:$B$2705,"&lt;="&amp;$C$17)</f>
        <v>6</v>
      </c>
      <c r="E392" s="10" t="n">
        <f aca="false">IF(D392=0,"",AVERAGEIFS(Market_Panel!$M$2:$M$2705,Market_Panel!$A$2:$A$2705,B392,Market_Panel!$B$2:$B$2705,"&gt;="&amp;$B$17,Market_Panel!$B$2:$B$2705,"&lt;="&amp;$C$17))</f>
        <v>0.142089893471841</v>
      </c>
      <c r="F392" s="11" t="n">
        <f aca="false">IF(D392=0,"",AVERAGEIFS(Market_Panel!$P$2:$P$2705,Market_Panel!$A$2:$A$2705,B392,Market_Panel!$B$2:$B$2705,"&gt;="&amp;$B$17,Market_Panel!$B$2:$B$2705,"&lt;="&amp;$C$17))</f>
        <v>0.80399698881741</v>
      </c>
      <c r="G392" s="11" t="n">
        <f aca="false">IF(D392=0,"",AVERAGEIFS(Market_Panel!$R$2:$R$2705,Market_Panel!$A$2:$A$2705,B392,Market_Panel!$B$2:$B$2705,"&gt;="&amp;$B$17,Market_Panel!$B$2:$B$2705,"&lt;="&amp;$C$17))</f>
        <v>0</v>
      </c>
      <c r="H392" s="11" t="n">
        <f aca="false">IF(OR(D392=0,$H$17=0),0,AVERAGEIFS(Market_Panel!$Y$2:$Y$2705,Market_Panel!$A$2:$A$2705,B392,Market_Panel!$B$2:$B$2705,"&gt;="&amp;$B$17,Market_Panel!$B$2:$B$2705,"&lt;="&amp;$C$17))</f>
        <v>0</v>
      </c>
      <c r="I392" s="10" t="n">
        <f aca="false">IF(D392=0,"",$I$17+$F$17*F392+$G$17*G392+$H$17*H392)</f>
        <v>0.0168798029994925</v>
      </c>
      <c r="J392" s="5" t="n">
        <f aca="false">IF(D392&lt;5,"",(E392-I392)*162)</f>
        <v>20.2840346565205</v>
      </c>
      <c r="K392" s="5" t="n">
        <f aca="false">IF(D392=0,"",E392*162)</f>
        <v>23.0185627424383</v>
      </c>
      <c r="L392" s="3" t="n">
        <f aca="false">SUMIFS(Seasons!$L$2:$L$2865,Seasons!$A$2:$A$2865,B392,Seasons!$B$2:$B$2865,"&gt;="&amp;$B$17,Seasons!$B$2:$B$2865,"&lt;="&amp;$C$17)</f>
        <v>6</v>
      </c>
      <c r="M392" s="3" t="n">
        <f aca="false">SUMIFS(Seasons!$N$2:$N$2865,Seasons!$A$2:$A$2865,B392,Seasons!$B$2:$B$2865,"&gt;="&amp;$B$17,Seasons!$B$2:$B$2865,"&lt;="&amp;$C$17)</f>
        <v>3</v>
      </c>
      <c r="N392" s="3" t="n">
        <f aca="false">IF(J392="",-1000000,J392+ROW()*0.000000001)</f>
        <v>20.2840350485205</v>
      </c>
      <c r="O392" s="3" t="n">
        <f aca="false">IF(J392="","",SUMPRODUCT(($A$25:$A$534=A392)*($N$25:$N$534&gt;N392))+1)</f>
        <v>1</v>
      </c>
      <c r="P392" s="3" t="str">
        <f aca="false">A392&amp;"|"&amp;O392</f>
        <v>2020s|1</v>
      </c>
    </row>
    <row r="393" customFormat="false" ht="15" hidden="false" customHeight="true" outlineLevel="0" collapsed="false">
      <c r="A393" s="1" t="s">
        <v>21</v>
      </c>
      <c r="B393" s="7" t="s">
        <v>63</v>
      </c>
      <c r="C393" s="1" t="s">
        <v>55</v>
      </c>
      <c r="D393" s="3" t="n">
        <f aca="false">COUNTIFS(Market_Panel!$A$2:$A$2705,B393,Market_Panel!$B$2:$B$2705,"&gt;="&amp;$B$17,Market_Panel!$B$2:$B$2705,"&lt;="&amp;$C$17)</f>
        <v>6</v>
      </c>
      <c r="E393" s="10" t="n">
        <f aca="false">IF(D393=0,"",AVERAGEIFS(Market_Panel!$M$2:$M$2705,Market_Panel!$A$2:$A$2705,B393,Market_Panel!$B$2:$B$2705,"&gt;="&amp;$B$17,Market_Panel!$B$2:$B$2705,"&lt;="&amp;$C$17))</f>
        <v>-0.0169636044705454</v>
      </c>
      <c r="F393" s="11" t="n">
        <f aca="false">IF(D393=0,"",AVERAGEIFS(Market_Panel!$P$2:$P$2705,Market_Panel!$A$2:$A$2705,B393,Market_Panel!$B$2:$B$2705,"&gt;="&amp;$B$17,Market_Panel!$B$2:$B$2705,"&lt;="&amp;$C$17))</f>
        <v>-0.39844495719478</v>
      </c>
      <c r="G393" s="11" t="n">
        <f aca="false">IF(D393=0,"",AVERAGEIFS(Market_Panel!$R$2:$R$2705,Market_Panel!$A$2:$A$2705,B393,Market_Panel!$B$2:$B$2705,"&gt;="&amp;$B$17,Market_Panel!$B$2:$B$2705,"&lt;="&amp;$C$17))</f>
        <v>0</v>
      </c>
      <c r="H393" s="11" t="n">
        <f aca="false">IF(OR(D393=0,$H$17=0),0,AVERAGEIFS(Market_Panel!$Y$2:$Y$2705,Market_Panel!$A$2:$A$2705,B393,Market_Panel!$B$2:$B$2705,"&gt;="&amp;$B$17,Market_Panel!$B$2:$B$2705,"&lt;="&amp;$C$17))</f>
        <v>0</v>
      </c>
      <c r="I393" s="10" t="n">
        <f aca="false">IF(D393=0,"",$I$17+$F$17*F393+$G$17*G393+$H$17*H393)</f>
        <v>-0.00836529548883239</v>
      </c>
      <c r="J393" s="5" t="n">
        <f aca="false">IF(D393&lt;5,"",(E393-I393)*162)</f>
        <v>-1.39292605503751</v>
      </c>
      <c r="K393" s="5" t="n">
        <f aca="false">IF(D393=0,"",E393*162)</f>
        <v>-2.74810392422836</v>
      </c>
      <c r="L393" s="3" t="n">
        <f aca="false">SUMIFS(Seasons!$L$2:$L$2865,Seasons!$A$2:$A$2865,B393,Seasons!$B$2:$B$2865,"&gt;="&amp;$B$17,Seasons!$B$2:$B$2865,"&lt;="&amp;$C$17)</f>
        <v>2</v>
      </c>
      <c r="M393" s="3" t="n">
        <f aca="false">SUMIFS(Seasons!$N$2:$N$2865,Seasons!$A$2:$A$2865,B393,Seasons!$B$2:$B$2865,"&gt;="&amp;$B$17,Seasons!$B$2:$B$2865,"&lt;="&amp;$C$17)</f>
        <v>0</v>
      </c>
      <c r="N393" s="3" t="n">
        <f aca="false">IF(J393="",-1000000,J393+ROW()*0.000000001)</f>
        <v>-1.39292566203751</v>
      </c>
      <c r="O393" s="3" t="n">
        <f aca="false">IF(J393="","",SUMPRODUCT(($A$25:$A$534=A393)*($N$25:$N$534&gt;N393))+1)</f>
        <v>18</v>
      </c>
      <c r="P393" s="3" t="str">
        <f aca="false">A393&amp;"|"&amp;O393</f>
        <v>2020s|18</v>
      </c>
    </row>
    <row r="394" customFormat="false" ht="15" hidden="false" customHeight="true" outlineLevel="0" collapsed="false">
      <c r="A394" s="1" t="s">
        <v>21</v>
      </c>
      <c r="B394" s="7" t="s">
        <v>64</v>
      </c>
      <c r="C394" s="1" t="s">
        <v>55</v>
      </c>
      <c r="D394" s="3" t="n">
        <f aca="false">COUNTIFS(Market_Panel!$A$2:$A$2705,B394,Market_Panel!$B$2:$B$2705,"&gt;="&amp;$B$17,Market_Panel!$B$2:$B$2705,"&lt;="&amp;$C$17)</f>
        <v>6</v>
      </c>
      <c r="E394" s="10" t="n">
        <f aca="false">IF(D394=0,"",AVERAGEIFS(Market_Panel!$M$2:$M$2705,Market_Panel!$A$2:$A$2705,B394,Market_Panel!$B$2:$B$2705,"&gt;="&amp;$B$17,Market_Panel!$B$2:$B$2705,"&lt;="&amp;$C$17))</f>
        <v>-0.003280476898529</v>
      </c>
      <c r="F394" s="11" t="n">
        <f aca="false">IF(D394=0,"",AVERAGEIFS(Market_Panel!$P$2:$P$2705,Market_Panel!$A$2:$A$2705,B394,Market_Panel!$B$2:$B$2705,"&gt;="&amp;$B$17,Market_Panel!$B$2:$B$2705,"&lt;="&amp;$C$17))</f>
        <v>-0.255595578761453</v>
      </c>
      <c r="G394" s="11" t="n">
        <f aca="false">IF(D394=0,"",AVERAGEIFS(Market_Panel!$R$2:$R$2705,Market_Panel!$A$2:$A$2705,B394,Market_Panel!$B$2:$B$2705,"&gt;="&amp;$B$17,Market_Panel!$B$2:$B$2705,"&lt;="&amp;$C$17))</f>
        <v>0</v>
      </c>
      <c r="H394" s="11" t="n">
        <f aca="false">IF(OR(D394=0,$H$17=0),0,AVERAGEIFS(Market_Panel!$Y$2:$Y$2705,Market_Panel!$A$2:$A$2705,B394,Market_Panel!$B$2:$B$2705,"&gt;="&amp;$B$17,Market_Panel!$B$2:$B$2705,"&lt;="&amp;$C$17))</f>
        <v>0</v>
      </c>
      <c r="I394" s="10" t="n">
        <f aca="false">IF(D394=0,"",$I$17+$F$17*F394+$G$17*G394+$H$17*H394)</f>
        <v>-0.00536619300450439</v>
      </c>
      <c r="J394" s="5" t="n">
        <f aca="false">IF(D394&lt;5,"",(E394-I394)*162)</f>
        <v>0.337886009168014</v>
      </c>
      <c r="K394" s="5" t="n">
        <f aca="false">IF(D394=0,"",E394*162)</f>
        <v>-0.531437257561698</v>
      </c>
      <c r="L394" s="3" t="n">
        <f aca="false">SUMIFS(Seasons!$L$2:$L$2865,Seasons!$A$2:$A$2865,B394,Seasons!$B$2:$B$2865,"&gt;="&amp;$B$17,Seasons!$B$2:$B$2865,"&lt;="&amp;$C$17)</f>
        <v>2</v>
      </c>
      <c r="M394" s="3" t="n">
        <f aca="false">SUMIFS(Seasons!$N$2:$N$2865,Seasons!$A$2:$A$2865,B394,Seasons!$B$2:$B$2865,"&gt;="&amp;$B$17,Seasons!$B$2:$B$2865,"&lt;="&amp;$C$17)</f>
        <v>0</v>
      </c>
      <c r="N394" s="3" t="n">
        <f aca="false">IF(J394="",-1000000,J394+ROW()*0.000000001)</f>
        <v>0.337886403168014</v>
      </c>
      <c r="O394" s="3" t="n">
        <f aca="false">IF(J394="","",SUMPRODUCT(($A$25:$A$534=A394)*($N$25:$N$534&gt;N394))+1)</f>
        <v>16</v>
      </c>
      <c r="P394" s="3" t="str">
        <f aca="false">A394&amp;"|"&amp;O394</f>
        <v>2020s|16</v>
      </c>
    </row>
    <row r="395" customFormat="false" ht="15" hidden="false" customHeight="true" outlineLevel="0" collapsed="false">
      <c r="A395" s="1" t="s">
        <v>21</v>
      </c>
      <c r="B395" s="7" t="s">
        <v>65</v>
      </c>
      <c r="C395" s="1" t="s">
        <v>55</v>
      </c>
      <c r="D395" s="3" t="n">
        <f aca="false">COUNTIFS(Market_Panel!$A$2:$A$2705,B395,Market_Panel!$B$2:$B$2705,"&gt;="&amp;$B$17,Market_Panel!$B$2:$B$2705,"&lt;="&amp;$C$17)</f>
        <v>6</v>
      </c>
      <c r="E395" s="10" t="n">
        <f aca="false">IF(D395=0,"",AVERAGEIFS(Market_Panel!$M$2:$M$2705,Market_Panel!$A$2:$A$2705,B395,Market_Panel!$B$2:$B$2705,"&gt;="&amp;$B$17,Market_Panel!$B$2:$B$2705,"&lt;="&amp;$C$17))</f>
        <v>-0.0570870612606689</v>
      </c>
      <c r="F395" s="11" t="n">
        <f aca="false">IF(D395=0,"",AVERAGEIFS(Market_Panel!$P$2:$P$2705,Market_Panel!$A$2:$A$2705,B395,Market_Panel!$B$2:$B$2705,"&gt;="&amp;$B$17,Market_Panel!$B$2:$B$2705,"&lt;="&amp;$C$17))</f>
        <v>0.453628363150779</v>
      </c>
      <c r="G395" s="11" t="n">
        <f aca="false">IF(D395=0,"",AVERAGEIFS(Market_Panel!$R$2:$R$2705,Market_Panel!$A$2:$A$2705,B395,Market_Panel!$B$2:$B$2705,"&gt;="&amp;$B$17,Market_Panel!$B$2:$B$2705,"&lt;="&amp;$C$17))</f>
        <v>0</v>
      </c>
      <c r="H395" s="11" t="n">
        <f aca="false">IF(OR(D395=0,$H$17=0),0,AVERAGEIFS(Market_Panel!$Y$2:$Y$2705,Market_Panel!$A$2:$A$2705,B395,Market_Panel!$B$2:$B$2705,"&gt;="&amp;$B$17,Market_Panel!$B$2:$B$2705,"&lt;="&amp;$C$17))</f>
        <v>0</v>
      </c>
      <c r="I395" s="10" t="n">
        <f aca="false">IF(D395=0,"",$I$17+$F$17*F395+$G$17*G395+$H$17*H395)</f>
        <v>0.00952386328738649</v>
      </c>
      <c r="J395" s="5" t="n">
        <f aca="false">IF(D395&lt;5,"",(E395-I395)*162)</f>
        <v>-10.790969776785</v>
      </c>
      <c r="K395" s="5" t="n">
        <f aca="false">IF(D395=0,"",E395*162)</f>
        <v>-9.24810392422836</v>
      </c>
      <c r="L395" s="3" t="n">
        <f aca="false">SUMIFS(Seasons!$L$2:$L$2865,Seasons!$A$2:$A$2865,B395,Seasons!$B$2:$B$2865,"&gt;="&amp;$B$17,Seasons!$B$2:$B$2865,"&lt;="&amp;$C$17)</f>
        <v>2</v>
      </c>
      <c r="M395" s="3" t="n">
        <f aca="false">SUMIFS(Seasons!$N$2:$N$2865,Seasons!$A$2:$A$2865,B395,Seasons!$B$2:$B$2865,"&gt;="&amp;$B$17,Seasons!$B$2:$B$2865,"&lt;="&amp;$C$17)</f>
        <v>0</v>
      </c>
      <c r="N395" s="3" t="n">
        <f aca="false">IF(J395="",-1000000,J395+ROW()*0.000000001)</f>
        <v>-10.790969381785</v>
      </c>
      <c r="O395" s="3" t="n">
        <f aca="false">IF(J395="","",SUMPRODUCT(($A$25:$A$534=A395)*($N$25:$N$534&gt;N395))+1)</f>
        <v>26</v>
      </c>
      <c r="P395" s="3" t="str">
        <f aca="false">A395&amp;"|"&amp;O395</f>
        <v>2020s|26</v>
      </c>
    </row>
    <row r="396" customFormat="false" ht="15" hidden="false" customHeight="true" outlineLevel="0" collapsed="false">
      <c r="A396" s="1" t="s">
        <v>21</v>
      </c>
      <c r="B396" s="7" t="s">
        <v>66</v>
      </c>
      <c r="C396" s="1" t="s">
        <v>55</v>
      </c>
      <c r="D396" s="3" t="n">
        <f aca="false">COUNTIFS(Market_Panel!$A$2:$A$2705,B396,Market_Panel!$B$2:$B$2705,"&gt;="&amp;$B$17,Market_Panel!$B$2:$B$2705,"&lt;="&amp;$C$17)</f>
        <v>6</v>
      </c>
      <c r="E396" s="10" t="n">
        <f aca="false">IF(D396=0,"",AVERAGEIFS(Market_Panel!$M$2:$M$2705,Market_Panel!$A$2:$A$2705,B396,Market_Panel!$B$2:$B$2705,"&gt;="&amp;$B$17,Market_Panel!$B$2:$B$2705,"&lt;="&amp;$C$17))</f>
        <v>0.0381510339774263</v>
      </c>
      <c r="F396" s="11" t="n">
        <f aca="false">IF(D396=0,"",AVERAGEIFS(Market_Panel!$P$2:$P$2705,Market_Panel!$A$2:$A$2705,B396,Market_Panel!$B$2:$B$2705,"&gt;="&amp;$B$17,Market_Panel!$B$2:$B$2705,"&lt;="&amp;$C$17))</f>
        <v>-0.850696460735531</v>
      </c>
      <c r="G396" s="11" t="n">
        <f aca="false">IF(D396=0,"",AVERAGEIFS(Market_Panel!$R$2:$R$2705,Market_Panel!$A$2:$A$2705,B396,Market_Panel!$B$2:$B$2705,"&gt;="&amp;$B$17,Market_Panel!$B$2:$B$2705,"&lt;="&amp;$C$17))</f>
        <v>0</v>
      </c>
      <c r="H396" s="11" t="n">
        <f aca="false">IF(OR(D396=0,$H$17=0),0,AVERAGEIFS(Market_Panel!$Y$2:$Y$2705,Market_Panel!$A$2:$A$2705,B396,Market_Panel!$B$2:$B$2705,"&gt;="&amp;$B$17,Market_Panel!$B$2:$B$2705,"&lt;="&amp;$C$17))</f>
        <v>0</v>
      </c>
      <c r="I396" s="10" t="n">
        <f aca="false">IF(D396=0,"",$I$17+$F$17*F396+$G$17*G396+$H$17*H396)</f>
        <v>-0.0178602518035579</v>
      </c>
      <c r="J396" s="5" t="n">
        <f aca="false">IF(D396&lt;5,"",(E396-I396)*162)</f>
        <v>9.07382829651944</v>
      </c>
      <c r="K396" s="5" t="n">
        <f aca="false">IF(D396=0,"",E396*162)</f>
        <v>6.18046750434306</v>
      </c>
      <c r="L396" s="3" t="n">
        <f aca="false">SUMIFS(Seasons!$L$2:$L$2865,Seasons!$A$2:$A$2865,B396,Seasons!$B$2:$B$2865,"&gt;="&amp;$B$17,Seasons!$B$2:$B$2865,"&lt;="&amp;$C$17)</f>
        <v>4</v>
      </c>
      <c r="M396" s="3" t="n">
        <f aca="false">SUMIFS(Seasons!$N$2:$N$2865,Seasons!$A$2:$A$2865,B396,Seasons!$B$2:$B$2865,"&gt;="&amp;$B$17,Seasons!$B$2:$B$2865,"&lt;="&amp;$C$17)</f>
        <v>0</v>
      </c>
      <c r="N396" s="3" t="n">
        <f aca="false">IF(J396="",-1000000,J396+ROW()*0.000000001)</f>
        <v>9.07382869251944</v>
      </c>
      <c r="O396" s="3" t="n">
        <f aca="false">IF(J396="","",SUMPRODUCT(($A$25:$A$534=A396)*($N$25:$N$534&gt;N396))+1)</f>
        <v>5</v>
      </c>
      <c r="P396" s="3" t="str">
        <f aca="false">A396&amp;"|"&amp;O396</f>
        <v>2020s|5</v>
      </c>
    </row>
    <row r="397" customFormat="false" ht="15" hidden="false" customHeight="true" outlineLevel="0" collapsed="false">
      <c r="A397" s="1" t="s">
        <v>21</v>
      </c>
      <c r="B397" s="7" t="s">
        <v>67</v>
      </c>
      <c r="C397" s="1" t="s">
        <v>55</v>
      </c>
      <c r="D397" s="3" t="n">
        <f aca="false">COUNTIFS(Market_Panel!$A$2:$A$2705,B397,Market_Panel!$B$2:$B$2705,"&gt;="&amp;$B$17,Market_Panel!$B$2:$B$2705,"&lt;="&amp;$C$17)</f>
        <v>6</v>
      </c>
      <c r="E397" s="10" t="n">
        <f aca="false">IF(D397=0,"",AVERAGEIFS(Market_Panel!$M$2:$M$2705,Market_Panel!$A$2:$A$2705,B397,Market_Panel!$B$2:$B$2705,"&gt;="&amp;$B$17,Market_Panel!$B$2:$B$2705,"&lt;="&amp;$C$17))</f>
        <v>-0.0285465475668985</v>
      </c>
      <c r="F397" s="11" t="n">
        <f aca="false">IF(D397=0,"",AVERAGEIFS(Market_Panel!$P$2:$P$2705,Market_Panel!$A$2:$A$2705,B397,Market_Panel!$B$2:$B$2705,"&gt;="&amp;$B$17,Market_Panel!$B$2:$B$2705,"&lt;="&amp;$C$17))</f>
        <v>-0.31118818085489</v>
      </c>
      <c r="G397" s="11" t="n">
        <f aca="false">IF(D397=0,"",AVERAGEIFS(Market_Panel!$R$2:$R$2705,Market_Panel!$A$2:$A$2705,B397,Market_Panel!$B$2:$B$2705,"&gt;="&amp;$B$17,Market_Panel!$B$2:$B$2705,"&lt;="&amp;$C$17))</f>
        <v>0</v>
      </c>
      <c r="H397" s="11" t="n">
        <f aca="false">IF(OR(D397=0,$H$17=0),0,AVERAGEIFS(Market_Panel!$Y$2:$Y$2705,Market_Panel!$A$2:$A$2705,B397,Market_Panel!$B$2:$B$2705,"&gt;="&amp;$B$17,Market_Panel!$B$2:$B$2705,"&lt;="&amp;$C$17))</f>
        <v>0</v>
      </c>
      <c r="I397" s="10" t="n">
        <f aca="false">IF(D397=0,"",$I$17+$F$17*F397+$G$17*G397+$H$17*H397)</f>
        <v>-0.00653335181805501</v>
      </c>
      <c r="J397" s="5" t="n">
        <f aca="false">IF(D397&lt;5,"",(E397-I397)*162)</f>
        <v>-3.56613771131265</v>
      </c>
      <c r="K397" s="5" t="n">
        <f aca="false">IF(D397=0,"",E397*162)</f>
        <v>-4.62454070583756</v>
      </c>
      <c r="L397" s="3" t="n">
        <f aca="false">SUMIFS(Seasons!$L$2:$L$2865,Seasons!$A$2:$A$2865,B397,Seasons!$B$2:$B$2865,"&gt;="&amp;$B$17,Seasons!$B$2:$B$2865,"&lt;="&amp;$C$17)</f>
        <v>2</v>
      </c>
      <c r="M397" s="3" t="n">
        <f aca="false">SUMIFS(Seasons!$N$2:$N$2865,Seasons!$A$2:$A$2865,B397,Seasons!$B$2:$B$2865,"&gt;="&amp;$B$17,Seasons!$B$2:$B$2865,"&lt;="&amp;$C$17)</f>
        <v>0</v>
      </c>
      <c r="N397" s="3" t="n">
        <f aca="false">IF(J397="",-1000000,J397+ROW()*0.000000001)</f>
        <v>-3.56613731431265</v>
      </c>
      <c r="O397" s="3" t="n">
        <f aca="false">IF(J397="","",SUMPRODUCT(($A$25:$A$534=A397)*($N$25:$N$534&gt;N397))+1)</f>
        <v>19</v>
      </c>
      <c r="P397" s="3" t="str">
        <f aca="false">A397&amp;"|"&amp;O397</f>
        <v>2020s|19</v>
      </c>
    </row>
    <row r="398" customFormat="false" ht="15" hidden="false" customHeight="true" outlineLevel="0" collapsed="false">
      <c r="A398" s="1" t="s">
        <v>21</v>
      </c>
      <c r="B398" s="7" t="s">
        <v>68</v>
      </c>
      <c r="C398" s="1" t="s">
        <v>55</v>
      </c>
      <c r="D398" s="3" t="n">
        <f aca="false">COUNTIFS(Market_Panel!$A$2:$A$2705,B398,Market_Panel!$B$2:$B$2705,"&gt;="&amp;$B$17,Market_Panel!$B$2:$B$2705,"&lt;="&amp;$C$17)</f>
        <v>6</v>
      </c>
      <c r="E398" s="10" t="n">
        <f aca="false">IF(D398=0,"",AVERAGEIFS(Market_Panel!$M$2:$M$2705,Market_Panel!$A$2:$A$2705,B398,Market_Panel!$B$2:$B$2705,"&gt;="&amp;$B$17,Market_Panel!$B$2:$B$2705,"&lt;="&amp;$C$17))</f>
        <v>0.00124627207266443</v>
      </c>
      <c r="F398" s="11" t="n">
        <f aca="false">IF(D398=0,"",AVERAGEIFS(Market_Panel!$P$2:$P$2705,Market_Panel!$A$2:$A$2705,B398,Market_Panel!$B$2:$B$2705,"&gt;="&amp;$B$17,Market_Panel!$B$2:$B$2705,"&lt;="&amp;$C$17))</f>
        <v>-0.707588102845962</v>
      </c>
      <c r="G398" s="11" t="n">
        <f aca="false">IF(D398=0,"",AVERAGEIFS(Market_Panel!$R$2:$R$2705,Market_Panel!$A$2:$A$2705,B398,Market_Panel!$B$2:$B$2705,"&gt;="&amp;$B$17,Market_Panel!$B$2:$B$2705,"&lt;="&amp;$C$17))</f>
        <v>0</v>
      </c>
      <c r="H398" s="11" t="n">
        <f aca="false">IF(OR(D398=0,$H$17=0),0,AVERAGEIFS(Market_Panel!$Y$2:$Y$2705,Market_Panel!$A$2:$A$2705,B398,Market_Panel!$B$2:$B$2705,"&gt;="&amp;$B$17,Market_Panel!$B$2:$B$2705,"&lt;="&amp;$C$17))</f>
        <v>0</v>
      </c>
      <c r="I398" s="10" t="n">
        <f aca="false">IF(D398=0,"",$I$17+$F$17*F398+$G$17*G398+$H$17*H398)</f>
        <v>-0.0148557120821966</v>
      </c>
      <c r="J398" s="5" t="n">
        <f aca="false">IF(D398&lt;5,"",(E398-I398)*162)</f>
        <v>2.60852143308749</v>
      </c>
      <c r="K398" s="5" t="n">
        <f aca="false">IF(D398=0,"",E398*162)</f>
        <v>0.201896075771638</v>
      </c>
      <c r="L398" s="3" t="n">
        <f aca="false">SUMIFS(Seasons!$L$2:$L$2865,Seasons!$A$2:$A$2865,B398,Seasons!$B$2:$B$2865,"&gt;="&amp;$B$17,Seasons!$B$2:$B$2865,"&lt;="&amp;$C$17)</f>
        <v>2</v>
      </c>
      <c r="M398" s="3" t="n">
        <f aca="false">SUMIFS(Seasons!$N$2:$N$2865,Seasons!$A$2:$A$2865,B398,Seasons!$B$2:$B$2865,"&gt;="&amp;$B$17,Seasons!$B$2:$B$2865,"&lt;="&amp;$C$17)</f>
        <v>0</v>
      </c>
      <c r="N398" s="3" t="n">
        <f aca="false">IF(J398="",-1000000,J398+ROW()*0.000000001)</f>
        <v>2.60852183108749</v>
      </c>
      <c r="O398" s="3" t="n">
        <f aca="false">IF(J398="","",SUMPRODUCT(($A$25:$A$534=A398)*($N$25:$N$534&gt;N398))+1)</f>
        <v>14</v>
      </c>
      <c r="P398" s="3" t="str">
        <f aca="false">A398&amp;"|"&amp;O398</f>
        <v>2020s|14</v>
      </c>
    </row>
    <row r="399" customFormat="false" ht="15" hidden="false" customHeight="true" outlineLevel="0" collapsed="false">
      <c r="A399" s="1" t="s">
        <v>21</v>
      </c>
      <c r="B399" s="7" t="s">
        <v>69</v>
      </c>
      <c r="C399" s="1" t="s">
        <v>55</v>
      </c>
      <c r="D399" s="3" t="n">
        <f aca="false">COUNTIFS(Market_Panel!$A$2:$A$2705,B399,Market_Panel!$B$2:$B$2705,"&gt;="&amp;$B$17,Market_Panel!$B$2:$B$2705,"&lt;="&amp;$C$17)</f>
        <v>6</v>
      </c>
      <c r="E399" s="10" t="n">
        <f aca="false">IF(D399=0,"",AVERAGEIFS(Market_Panel!$M$2:$M$2705,Market_Panel!$A$2:$A$2705,B399,Market_Panel!$B$2:$B$2705,"&gt;="&amp;$B$17,Market_Panel!$B$2:$B$2705,"&lt;="&amp;$C$17))</f>
        <v>-0.0491652505610804</v>
      </c>
      <c r="F399" s="11" t="n">
        <f aca="false">IF(D399=0,"",AVERAGEIFS(Market_Panel!$P$2:$P$2705,Market_Panel!$A$2:$A$2705,B399,Market_Panel!$B$2:$B$2705,"&gt;="&amp;$B$17,Market_Panel!$B$2:$B$2705,"&lt;="&amp;$C$17))</f>
        <v>-0.683024497061645</v>
      </c>
      <c r="G399" s="11" t="n">
        <f aca="false">IF(D399=0,"",AVERAGEIFS(Market_Panel!$R$2:$R$2705,Market_Panel!$A$2:$A$2705,B399,Market_Panel!$B$2:$B$2705,"&gt;="&amp;$B$17,Market_Panel!$B$2:$B$2705,"&lt;="&amp;$C$17))</f>
        <v>0</v>
      </c>
      <c r="H399" s="11" t="n">
        <f aca="false">IF(OR(D399=0,$H$17=0),0,AVERAGEIFS(Market_Panel!$Y$2:$Y$2705,Market_Panel!$A$2:$A$2705,B399,Market_Panel!$B$2:$B$2705,"&gt;="&amp;$B$17,Market_Panel!$B$2:$B$2705,"&lt;="&amp;$C$17))</f>
        <v>0</v>
      </c>
      <c r="I399" s="10" t="n">
        <f aca="false">IF(D399=0,"",$I$17+$F$17*F399+$G$17*G399+$H$17*H399)</f>
        <v>-0.0143400026549681</v>
      </c>
      <c r="J399" s="5" t="n">
        <f aca="false">IF(D399&lt;5,"",(E399-I399)*162)</f>
        <v>-5.6416901607902</v>
      </c>
      <c r="K399" s="5" t="n">
        <f aca="false">IF(D399=0,"",E399*162)</f>
        <v>-7.96477059089503</v>
      </c>
      <c r="L399" s="3" t="n">
        <f aca="false">SUMIFS(Seasons!$L$2:$L$2865,Seasons!$A$2:$A$2865,B399,Seasons!$B$2:$B$2865,"&gt;="&amp;$B$17,Seasons!$B$2:$B$2865,"&lt;="&amp;$C$17)</f>
        <v>1</v>
      </c>
      <c r="M399" s="3" t="n">
        <f aca="false">SUMIFS(Seasons!$N$2:$N$2865,Seasons!$A$2:$A$2865,B399,Seasons!$B$2:$B$2865,"&gt;="&amp;$B$17,Seasons!$B$2:$B$2865,"&lt;="&amp;$C$17)</f>
        <v>0</v>
      </c>
      <c r="N399" s="3" t="n">
        <f aca="false">IF(J399="",-1000000,J399+ROW()*0.000000001)</f>
        <v>-5.6416897617902</v>
      </c>
      <c r="O399" s="3" t="n">
        <f aca="false">IF(J399="","",SUMPRODUCT(($A$25:$A$534=A399)*($N$25:$N$534&gt;N399))+1)</f>
        <v>22</v>
      </c>
      <c r="P399" s="3" t="str">
        <f aca="false">A399&amp;"|"&amp;O399</f>
        <v>2020s|22</v>
      </c>
    </row>
    <row r="400" customFormat="false" ht="15" hidden="false" customHeight="true" outlineLevel="0" collapsed="false">
      <c r="A400" s="1" t="s">
        <v>21</v>
      </c>
      <c r="B400" s="7" t="s">
        <v>70</v>
      </c>
      <c r="C400" s="1" t="s">
        <v>55</v>
      </c>
      <c r="D400" s="3" t="n">
        <f aca="false">COUNTIFS(Market_Panel!$A$2:$A$2705,B400,Market_Panel!$B$2:$B$2705,"&gt;="&amp;$B$17,Market_Panel!$B$2:$B$2705,"&lt;="&amp;$C$17)</f>
        <v>6</v>
      </c>
      <c r="E400" s="10" t="n">
        <f aca="false">IF(D400=0,"",AVERAGEIFS(Market_Panel!$M$2:$M$2705,Market_Panel!$A$2:$A$2705,B400,Market_Panel!$B$2:$B$2705,"&gt;="&amp;$B$17,Market_Panel!$B$2:$B$2705,"&lt;="&amp;$C$17))</f>
        <v>0.0659582062290431</v>
      </c>
      <c r="F400" s="11" t="n">
        <f aca="false">IF(D400=0,"",AVERAGEIFS(Market_Panel!$P$2:$P$2705,Market_Panel!$A$2:$A$2705,B400,Market_Panel!$B$2:$B$2705,"&gt;="&amp;$B$17,Market_Panel!$B$2:$B$2705,"&lt;="&amp;$C$17))</f>
        <v>1.61856951388607</v>
      </c>
      <c r="G400" s="11" t="n">
        <f aca="false">IF(D400=0,"",AVERAGEIFS(Market_Panel!$R$2:$R$2705,Market_Panel!$A$2:$A$2705,B400,Market_Panel!$B$2:$B$2705,"&gt;="&amp;$B$17,Market_Panel!$B$2:$B$2705,"&lt;="&amp;$C$17))</f>
        <v>0</v>
      </c>
      <c r="H400" s="11" t="n">
        <f aca="false">IF(OR(D400=0,$H$17=0),0,AVERAGEIFS(Market_Panel!$Y$2:$Y$2705,Market_Panel!$A$2:$A$2705,B400,Market_Panel!$B$2:$B$2705,"&gt;="&amp;$B$17,Market_Panel!$B$2:$B$2705,"&lt;="&amp;$C$17))</f>
        <v>0</v>
      </c>
      <c r="I400" s="10" t="n">
        <f aca="false">IF(D400=0,"",$I$17+$F$17*F400+$G$17*G400+$H$17*H400)</f>
        <v>0.0339816378859424</v>
      </c>
      <c r="J400" s="5" t="n">
        <f aca="false">IF(D400&lt;5,"",(E400-I400)*162)</f>
        <v>5.1802040715823</v>
      </c>
      <c r="K400" s="5" t="n">
        <f aca="false">IF(D400=0,"",E400*162)</f>
        <v>10.685229409105</v>
      </c>
      <c r="L400" s="3" t="n">
        <f aca="false">SUMIFS(Seasons!$L$2:$L$2865,Seasons!$A$2:$A$2865,B400,Seasons!$B$2:$B$2865,"&gt;="&amp;$B$17,Seasons!$B$2:$B$2865,"&lt;="&amp;$C$17)</f>
        <v>5</v>
      </c>
      <c r="M400" s="3" t="n">
        <f aca="false">SUMIFS(Seasons!$N$2:$N$2865,Seasons!$A$2:$A$2865,B400,Seasons!$B$2:$B$2865,"&gt;="&amp;$B$17,Seasons!$B$2:$B$2865,"&lt;="&amp;$C$17)</f>
        <v>0</v>
      </c>
      <c r="N400" s="3" t="n">
        <f aca="false">IF(J400="",-1000000,J400+ROW()*0.000000001)</f>
        <v>5.18020447158231</v>
      </c>
      <c r="O400" s="3" t="n">
        <f aca="false">IF(J400="","",SUMPRODUCT(($A$25:$A$534=A400)*($N$25:$N$534&gt;N400))+1)</f>
        <v>10</v>
      </c>
      <c r="P400" s="3" t="str">
        <f aca="false">A400&amp;"|"&amp;O400</f>
        <v>2020s|10</v>
      </c>
    </row>
    <row r="401" customFormat="false" ht="15" hidden="false" customHeight="true" outlineLevel="0" collapsed="false">
      <c r="A401" s="1" t="s">
        <v>21</v>
      </c>
      <c r="B401" s="7" t="s">
        <v>71</v>
      </c>
      <c r="C401" s="1" t="s">
        <v>72</v>
      </c>
      <c r="D401" s="3" t="n">
        <f aca="false">COUNTIFS(Market_Panel!$A$2:$A$2705,B401,Market_Panel!$B$2:$B$2705,"&gt;="&amp;$B$17,Market_Panel!$B$2:$B$2705,"&lt;="&amp;$C$17)</f>
        <v>6</v>
      </c>
      <c r="E401" s="10" t="n">
        <f aca="false">IF(D401=0,"",AVERAGEIFS(Market_Panel!$M$2:$M$2705,Market_Panel!$A$2:$A$2705,B401,Market_Panel!$B$2:$B$2705,"&gt;="&amp;$B$17,Market_Panel!$B$2:$B$2705,"&lt;="&amp;$C$17))</f>
        <v>-0.0594533164047018</v>
      </c>
      <c r="F401" s="11" t="n">
        <f aca="false">IF(D401=0,"",AVERAGEIFS(Market_Panel!$P$2:$P$2705,Market_Panel!$A$2:$A$2705,B401,Market_Panel!$B$2:$B$2705,"&gt;="&amp;$B$17,Market_Panel!$B$2:$B$2705,"&lt;="&amp;$C$17))</f>
        <v>0.80399698881741</v>
      </c>
      <c r="G401" s="11" t="n">
        <f aca="false">IF(D401=0,"",AVERAGEIFS(Market_Panel!$R$2:$R$2705,Market_Panel!$A$2:$A$2705,B401,Market_Panel!$B$2:$B$2705,"&gt;="&amp;$B$17,Market_Panel!$B$2:$B$2705,"&lt;="&amp;$C$17))</f>
        <v>0</v>
      </c>
      <c r="H401" s="11" t="n">
        <f aca="false">IF(OR(D401=0,$H$17=0),0,AVERAGEIFS(Market_Panel!$Y$2:$Y$2705,Market_Panel!$A$2:$A$2705,B401,Market_Panel!$B$2:$B$2705,"&gt;="&amp;$B$17,Market_Panel!$B$2:$B$2705,"&lt;="&amp;$C$17))</f>
        <v>0</v>
      </c>
      <c r="I401" s="10" t="n">
        <f aca="false">IF(D401=0,"",$I$17+$F$17*F401+$G$17*G401+$H$17*H401)</f>
        <v>0.0168798029994925</v>
      </c>
      <c r="J401" s="5" t="n">
        <f aca="false">IF(D401&lt;5,"",(E401-I401)*162)</f>
        <v>-12.3659653434795</v>
      </c>
      <c r="K401" s="5" t="n">
        <f aca="false">IF(D401=0,"",E401*162)</f>
        <v>-9.6314372575617</v>
      </c>
      <c r="L401" s="3" t="n">
        <f aca="false">SUMIFS(Seasons!$L$2:$L$2865,Seasons!$A$2:$A$2865,B401,Seasons!$B$2:$B$2865,"&gt;="&amp;$B$17,Seasons!$B$2:$B$2865,"&lt;="&amp;$C$17)</f>
        <v>0</v>
      </c>
      <c r="M401" s="3" t="n">
        <f aca="false">SUMIFS(Seasons!$N$2:$N$2865,Seasons!$A$2:$A$2865,B401,Seasons!$B$2:$B$2865,"&gt;="&amp;$B$17,Seasons!$B$2:$B$2865,"&lt;="&amp;$C$17)</f>
        <v>0</v>
      </c>
      <c r="N401" s="3" t="n">
        <f aca="false">IF(J401="",-1000000,J401+ROW()*0.000000001)</f>
        <v>-12.3659649424795</v>
      </c>
      <c r="O401" s="3" t="n">
        <f aca="false">IF(J401="","",SUMPRODUCT(($A$25:$A$534=A401)*($N$25:$N$534&gt;N401))+1)</f>
        <v>28</v>
      </c>
      <c r="P401" s="3" t="str">
        <f aca="false">A401&amp;"|"&amp;O401</f>
        <v>2020s|28</v>
      </c>
    </row>
    <row r="402" customFormat="false" ht="15" hidden="false" customHeight="true" outlineLevel="0" collapsed="false">
      <c r="A402" s="1" t="s">
        <v>21</v>
      </c>
      <c r="B402" s="7" t="s">
        <v>73</v>
      </c>
      <c r="C402" s="1" t="s">
        <v>72</v>
      </c>
      <c r="D402" s="3" t="n">
        <f aca="false">COUNTIFS(Market_Panel!$A$2:$A$2705,B402,Market_Panel!$B$2:$B$2705,"&gt;="&amp;$B$17,Market_Panel!$B$2:$B$2705,"&lt;="&amp;$C$17)</f>
        <v>6</v>
      </c>
      <c r="E402" s="10" t="n">
        <f aca="false">IF(D402=0,"",AVERAGEIFS(Market_Panel!$M$2:$M$2705,Market_Panel!$A$2:$A$2705,B402,Market_Panel!$B$2:$B$2705,"&gt;="&amp;$B$17,Market_Panel!$B$2:$B$2705,"&lt;="&amp;$C$17))</f>
        <v>-0.0510171024129323</v>
      </c>
      <c r="F402" s="11" t="n">
        <f aca="false">IF(D402=0,"",AVERAGEIFS(Market_Panel!$P$2:$P$2705,Market_Panel!$A$2:$A$2705,B402,Market_Panel!$B$2:$B$2705,"&gt;="&amp;$B$17,Market_Panel!$B$2:$B$2705,"&lt;="&amp;$C$17))</f>
        <v>0.402216015362578</v>
      </c>
      <c r="G402" s="11" t="n">
        <f aca="false">IF(D402=0,"",AVERAGEIFS(Market_Panel!$R$2:$R$2705,Market_Panel!$A$2:$A$2705,B402,Market_Panel!$B$2:$B$2705,"&gt;="&amp;$B$17,Market_Panel!$B$2:$B$2705,"&lt;="&amp;$C$17))</f>
        <v>0</v>
      </c>
      <c r="H402" s="11" t="n">
        <f aca="false">IF(OR(D402=0,$H$17=0),0,AVERAGEIFS(Market_Panel!$Y$2:$Y$2705,Market_Panel!$A$2:$A$2705,B402,Market_Panel!$B$2:$B$2705,"&gt;="&amp;$B$17,Market_Panel!$B$2:$B$2705,"&lt;="&amp;$C$17))</f>
        <v>0</v>
      </c>
      <c r="I402" s="10" t="n">
        <f aca="false">IF(D402=0,"",$I$17+$F$17*F402+$G$17*G402+$H$17*H402)</f>
        <v>0.00844446832138952</v>
      </c>
      <c r="J402" s="5" t="n">
        <f aca="false">IF(D402&lt;5,"",(E402-I402)*162)</f>
        <v>-9.63277445896013</v>
      </c>
      <c r="K402" s="5" t="n">
        <f aca="false">IF(D402=0,"",E402*162)</f>
        <v>-8.26477059089503</v>
      </c>
      <c r="L402" s="3" t="n">
        <f aca="false">SUMIFS(Seasons!$L$2:$L$2865,Seasons!$A$2:$A$2865,B402,Seasons!$B$2:$B$2865,"&gt;="&amp;$B$17,Seasons!$B$2:$B$2865,"&lt;="&amp;$C$17)</f>
        <v>1</v>
      </c>
      <c r="M402" s="3" t="n">
        <f aca="false">SUMIFS(Seasons!$N$2:$N$2865,Seasons!$A$2:$A$2865,B402,Seasons!$B$2:$B$2865,"&gt;="&amp;$B$17,Seasons!$B$2:$B$2865,"&lt;="&amp;$C$17)</f>
        <v>1</v>
      </c>
      <c r="N402" s="3" t="n">
        <f aca="false">IF(J402="",-1000000,J402+ROW()*0.000000001)</f>
        <v>-9.63277405696013</v>
      </c>
      <c r="O402" s="3" t="n">
        <f aca="false">IF(J402="","",SUMPRODUCT(($A$25:$A$534=A402)*($N$25:$N$534&gt;N402))+1)</f>
        <v>25</v>
      </c>
      <c r="P402" s="3" t="str">
        <f aca="false">A402&amp;"|"&amp;O402</f>
        <v>2020s|25</v>
      </c>
    </row>
    <row r="403" customFormat="false" ht="15" hidden="false" customHeight="true" outlineLevel="0" collapsed="false">
      <c r="A403" s="1" t="s">
        <v>21</v>
      </c>
      <c r="B403" s="7" t="s">
        <v>74</v>
      </c>
      <c r="C403" s="1" t="s">
        <v>72</v>
      </c>
      <c r="D403" s="3" t="n">
        <f aca="false">COUNTIFS(Market_Panel!$A$2:$A$2705,B403,Market_Panel!$B$2:$B$2705,"&gt;="&amp;$B$17,Market_Panel!$B$2:$B$2705,"&lt;="&amp;$C$17)</f>
        <v>6</v>
      </c>
      <c r="E403" s="10" t="n">
        <f aca="false">IF(D403=0,"",AVERAGEIFS(Market_Panel!$M$2:$M$2705,Market_Panel!$A$2:$A$2705,B403,Market_Panel!$B$2:$B$2705,"&gt;="&amp;$B$17,Market_Panel!$B$2:$B$2705,"&lt;="&amp;$C$17))</f>
        <v>0.0605534571044872</v>
      </c>
      <c r="F403" s="11" t="n">
        <f aca="false">IF(D403=0,"",AVERAGEIFS(Market_Panel!$P$2:$P$2705,Market_Panel!$A$2:$A$2705,B403,Market_Panel!$B$2:$B$2705,"&gt;="&amp;$B$17,Market_Panel!$B$2:$B$2705,"&lt;="&amp;$C$17))</f>
        <v>0.97138739717971</v>
      </c>
      <c r="G403" s="11" t="n">
        <f aca="false">IF(D403=0,"",AVERAGEIFS(Market_Panel!$R$2:$R$2705,Market_Panel!$A$2:$A$2705,B403,Market_Panel!$B$2:$B$2705,"&gt;="&amp;$B$17,Market_Panel!$B$2:$B$2705,"&lt;="&amp;$C$17))</f>
        <v>0</v>
      </c>
      <c r="H403" s="11" t="n">
        <f aca="false">IF(OR(D403=0,$H$17=0),0,AVERAGEIFS(Market_Panel!$Y$2:$Y$2705,Market_Panel!$A$2:$A$2705,B403,Market_Panel!$B$2:$B$2705,"&gt;="&amp;$B$17,Market_Panel!$B$2:$B$2705,"&lt;="&amp;$C$17))</f>
        <v>0</v>
      </c>
      <c r="I403" s="10" t="n">
        <f aca="false">IF(D403=0,"",$I$17+$F$17*F403+$G$17*G403+$H$17*H403)</f>
        <v>0.020394140934161</v>
      </c>
      <c r="J403" s="5" t="n">
        <f aca="false">IF(D403&lt;5,"",(E403-I403)*162)</f>
        <v>6.50580921959284</v>
      </c>
      <c r="K403" s="5" t="n">
        <f aca="false">IF(D403=0,"",E403*162)</f>
        <v>9.80966005092692</v>
      </c>
      <c r="L403" s="3" t="n">
        <f aca="false">SUMIFS(Seasons!$L$2:$L$2865,Seasons!$A$2:$A$2865,B403,Seasons!$B$2:$B$2865,"&gt;="&amp;$B$17,Seasons!$B$2:$B$2865,"&lt;="&amp;$C$17)</f>
        <v>5</v>
      </c>
      <c r="M403" s="3" t="n">
        <f aca="false">SUMIFS(Seasons!$N$2:$N$2865,Seasons!$A$2:$A$2865,B403,Seasons!$B$2:$B$2865,"&gt;="&amp;$B$17,Seasons!$B$2:$B$2865,"&lt;="&amp;$C$17)</f>
        <v>1</v>
      </c>
      <c r="N403" s="3" t="n">
        <f aca="false">IF(J403="",-1000000,J403+ROW()*0.000000001)</f>
        <v>6.50580962259284</v>
      </c>
      <c r="O403" s="3" t="n">
        <f aca="false">IF(J403="","",SUMPRODUCT(($A$25:$A$534=A403)*($N$25:$N$534&gt;N403))+1)</f>
        <v>6</v>
      </c>
      <c r="P403" s="3" t="str">
        <f aca="false">A403&amp;"|"&amp;O403</f>
        <v>2020s|6</v>
      </c>
    </row>
    <row r="404" customFormat="false" ht="15" hidden="false" customHeight="true" outlineLevel="0" collapsed="false">
      <c r="A404" s="1" t="s">
        <v>21</v>
      </c>
      <c r="B404" s="7" t="s">
        <v>75</v>
      </c>
      <c r="C404" s="1" t="s">
        <v>72</v>
      </c>
      <c r="D404" s="3" t="n">
        <f aca="false">COUNTIFS(Market_Panel!$A$2:$A$2705,B404,Market_Panel!$B$2:$B$2705,"&gt;="&amp;$B$17,Market_Panel!$B$2:$B$2705,"&lt;="&amp;$C$17)</f>
        <v>6</v>
      </c>
      <c r="E404" s="10" t="n">
        <f aca="false">IF(D404=0,"",AVERAGEIFS(Market_Panel!$M$2:$M$2705,Market_Panel!$A$2:$A$2705,B404,Market_Panel!$B$2:$B$2705,"&gt;="&amp;$B$17,Market_Panel!$B$2:$B$2705,"&lt;="&amp;$C$17))</f>
        <v>0.00947672474756156</v>
      </c>
      <c r="F404" s="11" t="n">
        <f aca="false">IF(D404=0,"",AVERAGEIFS(Market_Panel!$P$2:$P$2705,Market_Panel!$A$2:$A$2705,B404,Market_Panel!$B$2:$B$2705,"&gt;="&amp;$B$17,Market_Panel!$B$2:$B$2705,"&lt;="&amp;$C$17))</f>
        <v>1.61856951388607</v>
      </c>
      <c r="G404" s="11" t="n">
        <f aca="false">IF(D404=0,"",AVERAGEIFS(Market_Panel!$R$2:$R$2705,Market_Panel!$A$2:$A$2705,B404,Market_Panel!$B$2:$B$2705,"&gt;="&amp;$B$17,Market_Panel!$B$2:$B$2705,"&lt;="&amp;$C$17))</f>
        <v>0</v>
      </c>
      <c r="H404" s="11" t="n">
        <f aca="false">IF(OR(D404=0,$H$17=0),0,AVERAGEIFS(Market_Panel!$Y$2:$Y$2705,Market_Panel!$A$2:$A$2705,B404,Market_Panel!$B$2:$B$2705,"&gt;="&amp;$B$17,Market_Panel!$B$2:$B$2705,"&lt;="&amp;$C$17))</f>
        <v>0</v>
      </c>
      <c r="I404" s="10" t="n">
        <f aca="false">IF(D404=0,"",$I$17+$F$17*F404+$G$17*G404+$H$17*H404)</f>
        <v>0.0339816378859424</v>
      </c>
      <c r="J404" s="5" t="n">
        <f aca="false">IF(D404&lt;5,"",(E404-I404)*162)</f>
        <v>-3.9697959284177</v>
      </c>
      <c r="K404" s="5" t="n">
        <f aca="false">IF(D404=0,"",E404*162)</f>
        <v>1.53522940910497</v>
      </c>
      <c r="L404" s="3" t="n">
        <f aca="false">SUMIFS(Seasons!$L$2:$L$2865,Seasons!$A$2:$A$2865,B404,Seasons!$B$2:$B$2865,"&gt;="&amp;$B$17,Seasons!$B$2:$B$2865,"&lt;="&amp;$C$17)</f>
        <v>2</v>
      </c>
      <c r="M404" s="3" t="n">
        <f aca="false">SUMIFS(Seasons!$N$2:$N$2865,Seasons!$A$2:$A$2865,B404,Seasons!$B$2:$B$2865,"&gt;="&amp;$B$17,Seasons!$B$2:$B$2865,"&lt;="&amp;$C$17)</f>
        <v>0</v>
      </c>
      <c r="N404" s="3" t="n">
        <f aca="false">IF(J404="",-1000000,J404+ROW()*0.000000001)</f>
        <v>-3.9697955244177</v>
      </c>
      <c r="O404" s="3" t="n">
        <f aca="false">IF(J404="","",SUMPRODUCT(($A$25:$A$534=A404)*($N$25:$N$534&gt;N404))+1)</f>
        <v>20</v>
      </c>
      <c r="P404" s="3" t="str">
        <f aca="false">A404&amp;"|"&amp;O404</f>
        <v>2020s|20</v>
      </c>
    </row>
    <row r="405" customFormat="false" ht="15" hidden="false" customHeight="true" outlineLevel="0" collapsed="false">
      <c r="A405" s="1" t="s">
        <v>21</v>
      </c>
      <c r="B405" s="7" t="s">
        <v>76</v>
      </c>
      <c r="C405" s="1" t="s">
        <v>72</v>
      </c>
      <c r="D405" s="3" t="n">
        <f aca="false">COUNTIFS(Market_Panel!$A$2:$A$2705,B405,Market_Panel!$B$2:$B$2705,"&gt;="&amp;$B$17,Market_Panel!$B$2:$B$2705,"&lt;="&amp;$C$17)</f>
        <v>6</v>
      </c>
      <c r="E405" s="10" t="n">
        <f aca="false">IF(D405=0,"",AVERAGEIFS(Market_Panel!$M$2:$M$2705,Market_Panel!$A$2:$A$2705,B405,Market_Panel!$B$2:$B$2705,"&gt;="&amp;$B$17,Market_Panel!$B$2:$B$2705,"&lt;="&amp;$C$17))</f>
        <v>-0.0543092834828911</v>
      </c>
      <c r="F405" s="11" t="n">
        <f aca="false">IF(D405=0,"",AVERAGEIFS(Market_Panel!$P$2:$P$2705,Market_Panel!$A$2:$A$2705,B405,Market_Panel!$B$2:$B$2705,"&gt;="&amp;$B$17,Market_Panel!$B$2:$B$2705,"&lt;="&amp;$C$17))</f>
        <v>-0.54060773182608</v>
      </c>
      <c r="G405" s="11" t="n">
        <f aca="false">IF(D405=0,"",AVERAGEIFS(Market_Panel!$R$2:$R$2705,Market_Panel!$A$2:$A$2705,B405,Market_Panel!$B$2:$B$2705,"&gt;="&amp;$B$17,Market_Panel!$B$2:$B$2705,"&lt;="&amp;$C$17))</f>
        <v>0</v>
      </c>
      <c r="H405" s="11" t="n">
        <f aca="false">IF(OR(D405=0,$H$17=0),0,AVERAGEIFS(Market_Panel!$Y$2:$Y$2705,Market_Panel!$A$2:$A$2705,B405,Market_Panel!$B$2:$B$2705,"&gt;="&amp;$B$17,Market_Panel!$B$2:$B$2705,"&lt;="&amp;$C$17))</f>
        <v>0</v>
      </c>
      <c r="I405" s="10" t="n">
        <f aca="false">IF(D405=0,"",$I$17+$F$17*F405+$G$17*G405+$H$17*H405)</f>
        <v>-0.0113499828235042</v>
      </c>
      <c r="J405" s="5" t="n">
        <f aca="false">IF(D405&lt;5,"",(E405-I405)*162)</f>
        <v>-6.95940670682068</v>
      </c>
      <c r="K405" s="5" t="n">
        <f aca="false">IF(D405=0,"",E405*162)</f>
        <v>-8.79810392422836</v>
      </c>
      <c r="L405" s="3" t="n">
        <f aca="false">SUMIFS(Seasons!$L$2:$L$2865,Seasons!$A$2:$A$2865,B405,Seasons!$B$2:$B$2865,"&gt;="&amp;$B$17,Seasons!$B$2:$B$2865,"&lt;="&amp;$C$17)</f>
        <v>1</v>
      </c>
      <c r="M405" s="3" t="n">
        <f aca="false">SUMIFS(Seasons!$N$2:$N$2865,Seasons!$A$2:$A$2865,B405,Seasons!$B$2:$B$2865,"&gt;="&amp;$B$17,Seasons!$B$2:$B$2865,"&lt;="&amp;$C$17)</f>
        <v>0</v>
      </c>
      <c r="N405" s="3" t="n">
        <f aca="false">IF(J405="",-1000000,J405+ROW()*0.000000001)</f>
        <v>-6.95940630182068</v>
      </c>
      <c r="O405" s="3" t="n">
        <f aca="false">IF(J405="","",SUMPRODUCT(($A$25:$A$534=A405)*($N$25:$N$534&gt;N405))+1)</f>
        <v>23</v>
      </c>
      <c r="P405" s="3" t="str">
        <f aca="false">A405&amp;"|"&amp;O405</f>
        <v>2020s|23</v>
      </c>
    </row>
    <row r="406" customFormat="false" ht="15" hidden="false" customHeight="true" outlineLevel="0" collapsed="false">
      <c r="A406" s="1" t="s">
        <v>21</v>
      </c>
      <c r="B406" s="7" t="s">
        <v>77</v>
      </c>
      <c r="C406" s="1" t="s">
        <v>72</v>
      </c>
      <c r="D406" s="3" t="n">
        <f aca="false">COUNTIFS(Market_Panel!$A$2:$A$2705,B406,Market_Panel!$B$2:$B$2705,"&gt;="&amp;$B$17,Market_Panel!$B$2:$B$2705,"&lt;="&amp;$C$17)</f>
        <v>6</v>
      </c>
      <c r="E406" s="10" t="n">
        <f aca="false">IF(D406=0,"",AVERAGEIFS(Market_Panel!$M$2:$M$2705,Market_Panel!$A$2:$A$2705,B406,Market_Panel!$B$2:$B$2705,"&gt;="&amp;$B$17,Market_Panel!$B$2:$B$2705,"&lt;="&amp;$C$17))</f>
        <v>0.0569047082866562</v>
      </c>
      <c r="F406" s="11" t="n">
        <f aca="false">IF(D406=0,"",AVERAGEIFS(Market_Panel!$P$2:$P$2705,Market_Panel!$A$2:$A$2705,B406,Market_Panel!$B$2:$B$2705,"&gt;="&amp;$B$17,Market_Panel!$B$2:$B$2705,"&lt;="&amp;$C$17))</f>
        <v>-0.413039387855493</v>
      </c>
      <c r="G406" s="11" t="n">
        <f aca="false">IF(D406=0,"",AVERAGEIFS(Market_Panel!$R$2:$R$2705,Market_Panel!$A$2:$A$2705,B406,Market_Panel!$B$2:$B$2705,"&gt;="&amp;$B$17,Market_Panel!$B$2:$B$2705,"&lt;="&amp;$C$17))</f>
        <v>0</v>
      </c>
      <c r="H406" s="11" t="n">
        <f aca="false">IF(OR(D406=0,$H$17=0),0,AVERAGEIFS(Market_Panel!$Y$2:$Y$2705,Market_Panel!$A$2:$A$2705,B406,Market_Panel!$B$2:$B$2705,"&gt;="&amp;$B$17,Market_Panel!$B$2:$B$2705,"&lt;="&amp;$C$17))</f>
        <v>0</v>
      </c>
      <c r="I406" s="10" t="n">
        <f aca="false">IF(D406=0,"",$I$17+$F$17*F406+$G$17*G406+$H$17*H406)</f>
        <v>-0.00867170349516702</v>
      </c>
      <c r="J406" s="5" t="n">
        <f aca="false">IF(D406&lt;5,"",(E406-I406)*162)</f>
        <v>10.6233787086554</v>
      </c>
      <c r="K406" s="5" t="n">
        <f aca="false">IF(D406=0,"",E406*162)</f>
        <v>9.21856274243831</v>
      </c>
      <c r="L406" s="3" t="n">
        <f aca="false">SUMIFS(Seasons!$L$2:$L$2865,Seasons!$A$2:$A$2865,B406,Seasons!$B$2:$B$2865,"&gt;="&amp;$B$17,Seasons!$B$2:$B$2865,"&lt;="&amp;$C$17)</f>
        <v>5</v>
      </c>
      <c r="M406" s="3" t="n">
        <f aca="false">SUMIFS(Seasons!$N$2:$N$2865,Seasons!$A$2:$A$2865,B406,Seasons!$B$2:$B$2865,"&gt;="&amp;$B$17,Seasons!$B$2:$B$2865,"&lt;="&amp;$C$17)</f>
        <v>0</v>
      </c>
      <c r="N406" s="3" t="n">
        <f aca="false">IF(J406="",-1000000,J406+ROW()*0.000000001)</f>
        <v>10.6233791146554</v>
      </c>
      <c r="O406" s="3" t="n">
        <f aca="false">IF(J406="","",SUMPRODUCT(($A$25:$A$534=A406)*($N$25:$N$534&gt;N406))+1)</f>
        <v>4</v>
      </c>
      <c r="P406" s="3" t="str">
        <f aca="false">A406&amp;"|"&amp;O406</f>
        <v>2020s|4</v>
      </c>
    </row>
    <row r="407" customFormat="false" ht="15" hidden="false" customHeight="true" outlineLevel="0" collapsed="false">
      <c r="A407" s="1" t="s">
        <v>21</v>
      </c>
      <c r="B407" s="7" t="s">
        <v>78</v>
      </c>
      <c r="C407" s="1" t="s">
        <v>72</v>
      </c>
      <c r="D407" s="3" t="n">
        <f aca="false">COUNTIFS(Market_Panel!$A$2:$A$2705,B407,Market_Panel!$B$2:$B$2705,"&gt;="&amp;$B$17,Market_Panel!$B$2:$B$2705,"&lt;="&amp;$C$17)</f>
        <v>6</v>
      </c>
      <c r="E407" s="10" t="n">
        <f aca="false">IF(D407=0,"",AVERAGEIFS(Market_Panel!$M$2:$M$2705,Market_Panel!$A$2:$A$2705,B407,Market_Panel!$B$2:$B$2705,"&gt;="&amp;$B$17,Market_Panel!$B$2:$B$2705,"&lt;="&amp;$C$17))</f>
        <v>0.0482627329780142</v>
      </c>
      <c r="F407" s="11" t="n">
        <f aca="false">IF(D407=0,"",AVERAGEIFS(Market_Panel!$P$2:$P$2705,Market_Panel!$A$2:$A$2705,B407,Market_Panel!$B$2:$B$2705,"&gt;="&amp;$B$17,Market_Panel!$B$2:$B$2705,"&lt;="&amp;$C$17))</f>
        <v>0.463583063369741</v>
      </c>
      <c r="G407" s="11" t="n">
        <f aca="false">IF(D407=0,"",AVERAGEIFS(Market_Panel!$R$2:$R$2705,Market_Panel!$A$2:$A$2705,B407,Market_Panel!$B$2:$B$2705,"&gt;="&amp;$B$17,Market_Panel!$B$2:$B$2705,"&lt;="&amp;$C$17))</f>
        <v>0</v>
      </c>
      <c r="H407" s="11" t="n">
        <f aca="false">IF(OR(D407=0,$H$17=0),0,AVERAGEIFS(Market_Panel!$Y$2:$Y$2705,Market_Panel!$A$2:$A$2705,B407,Market_Panel!$B$2:$B$2705,"&gt;="&amp;$B$17,Market_Panel!$B$2:$B$2705,"&lt;="&amp;$C$17))</f>
        <v>0</v>
      </c>
      <c r="I407" s="10" t="n">
        <f aca="false">IF(D407=0,"",$I$17+$F$17*F407+$G$17*G407+$H$17*H407)</f>
        <v>0.00973286080970588</v>
      </c>
      <c r="J407" s="5" t="n">
        <f aca="false">IF(D407&lt;5,"",(E407-I407)*162)</f>
        <v>6.24183929126595</v>
      </c>
      <c r="K407" s="5" t="n">
        <f aca="false">IF(D407=0,"",E407*162)</f>
        <v>7.81856274243831</v>
      </c>
      <c r="L407" s="3" t="n">
        <f aca="false">SUMIFS(Seasons!$L$2:$L$2865,Seasons!$A$2:$A$2865,B407,Seasons!$B$2:$B$2865,"&gt;="&amp;$B$17,Seasons!$B$2:$B$2865,"&lt;="&amp;$C$17)</f>
        <v>4</v>
      </c>
      <c r="M407" s="3" t="n">
        <f aca="false">SUMIFS(Seasons!$N$2:$N$2865,Seasons!$A$2:$A$2865,B407,Seasons!$B$2:$B$2865,"&gt;="&amp;$B$17,Seasons!$B$2:$B$2865,"&lt;="&amp;$C$17)</f>
        <v>0</v>
      </c>
      <c r="N407" s="3" t="n">
        <f aca="false">IF(J407="",-1000000,J407+ROW()*0.000000001)</f>
        <v>6.24183969826595</v>
      </c>
      <c r="O407" s="3" t="n">
        <f aca="false">IF(J407="","",SUMPRODUCT(($A$25:$A$534=A407)*($N$25:$N$534&gt;N407))+1)</f>
        <v>7</v>
      </c>
      <c r="P407" s="3" t="str">
        <f aca="false">A407&amp;"|"&amp;O407</f>
        <v>2020s|7</v>
      </c>
    </row>
    <row r="408" customFormat="false" ht="15" hidden="false" customHeight="true" outlineLevel="0" collapsed="false">
      <c r="A408" s="1" t="s">
        <v>21</v>
      </c>
      <c r="B408" s="7" t="s">
        <v>79</v>
      </c>
      <c r="C408" s="1" t="s">
        <v>72</v>
      </c>
      <c r="D408" s="3" t="n">
        <f aca="false">COUNTIFS(Market_Panel!$A$2:$A$2705,B408,Market_Panel!$B$2:$B$2705,"&gt;="&amp;$B$17,Market_Panel!$B$2:$B$2705,"&lt;="&amp;$C$17)</f>
        <v>6</v>
      </c>
      <c r="E408" s="10" t="n">
        <f aca="false">IF(D408=0,"",AVERAGEIFS(Market_Panel!$M$2:$M$2705,Market_Panel!$A$2:$A$2705,B408,Market_Panel!$B$2:$B$2705,"&gt;="&amp;$B$17,Market_Panel!$B$2:$B$2705,"&lt;="&amp;$C$17))</f>
        <v>-0.090317513935566</v>
      </c>
      <c r="F408" s="11" t="n">
        <f aca="false">IF(D408=0,"",AVERAGEIFS(Market_Panel!$P$2:$P$2705,Market_Panel!$A$2:$A$2705,B408,Market_Panel!$B$2:$B$2705,"&gt;="&amp;$B$17,Market_Panel!$B$2:$B$2705,"&lt;="&amp;$C$17))</f>
        <v>-0.2352343692787</v>
      </c>
      <c r="G408" s="11" t="n">
        <f aca="false">IF(D408=0,"",AVERAGEIFS(Market_Panel!$R$2:$R$2705,Market_Panel!$A$2:$A$2705,B408,Market_Panel!$B$2:$B$2705,"&gt;="&amp;$B$17,Market_Panel!$B$2:$B$2705,"&lt;="&amp;$C$17))</f>
        <v>0</v>
      </c>
      <c r="H408" s="11" t="n">
        <f aca="false">IF(OR(D408=0,$H$17=0),0,AVERAGEIFS(Market_Panel!$Y$2:$Y$2705,Market_Panel!$A$2:$A$2705,B408,Market_Panel!$B$2:$B$2705,"&gt;="&amp;$B$17,Market_Panel!$B$2:$B$2705,"&lt;="&amp;$C$17))</f>
        <v>0</v>
      </c>
      <c r="I408" s="10" t="n">
        <f aca="false">IF(D408=0,"",$I$17+$F$17*F408+$G$17*G408+$H$17*H408)</f>
        <v>-0.00493871229290895</v>
      </c>
      <c r="J408" s="5" t="n">
        <f aca="false">IF(D408&lt;5,"",(E408-I408)*162)</f>
        <v>-13.8313658661104</v>
      </c>
      <c r="K408" s="5" t="n">
        <f aca="false">IF(D408=0,"",E408*162)</f>
        <v>-14.6314372575617</v>
      </c>
      <c r="L408" s="3" t="n">
        <f aca="false">SUMIFS(Seasons!$L$2:$L$2865,Seasons!$A$2:$A$2865,B408,Seasons!$B$2:$B$2865,"&gt;="&amp;$B$17,Seasons!$B$2:$B$2865,"&lt;="&amp;$C$17)</f>
        <v>0</v>
      </c>
      <c r="M408" s="3" t="n">
        <f aca="false">SUMIFS(Seasons!$N$2:$N$2865,Seasons!$A$2:$A$2865,B408,Seasons!$B$2:$B$2865,"&gt;="&amp;$B$17,Seasons!$B$2:$B$2865,"&lt;="&amp;$C$17)</f>
        <v>0</v>
      </c>
      <c r="N408" s="3" t="n">
        <f aca="false">IF(J408="",-1000000,J408+ROW()*0.000000001)</f>
        <v>-13.8313654581104</v>
      </c>
      <c r="O408" s="3" t="n">
        <f aca="false">IF(J408="","",SUMPRODUCT(($A$25:$A$534=A408)*($N$25:$N$534&gt;N408))+1)</f>
        <v>29</v>
      </c>
      <c r="P408" s="3" t="str">
        <f aca="false">A408&amp;"|"&amp;O408</f>
        <v>2020s|29</v>
      </c>
    </row>
    <row r="409" customFormat="false" ht="15" hidden="false" customHeight="true" outlineLevel="0" collapsed="false">
      <c r="A409" s="1" t="s">
        <v>21</v>
      </c>
      <c r="B409" s="7" t="s">
        <v>80</v>
      </c>
      <c r="C409" s="1" t="s">
        <v>72</v>
      </c>
      <c r="D409" s="3" t="n">
        <f aca="false">COUNTIFS(Market_Panel!$A$2:$A$2705,B409,Market_Panel!$B$2:$B$2705,"&gt;="&amp;$B$17,Market_Panel!$B$2:$B$2705,"&lt;="&amp;$C$17)</f>
        <v>6</v>
      </c>
      <c r="E409" s="10" t="n">
        <f aca="false">IF(D409=0,"",AVERAGEIFS(Market_Panel!$M$2:$M$2705,Market_Panel!$A$2:$A$2705,B409,Market_Panel!$B$2:$B$2705,"&gt;="&amp;$B$17,Market_Panel!$B$2:$B$2705,"&lt;="&amp;$C$17))</f>
        <v>0.0307730210438579</v>
      </c>
      <c r="F409" s="11" t="n">
        <f aca="false">IF(D409=0,"",AVERAGEIFS(Market_Panel!$P$2:$P$2705,Market_Panel!$A$2:$A$2705,B409,Market_Panel!$B$2:$B$2705,"&gt;="&amp;$B$17,Market_Panel!$B$2:$B$2705,"&lt;="&amp;$C$17))</f>
        <v>-0.168658084303196</v>
      </c>
      <c r="G409" s="11" t="n">
        <f aca="false">IF(D409=0,"",AVERAGEIFS(Market_Panel!$R$2:$R$2705,Market_Panel!$A$2:$A$2705,B409,Market_Panel!$B$2:$B$2705,"&gt;="&amp;$B$17,Market_Panel!$B$2:$B$2705,"&lt;="&amp;$C$17))</f>
        <v>0</v>
      </c>
      <c r="H409" s="11" t="n">
        <f aca="false">IF(OR(D409=0,$H$17=0),0,AVERAGEIFS(Market_Panel!$Y$2:$Y$2705,Market_Panel!$A$2:$A$2705,B409,Market_Panel!$B$2:$B$2705,"&gt;="&amp;$B$17,Market_Panel!$B$2:$B$2705,"&lt;="&amp;$C$17))</f>
        <v>0</v>
      </c>
      <c r="I409" s="10" t="n">
        <f aca="false">IF(D409=0,"",$I$17+$F$17*F409+$G$17*G409+$H$17*H409)</f>
        <v>-0.00354095261164751</v>
      </c>
      <c r="J409" s="5" t="n">
        <f aca="false">IF(D409&lt;5,"",(E409-I409)*162)</f>
        <v>5.55886373219187</v>
      </c>
      <c r="K409" s="5" t="n">
        <f aca="false">IF(D409=0,"",E409*162)</f>
        <v>4.98522940910497</v>
      </c>
      <c r="L409" s="3" t="n">
        <f aca="false">SUMIFS(Seasons!$L$2:$L$2865,Seasons!$A$2:$A$2865,B409,Seasons!$B$2:$B$2865,"&gt;="&amp;$B$17,Seasons!$B$2:$B$2865,"&lt;="&amp;$C$17)</f>
        <v>2</v>
      </c>
      <c r="M409" s="3" t="n">
        <f aca="false">SUMIFS(Seasons!$N$2:$N$2865,Seasons!$A$2:$A$2865,B409,Seasons!$B$2:$B$2865,"&gt;="&amp;$B$17,Seasons!$B$2:$B$2865,"&lt;="&amp;$C$17)</f>
        <v>0</v>
      </c>
      <c r="N409" s="3" t="n">
        <f aca="false">IF(J409="",-1000000,J409+ROW()*0.000000001)</f>
        <v>5.55886414119187</v>
      </c>
      <c r="O409" s="3" t="n">
        <f aca="false">IF(J409="","",SUMPRODUCT(($A$25:$A$534=A409)*($N$25:$N$534&gt;N409))+1)</f>
        <v>9</v>
      </c>
      <c r="P409" s="3" t="str">
        <f aca="false">A409&amp;"|"&amp;O409</f>
        <v>2020s|9</v>
      </c>
    </row>
    <row r="410" customFormat="false" ht="15" hidden="false" customHeight="true" outlineLevel="0" collapsed="false">
      <c r="A410" s="1" t="s">
        <v>21</v>
      </c>
      <c r="B410" s="7" t="s">
        <v>81</v>
      </c>
      <c r="C410" s="1" t="s">
        <v>72</v>
      </c>
      <c r="D410" s="3" t="n">
        <f aca="false">COUNTIFS(Market_Panel!$A$2:$A$2705,B410,Market_Panel!$B$2:$B$2705,"&gt;="&amp;$B$17,Market_Panel!$B$2:$B$2705,"&lt;="&amp;$C$17)</f>
        <v>6</v>
      </c>
      <c r="E410" s="10" t="n">
        <f aca="false">IF(D410=0,"",AVERAGEIFS(Market_Panel!$M$2:$M$2705,Market_Panel!$A$2:$A$2705,B410,Market_Panel!$B$2:$B$2705,"&gt;="&amp;$B$17,Market_Panel!$B$2:$B$2705,"&lt;="&amp;$C$17))</f>
        <v>0.0415754901796603</v>
      </c>
      <c r="F410" s="11" t="n">
        <f aca="false">IF(D410=0,"",AVERAGEIFS(Market_Panel!$P$2:$P$2705,Market_Panel!$A$2:$A$2705,B410,Market_Panel!$B$2:$B$2705,"&gt;="&amp;$B$17,Market_Panel!$B$2:$B$2705,"&lt;="&amp;$C$17))</f>
        <v>1.16409061852442</v>
      </c>
      <c r="G410" s="11" t="n">
        <f aca="false">IF(D410=0,"",AVERAGEIFS(Market_Panel!$R$2:$R$2705,Market_Panel!$A$2:$A$2705,B410,Market_Panel!$B$2:$B$2705,"&gt;="&amp;$B$17,Market_Panel!$B$2:$B$2705,"&lt;="&amp;$C$17))</f>
        <v>0</v>
      </c>
      <c r="H410" s="11" t="n">
        <f aca="false">IF(OR(D410=0,$H$17=0),0,AVERAGEIFS(Market_Panel!$Y$2:$Y$2705,Market_Panel!$A$2:$A$2705,B410,Market_Panel!$B$2:$B$2705,"&gt;="&amp;$B$17,Market_Panel!$B$2:$B$2705,"&lt;="&amp;$C$17))</f>
        <v>0</v>
      </c>
      <c r="I410" s="10" t="n">
        <f aca="false">IF(D410=0,"",$I$17+$F$17*F410+$G$17*G410+$H$17*H410)</f>
        <v>0.024439917795155</v>
      </c>
      <c r="J410" s="5" t="n">
        <f aca="false">IF(D410&lt;5,"",(E410-I410)*162)</f>
        <v>2.77596272628986</v>
      </c>
      <c r="K410" s="5" t="n">
        <f aca="false">IF(D410=0,"",E410*162)</f>
        <v>6.73522940910497</v>
      </c>
      <c r="L410" s="3" t="n">
        <f aca="false">SUMIFS(Seasons!$L$2:$L$2865,Seasons!$A$2:$A$2865,B410,Seasons!$B$2:$B$2865,"&gt;="&amp;$B$17,Seasons!$B$2:$B$2865,"&lt;="&amp;$C$17)</f>
        <v>4</v>
      </c>
      <c r="M410" s="3" t="n">
        <f aca="false">SUMIFS(Seasons!$N$2:$N$2865,Seasons!$A$2:$A$2865,B410,Seasons!$B$2:$B$2865,"&gt;="&amp;$B$17,Seasons!$B$2:$B$2865,"&lt;="&amp;$C$17)</f>
        <v>0</v>
      </c>
      <c r="N410" s="3" t="n">
        <f aca="false">IF(J410="",-1000000,J410+ROW()*0.000000001)</f>
        <v>2.77596313628986</v>
      </c>
      <c r="O410" s="3" t="n">
        <f aca="false">IF(J410="","",SUMPRODUCT(($A$25:$A$534=A410)*($N$25:$N$534&gt;N410))+1)</f>
        <v>13</v>
      </c>
      <c r="P410" s="3" t="str">
        <f aca="false">A410&amp;"|"&amp;O410</f>
        <v>2020s|13</v>
      </c>
    </row>
    <row r="411" customFormat="false" ht="15" hidden="false" customHeight="true" outlineLevel="0" collapsed="false">
      <c r="A411" s="1" t="s">
        <v>21</v>
      </c>
      <c r="B411" s="7" t="s">
        <v>82</v>
      </c>
      <c r="C411" s="1" t="s">
        <v>72</v>
      </c>
      <c r="D411" s="3" t="n">
        <f aca="false">COUNTIFS(Market_Panel!$A$2:$A$2705,B411,Market_Panel!$B$2:$B$2705,"&gt;="&amp;$B$17,Market_Panel!$B$2:$B$2705,"&lt;="&amp;$C$17)</f>
        <v>6</v>
      </c>
      <c r="E411" s="10" t="n">
        <f aca="false">IF(D411=0,"",AVERAGEIFS(Market_Panel!$M$2:$M$2705,Market_Panel!$A$2:$A$2705,B411,Market_Panel!$B$2:$B$2705,"&gt;="&amp;$B$17,Market_Panel!$B$2:$B$2705,"&lt;="&amp;$C$17))</f>
        <v>-0.113507197753269</v>
      </c>
      <c r="F411" s="11" t="n">
        <f aca="false">IF(D411=0,"",AVERAGEIFS(Market_Panel!$P$2:$P$2705,Market_Panel!$A$2:$A$2705,B411,Market_Panel!$B$2:$B$2705,"&gt;="&amp;$B$17,Market_Panel!$B$2:$B$2705,"&lt;="&amp;$C$17))</f>
        <v>-0.1982539828143</v>
      </c>
      <c r="G411" s="11" t="n">
        <f aca="false">IF(D411=0,"",AVERAGEIFS(Market_Panel!$R$2:$R$2705,Market_Panel!$A$2:$A$2705,B411,Market_Panel!$B$2:$B$2705,"&gt;="&amp;$B$17,Market_Panel!$B$2:$B$2705,"&lt;="&amp;$C$17))</f>
        <v>0</v>
      </c>
      <c r="H411" s="11" t="n">
        <f aca="false">IF(OR(D411=0,$H$17=0),0,AVERAGEIFS(Market_Panel!$Y$2:$Y$2705,Market_Panel!$A$2:$A$2705,B411,Market_Panel!$B$2:$B$2705,"&gt;="&amp;$B$17,Market_Panel!$B$2:$B$2705,"&lt;="&amp;$C$17))</f>
        <v>0</v>
      </c>
      <c r="I411" s="10" t="n">
        <f aca="false">IF(D411=0,"",$I$17+$F$17*F411+$G$17*G411+$H$17*H411)</f>
        <v>-0.00416231431251063</v>
      </c>
      <c r="J411" s="5" t="n">
        <f aca="false">IF(D411&lt;5,"",(E411-I411)*162)</f>
        <v>-17.7138711174029</v>
      </c>
      <c r="K411" s="5" t="n">
        <f aca="false">IF(D411=0,"",E411*162)</f>
        <v>-18.3881660360296</v>
      </c>
      <c r="L411" s="3" t="n">
        <f aca="false">SUMIFS(Seasons!$L$2:$L$2865,Seasons!$A$2:$A$2865,B411,Seasons!$B$2:$B$2865,"&gt;="&amp;$B$17,Seasons!$B$2:$B$2865,"&lt;="&amp;$C$17)</f>
        <v>0</v>
      </c>
      <c r="M411" s="3" t="n">
        <f aca="false">SUMIFS(Seasons!$N$2:$N$2865,Seasons!$A$2:$A$2865,B411,Seasons!$B$2:$B$2865,"&gt;="&amp;$B$17,Seasons!$B$2:$B$2865,"&lt;="&amp;$C$17)</f>
        <v>0</v>
      </c>
      <c r="N411" s="3" t="n">
        <f aca="false">IF(J411="",-1000000,J411+ROW()*0.000000001)</f>
        <v>-17.7138707064029</v>
      </c>
      <c r="O411" s="3" t="n">
        <f aca="false">IF(J411="","",SUMPRODUCT(($A$25:$A$534=A411)*($N$25:$N$534&gt;N411))+1)</f>
        <v>30</v>
      </c>
      <c r="P411" s="3" t="str">
        <f aca="false">A411&amp;"|"&amp;O411</f>
        <v>2020s|30</v>
      </c>
    </row>
    <row r="412" customFormat="false" ht="15" hidden="false" customHeight="true" outlineLevel="0" collapsed="false">
      <c r="A412" s="1" t="s">
        <v>21</v>
      </c>
      <c r="B412" s="7" t="s">
        <v>83</v>
      </c>
      <c r="C412" s="1" t="s">
        <v>72</v>
      </c>
      <c r="D412" s="3" t="n">
        <f aca="false">COUNTIFS(Market_Panel!$A$2:$A$2705,B412,Market_Panel!$B$2:$B$2705,"&gt;="&amp;$B$17,Market_Panel!$B$2:$B$2705,"&lt;="&amp;$C$17)</f>
        <v>6</v>
      </c>
      <c r="E412" s="10" t="n">
        <f aca="false">IF(D412=0,"",AVERAGEIFS(Market_Panel!$M$2:$M$2705,Market_Panel!$A$2:$A$2705,B412,Market_Panel!$B$2:$B$2705,"&gt;="&amp;$B$17,Market_Panel!$B$2:$B$2705,"&lt;="&amp;$C$17))</f>
        <v>-0.0424780077627265</v>
      </c>
      <c r="F412" s="11" t="n">
        <f aca="false">IF(D412=0,"",AVERAGEIFS(Market_Panel!$P$2:$P$2705,Market_Panel!$A$2:$A$2705,B412,Market_Panel!$B$2:$B$2705,"&gt;="&amp;$B$17,Market_Panel!$B$2:$B$2705,"&lt;="&amp;$C$17))</f>
        <v>-0.679411346714641</v>
      </c>
      <c r="G412" s="11" t="n">
        <f aca="false">IF(D412=0,"",AVERAGEIFS(Market_Panel!$R$2:$R$2705,Market_Panel!$A$2:$A$2705,B412,Market_Panel!$B$2:$B$2705,"&gt;="&amp;$B$17,Market_Panel!$B$2:$B$2705,"&lt;="&amp;$C$17))</f>
        <v>0</v>
      </c>
      <c r="H412" s="11" t="n">
        <f aca="false">IF(OR(D412=0,$H$17=0),0,AVERAGEIFS(Market_Panel!$Y$2:$Y$2705,Market_Panel!$A$2:$A$2705,B412,Market_Panel!$B$2:$B$2705,"&gt;="&amp;$B$17,Market_Panel!$B$2:$B$2705,"&lt;="&amp;$C$17))</f>
        <v>0</v>
      </c>
      <c r="I412" s="10" t="n">
        <f aca="false">IF(D412=0,"",$I$17+$F$17*F412+$G$17*G412+$H$17*H412)</f>
        <v>-0.0142641450747616</v>
      </c>
      <c r="J412" s="5" t="n">
        <f aca="false">IF(D412&lt;5,"",(E412-I412)*162)</f>
        <v>-4.57064575545031</v>
      </c>
      <c r="K412" s="5" t="n">
        <f aca="false">IF(D412=0,"",E412*162)</f>
        <v>-6.8814372575617</v>
      </c>
      <c r="L412" s="3" t="n">
        <f aca="false">SUMIFS(Seasons!$L$2:$L$2865,Seasons!$A$2:$A$2865,B412,Seasons!$B$2:$B$2865,"&gt;="&amp;$B$17,Seasons!$B$2:$B$2865,"&lt;="&amp;$C$17)</f>
        <v>2</v>
      </c>
      <c r="M412" s="3" t="n">
        <f aca="false">SUMIFS(Seasons!$N$2:$N$2865,Seasons!$A$2:$A$2865,B412,Seasons!$B$2:$B$2865,"&gt;="&amp;$B$17,Seasons!$B$2:$B$2865,"&lt;="&amp;$C$17)</f>
        <v>0</v>
      </c>
      <c r="N412" s="3" t="n">
        <f aca="false">IF(J412="",-1000000,J412+ROW()*0.000000001)</f>
        <v>-4.57064534345031</v>
      </c>
      <c r="O412" s="3" t="n">
        <f aca="false">IF(J412="","",SUMPRODUCT(($A$25:$A$534=A412)*($N$25:$N$534&gt;N412))+1)</f>
        <v>21</v>
      </c>
      <c r="P412" s="3" t="str">
        <f aca="false">A412&amp;"|"&amp;O412</f>
        <v>2020s|21</v>
      </c>
    </row>
    <row r="413" customFormat="false" ht="15" hidden="false" customHeight="true" outlineLevel="0" collapsed="false">
      <c r="A413" s="1" t="s">
        <v>21</v>
      </c>
      <c r="B413" s="7" t="s">
        <v>84</v>
      </c>
      <c r="C413" s="1" t="s">
        <v>72</v>
      </c>
      <c r="D413" s="3" t="n">
        <f aca="false">COUNTIFS(Market_Panel!$A$2:$A$2705,B413,Market_Panel!$B$2:$B$2705,"&gt;="&amp;$B$17,Market_Panel!$B$2:$B$2705,"&lt;="&amp;$C$17)</f>
        <v>6</v>
      </c>
      <c r="E413" s="10" t="n">
        <f aca="false">IF(D413=0,"",AVERAGEIFS(Market_Panel!$M$2:$M$2705,Market_Panel!$A$2:$A$2705,B413,Market_Panel!$B$2:$B$2705,"&gt;="&amp;$B$17,Market_Panel!$B$2:$B$2705,"&lt;="&amp;$C$17))</f>
        <v>-0.0406261559108747</v>
      </c>
      <c r="F413" s="11" t="n">
        <f aca="false">IF(D413=0,"",AVERAGEIFS(Market_Panel!$P$2:$P$2705,Market_Panel!$A$2:$A$2705,B413,Market_Panel!$B$2:$B$2705,"&gt;="&amp;$B$17,Market_Panel!$B$2:$B$2705,"&lt;="&amp;$C$17))</f>
        <v>0.611566559722055</v>
      </c>
      <c r="G413" s="11" t="n">
        <f aca="false">IF(D413=0,"",AVERAGEIFS(Market_Panel!$R$2:$R$2705,Market_Panel!$A$2:$A$2705,B413,Market_Panel!$B$2:$B$2705,"&gt;="&amp;$B$17,Market_Panel!$B$2:$B$2705,"&lt;="&amp;$C$17))</f>
        <v>0</v>
      </c>
      <c r="H413" s="11" t="n">
        <f aca="false">IF(OR(D413=0,$H$17=0),0,AVERAGEIFS(Market_Panel!$Y$2:$Y$2705,Market_Panel!$A$2:$A$2705,B413,Market_Panel!$B$2:$B$2705,"&gt;="&amp;$B$17,Market_Panel!$B$2:$B$2705,"&lt;="&amp;$C$17))</f>
        <v>0</v>
      </c>
      <c r="I413" s="10" t="n">
        <f aca="false">IF(D413=0,"",$I$17+$F$17*F413+$G$17*G413+$H$17*H413)</f>
        <v>0.0128397533731685</v>
      </c>
      <c r="J413" s="5" t="n">
        <f aca="false">IF(D413&lt;5,"",(E413-I413)*162)</f>
        <v>-8.661477304015</v>
      </c>
      <c r="K413" s="5" t="n">
        <f aca="false">IF(D413=0,"",E413*162)</f>
        <v>-6.5814372575617</v>
      </c>
      <c r="L413" s="3" t="n">
        <f aca="false">SUMIFS(Seasons!$L$2:$L$2865,Seasons!$A$2:$A$2865,B413,Seasons!$B$2:$B$2865,"&gt;="&amp;$B$17,Seasons!$B$2:$B$2865,"&lt;="&amp;$C$17)</f>
        <v>1</v>
      </c>
      <c r="M413" s="3" t="n">
        <f aca="false">SUMIFS(Seasons!$N$2:$N$2865,Seasons!$A$2:$A$2865,B413,Seasons!$B$2:$B$2865,"&gt;="&amp;$B$17,Seasons!$B$2:$B$2865,"&lt;="&amp;$C$17)</f>
        <v>0</v>
      </c>
      <c r="N413" s="3" t="n">
        <f aca="false">IF(J413="",-1000000,J413+ROW()*0.000000001)</f>
        <v>-8.661476891015</v>
      </c>
      <c r="O413" s="3" t="n">
        <f aca="false">IF(J413="","",SUMPRODUCT(($A$25:$A$534=A413)*($N$25:$N$534&gt;N413))+1)</f>
        <v>24</v>
      </c>
      <c r="P413" s="3" t="str">
        <f aca="false">A413&amp;"|"&amp;O413</f>
        <v>2020s|24</v>
      </c>
    </row>
    <row r="414" customFormat="false" ht="15" hidden="false" customHeight="true" outlineLevel="0" collapsed="false">
      <c r="A414" s="1" t="s">
        <v>21</v>
      </c>
      <c r="B414" s="7" t="s">
        <v>85</v>
      </c>
      <c r="C414" s="1" t="s">
        <v>72</v>
      </c>
      <c r="D414" s="3" t="n">
        <f aca="false">COUNTIFS(Market_Panel!$A$2:$A$2705,B414,Market_Panel!$B$2:$B$2705,"&gt;="&amp;$B$17,Market_Panel!$B$2:$B$2705,"&lt;="&amp;$C$17)</f>
        <v>6</v>
      </c>
      <c r="E414" s="10" t="n">
        <f aca="false">IF(D414=0,"",AVERAGEIFS(Market_Panel!$M$2:$M$2705,Market_Panel!$A$2:$A$2705,B414,Market_Panel!$B$2:$B$2705,"&gt;="&amp;$B$17,Market_Panel!$B$2:$B$2705,"&lt;="&amp;$C$17))</f>
        <v>0.0658553255706068</v>
      </c>
      <c r="F414" s="11" t="n">
        <f aca="false">IF(D414=0,"",AVERAGEIFS(Market_Panel!$P$2:$P$2705,Market_Panel!$A$2:$A$2705,B414,Market_Panel!$B$2:$B$2705,"&gt;="&amp;$B$17,Market_Panel!$B$2:$B$2705,"&lt;="&amp;$C$17))</f>
        <v>-0.81812949395651</v>
      </c>
      <c r="G414" s="11" t="n">
        <f aca="false">IF(D414=0,"",AVERAGEIFS(Market_Panel!$R$2:$R$2705,Market_Panel!$A$2:$A$2705,B414,Market_Panel!$B$2:$B$2705,"&gt;="&amp;$B$17,Market_Panel!$B$2:$B$2705,"&lt;="&amp;$C$17))</f>
        <v>0</v>
      </c>
      <c r="H414" s="11" t="n">
        <f aca="false">IF(OR(D414=0,$H$17=0),0,AVERAGEIFS(Market_Panel!$Y$2:$Y$2705,Market_Panel!$A$2:$A$2705,B414,Market_Panel!$B$2:$B$2705,"&gt;="&amp;$B$17,Market_Panel!$B$2:$B$2705,"&lt;="&amp;$C$17))</f>
        <v>0</v>
      </c>
      <c r="I414" s="10" t="n">
        <f aca="false">IF(D414=0,"",$I$17+$F$17*F414+$G$17*G414+$H$17*H414)</f>
        <v>-0.017176512944872</v>
      </c>
      <c r="J414" s="5" t="n">
        <f aca="false">IF(D414&lt;5,"",(E414-I414)*162)</f>
        <v>13.4511578395076</v>
      </c>
      <c r="K414" s="5" t="n">
        <f aca="false">IF(D414=0,"",E414*162)</f>
        <v>10.6685627424383</v>
      </c>
      <c r="L414" s="3" t="n">
        <f aca="false">SUMIFS(Seasons!$L$2:$L$2865,Seasons!$A$2:$A$2865,B414,Seasons!$B$2:$B$2865,"&gt;="&amp;$B$17,Seasons!$B$2:$B$2865,"&lt;="&amp;$C$17)</f>
        <v>4</v>
      </c>
      <c r="M414" s="3" t="n">
        <f aca="false">SUMIFS(Seasons!$N$2:$N$2865,Seasons!$A$2:$A$2865,B414,Seasons!$B$2:$B$2865,"&gt;="&amp;$B$17,Seasons!$B$2:$B$2865,"&lt;="&amp;$C$17)</f>
        <v>0</v>
      </c>
      <c r="N414" s="3" t="n">
        <f aca="false">IF(J414="",-1000000,J414+ROW()*0.000000001)</f>
        <v>13.4511582535076</v>
      </c>
      <c r="O414" s="3" t="n">
        <f aca="false">IF(J414="","",SUMPRODUCT(($A$25:$A$534=A414)*($N$25:$N$534&gt;N414))+1)</f>
        <v>2</v>
      </c>
      <c r="P414" s="3" t="str">
        <f aca="false">A414&amp;"|"&amp;O414</f>
        <v>2020s|2</v>
      </c>
    </row>
    <row r="415" customFormat="false" ht="15" hidden="false" customHeight="true" outlineLevel="0" collapsed="false">
      <c r="A415" s="1" t="s">
        <v>22</v>
      </c>
      <c r="B415" s="7" t="s">
        <v>54</v>
      </c>
      <c r="C415" s="1" t="s">
        <v>55</v>
      </c>
      <c r="D415" s="3" t="n">
        <f aca="false">COUNTIFS(Market_Panel!$A$2:$A$2705,B415,Market_Panel!$B$2:$B$2705,"&gt;="&amp;$B$18,Market_Panel!$B$2:$B$2705,"&lt;="&amp;$C$18)</f>
        <v>10</v>
      </c>
      <c r="E415" s="10" t="n">
        <f aca="false">IF(D415=0,"",AVERAGEIFS(Market_Panel!$M$2:$M$2705,Market_Panel!$A$2:$A$2705,B415,Market_Panel!$B$2:$B$2705,"&gt;="&amp;$B$18,Market_Panel!$B$2:$B$2705,"&lt;="&amp;$C$18))</f>
        <v>0.0956074547481795</v>
      </c>
      <c r="F415" s="11" t="n">
        <f aca="false">IF(D415=0,"",AVERAGEIFS(Market_Panel!$P$2:$P$2705,Market_Panel!$A$2:$A$2705,B415,Market_Panel!$B$2:$B$2705,"&gt;="&amp;$B$18,Market_Panel!$B$2:$B$2705,"&lt;="&amp;$C$18))</f>
        <v>-0.720813384932337</v>
      </c>
      <c r="G415" s="11" t="n">
        <f aca="false">IF(D415=0,"",AVERAGEIFS(Market_Panel!$R$2:$R$2705,Market_Panel!$A$2:$A$2705,B415,Market_Panel!$B$2:$B$2705,"&gt;="&amp;$B$18,Market_Panel!$B$2:$B$2705,"&lt;="&amp;$C$18))</f>
        <v>0</v>
      </c>
      <c r="H415" s="11" t="n">
        <f aca="false">IF(OR(D415=0,$H$18=0),0,AVERAGEIFS(Market_Panel!$Y$2:$Y$2705,Market_Panel!$A$2:$A$2705,B415,Market_Panel!$B$2:$B$2705,"&gt;="&amp;$B$18,Market_Panel!$B$2:$B$2705,"&lt;="&amp;$C$18))</f>
        <v>0.261703969579904</v>
      </c>
      <c r="I415" s="10" t="n">
        <f aca="false">IF(D415=0,"",$I$18+$F$18*F415+$G$18*G415+$H$18*H415)</f>
        <v>0.0248073644859921</v>
      </c>
      <c r="J415" s="5" t="n">
        <f aca="false">IF(D415&lt;5,"",(E415-I415)*162)</f>
        <v>11.4696146224743</v>
      </c>
      <c r="K415" s="5" t="n">
        <f aca="false">IF(D415=0,"",E415*162)</f>
        <v>15.4884076692051</v>
      </c>
      <c r="L415" s="3" t="n">
        <f aca="false">SUMIFS(Seasons!$L$2:$L$2865,Seasons!$A$2:$A$2865,B415,Seasons!$B$2:$B$2865,"&gt;="&amp;$B$18,Seasons!$B$2:$B$2865,"&lt;="&amp;$C$18)</f>
        <v>8</v>
      </c>
      <c r="M415" s="3" t="n">
        <f aca="false">SUMIFS(Seasons!$N$2:$N$2865,Seasons!$A$2:$A$2865,B415,Seasons!$B$2:$B$2865,"&gt;="&amp;$B$18,Seasons!$B$2:$B$2865,"&lt;="&amp;$C$18)</f>
        <v>1</v>
      </c>
      <c r="N415" s="3" t="n">
        <f aca="false">IF(J415="",-1000000,J415+ROW()*0.000000001)</f>
        <v>11.4696150374743</v>
      </c>
      <c r="O415" s="3" t="n">
        <f aca="false">IF(J415="","",SUMPRODUCT(($A$25:$A$534=A415)*($N$25:$N$534&gt;N415))+1)</f>
        <v>1</v>
      </c>
      <c r="P415" s="3" t="str">
        <f aca="false">A415&amp;"|"&amp;O415</f>
        <v>1990s payroll-adj|1</v>
      </c>
    </row>
    <row r="416" customFormat="false" ht="15" hidden="false" customHeight="true" outlineLevel="0" collapsed="false">
      <c r="A416" s="1" t="s">
        <v>22</v>
      </c>
      <c r="B416" s="7" t="s">
        <v>56</v>
      </c>
      <c r="C416" s="1" t="s">
        <v>55</v>
      </c>
      <c r="D416" s="3" t="n">
        <f aca="false">COUNTIFS(Market_Panel!$A$2:$A$2705,B416,Market_Panel!$B$2:$B$2705,"&gt;="&amp;$B$18,Market_Panel!$B$2:$B$2705,"&lt;="&amp;$C$18)</f>
        <v>10</v>
      </c>
      <c r="E416" s="10" t="n">
        <f aca="false">IF(D416=0,"",AVERAGEIFS(Market_Panel!$M$2:$M$2705,Market_Panel!$A$2:$A$2705,B416,Market_Panel!$B$2:$B$2705,"&gt;="&amp;$B$18,Market_Panel!$B$2:$B$2705,"&lt;="&amp;$C$18))</f>
        <v>-0.0248236801752852</v>
      </c>
      <c r="F416" s="11" t="n">
        <f aca="false">IF(D416=0,"",AVERAGEIFS(Market_Panel!$P$2:$P$2705,Market_Panel!$A$2:$A$2705,B416,Market_Panel!$B$2:$B$2705,"&gt;="&amp;$B$18,Market_Panel!$B$2:$B$2705,"&lt;="&amp;$C$18))</f>
        <v>0.534043041978869</v>
      </c>
      <c r="G416" s="11" t="n">
        <f aca="false">IF(D416=0,"",AVERAGEIFS(Market_Panel!$R$2:$R$2705,Market_Panel!$A$2:$A$2705,B416,Market_Panel!$B$2:$B$2705,"&gt;="&amp;$B$18,Market_Panel!$B$2:$B$2705,"&lt;="&amp;$C$18))</f>
        <v>0</v>
      </c>
      <c r="H416" s="11" t="n">
        <f aca="false">IF(OR(D416=0,$H$18=0),0,AVERAGEIFS(Market_Panel!$Y$2:$Y$2705,Market_Panel!$A$2:$A$2705,B416,Market_Panel!$B$2:$B$2705,"&gt;="&amp;$B$18,Market_Panel!$B$2:$B$2705,"&lt;="&amp;$C$18))</f>
        <v>0.0830773802461483</v>
      </c>
      <c r="I416" s="10" t="n">
        <f aca="false">IF(D416=0,"",$I$18+$F$18*F416+$G$18*G416+$H$18*H416)</f>
        <v>0.00598422075481387</v>
      </c>
      <c r="J416" s="5" t="n">
        <f aca="false">IF(D416&lt;5,"",(E416-I416)*162)</f>
        <v>-4.99087995067605</v>
      </c>
      <c r="K416" s="5" t="n">
        <f aca="false">IF(D416=0,"",E416*162)</f>
        <v>-4.0214361883962</v>
      </c>
      <c r="L416" s="3" t="n">
        <f aca="false">SUMIFS(Seasons!$L$2:$L$2865,Seasons!$A$2:$A$2865,B416,Seasons!$B$2:$B$2865,"&gt;="&amp;$B$18,Seasons!$B$2:$B$2865,"&lt;="&amp;$C$18)</f>
        <v>1</v>
      </c>
      <c r="M416" s="3" t="n">
        <f aca="false">SUMIFS(Seasons!$N$2:$N$2865,Seasons!$A$2:$A$2865,B416,Seasons!$B$2:$B$2865,"&gt;="&amp;$B$18,Seasons!$B$2:$B$2865,"&lt;="&amp;$C$18)</f>
        <v>0</v>
      </c>
      <c r="N416" s="3" t="n">
        <f aca="false">IF(J416="",-1000000,J416+ROW()*0.000000001)</f>
        <v>-4.99087953467605</v>
      </c>
      <c r="O416" s="3" t="n">
        <f aca="false">IF(J416="","",SUMPRODUCT(($A$25:$A$534=A416)*($N$25:$N$534&gt;N416))+1)</f>
        <v>26</v>
      </c>
      <c r="P416" s="3" t="str">
        <f aca="false">A416&amp;"|"&amp;O416</f>
        <v>1990s payroll-adj|26</v>
      </c>
    </row>
    <row r="417" customFormat="false" ht="15" hidden="false" customHeight="true" outlineLevel="0" collapsed="false">
      <c r="A417" s="1" t="s">
        <v>22</v>
      </c>
      <c r="B417" s="7" t="s">
        <v>57</v>
      </c>
      <c r="C417" s="1" t="s">
        <v>55</v>
      </c>
      <c r="D417" s="3" t="n">
        <f aca="false">COUNTIFS(Market_Panel!$A$2:$A$2705,B417,Market_Panel!$B$2:$B$2705,"&gt;="&amp;$B$18,Market_Panel!$B$2:$B$2705,"&lt;="&amp;$C$18)</f>
        <v>10</v>
      </c>
      <c r="E417" s="10" t="n">
        <f aca="false">IF(D417=0,"",AVERAGEIFS(Market_Panel!$M$2:$M$2705,Market_Panel!$A$2:$A$2705,B417,Market_Panel!$B$2:$B$2705,"&gt;="&amp;$B$18,Market_Panel!$B$2:$B$2705,"&lt;="&amp;$C$18))</f>
        <v>0.0227333422059742</v>
      </c>
      <c r="F417" s="11" t="n">
        <f aca="false">IF(D417=0,"",AVERAGEIFS(Market_Panel!$P$2:$P$2705,Market_Panel!$A$2:$A$2705,B417,Market_Panel!$B$2:$B$2705,"&gt;="&amp;$B$18,Market_Panel!$B$2:$B$2705,"&lt;="&amp;$C$18))</f>
        <v>-0.867315303225202</v>
      </c>
      <c r="G417" s="11" t="n">
        <f aca="false">IF(D417=0,"",AVERAGEIFS(Market_Panel!$R$2:$R$2705,Market_Panel!$A$2:$A$2705,B417,Market_Panel!$B$2:$B$2705,"&gt;="&amp;$B$18,Market_Panel!$B$2:$B$2705,"&lt;="&amp;$C$18))</f>
        <v>0</v>
      </c>
      <c r="H417" s="11" t="n">
        <f aca="false">IF(OR(D417=0,$H$18=0),0,AVERAGEIFS(Market_Panel!$Y$2:$Y$2705,Market_Panel!$A$2:$A$2705,B417,Market_Panel!$B$2:$B$2705,"&gt;="&amp;$B$18,Market_Panel!$B$2:$B$2705,"&lt;="&amp;$C$18))</f>
        <v>0.0845419135369554</v>
      </c>
      <c r="I417" s="10" t="n">
        <f aca="false">IF(D417=0,"",$I$18+$F$18*F417+$G$18*G417+$H$18*H417)</f>
        <v>0.012449206395013</v>
      </c>
      <c r="J417" s="5" t="n">
        <f aca="false">IF(D417&lt;5,"",(E417-I417)*162)</f>
        <v>1.66603000137571</v>
      </c>
      <c r="K417" s="5" t="n">
        <f aca="false">IF(D417=0,"",E417*162)</f>
        <v>3.68280143736782</v>
      </c>
      <c r="L417" s="3" t="n">
        <f aca="false">SUMIFS(Seasons!$L$2:$L$2865,Seasons!$A$2:$A$2865,B417,Seasons!$B$2:$B$2865,"&gt;="&amp;$B$18,Seasons!$B$2:$B$2865,"&lt;="&amp;$C$18)</f>
        <v>2</v>
      </c>
      <c r="M417" s="3" t="n">
        <f aca="false">SUMIFS(Seasons!$N$2:$N$2865,Seasons!$A$2:$A$2865,B417,Seasons!$B$2:$B$2865,"&gt;="&amp;$B$18,Seasons!$B$2:$B$2865,"&lt;="&amp;$C$18)</f>
        <v>1</v>
      </c>
      <c r="N417" s="3" t="n">
        <f aca="false">IF(J417="",-1000000,J417+ROW()*0.000000001)</f>
        <v>1.66603041837571</v>
      </c>
      <c r="O417" s="3" t="n">
        <f aca="false">IF(J417="","",SUMPRODUCT(($A$25:$A$534=A417)*($N$25:$N$534&gt;N417))+1)</f>
        <v>9</v>
      </c>
      <c r="P417" s="3" t="str">
        <f aca="false">A417&amp;"|"&amp;O417</f>
        <v>1990s payroll-adj|9</v>
      </c>
    </row>
    <row r="418" customFormat="false" ht="15" hidden="false" customHeight="true" outlineLevel="0" collapsed="false">
      <c r="A418" s="1" t="s">
        <v>22</v>
      </c>
      <c r="B418" s="7" t="s">
        <v>58</v>
      </c>
      <c r="C418" s="1" t="s">
        <v>55</v>
      </c>
      <c r="D418" s="3" t="n">
        <f aca="false">COUNTIFS(Market_Panel!$A$2:$A$2705,B418,Market_Panel!$B$2:$B$2705,"&gt;="&amp;$B$18,Market_Panel!$B$2:$B$2705,"&lt;="&amp;$C$18)</f>
        <v>10</v>
      </c>
      <c r="E418" s="10" t="n">
        <f aca="false">IF(D418=0,"",AVERAGEIFS(Market_Panel!$M$2:$M$2705,Market_Panel!$A$2:$A$2705,B418,Market_Panel!$B$2:$B$2705,"&gt;="&amp;$B$18,Market_Panel!$B$2:$B$2705,"&lt;="&amp;$C$18))</f>
        <v>-0.00367113625428642</v>
      </c>
      <c r="F418" s="11" t="n">
        <f aca="false">IF(D418=0,"",AVERAGEIFS(Market_Panel!$P$2:$P$2705,Market_Panel!$A$2:$A$2705,B418,Market_Panel!$B$2:$B$2705,"&gt;="&amp;$B$18,Market_Panel!$B$2:$B$2705,"&lt;="&amp;$C$18))</f>
        <v>-0.85413283110036</v>
      </c>
      <c r="G418" s="11" t="n">
        <f aca="false">IF(D418=0,"",AVERAGEIFS(Market_Panel!$R$2:$R$2705,Market_Panel!$A$2:$A$2705,B418,Market_Panel!$B$2:$B$2705,"&gt;="&amp;$B$18,Market_Panel!$B$2:$B$2705,"&lt;="&amp;$C$18))</f>
        <v>0</v>
      </c>
      <c r="H418" s="11" t="n">
        <f aca="false">IF(OR(D418=0,$H$18=0),0,AVERAGEIFS(Market_Panel!$Y$2:$Y$2705,Market_Panel!$A$2:$A$2705,B418,Market_Panel!$B$2:$B$2705,"&gt;="&amp;$B$18,Market_Panel!$B$2:$B$2705,"&lt;="&amp;$C$18))</f>
        <v>-0.408902752359751</v>
      </c>
      <c r="I418" s="10" t="n">
        <f aca="false">IF(D418=0,"",$I$18+$F$18*F418+$G$18*G418+$H$18*H418)</f>
        <v>-0.0238825678566228</v>
      </c>
      <c r="J418" s="5" t="n">
        <f aca="false">IF(D418&lt;5,"",(E418-I418)*162)</f>
        <v>3.27425191957849</v>
      </c>
      <c r="K418" s="5" t="n">
        <f aca="false">IF(D418=0,"",E418*162)</f>
        <v>-0.594724073194401</v>
      </c>
      <c r="L418" s="3" t="n">
        <f aca="false">SUMIFS(Seasons!$L$2:$L$2865,Seasons!$A$2:$A$2865,B418,Seasons!$B$2:$B$2865,"&gt;="&amp;$B$18,Seasons!$B$2:$B$2865,"&lt;="&amp;$C$18)</f>
        <v>3</v>
      </c>
      <c r="M418" s="3" t="n">
        <f aca="false">SUMIFS(Seasons!$N$2:$N$2865,Seasons!$A$2:$A$2865,B418,Seasons!$B$2:$B$2865,"&gt;="&amp;$B$18,Seasons!$B$2:$B$2865,"&lt;="&amp;$C$18)</f>
        <v>0</v>
      </c>
      <c r="N418" s="3" t="n">
        <f aca="false">IF(J418="",-1000000,J418+ROW()*0.000000001)</f>
        <v>3.27425233757849</v>
      </c>
      <c r="O418" s="3" t="n">
        <f aca="false">IF(J418="","",SUMPRODUCT(($A$25:$A$534=A418)*($N$25:$N$534&gt;N418))+1)</f>
        <v>7</v>
      </c>
      <c r="P418" s="3" t="str">
        <f aca="false">A418&amp;"|"&amp;O418</f>
        <v>1990s payroll-adj|7</v>
      </c>
    </row>
    <row r="419" customFormat="false" ht="15" hidden="false" customHeight="true" outlineLevel="0" collapsed="false">
      <c r="A419" s="1" t="s">
        <v>22</v>
      </c>
      <c r="B419" s="7" t="s">
        <v>59</v>
      </c>
      <c r="C419" s="1" t="s">
        <v>55</v>
      </c>
      <c r="D419" s="3" t="n">
        <f aca="false">COUNTIFS(Market_Panel!$A$2:$A$2705,B419,Market_Panel!$B$2:$B$2705,"&gt;="&amp;$B$18,Market_Panel!$B$2:$B$2705,"&lt;="&amp;$C$18)</f>
        <v>10</v>
      </c>
      <c r="E419" s="10" t="n">
        <f aca="false">IF(D419=0,"",AVERAGEIFS(Market_Panel!$M$2:$M$2705,Market_Panel!$A$2:$A$2705,B419,Market_Panel!$B$2:$B$2705,"&gt;="&amp;$B$18,Market_Panel!$B$2:$B$2705,"&lt;="&amp;$C$18))</f>
        <v>-0.0129494518731818</v>
      </c>
      <c r="F419" s="11" t="n">
        <f aca="false">IF(D419=0,"",AVERAGEIFS(Market_Panel!$P$2:$P$2705,Market_Panel!$A$2:$A$2705,B419,Market_Panel!$B$2:$B$2705,"&gt;="&amp;$B$18,Market_Panel!$B$2:$B$2705,"&lt;="&amp;$C$18))</f>
        <v>-0.797687101829293</v>
      </c>
      <c r="G419" s="11" t="n">
        <f aca="false">IF(D419=0,"",AVERAGEIFS(Market_Panel!$R$2:$R$2705,Market_Panel!$A$2:$A$2705,B419,Market_Panel!$B$2:$B$2705,"&gt;="&amp;$B$18,Market_Panel!$B$2:$B$2705,"&lt;="&amp;$C$18))</f>
        <v>0</v>
      </c>
      <c r="H419" s="11" t="n">
        <f aca="false">IF(OR(D419=0,$H$18=0),0,AVERAGEIFS(Market_Panel!$Y$2:$Y$2705,Market_Panel!$A$2:$A$2705,B419,Market_Panel!$B$2:$B$2705,"&gt;="&amp;$B$18,Market_Panel!$B$2:$B$2705,"&lt;="&amp;$C$18))</f>
        <v>0.0715718677883167</v>
      </c>
      <c r="I419" s="10" t="n">
        <f aca="false">IF(D419=0,"",$I$18+$F$18*F419+$G$18*G419+$H$18*H419)</f>
        <v>0.0111799366889297</v>
      </c>
      <c r="J419" s="5" t="n">
        <f aca="false">IF(D419&lt;5,"",(E419-I419)*162)</f>
        <v>-3.90896094706206</v>
      </c>
      <c r="K419" s="5" t="n">
        <f aca="false">IF(D419=0,"",E419*162)</f>
        <v>-2.09781120345544</v>
      </c>
      <c r="L419" s="3" t="n">
        <f aca="false">SUMIFS(Seasons!$L$2:$L$2865,Seasons!$A$2:$A$2865,B419,Seasons!$B$2:$B$2865,"&gt;="&amp;$B$18,Seasons!$B$2:$B$2865,"&lt;="&amp;$C$18)</f>
        <v>1</v>
      </c>
      <c r="M419" s="3" t="n">
        <f aca="false">SUMIFS(Seasons!$N$2:$N$2865,Seasons!$A$2:$A$2865,B419,Seasons!$B$2:$B$2865,"&gt;="&amp;$B$18,Seasons!$B$2:$B$2865,"&lt;="&amp;$C$18)</f>
        <v>0</v>
      </c>
      <c r="N419" s="3" t="n">
        <f aca="false">IF(J419="",-1000000,J419+ROW()*0.000000001)</f>
        <v>-3.90896052806206</v>
      </c>
      <c r="O419" s="3" t="n">
        <f aca="false">IF(J419="","",SUMPRODUCT(($A$25:$A$534=A419)*($N$25:$N$534&gt;N419))+1)</f>
        <v>23</v>
      </c>
      <c r="P419" s="3" t="str">
        <f aca="false">A419&amp;"|"&amp;O419</f>
        <v>1990s payroll-adj|23</v>
      </c>
    </row>
    <row r="420" customFormat="false" ht="15" hidden="false" customHeight="true" outlineLevel="0" collapsed="false">
      <c r="A420" s="1" t="s">
        <v>22</v>
      </c>
      <c r="B420" s="7" t="s">
        <v>60</v>
      </c>
      <c r="C420" s="1" t="s">
        <v>55</v>
      </c>
      <c r="D420" s="3" t="n">
        <f aca="false">COUNTIFS(Market_Panel!$A$2:$A$2705,B420,Market_Panel!$B$2:$B$2705,"&gt;="&amp;$B$18,Market_Panel!$B$2:$B$2705,"&lt;="&amp;$C$18)</f>
        <v>10</v>
      </c>
      <c r="E420" s="10" t="n">
        <f aca="false">IF(D420=0,"",AVERAGEIFS(Market_Panel!$M$2:$M$2705,Market_Panel!$A$2:$A$2705,B420,Market_Panel!$B$2:$B$2705,"&gt;="&amp;$B$18,Market_Panel!$B$2:$B$2705,"&lt;="&amp;$C$18))</f>
        <v>-0.0291993438505718</v>
      </c>
      <c r="F420" s="11" t="n">
        <f aca="false">IF(D420=0,"",AVERAGEIFS(Market_Panel!$P$2:$P$2705,Market_Panel!$A$2:$A$2705,B420,Market_Panel!$B$2:$B$2705,"&gt;="&amp;$B$18,Market_Panel!$B$2:$B$2705,"&lt;="&amp;$C$18))</f>
        <v>0.626819692841821</v>
      </c>
      <c r="G420" s="11" t="n">
        <f aca="false">IF(D420=0,"",AVERAGEIFS(Market_Panel!$R$2:$R$2705,Market_Panel!$A$2:$A$2705,B420,Market_Panel!$B$2:$B$2705,"&gt;="&amp;$B$18,Market_Panel!$B$2:$B$2705,"&lt;="&amp;$C$18))</f>
        <v>0</v>
      </c>
      <c r="H420" s="11" t="n">
        <f aca="false">IF(OR(D420=0,$H$18=0),0,AVERAGEIFS(Market_Panel!$Y$2:$Y$2705,Market_Panel!$A$2:$A$2705,B420,Market_Panel!$B$2:$B$2705,"&gt;="&amp;$B$18,Market_Panel!$B$2:$B$2705,"&lt;="&amp;$C$18))</f>
        <v>-0.09767528855817</v>
      </c>
      <c r="I420" s="10" t="n">
        <f aca="false">IF(D420=0,"",$I$18+$F$18*F420+$G$18*G420+$H$18*H420)</f>
        <v>-0.00772337396262153</v>
      </c>
      <c r="J420" s="5" t="n">
        <f aca="false">IF(D420&lt;5,"",(E420-I420)*162)</f>
        <v>-3.47910712184795</v>
      </c>
      <c r="K420" s="5" t="n">
        <f aca="false">IF(D420=0,"",E420*162)</f>
        <v>-4.73029370379264</v>
      </c>
      <c r="L420" s="3" t="n">
        <f aca="false">SUMIFS(Seasons!$L$2:$L$2865,Seasons!$A$2:$A$2865,B420,Seasons!$B$2:$B$2865,"&gt;="&amp;$B$18,Seasons!$B$2:$B$2865,"&lt;="&amp;$C$18)</f>
        <v>1</v>
      </c>
      <c r="M420" s="3" t="n">
        <f aca="false">SUMIFS(Seasons!$N$2:$N$2865,Seasons!$A$2:$A$2865,B420,Seasons!$B$2:$B$2865,"&gt;="&amp;$B$18,Seasons!$B$2:$B$2865,"&lt;="&amp;$C$18)</f>
        <v>0</v>
      </c>
      <c r="N420" s="3" t="n">
        <f aca="false">IF(J420="",-1000000,J420+ROW()*0.000000001)</f>
        <v>-3.47910670184795</v>
      </c>
      <c r="O420" s="3" t="n">
        <f aca="false">IF(J420="","",SUMPRODUCT(($A$25:$A$534=A420)*($N$25:$N$534&gt;N420))+1)</f>
        <v>22</v>
      </c>
      <c r="P420" s="3" t="str">
        <f aca="false">A420&amp;"|"&amp;O420</f>
        <v>1990s payroll-adj|22</v>
      </c>
    </row>
    <row r="421" customFormat="false" ht="15" hidden="false" customHeight="true" outlineLevel="0" collapsed="false">
      <c r="A421" s="1" t="s">
        <v>22</v>
      </c>
      <c r="B421" s="7" t="s">
        <v>61</v>
      </c>
      <c r="C421" s="1" t="s">
        <v>55</v>
      </c>
      <c r="D421" s="3" t="n">
        <f aca="false">COUNTIFS(Market_Panel!$A$2:$A$2705,B421,Market_Panel!$B$2:$B$2705,"&gt;="&amp;$B$18,Market_Panel!$B$2:$B$2705,"&lt;="&amp;$C$18)</f>
        <v>10</v>
      </c>
      <c r="E421" s="10" t="n">
        <f aca="false">IF(D421=0,"",AVERAGEIFS(Market_Panel!$M$2:$M$2705,Market_Panel!$A$2:$A$2705,B421,Market_Panel!$B$2:$B$2705,"&gt;="&amp;$B$18,Market_Panel!$B$2:$B$2705,"&lt;="&amp;$C$18))</f>
        <v>0.0063640409532771</v>
      </c>
      <c r="F421" s="11" t="n">
        <f aca="false">IF(D421=0,"",AVERAGEIFS(Market_Panel!$P$2:$P$2705,Market_Panel!$A$2:$A$2705,B421,Market_Panel!$B$2:$B$2705,"&gt;="&amp;$B$18,Market_Panel!$B$2:$B$2705,"&lt;="&amp;$C$18))</f>
        <v>-0.105753314700664</v>
      </c>
      <c r="G421" s="11" t="n">
        <f aca="false">IF(D421=0,"",AVERAGEIFS(Market_Panel!$R$2:$R$2705,Market_Panel!$A$2:$A$2705,B421,Market_Panel!$B$2:$B$2705,"&gt;="&amp;$B$18,Market_Panel!$B$2:$B$2705,"&lt;="&amp;$C$18))</f>
        <v>0</v>
      </c>
      <c r="H421" s="11" t="n">
        <f aca="false">IF(OR(D421=0,$H$18=0),0,AVERAGEIFS(Market_Panel!$Y$2:$Y$2705,Market_Panel!$A$2:$A$2705,B421,Market_Panel!$B$2:$B$2705,"&gt;="&amp;$B$18,Market_Panel!$B$2:$B$2705,"&lt;="&amp;$C$18))</f>
        <v>0.131088036137847</v>
      </c>
      <c r="I421" s="10" t="n">
        <f aca="false">IF(D421=0,"",$I$18+$F$18*F421+$G$18*G421+$H$18*H421)</f>
        <v>0.0124158402647142</v>
      </c>
      <c r="J421" s="5" t="n">
        <f aca="false">IF(D421&lt;5,"",(E421-I421)*162)</f>
        <v>-0.98039148845281</v>
      </c>
      <c r="K421" s="5" t="n">
        <f aca="false">IF(D421=0,"",E421*162)</f>
        <v>1.03097463443089</v>
      </c>
      <c r="L421" s="3" t="n">
        <f aca="false">SUMIFS(Seasons!$L$2:$L$2865,Seasons!$A$2:$A$2865,B421,Seasons!$B$2:$B$2865,"&gt;="&amp;$B$18,Seasons!$B$2:$B$2865,"&lt;="&amp;$C$18)</f>
        <v>1</v>
      </c>
      <c r="M421" s="3" t="n">
        <f aca="false">SUMIFS(Seasons!$N$2:$N$2865,Seasons!$A$2:$A$2865,B421,Seasons!$B$2:$B$2865,"&gt;="&amp;$B$18,Seasons!$B$2:$B$2865,"&lt;="&amp;$C$18)</f>
        <v>0</v>
      </c>
      <c r="N421" s="3" t="n">
        <f aca="false">IF(J421="",-1000000,J421+ROW()*0.000000001)</f>
        <v>-0.98039106745281</v>
      </c>
      <c r="O421" s="3" t="n">
        <f aca="false">IF(J421="","",SUMPRODUCT(($A$25:$A$534=A421)*($N$25:$N$534&gt;N421))+1)</f>
        <v>16</v>
      </c>
      <c r="P421" s="3" t="str">
        <f aca="false">A421&amp;"|"&amp;O421</f>
        <v>1990s payroll-adj|16</v>
      </c>
    </row>
    <row r="422" customFormat="false" ht="15" hidden="false" customHeight="true" outlineLevel="0" collapsed="false">
      <c r="A422" s="1" t="s">
        <v>22</v>
      </c>
      <c r="B422" s="7" t="s">
        <v>62</v>
      </c>
      <c r="C422" s="1" t="s">
        <v>55</v>
      </c>
      <c r="D422" s="3" t="n">
        <f aca="false">COUNTIFS(Market_Panel!$A$2:$A$2705,B422,Market_Panel!$B$2:$B$2705,"&gt;="&amp;$B$18,Market_Panel!$B$2:$B$2705,"&lt;="&amp;$C$18)</f>
        <v>10</v>
      </c>
      <c r="E422" s="10" t="n">
        <f aca="false">IF(D422=0,"",AVERAGEIFS(Market_Panel!$M$2:$M$2705,Market_Panel!$A$2:$A$2705,B422,Market_Panel!$B$2:$B$2705,"&gt;="&amp;$B$18,Market_Panel!$B$2:$B$2705,"&lt;="&amp;$C$18))</f>
        <v>0.0130700928248526</v>
      </c>
      <c r="F422" s="11" t="n">
        <f aca="false">IF(D422=0,"",AVERAGEIFS(Market_Panel!$P$2:$P$2705,Market_Panel!$A$2:$A$2705,B422,Market_Panel!$B$2:$B$2705,"&gt;="&amp;$B$18,Market_Panel!$B$2:$B$2705,"&lt;="&amp;$C$18))</f>
        <v>0.767296727526351</v>
      </c>
      <c r="G422" s="11" t="n">
        <f aca="false">IF(D422=0,"",AVERAGEIFS(Market_Panel!$R$2:$R$2705,Market_Panel!$A$2:$A$2705,B422,Market_Panel!$B$2:$B$2705,"&gt;="&amp;$B$18,Market_Panel!$B$2:$B$2705,"&lt;="&amp;$C$18))</f>
        <v>0</v>
      </c>
      <c r="H422" s="11" t="n">
        <f aca="false">IF(OR(D422=0,$H$18=0),0,AVERAGEIFS(Market_Panel!$Y$2:$Y$2705,Market_Panel!$A$2:$A$2705,B422,Market_Panel!$B$2:$B$2705,"&gt;="&amp;$B$18,Market_Panel!$B$2:$B$2705,"&lt;="&amp;$C$18))</f>
        <v>0.272248127233517</v>
      </c>
      <c r="I422" s="10" t="n">
        <f aca="false">IF(D422=0,"",$I$18+$F$18*F422+$G$18*G422+$H$18*H422)</f>
        <v>0.0188315561580266</v>
      </c>
      <c r="J422" s="5" t="n">
        <f aca="false">IF(D422&lt;5,"",(E422-I422)*162)</f>
        <v>-0.933357059974186</v>
      </c>
      <c r="K422" s="5" t="n">
        <f aca="false">IF(D422=0,"",E422*162)</f>
        <v>2.11735503762613</v>
      </c>
      <c r="L422" s="3" t="n">
        <f aca="false">SUMIFS(Seasons!$L$2:$L$2865,Seasons!$A$2:$A$2865,B422,Seasons!$B$2:$B$2865,"&gt;="&amp;$B$18,Seasons!$B$2:$B$2865,"&lt;="&amp;$C$18)</f>
        <v>2</v>
      </c>
      <c r="M422" s="3" t="n">
        <f aca="false">SUMIFS(Seasons!$N$2:$N$2865,Seasons!$A$2:$A$2865,B422,Seasons!$B$2:$B$2865,"&gt;="&amp;$B$18,Seasons!$B$2:$B$2865,"&lt;="&amp;$C$18)</f>
        <v>0</v>
      </c>
      <c r="N422" s="3" t="n">
        <f aca="false">IF(J422="",-1000000,J422+ROW()*0.000000001)</f>
        <v>-0.933356637974186</v>
      </c>
      <c r="O422" s="3" t="n">
        <f aca="false">IF(J422="","",SUMPRODUCT(($A$25:$A$534=A422)*($N$25:$N$534&gt;N422))+1)</f>
        <v>15</v>
      </c>
      <c r="P422" s="3" t="str">
        <f aca="false">A422&amp;"|"&amp;O422</f>
        <v>1990s payroll-adj|15</v>
      </c>
    </row>
    <row r="423" customFormat="false" ht="15" hidden="false" customHeight="true" outlineLevel="0" collapsed="false">
      <c r="A423" s="1" t="s">
        <v>22</v>
      </c>
      <c r="B423" s="7" t="s">
        <v>63</v>
      </c>
      <c r="C423" s="1" t="s">
        <v>55</v>
      </c>
      <c r="D423" s="3" t="n">
        <f aca="false">COUNTIFS(Market_Panel!$A$2:$A$2705,B423,Market_Panel!$B$2:$B$2705,"&gt;="&amp;$B$18,Market_Panel!$B$2:$B$2705,"&lt;="&amp;$C$18)</f>
        <v>10</v>
      </c>
      <c r="E423" s="10" t="n">
        <f aca="false">IF(D423=0,"",AVERAGEIFS(Market_Panel!$M$2:$M$2705,Market_Panel!$A$2:$A$2705,B423,Market_Panel!$B$2:$B$2705,"&gt;="&amp;$B$18,Market_Panel!$B$2:$B$2705,"&lt;="&amp;$C$18))</f>
        <v>0.0132558934778539</v>
      </c>
      <c r="F423" s="11" t="n">
        <f aca="false">IF(D423=0,"",AVERAGEIFS(Market_Panel!$P$2:$P$2705,Market_Panel!$A$2:$A$2705,B423,Market_Panel!$B$2:$B$2705,"&gt;="&amp;$B$18,Market_Panel!$B$2:$B$2705,"&lt;="&amp;$C$18))</f>
        <v>-0.176028125932898</v>
      </c>
      <c r="G423" s="11" t="n">
        <f aca="false">IF(D423=0,"",AVERAGEIFS(Market_Panel!$R$2:$R$2705,Market_Panel!$A$2:$A$2705,B423,Market_Panel!$B$2:$B$2705,"&gt;="&amp;$B$18,Market_Panel!$B$2:$B$2705,"&lt;="&amp;$C$18))</f>
        <v>0</v>
      </c>
      <c r="H423" s="11" t="n">
        <f aca="false">IF(OR(D423=0,$H$18=0),0,AVERAGEIFS(Market_Panel!$Y$2:$Y$2705,Market_Panel!$A$2:$A$2705,B423,Market_Panel!$B$2:$B$2705,"&gt;="&amp;$B$18,Market_Panel!$B$2:$B$2705,"&lt;="&amp;$C$18))</f>
        <v>0.158316075884112</v>
      </c>
      <c r="I423" s="10" t="n">
        <f aca="false">IF(D423=0,"",$I$18+$F$18*F423+$G$18*G423+$H$18*H423)</f>
        <v>0.0147361153713848</v>
      </c>
      <c r="J423" s="5" t="n">
        <f aca="false">IF(D423&lt;5,"",(E423-I423)*162)</f>
        <v>-0.239795946752009</v>
      </c>
      <c r="K423" s="5" t="n">
        <f aca="false">IF(D423=0,"",E423*162)</f>
        <v>2.14745474341233</v>
      </c>
      <c r="L423" s="3" t="n">
        <f aca="false">SUMIFS(Seasons!$L$2:$L$2865,Seasons!$A$2:$A$2865,B423,Seasons!$B$2:$B$2865,"&gt;="&amp;$B$18,Seasons!$B$2:$B$2865,"&lt;="&amp;$C$18)</f>
        <v>2</v>
      </c>
      <c r="M423" s="3" t="n">
        <f aca="false">SUMIFS(Seasons!$N$2:$N$2865,Seasons!$A$2:$A$2865,B423,Seasons!$B$2:$B$2865,"&gt;="&amp;$B$18,Seasons!$B$2:$B$2865,"&lt;="&amp;$C$18)</f>
        <v>0</v>
      </c>
      <c r="N423" s="3" t="n">
        <f aca="false">IF(J423="",-1000000,J423+ROW()*0.000000001)</f>
        <v>-0.239795523752009</v>
      </c>
      <c r="O423" s="3" t="n">
        <f aca="false">IF(J423="","",SUMPRODUCT(($A$25:$A$534=A423)*($N$25:$N$534&gt;N423))+1)</f>
        <v>12</v>
      </c>
      <c r="P423" s="3" t="str">
        <f aca="false">A423&amp;"|"&amp;O423</f>
        <v>1990s payroll-adj|12</v>
      </c>
    </row>
    <row r="424" customFormat="false" ht="15" hidden="false" customHeight="true" outlineLevel="0" collapsed="false">
      <c r="A424" s="1" t="s">
        <v>22</v>
      </c>
      <c r="B424" s="7" t="s">
        <v>64</v>
      </c>
      <c r="C424" s="1" t="s">
        <v>55</v>
      </c>
      <c r="D424" s="3" t="n">
        <f aca="false">COUNTIFS(Market_Panel!$A$2:$A$2705,B424,Market_Panel!$B$2:$B$2705,"&gt;="&amp;$B$18,Market_Panel!$B$2:$B$2705,"&lt;="&amp;$C$18)</f>
        <v>10</v>
      </c>
      <c r="E424" s="10" t="n">
        <f aca="false">IF(D424=0,"",AVERAGEIFS(Market_Panel!$M$2:$M$2705,Market_Panel!$A$2:$A$2705,B424,Market_Panel!$B$2:$B$2705,"&gt;="&amp;$B$18,Market_Panel!$B$2:$B$2705,"&lt;="&amp;$C$18))</f>
        <v>0.0227296684951072</v>
      </c>
      <c r="F424" s="11" t="n">
        <f aca="false">IF(D424=0,"",AVERAGEIFS(Market_Panel!$P$2:$P$2705,Market_Panel!$A$2:$A$2705,B424,Market_Panel!$B$2:$B$2705,"&gt;="&amp;$B$18,Market_Panel!$B$2:$B$2705,"&lt;="&amp;$C$18))</f>
        <v>-0.357534168001607</v>
      </c>
      <c r="G424" s="11" t="n">
        <f aca="false">IF(D424=0,"",AVERAGEIFS(Market_Panel!$R$2:$R$2705,Market_Panel!$A$2:$A$2705,B424,Market_Panel!$B$2:$B$2705,"&gt;="&amp;$B$18,Market_Panel!$B$2:$B$2705,"&lt;="&amp;$C$18))</f>
        <v>0</v>
      </c>
      <c r="H424" s="11" t="n">
        <f aca="false">IF(OR(D424=0,$H$18=0),0,AVERAGEIFS(Market_Panel!$Y$2:$Y$2705,Market_Panel!$A$2:$A$2705,B424,Market_Panel!$B$2:$B$2705,"&gt;="&amp;$B$18,Market_Panel!$B$2:$B$2705,"&lt;="&amp;$C$18))</f>
        <v>0.252672083853805</v>
      </c>
      <c r="I424" s="10" t="n">
        <f aca="false">IF(D424=0,"",$I$18+$F$18*F424+$G$18*G424+$H$18*H424)</f>
        <v>0.0224954174717297</v>
      </c>
      <c r="J424" s="5" t="n">
        <f aca="false">IF(D424&lt;5,"",(E424-I424)*162)</f>
        <v>0.0379486657871476</v>
      </c>
      <c r="K424" s="5" t="n">
        <f aca="false">IF(D424=0,"",E424*162)</f>
        <v>3.68220629620736</v>
      </c>
      <c r="L424" s="3" t="n">
        <f aca="false">SUMIFS(Seasons!$L$2:$L$2865,Seasons!$A$2:$A$2865,B424,Seasons!$B$2:$B$2865,"&gt;="&amp;$B$18,Seasons!$B$2:$B$2865,"&lt;="&amp;$C$18)</f>
        <v>4</v>
      </c>
      <c r="M424" s="3" t="n">
        <f aca="false">SUMIFS(Seasons!$N$2:$N$2865,Seasons!$A$2:$A$2865,B424,Seasons!$B$2:$B$2865,"&gt;="&amp;$B$18,Seasons!$B$2:$B$2865,"&lt;="&amp;$C$18)</f>
        <v>0</v>
      </c>
      <c r="N424" s="3" t="n">
        <f aca="false">IF(J424="",-1000000,J424+ROW()*0.000000001)</f>
        <v>0.0379490897871476</v>
      </c>
      <c r="O424" s="3" t="n">
        <f aca="false">IF(J424="","",SUMPRODUCT(($A$25:$A$534=A424)*($N$25:$N$534&gt;N424))+1)</f>
        <v>11</v>
      </c>
      <c r="P424" s="3" t="str">
        <f aca="false">A424&amp;"|"&amp;O424</f>
        <v>1990s payroll-adj|11</v>
      </c>
    </row>
    <row r="425" customFormat="false" ht="15" hidden="false" customHeight="true" outlineLevel="0" collapsed="false">
      <c r="A425" s="1" t="s">
        <v>22</v>
      </c>
      <c r="B425" s="7" t="s">
        <v>65</v>
      </c>
      <c r="C425" s="1" t="s">
        <v>55</v>
      </c>
      <c r="D425" s="3" t="n">
        <f aca="false">COUNTIFS(Market_Panel!$A$2:$A$2705,B425,Market_Panel!$B$2:$B$2705,"&gt;="&amp;$B$18,Market_Panel!$B$2:$B$2705,"&lt;="&amp;$C$18)</f>
        <v>10</v>
      </c>
      <c r="E425" s="10" t="n">
        <f aca="false">IF(D425=0,"",AVERAGEIFS(Market_Panel!$M$2:$M$2705,Market_Panel!$A$2:$A$2705,B425,Market_Panel!$B$2:$B$2705,"&gt;="&amp;$B$18,Market_Panel!$B$2:$B$2705,"&lt;="&amp;$C$18))</f>
        <v>0.0274804493883147</v>
      </c>
      <c r="F425" s="11" t="n">
        <f aca="false">IF(D425=0,"",AVERAGEIFS(Market_Panel!$P$2:$P$2705,Market_Panel!$A$2:$A$2705,B425,Market_Panel!$B$2:$B$2705,"&gt;="&amp;$B$18,Market_Panel!$B$2:$B$2705,"&lt;="&amp;$C$18))</f>
        <v>0.534043041978869</v>
      </c>
      <c r="G425" s="11" t="n">
        <f aca="false">IF(D425=0,"",AVERAGEIFS(Market_Panel!$R$2:$R$2705,Market_Panel!$A$2:$A$2705,B425,Market_Panel!$B$2:$B$2705,"&gt;="&amp;$B$18,Market_Panel!$B$2:$B$2705,"&lt;="&amp;$C$18))</f>
        <v>0</v>
      </c>
      <c r="H425" s="11" t="n">
        <f aca="false">IF(OR(D425=0,$H$18=0),0,AVERAGEIFS(Market_Panel!$Y$2:$Y$2705,Market_Panel!$A$2:$A$2705,B425,Market_Panel!$B$2:$B$2705,"&gt;="&amp;$B$18,Market_Panel!$B$2:$B$2705,"&lt;="&amp;$C$18))</f>
        <v>0.0168938402941226</v>
      </c>
      <c r="I425" s="10" t="n">
        <f aca="false">IF(D425=0,"",$I$18+$F$18*F425+$G$18*G425+$H$18*H425)</f>
        <v>0.00111922245060874</v>
      </c>
      <c r="J425" s="5" t="n">
        <f aca="false">IF(D425&lt;5,"",(E425-I425)*162)</f>
        <v>4.27051876390836</v>
      </c>
      <c r="K425" s="5" t="n">
        <f aca="false">IF(D425=0,"",E425*162)</f>
        <v>4.45183280090698</v>
      </c>
      <c r="L425" s="3" t="n">
        <f aca="false">SUMIFS(Seasons!$L$2:$L$2865,Seasons!$A$2:$A$2865,B425,Seasons!$B$2:$B$2865,"&gt;="&amp;$B$18,Seasons!$B$2:$B$2865,"&lt;="&amp;$C$18)</f>
        <v>1</v>
      </c>
      <c r="M425" s="3" t="n">
        <f aca="false">SUMIFS(Seasons!$N$2:$N$2865,Seasons!$A$2:$A$2865,B425,Seasons!$B$2:$B$2865,"&gt;="&amp;$B$18,Seasons!$B$2:$B$2865,"&lt;="&amp;$C$18)</f>
        <v>0</v>
      </c>
      <c r="N425" s="3" t="n">
        <f aca="false">IF(J425="",-1000000,J425+ROW()*0.000000001)</f>
        <v>4.27051918890836</v>
      </c>
      <c r="O425" s="3" t="n">
        <f aca="false">IF(J425="","",SUMPRODUCT(($A$25:$A$534=A425)*($N$25:$N$534&gt;N425))+1)</f>
        <v>5</v>
      </c>
      <c r="P425" s="3" t="str">
        <f aca="false">A425&amp;"|"&amp;O425</f>
        <v>1990s payroll-adj|5</v>
      </c>
    </row>
    <row r="426" customFormat="false" ht="15" hidden="false" customHeight="true" outlineLevel="0" collapsed="false">
      <c r="A426" s="1" t="s">
        <v>22</v>
      </c>
      <c r="B426" s="7" t="s">
        <v>66</v>
      </c>
      <c r="C426" s="1" t="s">
        <v>55</v>
      </c>
      <c r="D426" s="3" t="n">
        <f aca="false">COUNTIFS(Market_Panel!$A$2:$A$2705,B426,Market_Panel!$B$2:$B$2705,"&gt;="&amp;$B$18,Market_Panel!$B$2:$B$2705,"&lt;="&amp;$C$18)</f>
        <v>10</v>
      </c>
      <c r="E426" s="10" t="n">
        <f aca="false">IF(D426=0,"",AVERAGEIFS(Market_Panel!$M$2:$M$2705,Market_Panel!$A$2:$A$2705,B426,Market_Panel!$B$2:$B$2705,"&gt;="&amp;$B$18,Market_Panel!$B$2:$B$2705,"&lt;="&amp;$C$18))</f>
        <v>0.034117922897662</v>
      </c>
      <c r="F426" s="11" t="n">
        <f aca="false">IF(D426=0,"",AVERAGEIFS(Market_Panel!$P$2:$P$2705,Market_Panel!$A$2:$A$2705,B426,Market_Panel!$B$2:$B$2705,"&gt;="&amp;$B$18,Market_Panel!$B$2:$B$2705,"&lt;="&amp;$C$18))</f>
        <v>-0.521269249678741</v>
      </c>
      <c r="G426" s="11" t="n">
        <f aca="false">IF(D426=0,"",AVERAGEIFS(Market_Panel!$R$2:$R$2705,Market_Panel!$A$2:$A$2705,B426,Market_Panel!$B$2:$B$2705,"&gt;="&amp;$B$18,Market_Panel!$B$2:$B$2705,"&lt;="&amp;$C$18))</f>
        <v>0</v>
      </c>
      <c r="H426" s="11" t="n">
        <f aca="false">IF(OR(D426=0,$H$18=0),0,AVERAGEIFS(Market_Panel!$Y$2:$Y$2705,Market_Panel!$A$2:$A$2705,B426,Market_Panel!$B$2:$B$2705,"&gt;="&amp;$B$18,Market_Panel!$B$2:$B$2705,"&lt;="&amp;$C$18))</f>
        <v>-0.0204592450782716</v>
      </c>
      <c r="I426" s="10" t="n">
        <f aca="false">IF(D426=0,"",$I$18+$F$18*F426+$G$18*G426+$H$18*H426)</f>
        <v>0.00316096012361854</v>
      </c>
      <c r="J426" s="5" t="n">
        <f aca="false">IF(D426&lt;5,"",(E426-I426)*162)</f>
        <v>5.01502796939503</v>
      </c>
      <c r="K426" s="5" t="n">
        <f aca="false">IF(D426=0,"",E426*162)</f>
        <v>5.52710350942124</v>
      </c>
      <c r="L426" s="3" t="n">
        <f aca="false">SUMIFS(Seasons!$L$2:$L$2865,Seasons!$A$2:$A$2865,B426,Seasons!$B$2:$B$2865,"&gt;="&amp;$B$18,Seasons!$B$2:$B$2865,"&lt;="&amp;$C$18)</f>
        <v>5</v>
      </c>
      <c r="M426" s="3" t="n">
        <f aca="false">SUMIFS(Seasons!$N$2:$N$2865,Seasons!$A$2:$A$2865,B426,Seasons!$B$2:$B$2865,"&gt;="&amp;$B$18,Seasons!$B$2:$B$2865,"&lt;="&amp;$C$18)</f>
        <v>0</v>
      </c>
      <c r="N426" s="3" t="n">
        <f aca="false">IF(J426="",-1000000,J426+ROW()*0.000000001)</f>
        <v>5.01502839539503</v>
      </c>
      <c r="O426" s="3" t="n">
        <f aca="false">IF(J426="","",SUMPRODUCT(($A$25:$A$534=A426)*($N$25:$N$534&gt;N426))+1)</f>
        <v>4</v>
      </c>
      <c r="P426" s="3" t="str">
        <f aca="false">A426&amp;"|"&amp;O426</f>
        <v>1990s payroll-adj|4</v>
      </c>
    </row>
    <row r="427" customFormat="false" ht="15" hidden="false" customHeight="true" outlineLevel="0" collapsed="false">
      <c r="A427" s="1" t="s">
        <v>22</v>
      </c>
      <c r="B427" s="7" t="s">
        <v>67</v>
      </c>
      <c r="C427" s="1" t="s">
        <v>55</v>
      </c>
      <c r="D427" s="3" t="n">
        <f aca="false">COUNTIFS(Market_Panel!$A$2:$A$2705,B427,Market_Panel!$B$2:$B$2705,"&gt;="&amp;$B$18,Market_Panel!$B$2:$B$2705,"&lt;="&amp;$C$18)</f>
        <v>10</v>
      </c>
      <c r="E427" s="10" t="n">
        <f aca="false">IF(D427=0,"",AVERAGEIFS(Market_Panel!$M$2:$M$2705,Market_Panel!$A$2:$A$2705,B427,Market_Panel!$B$2:$B$2705,"&gt;="&amp;$B$18,Market_Panel!$B$2:$B$2705,"&lt;="&amp;$C$18))</f>
        <v>-0.0484000378157586</v>
      </c>
      <c r="F427" s="11" t="n">
        <f aca="false">IF(D427=0,"",AVERAGEIFS(Market_Panel!$P$2:$P$2705,Market_Panel!$A$2:$A$2705,B427,Market_Panel!$B$2:$B$2705,"&gt;="&amp;$B$18,Market_Panel!$B$2:$B$2705,"&lt;="&amp;$C$18))</f>
        <v>0.178297973782975</v>
      </c>
      <c r="G427" s="11" t="n">
        <f aca="false">IF(D427=0,"",AVERAGEIFS(Market_Panel!$R$2:$R$2705,Market_Panel!$A$2:$A$2705,B427,Market_Panel!$B$2:$B$2705,"&gt;="&amp;$B$18,Market_Panel!$B$2:$B$2705,"&lt;="&amp;$C$18))</f>
        <v>0</v>
      </c>
      <c r="H427" s="11" t="n">
        <f aca="false">IF(OR(D427=0,$H$18=0),0,AVERAGEIFS(Market_Panel!$Y$2:$Y$2705,Market_Panel!$A$2:$A$2705,B427,Market_Panel!$B$2:$B$2705,"&gt;="&amp;$B$18,Market_Panel!$B$2:$B$2705,"&lt;="&amp;$C$18))</f>
        <v>-0.116495626641531</v>
      </c>
      <c r="I427" s="10" t="n">
        <f aca="false">IF(D427=0,"",$I$18+$F$18*F427+$G$18*G427+$H$18*H427)</f>
        <v>-0.00707207241899654</v>
      </c>
      <c r="J427" s="5" t="n">
        <f aca="false">IF(D427&lt;5,"",(E427-I427)*162)</f>
        <v>-6.69513039427545</v>
      </c>
      <c r="K427" s="5" t="n">
        <f aca="false">IF(D427=0,"",E427*162)</f>
        <v>-7.84080612615289</v>
      </c>
      <c r="L427" s="3" t="n">
        <f aca="false">SUMIFS(Seasons!$L$2:$L$2865,Seasons!$A$2:$A$2865,B427,Seasons!$B$2:$B$2865,"&gt;="&amp;$B$18,Seasons!$B$2:$B$2865,"&lt;="&amp;$C$18)</f>
        <v>0</v>
      </c>
      <c r="M427" s="3" t="n">
        <f aca="false">SUMIFS(Seasons!$N$2:$N$2865,Seasons!$A$2:$A$2865,B427,Seasons!$B$2:$B$2865,"&gt;="&amp;$B$18,Seasons!$B$2:$B$2865,"&lt;="&amp;$C$18)</f>
        <v>0</v>
      </c>
      <c r="N427" s="3" t="n">
        <f aca="false">IF(J427="",-1000000,J427+ROW()*0.000000001)</f>
        <v>-6.69512996727545</v>
      </c>
      <c r="O427" s="3" t="n">
        <f aca="false">IF(J427="","",SUMPRODUCT(($A$25:$A$534=A427)*($N$25:$N$534&gt;N427))+1)</f>
        <v>28</v>
      </c>
      <c r="P427" s="3" t="str">
        <f aca="false">A427&amp;"|"&amp;O427</f>
        <v>1990s payroll-adj|28</v>
      </c>
    </row>
    <row r="428" customFormat="false" ht="15" hidden="false" customHeight="true" outlineLevel="0" collapsed="false">
      <c r="A428" s="1" t="s">
        <v>22</v>
      </c>
      <c r="B428" s="7" t="s">
        <v>68</v>
      </c>
      <c r="C428" s="1" t="s">
        <v>55</v>
      </c>
      <c r="D428" s="3" t="n">
        <f aca="false">COUNTIFS(Market_Panel!$A$2:$A$2705,B428,Market_Panel!$B$2:$B$2705,"&gt;="&amp;$B$18,Market_Panel!$B$2:$B$2705,"&lt;="&amp;$C$18)</f>
        <v>10</v>
      </c>
      <c r="E428" s="10" t="n">
        <f aca="false">IF(D428=0,"",AVERAGEIFS(Market_Panel!$M$2:$M$2705,Market_Panel!$A$2:$A$2705,B428,Market_Panel!$B$2:$B$2705,"&gt;="&amp;$B$18,Market_Panel!$B$2:$B$2705,"&lt;="&amp;$C$18))</f>
        <v>-0.0377948773891123</v>
      </c>
      <c r="F428" s="11" t="n">
        <f aca="false">IF(D428=0,"",AVERAGEIFS(Market_Panel!$P$2:$P$2705,Market_Panel!$A$2:$A$2705,B428,Market_Panel!$B$2:$B$2705,"&gt;="&amp;$B$18,Market_Panel!$B$2:$B$2705,"&lt;="&amp;$C$18))</f>
        <v>-0.795966498215704</v>
      </c>
      <c r="G428" s="11" t="n">
        <f aca="false">IF(D428=0,"",AVERAGEIFS(Market_Panel!$R$2:$R$2705,Market_Panel!$A$2:$A$2705,B428,Market_Panel!$B$2:$B$2705,"&gt;="&amp;$B$18,Market_Panel!$B$2:$B$2705,"&lt;="&amp;$C$18))</f>
        <v>0</v>
      </c>
      <c r="H428" s="11" t="n">
        <f aca="false">IF(OR(D428=0,$H$18=0),0,AVERAGEIFS(Market_Panel!$Y$2:$Y$2705,Market_Panel!$A$2:$A$2705,B428,Market_Panel!$B$2:$B$2705,"&gt;="&amp;$B$18,Market_Panel!$B$2:$B$2705,"&lt;="&amp;$C$18))</f>
        <v>-0.212706119981353</v>
      </c>
      <c r="I428" s="10" t="n">
        <f aca="false">IF(D428=0,"",$I$18+$F$18*F428+$G$18*G428+$H$18*H428)</f>
        <v>-0.00972448353200988</v>
      </c>
      <c r="J428" s="5" t="n">
        <f aca="false">IF(D428&lt;5,"",(E428-I428)*162)</f>
        <v>-4.54740380485059</v>
      </c>
      <c r="K428" s="5" t="n">
        <f aca="false">IF(D428=0,"",E428*162)</f>
        <v>-6.12277013703619</v>
      </c>
      <c r="L428" s="3" t="n">
        <f aca="false">SUMIFS(Seasons!$L$2:$L$2865,Seasons!$A$2:$A$2865,B428,Seasons!$B$2:$B$2865,"&gt;="&amp;$B$18,Seasons!$B$2:$B$2865,"&lt;="&amp;$C$18)</f>
        <v>1</v>
      </c>
      <c r="M428" s="3" t="n">
        <f aca="false">SUMIFS(Seasons!$N$2:$N$2865,Seasons!$A$2:$A$2865,B428,Seasons!$B$2:$B$2865,"&gt;="&amp;$B$18,Seasons!$B$2:$B$2865,"&lt;="&amp;$C$18)</f>
        <v>1</v>
      </c>
      <c r="N428" s="3" t="n">
        <f aca="false">IF(J428="",-1000000,J428+ROW()*0.000000001)</f>
        <v>-4.54740337685059</v>
      </c>
      <c r="O428" s="3" t="n">
        <f aca="false">IF(J428="","",SUMPRODUCT(($A$25:$A$534=A428)*($N$25:$N$534&gt;N428))+1)</f>
        <v>24</v>
      </c>
      <c r="P428" s="3" t="str">
        <f aca="false">A428&amp;"|"&amp;O428</f>
        <v>1990s payroll-adj|24</v>
      </c>
    </row>
    <row r="429" customFormat="false" ht="15" hidden="false" customHeight="true" outlineLevel="0" collapsed="false">
      <c r="A429" s="1" t="s">
        <v>22</v>
      </c>
      <c r="B429" s="7" t="s">
        <v>69</v>
      </c>
      <c r="C429" s="1" t="s">
        <v>55</v>
      </c>
      <c r="D429" s="3" t="n">
        <f aca="false">COUNTIFS(Market_Panel!$A$2:$A$2705,B429,Market_Panel!$B$2:$B$2705,"&gt;="&amp;$B$18,Market_Panel!$B$2:$B$2705,"&lt;="&amp;$C$18)</f>
        <v>10</v>
      </c>
      <c r="E429" s="10" t="n">
        <f aca="false">IF(D429=0,"",AVERAGEIFS(Market_Panel!$M$2:$M$2705,Market_Panel!$A$2:$A$2705,B429,Market_Panel!$B$2:$B$2705,"&gt;="&amp;$B$18,Market_Panel!$B$2:$B$2705,"&lt;="&amp;$C$18))</f>
        <v>-0.00441285064493294</v>
      </c>
      <c r="F429" s="11" t="n">
        <f aca="false">IF(D429=0,"",AVERAGEIFS(Market_Panel!$P$2:$P$2705,Market_Panel!$A$2:$A$2705,B429,Market_Panel!$B$2:$B$2705,"&gt;="&amp;$B$18,Market_Panel!$B$2:$B$2705,"&lt;="&amp;$C$18))</f>
        <v>-0.770823460434899</v>
      </c>
      <c r="G429" s="11" t="n">
        <f aca="false">IF(D429=0,"",AVERAGEIFS(Market_Panel!$R$2:$R$2705,Market_Panel!$A$2:$A$2705,B429,Market_Panel!$B$2:$B$2705,"&gt;="&amp;$B$18,Market_Panel!$B$2:$B$2705,"&lt;="&amp;$C$18))</f>
        <v>0</v>
      </c>
      <c r="H429" s="11" t="n">
        <f aca="false">IF(OR(D429=0,$H$18=0),0,AVERAGEIFS(Market_Panel!$Y$2:$Y$2705,Market_Panel!$A$2:$A$2705,B429,Market_Panel!$B$2:$B$2705,"&gt;="&amp;$B$18,Market_Panel!$B$2:$B$2705,"&lt;="&amp;$C$18))</f>
        <v>-0.0671010602678741</v>
      </c>
      <c r="I429" s="10" t="n">
        <f aca="false">IF(D429=0,"",$I$18+$F$18*F429+$G$18*G429+$H$18*H429)</f>
        <v>0.000864543595626747</v>
      </c>
      <c r="J429" s="5" t="n">
        <f aca="false">IF(D429&lt;5,"",(E429-I429)*162)</f>
        <v>-0.854937866970669</v>
      </c>
      <c r="K429" s="5" t="n">
        <f aca="false">IF(D429=0,"",E429*162)</f>
        <v>-0.714881804479136</v>
      </c>
      <c r="L429" s="3" t="n">
        <f aca="false">SUMIFS(Seasons!$L$2:$L$2865,Seasons!$A$2:$A$2865,B429,Seasons!$B$2:$B$2865,"&gt;="&amp;$B$18,Seasons!$B$2:$B$2865,"&lt;="&amp;$C$18)</f>
        <v>2</v>
      </c>
      <c r="M429" s="3" t="n">
        <f aca="false">SUMIFS(Seasons!$N$2:$N$2865,Seasons!$A$2:$A$2865,B429,Seasons!$B$2:$B$2865,"&gt;="&amp;$B$18,Seasons!$B$2:$B$2865,"&lt;="&amp;$C$18)</f>
        <v>0</v>
      </c>
      <c r="N429" s="3" t="n">
        <f aca="false">IF(J429="",-1000000,J429+ROW()*0.000000001)</f>
        <v>-0.854937437970669</v>
      </c>
      <c r="O429" s="3" t="n">
        <f aca="false">IF(J429="","",SUMPRODUCT(($A$25:$A$534=A429)*($N$25:$N$534&gt;N429))+1)</f>
        <v>14</v>
      </c>
      <c r="P429" s="3" t="str">
        <f aca="false">A429&amp;"|"&amp;O429</f>
        <v>1990s payroll-adj|14</v>
      </c>
    </row>
    <row r="430" customFormat="false" ht="15" hidden="false" customHeight="true" outlineLevel="0" collapsed="false">
      <c r="A430" s="1" t="s">
        <v>22</v>
      </c>
      <c r="B430" s="7" t="s">
        <v>70</v>
      </c>
      <c r="C430" s="1" t="s">
        <v>55</v>
      </c>
      <c r="D430" s="3" t="n">
        <f aca="false">COUNTIFS(Market_Panel!$A$2:$A$2705,B430,Market_Panel!$B$2:$B$2705,"&gt;="&amp;$B$18,Market_Panel!$B$2:$B$2705,"&lt;="&amp;$C$18)</f>
        <v>10</v>
      </c>
      <c r="E430" s="10" t="n">
        <f aca="false">IF(D430=0,"",AVERAGEIFS(Market_Panel!$M$2:$M$2705,Market_Panel!$A$2:$A$2705,B430,Market_Panel!$B$2:$B$2705,"&gt;="&amp;$B$18,Market_Panel!$B$2:$B$2705,"&lt;="&amp;$C$18))</f>
        <v>0.0501428889170168</v>
      </c>
      <c r="F430" s="11" t="n">
        <f aca="false">IF(D430=0,"",AVERAGEIFS(Market_Panel!$P$2:$P$2705,Market_Panel!$A$2:$A$2705,B430,Market_Panel!$B$2:$B$2705,"&gt;="&amp;$B$18,Market_Panel!$B$2:$B$2705,"&lt;="&amp;$C$18))</f>
        <v>1.52369955475274</v>
      </c>
      <c r="G430" s="11" t="n">
        <f aca="false">IF(D430=0,"",AVERAGEIFS(Market_Panel!$R$2:$R$2705,Market_Panel!$A$2:$A$2705,B430,Market_Panel!$B$2:$B$2705,"&gt;="&amp;$B$18,Market_Panel!$B$2:$B$2705,"&lt;="&amp;$C$18))</f>
        <v>0</v>
      </c>
      <c r="H430" s="11" t="n">
        <f aca="false">IF(OR(D430=0,$H$18=0),0,AVERAGEIFS(Market_Panel!$Y$2:$Y$2705,Market_Panel!$A$2:$A$2705,B430,Market_Panel!$B$2:$B$2705,"&gt;="&amp;$B$18,Market_Panel!$B$2:$B$2705,"&lt;="&amp;$C$18))</f>
        <v>0.396444253903645</v>
      </c>
      <c r="I430" s="10" t="n">
        <f aca="false">IF(D430=0,"",$I$18+$F$18*F430+$G$18*G430+$H$18*H430)</f>
        <v>0.0245294662667184</v>
      </c>
      <c r="J430" s="5" t="n">
        <f aca="false">IF(D430&lt;5,"",(E430-I430)*162)</f>
        <v>4.14937446934835</v>
      </c>
      <c r="K430" s="5" t="n">
        <f aca="false">IF(D430=0,"",E430*162)</f>
        <v>8.12314800455673</v>
      </c>
      <c r="L430" s="3" t="n">
        <f aca="false">SUMIFS(Seasons!$L$2:$L$2865,Seasons!$A$2:$A$2865,B430,Seasons!$B$2:$B$2865,"&gt;="&amp;$B$18,Seasons!$B$2:$B$2865,"&lt;="&amp;$C$18)</f>
        <v>5</v>
      </c>
      <c r="M430" s="3" t="n">
        <f aca="false">SUMIFS(Seasons!$N$2:$N$2865,Seasons!$A$2:$A$2865,B430,Seasons!$B$2:$B$2865,"&gt;="&amp;$B$18,Seasons!$B$2:$B$2865,"&lt;="&amp;$C$18)</f>
        <v>3</v>
      </c>
      <c r="N430" s="3" t="n">
        <f aca="false">IF(J430="",-1000000,J430+ROW()*0.000000001)</f>
        <v>4.14937489934835</v>
      </c>
      <c r="O430" s="3" t="n">
        <f aca="false">IF(J430="","",SUMPRODUCT(($A$25:$A$534=A430)*($N$25:$N$534&gt;N430))+1)</f>
        <v>6</v>
      </c>
      <c r="P430" s="3" t="str">
        <f aca="false">A430&amp;"|"&amp;O430</f>
        <v>1990s payroll-adj|6</v>
      </c>
    </row>
    <row r="431" customFormat="false" ht="15" hidden="false" customHeight="true" outlineLevel="0" collapsed="false">
      <c r="A431" s="1" t="s">
        <v>22</v>
      </c>
      <c r="B431" s="7" t="s">
        <v>71</v>
      </c>
      <c r="C431" s="1" t="s">
        <v>72</v>
      </c>
      <c r="D431" s="3" t="n">
        <f aca="false">COUNTIFS(Market_Panel!$A$2:$A$2705,B431,Market_Panel!$B$2:$B$2705,"&gt;="&amp;$B$18,Market_Panel!$B$2:$B$2705,"&lt;="&amp;$C$18)</f>
        <v>10</v>
      </c>
      <c r="E431" s="10" t="n">
        <f aca="false">IF(D431=0,"",AVERAGEIFS(Market_Panel!$M$2:$M$2705,Market_Panel!$A$2:$A$2705,B431,Market_Panel!$B$2:$B$2705,"&gt;="&amp;$B$18,Market_Panel!$B$2:$B$2705,"&lt;="&amp;$C$18))</f>
        <v>-0.0266723434618773</v>
      </c>
      <c r="F431" s="11" t="n">
        <f aca="false">IF(D431=0,"",AVERAGEIFS(Market_Panel!$P$2:$P$2705,Market_Panel!$A$2:$A$2705,B431,Market_Panel!$B$2:$B$2705,"&gt;="&amp;$B$18,Market_Panel!$B$2:$B$2705,"&lt;="&amp;$C$18))</f>
        <v>0.767296727526351</v>
      </c>
      <c r="G431" s="11" t="n">
        <f aca="false">IF(D431=0,"",AVERAGEIFS(Market_Panel!$R$2:$R$2705,Market_Panel!$A$2:$A$2705,B431,Market_Panel!$B$2:$B$2705,"&gt;="&amp;$B$18,Market_Panel!$B$2:$B$2705,"&lt;="&amp;$C$18))</f>
        <v>0</v>
      </c>
      <c r="H431" s="11" t="n">
        <f aca="false">IF(OR(D431=0,$H$18=0),0,AVERAGEIFS(Market_Panel!$Y$2:$Y$2705,Market_Panel!$A$2:$A$2705,B431,Market_Panel!$B$2:$B$2705,"&gt;="&amp;$B$18,Market_Panel!$B$2:$B$2705,"&lt;="&amp;$C$18))</f>
        <v>0.0404552707429037</v>
      </c>
      <c r="I431" s="10" t="n">
        <f aca="false">IF(D431=0,"",$I$18+$F$18*F431+$G$18*G431+$H$18*H431)</f>
        <v>0.00179300163871397</v>
      </c>
      <c r="J431" s="5" t="n">
        <f aca="false">IF(D431&lt;5,"",(E431-I431)*162)</f>
        <v>-4.61138590629579</v>
      </c>
      <c r="K431" s="5" t="n">
        <f aca="false">IF(D431=0,"",E431*162)</f>
        <v>-4.32091964082412</v>
      </c>
      <c r="L431" s="3" t="n">
        <f aca="false">SUMIFS(Seasons!$L$2:$L$2865,Seasons!$A$2:$A$2865,B431,Seasons!$B$2:$B$2865,"&gt;="&amp;$B$18,Seasons!$B$2:$B$2865,"&lt;="&amp;$C$18)</f>
        <v>0</v>
      </c>
      <c r="M431" s="3" t="n">
        <f aca="false">SUMIFS(Seasons!$N$2:$N$2865,Seasons!$A$2:$A$2865,B431,Seasons!$B$2:$B$2865,"&gt;="&amp;$B$18,Seasons!$B$2:$B$2865,"&lt;="&amp;$C$18)</f>
        <v>0</v>
      </c>
      <c r="N431" s="3" t="n">
        <f aca="false">IF(J431="",-1000000,J431+ROW()*0.000000001)</f>
        <v>-4.61138547529579</v>
      </c>
      <c r="O431" s="3" t="n">
        <f aca="false">IF(J431="","",SUMPRODUCT(($A$25:$A$534=A431)*($N$25:$N$534&gt;N431))+1)</f>
        <v>25</v>
      </c>
      <c r="P431" s="3" t="str">
        <f aca="false">A431&amp;"|"&amp;O431</f>
        <v>1990s payroll-adj|25</v>
      </c>
    </row>
    <row r="432" customFormat="false" ht="15" hidden="false" customHeight="true" outlineLevel="0" collapsed="false">
      <c r="A432" s="1" t="s">
        <v>22</v>
      </c>
      <c r="B432" s="7" t="s">
        <v>73</v>
      </c>
      <c r="C432" s="1" t="s">
        <v>72</v>
      </c>
      <c r="D432" s="3" t="n">
        <f aca="false">COUNTIFS(Market_Panel!$A$2:$A$2705,B432,Market_Panel!$B$2:$B$2705,"&gt;="&amp;$B$18,Market_Panel!$B$2:$B$2705,"&lt;="&amp;$C$18)</f>
        <v>10</v>
      </c>
      <c r="E432" s="10" t="n">
        <f aca="false">IF(D432=0,"",AVERAGEIFS(Market_Panel!$M$2:$M$2705,Market_Panel!$A$2:$A$2705,B432,Market_Panel!$B$2:$B$2705,"&gt;="&amp;$B$18,Market_Panel!$B$2:$B$2705,"&lt;="&amp;$C$18))</f>
        <v>0.0173748361646837</v>
      </c>
      <c r="F432" s="11" t="n">
        <f aca="false">IF(D432=0,"",AVERAGEIFS(Market_Panel!$P$2:$P$2705,Market_Panel!$A$2:$A$2705,B432,Market_Panel!$B$2:$B$2705,"&gt;="&amp;$B$18,Market_Panel!$B$2:$B$2705,"&lt;="&amp;$C$18))</f>
        <v>0.267170066000292</v>
      </c>
      <c r="G432" s="11" t="n">
        <f aca="false">IF(D432=0,"",AVERAGEIFS(Market_Panel!$R$2:$R$2705,Market_Panel!$A$2:$A$2705,B432,Market_Panel!$B$2:$B$2705,"&gt;="&amp;$B$18,Market_Panel!$B$2:$B$2705,"&lt;="&amp;$C$18))</f>
        <v>0</v>
      </c>
      <c r="H432" s="11" t="n">
        <f aca="false">IF(OR(D432=0,$H$18=0),0,AVERAGEIFS(Market_Panel!$Y$2:$Y$2705,Market_Panel!$A$2:$A$2705,B432,Market_Panel!$B$2:$B$2705,"&gt;="&amp;$B$18,Market_Panel!$B$2:$B$2705,"&lt;="&amp;$C$18))</f>
        <v>0.138895910356983</v>
      </c>
      <c r="I432" s="10" t="n">
        <f aca="false">IF(D432=0,"",$I$18+$F$18*F432+$G$18*G432+$H$18*H432)</f>
        <v>0.011297993667796</v>
      </c>
      <c r="J432" s="5" t="n">
        <f aca="false">IF(D432&lt;5,"",(E432-I432)*162)</f>
        <v>0.984448484495815</v>
      </c>
      <c r="K432" s="5" t="n">
        <f aca="false">IF(D432=0,"",E432*162)</f>
        <v>2.81472345867876</v>
      </c>
      <c r="L432" s="3" t="n">
        <f aca="false">SUMIFS(Seasons!$L$2:$L$2865,Seasons!$A$2:$A$2865,B432,Seasons!$B$2:$B$2865,"&gt;="&amp;$B$18,Seasons!$B$2:$B$2865,"&lt;="&amp;$C$18)</f>
        <v>3</v>
      </c>
      <c r="M432" s="3" t="n">
        <f aca="false">SUMIFS(Seasons!$N$2:$N$2865,Seasons!$A$2:$A$2865,B432,Seasons!$B$2:$B$2865,"&gt;="&amp;$B$18,Seasons!$B$2:$B$2865,"&lt;="&amp;$C$18)</f>
        <v>0</v>
      </c>
      <c r="N432" s="3" t="n">
        <f aca="false">IF(J432="",-1000000,J432+ROW()*0.000000001)</f>
        <v>0.984448916495815</v>
      </c>
      <c r="O432" s="3" t="n">
        <f aca="false">IF(J432="","",SUMPRODUCT(($A$25:$A$534=A432)*($N$25:$N$534&gt;N432))+1)</f>
        <v>10</v>
      </c>
      <c r="P432" s="3" t="str">
        <f aca="false">A432&amp;"|"&amp;O432</f>
        <v>1990s payroll-adj|10</v>
      </c>
    </row>
    <row r="433" customFormat="false" ht="15" hidden="false" customHeight="true" outlineLevel="0" collapsed="false">
      <c r="A433" s="1" t="s">
        <v>22</v>
      </c>
      <c r="B433" s="7" t="s">
        <v>74</v>
      </c>
      <c r="C433" s="1" t="s">
        <v>72</v>
      </c>
      <c r="D433" s="3" t="n">
        <f aca="false">COUNTIFS(Market_Panel!$A$2:$A$2705,B433,Market_Panel!$B$2:$B$2705,"&gt;="&amp;$B$18,Market_Panel!$B$2:$B$2705,"&lt;="&amp;$C$18)</f>
        <v>10</v>
      </c>
      <c r="E433" s="10" t="n">
        <f aca="false">IF(D433=0,"",AVERAGEIFS(Market_Panel!$M$2:$M$2705,Market_Panel!$A$2:$A$2705,B433,Market_Panel!$B$2:$B$2705,"&gt;="&amp;$B$18,Market_Panel!$B$2:$B$2705,"&lt;="&amp;$C$18))</f>
        <v>0.0243681548075065</v>
      </c>
      <c r="F433" s="11" t="n">
        <f aca="false">IF(D433=0,"",AVERAGEIFS(Market_Panel!$P$2:$P$2705,Market_Panel!$A$2:$A$2705,B433,Market_Panel!$B$2:$B$2705,"&gt;="&amp;$B$18,Market_Panel!$B$2:$B$2705,"&lt;="&amp;$C$18))</f>
        <v>0.755870281045787</v>
      </c>
      <c r="G433" s="11" t="n">
        <f aca="false">IF(D433=0,"",AVERAGEIFS(Market_Panel!$R$2:$R$2705,Market_Panel!$A$2:$A$2705,B433,Market_Panel!$B$2:$B$2705,"&gt;="&amp;$B$18,Market_Panel!$B$2:$B$2705,"&lt;="&amp;$C$18))</f>
        <v>0</v>
      </c>
      <c r="H433" s="11" t="n">
        <f aca="false">IF(OR(D433=0,$H$18=0),0,AVERAGEIFS(Market_Panel!$Y$2:$Y$2705,Market_Panel!$A$2:$A$2705,B433,Market_Panel!$B$2:$B$2705,"&gt;="&amp;$B$18,Market_Panel!$B$2:$B$2705,"&lt;="&amp;$C$18))</f>
        <v>-0.0983261176636386</v>
      </c>
      <c r="I433" s="10" t="n">
        <f aca="false">IF(D433=0,"",$I$18+$F$18*F433+$G$18*G433+$H$18*H433)</f>
        <v>-0.008356659252247</v>
      </c>
      <c r="J433" s="5" t="n">
        <f aca="false">IF(D433&lt;5,"",(E433-I433)*162)</f>
        <v>5.30141987768007</v>
      </c>
      <c r="K433" s="5" t="n">
        <f aca="false">IF(D433=0,"",E433*162)</f>
        <v>3.94764107881606</v>
      </c>
      <c r="L433" s="3" t="n">
        <f aca="false">SUMIFS(Seasons!$L$2:$L$2865,Seasons!$A$2:$A$2865,B433,Seasons!$B$2:$B$2865,"&gt;="&amp;$B$18,Seasons!$B$2:$B$2865,"&lt;="&amp;$C$18)</f>
        <v>3</v>
      </c>
      <c r="M433" s="3" t="n">
        <f aca="false">SUMIFS(Seasons!$N$2:$N$2865,Seasons!$A$2:$A$2865,B433,Seasons!$B$2:$B$2865,"&gt;="&amp;$B$18,Seasons!$B$2:$B$2865,"&lt;="&amp;$C$18)</f>
        <v>0</v>
      </c>
      <c r="N433" s="3" t="n">
        <f aca="false">IF(J433="",-1000000,J433+ROW()*0.000000001)</f>
        <v>5.30142031068007</v>
      </c>
      <c r="O433" s="3" t="n">
        <f aca="false">IF(J433="","",SUMPRODUCT(($A$25:$A$534=A433)*($N$25:$N$534&gt;N433))+1)</f>
        <v>3</v>
      </c>
      <c r="P433" s="3" t="str">
        <f aca="false">A433&amp;"|"&amp;O433</f>
        <v>1990s payroll-adj|3</v>
      </c>
    </row>
    <row r="434" customFormat="false" ht="15" hidden="false" customHeight="true" outlineLevel="0" collapsed="false">
      <c r="A434" s="1" t="s">
        <v>22</v>
      </c>
      <c r="B434" s="7" t="s">
        <v>75</v>
      </c>
      <c r="C434" s="1" t="s">
        <v>72</v>
      </c>
      <c r="D434" s="3" t="n">
        <f aca="false">COUNTIFS(Market_Panel!$A$2:$A$2705,B434,Market_Panel!$B$2:$B$2705,"&gt;="&amp;$B$18,Market_Panel!$B$2:$B$2705,"&lt;="&amp;$C$18)</f>
        <v>10</v>
      </c>
      <c r="E434" s="10" t="n">
        <f aca="false">IF(D434=0,"",AVERAGEIFS(Market_Panel!$M$2:$M$2705,Market_Panel!$A$2:$A$2705,B434,Market_Panel!$B$2:$B$2705,"&gt;="&amp;$B$18,Market_Panel!$B$2:$B$2705,"&lt;="&amp;$C$18))</f>
        <v>-0.00656776289393113</v>
      </c>
      <c r="F434" s="11" t="n">
        <f aca="false">IF(D434=0,"",AVERAGEIFS(Market_Panel!$P$2:$P$2705,Market_Panel!$A$2:$A$2705,B434,Market_Panel!$B$2:$B$2705,"&gt;="&amp;$B$18,Market_Panel!$B$2:$B$2705,"&lt;="&amp;$C$18))</f>
        <v>1.52369955475274</v>
      </c>
      <c r="G434" s="11" t="n">
        <f aca="false">IF(D434=0,"",AVERAGEIFS(Market_Panel!$R$2:$R$2705,Market_Panel!$A$2:$A$2705,B434,Market_Panel!$B$2:$B$2705,"&gt;="&amp;$B$18,Market_Panel!$B$2:$B$2705,"&lt;="&amp;$C$18))</f>
        <v>0</v>
      </c>
      <c r="H434" s="11" t="n">
        <f aca="false">IF(OR(D434=0,$H$18=0),0,AVERAGEIFS(Market_Panel!$Y$2:$Y$2705,Market_Panel!$A$2:$A$2705,B434,Market_Panel!$B$2:$B$2705,"&gt;="&amp;$B$18,Market_Panel!$B$2:$B$2705,"&lt;="&amp;$C$18))</f>
        <v>0.151743644849806</v>
      </c>
      <c r="I434" s="10" t="n">
        <f aca="false">IF(D434=0,"",$I$18+$F$18*F434+$G$18*G434+$H$18*H434)</f>
        <v>0.00654209283598583</v>
      </c>
      <c r="J434" s="5" t="n">
        <f aca="false">IF(D434&lt;5,"",(E434-I434)*162)</f>
        <v>-2.12379662824655</v>
      </c>
      <c r="K434" s="5" t="n">
        <f aca="false">IF(D434=0,"",E434*162)</f>
        <v>-1.06397758881684</v>
      </c>
      <c r="L434" s="3" t="n">
        <f aca="false">SUMIFS(Seasons!$L$2:$L$2865,Seasons!$A$2:$A$2865,B434,Seasons!$B$2:$B$2865,"&gt;="&amp;$B$18,Seasons!$B$2:$B$2865,"&lt;="&amp;$C$18)</f>
        <v>1</v>
      </c>
      <c r="M434" s="3" t="n">
        <f aca="false">SUMIFS(Seasons!$N$2:$N$2865,Seasons!$A$2:$A$2865,B434,Seasons!$B$2:$B$2865,"&gt;="&amp;$B$18,Seasons!$B$2:$B$2865,"&lt;="&amp;$C$18)</f>
        <v>0</v>
      </c>
      <c r="N434" s="3" t="n">
        <f aca="false">IF(J434="",-1000000,J434+ROW()*0.000000001)</f>
        <v>-2.12379619424655</v>
      </c>
      <c r="O434" s="3" t="n">
        <f aca="false">IF(J434="","",SUMPRODUCT(($A$25:$A$534=A434)*($N$25:$N$534&gt;N434))+1)</f>
        <v>20</v>
      </c>
      <c r="P434" s="3" t="str">
        <f aca="false">A434&amp;"|"&amp;O434</f>
        <v>1990s payroll-adj|20</v>
      </c>
    </row>
    <row r="435" customFormat="false" ht="15" hidden="false" customHeight="true" outlineLevel="0" collapsed="false">
      <c r="A435" s="1" t="s">
        <v>22</v>
      </c>
      <c r="B435" s="7" t="s">
        <v>76</v>
      </c>
      <c r="C435" s="1" t="s">
        <v>72</v>
      </c>
      <c r="D435" s="3" t="n">
        <f aca="false">COUNTIFS(Market_Panel!$A$2:$A$2705,B435,Market_Panel!$B$2:$B$2705,"&gt;="&amp;$B$18,Market_Panel!$B$2:$B$2705,"&lt;="&amp;$C$18)</f>
        <v>10</v>
      </c>
      <c r="E435" s="10" t="n">
        <f aca="false">IF(D435=0,"",AVERAGEIFS(Market_Panel!$M$2:$M$2705,Market_Panel!$A$2:$A$2705,B435,Market_Panel!$B$2:$B$2705,"&gt;="&amp;$B$18,Market_Panel!$B$2:$B$2705,"&lt;="&amp;$C$18))</f>
        <v>-0.0295669345261335</v>
      </c>
      <c r="F435" s="11" t="n">
        <f aca="false">IF(D435=0,"",AVERAGEIFS(Market_Panel!$P$2:$P$2705,Market_Panel!$A$2:$A$2705,B435,Market_Panel!$B$2:$B$2705,"&gt;="&amp;$B$18,Market_Panel!$B$2:$B$2705,"&lt;="&amp;$C$18))</f>
        <v>-0.639900074232943</v>
      </c>
      <c r="G435" s="11" t="n">
        <f aca="false">IF(D435=0,"",AVERAGEIFS(Market_Panel!$R$2:$R$2705,Market_Panel!$A$2:$A$2705,B435,Market_Panel!$B$2:$B$2705,"&gt;="&amp;$B$18,Market_Panel!$B$2:$B$2705,"&lt;="&amp;$C$18))</f>
        <v>0</v>
      </c>
      <c r="H435" s="11" t="n">
        <f aca="false">IF(OR(D435=0,$H$18=0),0,AVERAGEIFS(Market_Panel!$Y$2:$Y$2705,Market_Panel!$A$2:$A$2705,B435,Market_Panel!$B$2:$B$2705,"&gt;="&amp;$B$18,Market_Panel!$B$2:$B$2705,"&lt;="&amp;$C$18))</f>
        <v>-0.00872873181128604</v>
      </c>
      <c r="I435" s="10" t="n">
        <f aca="false">IF(D435=0,"",$I$18+$F$18*F435+$G$18*G435+$H$18*H435)</f>
        <v>0.0045614174909805</v>
      </c>
      <c r="J435" s="5" t="n">
        <f aca="false">IF(D435&lt;5,"",(E435-I435)*162)</f>
        <v>-5.52879302677247</v>
      </c>
      <c r="K435" s="5" t="n">
        <f aca="false">IF(D435=0,"",E435*162)</f>
        <v>-4.78984339323363</v>
      </c>
      <c r="L435" s="3" t="n">
        <f aca="false">SUMIFS(Seasons!$L$2:$L$2865,Seasons!$A$2:$A$2865,B435,Seasons!$B$2:$B$2865,"&gt;="&amp;$B$18,Seasons!$B$2:$B$2865,"&lt;="&amp;$C$18)</f>
        <v>0</v>
      </c>
      <c r="M435" s="3" t="n">
        <f aca="false">SUMIFS(Seasons!$N$2:$N$2865,Seasons!$A$2:$A$2865,B435,Seasons!$B$2:$B$2865,"&gt;="&amp;$B$18,Seasons!$B$2:$B$2865,"&lt;="&amp;$C$18)</f>
        <v>0</v>
      </c>
      <c r="N435" s="3" t="n">
        <f aca="false">IF(J435="",-1000000,J435+ROW()*0.000000001)</f>
        <v>-5.52879259177247</v>
      </c>
      <c r="O435" s="3" t="n">
        <f aca="false">IF(J435="","",SUMPRODUCT(($A$25:$A$534=A435)*($N$25:$N$534&gt;N435))+1)</f>
        <v>27</v>
      </c>
      <c r="P435" s="3" t="str">
        <f aca="false">A435&amp;"|"&amp;O435</f>
        <v>1990s payroll-adj|27</v>
      </c>
    </row>
    <row r="436" customFormat="false" ht="15" hidden="false" customHeight="true" outlineLevel="0" collapsed="false">
      <c r="A436" s="1" t="s">
        <v>22</v>
      </c>
      <c r="B436" s="7" t="s">
        <v>77</v>
      </c>
      <c r="C436" s="1" t="s">
        <v>72</v>
      </c>
      <c r="D436" s="3" t="n">
        <f aca="false">COUNTIFS(Market_Panel!$A$2:$A$2705,B436,Market_Panel!$B$2:$B$2705,"&gt;="&amp;$B$18,Market_Panel!$B$2:$B$2705,"&lt;="&amp;$C$18)</f>
        <v>10</v>
      </c>
      <c r="E436" s="10" t="n">
        <f aca="false">IF(D436=0,"",AVERAGEIFS(Market_Panel!$M$2:$M$2705,Market_Panel!$A$2:$A$2705,B436,Market_Panel!$B$2:$B$2705,"&gt;="&amp;$B$18,Market_Panel!$B$2:$B$2705,"&lt;="&amp;$C$18))</f>
        <v>-0.0230046501921101</v>
      </c>
      <c r="F436" s="11" t="n">
        <f aca="false">IF(D436=0,"",AVERAGEIFS(Market_Panel!$P$2:$P$2705,Market_Panel!$A$2:$A$2705,B436,Market_Panel!$B$2:$B$2705,"&gt;="&amp;$B$18,Market_Panel!$B$2:$B$2705,"&lt;="&amp;$C$18))</f>
        <v>-0.302333672276648</v>
      </c>
      <c r="G436" s="11" t="n">
        <f aca="false">IF(D436=0,"",AVERAGEIFS(Market_Panel!$R$2:$R$2705,Market_Panel!$A$2:$A$2705,B436,Market_Panel!$B$2:$B$2705,"&gt;="&amp;$B$18,Market_Panel!$B$2:$B$2705,"&lt;="&amp;$C$18))</f>
        <v>0</v>
      </c>
      <c r="H436" s="11" t="n">
        <f aca="false">IF(OR(D436=0,$H$18=0),0,AVERAGEIFS(Market_Panel!$Y$2:$Y$2705,Market_Panel!$A$2:$A$2705,B436,Market_Panel!$B$2:$B$2705,"&gt;="&amp;$B$18,Market_Panel!$B$2:$B$2705,"&lt;="&amp;$C$18))</f>
        <v>-0.193651038303868</v>
      </c>
      <c r="I436" s="10" t="n">
        <f aca="false">IF(D436=0,"",$I$18+$F$18*F436+$G$18*G436+$H$18*H436)</f>
        <v>-0.0105631783789261</v>
      </c>
      <c r="J436" s="5" t="n">
        <f aca="false">IF(D436&lt;5,"",(E436-I436)*162)</f>
        <v>-2.0155184337358</v>
      </c>
      <c r="K436" s="5" t="n">
        <f aca="false">IF(D436=0,"",E436*162)</f>
        <v>-3.72675333112183</v>
      </c>
      <c r="L436" s="3" t="n">
        <f aca="false">SUMIFS(Seasons!$L$2:$L$2865,Seasons!$A$2:$A$2865,B436,Seasons!$B$2:$B$2865,"&gt;="&amp;$B$18,Seasons!$B$2:$B$2865,"&lt;="&amp;$C$18)</f>
        <v>0</v>
      </c>
      <c r="M436" s="3" t="n">
        <f aca="false">SUMIFS(Seasons!$N$2:$N$2865,Seasons!$A$2:$A$2865,B436,Seasons!$B$2:$B$2865,"&gt;="&amp;$B$18,Seasons!$B$2:$B$2865,"&lt;="&amp;$C$18)</f>
        <v>0</v>
      </c>
      <c r="N436" s="3" t="n">
        <f aca="false">IF(J436="",-1000000,J436+ROW()*0.000000001)</f>
        <v>-2.0155179977358</v>
      </c>
      <c r="O436" s="3" t="n">
        <f aca="false">IF(J436="","",SUMPRODUCT(($A$25:$A$534=A436)*($N$25:$N$534&gt;N436))+1)</f>
        <v>19</v>
      </c>
      <c r="P436" s="3" t="str">
        <f aca="false">A436&amp;"|"&amp;O436</f>
        <v>1990s payroll-adj|19</v>
      </c>
    </row>
    <row r="437" customFormat="false" ht="15" hidden="false" customHeight="true" outlineLevel="0" collapsed="false">
      <c r="A437" s="1" t="s">
        <v>22</v>
      </c>
      <c r="B437" s="7" t="s">
        <v>78</v>
      </c>
      <c r="C437" s="1" t="s">
        <v>72</v>
      </c>
      <c r="D437" s="3" t="n">
        <f aca="false">COUNTIFS(Market_Panel!$A$2:$A$2705,B437,Market_Panel!$B$2:$B$2705,"&gt;="&amp;$B$18,Market_Panel!$B$2:$B$2705,"&lt;="&amp;$C$18)</f>
        <v>10</v>
      </c>
      <c r="E437" s="10" t="n">
        <f aca="false">IF(D437=0,"",AVERAGEIFS(Market_Panel!$M$2:$M$2705,Market_Panel!$A$2:$A$2705,B437,Market_Panel!$B$2:$B$2705,"&gt;="&amp;$B$18,Market_Panel!$B$2:$B$2705,"&lt;="&amp;$C$18))</f>
        <v>-0.0155373945545646</v>
      </c>
      <c r="F437" s="11" t="n">
        <f aca="false">IF(D437=0,"",AVERAGEIFS(Market_Panel!$P$2:$P$2705,Market_Panel!$A$2:$A$2705,B437,Market_Panel!$B$2:$B$2705,"&gt;="&amp;$B$18,Market_Panel!$B$2:$B$2705,"&lt;="&amp;$C$18))</f>
        <v>0.334009556601475</v>
      </c>
      <c r="G437" s="11" t="n">
        <f aca="false">IF(D437=0,"",AVERAGEIFS(Market_Panel!$R$2:$R$2705,Market_Panel!$A$2:$A$2705,B437,Market_Panel!$B$2:$B$2705,"&gt;="&amp;$B$18,Market_Panel!$B$2:$B$2705,"&lt;="&amp;$C$18))</f>
        <v>0</v>
      </c>
      <c r="H437" s="11" t="n">
        <f aca="false">IF(OR(D437=0,$H$18=0),0,AVERAGEIFS(Market_Panel!$Y$2:$Y$2705,Market_Panel!$A$2:$A$2705,B437,Market_Panel!$B$2:$B$2705,"&gt;="&amp;$B$18,Market_Panel!$B$2:$B$2705,"&lt;="&amp;$C$18))</f>
        <v>-0.108116370509285</v>
      </c>
      <c r="I437" s="10" t="n">
        <f aca="false">IF(D437=0,"",$I$18+$F$18*F437+$G$18*G437+$H$18*H437)</f>
        <v>-0.00716252603210968</v>
      </c>
      <c r="J437" s="5" t="n">
        <f aca="false">IF(D437&lt;5,"",(E437-I437)*162)</f>
        <v>-1.35672870063769</v>
      </c>
      <c r="K437" s="5" t="n">
        <f aca="false">IF(D437=0,"",E437*162)</f>
        <v>-2.51705791783946</v>
      </c>
      <c r="L437" s="3" t="n">
        <f aca="false">SUMIFS(Seasons!$L$2:$L$2865,Seasons!$A$2:$A$2865,B437,Seasons!$B$2:$B$2865,"&gt;="&amp;$B$18,Seasons!$B$2:$B$2865,"&lt;="&amp;$C$18)</f>
        <v>2</v>
      </c>
      <c r="M437" s="3" t="n">
        <f aca="false">SUMIFS(Seasons!$N$2:$N$2865,Seasons!$A$2:$A$2865,B437,Seasons!$B$2:$B$2865,"&gt;="&amp;$B$18,Seasons!$B$2:$B$2865,"&lt;="&amp;$C$18)</f>
        <v>0</v>
      </c>
      <c r="N437" s="3" t="n">
        <f aca="false">IF(J437="",-1000000,J437+ROW()*0.000000001)</f>
        <v>-1.35672826363769</v>
      </c>
      <c r="O437" s="3" t="n">
        <f aca="false">IF(J437="","",SUMPRODUCT(($A$25:$A$534=A437)*($N$25:$N$534&gt;N437))+1)</f>
        <v>17</v>
      </c>
      <c r="P437" s="3" t="str">
        <f aca="false">A437&amp;"|"&amp;O437</f>
        <v>1990s payroll-adj|17</v>
      </c>
    </row>
    <row r="438" customFormat="false" ht="15" hidden="false" customHeight="true" outlineLevel="0" collapsed="false">
      <c r="A438" s="1" t="s">
        <v>22</v>
      </c>
      <c r="B438" s="7" t="s">
        <v>79</v>
      </c>
      <c r="C438" s="1" t="s">
        <v>72</v>
      </c>
      <c r="D438" s="3" t="n">
        <f aca="false">COUNTIFS(Market_Panel!$A$2:$A$2705,B438,Market_Panel!$B$2:$B$2705,"&gt;="&amp;$B$18,Market_Panel!$B$2:$B$2705,"&lt;="&amp;$C$18)</f>
        <v>10</v>
      </c>
      <c r="E438" s="10" t="n">
        <f aca="false">IF(D438=0,"",AVERAGEIFS(Market_Panel!$M$2:$M$2705,Market_Panel!$A$2:$A$2705,B438,Market_Panel!$B$2:$B$2705,"&gt;="&amp;$B$18,Market_Panel!$B$2:$B$2705,"&lt;="&amp;$C$18))</f>
        <v>0.00361196683354587</v>
      </c>
      <c r="F438" s="11" t="n">
        <f aca="false">IF(D438=0,"",AVERAGEIFS(Market_Panel!$P$2:$P$2705,Market_Panel!$A$2:$A$2705,B438,Market_Panel!$B$2:$B$2705,"&gt;="&amp;$B$18,Market_Panel!$B$2:$B$2705,"&lt;="&amp;$C$18))</f>
        <v>0.212683462484913</v>
      </c>
      <c r="G438" s="11" t="n">
        <f aca="false">IF(D438=0,"",AVERAGEIFS(Market_Panel!$R$2:$R$2705,Market_Panel!$A$2:$A$2705,B438,Market_Panel!$B$2:$B$2705,"&gt;="&amp;$B$18,Market_Panel!$B$2:$B$2705,"&lt;="&amp;$C$18))</f>
        <v>0</v>
      </c>
      <c r="H438" s="11" t="n">
        <f aca="false">IF(OR(D438=0,$H$18=0),0,AVERAGEIFS(Market_Panel!$Y$2:$Y$2705,Market_Panel!$A$2:$A$2705,B438,Market_Panel!$B$2:$B$2705,"&gt;="&amp;$B$18,Market_Panel!$B$2:$B$2705,"&lt;="&amp;$C$18))</f>
        <v>-0.692541442156286</v>
      </c>
      <c r="I438" s="10" t="n">
        <f aca="false">IF(D438=0,"",$I$18+$F$18*F438+$G$18*G438+$H$18*H438)</f>
        <v>-0.0495718538596025</v>
      </c>
      <c r="J438" s="5" t="n">
        <f aca="false">IF(D438&lt;5,"",(E438-I438)*162)</f>
        <v>8.61577895229004</v>
      </c>
      <c r="K438" s="5" t="n">
        <f aca="false">IF(D438=0,"",E438*162)</f>
        <v>0.585138627034431</v>
      </c>
      <c r="L438" s="3" t="n">
        <f aca="false">SUMIFS(Seasons!$L$2:$L$2865,Seasons!$A$2:$A$2865,B438,Seasons!$B$2:$B$2865,"&gt;="&amp;$B$18,Seasons!$B$2:$B$2865,"&lt;="&amp;$C$18)</f>
        <v>0</v>
      </c>
      <c r="M438" s="3" t="n">
        <f aca="false">SUMIFS(Seasons!$N$2:$N$2865,Seasons!$A$2:$A$2865,B438,Seasons!$B$2:$B$2865,"&gt;="&amp;$B$18,Seasons!$B$2:$B$2865,"&lt;="&amp;$C$18)</f>
        <v>0</v>
      </c>
      <c r="N438" s="3" t="n">
        <f aca="false">IF(J438="",-1000000,J438+ROW()*0.000000001)</f>
        <v>8.61577939029004</v>
      </c>
      <c r="O438" s="3" t="n">
        <f aca="false">IF(J438="","",SUMPRODUCT(($A$25:$A$534=A438)*($N$25:$N$534&gt;N438))+1)</f>
        <v>2</v>
      </c>
      <c r="P438" s="3" t="str">
        <f aca="false">A438&amp;"|"&amp;O438</f>
        <v>1990s payroll-adj|2</v>
      </c>
    </row>
    <row r="439" customFormat="false" ht="15" hidden="false" customHeight="true" outlineLevel="0" collapsed="false">
      <c r="A439" s="1" t="s">
        <v>22</v>
      </c>
      <c r="B439" s="7" t="s">
        <v>80</v>
      </c>
      <c r="C439" s="1" t="s">
        <v>72</v>
      </c>
      <c r="D439" s="3" t="n">
        <f aca="false">COUNTIFS(Market_Panel!$A$2:$A$2705,B439,Market_Panel!$B$2:$B$2705,"&gt;="&amp;$B$18,Market_Panel!$B$2:$B$2705,"&lt;="&amp;$C$18)</f>
        <v>10</v>
      </c>
      <c r="E439" s="10" t="n">
        <f aca="false">IF(D439=0,"",AVERAGEIFS(Market_Panel!$M$2:$M$2705,Market_Panel!$A$2:$A$2705,B439,Market_Panel!$B$2:$B$2705,"&gt;="&amp;$B$18,Market_Panel!$B$2:$B$2705,"&lt;="&amp;$C$18))</f>
        <v>-0.00855582301839532</v>
      </c>
      <c r="F439" s="11" t="n">
        <f aca="false">IF(D439=0,"",AVERAGEIFS(Market_Panel!$P$2:$P$2705,Market_Panel!$A$2:$A$2705,B439,Market_Panel!$B$2:$B$2705,"&gt;="&amp;$B$18,Market_Panel!$B$2:$B$2705,"&lt;="&amp;$C$18))</f>
        <v>-0.436241545766297</v>
      </c>
      <c r="G439" s="11" t="n">
        <f aca="false">IF(D439=0,"",AVERAGEIFS(Market_Panel!$R$2:$R$2705,Market_Panel!$A$2:$A$2705,B439,Market_Panel!$B$2:$B$2705,"&gt;="&amp;$B$18,Market_Panel!$B$2:$B$2705,"&lt;="&amp;$C$18))</f>
        <v>0</v>
      </c>
      <c r="H439" s="11" t="n">
        <f aca="false">IF(OR(D439=0,$H$18=0),0,AVERAGEIFS(Market_Panel!$Y$2:$Y$2705,Market_Panel!$A$2:$A$2705,B439,Market_Panel!$B$2:$B$2705,"&gt;="&amp;$B$18,Market_Panel!$B$2:$B$2705,"&lt;="&amp;$C$18))</f>
        <v>0.00449930107330872</v>
      </c>
      <c r="I439" s="10" t="n">
        <f aca="false">IF(D439=0,"",$I$18+$F$18*F439+$G$18*G439+$H$18*H439)</f>
        <v>0.00460987251316307</v>
      </c>
      <c r="J439" s="5" t="n">
        <f aca="false">IF(D439&lt;5,"",(E439-I439)*162)</f>
        <v>-2.13284267611246</v>
      </c>
      <c r="K439" s="5" t="n">
        <f aca="false">IF(D439=0,"",E439*162)</f>
        <v>-1.38604332898004</v>
      </c>
      <c r="L439" s="3" t="n">
        <f aca="false">SUMIFS(Seasons!$L$2:$L$2865,Seasons!$A$2:$A$2865,B439,Seasons!$B$2:$B$2865,"&gt;="&amp;$B$18,Seasons!$B$2:$B$2865,"&lt;="&amp;$C$18)</f>
        <v>2</v>
      </c>
      <c r="M439" s="3" t="n">
        <f aca="false">SUMIFS(Seasons!$N$2:$N$2865,Seasons!$A$2:$A$2865,B439,Seasons!$B$2:$B$2865,"&gt;="&amp;$B$18,Seasons!$B$2:$B$2865,"&lt;="&amp;$C$18)</f>
        <v>0</v>
      </c>
      <c r="N439" s="3" t="n">
        <f aca="false">IF(J439="",-1000000,J439+ROW()*0.000000001)</f>
        <v>-2.13284223711246</v>
      </c>
      <c r="O439" s="3" t="n">
        <f aca="false">IF(J439="","",SUMPRODUCT(($A$25:$A$534=A439)*($N$25:$N$534&gt;N439))+1)</f>
        <v>21</v>
      </c>
      <c r="P439" s="3" t="str">
        <f aca="false">A439&amp;"|"&amp;O439</f>
        <v>1990s payroll-adj|21</v>
      </c>
    </row>
    <row r="440" customFormat="false" ht="15" hidden="false" customHeight="true" outlineLevel="0" collapsed="false">
      <c r="A440" s="1" t="s">
        <v>22</v>
      </c>
      <c r="B440" s="7" t="s">
        <v>81</v>
      </c>
      <c r="C440" s="1" t="s">
        <v>72</v>
      </c>
      <c r="D440" s="3" t="n">
        <f aca="false">COUNTIFS(Market_Panel!$A$2:$A$2705,B440,Market_Panel!$B$2:$B$2705,"&gt;="&amp;$B$18,Market_Panel!$B$2:$B$2705,"&lt;="&amp;$C$18)</f>
        <v>10</v>
      </c>
      <c r="E440" s="10" t="n">
        <f aca="false">IF(D440=0,"",AVERAGEIFS(Market_Panel!$M$2:$M$2705,Market_Panel!$A$2:$A$2705,B440,Market_Panel!$B$2:$B$2705,"&gt;="&amp;$B$18,Market_Panel!$B$2:$B$2705,"&lt;="&amp;$C$18))</f>
        <v>0.0126424435890417</v>
      </c>
      <c r="F440" s="11" t="n">
        <f aca="false">IF(D440=0,"",AVERAGEIFS(Market_Panel!$P$2:$P$2705,Market_Panel!$A$2:$A$2705,B440,Market_Panel!$B$2:$B$2705,"&gt;="&amp;$B$18,Market_Panel!$B$2:$B$2705,"&lt;="&amp;$C$18))</f>
        <v>0.345162072611058</v>
      </c>
      <c r="G440" s="11" t="n">
        <f aca="false">IF(D440=0,"",AVERAGEIFS(Market_Panel!$R$2:$R$2705,Market_Panel!$A$2:$A$2705,B440,Market_Panel!$B$2:$B$2705,"&gt;="&amp;$B$18,Market_Panel!$B$2:$B$2705,"&lt;="&amp;$C$18))</f>
        <v>0</v>
      </c>
      <c r="H440" s="11" t="n">
        <f aca="false">IF(OR(D440=0,$H$18=0),0,AVERAGEIFS(Market_Panel!$Y$2:$Y$2705,Market_Panel!$A$2:$A$2705,B440,Market_Panel!$B$2:$B$2705,"&gt;="&amp;$B$18,Market_Panel!$B$2:$B$2705,"&lt;="&amp;$C$18))</f>
        <v>0.194361908335443</v>
      </c>
      <c r="I440" s="10" t="n">
        <f aca="false">IF(D440=0,"",$I$18+$F$18*F440+$G$18*G440+$H$18*H440)</f>
        <v>0.0150213557721951</v>
      </c>
      <c r="J440" s="5" t="n">
        <f aca="false">IF(D440&lt;5,"",(E440-I440)*162)</f>
        <v>-0.385383773670851</v>
      </c>
      <c r="K440" s="5" t="n">
        <f aca="false">IF(D440=0,"",E440*162)</f>
        <v>2.04807586142476</v>
      </c>
      <c r="L440" s="3" t="n">
        <f aca="false">SUMIFS(Seasons!$L$2:$L$2865,Seasons!$A$2:$A$2865,B440,Seasons!$B$2:$B$2865,"&gt;="&amp;$B$18,Seasons!$B$2:$B$2865,"&lt;="&amp;$C$18)</f>
        <v>3</v>
      </c>
      <c r="M440" s="3" t="n">
        <f aca="false">SUMIFS(Seasons!$N$2:$N$2865,Seasons!$A$2:$A$2865,B440,Seasons!$B$2:$B$2865,"&gt;="&amp;$B$18,Seasons!$B$2:$B$2865,"&lt;="&amp;$C$18)</f>
        <v>2</v>
      </c>
      <c r="N440" s="3" t="n">
        <f aca="false">IF(J440="",-1000000,J440+ROW()*0.000000001)</f>
        <v>-0.385383333670852</v>
      </c>
      <c r="O440" s="3" t="n">
        <f aca="false">IF(J440="","",SUMPRODUCT(($A$25:$A$534=A440)*($N$25:$N$534&gt;N440))+1)</f>
        <v>13</v>
      </c>
      <c r="P440" s="3" t="str">
        <f aca="false">A440&amp;"|"&amp;O440</f>
        <v>1990s payroll-adj|13</v>
      </c>
    </row>
    <row r="441" customFormat="false" ht="15" hidden="false" customHeight="true" outlineLevel="0" collapsed="false">
      <c r="A441" s="1" t="s">
        <v>22</v>
      </c>
      <c r="B441" s="7" t="s">
        <v>82</v>
      </c>
      <c r="C441" s="1" t="s">
        <v>72</v>
      </c>
      <c r="D441" s="3" t="n">
        <f aca="false">COUNTIFS(Market_Panel!$A$2:$A$2705,B441,Market_Panel!$B$2:$B$2705,"&gt;="&amp;$B$18,Market_Panel!$B$2:$B$2705,"&lt;="&amp;$C$18)</f>
        <v>7</v>
      </c>
      <c r="E441" s="10" t="n">
        <f aca="false">IF(D441=0,"",AVERAGEIFS(Market_Panel!$M$2:$M$2705,Market_Panel!$A$2:$A$2705,B441,Market_Panel!$B$2:$B$2705,"&gt;="&amp;$B$18,Market_Panel!$B$2:$B$2705,"&lt;="&amp;$C$18))</f>
        <v>-0.0220412907265336</v>
      </c>
      <c r="F441" s="11" t="n">
        <f aca="false">IF(D441=0,"",AVERAGEIFS(Market_Panel!$P$2:$P$2705,Market_Panel!$A$2:$A$2705,B441,Market_Panel!$B$2:$B$2705,"&gt;="&amp;$B$18,Market_Panel!$B$2:$B$2705,"&lt;="&amp;$C$18))</f>
        <v>-0.46612141694632</v>
      </c>
      <c r="G441" s="11" t="n">
        <f aca="false">IF(D441=0,"",AVERAGEIFS(Market_Panel!$R$2:$R$2705,Market_Panel!$A$2:$A$2705,B441,Market_Panel!$B$2:$B$2705,"&gt;="&amp;$B$18,Market_Panel!$B$2:$B$2705,"&lt;="&amp;$C$18))</f>
        <v>1</v>
      </c>
      <c r="H441" s="11" t="n">
        <f aca="false">IF(OR(D441=0,$H$18=0),0,AVERAGEIFS(Market_Panel!$Y$2:$Y$2705,Market_Panel!$A$2:$A$2705,B441,Market_Panel!$B$2:$B$2705,"&gt;="&amp;$B$18,Market_Panel!$B$2:$B$2705,"&lt;="&amp;$C$18))</f>
        <v>-0.0580055361841784</v>
      </c>
      <c r="I441" s="10" t="n">
        <f aca="false">IF(D441=0,"",$I$18+$F$18*F441+$G$18*G441+$H$18*H441)</f>
        <v>-0.0353730526739079</v>
      </c>
      <c r="J441" s="5" t="n">
        <f aca="false">IF(D441&lt;5,"",(E441-I441)*162)</f>
        <v>2.15974543547464</v>
      </c>
      <c r="K441" s="5" t="n">
        <f aca="false">IF(D441=0,"",E441*162)</f>
        <v>-3.57068909769844</v>
      </c>
      <c r="L441" s="3" t="n">
        <f aca="false">SUMIFS(Seasons!$L$2:$L$2865,Seasons!$A$2:$A$2865,B441,Seasons!$B$2:$B$2865,"&gt;="&amp;$B$18,Seasons!$B$2:$B$2865,"&lt;="&amp;$C$18)</f>
        <v>1</v>
      </c>
      <c r="M441" s="3" t="n">
        <f aca="false">SUMIFS(Seasons!$N$2:$N$2865,Seasons!$A$2:$A$2865,B441,Seasons!$B$2:$B$2865,"&gt;="&amp;$B$18,Seasons!$B$2:$B$2865,"&lt;="&amp;$C$18)</f>
        <v>0</v>
      </c>
      <c r="N441" s="3" t="n">
        <f aca="false">IF(J441="",-1000000,J441+ROW()*0.000000001)</f>
        <v>2.15974587647464</v>
      </c>
      <c r="O441" s="3" t="n">
        <f aca="false">IF(J441="","",SUMPRODUCT(($A$25:$A$534=A441)*($N$25:$N$534&gt;N441))+1)</f>
        <v>8</v>
      </c>
      <c r="P441" s="3" t="str">
        <f aca="false">A441&amp;"|"&amp;O441</f>
        <v>1990s payroll-adj|8</v>
      </c>
    </row>
    <row r="442" customFormat="false" ht="15" hidden="false" customHeight="true" outlineLevel="0" collapsed="false">
      <c r="A442" s="1" t="s">
        <v>22</v>
      </c>
      <c r="B442" s="7" t="s">
        <v>83</v>
      </c>
      <c r="C442" s="1" t="s">
        <v>72</v>
      </c>
      <c r="D442" s="3" t="n">
        <f aca="false">COUNTIFS(Market_Panel!$A$2:$A$2705,B442,Market_Panel!$B$2:$B$2705,"&gt;="&amp;$B$18,Market_Panel!$B$2:$B$2705,"&lt;="&amp;$C$18)</f>
        <v>7</v>
      </c>
      <c r="E442" s="10" t="n">
        <f aca="false">IF(D442=0,"",AVERAGEIFS(Market_Panel!$M$2:$M$2705,Market_Panel!$A$2:$A$2705,B442,Market_Panel!$B$2:$B$2705,"&gt;="&amp;$B$18,Market_Panel!$B$2:$B$2705,"&lt;="&amp;$C$18))</f>
        <v>-0.0575474981530309</v>
      </c>
      <c r="F442" s="11" t="n">
        <f aca="false">IF(D442=0,"",AVERAGEIFS(Market_Panel!$P$2:$P$2705,Market_Panel!$A$2:$A$2705,B442,Market_Panel!$B$2:$B$2705,"&gt;="&amp;$B$18,Market_Panel!$B$2:$B$2705,"&lt;="&amp;$C$18))</f>
        <v>-0.827460898862324</v>
      </c>
      <c r="G442" s="11" t="n">
        <f aca="false">IF(D442=0,"",AVERAGEIFS(Market_Panel!$R$2:$R$2705,Market_Panel!$A$2:$A$2705,B442,Market_Panel!$B$2:$B$2705,"&gt;="&amp;$B$18,Market_Panel!$B$2:$B$2705,"&lt;="&amp;$C$18))</f>
        <v>1</v>
      </c>
      <c r="H442" s="11" t="n">
        <f aca="false">IF(OR(D442=0,$H$18=0),0,AVERAGEIFS(Market_Panel!$Y$2:$Y$2705,Market_Panel!$A$2:$A$2705,B442,Market_Panel!$B$2:$B$2705,"&gt;="&amp;$B$18,Market_Panel!$B$2:$B$2705,"&lt;="&amp;$C$18))</f>
        <v>-0.233920425417049</v>
      </c>
      <c r="I442" s="10" t="n">
        <f aca="false">IF(D442=0,"",$I$18+$F$18*F442+$G$18*G442+$H$18*H442)</f>
        <v>-0.046664913233614</v>
      </c>
      <c r="J442" s="5" t="n">
        <f aca="false">IF(D442&lt;5,"",(E442-I442)*162)</f>
        <v>-1.76297875694553</v>
      </c>
      <c r="K442" s="5" t="n">
        <f aca="false">IF(D442=0,"",E442*162)</f>
        <v>-9.322694700791</v>
      </c>
      <c r="L442" s="3" t="n">
        <f aca="false">SUMIFS(Seasons!$L$2:$L$2865,Seasons!$A$2:$A$2865,B442,Seasons!$B$2:$B$2865,"&gt;="&amp;$B$18,Seasons!$B$2:$B$2865,"&lt;="&amp;$C$18)</f>
        <v>1</v>
      </c>
      <c r="M442" s="3" t="n">
        <f aca="false">SUMIFS(Seasons!$N$2:$N$2865,Seasons!$A$2:$A$2865,B442,Seasons!$B$2:$B$2865,"&gt;="&amp;$B$18,Seasons!$B$2:$B$2865,"&lt;="&amp;$C$18)</f>
        <v>1</v>
      </c>
      <c r="N442" s="3" t="n">
        <f aca="false">IF(J442="",-1000000,J442+ROW()*0.000000001)</f>
        <v>-1.76297831494553</v>
      </c>
      <c r="O442" s="3" t="n">
        <f aca="false">IF(J442="","",SUMPRODUCT(($A$25:$A$534=A442)*($N$25:$N$534&gt;N442))+1)</f>
        <v>18</v>
      </c>
      <c r="P442" s="3" t="str">
        <f aca="false">A442&amp;"|"&amp;O442</f>
        <v>1990s payroll-adj|18</v>
      </c>
    </row>
    <row r="443" customFormat="false" ht="15" hidden="false" customHeight="true" outlineLevel="0" collapsed="false">
      <c r="A443" s="1" t="s">
        <v>22</v>
      </c>
      <c r="B443" s="7" t="s">
        <v>84</v>
      </c>
      <c r="C443" s="1" t="s">
        <v>72</v>
      </c>
      <c r="D443" s="3" t="n">
        <f aca="false">COUNTIFS(Market_Panel!$A$2:$A$2705,B443,Market_Panel!$B$2:$B$2705,"&gt;="&amp;$B$18,Market_Panel!$B$2:$B$2705,"&lt;="&amp;$C$18)</f>
        <v>2</v>
      </c>
      <c r="E443" s="10" t="n">
        <f aca="false">IF(D443=0,"",AVERAGEIFS(Market_Panel!$M$2:$M$2705,Market_Panel!$A$2:$A$2705,B443,Market_Panel!$B$2:$B$2705,"&gt;="&amp;$B$18,Market_Panel!$B$2:$B$2705,"&lt;="&amp;$C$18))</f>
        <v>0.00934913483297681</v>
      </c>
      <c r="F443" s="11" t="n">
        <f aca="false">IF(D443=0,"",AVERAGEIFS(Market_Panel!$P$2:$P$2705,Market_Panel!$A$2:$A$2705,B443,Market_Panel!$B$2:$B$2705,"&gt;="&amp;$B$18,Market_Panel!$B$2:$B$2705,"&lt;="&amp;$C$18))</f>
        <v>0.422412527532829</v>
      </c>
      <c r="G443" s="11" t="n">
        <f aca="false">IF(D443=0,"",AVERAGEIFS(Market_Panel!$R$2:$R$2705,Market_Panel!$A$2:$A$2705,B443,Market_Panel!$B$2:$B$2705,"&gt;="&amp;$B$18,Market_Panel!$B$2:$B$2705,"&lt;="&amp;$C$18))</f>
        <v>1</v>
      </c>
      <c r="H443" s="11" t="n">
        <f aca="false">IF(OR(D443=0,$H$18=0),0,AVERAGEIFS(Market_Panel!$Y$2:$Y$2705,Market_Panel!$A$2:$A$2705,B443,Market_Panel!$B$2:$B$2705,"&gt;="&amp;$B$18,Market_Panel!$B$2:$B$2705,"&lt;="&amp;$C$18))</f>
        <v>0.111333984149653</v>
      </c>
      <c r="I443" s="10" t="n">
        <f aca="false">IF(D443=0,"",$I$18+$F$18*F443+$G$18*G443+$H$18*H443)</f>
        <v>-0.0269561758724433</v>
      </c>
      <c r="J443" s="5" t="str">
        <f aca="false">IF(D443&lt;5,"",(E443-I443)*162)</f>
        <v/>
      </c>
      <c r="K443" s="5" t="n">
        <f aca="false">IF(D443=0,"",E443*162)</f>
        <v>1.51455984294224</v>
      </c>
      <c r="L443" s="3" t="n">
        <f aca="false">SUMIFS(Seasons!$L$2:$L$2865,Seasons!$A$2:$A$2865,B443,Seasons!$B$2:$B$2865,"&gt;="&amp;$B$18,Seasons!$B$2:$B$2865,"&lt;="&amp;$C$18)</f>
        <v>1</v>
      </c>
      <c r="M443" s="3" t="n">
        <f aca="false">SUMIFS(Seasons!$N$2:$N$2865,Seasons!$A$2:$A$2865,B443,Seasons!$B$2:$B$2865,"&gt;="&amp;$B$18,Seasons!$B$2:$B$2865,"&lt;="&amp;$C$18)</f>
        <v>0</v>
      </c>
      <c r="N443" s="3" t="n">
        <f aca="false">IF(J443="",-1000000,J443+ROW()*0.000000001)</f>
        <v>-1000000</v>
      </c>
      <c r="O443" s="3" t="str">
        <f aca="false">IF(J443="","",SUMPRODUCT(($A$25:$A$534=A443)*($N$25:$N$534&gt;N443))+1)</f>
        <v/>
      </c>
      <c r="P443" s="3" t="str">
        <f aca="false">A443&amp;"|"&amp;O443</f>
        <v>1990s payroll-adj|</v>
      </c>
    </row>
    <row r="444" customFormat="false" ht="15" hidden="false" customHeight="true" outlineLevel="0" collapsed="false">
      <c r="A444" s="1" t="s">
        <v>22</v>
      </c>
      <c r="B444" s="7" t="s">
        <v>85</v>
      </c>
      <c r="C444" s="1" t="s">
        <v>72</v>
      </c>
      <c r="D444" s="3" t="n">
        <f aca="false">COUNTIFS(Market_Panel!$A$2:$A$2705,B444,Market_Panel!$B$2:$B$2705,"&gt;="&amp;$B$18,Market_Panel!$B$2:$B$2705,"&lt;="&amp;$C$18)</f>
        <v>2</v>
      </c>
      <c r="E444" s="10" t="n">
        <f aca="false">IF(D444=0,"",AVERAGEIFS(Market_Panel!$M$2:$M$2705,Market_Panel!$A$2:$A$2705,B444,Market_Panel!$B$2:$B$2705,"&gt;="&amp;$B$18,Market_Panel!$B$2:$B$2705,"&lt;="&amp;$C$18))</f>
        <v>-0.092502717018875</v>
      </c>
      <c r="F444" s="11" t="n">
        <f aca="false">IF(D444=0,"",AVERAGEIFS(Market_Panel!$P$2:$P$2705,Market_Panel!$A$2:$A$2705,B444,Market_Panel!$B$2:$B$2705,"&gt;="&amp;$B$18,Market_Panel!$B$2:$B$2705,"&lt;="&amp;$C$18))</f>
        <v>-1.01633953998578</v>
      </c>
      <c r="G444" s="11" t="n">
        <f aca="false">IF(D444=0,"",AVERAGEIFS(Market_Panel!$R$2:$R$2705,Market_Panel!$A$2:$A$2705,B444,Market_Panel!$B$2:$B$2705,"&gt;="&amp;$B$18,Market_Panel!$B$2:$B$2705,"&lt;="&amp;$C$18))</f>
        <v>1</v>
      </c>
      <c r="H444" s="11" t="n">
        <f aca="false">IF(OR(D444=0,$H$18=0),0,AVERAGEIFS(Market_Panel!$Y$2:$Y$2705,Market_Panel!$A$2:$A$2705,B444,Market_Panel!$B$2:$B$2705,"&gt;="&amp;$B$18,Market_Panel!$B$2:$B$2705,"&lt;="&amp;$C$18))</f>
        <v>-0.258642070972961</v>
      </c>
      <c r="I444" s="10" t="n">
        <f aca="false">IF(D444=0,"",$I$18+$F$18*F444+$G$18*G444+$H$18*H444)</f>
        <v>-0.0476252867156037</v>
      </c>
      <c r="J444" s="5" t="str">
        <f aca="false">IF(D444&lt;5,"",(E444-I444)*162)</f>
        <v/>
      </c>
      <c r="K444" s="5" t="n">
        <f aca="false">IF(D444=0,"",E444*162)</f>
        <v>-14.9854401570578</v>
      </c>
      <c r="L444" s="3" t="n">
        <f aca="false">SUMIFS(Seasons!$L$2:$L$2865,Seasons!$A$2:$A$2865,B444,Seasons!$B$2:$B$2865,"&gt;="&amp;$B$18,Seasons!$B$2:$B$2865,"&lt;="&amp;$C$18)</f>
        <v>0</v>
      </c>
      <c r="M444" s="3" t="n">
        <f aca="false">SUMIFS(Seasons!$N$2:$N$2865,Seasons!$A$2:$A$2865,B444,Seasons!$B$2:$B$2865,"&gt;="&amp;$B$18,Seasons!$B$2:$B$2865,"&lt;="&amp;$C$18)</f>
        <v>0</v>
      </c>
      <c r="N444" s="3" t="n">
        <f aca="false">IF(J444="",-1000000,J444+ROW()*0.000000001)</f>
        <v>-1000000</v>
      </c>
      <c r="O444" s="3" t="str">
        <f aca="false">IF(J444="","",SUMPRODUCT(($A$25:$A$534=A444)*($N$25:$N$534&gt;N444))+1)</f>
        <v/>
      </c>
      <c r="P444" s="3" t="str">
        <f aca="false">A444&amp;"|"&amp;O444</f>
        <v>1990s payroll-adj|</v>
      </c>
    </row>
    <row r="445" customFormat="false" ht="15" hidden="false" customHeight="true" outlineLevel="0" collapsed="false">
      <c r="A445" s="1" t="s">
        <v>23</v>
      </c>
      <c r="B445" s="7" t="s">
        <v>54</v>
      </c>
      <c r="C445" s="1" t="s">
        <v>55</v>
      </c>
      <c r="D445" s="3" t="n">
        <f aca="false">COUNTIFS(Market_Panel!$A$2:$A$2705,B445,Market_Panel!$B$2:$B$2705,"&gt;="&amp;$B$19,Market_Panel!$B$2:$B$2705,"&lt;="&amp;$C$19)</f>
        <v>10</v>
      </c>
      <c r="E445" s="10" t="n">
        <f aca="false">IF(D445=0,"",AVERAGEIFS(Market_Panel!$M$2:$M$2705,Market_Panel!$A$2:$A$2705,B445,Market_Panel!$B$2:$B$2705,"&gt;="&amp;$B$19,Market_Panel!$B$2:$B$2705,"&lt;="&amp;$C$19))</f>
        <v>0.0514051752424985</v>
      </c>
      <c r="F445" s="11" t="n">
        <f aca="false">IF(D445=0,"",AVERAGEIFS(Market_Panel!$P$2:$P$2705,Market_Panel!$A$2:$A$2705,B445,Market_Panel!$B$2:$B$2705,"&gt;="&amp;$B$19,Market_Panel!$B$2:$B$2705,"&lt;="&amp;$C$19))</f>
        <v>-0.68672657379917</v>
      </c>
      <c r="G445" s="11" t="n">
        <f aca="false">IF(D445=0,"",AVERAGEIFS(Market_Panel!$R$2:$R$2705,Market_Panel!$A$2:$A$2705,B445,Market_Panel!$B$2:$B$2705,"&gt;="&amp;$B$19,Market_Panel!$B$2:$B$2705,"&lt;="&amp;$C$19))</f>
        <v>0</v>
      </c>
      <c r="H445" s="11" t="n">
        <f aca="false">IF(OR(D445=0,$H$19=0),0,AVERAGEIFS(Market_Panel!$Y$2:$Y$2705,Market_Panel!$A$2:$A$2705,B445,Market_Panel!$B$2:$B$2705,"&gt;="&amp;$B$19,Market_Panel!$B$2:$B$2705,"&lt;="&amp;$C$19))</f>
        <v>0.316530750064145</v>
      </c>
      <c r="I445" s="10" t="n">
        <f aca="false">IF(D445=0,"",$I$19+$F$19*F445+$G$19*G445+$H$19*H445)</f>
        <v>0.0252942062020151</v>
      </c>
      <c r="J445" s="5" t="n">
        <f aca="false">IF(D445&lt;5,"",(E445-I445)*162)</f>
        <v>4.22997698455832</v>
      </c>
      <c r="K445" s="5" t="n">
        <f aca="false">IF(D445=0,"",E445*162)</f>
        <v>8.32763838928477</v>
      </c>
      <c r="L445" s="3" t="n">
        <f aca="false">SUMIFS(Seasons!$L$2:$L$2865,Seasons!$A$2:$A$2865,B445,Seasons!$B$2:$B$2865,"&gt;="&amp;$B$19,Seasons!$B$2:$B$2865,"&lt;="&amp;$C$19)</f>
        <v>6</v>
      </c>
      <c r="M445" s="3" t="n">
        <f aca="false">SUMIFS(Seasons!$N$2:$N$2865,Seasons!$A$2:$A$2865,B445,Seasons!$B$2:$B$2865,"&gt;="&amp;$B$19,Seasons!$B$2:$B$2865,"&lt;="&amp;$C$19)</f>
        <v>0</v>
      </c>
      <c r="N445" s="3" t="n">
        <f aca="false">IF(J445="",-1000000,J445+ROW()*0.000000001)</f>
        <v>4.22997742955832</v>
      </c>
      <c r="O445" s="3" t="n">
        <f aca="false">IF(J445="","",SUMPRODUCT(($A$25:$A$534=A445)*($N$25:$N$534&gt;N445))+1)</f>
        <v>8</v>
      </c>
      <c r="P445" s="3" t="str">
        <f aca="false">A445&amp;"|"&amp;O445</f>
        <v>2000s payroll-adj|8</v>
      </c>
    </row>
    <row r="446" customFormat="false" ht="15" hidden="false" customHeight="true" outlineLevel="0" collapsed="false">
      <c r="A446" s="1" t="s">
        <v>23</v>
      </c>
      <c r="B446" s="7" t="s">
        <v>56</v>
      </c>
      <c r="C446" s="1" t="s">
        <v>55</v>
      </c>
      <c r="D446" s="3" t="n">
        <f aca="false">COUNTIFS(Market_Panel!$A$2:$A$2705,B446,Market_Panel!$B$2:$B$2705,"&gt;="&amp;$B$19,Market_Panel!$B$2:$B$2705,"&lt;="&amp;$C$19)</f>
        <v>10</v>
      </c>
      <c r="E446" s="10" t="n">
        <f aca="false">IF(D446=0,"",AVERAGEIFS(Market_Panel!$M$2:$M$2705,Market_Panel!$A$2:$A$2705,B446,Market_Panel!$B$2:$B$2705,"&gt;="&amp;$B$19,Market_Panel!$B$2:$B$2705,"&lt;="&amp;$C$19))</f>
        <v>-0.00115315042271118</v>
      </c>
      <c r="F446" s="11" t="n">
        <f aca="false">IF(D446=0,"",AVERAGEIFS(Market_Panel!$P$2:$P$2705,Market_Panel!$A$2:$A$2705,B446,Market_Panel!$B$2:$B$2705,"&gt;="&amp;$B$19,Market_Panel!$B$2:$B$2705,"&lt;="&amp;$C$19))</f>
        <v>0.523324303311797</v>
      </c>
      <c r="G446" s="11" t="n">
        <f aca="false">IF(D446=0,"",AVERAGEIFS(Market_Panel!$R$2:$R$2705,Market_Panel!$A$2:$A$2705,B446,Market_Panel!$B$2:$B$2705,"&gt;="&amp;$B$19,Market_Panel!$B$2:$B$2705,"&lt;="&amp;$C$19))</f>
        <v>0</v>
      </c>
      <c r="H446" s="11" t="n">
        <f aca="false">IF(OR(D446=0,$H$19=0),0,AVERAGEIFS(Market_Panel!$Y$2:$Y$2705,Market_Panel!$A$2:$A$2705,B446,Market_Panel!$B$2:$B$2705,"&gt;="&amp;$B$19,Market_Panel!$B$2:$B$2705,"&lt;="&amp;$C$19))</f>
        <v>0.265712935352581</v>
      </c>
      <c r="I446" s="10" t="n">
        <f aca="false">IF(D446=0,"",$I$19+$F$19*F446+$G$19*G446+$H$19*H446)</f>
        <v>0.0199674577157388</v>
      </c>
      <c r="J446" s="5" t="n">
        <f aca="false">IF(D446&lt;5,"",(E446-I446)*162)</f>
        <v>-3.42153851842889</v>
      </c>
      <c r="K446" s="5" t="n">
        <f aca="false">IF(D446=0,"",E446*162)</f>
        <v>-0.186810368479211</v>
      </c>
      <c r="L446" s="3" t="n">
        <f aca="false">SUMIFS(Seasons!$L$2:$L$2865,Seasons!$A$2:$A$2865,B446,Seasons!$B$2:$B$2865,"&gt;="&amp;$B$19,Seasons!$B$2:$B$2865,"&lt;="&amp;$C$19)</f>
        <v>3</v>
      </c>
      <c r="M446" s="3" t="n">
        <f aca="false">SUMIFS(Seasons!$N$2:$N$2865,Seasons!$A$2:$A$2865,B446,Seasons!$B$2:$B$2865,"&gt;="&amp;$B$19,Seasons!$B$2:$B$2865,"&lt;="&amp;$C$19)</f>
        <v>0</v>
      </c>
      <c r="N446" s="3" t="n">
        <f aca="false">IF(J446="",-1000000,J446+ROW()*0.000000001)</f>
        <v>-3.42153807242889</v>
      </c>
      <c r="O446" s="3" t="n">
        <f aca="false">IF(J446="","",SUMPRODUCT(($A$25:$A$534=A446)*($N$25:$N$534&gt;N446))+1)</f>
        <v>21</v>
      </c>
      <c r="P446" s="3" t="str">
        <f aca="false">A446&amp;"|"&amp;O446</f>
        <v>2000s payroll-adj|21</v>
      </c>
    </row>
    <row r="447" customFormat="false" ht="15" hidden="false" customHeight="true" outlineLevel="0" collapsed="false">
      <c r="A447" s="1" t="s">
        <v>23</v>
      </c>
      <c r="B447" s="7" t="s">
        <v>57</v>
      </c>
      <c r="C447" s="1" t="s">
        <v>55</v>
      </c>
      <c r="D447" s="3" t="n">
        <f aca="false">COUNTIFS(Market_Panel!$A$2:$A$2705,B447,Market_Panel!$B$2:$B$2705,"&gt;="&amp;$B$19,Market_Panel!$B$2:$B$2705,"&lt;="&amp;$C$19)</f>
        <v>10</v>
      </c>
      <c r="E447" s="10" t="n">
        <f aca="false">IF(D447=0,"",AVERAGEIFS(Market_Panel!$M$2:$M$2705,Market_Panel!$A$2:$A$2705,B447,Market_Panel!$B$2:$B$2705,"&gt;="&amp;$B$19,Market_Panel!$B$2:$B$2705,"&lt;="&amp;$C$19))</f>
        <v>-0.0364111827821928</v>
      </c>
      <c r="F447" s="11" t="n">
        <f aca="false">IF(D447=0,"",AVERAGEIFS(Market_Panel!$P$2:$P$2705,Market_Panel!$A$2:$A$2705,B447,Market_Panel!$B$2:$B$2705,"&gt;="&amp;$B$19,Market_Panel!$B$2:$B$2705,"&lt;="&amp;$C$19))</f>
        <v>-0.968616069037615</v>
      </c>
      <c r="G447" s="11" t="n">
        <f aca="false">IF(D447=0,"",AVERAGEIFS(Market_Panel!$R$2:$R$2705,Market_Panel!$A$2:$A$2705,B447,Market_Panel!$B$2:$B$2705,"&gt;="&amp;$B$19,Market_Panel!$B$2:$B$2705,"&lt;="&amp;$C$19))</f>
        <v>0</v>
      </c>
      <c r="H447" s="11" t="n">
        <f aca="false">IF(OR(D447=0,$H$19=0),0,AVERAGEIFS(Market_Panel!$Y$2:$Y$2705,Market_Panel!$A$2:$A$2705,B447,Market_Panel!$B$2:$B$2705,"&gt;="&amp;$B$19,Market_Panel!$B$2:$B$2705,"&lt;="&amp;$C$19))</f>
        <v>-0.158481115318693</v>
      </c>
      <c r="I447" s="10" t="n">
        <f aca="false">IF(D447=0,"",$I$19+$F$19*F447+$G$19*G447+$H$19*H447)</f>
        <v>-0.0078289151441349</v>
      </c>
      <c r="J447" s="5" t="n">
        <f aca="false">IF(D447&lt;5,"",(E447-I447)*162)</f>
        <v>-4.63032735736538</v>
      </c>
      <c r="K447" s="5" t="n">
        <f aca="false">IF(D447=0,"",E447*162)</f>
        <v>-5.89861161071524</v>
      </c>
      <c r="L447" s="3" t="n">
        <f aca="false">SUMIFS(Seasons!$L$2:$L$2865,Seasons!$A$2:$A$2865,B447,Seasons!$B$2:$B$2865,"&gt;="&amp;$B$19,Seasons!$B$2:$B$2865,"&lt;="&amp;$C$19)</f>
        <v>0</v>
      </c>
      <c r="M447" s="3" t="n">
        <f aca="false">SUMIFS(Seasons!$N$2:$N$2865,Seasons!$A$2:$A$2865,B447,Seasons!$B$2:$B$2865,"&gt;="&amp;$B$19,Seasons!$B$2:$B$2865,"&lt;="&amp;$C$19)</f>
        <v>0</v>
      </c>
      <c r="N447" s="3" t="n">
        <f aca="false">IF(J447="",-1000000,J447+ROW()*0.000000001)</f>
        <v>-4.63032691036538</v>
      </c>
      <c r="O447" s="3" t="n">
        <f aca="false">IF(J447="","",SUMPRODUCT(($A$25:$A$534=A447)*($N$25:$N$534&gt;N447))+1)</f>
        <v>25</v>
      </c>
      <c r="P447" s="3" t="str">
        <f aca="false">A447&amp;"|"&amp;O447</f>
        <v>2000s payroll-adj|25</v>
      </c>
    </row>
    <row r="448" customFormat="false" ht="15" hidden="false" customHeight="true" outlineLevel="0" collapsed="false">
      <c r="A448" s="1" t="s">
        <v>23</v>
      </c>
      <c r="B448" s="7" t="s">
        <v>58</v>
      </c>
      <c r="C448" s="1" t="s">
        <v>55</v>
      </c>
      <c r="D448" s="3" t="n">
        <f aca="false">COUNTIFS(Market_Panel!$A$2:$A$2705,B448,Market_Panel!$B$2:$B$2705,"&gt;="&amp;$B$19,Market_Panel!$B$2:$B$2705,"&lt;="&amp;$C$19)</f>
        <v>10</v>
      </c>
      <c r="E448" s="10" t="n">
        <f aca="false">IF(D448=0,"",AVERAGEIFS(Market_Panel!$M$2:$M$2705,Market_Panel!$A$2:$A$2705,B448,Market_Panel!$B$2:$B$2705,"&gt;="&amp;$B$19,Market_Panel!$B$2:$B$2705,"&lt;="&amp;$C$19))</f>
        <v>-0.078831242593557</v>
      </c>
      <c r="F448" s="11" t="n">
        <f aca="false">IF(D448=0,"",AVERAGEIFS(Market_Panel!$P$2:$P$2705,Market_Panel!$A$2:$A$2705,B448,Market_Panel!$B$2:$B$2705,"&gt;="&amp;$B$19,Market_Panel!$B$2:$B$2705,"&lt;="&amp;$C$19))</f>
        <v>-0.950115974683354</v>
      </c>
      <c r="G448" s="11" t="n">
        <f aca="false">IF(D448=0,"",AVERAGEIFS(Market_Panel!$R$2:$R$2705,Market_Panel!$A$2:$A$2705,B448,Market_Panel!$B$2:$B$2705,"&gt;="&amp;$B$19,Market_Panel!$B$2:$B$2705,"&lt;="&amp;$C$19))</f>
        <v>0</v>
      </c>
      <c r="H448" s="11" t="n">
        <f aca="false">IF(OR(D448=0,$H$19=0),0,AVERAGEIFS(Market_Panel!$Y$2:$Y$2705,Market_Panel!$A$2:$A$2705,B448,Market_Panel!$B$2:$B$2705,"&gt;="&amp;$B$19,Market_Panel!$B$2:$B$2705,"&lt;="&amp;$C$19))</f>
        <v>-0.45715673869902</v>
      </c>
      <c r="I448" s="10" t="n">
        <f aca="false">IF(D448=0,"",$I$19+$F$19*F448+$G$19*G448+$H$19*H448)</f>
        <v>-0.0289373497132655</v>
      </c>
      <c r="J448" s="5" t="n">
        <f aca="false">IF(D448&lt;5,"",(E448-I448)*162)</f>
        <v>-8.08281064660721</v>
      </c>
      <c r="K448" s="5" t="n">
        <f aca="false">IF(D448=0,"",E448*162)</f>
        <v>-12.7706613001562</v>
      </c>
      <c r="L448" s="3" t="n">
        <f aca="false">SUMIFS(Seasons!$L$2:$L$2865,Seasons!$A$2:$A$2865,B448,Seasons!$B$2:$B$2865,"&gt;="&amp;$B$19,Seasons!$B$2:$B$2865,"&lt;="&amp;$C$19)</f>
        <v>0</v>
      </c>
      <c r="M448" s="3" t="n">
        <f aca="false">SUMIFS(Seasons!$N$2:$N$2865,Seasons!$A$2:$A$2865,B448,Seasons!$B$2:$B$2865,"&gt;="&amp;$B$19,Seasons!$B$2:$B$2865,"&lt;="&amp;$C$19)</f>
        <v>0</v>
      </c>
      <c r="N448" s="3" t="n">
        <f aca="false">IF(J448="",-1000000,J448+ROW()*0.000000001)</f>
        <v>-8.08281019860722</v>
      </c>
      <c r="O448" s="3" t="n">
        <f aca="false">IF(J448="","",SUMPRODUCT(($A$25:$A$534=A448)*($N$25:$N$534&gt;N448))+1)</f>
        <v>27</v>
      </c>
      <c r="P448" s="3" t="str">
        <f aca="false">A448&amp;"|"&amp;O448</f>
        <v>2000s payroll-adj|27</v>
      </c>
    </row>
    <row r="449" customFormat="false" ht="15" hidden="false" customHeight="true" outlineLevel="0" collapsed="false">
      <c r="A449" s="1" t="s">
        <v>23</v>
      </c>
      <c r="B449" s="7" t="s">
        <v>59</v>
      </c>
      <c r="C449" s="1" t="s">
        <v>55</v>
      </c>
      <c r="D449" s="3" t="n">
        <f aca="false">COUNTIFS(Market_Panel!$A$2:$A$2705,B449,Market_Panel!$B$2:$B$2705,"&gt;="&amp;$B$19,Market_Panel!$B$2:$B$2705,"&lt;="&amp;$C$19)</f>
        <v>10</v>
      </c>
      <c r="E449" s="10" t="n">
        <f aca="false">IF(D449=0,"",AVERAGEIFS(Market_Panel!$M$2:$M$2705,Market_Panel!$A$2:$A$2705,B449,Market_Panel!$B$2:$B$2705,"&gt;="&amp;$B$19,Market_Panel!$B$2:$B$2705,"&lt;="&amp;$C$19))</f>
        <v>0.0639070443476285</v>
      </c>
      <c r="F449" s="11" t="n">
        <f aca="false">IF(D449=0,"",AVERAGEIFS(Market_Panel!$P$2:$P$2705,Market_Panel!$A$2:$A$2705,B449,Market_Panel!$B$2:$B$2705,"&gt;="&amp;$B$19,Market_Panel!$B$2:$B$2705,"&lt;="&amp;$C$19))</f>
        <v>-0.908587098741972</v>
      </c>
      <c r="G449" s="11" t="n">
        <f aca="false">IF(D449=0,"",AVERAGEIFS(Market_Panel!$R$2:$R$2705,Market_Panel!$A$2:$A$2705,B449,Market_Panel!$B$2:$B$2705,"&gt;="&amp;$B$19,Market_Panel!$B$2:$B$2705,"&lt;="&amp;$C$19))</f>
        <v>0</v>
      </c>
      <c r="H449" s="11" t="n">
        <f aca="false">IF(OR(D449=0,$H$19=0),0,AVERAGEIFS(Market_Panel!$Y$2:$Y$2705,Market_Panel!$A$2:$A$2705,B449,Market_Panel!$B$2:$B$2705,"&gt;="&amp;$B$19,Market_Panel!$B$2:$B$2705,"&lt;="&amp;$C$19))</f>
        <v>0.212013403831592</v>
      </c>
      <c r="I449" s="10" t="n">
        <f aca="false">IF(D449=0,"",$I$19+$F$19*F449+$G$19*G449+$H$19*H449)</f>
        <v>0.0182359033825575</v>
      </c>
      <c r="J449" s="5" t="n">
        <f aca="false">IF(D449&lt;5,"",(E449-I449)*162)</f>
        <v>7.39872483634152</v>
      </c>
      <c r="K449" s="5" t="n">
        <f aca="false">IF(D449=0,"",E449*162)</f>
        <v>10.3529411843158</v>
      </c>
      <c r="L449" s="3" t="n">
        <f aca="false">SUMIFS(Seasons!$L$2:$L$2865,Seasons!$A$2:$A$2865,B449,Seasons!$B$2:$B$2865,"&gt;="&amp;$B$19,Seasons!$B$2:$B$2865,"&lt;="&amp;$C$19)</f>
        <v>7</v>
      </c>
      <c r="M449" s="3" t="n">
        <f aca="false">SUMIFS(Seasons!$N$2:$N$2865,Seasons!$A$2:$A$2865,B449,Seasons!$B$2:$B$2865,"&gt;="&amp;$B$19,Seasons!$B$2:$B$2865,"&lt;="&amp;$C$19)</f>
        <v>1</v>
      </c>
      <c r="N449" s="3" t="n">
        <f aca="false">IF(J449="",-1000000,J449+ROW()*0.000000001)</f>
        <v>7.39872528534152</v>
      </c>
      <c r="O449" s="3" t="n">
        <f aca="false">IF(J449="","",SUMPRODUCT(($A$25:$A$534=A449)*($N$25:$N$534&gt;N449))+1)</f>
        <v>4</v>
      </c>
      <c r="P449" s="3" t="str">
        <f aca="false">A449&amp;"|"&amp;O449</f>
        <v>2000s payroll-adj|4</v>
      </c>
    </row>
    <row r="450" customFormat="false" ht="15" hidden="false" customHeight="true" outlineLevel="0" collapsed="false">
      <c r="A450" s="1" t="s">
        <v>23</v>
      </c>
      <c r="B450" s="7" t="s">
        <v>60</v>
      </c>
      <c r="C450" s="1" t="s">
        <v>55</v>
      </c>
      <c r="D450" s="3" t="n">
        <f aca="false">COUNTIFS(Market_Panel!$A$2:$A$2705,B450,Market_Panel!$B$2:$B$2705,"&gt;="&amp;$B$19,Market_Panel!$B$2:$B$2705,"&lt;="&amp;$C$19)</f>
        <v>10</v>
      </c>
      <c r="E450" s="10" t="n">
        <f aca="false">IF(D450=0,"",AVERAGEIFS(Market_Panel!$M$2:$M$2705,Market_Panel!$A$2:$A$2705,B450,Market_Panel!$B$2:$B$2705,"&gt;="&amp;$B$19,Market_Panel!$B$2:$B$2705,"&lt;="&amp;$C$19))</f>
        <v>0.0250066532733244</v>
      </c>
      <c r="F450" s="11" t="n">
        <f aca="false">IF(D450=0,"",AVERAGEIFS(Market_Panel!$P$2:$P$2705,Market_Panel!$A$2:$A$2705,B450,Market_Panel!$B$2:$B$2705,"&gt;="&amp;$B$19,Market_Panel!$B$2:$B$2705,"&lt;="&amp;$C$19))</f>
        <v>0.605005346657238</v>
      </c>
      <c r="G450" s="11" t="n">
        <f aca="false">IF(D450=0,"",AVERAGEIFS(Market_Panel!$R$2:$R$2705,Market_Panel!$A$2:$A$2705,B450,Market_Panel!$B$2:$B$2705,"&gt;="&amp;$B$19,Market_Panel!$B$2:$B$2705,"&lt;="&amp;$C$19))</f>
        <v>0</v>
      </c>
      <c r="H450" s="11" t="n">
        <f aca="false">IF(OR(D450=0,$H$19=0),0,AVERAGEIFS(Market_Panel!$Y$2:$Y$2705,Market_Panel!$A$2:$A$2705,B450,Market_Panel!$B$2:$B$2705,"&gt;="&amp;$B$19,Market_Panel!$B$2:$B$2705,"&lt;="&amp;$C$19))</f>
        <v>0.115903736719304</v>
      </c>
      <c r="I450" s="10" t="n">
        <f aca="false">IF(D450=0,"",$I$19+$F$19*F450+$G$19*G450+$H$19*H450)</f>
        <v>0.00927582699863843</v>
      </c>
      <c r="J450" s="5" t="n">
        <f aca="false">IF(D450&lt;5,"",(E450-I450)*162)</f>
        <v>2.54839385649913</v>
      </c>
      <c r="K450" s="5" t="n">
        <f aca="false">IF(D450=0,"",E450*162)</f>
        <v>4.05107783027856</v>
      </c>
      <c r="L450" s="3" t="n">
        <f aca="false">SUMIFS(Seasons!$L$2:$L$2865,Seasons!$A$2:$A$2865,B450,Seasons!$B$2:$B$2865,"&gt;="&amp;$B$19,Seasons!$B$2:$B$2865,"&lt;="&amp;$C$19)</f>
        <v>3</v>
      </c>
      <c r="M450" s="3" t="n">
        <f aca="false">SUMIFS(Seasons!$N$2:$N$2865,Seasons!$A$2:$A$2865,B450,Seasons!$B$2:$B$2865,"&gt;="&amp;$B$19,Seasons!$B$2:$B$2865,"&lt;="&amp;$C$19)</f>
        <v>1</v>
      </c>
      <c r="N450" s="3" t="n">
        <f aca="false">IF(J450="",-1000000,J450+ROW()*0.000000001)</f>
        <v>2.54839430649913</v>
      </c>
      <c r="O450" s="3" t="n">
        <f aca="false">IF(J450="","",SUMPRODUCT(($A$25:$A$534=A450)*($N$25:$N$534&gt;N450))+1)</f>
        <v>11</v>
      </c>
      <c r="P450" s="3" t="str">
        <f aca="false">A450&amp;"|"&amp;O450</f>
        <v>2000s payroll-adj|11</v>
      </c>
    </row>
    <row r="451" customFormat="false" ht="15" hidden="false" customHeight="true" outlineLevel="0" collapsed="false">
      <c r="A451" s="1" t="s">
        <v>23</v>
      </c>
      <c r="B451" s="7" t="s">
        <v>61</v>
      </c>
      <c r="C451" s="1" t="s">
        <v>55</v>
      </c>
      <c r="D451" s="3" t="n">
        <f aca="false">COUNTIFS(Market_Panel!$A$2:$A$2705,B451,Market_Panel!$B$2:$B$2705,"&gt;="&amp;$B$19,Market_Panel!$B$2:$B$2705,"&lt;="&amp;$C$19)</f>
        <v>10</v>
      </c>
      <c r="E451" s="10" t="n">
        <f aca="false">IF(D451=0,"",AVERAGEIFS(Market_Panel!$M$2:$M$2705,Market_Panel!$A$2:$A$2705,B451,Market_Panel!$B$2:$B$2705,"&gt;="&amp;$B$19,Market_Panel!$B$2:$B$2705,"&lt;="&amp;$C$19))</f>
        <v>0.0288253788311804</v>
      </c>
      <c r="F451" s="11" t="n">
        <f aca="false">IF(D451=0,"",AVERAGEIFS(Market_Panel!$P$2:$P$2705,Market_Panel!$A$2:$A$2705,B451,Market_Panel!$B$2:$B$2705,"&gt;="&amp;$B$19,Market_Panel!$B$2:$B$2705,"&lt;="&amp;$C$19))</f>
        <v>-0.0510340910162917</v>
      </c>
      <c r="G451" s="11" t="n">
        <f aca="false">IF(D451=0,"",AVERAGEIFS(Market_Panel!$R$2:$R$2705,Market_Panel!$A$2:$A$2705,B451,Market_Panel!$B$2:$B$2705,"&gt;="&amp;$B$19,Market_Panel!$B$2:$B$2705,"&lt;="&amp;$C$19))</f>
        <v>0</v>
      </c>
      <c r="H451" s="11" t="n">
        <f aca="false">IF(OR(D451=0,$H$19=0),0,AVERAGEIFS(Market_Panel!$Y$2:$Y$2705,Market_Panel!$A$2:$A$2705,B451,Market_Panel!$B$2:$B$2705,"&gt;="&amp;$B$19,Market_Panel!$B$2:$B$2705,"&lt;="&amp;$C$19))</f>
        <v>0.145598663731276</v>
      </c>
      <c r="I451" s="10" t="n">
        <f aca="false">IF(D451=0,"",$I$19+$F$19*F451+$G$19*G451+$H$19*H451)</f>
        <v>0.0123150749422346</v>
      </c>
      <c r="J451" s="5" t="n">
        <f aca="false">IF(D451&lt;5,"",(E451-I451)*162)</f>
        <v>2.67466923000922</v>
      </c>
      <c r="K451" s="5" t="n">
        <f aca="false">IF(D451=0,"",E451*162)</f>
        <v>4.66971137065123</v>
      </c>
      <c r="L451" s="3" t="n">
        <f aca="false">SUMIFS(Seasons!$L$2:$L$2865,Seasons!$A$2:$A$2865,B451,Seasons!$B$2:$B$2865,"&gt;="&amp;$B$19,Seasons!$B$2:$B$2865,"&lt;="&amp;$C$19)</f>
        <v>3</v>
      </c>
      <c r="M451" s="3" t="n">
        <f aca="false">SUMIFS(Seasons!$N$2:$N$2865,Seasons!$A$2:$A$2865,B451,Seasons!$B$2:$B$2865,"&gt;="&amp;$B$19,Seasons!$B$2:$B$2865,"&lt;="&amp;$C$19)</f>
        <v>0</v>
      </c>
      <c r="N451" s="3" t="n">
        <f aca="false">IF(J451="",-1000000,J451+ROW()*0.000000001)</f>
        <v>2.67466968100922</v>
      </c>
      <c r="O451" s="3" t="n">
        <f aca="false">IF(J451="","",SUMPRODUCT(($A$25:$A$534=A451)*($N$25:$N$534&gt;N451))+1)</f>
        <v>10</v>
      </c>
      <c r="P451" s="3" t="str">
        <f aca="false">A451&amp;"|"&amp;O451</f>
        <v>2000s payroll-adj|10</v>
      </c>
    </row>
    <row r="452" customFormat="false" ht="15" hidden="false" customHeight="true" outlineLevel="0" collapsed="false">
      <c r="A452" s="1" t="s">
        <v>23</v>
      </c>
      <c r="B452" s="7" t="s">
        <v>62</v>
      </c>
      <c r="C452" s="1" t="s">
        <v>55</v>
      </c>
      <c r="D452" s="3" t="n">
        <f aca="false">COUNTIFS(Market_Panel!$A$2:$A$2705,B452,Market_Panel!$B$2:$B$2705,"&gt;="&amp;$B$19,Market_Panel!$B$2:$B$2705,"&lt;="&amp;$C$19)</f>
        <v>10</v>
      </c>
      <c r="E452" s="10" t="n">
        <f aca="false">IF(D452=0,"",AVERAGEIFS(Market_Panel!$M$2:$M$2705,Market_Panel!$A$2:$A$2705,B452,Market_Panel!$B$2:$B$2705,"&gt;="&amp;$B$19,Market_Panel!$B$2:$B$2705,"&lt;="&amp;$C$19))</f>
        <v>0.0321073357363257</v>
      </c>
      <c r="F452" s="11" t="n">
        <f aca="false">IF(D452=0,"",AVERAGEIFS(Market_Panel!$P$2:$P$2705,Market_Panel!$A$2:$A$2705,B452,Market_Panel!$B$2:$B$2705,"&gt;="&amp;$B$19,Market_Panel!$B$2:$B$2705,"&lt;="&amp;$C$19))</f>
        <v>0.81094878406267</v>
      </c>
      <c r="G452" s="11" t="n">
        <f aca="false">IF(D452=0,"",AVERAGEIFS(Market_Panel!$R$2:$R$2705,Market_Panel!$A$2:$A$2705,B452,Market_Panel!$B$2:$B$2705,"&gt;="&amp;$B$19,Market_Panel!$B$2:$B$2705,"&lt;="&amp;$C$19))</f>
        <v>0</v>
      </c>
      <c r="H452" s="11" t="n">
        <f aca="false">IF(OR(D452=0,$H$19=0),0,AVERAGEIFS(Market_Panel!$Y$2:$Y$2705,Market_Panel!$A$2:$A$2705,B452,Market_Panel!$B$2:$B$2705,"&gt;="&amp;$B$19,Market_Panel!$B$2:$B$2705,"&lt;="&amp;$C$19))</f>
        <v>0.386953118755078</v>
      </c>
      <c r="I452" s="10" t="n">
        <f aca="false">IF(D452=0,"",$I$19+$F$19*F452+$G$19*G452+$H$19*H452)</f>
        <v>0.028111576672752</v>
      </c>
      <c r="J452" s="5" t="n">
        <f aca="false">IF(D452&lt;5,"",(E452-I452)*162)</f>
        <v>0.64731296829895</v>
      </c>
      <c r="K452" s="5" t="n">
        <f aca="false">IF(D452=0,"",E452*162)</f>
        <v>5.20138838928477</v>
      </c>
      <c r="L452" s="3" t="n">
        <f aca="false">SUMIFS(Seasons!$L$2:$L$2865,Seasons!$A$2:$A$2865,B452,Seasons!$B$2:$B$2865,"&gt;="&amp;$B$19,Seasons!$B$2:$B$2865,"&lt;="&amp;$C$19)</f>
        <v>4</v>
      </c>
      <c r="M452" s="3" t="n">
        <f aca="false">SUMIFS(Seasons!$N$2:$N$2865,Seasons!$A$2:$A$2865,B452,Seasons!$B$2:$B$2865,"&gt;="&amp;$B$19,Seasons!$B$2:$B$2865,"&lt;="&amp;$C$19)</f>
        <v>0</v>
      </c>
      <c r="N452" s="3" t="n">
        <f aca="false">IF(J452="",-1000000,J452+ROW()*0.000000001)</f>
        <v>0.647313420298949</v>
      </c>
      <c r="O452" s="3" t="n">
        <f aca="false">IF(J452="","",SUMPRODUCT(($A$25:$A$534=A452)*($N$25:$N$534&gt;N452))+1)</f>
        <v>15</v>
      </c>
      <c r="P452" s="3" t="str">
        <f aca="false">A452&amp;"|"&amp;O452</f>
        <v>2000s payroll-adj|15</v>
      </c>
    </row>
    <row r="453" customFormat="false" ht="15" hidden="false" customHeight="true" outlineLevel="0" collapsed="false">
      <c r="A453" s="1" t="s">
        <v>23</v>
      </c>
      <c r="B453" s="7" t="s">
        <v>63</v>
      </c>
      <c r="C453" s="1" t="s">
        <v>55</v>
      </c>
      <c r="D453" s="3" t="n">
        <f aca="false">COUNTIFS(Market_Panel!$A$2:$A$2705,B453,Market_Panel!$B$2:$B$2705,"&gt;="&amp;$B$19,Market_Panel!$B$2:$B$2705,"&lt;="&amp;$C$19)</f>
        <v>10</v>
      </c>
      <c r="E453" s="10" t="n">
        <f aca="false">IF(D453=0,"",AVERAGEIFS(Market_Panel!$M$2:$M$2705,Market_Panel!$A$2:$A$2705,B453,Market_Panel!$B$2:$B$2705,"&gt;="&amp;$B$19,Market_Panel!$B$2:$B$2705,"&lt;="&amp;$C$19))</f>
        <v>-0.0686249700684439</v>
      </c>
      <c r="F453" s="11" t="n">
        <f aca="false">IF(D453=0,"",AVERAGEIFS(Market_Panel!$P$2:$P$2705,Market_Panel!$A$2:$A$2705,B453,Market_Panel!$B$2:$B$2705,"&gt;="&amp;$B$19,Market_Panel!$B$2:$B$2705,"&lt;="&amp;$C$19))</f>
        <v>-0.264966506758852</v>
      </c>
      <c r="G453" s="11" t="n">
        <f aca="false">IF(D453=0,"",AVERAGEIFS(Market_Panel!$R$2:$R$2705,Market_Panel!$A$2:$A$2705,B453,Market_Panel!$B$2:$B$2705,"&gt;="&amp;$B$19,Market_Panel!$B$2:$B$2705,"&lt;="&amp;$C$19))</f>
        <v>0</v>
      </c>
      <c r="H453" s="11" t="n">
        <f aca="false">IF(OR(D453=0,$H$19=0),0,AVERAGEIFS(Market_Panel!$Y$2:$Y$2705,Market_Panel!$A$2:$A$2705,B453,Market_Panel!$B$2:$B$2705,"&gt;="&amp;$B$19,Market_Panel!$B$2:$B$2705,"&lt;="&amp;$C$19))</f>
        <v>0.0375809282555736</v>
      </c>
      <c r="I453" s="10" t="n">
        <f aca="false">IF(D453=0,"",$I$19+$F$19*F453+$G$19*G453+$H$19*H453)</f>
        <v>0.00499830030984186</v>
      </c>
      <c r="J453" s="5" t="n">
        <f aca="false">IF(D453&lt;5,"",(E453-I453)*162)</f>
        <v>-11.9269698012823</v>
      </c>
      <c r="K453" s="5" t="n">
        <f aca="false">IF(D453=0,"",E453*162)</f>
        <v>-11.1172451510879</v>
      </c>
      <c r="L453" s="3" t="n">
        <f aca="false">SUMIFS(Seasons!$L$2:$L$2865,Seasons!$A$2:$A$2865,B453,Seasons!$B$2:$B$2865,"&gt;="&amp;$B$19,Seasons!$B$2:$B$2865,"&lt;="&amp;$C$19)</f>
        <v>0</v>
      </c>
      <c r="M453" s="3" t="n">
        <f aca="false">SUMIFS(Seasons!$N$2:$N$2865,Seasons!$A$2:$A$2865,B453,Seasons!$B$2:$B$2865,"&gt;="&amp;$B$19,Seasons!$B$2:$B$2865,"&lt;="&amp;$C$19)</f>
        <v>0</v>
      </c>
      <c r="N453" s="3" t="n">
        <f aca="false">IF(J453="",-1000000,J453+ROW()*0.000000001)</f>
        <v>-11.9269693482823</v>
      </c>
      <c r="O453" s="3" t="n">
        <f aca="false">IF(J453="","",SUMPRODUCT(($A$25:$A$534=A453)*($N$25:$N$534&gt;N453))+1)</f>
        <v>30</v>
      </c>
      <c r="P453" s="3" t="str">
        <f aca="false">A453&amp;"|"&amp;O453</f>
        <v>2000s payroll-adj|30</v>
      </c>
    </row>
    <row r="454" customFormat="false" ht="15" hidden="false" customHeight="true" outlineLevel="0" collapsed="false">
      <c r="A454" s="1" t="s">
        <v>23</v>
      </c>
      <c r="B454" s="7" t="s">
        <v>64</v>
      </c>
      <c r="C454" s="1" t="s">
        <v>55</v>
      </c>
      <c r="D454" s="3" t="n">
        <f aca="false">COUNTIFS(Market_Panel!$A$2:$A$2705,B454,Market_Panel!$B$2:$B$2705,"&gt;="&amp;$B$19,Market_Panel!$B$2:$B$2705,"&lt;="&amp;$C$19)</f>
        <v>10</v>
      </c>
      <c r="E454" s="10" t="n">
        <f aca="false">IF(D454=0,"",AVERAGEIFS(Market_Panel!$M$2:$M$2705,Market_Panel!$A$2:$A$2705,B454,Market_Panel!$B$2:$B$2705,"&gt;="&amp;$B$19,Market_Panel!$B$2:$B$2705,"&lt;="&amp;$C$19))</f>
        <v>0.0682241979401445</v>
      </c>
      <c r="F454" s="11" t="n">
        <f aca="false">IF(D454=0,"",AVERAGEIFS(Market_Panel!$P$2:$P$2705,Market_Panel!$A$2:$A$2705,B454,Market_Panel!$B$2:$B$2705,"&gt;="&amp;$B$19,Market_Panel!$B$2:$B$2705,"&lt;="&amp;$C$19))</f>
        <v>-0.322457500501518</v>
      </c>
      <c r="G454" s="11" t="n">
        <f aca="false">IF(D454=0,"",AVERAGEIFS(Market_Panel!$R$2:$R$2705,Market_Panel!$A$2:$A$2705,B454,Market_Panel!$B$2:$B$2705,"&gt;="&amp;$B$19,Market_Panel!$B$2:$B$2705,"&lt;="&amp;$C$19))</f>
        <v>0</v>
      </c>
      <c r="H454" s="11" t="n">
        <f aca="false">IF(OR(D454=0,$H$19=0),0,AVERAGEIFS(Market_Panel!$Y$2:$Y$2705,Market_Panel!$A$2:$A$2705,B454,Market_Panel!$B$2:$B$2705,"&gt;="&amp;$B$19,Market_Panel!$B$2:$B$2705,"&lt;="&amp;$C$19))</f>
        <v>0.53303473529688</v>
      </c>
      <c r="I454" s="10" t="n">
        <f aca="false">IF(D454=0,"",$I$19+$F$19*F454+$G$19*G454+$H$19*H454)</f>
        <v>0.0400522628792729</v>
      </c>
      <c r="J454" s="5" t="n">
        <f aca="false">IF(D454&lt;5,"",(E454-I454)*162)</f>
        <v>4.56385347986118</v>
      </c>
      <c r="K454" s="5" t="n">
        <f aca="false">IF(D454=0,"",E454*162)</f>
        <v>11.0523200663034</v>
      </c>
      <c r="L454" s="3" t="n">
        <f aca="false">SUMIFS(Seasons!$L$2:$L$2865,Seasons!$A$2:$A$2865,B454,Seasons!$B$2:$B$2865,"&gt;="&amp;$B$19,Seasons!$B$2:$B$2865,"&lt;="&amp;$C$19)</f>
        <v>6</v>
      </c>
      <c r="M454" s="3" t="n">
        <f aca="false">SUMIFS(Seasons!$N$2:$N$2865,Seasons!$A$2:$A$2865,B454,Seasons!$B$2:$B$2865,"&gt;="&amp;$B$19,Seasons!$B$2:$B$2865,"&lt;="&amp;$C$19)</f>
        <v>2</v>
      </c>
      <c r="N454" s="3" t="n">
        <f aca="false">IF(J454="",-1000000,J454+ROW()*0.000000001)</f>
        <v>4.56385393386118</v>
      </c>
      <c r="O454" s="3" t="n">
        <f aca="false">IF(J454="","",SUMPRODUCT(($A$25:$A$534=A454)*($N$25:$N$534&gt;N454))+1)</f>
        <v>7</v>
      </c>
      <c r="P454" s="3" t="str">
        <f aca="false">A454&amp;"|"&amp;O454</f>
        <v>2000s payroll-adj|7</v>
      </c>
    </row>
    <row r="455" customFormat="false" ht="15" hidden="false" customHeight="true" outlineLevel="0" collapsed="false">
      <c r="A455" s="1" t="s">
        <v>23</v>
      </c>
      <c r="B455" s="7" t="s">
        <v>65</v>
      </c>
      <c r="C455" s="1" t="s">
        <v>55</v>
      </c>
      <c r="D455" s="3" t="n">
        <f aca="false">COUNTIFS(Market_Panel!$A$2:$A$2705,B455,Market_Panel!$B$2:$B$2705,"&gt;="&amp;$B$19,Market_Panel!$B$2:$B$2705,"&lt;="&amp;$C$19)</f>
        <v>10</v>
      </c>
      <c r="E455" s="10" t="n">
        <f aca="false">IF(D455=0,"",AVERAGEIFS(Market_Panel!$M$2:$M$2705,Market_Panel!$A$2:$A$2705,B455,Market_Panel!$B$2:$B$2705,"&gt;="&amp;$B$19,Market_Panel!$B$2:$B$2705,"&lt;="&amp;$C$19))</f>
        <v>0.0286838713721661</v>
      </c>
      <c r="F455" s="11" t="n">
        <f aca="false">IF(D455=0,"",AVERAGEIFS(Market_Panel!$P$2:$P$2705,Market_Panel!$A$2:$A$2705,B455,Market_Panel!$B$2:$B$2705,"&gt;="&amp;$B$19,Market_Panel!$B$2:$B$2705,"&lt;="&amp;$C$19))</f>
        <v>0.523324303311797</v>
      </c>
      <c r="G455" s="11" t="n">
        <f aca="false">IF(D455=0,"",AVERAGEIFS(Market_Panel!$R$2:$R$2705,Market_Panel!$A$2:$A$2705,B455,Market_Panel!$B$2:$B$2705,"&gt;="&amp;$B$19,Market_Panel!$B$2:$B$2705,"&lt;="&amp;$C$19))</f>
        <v>0</v>
      </c>
      <c r="H455" s="11" t="n">
        <f aca="false">IF(OR(D455=0,$H$19=0),0,AVERAGEIFS(Market_Panel!$Y$2:$Y$2705,Market_Panel!$A$2:$A$2705,B455,Market_Panel!$B$2:$B$2705,"&gt;="&amp;$B$19,Market_Panel!$B$2:$B$2705,"&lt;="&amp;$C$19))</f>
        <v>0.0656596373777681</v>
      </c>
      <c r="I455" s="10" t="n">
        <f aca="false">IF(D455=0,"",$I$19+$F$19*F455+$G$19*G455+$H$19*H455)</f>
        <v>0.00584681867899456</v>
      </c>
      <c r="J455" s="5" t="n">
        <f aca="false">IF(D455&lt;5,"",(E455-I455)*162)</f>
        <v>3.69960253629379</v>
      </c>
      <c r="K455" s="5" t="n">
        <f aca="false">IF(D455=0,"",E455*162)</f>
        <v>4.6467871622909</v>
      </c>
      <c r="L455" s="3" t="n">
        <f aca="false">SUMIFS(Seasons!$L$2:$L$2865,Seasons!$A$2:$A$2865,B455,Seasons!$B$2:$B$2865,"&gt;="&amp;$B$19,Seasons!$B$2:$B$2865,"&lt;="&amp;$C$19)</f>
        <v>3</v>
      </c>
      <c r="M455" s="3" t="n">
        <f aca="false">SUMIFS(Seasons!$N$2:$N$2865,Seasons!$A$2:$A$2865,B455,Seasons!$B$2:$B$2865,"&gt;="&amp;$B$19,Seasons!$B$2:$B$2865,"&lt;="&amp;$C$19)</f>
        <v>1</v>
      </c>
      <c r="N455" s="3" t="n">
        <f aca="false">IF(J455="",-1000000,J455+ROW()*0.000000001)</f>
        <v>3.69960299129379</v>
      </c>
      <c r="O455" s="3" t="n">
        <f aca="false">IF(J455="","",SUMPRODUCT(($A$25:$A$534=A455)*($N$25:$N$534&gt;N455))+1)</f>
        <v>9</v>
      </c>
      <c r="P455" s="3" t="str">
        <f aca="false">A455&amp;"|"&amp;O455</f>
        <v>2000s payroll-adj|9</v>
      </c>
    </row>
    <row r="456" customFormat="false" ht="15" hidden="false" customHeight="true" outlineLevel="0" collapsed="false">
      <c r="A456" s="1" t="s">
        <v>23</v>
      </c>
      <c r="B456" s="7" t="s">
        <v>66</v>
      </c>
      <c r="C456" s="1" t="s">
        <v>55</v>
      </c>
      <c r="D456" s="3" t="n">
        <f aca="false">COUNTIFS(Market_Panel!$A$2:$A$2705,B456,Market_Panel!$B$2:$B$2705,"&gt;="&amp;$B$19,Market_Panel!$B$2:$B$2705,"&lt;="&amp;$C$19)</f>
        <v>10</v>
      </c>
      <c r="E456" s="10" t="n">
        <f aca="false">IF(D456=0,"",AVERAGEIFS(Market_Panel!$M$2:$M$2705,Market_Panel!$A$2:$A$2705,B456,Market_Panel!$B$2:$B$2705,"&gt;="&amp;$B$19,Market_Panel!$B$2:$B$2705,"&lt;="&amp;$C$19))</f>
        <v>0.00371227400793064</v>
      </c>
      <c r="F456" s="11" t="n">
        <f aca="false">IF(D456=0,"",AVERAGEIFS(Market_Panel!$P$2:$P$2705,Market_Panel!$A$2:$A$2705,B456,Market_Panel!$B$2:$B$2705,"&gt;="&amp;$B$19,Market_Panel!$B$2:$B$2705,"&lt;="&amp;$C$19))</f>
        <v>-0.636036637088972</v>
      </c>
      <c r="G456" s="11" t="n">
        <f aca="false">IF(D456=0,"",AVERAGEIFS(Market_Panel!$R$2:$R$2705,Market_Panel!$A$2:$A$2705,B456,Market_Panel!$B$2:$B$2705,"&gt;="&amp;$B$19,Market_Panel!$B$2:$B$2705,"&lt;="&amp;$C$19))</f>
        <v>0</v>
      </c>
      <c r="H456" s="11" t="n">
        <f aca="false">IF(OR(D456=0,$H$19=0),0,AVERAGEIFS(Market_Panel!$Y$2:$Y$2705,Market_Panel!$A$2:$A$2705,B456,Market_Panel!$B$2:$B$2705,"&gt;="&amp;$B$19,Market_Panel!$B$2:$B$2705,"&lt;="&amp;$C$19))</f>
        <v>-0.0827767019807371</v>
      </c>
      <c r="I456" s="10" t="n">
        <f aca="false">IF(D456=0,"",$I$19+$F$19*F456+$G$19*G456+$H$19*H456)</f>
        <v>-0.002963546493456</v>
      </c>
      <c r="J456" s="5" t="n">
        <f aca="false">IF(D456&lt;5,"",(E456-I456)*162)</f>
        <v>1.08148292122464</v>
      </c>
      <c r="K456" s="5" t="n">
        <f aca="false">IF(D456=0,"",E456*162)</f>
        <v>0.601388389284764</v>
      </c>
      <c r="L456" s="3" t="n">
        <f aca="false">SUMIFS(Seasons!$L$2:$L$2865,Seasons!$A$2:$A$2865,B456,Seasons!$B$2:$B$2865,"&gt;="&amp;$B$19,Seasons!$B$2:$B$2865,"&lt;="&amp;$C$19)</f>
        <v>2</v>
      </c>
      <c r="M456" s="3" t="n">
        <f aca="false">SUMIFS(Seasons!$N$2:$N$2865,Seasons!$A$2:$A$2865,B456,Seasons!$B$2:$B$2865,"&gt;="&amp;$B$19,Seasons!$B$2:$B$2865,"&lt;="&amp;$C$19)</f>
        <v>0</v>
      </c>
      <c r="N456" s="3" t="n">
        <f aca="false">IF(J456="",-1000000,J456+ROW()*0.000000001)</f>
        <v>1.08148337722464</v>
      </c>
      <c r="O456" s="3" t="n">
        <f aca="false">IF(J456="","",SUMPRODUCT(($A$25:$A$534=A456)*($N$25:$N$534&gt;N456))+1)</f>
        <v>13</v>
      </c>
      <c r="P456" s="3" t="str">
        <f aca="false">A456&amp;"|"&amp;O456</f>
        <v>2000s payroll-adj|13</v>
      </c>
    </row>
    <row r="457" customFormat="false" ht="15" hidden="false" customHeight="true" outlineLevel="0" collapsed="false">
      <c r="A457" s="1" t="s">
        <v>23</v>
      </c>
      <c r="B457" s="7" t="s">
        <v>67</v>
      </c>
      <c r="C457" s="1" t="s">
        <v>55</v>
      </c>
      <c r="D457" s="3" t="n">
        <f aca="false">COUNTIFS(Market_Panel!$A$2:$A$2705,B457,Market_Panel!$B$2:$B$2705,"&gt;="&amp;$B$19,Market_Panel!$B$2:$B$2705,"&lt;="&amp;$C$19)</f>
        <v>10</v>
      </c>
      <c r="E457" s="10" t="n">
        <f aca="false">IF(D457=0,"",AVERAGEIFS(Market_Panel!$M$2:$M$2705,Market_Panel!$A$2:$A$2705,B457,Market_Panel!$B$2:$B$2705,"&gt;="&amp;$B$19,Market_Panel!$B$2:$B$2705,"&lt;="&amp;$C$19))</f>
        <v>-0.0501062398532613</v>
      </c>
      <c r="F457" s="11" t="n">
        <f aca="false">IF(D457=0,"",AVERAGEIFS(Market_Panel!$P$2:$P$2705,Market_Panel!$A$2:$A$2705,B457,Market_Panel!$B$2:$B$2705,"&gt;="&amp;$B$19,Market_Panel!$B$2:$B$2705,"&lt;="&amp;$C$19))</f>
        <v>0.00619800131196762</v>
      </c>
      <c r="G457" s="11" t="n">
        <f aca="false">IF(D457=0,"",AVERAGEIFS(Market_Panel!$R$2:$R$2705,Market_Panel!$A$2:$A$2705,B457,Market_Panel!$B$2:$B$2705,"&gt;="&amp;$B$19,Market_Panel!$B$2:$B$2705,"&lt;="&amp;$C$19))</f>
        <v>0</v>
      </c>
      <c r="H457" s="11" t="n">
        <f aca="false">IF(OR(D457=0,$H$19=0),0,AVERAGEIFS(Market_Panel!$Y$2:$Y$2705,Market_Panel!$A$2:$A$2705,B457,Market_Panel!$B$2:$B$2705,"&gt;="&amp;$B$19,Market_Panel!$B$2:$B$2705,"&lt;="&amp;$C$19))</f>
        <v>0.0542508747006458</v>
      </c>
      <c r="I457" s="10" t="n">
        <f aca="false">IF(D457=0,"",$I$19+$F$19*F457+$G$19*G457+$H$19*H457)</f>
        <v>0.0057850594404492</v>
      </c>
      <c r="J457" s="5" t="n">
        <f aca="false">IF(D457&lt;5,"",(E457-I457)*162)</f>
        <v>-9.0543904855811</v>
      </c>
      <c r="K457" s="5" t="n">
        <f aca="false">IF(D457=0,"",E457*162)</f>
        <v>-8.11721085622833</v>
      </c>
      <c r="L457" s="3" t="n">
        <f aca="false">SUMIFS(Seasons!$L$2:$L$2865,Seasons!$A$2:$A$2865,B457,Seasons!$B$2:$B$2865,"&gt;="&amp;$B$19,Seasons!$B$2:$B$2865,"&lt;="&amp;$C$19)</f>
        <v>1</v>
      </c>
      <c r="M457" s="3" t="n">
        <f aca="false">SUMIFS(Seasons!$N$2:$N$2865,Seasons!$A$2:$A$2865,B457,Seasons!$B$2:$B$2865,"&gt;="&amp;$B$19,Seasons!$B$2:$B$2865,"&lt;="&amp;$C$19)</f>
        <v>0</v>
      </c>
      <c r="N457" s="3" t="n">
        <f aca="false">IF(J457="",-1000000,J457+ROW()*0.000000001)</f>
        <v>-9.0543900285811</v>
      </c>
      <c r="O457" s="3" t="n">
        <f aca="false">IF(J457="","",SUMPRODUCT(($A$25:$A$534=A457)*($N$25:$N$534&gt;N457))+1)</f>
        <v>28</v>
      </c>
      <c r="P457" s="3" t="str">
        <f aca="false">A457&amp;"|"&amp;O457</f>
        <v>2000s payroll-adj|28</v>
      </c>
    </row>
    <row r="458" customFormat="false" ht="15" hidden="false" customHeight="true" outlineLevel="0" collapsed="false">
      <c r="A458" s="1" t="s">
        <v>23</v>
      </c>
      <c r="B458" s="7" t="s">
        <v>68</v>
      </c>
      <c r="C458" s="1" t="s">
        <v>55</v>
      </c>
      <c r="D458" s="3" t="n">
        <f aca="false">COUNTIFS(Market_Panel!$A$2:$A$2705,B458,Market_Panel!$B$2:$B$2705,"&gt;="&amp;$B$19,Market_Panel!$B$2:$B$2705,"&lt;="&amp;$C$19)</f>
        <v>10</v>
      </c>
      <c r="E458" s="10" t="n">
        <f aca="false">IF(D458=0,"",AVERAGEIFS(Market_Panel!$M$2:$M$2705,Market_Panel!$A$2:$A$2705,B458,Market_Panel!$B$2:$B$2705,"&gt;="&amp;$B$19,Market_Panel!$B$2:$B$2705,"&lt;="&amp;$C$19))</f>
        <v>0.0324222933287795</v>
      </c>
      <c r="F458" s="11" t="n">
        <f aca="false">IF(D458=0,"",AVERAGEIFS(Market_Panel!$P$2:$P$2705,Market_Panel!$A$2:$A$2705,B458,Market_Panel!$B$2:$B$2705,"&gt;="&amp;$B$19,Market_Panel!$B$2:$B$2705,"&lt;="&amp;$C$19))</f>
        <v>-0.775357571573331</v>
      </c>
      <c r="G458" s="11" t="n">
        <f aca="false">IF(D458=0,"",AVERAGEIFS(Market_Panel!$R$2:$R$2705,Market_Panel!$A$2:$A$2705,B458,Market_Panel!$B$2:$B$2705,"&gt;="&amp;$B$19,Market_Panel!$B$2:$B$2705,"&lt;="&amp;$C$19))</f>
        <v>0</v>
      </c>
      <c r="H458" s="11" t="n">
        <f aca="false">IF(OR(D458=0,$H$19=0),0,AVERAGEIFS(Market_Panel!$Y$2:$Y$2705,Market_Panel!$A$2:$A$2705,B458,Market_Panel!$B$2:$B$2705,"&gt;="&amp;$B$19,Market_Panel!$B$2:$B$2705,"&lt;="&amp;$C$19))</f>
        <v>-0.376968491789129</v>
      </c>
      <c r="I458" s="10" t="n">
        <f aca="false">IF(D458=0,"",$I$19+$F$19*F458+$G$19*G458+$H$19*H458)</f>
        <v>-0.0235285782476936</v>
      </c>
      <c r="J458" s="5" t="n">
        <f aca="false">IF(D458&lt;5,"",(E458-I458)*162)</f>
        <v>9.06404119538865</v>
      </c>
      <c r="K458" s="5" t="n">
        <f aca="false">IF(D458=0,"",E458*162)</f>
        <v>5.25241151926228</v>
      </c>
      <c r="L458" s="3" t="n">
        <f aca="false">SUMIFS(Seasons!$L$2:$L$2865,Seasons!$A$2:$A$2865,B458,Seasons!$B$2:$B$2865,"&gt;="&amp;$B$19,Seasons!$B$2:$B$2865,"&lt;="&amp;$C$19)</f>
        <v>5</v>
      </c>
      <c r="M458" s="3" t="n">
        <f aca="false">SUMIFS(Seasons!$N$2:$N$2865,Seasons!$A$2:$A$2865,B458,Seasons!$B$2:$B$2865,"&gt;="&amp;$B$19,Seasons!$B$2:$B$2865,"&lt;="&amp;$C$19)</f>
        <v>0</v>
      </c>
      <c r="N458" s="3" t="n">
        <f aca="false">IF(J458="",-1000000,J458+ROW()*0.000000001)</f>
        <v>9.06404165338865</v>
      </c>
      <c r="O458" s="3" t="n">
        <f aca="false">IF(J458="","",SUMPRODUCT(($A$25:$A$534=A458)*($N$25:$N$534&gt;N458))+1)</f>
        <v>3</v>
      </c>
      <c r="P458" s="3" t="str">
        <f aca="false">A458&amp;"|"&amp;O458</f>
        <v>2000s payroll-adj|3</v>
      </c>
    </row>
    <row r="459" customFormat="false" ht="15" hidden="false" customHeight="true" outlineLevel="0" collapsed="false">
      <c r="A459" s="1" t="s">
        <v>23</v>
      </c>
      <c r="B459" s="7" t="s">
        <v>69</v>
      </c>
      <c r="C459" s="1" t="s">
        <v>55</v>
      </c>
      <c r="D459" s="3" t="n">
        <f aca="false">COUNTIFS(Market_Panel!$A$2:$A$2705,B459,Market_Panel!$B$2:$B$2705,"&gt;="&amp;$B$19,Market_Panel!$B$2:$B$2705,"&lt;="&amp;$C$19)</f>
        <v>10</v>
      </c>
      <c r="E459" s="10" t="n">
        <f aca="false">IF(D459=0,"",AVERAGEIFS(Market_Panel!$M$2:$M$2705,Market_Panel!$A$2:$A$2705,B459,Market_Panel!$B$2:$B$2705,"&gt;="&amp;$B$19,Market_Panel!$B$2:$B$2705,"&lt;="&amp;$C$19))</f>
        <v>0.0500277406132523</v>
      </c>
      <c r="F459" s="11" t="n">
        <f aca="false">IF(D459=0,"",AVERAGEIFS(Market_Panel!$P$2:$P$2705,Market_Panel!$A$2:$A$2705,B459,Market_Panel!$B$2:$B$2705,"&gt;="&amp;$B$19,Market_Panel!$B$2:$B$2705,"&lt;="&amp;$C$19))</f>
        <v>-0.742151441567828</v>
      </c>
      <c r="G459" s="11" t="n">
        <f aca="false">IF(D459=0,"",AVERAGEIFS(Market_Panel!$R$2:$R$2705,Market_Panel!$A$2:$A$2705,B459,Market_Panel!$B$2:$B$2705,"&gt;="&amp;$B$19,Market_Panel!$B$2:$B$2705,"&lt;="&amp;$C$19))</f>
        <v>0</v>
      </c>
      <c r="H459" s="11" t="n">
        <f aca="false">IF(OR(D459=0,$H$19=0),0,AVERAGEIFS(Market_Panel!$Y$2:$Y$2705,Market_Panel!$A$2:$A$2705,B459,Market_Panel!$B$2:$B$2705,"&gt;="&amp;$B$19,Market_Panel!$B$2:$B$2705,"&lt;="&amp;$C$19))</f>
        <v>-0.292971840530299</v>
      </c>
      <c r="I459" s="10" t="n">
        <f aca="false">IF(D459=0,"",$I$19+$F$19*F459+$G$19*G459+$H$19*H459)</f>
        <v>-0.0176474698482632</v>
      </c>
      <c r="J459" s="5" t="n">
        <f aca="false">IF(D459&lt;5,"",(E459-I459)*162)</f>
        <v>10.9633840947655</v>
      </c>
      <c r="K459" s="5" t="n">
        <f aca="false">IF(D459=0,"",E459*162)</f>
        <v>8.10449397934688</v>
      </c>
      <c r="L459" s="3" t="n">
        <f aca="false">SUMIFS(Seasons!$L$2:$L$2865,Seasons!$A$2:$A$2865,B459,Seasons!$B$2:$B$2865,"&gt;="&amp;$B$19,Seasons!$B$2:$B$2865,"&lt;="&amp;$C$19)</f>
        <v>5</v>
      </c>
      <c r="M459" s="3" t="n">
        <f aca="false">SUMIFS(Seasons!$N$2:$N$2865,Seasons!$A$2:$A$2865,B459,Seasons!$B$2:$B$2865,"&gt;="&amp;$B$19,Seasons!$B$2:$B$2865,"&lt;="&amp;$C$19)</f>
        <v>0</v>
      </c>
      <c r="N459" s="3" t="n">
        <f aca="false">IF(J459="",-1000000,J459+ROW()*0.000000001)</f>
        <v>10.9633845537655</v>
      </c>
      <c r="O459" s="3" t="n">
        <f aca="false">IF(J459="","",SUMPRODUCT(($A$25:$A$534=A459)*($N$25:$N$534&gt;N459))+1)</f>
        <v>1</v>
      </c>
      <c r="P459" s="3" t="str">
        <f aca="false">A459&amp;"|"&amp;O459</f>
        <v>2000s payroll-adj|1</v>
      </c>
    </row>
    <row r="460" customFormat="false" ht="15" hidden="false" customHeight="true" outlineLevel="0" collapsed="false">
      <c r="A460" s="1" t="s">
        <v>23</v>
      </c>
      <c r="B460" s="7" t="s">
        <v>70</v>
      </c>
      <c r="C460" s="1" t="s">
        <v>55</v>
      </c>
      <c r="D460" s="3" t="n">
        <f aca="false">COUNTIFS(Market_Panel!$A$2:$A$2705,B460,Market_Panel!$B$2:$B$2705,"&gt;="&amp;$B$19,Market_Panel!$B$2:$B$2705,"&lt;="&amp;$C$19)</f>
        <v>10</v>
      </c>
      <c r="E460" s="10" t="n">
        <f aca="false">IF(D460=0,"",AVERAGEIFS(Market_Panel!$M$2:$M$2705,Market_Panel!$A$2:$A$2705,B460,Market_Panel!$B$2:$B$2705,"&gt;="&amp;$B$19,Market_Panel!$B$2:$B$2705,"&lt;="&amp;$C$19))</f>
        <v>0.0971490790842285</v>
      </c>
      <c r="F460" s="11" t="n">
        <f aca="false">IF(D460=0,"",AVERAGEIFS(Market_Panel!$P$2:$P$2705,Market_Panel!$A$2:$A$2705,B460,Market_Panel!$B$2:$B$2705,"&gt;="&amp;$B$19,Market_Panel!$B$2:$B$2705,"&lt;="&amp;$C$19))</f>
        <v>1.58201578097148</v>
      </c>
      <c r="G460" s="11" t="n">
        <f aca="false">IF(D460=0,"",AVERAGEIFS(Market_Panel!$R$2:$R$2705,Market_Panel!$A$2:$A$2705,B460,Market_Panel!$B$2:$B$2705,"&gt;="&amp;$B$19,Market_Panel!$B$2:$B$2705,"&lt;="&amp;$C$19))</f>
        <v>0</v>
      </c>
      <c r="H460" s="11" t="n">
        <f aca="false">IF(OR(D460=0,$H$19=0),0,AVERAGEIFS(Market_Panel!$Y$2:$Y$2705,Market_Panel!$A$2:$A$2705,B460,Market_Panel!$B$2:$B$2705,"&gt;="&amp;$B$19,Market_Panel!$B$2:$B$2705,"&lt;="&amp;$C$19))</f>
        <v>0.87003572751892</v>
      </c>
      <c r="I460" s="10" t="n">
        <f aca="false">IF(D460=0,"",$I$19+$F$19*F460+$G$19*G460+$H$19*H460)</f>
        <v>0.0611010298441823</v>
      </c>
      <c r="J460" s="5" t="n">
        <f aca="false">IF(D460&lt;5,"",(E460-I460)*162)</f>
        <v>5.83978397688748</v>
      </c>
      <c r="K460" s="5" t="n">
        <f aca="false">IF(D460=0,"",E460*162)</f>
        <v>15.738150811645</v>
      </c>
      <c r="L460" s="3" t="n">
        <f aca="false">SUMIFS(Seasons!$L$2:$L$2865,Seasons!$A$2:$A$2865,B460,Seasons!$B$2:$B$2865,"&gt;="&amp;$B$19,Seasons!$B$2:$B$2865,"&lt;="&amp;$C$19)</f>
        <v>9</v>
      </c>
      <c r="M460" s="3" t="n">
        <f aca="false">SUMIFS(Seasons!$N$2:$N$2865,Seasons!$A$2:$A$2865,B460,Seasons!$B$2:$B$2865,"&gt;="&amp;$B$19,Seasons!$B$2:$B$2865,"&lt;="&amp;$C$19)</f>
        <v>2</v>
      </c>
      <c r="N460" s="3" t="n">
        <f aca="false">IF(J460="",-1000000,J460+ROW()*0.000000001)</f>
        <v>5.83978443688748</v>
      </c>
      <c r="O460" s="3" t="n">
        <f aca="false">IF(J460="","",SUMPRODUCT(($A$25:$A$534=A460)*($N$25:$N$534&gt;N460))+1)</f>
        <v>6</v>
      </c>
      <c r="P460" s="3" t="str">
        <f aca="false">A460&amp;"|"&amp;O460</f>
        <v>2000s payroll-adj|6</v>
      </c>
    </row>
    <row r="461" customFormat="false" ht="15" hidden="false" customHeight="true" outlineLevel="0" collapsed="false">
      <c r="A461" s="1" t="s">
        <v>23</v>
      </c>
      <c r="B461" s="7" t="s">
        <v>71</v>
      </c>
      <c r="C461" s="1" t="s">
        <v>72</v>
      </c>
      <c r="D461" s="3" t="n">
        <f aca="false">COUNTIFS(Market_Panel!$A$2:$A$2705,B461,Market_Panel!$B$2:$B$2705,"&gt;="&amp;$B$19,Market_Panel!$B$2:$B$2705,"&lt;="&amp;$C$19)</f>
        <v>10</v>
      </c>
      <c r="E461" s="10" t="n">
        <f aca="false">IF(D461=0,"",AVERAGEIFS(Market_Panel!$M$2:$M$2705,Market_Panel!$A$2:$A$2705,B461,Market_Panel!$B$2:$B$2705,"&gt;="&amp;$B$19,Market_Panel!$B$2:$B$2705,"&lt;="&amp;$C$19))</f>
        <v>0.0555641258597825</v>
      </c>
      <c r="F461" s="11" t="n">
        <f aca="false">IF(D461=0,"",AVERAGEIFS(Market_Panel!$P$2:$P$2705,Market_Panel!$A$2:$A$2705,B461,Market_Panel!$B$2:$B$2705,"&gt;="&amp;$B$19,Market_Panel!$B$2:$B$2705,"&lt;="&amp;$C$19))</f>
        <v>0.81094878406267</v>
      </c>
      <c r="G461" s="11" t="n">
        <f aca="false">IF(D461=0,"",AVERAGEIFS(Market_Panel!$R$2:$R$2705,Market_Panel!$A$2:$A$2705,B461,Market_Panel!$B$2:$B$2705,"&gt;="&amp;$B$19,Market_Panel!$B$2:$B$2705,"&lt;="&amp;$C$19))</f>
        <v>0</v>
      </c>
      <c r="H461" s="11" t="n">
        <f aca="false">IF(OR(D461=0,$H$19=0),0,AVERAGEIFS(Market_Panel!$Y$2:$Y$2705,Market_Panel!$A$2:$A$2705,B461,Market_Panel!$B$2:$B$2705,"&gt;="&amp;$B$19,Market_Panel!$B$2:$B$2705,"&lt;="&amp;$C$19))</f>
        <v>0.218271659097269</v>
      </c>
      <c r="I461" s="10" t="n">
        <f aca="false">IF(D461=0,"",$I$19+$F$19*F461+$G$19*G461+$H$19*H461)</f>
        <v>0.0162052995549464</v>
      </c>
      <c r="J461" s="5" t="n">
        <f aca="false">IF(D461&lt;5,"",(E461-I461)*162)</f>
        <v>6.37612986138345</v>
      </c>
      <c r="K461" s="5" t="n">
        <f aca="false">IF(D461=0,"",E461*162)</f>
        <v>9.00138838928477</v>
      </c>
      <c r="L461" s="3" t="n">
        <f aca="false">SUMIFS(Seasons!$L$2:$L$2865,Seasons!$A$2:$A$2865,B461,Seasons!$B$2:$B$2865,"&gt;="&amp;$B$19,Seasons!$B$2:$B$2865,"&lt;="&amp;$C$19)</f>
        <v>6</v>
      </c>
      <c r="M461" s="3" t="n">
        <f aca="false">SUMIFS(Seasons!$N$2:$N$2865,Seasons!$A$2:$A$2865,B461,Seasons!$B$2:$B$2865,"&gt;="&amp;$B$19,Seasons!$B$2:$B$2865,"&lt;="&amp;$C$19)</f>
        <v>1</v>
      </c>
      <c r="N461" s="3" t="n">
        <f aca="false">IF(J461="",-1000000,J461+ROW()*0.000000001)</f>
        <v>6.37613032238345</v>
      </c>
      <c r="O461" s="3" t="n">
        <f aca="false">IF(J461="","",SUMPRODUCT(($A$25:$A$534=A461)*($N$25:$N$534&gt;N461))+1)</f>
        <v>5</v>
      </c>
      <c r="P461" s="3" t="str">
        <f aca="false">A461&amp;"|"&amp;O461</f>
        <v>2000s payroll-adj|5</v>
      </c>
    </row>
    <row r="462" customFormat="false" ht="15" hidden="false" customHeight="true" outlineLevel="0" collapsed="false">
      <c r="A462" s="1" t="s">
        <v>23</v>
      </c>
      <c r="B462" s="7" t="s">
        <v>73</v>
      </c>
      <c r="C462" s="1" t="s">
        <v>72</v>
      </c>
      <c r="D462" s="3" t="n">
        <f aca="false">COUNTIFS(Market_Panel!$A$2:$A$2705,B462,Market_Panel!$B$2:$B$2705,"&gt;="&amp;$B$19,Market_Panel!$B$2:$B$2705,"&lt;="&amp;$C$19)</f>
        <v>10</v>
      </c>
      <c r="E462" s="10" t="n">
        <f aca="false">IF(D462=0,"",AVERAGEIFS(Market_Panel!$M$2:$M$2705,Market_Panel!$A$2:$A$2705,B462,Market_Panel!$B$2:$B$2705,"&gt;="&amp;$B$19,Market_Panel!$B$2:$B$2705,"&lt;="&amp;$C$19))</f>
        <v>-0.0209790840167607</v>
      </c>
      <c r="F462" s="11" t="n">
        <f aca="false">IF(D462=0,"",AVERAGEIFS(Market_Panel!$P$2:$P$2705,Market_Panel!$A$2:$A$2705,B462,Market_Panel!$B$2:$B$2705,"&gt;="&amp;$B$19,Market_Panel!$B$2:$B$2705,"&lt;="&amp;$C$19))</f>
        <v>0.361650230626684</v>
      </c>
      <c r="G462" s="11" t="n">
        <f aca="false">IF(D462=0,"",AVERAGEIFS(Market_Panel!$R$2:$R$2705,Market_Panel!$A$2:$A$2705,B462,Market_Panel!$B$2:$B$2705,"&gt;="&amp;$B$19,Market_Panel!$B$2:$B$2705,"&lt;="&amp;$C$19))</f>
        <v>0</v>
      </c>
      <c r="H462" s="11" t="n">
        <f aca="false">IF(OR(D462=0,$H$19=0),0,AVERAGEIFS(Market_Panel!$Y$2:$Y$2705,Market_Panel!$A$2:$A$2705,B462,Market_Panel!$B$2:$B$2705,"&gt;="&amp;$B$19,Market_Panel!$B$2:$B$2705,"&lt;="&amp;$C$19))</f>
        <v>0.0835467491094708</v>
      </c>
      <c r="I462" s="10" t="n">
        <f aca="false">IF(D462=0,"",$I$19+$F$19*F462+$G$19*G462+$H$19*H462)</f>
        <v>0.00734182352648322</v>
      </c>
      <c r="J462" s="5" t="n">
        <f aca="false">IF(D462&lt;5,"",(E462-I462)*162)</f>
        <v>-4.58798702200552</v>
      </c>
      <c r="K462" s="5" t="n">
        <f aca="false">IF(D462=0,"",E462*162)</f>
        <v>-3.39861161071523</v>
      </c>
      <c r="L462" s="3" t="n">
        <f aca="false">SUMIFS(Seasons!$L$2:$L$2865,Seasons!$A$2:$A$2865,B462,Seasons!$B$2:$B$2865,"&gt;="&amp;$B$19,Seasons!$B$2:$B$2865,"&lt;="&amp;$C$19)</f>
        <v>0</v>
      </c>
      <c r="M462" s="3" t="n">
        <f aca="false">SUMIFS(Seasons!$N$2:$N$2865,Seasons!$A$2:$A$2865,B462,Seasons!$B$2:$B$2865,"&gt;="&amp;$B$19,Seasons!$B$2:$B$2865,"&lt;="&amp;$C$19)</f>
        <v>0</v>
      </c>
      <c r="N462" s="3" t="n">
        <f aca="false">IF(J462="",-1000000,J462+ROW()*0.000000001)</f>
        <v>-4.58798656000552</v>
      </c>
      <c r="O462" s="3" t="n">
        <f aca="false">IF(J462="","",SUMPRODUCT(($A$25:$A$534=A462)*($N$25:$N$534&gt;N462))+1)</f>
        <v>23</v>
      </c>
      <c r="P462" s="3" t="str">
        <f aca="false">A462&amp;"|"&amp;O462</f>
        <v>2000s payroll-adj|23</v>
      </c>
    </row>
    <row r="463" customFormat="false" ht="15" hidden="false" customHeight="true" outlineLevel="0" collapsed="false">
      <c r="A463" s="1" t="s">
        <v>23</v>
      </c>
      <c r="B463" s="7" t="s">
        <v>74</v>
      </c>
      <c r="C463" s="1" t="s">
        <v>72</v>
      </c>
      <c r="D463" s="3" t="n">
        <f aca="false">COUNTIFS(Market_Panel!$A$2:$A$2705,B463,Market_Panel!$B$2:$B$2705,"&gt;="&amp;$B$19,Market_Panel!$B$2:$B$2705,"&lt;="&amp;$C$19)</f>
        <v>10</v>
      </c>
      <c r="E463" s="10" t="n">
        <f aca="false">IF(D463=0,"",AVERAGEIFS(Market_Panel!$M$2:$M$2705,Market_Panel!$A$2:$A$2705,B463,Market_Panel!$B$2:$B$2705,"&gt;="&amp;$B$19,Market_Panel!$B$2:$B$2705,"&lt;="&amp;$C$19))</f>
        <v>0.0139185465330438</v>
      </c>
      <c r="F463" s="11" t="n">
        <f aca="false">IF(D463=0,"",AVERAGEIFS(Market_Panel!$P$2:$P$2705,Market_Panel!$A$2:$A$2705,B463,Market_Panel!$B$2:$B$2705,"&gt;="&amp;$B$19,Market_Panel!$B$2:$B$2705,"&lt;="&amp;$C$19))</f>
        <v>0.887491129460176</v>
      </c>
      <c r="G463" s="11" t="n">
        <f aca="false">IF(D463=0,"",AVERAGEIFS(Market_Panel!$R$2:$R$2705,Market_Panel!$A$2:$A$2705,B463,Market_Panel!$B$2:$B$2705,"&gt;="&amp;$B$19,Market_Panel!$B$2:$B$2705,"&lt;="&amp;$C$19))</f>
        <v>0</v>
      </c>
      <c r="H463" s="11" t="n">
        <f aca="false">IF(OR(D463=0,$H$19=0),0,AVERAGEIFS(Market_Panel!$Y$2:$Y$2705,Market_Panel!$A$2:$A$2705,B463,Market_Panel!$B$2:$B$2705,"&gt;="&amp;$B$19,Market_Panel!$B$2:$B$2705,"&lt;="&amp;$C$19))</f>
        <v>0.10788470727048</v>
      </c>
      <c r="I463" s="10" t="n">
        <f aca="false">IF(D463=0,"",$I$19+$F$19*F463+$G$19*G463+$H$19*H463)</f>
        <v>0.0083036522810291</v>
      </c>
      <c r="J463" s="5" t="n">
        <f aca="false">IF(D463&lt;5,"",(E463-I463)*162)</f>
        <v>0.909612868826374</v>
      </c>
      <c r="K463" s="5" t="n">
        <f aca="false">IF(D463=0,"",E463*162)</f>
        <v>2.25480453835309</v>
      </c>
      <c r="L463" s="3" t="n">
        <f aca="false">SUMIFS(Seasons!$L$2:$L$2865,Seasons!$A$2:$A$2865,B463,Seasons!$B$2:$B$2865,"&gt;="&amp;$B$19,Seasons!$B$2:$B$2865,"&lt;="&amp;$C$19)</f>
        <v>3</v>
      </c>
      <c r="M463" s="3" t="n">
        <f aca="false">SUMIFS(Seasons!$N$2:$N$2865,Seasons!$A$2:$A$2865,B463,Seasons!$B$2:$B$2865,"&gt;="&amp;$B$19,Seasons!$B$2:$B$2865,"&lt;="&amp;$C$19)</f>
        <v>0</v>
      </c>
      <c r="N463" s="3" t="n">
        <f aca="false">IF(J463="",-1000000,J463+ROW()*0.000000001)</f>
        <v>0.909613331826374</v>
      </c>
      <c r="O463" s="3" t="n">
        <f aca="false">IF(J463="","",SUMPRODUCT(($A$25:$A$534=A463)*($N$25:$N$534&gt;N463))+1)</f>
        <v>14</v>
      </c>
      <c r="P463" s="3" t="str">
        <f aca="false">A463&amp;"|"&amp;O463</f>
        <v>2000s payroll-adj|14</v>
      </c>
    </row>
    <row r="464" customFormat="false" ht="15" hidden="false" customHeight="true" outlineLevel="0" collapsed="false">
      <c r="A464" s="1" t="s">
        <v>23</v>
      </c>
      <c r="B464" s="7" t="s">
        <v>75</v>
      </c>
      <c r="C464" s="1" t="s">
        <v>72</v>
      </c>
      <c r="D464" s="3" t="n">
        <f aca="false">COUNTIFS(Market_Panel!$A$2:$A$2705,B464,Market_Panel!$B$2:$B$2705,"&gt;="&amp;$B$19,Market_Panel!$B$2:$B$2705,"&lt;="&amp;$C$19)</f>
        <v>10</v>
      </c>
      <c r="E464" s="10" t="n">
        <f aca="false">IF(D464=0,"",AVERAGEIFS(Market_Panel!$M$2:$M$2705,Market_Panel!$A$2:$A$2705,B464,Market_Panel!$B$2:$B$2705,"&gt;="&amp;$B$19,Market_Panel!$B$2:$B$2705,"&lt;="&amp;$C$19))</f>
        <v>0.00363559277182913</v>
      </c>
      <c r="F464" s="11" t="n">
        <f aca="false">IF(D464=0,"",AVERAGEIFS(Market_Panel!$P$2:$P$2705,Market_Panel!$A$2:$A$2705,B464,Market_Panel!$B$2:$B$2705,"&gt;="&amp;$B$19,Market_Panel!$B$2:$B$2705,"&lt;="&amp;$C$19))</f>
        <v>1.58201578097148</v>
      </c>
      <c r="G464" s="11" t="n">
        <f aca="false">IF(D464=0,"",AVERAGEIFS(Market_Panel!$R$2:$R$2705,Market_Panel!$A$2:$A$2705,B464,Market_Panel!$B$2:$B$2705,"&gt;="&amp;$B$19,Market_Panel!$B$2:$B$2705,"&lt;="&amp;$C$19))</f>
        <v>0</v>
      </c>
      <c r="H464" s="11" t="n">
        <f aca="false">IF(OR(D464=0,$H$19=0),0,AVERAGEIFS(Market_Panel!$Y$2:$Y$2705,Market_Panel!$A$2:$A$2705,B464,Market_Panel!$B$2:$B$2705,"&gt;="&amp;$B$19,Market_Panel!$B$2:$B$2705,"&lt;="&amp;$C$19))</f>
        <v>0.458330674032857</v>
      </c>
      <c r="I464" s="10" t="n">
        <f aca="false">IF(D464=0,"",$I$19+$F$19*F464+$G$19*G464+$H$19*H464)</f>
        <v>0.0320410817766823</v>
      </c>
      <c r="J464" s="5" t="n">
        <f aca="false">IF(D464&lt;5,"",(E464-I464)*162)</f>
        <v>-4.60168921878622</v>
      </c>
      <c r="K464" s="5" t="n">
        <f aca="false">IF(D464=0,"",E464*162)</f>
        <v>0.588966029036319</v>
      </c>
      <c r="L464" s="3" t="n">
        <f aca="false">SUMIFS(Seasons!$L$2:$L$2865,Seasons!$A$2:$A$2865,B464,Seasons!$B$2:$B$2865,"&gt;="&amp;$B$19,Seasons!$B$2:$B$2865,"&lt;="&amp;$C$19)</f>
        <v>2</v>
      </c>
      <c r="M464" s="3" t="n">
        <f aca="false">SUMIFS(Seasons!$N$2:$N$2865,Seasons!$A$2:$A$2865,B464,Seasons!$B$2:$B$2865,"&gt;="&amp;$B$19,Seasons!$B$2:$B$2865,"&lt;="&amp;$C$19)</f>
        <v>0</v>
      </c>
      <c r="N464" s="3" t="n">
        <f aca="false">IF(J464="",-1000000,J464+ROW()*0.000000001)</f>
        <v>-4.60168875478622</v>
      </c>
      <c r="O464" s="3" t="n">
        <f aca="false">IF(J464="","",SUMPRODUCT(($A$25:$A$534=A464)*($N$25:$N$534&gt;N464))+1)</f>
        <v>24</v>
      </c>
      <c r="P464" s="3" t="str">
        <f aca="false">A464&amp;"|"&amp;O464</f>
        <v>2000s payroll-adj|24</v>
      </c>
    </row>
    <row r="465" customFormat="false" ht="15" hidden="false" customHeight="true" outlineLevel="0" collapsed="false">
      <c r="A465" s="1" t="s">
        <v>23</v>
      </c>
      <c r="B465" s="7" t="s">
        <v>76</v>
      </c>
      <c r="C465" s="1" t="s">
        <v>72</v>
      </c>
      <c r="D465" s="3" t="n">
        <f aca="false">COUNTIFS(Market_Panel!$A$2:$A$2705,B465,Market_Panel!$B$2:$B$2705,"&gt;="&amp;$B$19,Market_Panel!$B$2:$B$2705,"&lt;="&amp;$C$19)</f>
        <v>10</v>
      </c>
      <c r="E465" s="10" t="n">
        <f aca="false">IF(D465=0,"",AVERAGEIFS(Market_Panel!$M$2:$M$2705,Market_Panel!$A$2:$A$2705,B465,Market_Panel!$B$2:$B$2705,"&gt;="&amp;$B$19,Market_Panel!$B$2:$B$2705,"&lt;="&amp;$C$19))</f>
        <v>-0.0851766148809583</v>
      </c>
      <c r="F465" s="11" t="n">
        <f aca="false">IF(D465=0,"",AVERAGEIFS(Market_Panel!$P$2:$P$2705,Market_Panel!$A$2:$A$2705,B465,Market_Panel!$B$2:$B$2705,"&gt;="&amp;$B$19,Market_Panel!$B$2:$B$2705,"&lt;="&amp;$C$19))</f>
        <v>-0.613850157724</v>
      </c>
      <c r="G465" s="11" t="n">
        <f aca="false">IF(D465=0,"",AVERAGEIFS(Market_Panel!$R$2:$R$2705,Market_Panel!$A$2:$A$2705,B465,Market_Panel!$B$2:$B$2705,"&gt;="&amp;$B$19,Market_Panel!$B$2:$B$2705,"&lt;="&amp;$C$19))</f>
        <v>0</v>
      </c>
      <c r="H465" s="11" t="n">
        <f aca="false">IF(OR(D465=0,$H$19=0),0,AVERAGEIFS(Market_Panel!$Y$2:$Y$2705,Market_Panel!$A$2:$A$2705,B465,Market_Panel!$B$2:$B$2705,"&gt;="&amp;$B$19,Market_Panel!$B$2:$B$2705,"&lt;="&amp;$C$19))</f>
        <v>-0.398971920027583</v>
      </c>
      <c r="I465" s="10" t="n">
        <f aca="false">IF(D465=0,"",$I$19+$F$19*F465+$G$19*G465+$H$19*H465)</f>
        <v>-0.0253138911438067</v>
      </c>
      <c r="J465" s="5" t="n">
        <f aca="false">IF(D465&lt;5,"",(E465-I465)*162)</f>
        <v>-9.69776124541854</v>
      </c>
      <c r="K465" s="5" t="n">
        <f aca="false">IF(D465=0,"",E465*162)</f>
        <v>-13.7986116107152</v>
      </c>
      <c r="L465" s="3" t="n">
        <f aca="false">SUMIFS(Seasons!$L$2:$L$2865,Seasons!$A$2:$A$2865,B465,Seasons!$B$2:$B$2865,"&gt;="&amp;$B$19,Seasons!$B$2:$B$2865,"&lt;="&amp;$C$19)</f>
        <v>0</v>
      </c>
      <c r="M465" s="3" t="n">
        <f aca="false">SUMIFS(Seasons!$N$2:$N$2865,Seasons!$A$2:$A$2865,B465,Seasons!$B$2:$B$2865,"&gt;="&amp;$B$19,Seasons!$B$2:$B$2865,"&lt;="&amp;$C$19)</f>
        <v>0</v>
      </c>
      <c r="N465" s="3" t="n">
        <f aca="false">IF(J465="",-1000000,J465+ROW()*0.000000001)</f>
        <v>-9.69776078041855</v>
      </c>
      <c r="O465" s="3" t="n">
        <f aca="false">IF(J465="","",SUMPRODUCT(($A$25:$A$534=A465)*($N$25:$N$534&gt;N465))+1)</f>
        <v>29</v>
      </c>
      <c r="P465" s="3" t="str">
        <f aca="false">A465&amp;"|"&amp;O465</f>
        <v>2000s payroll-adj|29</v>
      </c>
    </row>
    <row r="466" customFormat="false" ht="15" hidden="false" customHeight="true" outlineLevel="0" collapsed="false">
      <c r="A466" s="1" t="s">
        <v>23</v>
      </c>
      <c r="B466" s="7" t="s">
        <v>77</v>
      </c>
      <c r="C466" s="1" t="s">
        <v>72</v>
      </c>
      <c r="D466" s="3" t="n">
        <f aca="false">COUNTIFS(Market_Panel!$A$2:$A$2705,B466,Market_Panel!$B$2:$B$2705,"&gt;="&amp;$B$19,Market_Panel!$B$2:$B$2705,"&lt;="&amp;$C$19)</f>
        <v>10</v>
      </c>
      <c r="E466" s="10" t="n">
        <f aca="false">IF(D466=0,"",AVERAGEIFS(Market_Panel!$M$2:$M$2705,Market_Panel!$A$2:$A$2705,B466,Market_Panel!$B$2:$B$2705,"&gt;="&amp;$B$19,Market_Panel!$B$2:$B$2705,"&lt;="&amp;$C$19))</f>
        <v>-0.0423271401474255</v>
      </c>
      <c r="F466" s="11" t="n">
        <f aca="false">IF(D466=0,"",AVERAGEIFS(Market_Panel!$P$2:$P$2705,Market_Panel!$A$2:$A$2705,B466,Market_Panel!$B$2:$B$2705,"&gt;="&amp;$B$19,Market_Panel!$B$2:$B$2705,"&lt;="&amp;$C$19))</f>
        <v>-0.332090856234958</v>
      </c>
      <c r="G466" s="11" t="n">
        <f aca="false">IF(D466=0,"",AVERAGEIFS(Market_Panel!$R$2:$R$2705,Market_Panel!$A$2:$A$2705,B466,Market_Panel!$B$2:$B$2705,"&gt;="&amp;$B$19,Market_Panel!$B$2:$B$2705,"&lt;="&amp;$C$19))</f>
        <v>0</v>
      </c>
      <c r="H466" s="11" t="n">
        <f aca="false">IF(OR(D466=0,$H$19=0),0,AVERAGEIFS(Market_Panel!$Y$2:$Y$2705,Market_Panel!$A$2:$A$2705,B466,Market_Panel!$B$2:$B$2705,"&gt;="&amp;$B$19,Market_Panel!$B$2:$B$2705,"&lt;="&amp;$C$19))</f>
        <v>-0.302545980268395</v>
      </c>
      <c r="I466" s="10" t="n">
        <f aca="false">IF(D466=0,"",$I$19+$F$19*F466+$G$19*G466+$H$19*H466)</f>
        <v>-0.0189128373961257</v>
      </c>
      <c r="J466" s="5" t="n">
        <f aca="false">IF(D466&lt;5,"",(E466-I466)*162)</f>
        <v>-3.79311704571057</v>
      </c>
      <c r="K466" s="5" t="n">
        <f aca="false">IF(D466=0,"",E466*162)</f>
        <v>-6.85699670388294</v>
      </c>
      <c r="L466" s="3" t="n">
        <f aca="false">SUMIFS(Seasons!$L$2:$L$2865,Seasons!$A$2:$A$2865,B466,Seasons!$B$2:$B$2865,"&gt;="&amp;$B$19,Seasons!$B$2:$B$2865,"&lt;="&amp;$C$19)</f>
        <v>1</v>
      </c>
      <c r="M466" s="3" t="n">
        <f aca="false">SUMIFS(Seasons!$N$2:$N$2865,Seasons!$A$2:$A$2865,B466,Seasons!$B$2:$B$2865,"&gt;="&amp;$B$19,Seasons!$B$2:$B$2865,"&lt;="&amp;$C$19)</f>
        <v>0</v>
      </c>
      <c r="N466" s="3" t="n">
        <f aca="false">IF(J466="",-1000000,J466+ROW()*0.000000001)</f>
        <v>-3.79311657971057</v>
      </c>
      <c r="O466" s="3" t="n">
        <f aca="false">IF(J466="","",SUMPRODUCT(($A$25:$A$534=A466)*($N$25:$N$534&gt;N466))+1)</f>
        <v>22</v>
      </c>
      <c r="P466" s="3" t="str">
        <f aca="false">A466&amp;"|"&amp;O466</f>
        <v>2000s payroll-adj|22</v>
      </c>
    </row>
    <row r="467" customFormat="false" ht="15" hidden="false" customHeight="true" outlineLevel="0" collapsed="false">
      <c r="A467" s="1" t="s">
        <v>23</v>
      </c>
      <c r="B467" s="7" t="s">
        <v>78</v>
      </c>
      <c r="C467" s="1" t="s">
        <v>72</v>
      </c>
      <c r="D467" s="3" t="n">
        <f aca="false">COUNTIFS(Market_Panel!$A$2:$A$2705,B467,Market_Panel!$B$2:$B$2705,"&gt;="&amp;$B$19,Market_Panel!$B$2:$B$2705,"&lt;="&amp;$C$19)</f>
        <v>10</v>
      </c>
      <c r="E467" s="10" t="n">
        <f aca="false">IF(D467=0,"",AVERAGEIFS(Market_Panel!$M$2:$M$2705,Market_Panel!$A$2:$A$2705,B467,Market_Panel!$B$2:$B$2705,"&gt;="&amp;$B$19,Market_Panel!$B$2:$B$2705,"&lt;="&amp;$C$19))</f>
        <v>-0.0256371162821549</v>
      </c>
      <c r="F467" s="11" t="n">
        <f aca="false">IF(D467=0,"",AVERAGEIFS(Market_Panel!$P$2:$P$2705,Market_Panel!$A$2:$A$2705,B467,Market_Panel!$B$2:$B$2705,"&gt;="&amp;$B$19,Market_Panel!$B$2:$B$2705,"&lt;="&amp;$C$19))</f>
        <v>0.416925161936826</v>
      </c>
      <c r="G467" s="11" t="n">
        <f aca="false">IF(D467=0,"",AVERAGEIFS(Market_Panel!$R$2:$R$2705,Market_Panel!$A$2:$A$2705,B467,Market_Panel!$B$2:$B$2705,"&gt;="&amp;$B$19,Market_Panel!$B$2:$B$2705,"&lt;="&amp;$C$19))</f>
        <v>0</v>
      </c>
      <c r="H467" s="11" t="n">
        <f aca="false">IF(OR(D467=0,$H$19=0),0,AVERAGEIFS(Market_Panel!$Y$2:$Y$2705,Market_Panel!$A$2:$A$2705,B467,Market_Panel!$B$2:$B$2705,"&gt;="&amp;$B$19,Market_Panel!$B$2:$B$2705,"&lt;="&amp;$C$19))</f>
        <v>-0.237509540826714</v>
      </c>
      <c r="I467" s="10" t="n">
        <f aca="false">IF(D467=0,"",$I$19+$F$19*F467+$G$19*G467+$H$19*H467)</f>
        <v>-0.0153992112827043</v>
      </c>
      <c r="J467" s="5" t="n">
        <f aca="false">IF(D467&lt;5,"",(E467-I467)*162)</f>
        <v>-1.658540609911</v>
      </c>
      <c r="K467" s="5" t="n">
        <f aca="false">IF(D467=0,"",E467*162)</f>
        <v>-4.1532128377091</v>
      </c>
      <c r="L467" s="3" t="n">
        <f aca="false">SUMIFS(Seasons!$L$2:$L$2865,Seasons!$A$2:$A$2865,B467,Seasons!$B$2:$B$2865,"&gt;="&amp;$B$19,Seasons!$B$2:$B$2865,"&lt;="&amp;$C$19)</f>
        <v>2</v>
      </c>
      <c r="M467" s="3" t="n">
        <f aca="false">SUMIFS(Seasons!$N$2:$N$2865,Seasons!$A$2:$A$2865,B467,Seasons!$B$2:$B$2865,"&gt;="&amp;$B$19,Seasons!$B$2:$B$2865,"&lt;="&amp;$C$19)</f>
        <v>0</v>
      </c>
      <c r="N467" s="3" t="n">
        <f aca="false">IF(J467="",-1000000,J467+ROW()*0.000000001)</f>
        <v>-1.658540142911</v>
      </c>
      <c r="O467" s="3" t="n">
        <f aca="false">IF(J467="","",SUMPRODUCT(($A$25:$A$534=A467)*($N$25:$N$534&gt;N467))+1)</f>
        <v>18</v>
      </c>
      <c r="P467" s="3" t="str">
        <f aca="false">A467&amp;"|"&amp;O467</f>
        <v>2000s payroll-adj|18</v>
      </c>
    </row>
    <row r="468" customFormat="false" ht="15" hidden="false" customHeight="true" outlineLevel="0" collapsed="false">
      <c r="A468" s="1" t="s">
        <v>23</v>
      </c>
      <c r="B468" s="7" t="s">
        <v>79</v>
      </c>
      <c r="C468" s="1" t="s">
        <v>72</v>
      </c>
      <c r="D468" s="3" t="n">
        <f aca="false">COUNTIFS(Market_Panel!$A$2:$A$2705,B468,Market_Panel!$B$2:$B$2705,"&gt;="&amp;$B$19,Market_Panel!$B$2:$B$2705,"&lt;="&amp;$C$19)</f>
        <v>10</v>
      </c>
      <c r="E468" s="10" t="n">
        <f aca="false">IF(D468=0,"",AVERAGEIFS(Market_Panel!$M$2:$M$2705,Market_Panel!$A$2:$A$2705,B468,Market_Panel!$B$2:$B$2705,"&gt;="&amp;$B$19,Market_Panel!$B$2:$B$2705,"&lt;="&amp;$C$19))</f>
        <v>-0.0608763311603846</v>
      </c>
      <c r="F468" s="11" t="n">
        <f aca="false">IF(D468=0,"",AVERAGEIFS(Market_Panel!$P$2:$P$2705,Market_Panel!$A$2:$A$2705,B468,Market_Panel!$B$2:$B$2705,"&gt;="&amp;$B$19,Market_Panel!$B$2:$B$2705,"&lt;="&amp;$C$19))</f>
        <v>-0.0105972581633299</v>
      </c>
      <c r="G468" s="11" t="n">
        <f aca="false">IF(D468=0,"",AVERAGEIFS(Market_Panel!$R$2:$R$2705,Market_Panel!$A$2:$A$2705,B468,Market_Panel!$B$2:$B$2705,"&gt;="&amp;$B$19,Market_Panel!$B$2:$B$2705,"&lt;="&amp;$C$19))</f>
        <v>0</v>
      </c>
      <c r="H468" s="11" t="n">
        <f aca="false">IF(OR(D468=0,$H$19=0),0,AVERAGEIFS(Market_Panel!$Y$2:$Y$2705,Market_Panel!$A$2:$A$2705,B468,Market_Panel!$B$2:$B$2705,"&gt;="&amp;$B$19,Market_Panel!$B$2:$B$2705,"&lt;="&amp;$C$19))</f>
        <v>-0.401210427598446</v>
      </c>
      <c r="I468" s="10" t="n">
        <f aca="false">IF(D468=0,"",$I$19+$F$19*F468+$G$19*G468+$H$19*H468)</f>
        <v>-0.0263392484177182</v>
      </c>
      <c r="J468" s="5" t="n">
        <f aca="false">IF(D468&lt;5,"",(E468-I468)*162)</f>
        <v>-5.59500740431196</v>
      </c>
      <c r="K468" s="5" t="n">
        <f aca="false">IF(D468=0,"",E468*162)</f>
        <v>-9.86196564798231</v>
      </c>
      <c r="L468" s="3" t="n">
        <f aca="false">SUMIFS(Seasons!$L$2:$L$2865,Seasons!$A$2:$A$2865,B468,Seasons!$B$2:$B$2865,"&gt;="&amp;$B$19,Seasons!$B$2:$B$2865,"&lt;="&amp;$C$19)</f>
        <v>0</v>
      </c>
      <c r="M468" s="3" t="n">
        <f aca="false">SUMIFS(Seasons!$N$2:$N$2865,Seasons!$A$2:$A$2865,B468,Seasons!$B$2:$B$2865,"&gt;="&amp;$B$19,Seasons!$B$2:$B$2865,"&lt;="&amp;$C$19)</f>
        <v>0</v>
      </c>
      <c r="N468" s="3" t="n">
        <f aca="false">IF(J468="",-1000000,J468+ROW()*0.000000001)</f>
        <v>-5.59500693631196</v>
      </c>
      <c r="O468" s="3" t="n">
        <f aca="false">IF(J468="","",SUMPRODUCT(($A$25:$A$534=A468)*($N$25:$N$534&gt;N468))+1)</f>
        <v>26</v>
      </c>
      <c r="P468" s="3" t="str">
        <f aca="false">A468&amp;"|"&amp;O468</f>
        <v>2000s payroll-adj|26</v>
      </c>
    </row>
    <row r="469" customFormat="false" ht="15" hidden="false" customHeight="true" outlineLevel="0" collapsed="false">
      <c r="A469" s="1" t="s">
        <v>23</v>
      </c>
      <c r="B469" s="7" t="s">
        <v>80</v>
      </c>
      <c r="C469" s="1" t="s">
        <v>72</v>
      </c>
      <c r="D469" s="3" t="n">
        <f aca="false">COUNTIFS(Market_Panel!$A$2:$A$2705,B469,Market_Panel!$B$2:$B$2705,"&gt;="&amp;$B$19,Market_Panel!$B$2:$B$2705,"&lt;="&amp;$C$19)</f>
        <v>10</v>
      </c>
      <c r="E469" s="10" t="n">
        <f aca="false">IF(D469=0,"",AVERAGEIFS(Market_Panel!$M$2:$M$2705,Market_Panel!$A$2:$A$2705,B469,Market_Panel!$B$2:$B$2705,"&gt;="&amp;$B$19,Market_Panel!$B$2:$B$2705,"&lt;="&amp;$C$19))</f>
        <v>0.0166752369708936</v>
      </c>
      <c r="F469" s="11" t="n">
        <f aca="false">IF(D469=0,"",AVERAGEIFS(Market_Panel!$P$2:$P$2705,Market_Panel!$A$2:$A$2705,B469,Market_Panel!$B$2:$B$2705,"&gt;="&amp;$B$19,Market_Panel!$B$2:$B$2705,"&lt;="&amp;$C$19))</f>
        <v>-0.353611670144992</v>
      </c>
      <c r="G469" s="11" t="n">
        <f aca="false">IF(D469=0,"",AVERAGEIFS(Market_Panel!$R$2:$R$2705,Market_Panel!$A$2:$A$2705,B469,Market_Panel!$B$2:$B$2705,"&gt;="&amp;$B$19,Market_Panel!$B$2:$B$2705,"&lt;="&amp;$C$19))</f>
        <v>0</v>
      </c>
      <c r="H469" s="11" t="n">
        <f aca="false">IF(OR(D469=0,$H$19=0),0,AVERAGEIFS(Market_Panel!$Y$2:$Y$2705,Market_Panel!$A$2:$A$2705,B469,Market_Panel!$B$2:$B$2705,"&gt;="&amp;$B$19,Market_Panel!$B$2:$B$2705,"&lt;="&amp;$C$19))</f>
        <v>0.250020438911662</v>
      </c>
      <c r="I469" s="10" t="n">
        <f aca="false">IF(D469=0,"",$I$19+$F$19*F469+$G$19*G469+$H$19*H469)</f>
        <v>0.0201206660656872</v>
      </c>
      <c r="J469" s="5" t="n">
        <f aca="false">IF(D469&lt;5,"",(E469-I469)*162)</f>
        <v>-0.558159513356562</v>
      </c>
      <c r="K469" s="5" t="n">
        <f aca="false">IF(D469=0,"",E469*162)</f>
        <v>2.70138838928476</v>
      </c>
      <c r="L469" s="3" t="n">
        <f aca="false">SUMIFS(Seasons!$L$2:$L$2865,Seasons!$A$2:$A$2865,B469,Seasons!$B$2:$B$2865,"&gt;="&amp;$B$19,Seasons!$B$2:$B$2865,"&lt;="&amp;$C$19)</f>
        <v>2</v>
      </c>
      <c r="M469" s="3" t="n">
        <f aca="false">SUMIFS(Seasons!$N$2:$N$2865,Seasons!$A$2:$A$2865,B469,Seasons!$B$2:$B$2865,"&gt;="&amp;$B$19,Seasons!$B$2:$B$2865,"&lt;="&amp;$C$19)</f>
        <v>0</v>
      </c>
      <c r="N469" s="3" t="n">
        <f aca="false">IF(J469="",-1000000,J469+ROW()*0.000000001)</f>
        <v>-0.558159044356562</v>
      </c>
      <c r="O469" s="3" t="n">
        <f aca="false">IF(J469="","",SUMPRODUCT(($A$25:$A$534=A469)*($N$25:$N$534&gt;N469))+1)</f>
        <v>17</v>
      </c>
      <c r="P469" s="3" t="str">
        <f aca="false">A469&amp;"|"&amp;O469</f>
        <v>2000s payroll-adj|17</v>
      </c>
    </row>
    <row r="470" customFormat="false" ht="15" hidden="false" customHeight="true" outlineLevel="0" collapsed="false">
      <c r="A470" s="1" t="s">
        <v>23</v>
      </c>
      <c r="B470" s="7" t="s">
        <v>81</v>
      </c>
      <c r="C470" s="1" t="s">
        <v>72</v>
      </c>
      <c r="D470" s="3" t="n">
        <f aca="false">COUNTIFS(Market_Panel!$A$2:$A$2705,B470,Market_Panel!$B$2:$B$2705,"&gt;="&amp;$B$19,Market_Panel!$B$2:$B$2705,"&lt;="&amp;$C$19)</f>
        <v>10</v>
      </c>
      <c r="E470" s="10" t="n">
        <f aca="false">IF(D470=0,"",AVERAGEIFS(Market_Panel!$M$2:$M$2705,Market_Panel!$A$2:$A$2705,B470,Market_Panel!$B$2:$B$2705,"&gt;="&amp;$B$19,Market_Panel!$B$2:$B$2705,"&lt;="&amp;$C$19))</f>
        <v>-0.00282096730791935</v>
      </c>
      <c r="F470" s="11" t="n">
        <f aca="false">IF(D470=0,"",AVERAGEIFS(Market_Panel!$P$2:$P$2705,Market_Panel!$A$2:$A$2705,B470,Market_Panel!$B$2:$B$2705,"&gt;="&amp;$B$19,Market_Panel!$B$2:$B$2705,"&lt;="&amp;$C$19))</f>
        <v>1.11786025954975</v>
      </c>
      <c r="G470" s="11" t="n">
        <f aca="false">IF(D470=0,"",AVERAGEIFS(Market_Panel!$R$2:$R$2705,Market_Panel!$A$2:$A$2705,B470,Market_Panel!$B$2:$B$2705,"&gt;="&amp;$B$19,Market_Panel!$B$2:$B$2705,"&lt;="&amp;$C$19))</f>
        <v>0</v>
      </c>
      <c r="H470" s="11" t="n">
        <f aca="false">IF(OR(D470=0,$H$19=0),0,AVERAGEIFS(Market_Panel!$Y$2:$Y$2705,Market_Panel!$A$2:$A$2705,B470,Market_Panel!$B$2:$B$2705,"&gt;="&amp;$B$19,Market_Panel!$B$2:$B$2705,"&lt;="&amp;$C$19))</f>
        <v>-0.0317686846761546</v>
      </c>
      <c r="I470" s="10" t="n">
        <f aca="false">IF(D470=0,"",$I$19+$F$19*F470+$G$19*G470+$H$19*H470)</f>
        <v>-0.00188491995207077</v>
      </c>
      <c r="J470" s="5" t="n">
        <f aca="false">IF(D470&lt;5,"",(E470-I470)*162)</f>
        <v>-0.15163967164747</v>
      </c>
      <c r="K470" s="5" t="n">
        <f aca="false">IF(D470=0,"",E470*162)</f>
        <v>-0.456996703882934</v>
      </c>
      <c r="L470" s="3" t="n">
        <f aca="false">SUMIFS(Seasons!$L$2:$L$2865,Seasons!$A$2:$A$2865,B470,Seasons!$B$2:$B$2865,"&gt;="&amp;$B$19,Seasons!$B$2:$B$2865,"&lt;="&amp;$C$19)</f>
        <v>0</v>
      </c>
      <c r="M470" s="3" t="n">
        <f aca="false">SUMIFS(Seasons!$N$2:$N$2865,Seasons!$A$2:$A$2865,B470,Seasons!$B$2:$B$2865,"&gt;="&amp;$B$19,Seasons!$B$2:$B$2865,"&lt;="&amp;$C$19)</f>
        <v>0</v>
      </c>
      <c r="N470" s="3" t="n">
        <f aca="false">IF(J470="",-1000000,J470+ROW()*0.000000001)</f>
        <v>-0.15163920164747</v>
      </c>
      <c r="O470" s="3" t="n">
        <f aca="false">IF(J470="","",SUMPRODUCT(($A$25:$A$534=A470)*($N$25:$N$534&gt;N470))+1)</f>
        <v>16</v>
      </c>
      <c r="P470" s="3" t="str">
        <f aca="false">A470&amp;"|"&amp;O470</f>
        <v>2000s payroll-adj|16</v>
      </c>
    </row>
    <row r="471" customFormat="false" ht="15" hidden="false" customHeight="true" outlineLevel="0" collapsed="false">
      <c r="A471" s="1" t="s">
        <v>23</v>
      </c>
      <c r="B471" s="7" t="s">
        <v>82</v>
      </c>
      <c r="C471" s="1" t="s">
        <v>72</v>
      </c>
      <c r="D471" s="3" t="n">
        <f aca="false">COUNTIFS(Market_Panel!$A$2:$A$2705,B471,Market_Panel!$B$2:$B$2705,"&gt;="&amp;$B$19,Market_Panel!$B$2:$B$2705,"&lt;="&amp;$C$19)</f>
        <v>10</v>
      </c>
      <c r="E471" s="10" t="n">
        <f aca="false">IF(D471=0,"",AVERAGEIFS(Market_Panel!$M$2:$M$2705,Market_Panel!$A$2:$A$2705,B471,Market_Panel!$B$2:$B$2705,"&gt;="&amp;$B$19,Market_Panel!$B$2:$B$2705,"&lt;="&amp;$C$19))</f>
        <v>-0.0256409033002569</v>
      </c>
      <c r="F471" s="11" t="n">
        <f aca="false">IF(D471=0,"",AVERAGEIFS(Market_Panel!$P$2:$P$2705,Market_Panel!$A$2:$A$2705,B471,Market_Panel!$B$2:$B$2705,"&gt;="&amp;$B$19,Market_Panel!$B$2:$B$2705,"&lt;="&amp;$C$19))</f>
        <v>-0.368539174481677</v>
      </c>
      <c r="G471" s="11" t="n">
        <f aca="false">IF(D471=0,"",AVERAGEIFS(Market_Panel!$R$2:$R$2705,Market_Panel!$A$2:$A$2705,B471,Market_Panel!$B$2:$B$2705,"&gt;="&amp;$B$19,Market_Panel!$B$2:$B$2705,"&lt;="&amp;$C$19))</f>
        <v>0.3</v>
      </c>
      <c r="H471" s="11" t="n">
        <f aca="false">IF(OR(D471=0,$H$19=0),0,AVERAGEIFS(Market_Panel!$Y$2:$Y$2705,Market_Panel!$A$2:$A$2705,B471,Market_Panel!$B$2:$B$2705,"&gt;="&amp;$B$19,Market_Panel!$B$2:$B$2705,"&lt;="&amp;$C$19))</f>
        <v>-0.118456711030268</v>
      </c>
      <c r="I471" s="10" t="n">
        <f aca="false">IF(D471=0,"",$I$19+$F$19*F471+$G$19*G471+$H$19*H471)</f>
        <v>-0.013904039012759</v>
      </c>
      <c r="J471" s="5" t="n">
        <f aca="false">IF(D471&lt;5,"",(E471-I471)*162)</f>
        <v>-1.90137201457465</v>
      </c>
      <c r="K471" s="5" t="n">
        <f aca="false">IF(D471=0,"",E471*162)</f>
        <v>-4.15382633464162</v>
      </c>
      <c r="L471" s="3" t="n">
        <f aca="false">SUMIFS(Seasons!$L$2:$L$2865,Seasons!$A$2:$A$2865,B471,Seasons!$B$2:$B$2865,"&gt;="&amp;$B$19,Seasons!$B$2:$B$2865,"&lt;="&amp;$C$19)</f>
        <v>2</v>
      </c>
      <c r="M471" s="3" t="n">
        <f aca="false">SUMIFS(Seasons!$N$2:$N$2865,Seasons!$A$2:$A$2865,B471,Seasons!$B$2:$B$2865,"&gt;="&amp;$B$19,Seasons!$B$2:$B$2865,"&lt;="&amp;$C$19)</f>
        <v>0</v>
      </c>
      <c r="N471" s="3" t="n">
        <f aca="false">IF(J471="",-1000000,J471+ROW()*0.000000001)</f>
        <v>-1.90137154357465</v>
      </c>
      <c r="O471" s="3" t="n">
        <f aca="false">IF(J471="","",SUMPRODUCT(($A$25:$A$534=A471)*($N$25:$N$534&gt;N471))+1)</f>
        <v>20</v>
      </c>
      <c r="P471" s="3" t="str">
        <f aca="false">A471&amp;"|"&amp;O471</f>
        <v>2000s payroll-adj|20</v>
      </c>
    </row>
    <row r="472" customFormat="false" ht="15" hidden="false" customHeight="true" outlineLevel="0" collapsed="false">
      <c r="A472" s="1" t="s">
        <v>23</v>
      </c>
      <c r="B472" s="7" t="s">
        <v>83</v>
      </c>
      <c r="C472" s="1" t="s">
        <v>72</v>
      </c>
      <c r="D472" s="3" t="n">
        <f aca="false">COUNTIFS(Market_Panel!$A$2:$A$2705,B472,Market_Panel!$B$2:$B$2705,"&gt;="&amp;$B$19,Market_Panel!$B$2:$B$2705,"&lt;="&amp;$C$19)</f>
        <v>10</v>
      </c>
      <c r="E472" s="10" t="n">
        <f aca="false">IF(D472=0,"",AVERAGEIFS(Market_Panel!$M$2:$M$2705,Market_Panel!$A$2:$A$2705,B472,Market_Panel!$B$2:$B$2705,"&gt;="&amp;$B$19,Market_Panel!$B$2:$B$2705,"&lt;="&amp;$C$19))</f>
        <v>0.00125080632907168</v>
      </c>
      <c r="F472" s="11" t="n">
        <f aca="false">IF(D472=0,"",AVERAGEIFS(Market_Panel!$P$2:$P$2705,Market_Panel!$A$2:$A$2705,B472,Market_Panel!$B$2:$B$2705,"&gt;="&amp;$B$19,Market_Panel!$B$2:$B$2705,"&lt;="&amp;$C$19))</f>
        <v>-0.785681929298147</v>
      </c>
      <c r="G472" s="11" t="n">
        <f aca="false">IF(D472=0,"",AVERAGEIFS(Market_Panel!$R$2:$R$2705,Market_Panel!$A$2:$A$2705,B472,Market_Panel!$B$2:$B$2705,"&gt;="&amp;$B$19,Market_Panel!$B$2:$B$2705,"&lt;="&amp;$C$19))</f>
        <v>0.3</v>
      </c>
      <c r="H472" s="11" t="n">
        <f aca="false">IF(OR(D472=0,$H$19=0),0,AVERAGEIFS(Market_Panel!$Y$2:$Y$2705,Market_Panel!$A$2:$A$2705,B472,Market_Panel!$B$2:$B$2705,"&gt;="&amp;$B$19,Market_Panel!$B$2:$B$2705,"&lt;="&amp;$C$19))</f>
        <v>-0.728335263571014</v>
      </c>
      <c r="I472" s="10" t="n">
        <f aca="false">IF(D472=0,"",$I$19+$F$19*F472+$G$19*G472+$H$19*H472)</f>
        <v>-0.0563521761819203</v>
      </c>
      <c r="J472" s="5" t="n">
        <f aca="false">IF(D472&lt;5,"",(E472-I472)*162)</f>
        <v>9.3316831667807</v>
      </c>
      <c r="K472" s="5" t="n">
        <f aca="false">IF(D472=0,"",E472*162)</f>
        <v>0.202630625309612</v>
      </c>
      <c r="L472" s="3" t="n">
        <f aca="false">SUMIFS(Seasons!$L$2:$L$2865,Seasons!$A$2:$A$2865,B472,Seasons!$B$2:$B$2865,"&gt;="&amp;$B$19,Seasons!$B$2:$B$2865,"&lt;="&amp;$C$19)</f>
        <v>1</v>
      </c>
      <c r="M472" s="3" t="n">
        <f aca="false">SUMIFS(Seasons!$N$2:$N$2865,Seasons!$A$2:$A$2865,B472,Seasons!$B$2:$B$2865,"&gt;="&amp;$B$19,Seasons!$B$2:$B$2865,"&lt;="&amp;$C$19)</f>
        <v>1</v>
      </c>
      <c r="N472" s="3" t="n">
        <f aca="false">IF(J472="",-1000000,J472+ROW()*0.000000001)</f>
        <v>9.3316836387807</v>
      </c>
      <c r="O472" s="3" t="n">
        <f aca="false">IF(J472="","",SUMPRODUCT(($A$25:$A$534=A472)*($N$25:$N$534&gt;N472))+1)</f>
        <v>2</v>
      </c>
      <c r="P472" s="3" t="str">
        <f aca="false">A472&amp;"|"&amp;O472</f>
        <v>2000s payroll-adj|2</v>
      </c>
    </row>
    <row r="473" customFormat="false" ht="15" hidden="false" customHeight="true" outlineLevel="0" collapsed="false">
      <c r="A473" s="1" t="s">
        <v>23</v>
      </c>
      <c r="B473" s="7" t="s">
        <v>84</v>
      </c>
      <c r="C473" s="1" t="s">
        <v>72</v>
      </c>
      <c r="D473" s="3" t="n">
        <f aca="false">COUNTIFS(Market_Panel!$A$2:$A$2705,B473,Market_Panel!$B$2:$B$2705,"&gt;="&amp;$B$19,Market_Panel!$B$2:$B$2705,"&lt;="&amp;$C$19)</f>
        <v>10</v>
      </c>
      <c r="E473" s="10" t="n">
        <f aca="false">IF(D473=0,"",AVERAGEIFS(Market_Panel!$M$2:$M$2705,Market_Panel!$A$2:$A$2705,B473,Market_Panel!$B$2:$B$2705,"&gt;="&amp;$B$19,Market_Panel!$B$2:$B$2705,"&lt;="&amp;$C$19))</f>
        <v>-0.00307784944885948</v>
      </c>
      <c r="F473" s="11" t="n">
        <f aca="false">IF(D473=0,"",AVERAGEIFS(Market_Panel!$P$2:$P$2705,Market_Panel!$A$2:$A$2705,B473,Market_Panel!$B$2:$B$2705,"&gt;="&amp;$B$19,Market_Panel!$B$2:$B$2705,"&lt;="&amp;$C$19))</f>
        <v>0.504386319574138</v>
      </c>
      <c r="G473" s="11" t="n">
        <f aca="false">IF(D473=0,"",AVERAGEIFS(Market_Panel!$R$2:$R$2705,Market_Panel!$A$2:$A$2705,B473,Market_Panel!$B$2:$B$2705,"&gt;="&amp;$B$19,Market_Panel!$B$2:$B$2705,"&lt;="&amp;$C$19))</f>
        <v>0.8</v>
      </c>
      <c r="H473" s="11" t="n">
        <f aca="false">IF(OR(D473=0,$H$19=0),0,AVERAGEIFS(Market_Panel!$Y$2:$Y$2705,Market_Panel!$A$2:$A$2705,B473,Market_Panel!$B$2:$B$2705,"&gt;="&amp;$B$19,Market_Panel!$B$2:$B$2705,"&lt;="&amp;$C$19))</f>
        <v>0.0643122533223217</v>
      </c>
      <c r="I473" s="10" t="n">
        <f aca="false">IF(D473=0,"",$I$19+$F$19*F473+$G$19*G473+$H$19*H473)</f>
        <v>-0.0156542158315213</v>
      </c>
      <c r="J473" s="5" t="n">
        <f aca="false">IF(D473&lt;5,"",(E473-I473)*162)</f>
        <v>2.03737135399121</v>
      </c>
      <c r="K473" s="5" t="n">
        <f aca="false">IF(D473=0,"",E473*162)</f>
        <v>-0.498611610715235</v>
      </c>
      <c r="L473" s="3" t="n">
        <f aca="false">SUMIFS(Seasons!$L$2:$L$2865,Seasons!$A$2:$A$2865,B473,Seasons!$B$2:$B$2865,"&gt;="&amp;$B$19,Seasons!$B$2:$B$2865,"&lt;="&amp;$C$19)</f>
        <v>3</v>
      </c>
      <c r="M473" s="3" t="n">
        <f aca="false">SUMIFS(Seasons!$N$2:$N$2865,Seasons!$A$2:$A$2865,B473,Seasons!$B$2:$B$2865,"&gt;="&amp;$B$19,Seasons!$B$2:$B$2865,"&lt;="&amp;$C$19)</f>
        <v>1</v>
      </c>
      <c r="N473" s="3" t="n">
        <f aca="false">IF(J473="",-1000000,J473+ROW()*0.000000001)</f>
        <v>2.03737182699121</v>
      </c>
      <c r="O473" s="3" t="n">
        <f aca="false">IF(J473="","",SUMPRODUCT(($A$25:$A$534=A473)*($N$25:$N$534&gt;N473))+1)</f>
        <v>12</v>
      </c>
      <c r="P473" s="3" t="str">
        <f aca="false">A473&amp;"|"&amp;O473</f>
        <v>2000s payroll-adj|12</v>
      </c>
    </row>
    <row r="474" customFormat="false" ht="15" hidden="false" customHeight="true" outlineLevel="0" collapsed="false">
      <c r="A474" s="1" t="s">
        <v>23</v>
      </c>
      <c r="B474" s="7" t="s">
        <v>85</v>
      </c>
      <c r="C474" s="1" t="s">
        <v>72</v>
      </c>
      <c r="D474" s="3" t="n">
        <f aca="false">COUNTIFS(Market_Panel!$A$2:$A$2705,B474,Market_Panel!$B$2:$B$2705,"&gt;="&amp;$B$19,Market_Panel!$B$2:$B$2705,"&lt;="&amp;$C$19)</f>
        <v>10</v>
      </c>
      <c r="E474" s="10" t="n">
        <f aca="false">IF(D474=0,"",AVERAGEIFS(Market_Panel!$M$2:$M$2705,Market_Panel!$A$2:$A$2705,B474,Market_Panel!$B$2:$B$2705,"&gt;="&amp;$B$19,Market_Panel!$B$2:$B$2705,"&lt;="&amp;$C$19))</f>
        <v>-0.0708525599771932</v>
      </c>
      <c r="F474" s="11" t="n">
        <f aca="false">IF(D474=0,"",AVERAGEIFS(Market_Panel!$P$2:$P$2705,Market_Panel!$A$2:$A$2705,B474,Market_Panel!$B$2:$B$2705,"&gt;="&amp;$B$19,Market_Panel!$B$2:$B$2705,"&lt;="&amp;$C$19))</f>
        <v>-0.961673674992673</v>
      </c>
      <c r="G474" s="11" t="n">
        <f aca="false">IF(D474=0,"",AVERAGEIFS(Market_Panel!$R$2:$R$2705,Market_Panel!$A$2:$A$2705,B474,Market_Panel!$B$2:$B$2705,"&gt;="&amp;$B$19,Market_Panel!$B$2:$B$2705,"&lt;="&amp;$C$19))</f>
        <v>0.8</v>
      </c>
      <c r="H474" s="11" t="n">
        <f aca="false">IF(OR(D474=0,$H$19=0),0,AVERAGEIFS(Market_Panel!$Y$2:$Y$2705,Market_Panel!$A$2:$A$2705,B474,Market_Panel!$B$2:$B$2705,"&gt;="&amp;$B$19,Market_Panel!$B$2:$B$2705,"&lt;="&amp;$C$19))</f>
        <v>-0.598487577031356</v>
      </c>
      <c r="I474" s="10" t="n">
        <f aca="false">IF(D474=0,"",$I$19+$F$19*F474+$G$19*G474+$H$19*H474)</f>
        <v>-0.0603296416060652</v>
      </c>
      <c r="J474" s="5" t="n">
        <f aca="false">IF(D474&lt;5,"",(E474-I474)*162)</f>
        <v>-1.70471277612273</v>
      </c>
      <c r="K474" s="5" t="n">
        <f aca="false">IF(D474=0,"",E474*162)</f>
        <v>-11.4781147163053</v>
      </c>
      <c r="L474" s="3" t="n">
        <f aca="false">SUMIFS(Seasons!$L$2:$L$2865,Seasons!$A$2:$A$2865,B474,Seasons!$B$2:$B$2865,"&gt;="&amp;$B$19,Seasons!$B$2:$B$2865,"&lt;="&amp;$C$19)</f>
        <v>1</v>
      </c>
      <c r="M474" s="3" t="n">
        <f aca="false">SUMIFS(Seasons!$N$2:$N$2865,Seasons!$A$2:$A$2865,B474,Seasons!$B$2:$B$2865,"&gt;="&amp;$B$19,Seasons!$B$2:$B$2865,"&lt;="&amp;$C$19)</f>
        <v>0</v>
      </c>
      <c r="N474" s="3" t="n">
        <f aca="false">IF(J474="",-1000000,J474+ROW()*0.000000001)</f>
        <v>-1.70471230212273</v>
      </c>
      <c r="O474" s="3" t="n">
        <f aca="false">IF(J474="","",SUMPRODUCT(($A$25:$A$534=A474)*($N$25:$N$534&gt;N474))+1)</f>
        <v>19</v>
      </c>
      <c r="P474" s="3" t="str">
        <f aca="false">A474&amp;"|"&amp;O474</f>
        <v>2000s payroll-adj|19</v>
      </c>
    </row>
    <row r="475" customFormat="false" ht="15" hidden="false" customHeight="true" outlineLevel="0" collapsed="false">
      <c r="A475" s="1" t="s">
        <v>24</v>
      </c>
      <c r="B475" s="7" t="s">
        <v>54</v>
      </c>
      <c r="C475" s="1" t="s">
        <v>55</v>
      </c>
      <c r="D475" s="3" t="n">
        <f aca="false">COUNTIFS(Market_Panel!$A$2:$A$2705,B475,Market_Panel!$B$2:$B$2705,"&gt;="&amp;$B$20,Market_Panel!$B$2:$B$2705,"&lt;="&amp;$C$20)</f>
        <v>10</v>
      </c>
      <c r="E475" s="10" t="n">
        <f aca="false">IF(D475=0,"",AVERAGEIFS(Market_Panel!$M$2:$M$2705,Market_Panel!$A$2:$A$2705,B475,Market_Panel!$B$2:$B$2705,"&gt;="&amp;$B$20,Market_Panel!$B$2:$B$2705,"&lt;="&amp;$C$20))</f>
        <v>0.0206445269590997</v>
      </c>
      <c r="F475" s="11" t="n">
        <f aca="false">IF(D475=0,"",AVERAGEIFS(Market_Panel!$P$2:$P$2705,Market_Panel!$A$2:$A$2705,B475,Market_Panel!$B$2:$B$2705,"&gt;="&amp;$B$20,Market_Panel!$B$2:$B$2705,"&lt;="&amp;$C$20))</f>
        <v>-0.620043526465297</v>
      </c>
      <c r="G475" s="11" t="n">
        <f aca="false">IF(D475=0,"",AVERAGEIFS(Market_Panel!$R$2:$R$2705,Market_Panel!$A$2:$A$2705,B475,Market_Panel!$B$2:$B$2705,"&gt;="&amp;$B$20,Market_Panel!$B$2:$B$2705,"&lt;="&amp;$C$20))</f>
        <v>0</v>
      </c>
      <c r="H475" s="11" t="n">
        <f aca="false">IF(OR(D475=0,$H$20=0),0,AVERAGEIFS(Market_Panel!$Y$2:$Y$2705,Market_Panel!$A$2:$A$2705,B475,Market_Panel!$B$2:$B$2705,"&gt;="&amp;$B$20,Market_Panel!$B$2:$B$2705,"&lt;="&amp;$C$20))</f>
        <v>-0.138990685233983</v>
      </c>
      <c r="I475" s="10" t="n">
        <f aca="false">IF(D475=0,"",$I$20+$F$20*F475+$G$20*G475+$H$20*H475)</f>
        <v>-0.00557844796527271</v>
      </c>
      <c r="J475" s="5" t="n">
        <f aca="false">IF(D475&lt;5,"",(E475-I475)*162)</f>
        <v>4.24812193774833</v>
      </c>
      <c r="K475" s="5" t="n">
        <f aca="false">IF(D475=0,"",E475*162)</f>
        <v>3.34441336737416</v>
      </c>
      <c r="L475" s="3" t="n">
        <f aca="false">SUMIFS(Seasons!$L$2:$L$2865,Seasons!$A$2:$A$2865,B475,Seasons!$B$2:$B$2865,"&gt;="&amp;$B$20,Seasons!$B$2:$B$2865,"&lt;="&amp;$C$20)</f>
        <v>5</v>
      </c>
      <c r="M475" s="3" t="n">
        <f aca="false">SUMIFS(Seasons!$N$2:$N$2865,Seasons!$A$2:$A$2865,B475,Seasons!$B$2:$B$2865,"&gt;="&amp;$B$20,Seasons!$B$2:$B$2865,"&lt;="&amp;$C$20)</f>
        <v>0</v>
      </c>
      <c r="N475" s="3" t="n">
        <f aca="false">IF(J475="",-1000000,J475+ROW()*0.000000001)</f>
        <v>4.24812241274834</v>
      </c>
      <c r="O475" s="3" t="n">
        <f aca="false">IF(J475="","",SUMPRODUCT(($A$25:$A$534=A475)*($N$25:$N$534&gt;N475))+1)</f>
        <v>8</v>
      </c>
      <c r="P475" s="3" t="str">
        <f aca="false">A475&amp;"|"&amp;O475</f>
        <v>2010s payroll-adj|8</v>
      </c>
    </row>
    <row r="476" customFormat="false" ht="15" hidden="false" customHeight="true" outlineLevel="0" collapsed="false">
      <c r="A476" s="1" t="s">
        <v>24</v>
      </c>
      <c r="B476" s="7" t="s">
        <v>56</v>
      </c>
      <c r="C476" s="1" t="s">
        <v>55</v>
      </c>
      <c r="D476" s="3" t="n">
        <f aca="false">COUNTIFS(Market_Panel!$A$2:$A$2705,B476,Market_Panel!$B$2:$B$2705,"&gt;="&amp;$B$20,Market_Panel!$B$2:$B$2705,"&lt;="&amp;$C$20)</f>
        <v>10</v>
      </c>
      <c r="E476" s="10" t="n">
        <f aca="false">IF(D476=0,"",AVERAGEIFS(Market_Panel!$M$2:$M$2705,Market_Panel!$A$2:$A$2705,B476,Market_Panel!$B$2:$B$2705,"&gt;="&amp;$B$20,Market_Panel!$B$2:$B$2705,"&lt;="&amp;$C$20))</f>
        <v>0.00436956968654308</v>
      </c>
      <c r="F476" s="11" t="n">
        <f aca="false">IF(D476=0,"",AVERAGEIFS(Market_Panel!$P$2:$P$2705,Market_Panel!$A$2:$A$2705,B476,Market_Panel!$B$2:$B$2705,"&gt;="&amp;$B$20,Market_Panel!$B$2:$B$2705,"&lt;="&amp;$C$20))</f>
        <v>0.477024903445431</v>
      </c>
      <c r="G476" s="11" t="n">
        <f aca="false">IF(D476=0,"",AVERAGEIFS(Market_Panel!$R$2:$R$2705,Market_Panel!$A$2:$A$2705,B476,Market_Panel!$B$2:$B$2705,"&gt;="&amp;$B$20,Market_Panel!$B$2:$B$2705,"&lt;="&amp;$C$20))</f>
        <v>0</v>
      </c>
      <c r="H476" s="11" t="n">
        <f aca="false">IF(OR(D476=0,$H$20=0),0,AVERAGEIFS(Market_Panel!$Y$2:$Y$2705,Market_Panel!$A$2:$A$2705,B476,Market_Panel!$B$2:$B$2705,"&gt;="&amp;$B$20,Market_Panel!$B$2:$B$2705,"&lt;="&amp;$C$20))</f>
        <v>0.200854585217572</v>
      </c>
      <c r="I476" s="10" t="n">
        <f aca="false">IF(D476=0,"",$I$20+$F$20*F476+$G$20*G476+$H$20*H476)</f>
        <v>0.0110523417445028</v>
      </c>
      <c r="J476" s="5" t="n">
        <f aca="false">IF(D476&lt;5,"",(E476-I476)*162)</f>
        <v>-1.08260907338948</v>
      </c>
      <c r="K476" s="5" t="n">
        <f aca="false">IF(D476=0,"",E476*162)</f>
        <v>0.707870289219979</v>
      </c>
      <c r="L476" s="3" t="n">
        <f aca="false">SUMIFS(Seasons!$L$2:$L$2865,Seasons!$A$2:$A$2865,B476,Seasons!$B$2:$B$2865,"&gt;="&amp;$B$20,Seasons!$B$2:$B$2865,"&lt;="&amp;$C$20)</f>
        <v>4</v>
      </c>
      <c r="M476" s="3" t="n">
        <f aca="false">SUMIFS(Seasons!$N$2:$N$2865,Seasons!$A$2:$A$2865,B476,Seasons!$B$2:$B$2865,"&gt;="&amp;$B$20,Seasons!$B$2:$B$2865,"&lt;="&amp;$C$20)</f>
        <v>1</v>
      </c>
      <c r="N476" s="3" t="n">
        <f aca="false">IF(J476="",-1000000,J476+ROW()*0.000000001)</f>
        <v>-1.08260859738948</v>
      </c>
      <c r="O476" s="3" t="n">
        <f aca="false">IF(J476="","",SUMPRODUCT(($A$25:$A$534=A476)*($N$25:$N$534&gt;N476))+1)</f>
        <v>18</v>
      </c>
      <c r="P476" s="3" t="str">
        <f aca="false">A476&amp;"|"&amp;O476</f>
        <v>2010s payroll-adj|18</v>
      </c>
    </row>
    <row r="477" customFormat="false" ht="15" hidden="false" customHeight="true" outlineLevel="0" collapsed="false">
      <c r="A477" s="1" t="s">
        <v>24</v>
      </c>
      <c r="B477" s="7" t="s">
        <v>57</v>
      </c>
      <c r="C477" s="1" t="s">
        <v>55</v>
      </c>
      <c r="D477" s="3" t="n">
        <f aca="false">COUNTIFS(Market_Panel!$A$2:$A$2705,B477,Market_Panel!$B$2:$B$2705,"&gt;="&amp;$B$20,Market_Panel!$B$2:$B$2705,"&lt;="&amp;$C$20)</f>
        <v>10</v>
      </c>
      <c r="E477" s="10" t="n">
        <f aca="false">IF(D477=0,"",AVERAGEIFS(Market_Panel!$M$2:$M$2705,Market_Panel!$A$2:$A$2705,B477,Market_Panel!$B$2:$B$2705,"&gt;="&amp;$B$20,Market_Panel!$B$2:$B$2705,"&lt;="&amp;$C$20))</f>
        <v>-0.0215914978856208</v>
      </c>
      <c r="F477" s="11" t="n">
        <f aca="false">IF(D477=0,"",AVERAGEIFS(Market_Panel!$P$2:$P$2705,Market_Panel!$A$2:$A$2705,B477,Market_Panel!$B$2:$B$2705,"&gt;="&amp;$B$20,Market_Panel!$B$2:$B$2705,"&lt;="&amp;$C$20))</f>
        <v>-1.02569110275614</v>
      </c>
      <c r="G477" s="11" t="n">
        <f aca="false">IF(D477=0,"",AVERAGEIFS(Market_Panel!$R$2:$R$2705,Market_Panel!$A$2:$A$2705,B477,Market_Panel!$B$2:$B$2705,"&gt;="&amp;$B$20,Market_Panel!$B$2:$B$2705,"&lt;="&amp;$C$20))</f>
        <v>0</v>
      </c>
      <c r="H477" s="11" t="n">
        <f aca="false">IF(OR(D477=0,$H$20=0),0,AVERAGEIFS(Market_Panel!$Y$2:$Y$2705,Market_Panel!$A$2:$A$2705,B477,Market_Panel!$B$2:$B$2705,"&gt;="&amp;$B$20,Market_Panel!$B$2:$B$2705,"&lt;="&amp;$C$20))</f>
        <v>-0.0965232647887039</v>
      </c>
      <c r="I477" s="10" t="n">
        <f aca="false">IF(D477=0,"",$I$20+$F$20*F477+$G$20*G477+$H$20*H477)</f>
        <v>0.0003740347069063</v>
      </c>
      <c r="J477" s="5" t="n">
        <f aca="false">IF(D477&lt;5,"",(E477-I477)*162)</f>
        <v>-3.55841627998939</v>
      </c>
      <c r="K477" s="5" t="n">
        <f aca="false">IF(D477=0,"",E477*162)</f>
        <v>-3.49782265747057</v>
      </c>
      <c r="L477" s="3" t="n">
        <f aca="false">SUMIFS(Seasons!$L$2:$L$2865,Seasons!$A$2:$A$2865,B477,Seasons!$B$2:$B$2865,"&gt;="&amp;$B$20,Seasons!$B$2:$B$2865,"&lt;="&amp;$C$20)</f>
        <v>3</v>
      </c>
      <c r="M477" s="3" t="n">
        <f aca="false">SUMIFS(Seasons!$N$2:$N$2865,Seasons!$A$2:$A$2865,B477,Seasons!$B$2:$B$2865,"&gt;="&amp;$B$20,Seasons!$B$2:$B$2865,"&lt;="&amp;$C$20)</f>
        <v>0</v>
      </c>
      <c r="N477" s="3" t="n">
        <f aca="false">IF(J477="",-1000000,J477+ROW()*0.000000001)</f>
        <v>-3.55841580298939</v>
      </c>
      <c r="O477" s="3" t="n">
        <f aca="false">IF(J477="","",SUMPRODUCT(($A$25:$A$534=A477)*($N$25:$N$534&gt;N477))+1)</f>
        <v>21</v>
      </c>
      <c r="P477" s="3" t="str">
        <f aca="false">A477&amp;"|"&amp;O477</f>
        <v>2010s payroll-adj|21</v>
      </c>
    </row>
    <row r="478" customFormat="false" ht="15" hidden="false" customHeight="true" outlineLevel="0" collapsed="false">
      <c r="A478" s="1" t="s">
        <v>24</v>
      </c>
      <c r="B478" s="7" t="s">
        <v>58</v>
      </c>
      <c r="C478" s="1" t="s">
        <v>55</v>
      </c>
      <c r="D478" s="3" t="n">
        <f aca="false">COUNTIFS(Market_Panel!$A$2:$A$2705,B478,Market_Panel!$B$2:$B$2705,"&gt;="&amp;$B$20,Market_Panel!$B$2:$B$2705,"&lt;="&amp;$C$20)</f>
        <v>10</v>
      </c>
      <c r="E478" s="10" t="n">
        <f aca="false">IF(D478=0,"",AVERAGEIFS(Market_Panel!$M$2:$M$2705,Market_Panel!$A$2:$A$2705,B478,Market_Panel!$B$2:$B$2705,"&gt;="&amp;$B$20,Market_Panel!$B$2:$B$2705,"&lt;="&amp;$C$20))</f>
        <v>-0.0104842208363147</v>
      </c>
      <c r="F478" s="11" t="n">
        <f aca="false">IF(D478=0,"",AVERAGEIFS(Market_Panel!$P$2:$P$2705,Market_Panel!$A$2:$A$2705,B478,Market_Panel!$B$2:$B$2705,"&gt;="&amp;$B$20,Market_Panel!$B$2:$B$2705,"&lt;="&amp;$C$20))</f>
        <v>-1.01902698830645</v>
      </c>
      <c r="G478" s="11" t="n">
        <f aca="false">IF(D478=0,"",AVERAGEIFS(Market_Panel!$R$2:$R$2705,Market_Panel!$A$2:$A$2705,B478,Market_Panel!$B$2:$B$2705,"&gt;="&amp;$B$20,Market_Panel!$B$2:$B$2705,"&lt;="&amp;$C$20))</f>
        <v>0</v>
      </c>
      <c r="H478" s="11" t="n">
        <f aca="false">IF(OR(D478=0,$H$20=0),0,AVERAGEIFS(Market_Panel!$Y$2:$Y$2705,Market_Panel!$A$2:$A$2705,B478,Market_Panel!$B$2:$B$2705,"&gt;="&amp;$B$20,Market_Panel!$B$2:$B$2705,"&lt;="&amp;$C$20))</f>
        <v>-0.376337658171187</v>
      </c>
      <c r="I478" s="10" t="n">
        <f aca="false">IF(D478=0,"",$I$20+$F$20*F478+$G$20*G478+$H$20*H478)</f>
        <v>-0.0198146064374172</v>
      </c>
      <c r="J478" s="5" t="n">
        <f aca="false">IF(D478&lt;5,"",(E478-I478)*162)</f>
        <v>1.51152246737861</v>
      </c>
      <c r="K478" s="5" t="n">
        <f aca="false">IF(D478=0,"",E478*162)</f>
        <v>-1.69844377548299</v>
      </c>
      <c r="L478" s="3" t="n">
        <f aca="false">SUMIFS(Seasons!$L$2:$L$2865,Seasons!$A$2:$A$2865,B478,Seasons!$B$2:$B$2865,"&gt;="&amp;$B$20,Seasons!$B$2:$B$2865,"&lt;="&amp;$C$20)</f>
        <v>3</v>
      </c>
      <c r="M478" s="3" t="n">
        <f aca="false">SUMIFS(Seasons!$N$2:$N$2865,Seasons!$A$2:$A$2865,B478,Seasons!$B$2:$B$2865,"&gt;="&amp;$B$20,Seasons!$B$2:$B$2865,"&lt;="&amp;$C$20)</f>
        <v>0</v>
      </c>
      <c r="N478" s="3" t="n">
        <f aca="false">IF(J478="",-1000000,J478+ROW()*0.000000001)</f>
        <v>1.51152294537861</v>
      </c>
      <c r="O478" s="3" t="n">
        <f aca="false">IF(J478="","",SUMPRODUCT(($A$25:$A$534=A478)*($N$25:$N$534&gt;N478))+1)</f>
        <v>13</v>
      </c>
      <c r="P478" s="3" t="str">
        <f aca="false">A478&amp;"|"&amp;O478</f>
        <v>2010s payroll-adj|13</v>
      </c>
    </row>
    <row r="479" customFormat="false" ht="15" hidden="false" customHeight="true" outlineLevel="0" collapsed="false">
      <c r="A479" s="1" t="s">
        <v>24</v>
      </c>
      <c r="B479" s="7" t="s">
        <v>59</v>
      </c>
      <c r="C479" s="1" t="s">
        <v>55</v>
      </c>
      <c r="D479" s="3" t="n">
        <f aca="false">COUNTIFS(Market_Panel!$A$2:$A$2705,B479,Market_Panel!$B$2:$B$2705,"&gt;="&amp;$B$20,Market_Panel!$B$2:$B$2705,"&lt;="&amp;$C$20)</f>
        <v>10</v>
      </c>
      <c r="E479" s="10" t="n">
        <f aca="false">IF(D479=0,"",AVERAGEIFS(Market_Panel!$M$2:$M$2705,Market_Panel!$A$2:$A$2705,B479,Market_Panel!$B$2:$B$2705,"&gt;="&amp;$B$20,Market_Panel!$B$2:$B$2705,"&lt;="&amp;$C$20))</f>
        <v>0.0549517119909225</v>
      </c>
      <c r="F479" s="11" t="n">
        <f aca="false">IF(D479=0,"",AVERAGEIFS(Market_Panel!$P$2:$P$2705,Market_Panel!$A$2:$A$2705,B479,Market_Panel!$B$2:$B$2705,"&gt;="&amp;$B$20,Market_Panel!$B$2:$B$2705,"&lt;="&amp;$C$20))</f>
        <v>-0.997178522091132</v>
      </c>
      <c r="G479" s="11" t="n">
        <f aca="false">IF(D479=0,"",AVERAGEIFS(Market_Panel!$R$2:$R$2705,Market_Panel!$A$2:$A$2705,B479,Market_Panel!$B$2:$B$2705,"&gt;="&amp;$B$20,Market_Panel!$B$2:$B$2705,"&lt;="&amp;$C$20))</f>
        <v>0</v>
      </c>
      <c r="H479" s="11" t="n">
        <f aca="false">IF(OR(D479=0,$H$20=0),0,AVERAGEIFS(Market_Panel!$Y$2:$Y$2705,Market_Panel!$A$2:$A$2705,B479,Market_Panel!$B$2:$B$2705,"&gt;="&amp;$B$20,Market_Panel!$B$2:$B$2705,"&lt;="&amp;$C$20))</f>
        <v>0.160797629596592</v>
      </c>
      <c r="I479" s="10" t="n">
        <f aca="false">IF(D479=0,"",$I$20+$F$20*F479+$G$20*G479+$H$20*H479)</f>
        <v>0.0186924861870511</v>
      </c>
      <c r="J479" s="5" t="n">
        <f aca="false">IF(D479&lt;5,"",(E479-I479)*162)</f>
        <v>5.87399458022715</v>
      </c>
      <c r="K479" s="5" t="n">
        <f aca="false">IF(D479=0,"",E479*162)</f>
        <v>8.90217734252944</v>
      </c>
      <c r="L479" s="3" t="n">
        <f aca="false">SUMIFS(Seasons!$L$2:$L$2865,Seasons!$A$2:$A$2865,B479,Seasons!$B$2:$B$2865,"&gt;="&amp;$B$20,Seasons!$B$2:$B$2865,"&lt;="&amp;$C$20)</f>
        <v>6</v>
      </c>
      <c r="M479" s="3" t="n">
        <f aca="false">SUMIFS(Seasons!$N$2:$N$2865,Seasons!$A$2:$A$2865,B479,Seasons!$B$2:$B$2865,"&gt;="&amp;$B$20,Seasons!$B$2:$B$2865,"&lt;="&amp;$C$20)</f>
        <v>1</v>
      </c>
      <c r="N479" s="3" t="n">
        <f aca="false">IF(J479="",-1000000,J479+ROW()*0.000000001)</f>
        <v>5.87399505922715</v>
      </c>
      <c r="O479" s="3" t="n">
        <f aca="false">IF(J479="","",SUMPRODUCT(($A$25:$A$534=A479)*($N$25:$N$534&gt;N479))+1)</f>
        <v>5</v>
      </c>
      <c r="P479" s="3" t="str">
        <f aca="false">A479&amp;"|"&amp;O479</f>
        <v>2010s payroll-adj|5</v>
      </c>
    </row>
    <row r="480" customFormat="false" ht="15" hidden="false" customHeight="true" outlineLevel="0" collapsed="false">
      <c r="A480" s="1" t="s">
        <v>24</v>
      </c>
      <c r="B480" s="7" t="s">
        <v>60</v>
      </c>
      <c r="C480" s="1" t="s">
        <v>55</v>
      </c>
      <c r="D480" s="3" t="n">
        <f aca="false">COUNTIFS(Market_Panel!$A$2:$A$2705,B480,Market_Panel!$B$2:$B$2705,"&gt;="&amp;$B$20,Market_Panel!$B$2:$B$2705,"&lt;="&amp;$C$20)</f>
        <v>10</v>
      </c>
      <c r="E480" s="10" t="n">
        <f aca="false">IF(D480=0,"",AVERAGEIFS(Market_Panel!$M$2:$M$2705,Market_Panel!$A$2:$A$2705,B480,Market_Panel!$B$2:$B$2705,"&gt;="&amp;$B$20,Market_Panel!$B$2:$B$2705,"&lt;="&amp;$C$20))</f>
        <v>-0.0141840904782134</v>
      </c>
      <c r="F480" s="11" t="n">
        <f aca="false">IF(D480=0,"",AVERAGEIFS(Market_Panel!$P$2:$P$2705,Market_Panel!$A$2:$A$2705,B480,Market_Panel!$B$2:$B$2705,"&gt;="&amp;$B$20,Market_Panel!$B$2:$B$2705,"&lt;="&amp;$C$20))</f>
        <v>0.615179976981089</v>
      </c>
      <c r="G480" s="11" t="n">
        <f aca="false">IF(D480=0,"",AVERAGEIFS(Market_Panel!$R$2:$R$2705,Market_Panel!$A$2:$A$2705,B480,Market_Panel!$B$2:$B$2705,"&gt;="&amp;$B$20,Market_Panel!$B$2:$B$2705,"&lt;="&amp;$C$20))</f>
        <v>0</v>
      </c>
      <c r="H480" s="11" t="n">
        <f aca="false">IF(OR(D480=0,$H$20=0),0,AVERAGEIFS(Market_Panel!$Y$2:$Y$2705,Market_Panel!$A$2:$A$2705,B480,Market_Panel!$B$2:$B$2705,"&gt;="&amp;$B$20,Market_Panel!$B$2:$B$2705,"&lt;="&amp;$C$20))</f>
        <v>0.219663074928832</v>
      </c>
      <c r="I480" s="10" t="n">
        <f aca="false">IF(D480=0,"",$I$20+$F$20*F480+$G$20*G480+$H$20*H480)</f>
        <v>0.0114199731740059</v>
      </c>
      <c r="J480" s="5" t="n">
        <f aca="false">IF(D480&lt;5,"",(E480-I480)*162)</f>
        <v>-4.14785831165952</v>
      </c>
      <c r="K480" s="5" t="n">
        <f aca="false">IF(D480=0,"",E480*162)</f>
        <v>-2.29782265747057</v>
      </c>
      <c r="L480" s="3" t="n">
        <f aca="false">SUMIFS(Seasons!$L$2:$L$2865,Seasons!$A$2:$A$2865,B480,Seasons!$B$2:$B$2865,"&gt;="&amp;$B$20,Seasons!$B$2:$B$2865,"&lt;="&amp;$C$20)</f>
        <v>2</v>
      </c>
      <c r="M480" s="3" t="n">
        <f aca="false">SUMIFS(Seasons!$N$2:$N$2865,Seasons!$A$2:$A$2865,B480,Seasons!$B$2:$B$2865,"&gt;="&amp;$B$20,Seasons!$B$2:$B$2865,"&lt;="&amp;$C$20)</f>
        <v>0</v>
      </c>
      <c r="N480" s="3" t="n">
        <f aca="false">IF(J480="",-1000000,J480+ROW()*0.000000001)</f>
        <v>-4.14785783165952</v>
      </c>
      <c r="O480" s="3" t="n">
        <f aca="false">IF(J480="","",SUMPRODUCT(($A$25:$A$534=A480)*($N$25:$N$534&gt;N480))+1)</f>
        <v>23</v>
      </c>
      <c r="P480" s="3" t="str">
        <f aca="false">A480&amp;"|"&amp;O480</f>
        <v>2010s payroll-adj|23</v>
      </c>
    </row>
    <row r="481" customFormat="false" ht="15" hidden="false" customHeight="true" outlineLevel="0" collapsed="false">
      <c r="A481" s="1" t="s">
        <v>24</v>
      </c>
      <c r="B481" s="7" t="s">
        <v>61</v>
      </c>
      <c r="C481" s="1" t="s">
        <v>55</v>
      </c>
      <c r="D481" s="3" t="n">
        <f aca="false">COUNTIFS(Market_Panel!$A$2:$A$2705,B481,Market_Panel!$B$2:$B$2705,"&gt;="&amp;$B$20,Market_Panel!$B$2:$B$2705,"&lt;="&amp;$C$20)</f>
        <v>10</v>
      </c>
      <c r="E481" s="10" t="n">
        <f aca="false">IF(D481=0,"",AVERAGEIFS(Market_Panel!$M$2:$M$2705,Market_Panel!$A$2:$A$2705,B481,Market_Panel!$B$2:$B$2705,"&gt;="&amp;$B$20,Market_Panel!$B$2:$B$2705,"&lt;="&amp;$C$20))</f>
        <v>0.00680356384277429</v>
      </c>
      <c r="F481" s="11" t="n">
        <f aca="false">IF(D481=0,"",AVERAGEIFS(Market_Panel!$P$2:$P$2705,Market_Panel!$A$2:$A$2705,B481,Market_Panel!$B$2:$B$2705,"&gt;="&amp;$B$20,Market_Panel!$B$2:$B$2705,"&lt;="&amp;$C$20))</f>
        <v>-0.00961126561711119</v>
      </c>
      <c r="G481" s="11" t="n">
        <f aca="false">IF(D481=0,"",AVERAGEIFS(Market_Panel!$R$2:$R$2705,Market_Panel!$A$2:$A$2705,B481,Market_Panel!$B$2:$B$2705,"&gt;="&amp;$B$20,Market_Panel!$B$2:$B$2705,"&lt;="&amp;$C$20))</f>
        <v>0</v>
      </c>
      <c r="H481" s="11" t="n">
        <f aca="false">IF(OR(D481=0,$H$20=0),0,AVERAGEIFS(Market_Panel!$Y$2:$Y$2705,Market_Panel!$A$2:$A$2705,B481,Market_Panel!$B$2:$B$2705,"&gt;="&amp;$B$20,Market_Panel!$B$2:$B$2705,"&lt;="&amp;$C$20))</f>
        <v>0.33610646496297</v>
      </c>
      <c r="I481" s="10" t="n">
        <f aca="false">IF(D481=0,"",$I$20+$F$20*F481+$G$20*G481+$H$20*H481)</f>
        <v>0.024261588428875</v>
      </c>
      <c r="J481" s="5" t="n">
        <f aca="false">IF(D481&lt;5,"",(E481-I481)*162)</f>
        <v>-2.82819998294831</v>
      </c>
      <c r="K481" s="5" t="n">
        <f aca="false">IF(D481=0,"",E481*162)</f>
        <v>1.10217734252943</v>
      </c>
      <c r="L481" s="3" t="n">
        <f aca="false">SUMIFS(Seasons!$L$2:$L$2865,Seasons!$A$2:$A$2865,B481,Seasons!$B$2:$B$2865,"&gt;="&amp;$B$20,Seasons!$B$2:$B$2865,"&lt;="&amp;$C$20)</f>
        <v>4</v>
      </c>
      <c r="M481" s="3" t="n">
        <f aca="false">SUMIFS(Seasons!$N$2:$N$2865,Seasons!$A$2:$A$2865,B481,Seasons!$B$2:$B$2865,"&gt;="&amp;$B$20,Seasons!$B$2:$B$2865,"&lt;="&amp;$C$20)</f>
        <v>3</v>
      </c>
      <c r="N481" s="3" t="n">
        <f aca="false">IF(J481="",-1000000,J481+ROW()*0.000000001)</f>
        <v>-2.82819950194831</v>
      </c>
      <c r="O481" s="3" t="n">
        <f aca="false">IF(J481="","",SUMPRODUCT(($A$25:$A$534=A481)*($N$25:$N$534&gt;N481))+1)</f>
        <v>20</v>
      </c>
      <c r="P481" s="3" t="str">
        <f aca="false">A481&amp;"|"&amp;O481</f>
        <v>2010s payroll-adj|20</v>
      </c>
    </row>
    <row r="482" customFormat="false" ht="15" hidden="false" customHeight="true" outlineLevel="0" collapsed="false">
      <c r="A482" s="1" t="s">
        <v>24</v>
      </c>
      <c r="B482" s="7" t="s">
        <v>62</v>
      </c>
      <c r="C482" s="1" t="s">
        <v>55</v>
      </c>
      <c r="D482" s="3" t="n">
        <f aca="false">COUNTIFS(Market_Panel!$A$2:$A$2705,B482,Market_Panel!$B$2:$B$2705,"&gt;="&amp;$B$20,Market_Panel!$B$2:$B$2705,"&lt;="&amp;$C$20)</f>
        <v>10</v>
      </c>
      <c r="E482" s="10" t="n">
        <f aca="false">IF(D482=0,"",AVERAGEIFS(Market_Panel!$M$2:$M$2705,Market_Panel!$A$2:$A$2705,B482,Market_Panel!$B$2:$B$2705,"&gt;="&amp;$B$20,Market_Panel!$B$2:$B$2705,"&lt;="&amp;$C$20))</f>
        <v>0.0672633784059053</v>
      </c>
      <c r="F482" s="11" t="n">
        <f aca="false">IF(D482=0,"",AVERAGEIFS(Market_Panel!$P$2:$P$2705,Market_Panel!$A$2:$A$2705,B482,Market_Panel!$B$2:$B$2705,"&gt;="&amp;$B$20,Market_Panel!$B$2:$B$2705,"&lt;="&amp;$C$20))</f>
        <v>0.822481280562593</v>
      </c>
      <c r="G482" s="11" t="n">
        <f aca="false">IF(D482=0,"",AVERAGEIFS(Market_Panel!$R$2:$R$2705,Market_Panel!$A$2:$A$2705,B482,Market_Panel!$B$2:$B$2705,"&gt;="&amp;$B$20,Market_Panel!$B$2:$B$2705,"&lt;="&amp;$C$20))</f>
        <v>0</v>
      </c>
      <c r="H482" s="11" t="n">
        <f aca="false">IF(OR(D482=0,$H$20=0),0,AVERAGEIFS(Market_Panel!$Y$2:$Y$2705,Market_Panel!$A$2:$A$2705,B482,Market_Panel!$B$2:$B$2705,"&gt;="&amp;$B$20,Market_Panel!$B$2:$B$2705,"&lt;="&amp;$C$20))</f>
        <v>0.473040999060156</v>
      </c>
      <c r="I482" s="10" t="n">
        <f aca="false">IF(D482=0,"",$I$20+$F$20*F482+$G$20*G482+$H$20*H482)</f>
        <v>0.0281783444587082</v>
      </c>
      <c r="J482" s="5" t="n">
        <f aca="false">IF(D482&lt;5,"",(E482-I482)*162)</f>
        <v>6.33177549944593</v>
      </c>
      <c r="K482" s="5" t="n">
        <f aca="false">IF(D482=0,"",E482*162)</f>
        <v>10.8966673017567</v>
      </c>
      <c r="L482" s="3" t="n">
        <f aca="false">SUMIFS(Seasons!$L$2:$L$2865,Seasons!$A$2:$A$2865,B482,Seasons!$B$2:$B$2865,"&gt;="&amp;$B$20,Seasons!$B$2:$B$2865,"&lt;="&amp;$C$20)</f>
        <v>7</v>
      </c>
      <c r="M482" s="3" t="n">
        <f aca="false">SUMIFS(Seasons!$N$2:$N$2865,Seasons!$A$2:$A$2865,B482,Seasons!$B$2:$B$2865,"&gt;="&amp;$B$20,Seasons!$B$2:$B$2865,"&lt;="&amp;$C$20)</f>
        <v>0</v>
      </c>
      <c r="N482" s="3" t="n">
        <f aca="false">IF(J482="",-1000000,J482+ROW()*0.000000001)</f>
        <v>6.33177598144593</v>
      </c>
      <c r="O482" s="3" t="n">
        <f aca="false">IF(J482="","",SUMPRODUCT(($A$25:$A$534=A482)*($N$25:$N$534&gt;N482))+1)</f>
        <v>2</v>
      </c>
      <c r="P482" s="3" t="str">
        <f aca="false">A482&amp;"|"&amp;O482</f>
        <v>2010s payroll-adj|2</v>
      </c>
    </row>
    <row r="483" customFormat="false" ht="15" hidden="false" customHeight="true" outlineLevel="0" collapsed="false">
      <c r="A483" s="1" t="s">
        <v>24</v>
      </c>
      <c r="B483" s="7" t="s">
        <v>63</v>
      </c>
      <c r="C483" s="1" t="s">
        <v>55</v>
      </c>
      <c r="D483" s="3" t="n">
        <f aca="false">COUNTIFS(Market_Panel!$A$2:$A$2705,B483,Market_Panel!$B$2:$B$2705,"&gt;="&amp;$B$20,Market_Panel!$B$2:$B$2705,"&lt;="&amp;$C$20)</f>
        <v>10</v>
      </c>
      <c r="E483" s="10" t="n">
        <f aca="false">IF(D483=0,"",AVERAGEIFS(Market_Panel!$M$2:$M$2705,Market_Panel!$A$2:$A$2705,B483,Market_Panel!$B$2:$B$2705,"&gt;="&amp;$B$20,Market_Panel!$B$2:$B$2705,"&lt;="&amp;$C$20))</f>
        <v>-0.0339371768979665</v>
      </c>
      <c r="F483" s="11" t="n">
        <f aca="false">IF(D483=0,"",AVERAGEIFS(Market_Panel!$P$2:$P$2705,Market_Panel!$A$2:$A$2705,B483,Market_Panel!$B$2:$B$2705,"&gt;="&amp;$B$20,Market_Panel!$B$2:$B$2705,"&lt;="&amp;$C$20))</f>
        <v>-0.332636031603226</v>
      </c>
      <c r="G483" s="11" t="n">
        <f aca="false">IF(D483=0,"",AVERAGEIFS(Market_Panel!$R$2:$R$2705,Market_Panel!$A$2:$A$2705,B483,Market_Panel!$B$2:$B$2705,"&gt;="&amp;$B$20,Market_Panel!$B$2:$B$2705,"&lt;="&amp;$C$20))</f>
        <v>0</v>
      </c>
      <c r="H483" s="11" t="n">
        <f aca="false">IF(OR(D483=0,$H$20=0),0,AVERAGEIFS(Market_Panel!$Y$2:$Y$2705,Market_Panel!$A$2:$A$2705,B483,Market_Panel!$B$2:$B$2705,"&gt;="&amp;$B$20,Market_Panel!$B$2:$B$2705,"&lt;="&amp;$C$20))</f>
        <v>-0.0143917122783158</v>
      </c>
      <c r="I483" s="10" t="n">
        <f aca="false">IF(D483=0,"",$I$20+$F$20*F483+$G$20*G483+$H$20*H483)</f>
        <v>0.00133857085220548</v>
      </c>
      <c r="J483" s="5" t="n">
        <f aca="false">IF(D483&lt;5,"",(E483-I483)*162)</f>
        <v>-5.71467113552785</v>
      </c>
      <c r="K483" s="5" t="n">
        <f aca="false">IF(D483=0,"",E483*162)</f>
        <v>-5.49782265747057</v>
      </c>
      <c r="L483" s="3" t="n">
        <f aca="false">SUMIFS(Seasons!$L$2:$L$2865,Seasons!$A$2:$A$2865,B483,Seasons!$B$2:$B$2865,"&gt;="&amp;$B$20,Seasons!$B$2:$B$2865,"&lt;="&amp;$C$20)</f>
        <v>3</v>
      </c>
      <c r="M483" s="3" t="n">
        <f aca="false">SUMIFS(Seasons!$N$2:$N$2865,Seasons!$A$2:$A$2865,B483,Seasons!$B$2:$B$2865,"&gt;="&amp;$B$20,Seasons!$B$2:$B$2865,"&lt;="&amp;$C$20)</f>
        <v>0</v>
      </c>
      <c r="N483" s="3" t="n">
        <f aca="false">IF(J483="",-1000000,J483+ROW()*0.000000001)</f>
        <v>-5.71467065252785</v>
      </c>
      <c r="O483" s="3" t="n">
        <f aca="false">IF(J483="","",SUMPRODUCT(($A$25:$A$534=A483)*($N$25:$N$534&gt;N483))+1)</f>
        <v>26</v>
      </c>
      <c r="P483" s="3" t="str">
        <f aca="false">A483&amp;"|"&amp;O483</f>
        <v>2010s payroll-adj|26</v>
      </c>
    </row>
    <row r="484" customFormat="false" ht="15" hidden="false" customHeight="true" outlineLevel="0" collapsed="false">
      <c r="A484" s="1" t="s">
        <v>24</v>
      </c>
      <c r="B484" s="7" t="s">
        <v>64</v>
      </c>
      <c r="C484" s="1" t="s">
        <v>55</v>
      </c>
      <c r="D484" s="3" t="n">
        <f aca="false">COUNTIFS(Market_Panel!$A$2:$A$2705,B484,Market_Panel!$B$2:$B$2705,"&gt;="&amp;$B$20,Market_Panel!$B$2:$B$2705,"&lt;="&amp;$C$20)</f>
        <v>10</v>
      </c>
      <c r="E484" s="10" t="n">
        <f aca="false">IF(D484=0,"",AVERAGEIFS(Market_Panel!$M$2:$M$2705,Market_Panel!$A$2:$A$2705,B484,Market_Panel!$B$2:$B$2705,"&gt;="&amp;$B$20,Market_Panel!$B$2:$B$2705,"&lt;="&amp;$C$20))</f>
        <v>0.0382850453242558</v>
      </c>
      <c r="F484" s="11" t="n">
        <f aca="false">IF(D484=0,"",AVERAGEIFS(Market_Panel!$P$2:$P$2705,Market_Panel!$A$2:$A$2705,B484,Market_Panel!$B$2:$B$2705,"&gt;="&amp;$B$20,Market_Panel!$B$2:$B$2705,"&lt;="&amp;$C$20))</f>
        <v>-0.271344158223563</v>
      </c>
      <c r="G484" s="11" t="n">
        <f aca="false">IF(D484=0,"",AVERAGEIFS(Market_Panel!$R$2:$R$2705,Market_Panel!$A$2:$A$2705,B484,Market_Panel!$B$2:$B$2705,"&gt;="&amp;$B$20,Market_Panel!$B$2:$B$2705,"&lt;="&amp;$C$20))</f>
        <v>0</v>
      </c>
      <c r="H484" s="11" t="n">
        <f aca="false">IF(OR(D484=0,$H$20=0),0,AVERAGEIFS(Market_Panel!$Y$2:$Y$2705,Market_Panel!$A$2:$A$2705,B484,Market_Panel!$B$2:$B$2705,"&gt;="&amp;$B$20,Market_Panel!$B$2:$B$2705,"&lt;="&amp;$C$20))</f>
        <v>0.527686330148066</v>
      </c>
      <c r="I484" s="10" t="n">
        <f aca="false">IF(D484=0,"",$I$20+$F$20*F484+$G$20*G484+$H$20*H484)</f>
        <v>0.0399198808120904</v>
      </c>
      <c r="J484" s="5" t="n">
        <f aca="false">IF(D484&lt;5,"",(E484-I484)*162)</f>
        <v>-0.264843349029211</v>
      </c>
      <c r="K484" s="5" t="n">
        <f aca="false">IF(D484=0,"",E484*162)</f>
        <v>6.20217734252943</v>
      </c>
      <c r="L484" s="3" t="n">
        <f aca="false">SUMIFS(Seasons!$L$2:$L$2865,Seasons!$A$2:$A$2865,B484,Seasons!$B$2:$B$2865,"&gt;="&amp;$B$20,Seasons!$B$2:$B$2865,"&lt;="&amp;$C$20)</f>
        <v>4</v>
      </c>
      <c r="M484" s="3" t="n">
        <f aca="false">SUMIFS(Seasons!$N$2:$N$2865,Seasons!$A$2:$A$2865,B484,Seasons!$B$2:$B$2865,"&gt;="&amp;$B$20,Seasons!$B$2:$B$2865,"&lt;="&amp;$C$20)</f>
        <v>2</v>
      </c>
      <c r="N484" s="3" t="n">
        <f aca="false">IF(J484="",-1000000,J484+ROW()*0.000000001)</f>
        <v>-0.264842865029211</v>
      </c>
      <c r="O484" s="3" t="n">
        <f aca="false">IF(J484="","",SUMPRODUCT(($A$25:$A$534=A484)*($N$25:$N$534&gt;N484))+1)</f>
        <v>14</v>
      </c>
      <c r="P484" s="3" t="str">
        <f aca="false">A484&amp;"|"&amp;O484</f>
        <v>2010s payroll-adj|14</v>
      </c>
    </row>
    <row r="485" customFormat="false" ht="15" hidden="false" customHeight="true" outlineLevel="0" collapsed="false">
      <c r="A485" s="1" t="s">
        <v>24</v>
      </c>
      <c r="B485" s="7" t="s">
        <v>65</v>
      </c>
      <c r="C485" s="1" t="s">
        <v>55</v>
      </c>
      <c r="D485" s="3" t="n">
        <f aca="false">COUNTIFS(Market_Panel!$A$2:$A$2705,B485,Market_Panel!$B$2:$B$2705,"&gt;="&amp;$B$20,Market_Panel!$B$2:$B$2705,"&lt;="&amp;$C$20)</f>
        <v>10</v>
      </c>
      <c r="E485" s="10" t="n">
        <f aca="false">IF(D485=0,"",AVERAGEIFS(Market_Panel!$M$2:$M$2705,Market_Panel!$A$2:$A$2705,B485,Market_Panel!$B$2:$B$2705,"&gt;="&amp;$B$20,Market_Panel!$B$2:$B$2705,"&lt;="&amp;$C$20))</f>
        <v>-0.0410685318554084</v>
      </c>
      <c r="F485" s="11" t="n">
        <f aca="false">IF(D485=0,"",AVERAGEIFS(Market_Panel!$P$2:$P$2705,Market_Panel!$A$2:$A$2705,B485,Market_Panel!$B$2:$B$2705,"&gt;="&amp;$B$20,Market_Panel!$B$2:$B$2705,"&lt;="&amp;$C$20))</f>
        <v>0.477024903445431</v>
      </c>
      <c r="G485" s="11" t="n">
        <f aca="false">IF(D485=0,"",AVERAGEIFS(Market_Panel!$R$2:$R$2705,Market_Panel!$A$2:$A$2705,B485,Market_Panel!$B$2:$B$2705,"&gt;="&amp;$B$20,Market_Panel!$B$2:$B$2705,"&lt;="&amp;$C$20))</f>
        <v>0</v>
      </c>
      <c r="H485" s="11" t="n">
        <f aca="false">IF(OR(D485=0,$H$20=0),0,AVERAGEIFS(Market_Panel!$Y$2:$Y$2705,Market_Panel!$A$2:$A$2705,B485,Market_Panel!$B$2:$B$2705,"&gt;="&amp;$B$20,Market_Panel!$B$2:$B$2705,"&lt;="&amp;$C$20))</f>
        <v>-0.040305991101058</v>
      </c>
      <c r="I485" s="10" t="n">
        <f aca="false">IF(D485=0,"",$I$20+$F$20*F485+$G$20*G485+$H$20*H485)</f>
        <v>-0.00630642241032508</v>
      </c>
      <c r="J485" s="5" t="n">
        <f aca="false">IF(D485&lt;5,"",(E485-I485)*162)</f>
        <v>-5.63146173010349</v>
      </c>
      <c r="K485" s="5" t="n">
        <f aca="false">IF(D485=0,"",E485*162)</f>
        <v>-6.65310216057616</v>
      </c>
      <c r="L485" s="3" t="n">
        <f aca="false">SUMIFS(Seasons!$L$2:$L$2865,Seasons!$A$2:$A$2865,B485,Seasons!$B$2:$B$2865,"&gt;="&amp;$B$20,Seasons!$B$2:$B$2865,"&lt;="&amp;$C$20)</f>
        <v>0</v>
      </c>
      <c r="M485" s="3" t="n">
        <f aca="false">SUMIFS(Seasons!$N$2:$N$2865,Seasons!$A$2:$A$2865,B485,Seasons!$B$2:$B$2865,"&gt;="&amp;$B$20,Seasons!$B$2:$B$2865,"&lt;="&amp;$C$20)</f>
        <v>0</v>
      </c>
      <c r="N485" s="3" t="n">
        <f aca="false">IF(J485="",-1000000,J485+ROW()*0.000000001)</f>
        <v>-5.63146124510349</v>
      </c>
      <c r="O485" s="3" t="n">
        <f aca="false">IF(J485="","",SUMPRODUCT(($A$25:$A$534=A485)*($N$25:$N$534&gt;N485))+1)</f>
        <v>25</v>
      </c>
      <c r="P485" s="3" t="str">
        <f aca="false">A485&amp;"|"&amp;O485</f>
        <v>2010s payroll-adj|25</v>
      </c>
    </row>
    <row r="486" customFormat="false" ht="15" hidden="false" customHeight="true" outlineLevel="0" collapsed="false">
      <c r="A486" s="1" t="s">
        <v>24</v>
      </c>
      <c r="B486" s="7" t="s">
        <v>66</v>
      </c>
      <c r="C486" s="1" t="s">
        <v>55</v>
      </c>
      <c r="D486" s="3" t="n">
        <f aca="false">COUNTIFS(Market_Panel!$A$2:$A$2705,B486,Market_Panel!$B$2:$B$2705,"&gt;="&amp;$B$20,Market_Panel!$B$2:$B$2705,"&lt;="&amp;$C$20)</f>
        <v>10</v>
      </c>
      <c r="E486" s="10" t="n">
        <f aca="false">IF(D486=0,"",AVERAGEIFS(Market_Panel!$M$2:$M$2705,Market_Panel!$A$2:$A$2705,B486,Market_Panel!$B$2:$B$2705,"&gt;="&amp;$B$20,Market_Panel!$B$2:$B$2705,"&lt;="&amp;$C$20))</f>
        <v>0.0284621789796503</v>
      </c>
      <c r="F486" s="11" t="n">
        <f aca="false">IF(D486=0,"",AVERAGEIFS(Market_Panel!$P$2:$P$2705,Market_Panel!$A$2:$A$2705,B486,Market_Panel!$B$2:$B$2705,"&gt;="&amp;$B$20,Market_Panel!$B$2:$B$2705,"&lt;="&amp;$C$20))</f>
        <v>-0.782438163698939</v>
      </c>
      <c r="G486" s="11" t="n">
        <f aca="false">IF(D486=0,"",AVERAGEIFS(Market_Panel!$R$2:$R$2705,Market_Panel!$A$2:$A$2705,B486,Market_Panel!$B$2:$B$2705,"&gt;="&amp;$B$20,Market_Panel!$B$2:$B$2705,"&lt;="&amp;$C$20))</f>
        <v>0</v>
      </c>
      <c r="H486" s="11" t="n">
        <f aca="false">IF(OR(D486=0,$H$20=0),0,AVERAGEIFS(Market_Panel!$Y$2:$Y$2705,Market_Panel!$A$2:$A$2705,B486,Market_Panel!$B$2:$B$2705,"&gt;="&amp;$B$20,Market_Panel!$B$2:$B$2705,"&lt;="&amp;$C$20))</f>
        <v>-0.213430759801268</v>
      </c>
      <c r="I486" s="10" t="n">
        <f aca="false">IF(D486=0,"",$I$20+$F$20*F486+$G$20*G486+$H$20*H486)</f>
        <v>-0.00977741522689575</v>
      </c>
      <c r="J486" s="5" t="n">
        <f aca="false">IF(D486&lt;5,"",(E486-I486)*162)</f>
        <v>6.19481426146046</v>
      </c>
      <c r="K486" s="5" t="n">
        <f aca="false">IF(D486=0,"",E486*162)</f>
        <v>4.61087299470335</v>
      </c>
      <c r="L486" s="3" t="n">
        <f aca="false">SUMIFS(Seasons!$L$2:$L$2865,Seasons!$A$2:$A$2865,B486,Seasons!$B$2:$B$2865,"&gt;="&amp;$B$20,Seasons!$B$2:$B$2865,"&lt;="&amp;$C$20)</f>
        <v>4</v>
      </c>
      <c r="M486" s="3" t="n">
        <f aca="false">SUMIFS(Seasons!$N$2:$N$2865,Seasons!$A$2:$A$2865,B486,Seasons!$B$2:$B$2865,"&gt;="&amp;$B$20,Seasons!$B$2:$B$2865,"&lt;="&amp;$C$20)</f>
        <v>0</v>
      </c>
      <c r="N486" s="3" t="n">
        <f aca="false">IF(J486="",-1000000,J486+ROW()*0.000000001)</f>
        <v>6.19481474746046</v>
      </c>
      <c r="O486" s="3" t="n">
        <f aca="false">IF(J486="","",SUMPRODUCT(($A$25:$A$534=A486)*($N$25:$N$534&gt;N486))+1)</f>
        <v>4</v>
      </c>
      <c r="P486" s="3" t="str">
        <f aca="false">A486&amp;"|"&amp;O486</f>
        <v>2010s payroll-adj|4</v>
      </c>
    </row>
    <row r="487" customFormat="false" ht="15" hidden="false" customHeight="true" outlineLevel="0" collapsed="false">
      <c r="A487" s="1" t="s">
        <v>24</v>
      </c>
      <c r="B487" s="7" t="s">
        <v>67</v>
      </c>
      <c r="C487" s="1" t="s">
        <v>55</v>
      </c>
      <c r="D487" s="3" t="n">
        <f aca="false">COUNTIFS(Market_Panel!$A$2:$A$2705,B487,Market_Panel!$B$2:$B$2705,"&gt;="&amp;$B$20,Market_Panel!$B$2:$B$2705,"&lt;="&amp;$C$20)</f>
        <v>10</v>
      </c>
      <c r="E487" s="10" t="n">
        <f aca="false">IF(D487=0,"",AVERAGEIFS(Market_Panel!$M$2:$M$2705,Market_Panel!$A$2:$A$2705,B487,Market_Panel!$B$2:$B$2705,"&gt;="&amp;$B$20,Market_Panel!$B$2:$B$2705,"&lt;="&amp;$C$20))</f>
        <v>-0.016476859437649</v>
      </c>
      <c r="F487" s="11" t="n">
        <f aca="false">IF(D487=0,"",AVERAGEIFS(Market_Panel!$P$2:$P$2705,Market_Panel!$A$2:$A$2705,B487,Market_Panel!$B$2:$B$2705,"&gt;="&amp;$B$20,Market_Panel!$B$2:$B$2705,"&lt;="&amp;$C$20))</f>
        <v>-0.216754211421905</v>
      </c>
      <c r="G487" s="11" t="n">
        <f aca="false">IF(D487=0,"",AVERAGEIFS(Market_Panel!$R$2:$R$2705,Market_Panel!$A$2:$A$2705,B487,Market_Panel!$B$2:$B$2705,"&gt;="&amp;$B$20,Market_Panel!$B$2:$B$2705,"&lt;="&amp;$C$20))</f>
        <v>0</v>
      </c>
      <c r="H487" s="11" t="n">
        <f aca="false">IF(OR(D487=0,$H$20=0),0,AVERAGEIFS(Market_Panel!$Y$2:$Y$2705,Market_Panel!$A$2:$A$2705,B487,Market_Panel!$B$2:$B$2705,"&gt;="&amp;$B$20,Market_Panel!$B$2:$B$2705,"&lt;="&amp;$C$20))</f>
        <v>0.31134070421377</v>
      </c>
      <c r="I487" s="10" t="n">
        <f aca="false">IF(D487=0,"",$I$20+$F$20*F487+$G$20*G487+$H$20*H487)</f>
        <v>0.0239576147690715</v>
      </c>
      <c r="J487" s="5" t="n">
        <f aca="false">IF(D487&lt;5,"",(E487-I487)*162)</f>
        <v>-6.55038482148871</v>
      </c>
      <c r="K487" s="5" t="n">
        <f aca="false">IF(D487=0,"",E487*162)</f>
        <v>-2.66925122889914</v>
      </c>
      <c r="L487" s="3" t="n">
        <f aca="false">SUMIFS(Seasons!$L$2:$L$2865,Seasons!$A$2:$A$2865,B487,Seasons!$B$2:$B$2865,"&gt;="&amp;$B$20,Seasons!$B$2:$B$2865,"&lt;="&amp;$C$20)</f>
        <v>4</v>
      </c>
      <c r="M487" s="3" t="n">
        <f aca="false">SUMIFS(Seasons!$N$2:$N$2865,Seasons!$A$2:$A$2865,B487,Seasons!$B$2:$B$2865,"&gt;="&amp;$B$20,Seasons!$B$2:$B$2865,"&lt;="&amp;$C$20)</f>
        <v>0</v>
      </c>
      <c r="N487" s="3" t="n">
        <f aca="false">IF(J487="",-1000000,J487+ROW()*0.000000001)</f>
        <v>-6.55038433448871</v>
      </c>
      <c r="O487" s="3" t="n">
        <f aca="false">IF(J487="","",SUMPRODUCT(($A$25:$A$534=A487)*($N$25:$N$534&gt;N487))+1)</f>
        <v>30</v>
      </c>
      <c r="P487" s="3" t="str">
        <f aca="false">A487&amp;"|"&amp;O487</f>
        <v>2010s payroll-adj|30</v>
      </c>
    </row>
    <row r="488" customFormat="false" ht="15" hidden="false" customHeight="true" outlineLevel="0" collapsed="false">
      <c r="A488" s="1" t="s">
        <v>24</v>
      </c>
      <c r="B488" s="7" t="s">
        <v>68</v>
      </c>
      <c r="C488" s="1" t="s">
        <v>55</v>
      </c>
      <c r="D488" s="3" t="n">
        <f aca="false">COUNTIFS(Market_Panel!$A$2:$A$2705,B488,Market_Panel!$B$2:$B$2705,"&gt;="&amp;$B$20,Market_Panel!$B$2:$B$2705,"&lt;="&amp;$C$20)</f>
        <v>10</v>
      </c>
      <c r="E488" s="10" t="n">
        <f aca="false">IF(D488=0,"",AVERAGEIFS(Market_Panel!$M$2:$M$2705,Market_Panel!$A$2:$A$2705,B488,Market_Panel!$B$2:$B$2705,"&gt;="&amp;$B$20,Market_Panel!$B$2:$B$2705,"&lt;="&amp;$C$20))</f>
        <v>-0.0277643373917936</v>
      </c>
      <c r="F488" s="11" t="n">
        <f aca="false">IF(D488=0,"",AVERAGEIFS(Market_Panel!$P$2:$P$2705,Market_Panel!$A$2:$A$2705,B488,Market_Panel!$B$2:$B$2705,"&gt;="&amp;$B$20,Market_Panel!$B$2:$B$2705,"&lt;="&amp;$C$20))</f>
        <v>-0.738135095336878</v>
      </c>
      <c r="G488" s="11" t="n">
        <f aca="false">IF(D488=0,"",AVERAGEIFS(Market_Panel!$R$2:$R$2705,Market_Panel!$A$2:$A$2705,B488,Market_Panel!$B$2:$B$2705,"&gt;="&amp;$B$20,Market_Panel!$B$2:$B$2705,"&lt;="&amp;$C$20))</f>
        <v>0</v>
      </c>
      <c r="H488" s="11" t="n">
        <f aca="false">IF(OR(D488=0,$H$20=0),0,AVERAGEIFS(Market_Panel!$Y$2:$Y$2705,Market_Panel!$A$2:$A$2705,B488,Market_Panel!$B$2:$B$2705,"&gt;="&amp;$B$20,Market_Panel!$B$2:$B$2705,"&lt;="&amp;$C$20))</f>
        <v>-0.0280832882637444</v>
      </c>
      <c r="I488" s="10" t="n">
        <f aca="false">IF(D488=0,"",$I$20+$F$20*F488+$G$20*G488+$H$20*H488)</f>
        <v>0.00324766279513186</v>
      </c>
      <c r="J488" s="5" t="n">
        <f aca="false">IF(D488&lt;5,"",(E488-I488)*162)</f>
        <v>-5.02394403028193</v>
      </c>
      <c r="K488" s="5" t="n">
        <f aca="false">IF(D488=0,"",E488*162)</f>
        <v>-4.49782265747057</v>
      </c>
      <c r="L488" s="3" t="n">
        <f aca="false">SUMIFS(Seasons!$L$2:$L$2865,Seasons!$A$2:$A$2865,B488,Seasons!$B$2:$B$2865,"&gt;="&amp;$B$20,Seasons!$B$2:$B$2865,"&lt;="&amp;$C$20)</f>
        <v>3</v>
      </c>
      <c r="M488" s="3" t="n">
        <f aca="false">SUMIFS(Seasons!$N$2:$N$2865,Seasons!$A$2:$A$2865,B488,Seasons!$B$2:$B$2865,"&gt;="&amp;$B$20,Seasons!$B$2:$B$2865,"&lt;="&amp;$C$20)</f>
        <v>0</v>
      </c>
      <c r="N488" s="3" t="n">
        <f aca="false">IF(J488="",-1000000,J488+ROW()*0.000000001)</f>
        <v>-5.02394354228193</v>
      </c>
      <c r="O488" s="3" t="n">
        <f aca="false">IF(J488="","",SUMPRODUCT(($A$25:$A$534=A488)*($N$25:$N$534&gt;N488))+1)</f>
        <v>24</v>
      </c>
      <c r="P488" s="3" t="str">
        <f aca="false">A488&amp;"|"&amp;O488</f>
        <v>2010s payroll-adj|24</v>
      </c>
    </row>
    <row r="489" customFormat="false" ht="15" hidden="false" customHeight="true" outlineLevel="0" collapsed="false">
      <c r="A489" s="1" t="s">
        <v>24</v>
      </c>
      <c r="B489" s="7" t="s">
        <v>69</v>
      </c>
      <c r="C489" s="1" t="s">
        <v>55</v>
      </c>
      <c r="D489" s="3" t="n">
        <f aca="false">COUNTIFS(Market_Panel!$A$2:$A$2705,B489,Market_Panel!$B$2:$B$2705,"&gt;="&amp;$B$20,Market_Panel!$B$2:$B$2705,"&lt;="&amp;$C$20)</f>
        <v>10</v>
      </c>
      <c r="E489" s="10" t="n">
        <f aca="false">IF(D489=0,"",AVERAGEIFS(Market_Panel!$M$2:$M$2705,Market_Panel!$A$2:$A$2705,B489,Market_Panel!$B$2:$B$2705,"&gt;="&amp;$B$20,Market_Panel!$B$2:$B$2705,"&lt;="&amp;$C$20))</f>
        <v>0.0179146749538854</v>
      </c>
      <c r="F489" s="11" t="n">
        <f aca="false">IF(D489=0,"",AVERAGEIFS(Market_Panel!$P$2:$P$2705,Market_Panel!$A$2:$A$2705,B489,Market_Panel!$B$2:$B$2705,"&gt;="&amp;$B$20,Market_Panel!$B$2:$B$2705,"&lt;="&amp;$C$20))</f>
        <v>-0.715493591850162</v>
      </c>
      <c r="G489" s="11" t="n">
        <f aca="false">IF(D489=0,"",AVERAGEIFS(Market_Panel!$R$2:$R$2705,Market_Panel!$A$2:$A$2705,B489,Market_Panel!$B$2:$B$2705,"&gt;="&amp;$B$20,Market_Panel!$B$2:$B$2705,"&lt;="&amp;$C$20))</f>
        <v>0</v>
      </c>
      <c r="H489" s="11" t="n">
        <f aca="false">IF(OR(D489=0,$H$20=0),0,AVERAGEIFS(Market_Panel!$Y$2:$Y$2705,Market_Panel!$A$2:$A$2705,B489,Market_Panel!$B$2:$B$2705,"&gt;="&amp;$B$20,Market_Panel!$B$2:$B$2705,"&lt;="&amp;$C$20))</f>
        <v>-0.360316556034309</v>
      </c>
      <c r="I489" s="10" t="n">
        <f aca="false">IF(D489=0,"",$I$20+$F$20*F489+$G$20*G489+$H$20*H489)</f>
        <v>-0.0208281474872419</v>
      </c>
      <c r="J489" s="5" t="n">
        <f aca="false">IF(D489&lt;5,"",(E489-I489)*162)</f>
        <v>6.27633723546263</v>
      </c>
      <c r="K489" s="5" t="n">
        <f aca="false">IF(D489=0,"",E489*162)</f>
        <v>2.90217734252943</v>
      </c>
      <c r="L489" s="3" t="n">
        <f aca="false">SUMIFS(Seasons!$L$2:$L$2865,Seasons!$A$2:$A$2865,B489,Seasons!$B$2:$B$2865,"&gt;="&amp;$B$20,Seasons!$B$2:$B$2865,"&lt;="&amp;$C$20)</f>
        <v>5</v>
      </c>
      <c r="M489" s="3" t="n">
        <f aca="false">SUMIFS(Seasons!$N$2:$N$2865,Seasons!$A$2:$A$2865,B489,Seasons!$B$2:$B$2865,"&gt;="&amp;$B$20,Seasons!$B$2:$B$2865,"&lt;="&amp;$C$20)</f>
        <v>0</v>
      </c>
      <c r="N489" s="3" t="n">
        <f aca="false">IF(J489="",-1000000,J489+ROW()*0.000000001)</f>
        <v>6.27633772446263</v>
      </c>
      <c r="O489" s="3" t="n">
        <f aca="false">IF(J489="","",SUMPRODUCT(($A$25:$A$534=A489)*($N$25:$N$534&gt;N489))+1)</f>
        <v>3</v>
      </c>
      <c r="P489" s="3" t="str">
        <f aca="false">A489&amp;"|"&amp;O489</f>
        <v>2010s payroll-adj|3</v>
      </c>
    </row>
    <row r="490" customFormat="false" ht="15" hidden="false" customHeight="true" outlineLevel="0" collapsed="false">
      <c r="A490" s="1" t="s">
        <v>24</v>
      </c>
      <c r="B490" s="7" t="s">
        <v>70</v>
      </c>
      <c r="C490" s="1" t="s">
        <v>55</v>
      </c>
      <c r="D490" s="3" t="n">
        <f aca="false">COUNTIFS(Market_Panel!$A$2:$A$2705,B490,Market_Panel!$B$2:$B$2705,"&gt;="&amp;$B$20,Market_Panel!$B$2:$B$2705,"&lt;="&amp;$C$20)</f>
        <v>10</v>
      </c>
      <c r="E490" s="10" t="n">
        <f aca="false">IF(D490=0,"",AVERAGEIFS(Market_Panel!$M$2:$M$2705,Market_Panel!$A$2:$A$2705,B490,Market_Panel!$B$2:$B$2705,"&gt;="&amp;$B$20,Market_Panel!$B$2:$B$2705,"&lt;="&amp;$C$20))</f>
        <v>0.0685319589045027</v>
      </c>
      <c r="F490" s="11" t="n">
        <f aca="false">IF(D490=0,"",AVERAGEIFS(Market_Panel!$P$2:$P$2705,Market_Panel!$A$2:$A$2705,B490,Market_Panel!$B$2:$B$2705,"&gt;="&amp;$B$20,Market_Panel!$B$2:$B$2705,"&lt;="&amp;$C$20))</f>
        <v>1.61146072376969</v>
      </c>
      <c r="G490" s="11" t="n">
        <f aca="false">IF(D490=0,"",AVERAGEIFS(Market_Panel!$R$2:$R$2705,Market_Panel!$A$2:$A$2705,B490,Market_Panel!$B$2:$B$2705,"&gt;="&amp;$B$20,Market_Panel!$B$2:$B$2705,"&lt;="&amp;$C$20))</f>
        <v>0</v>
      </c>
      <c r="H490" s="11" t="n">
        <f aca="false">IF(OR(D490=0,$H$20=0),0,AVERAGEIFS(Market_Panel!$Y$2:$Y$2705,Market_Panel!$A$2:$A$2705,B490,Market_Panel!$B$2:$B$2705,"&gt;="&amp;$B$20,Market_Panel!$B$2:$B$2705,"&lt;="&amp;$C$20))</f>
        <v>0.629014101489127</v>
      </c>
      <c r="I490" s="10" t="n">
        <f aca="false">IF(D490=0,"",$I$20+$F$20*F490+$G$20*G490+$H$20*H490)</f>
        <v>0.0337732570979562</v>
      </c>
      <c r="J490" s="5" t="n">
        <f aca="false">IF(D490&lt;5,"",(E490-I490)*162)</f>
        <v>5.63090969266053</v>
      </c>
      <c r="K490" s="5" t="n">
        <f aca="false">IF(D490=0,"",E490*162)</f>
        <v>11.1021773425294</v>
      </c>
      <c r="L490" s="3" t="n">
        <f aca="false">SUMIFS(Seasons!$L$2:$L$2865,Seasons!$A$2:$A$2865,B490,Seasons!$B$2:$B$2865,"&gt;="&amp;$B$20,Seasons!$B$2:$B$2865,"&lt;="&amp;$C$20)</f>
        <v>7</v>
      </c>
      <c r="M490" s="3" t="n">
        <f aca="false">SUMIFS(Seasons!$N$2:$N$2865,Seasons!$A$2:$A$2865,B490,Seasons!$B$2:$B$2865,"&gt;="&amp;$B$20,Seasons!$B$2:$B$2865,"&lt;="&amp;$C$20)</f>
        <v>0</v>
      </c>
      <c r="N490" s="3" t="n">
        <f aca="false">IF(J490="",-1000000,J490+ROW()*0.000000001)</f>
        <v>5.63091018266053</v>
      </c>
      <c r="O490" s="3" t="n">
        <f aca="false">IF(J490="","",SUMPRODUCT(($A$25:$A$534=A490)*($N$25:$N$534&gt;N490))+1)</f>
        <v>6</v>
      </c>
      <c r="P490" s="3" t="str">
        <f aca="false">A490&amp;"|"&amp;O490</f>
        <v>2010s payroll-adj|6</v>
      </c>
    </row>
    <row r="491" customFormat="false" ht="15" hidden="false" customHeight="true" outlineLevel="0" collapsed="false">
      <c r="A491" s="1" t="s">
        <v>24</v>
      </c>
      <c r="B491" s="7" t="s">
        <v>71</v>
      </c>
      <c r="C491" s="1" t="s">
        <v>72</v>
      </c>
      <c r="D491" s="3" t="n">
        <f aca="false">COUNTIFS(Market_Panel!$A$2:$A$2705,B491,Market_Panel!$B$2:$B$2705,"&gt;="&amp;$B$20,Market_Panel!$B$2:$B$2705,"&lt;="&amp;$C$20)</f>
        <v>10</v>
      </c>
      <c r="E491" s="10" t="n">
        <f aca="false">IF(D491=0,"",AVERAGEIFS(Market_Panel!$M$2:$M$2705,Market_Panel!$A$2:$A$2705,B491,Market_Panel!$B$2:$B$2705,"&gt;="&amp;$B$20,Market_Panel!$B$2:$B$2705,"&lt;="&amp;$C$20))</f>
        <v>0.00742084779339156</v>
      </c>
      <c r="F491" s="11" t="n">
        <f aca="false">IF(D491=0,"",AVERAGEIFS(Market_Panel!$P$2:$P$2705,Market_Panel!$A$2:$A$2705,B491,Market_Panel!$B$2:$B$2705,"&gt;="&amp;$B$20,Market_Panel!$B$2:$B$2705,"&lt;="&amp;$C$20))</f>
        <v>0.822481280562593</v>
      </c>
      <c r="G491" s="11" t="n">
        <f aca="false">IF(D491=0,"",AVERAGEIFS(Market_Panel!$R$2:$R$2705,Market_Panel!$A$2:$A$2705,B491,Market_Panel!$B$2:$B$2705,"&gt;="&amp;$B$20,Market_Panel!$B$2:$B$2705,"&lt;="&amp;$C$20))</f>
        <v>0</v>
      </c>
      <c r="H491" s="11" t="n">
        <f aca="false">IF(OR(D491=0,$H$20=0),0,AVERAGEIFS(Market_Panel!$Y$2:$Y$2705,Market_Panel!$A$2:$A$2705,B491,Market_Panel!$B$2:$B$2705,"&gt;="&amp;$B$20,Market_Panel!$B$2:$B$2705,"&lt;="&amp;$C$20))</f>
        <v>0.264254983788835</v>
      </c>
      <c r="I491" s="10" t="n">
        <f aca="false">IF(D491=0,"",$I$20+$F$20*F491+$G$20*G491+$H$20*H491)</f>
        <v>0.013149904681169</v>
      </c>
      <c r="J491" s="5" t="n">
        <f aca="false">IF(D491&lt;5,"",(E491-I491)*162)</f>
        <v>-0.928107215819951</v>
      </c>
      <c r="K491" s="5" t="n">
        <f aca="false">IF(D491=0,"",E491*162)</f>
        <v>1.20217734252943</v>
      </c>
      <c r="L491" s="3" t="n">
        <f aca="false">SUMIFS(Seasons!$L$2:$L$2865,Seasons!$A$2:$A$2865,B491,Seasons!$B$2:$B$2865,"&gt;="&amp;$B$20,Seasons!$B$2:$B$2865,"&lt;="&amp;$C$20)</f>
        <v>1</v>
      </c>
      <c r="M491" s="3" t="n">
        <f aca="false">SUMIFS(Seasons!$N$2:$N$2865,Seasons!$A$2:$A$2865,B491,Seasons!$B$2:$B$2865,"&gt;="&amp;$B$20,Seasons!$B$2:$B$2865,"&lt;="&amp;$C$20)</f>
        <v>0</v>
      </c>
      <c r="N491" s="3" t="n">
        <f aca="false">IF(J491="",-1000000,J491+ROW()*0.000000001)</f>
        <v>-0.928106724819951</v>
      </c>
      <c r="O491" s="3" t="n">
        <f aca="false">IF(J491="","",SUMPRODUCT(($A$25:$A$534=A491)*($N$25:$N$534&gt;N491))+1)</f>
        <v>17</v>
      </c>
      <c r="P491" s="3" t="str">
        <f aca="false">A491&amp;"|"&amp;O491</f>
        <v>2010s payroll-adj|17</v>
      </c>
    </row>
    <row r="492" customFormat="false" ht="15" hidden="false" customHeight="true" outlineLevel="0" collapsed="false">
      <c r="A492" s="1" t="s">
        <v>24</v>
      </c>
      <c r="B492" s="7" t="s">
        <v>73</v>
      </c>
      <c r="C492" s="1" t="s">
        <v>72</v>
      </c>
      <c r="D492" s="3" t="n">
        <f aca="false">COUNTIFS(Market_Panel!$A$2:$A$2705,B492,Market_Panel!$B$2:$B$2705,"&gt;="&amp;$B$20,Market_Panel!$B$2:$B$2705,"&lt;="&amp;$C$20)</f>
        <v>10</v>
      </c>
      <c r="E492" s="10" t="n">
        <f aca="false">IF(D492=0,"",AVERAGEIFS(Market_Panel!$M$2:$M$2705,Market_Panel!$A$2:$A$2705,B492,Market_Panel!$B$2:$B$2705,"&gt;="&amp;$B$20,Market_Panel!$B$2:$B$2705,"&lt;="&amp;$C$20))</f>
        <v>0.0200391921090774</v>
      </c>
      <c r="F492" s="11" t="n">
        <f aca="false">IF(D492=0,"",AVERAGEIFS(Market_Panel!$P$2:$P$2705,Market_Panel!$A$2:$A$2705,B492,Market_Panel!$B$2:$B$2705,"&gt;="&amp;$B$20,Market_Panel!$B$2:$B$2705,"&lt;="&amp;$C$20))</f>
        <v>0.389004200791743</v>
      </c>
      <c r="G492" s="11" t="n">
        <f aca="false">IF(D492=0,"",AVERAGEIFS(Market_Panel!$R$2:$R$2705,Market_Panel!$A$2:$A$2705,B492,Market_Panel!$B$2:$B$2705,"&gt;="&amp;$B$20,Market_Panel!$B$2:$B$2705,"&lt;="&amp;$C$20))</f>
        <v>0</v>
      </c>
      <c r="H492" s="11" t="n">
        <f aca="false">IF(OR(D492=0,$H$20=0),0,AVERAGEIFS(Market_Panel!$Y$2:$Y$2705,Market_Panel!$A$2:$A$2705,B492,Market_Panel!$B$2:$B$2705,"&gt;="&amp;$B$20,Market_Panel!$B$2:$B$2705,"&lt;="&amp;$C$20))</f>
        <v>0.139563218507248</v>
      </c>
      <c r="I492" s="10" t="n">
        <f aca="false">IF(D492=0,"",$I$20+$F$20*F492+$G$20*G492+$H$20*H492)</f>
        <v>0.0072689092591664</v>
      </c>
      <c r="J492" s="5" t="n">
        <f aca="false">IF(D492&lt;5,"",(E492-I492)*162)</f>
        <v>2.06878582168558</v>
      </c>
      <c r="K492" s="5" t="n">
        <f aca="false">IF(D492=0,"",E492*162)</f>
        <v>3.24634912167054</v>
      </c>
      <c r="L492" s="3" t="n">
        <f aca="false">SUMIFS(Seasons!$L$2:$L$2865,Seasons!$A$2:$A$2865,B492,Seasons!$B$2:$B$2865,"&gt;="&amp;$B$20,Seasons!$B$2:$B$2865,"&lt;="&amp;$C$20)</f>
        <v>5</v>
      </c>
      <c r="M492" s="3" t="n">
        <f aca="false">SUMIFS(Seasons!$N$2:$N$2865,Seasons!$A$2:$A$2865,B492,Seasons!$B$2:$B$2865,"&gt;="&amp;$B$20,Seasons!$B$2:$B$2865,"&lt;="&amp;$C$20)</f>
        <v>0</v>
      </c>
      <c r="N492" s="3" t="n">
        <f aca="false">IF(J492="",-1000000,J492+ROW()*0.000000001)</f>
        <v>2.06878631368558</v>
      </c>
      <c r="O492" s="3" t="n">
        <f aca="false">IF(J492="","",SUMPRODUCT(($A$25:$A$534=A492)*($N$25:$N$534&gt;N492))+1)</f>
        <v>11</v>
      </c>
      <c r="P492" s="3" t="str">
        <f aca="false">A492&amp;"|"&amp;O492</f>
        <v>2010s payroll-adj|11</v>
      </c>
    </row>
    <row r="493" customFormat="false" ht="15" hidden="false" customHeight="true" outlineLevel="0" collapsed="false">
      <c r="A493" s="1" t="s">
        <v>24</v>
      </c>
      <c r="B493" s="7" t="s">
        <v>74</v>
      </c>
      <c r="C493" s="1" t="s">
        <v>72</v>
      </c>
      <c r="D493" s="3" t="n">
        <f aca="false">COUNTIFS(Market_Panel!$A$2:$A$2705,B493,Market_Panel!$B$2:$B$2705,"&gt;="&amp;$B$20,Market_Panel!$B$2:$B$2705,"&lt;="&amp;$C$20)</f>
        <v>10</v>
      </c>
      <c r="E493" s="10" t="n">
        <f aca="false">IF(D493=0,"",AVERAGEIFS(Market_Panel!$M$2:$M$2705,Market_Panel!$A$2:$A$2705,B493,Market_Panel!$B$2:$B$2705,"&gt;="&amp;$B$20,Market_Panel!$B$2:$B$2705,"&lt;="&amp;$C$20))</f>
        <v>-0.0129495225769788</v>
      </c>
      <c r="F493" s="11" t="n">
        <f aca="false">IF(D493=0,"",AVERAGEIFS(Market_Panel!$P$2:$P$2705,Market_Panel!$A$2:$A$2705,B493,Market_Panel!$B$2:$B$2705,"&gt;="&amp;$B$20,Market_Panel!$B$2:$B$2705,"&lt;="&amp;$C$20))</f>
        <v>0.953778113478275</v>
      </c>
      <c r="G493" s="11" t="n">
        <f aca="false">IF(D493=0,"",AVERAGEIFS(Market_Panel!$R$2:$R$2705,Market_Panel!$A$2:$A$2705,B493,Market_Panel!$B$2:$B$2705,"&gt;="&amp;$B$20,Market_Panel!$B$2:$B$2705,"&lt;="&amp;$C$20))</f>
        <v>0</v>
      </c>
      <c r="H493" s="11" t="n">
        <f aca="false">IF(OR(D493=0,$H$20=0),0,AVERAGEIFS(Market_Panel!$Y$2:$Y$2705,Market_Panel!$A$2:$A$2705,B493,Market_Panel!$B$2:$B$2705,"&gt;="&amp;$B$20,Market_Panel!$B$2:$B$2705,"&lt;="&amp;$C$20))</f>
        <v>-0.333924400959278</v>
      </c>
      <c r="I493" s="10" t="n">
        <f aca="false">IF(D493=0,"",$I$20+$F$20*F493+$G$20*G493+$H$20*H493)</f>
        <v>-0.0308443604425639</v>
      </c>
      <c r="J493" s="5" t="n">
        <f aca="false">IF(D493&lt;5,"",(E493-I493)*162)</f>
        <v>2.89896373422478</v>
      </c>
      <c r="K493" s="5" t="n">
        <f aca="false">IF(D493=0,"",E493*162)</f>
        <v>-2.09782265747056</v>
      </c>
      <c r="L493" s="3" t="n">
        <f aca="false">SUMIFS(Seasons!$L$2:$L$2865,Seasons!$A$2:$A$2865,B493,Seasons!$B$2:$B$2865,"&gt;="&amp;$B$20,Seasons!$B$2:$B$2865,"&lt;="&amp;$C$20)</f>
        <v>4</v>
      </c>
      <c r="M493" s="3" t="n">
        <f aca="false">SUMIFS(Seasons!$N$2:$N$2865,Seasons!$A$2:$A$2865,B493,Seasons!$B$2:$B$2865,"&gt;="&amp;$B$20,Seasons!$B$2:$B$2865,"&lt;="&amp;$C$20)</f>
        <v>1</v>
      </c>
      <c r="N493" s="3" t="n">
        <f aca="false">IF(J493="",-1000000,J493+ROW()*0.000000001)</f>
        <v>2.89896422722478</v>
      </c>
      <c r="O493" s="3" t="n">
        <f aca="false">IF(J493="","",SUMPRODUCT(($A$25:$A$534=A493)*($N$25:$N$534&gt;N493))+1)</f>
        <v>9</v>
      </c>
      <c r="P493" s="3" t="str">
        <f aca="false">A493&amp;"|"&amp;O493</f>
        <v>2010s payroll-adj|9</v>
      </c>
    </row>
    <row r="494" customFormat="false" ht="15" hidden="false" customHeight="true" outlineLevel="0" collapsed="false">
      <c r="A494" s="1" t="s">
        <v>24</v>
      </c>
      <c r="B494" s="7" t="s">
        <v>75</v>
      </c>
      <c r="C494" s="1" t="s">
        <v>72</v>
      </c>
      <c r="D494" s="3" t="n">
        <f aca="false">COUNTIFS(Market_Panel!$A$2:$A$2705,B494,Market_Panel!$B$2:$B$2705,"&gt;="&amp;$B$20,Market_Panel!$B$2:$B$2705,"&lt;="&amp;$C$20)</f>
        <v>10</v>
      </c>
      <c r="E494" s="10" t="n">
        <f aca="false">IF(D494=0,"",AVERAGEIFS(Market_Panel!$M$2:$M$2705,Market_Panel!$A$2:$A$2705,B494,Market_Panel!$B$2:$B$2705,"&gt;="&amp;$B$20,Market_Panel!$B$2:$B$2705,"&lt;="&amp;$C$20))</f>
        <v>-0.0104803867745097</v>
      </c>
      <c r="F494" s="11" t="n">
        <f aca="false">IF(D494=0,"",AVERAGEIFS(Market_Panel!$P$2:$P$2705,Market_Panel!$A$2:$A$2705,B494,Market_Panel!$B$2:$B$2705,"&gt;="&amp;$B$20,Market_Panel!$B$2:$B$2705,"&lt;="&amp;$C$20))</f>
        <v>1.61146072376969</v>
      </c>
      <c r="G494" s="11" t="n">
        <f aca="false">IF(D494=0,"",AVERAGEIFS(Market_Panel!$R$2:$R$2705,Market_Panel!$A$2:$A$2705,B494,Market_Panel!$B$2:$B$2705,"&gt;="&amp;$B$20,Market_Panel!$B$2:$B$2705,"&lt;="&amp;$C$20))</f>
        <v>0</v>
      </c>
      <c r="H494" s="11" t="n">
        <f aca="false">IF(OR(D494=0,$H$20=0),0,AVERAGEIFS(Market_Panel!$Y$2:$Y$2705,Market_Panel!$A$2:$A$2705,B494,Market_Panel!$B$2:$B$2705,"&gt;="&amp;$B$20,Market_Panel!$B$2:$B$2705,"&lt;="&amp;$C$20))</f>
        <v>0.0580919152116895</v>
      </c>
      <c r="I494" s="10" t="n">
        <f aca="false">IF(D494=0,"",$I$20+$F$20*F494+$G$20*G494+$H$20*H494)</f>
        <v>-0.00732178311813063</v>
      </c>
      <c r="J494" s="5" t="n">
        <f aca="false">IF(D494&lt;5,"",(E494-I494)*162)</f>
        <v>-0.511693792333404</v>
      </c>
      <c r="K494" s="5" t="n">
        <f aca="false">IF(D494=0,"",E494*162)</f>
        <v>-1.69782265747056</v>
      </c>
      <c r="L494" s="3" t="n">
        <f aca="false">SUMIFS(Seasons!$L$2:$L$2865,Seasons!$A$2:$A$2865,B494,Seasons!$B$2:$B$2865,"&gt;="&amp;$B$20,Seasons!$B$2:$B$2865,"&lt;="&amp;$C$20)</f>
        <v>2</v>
      </c>
      <c r="M494" s="3" t="n">
        <f aca="false">SUMIFS(Seasons!$N$2:$N$2865,Seasons!$A$2:$A$2865,B494,Seasons!$B$2:$B$2865,"&gt;="&amp;$B$20,Seasons!$B$2:$B$2865,"&lt;="&amp;$C$20)</f>
        <v>0</v>
      </c>
      <c r="N494" s="3" t="n">
        <f aca="false">IF(J494="",-1000000,J494+ROW()*0.000000001)</f>
        <v>-0.511693298333404</v>
      </c>
      <c r="O494" s="3" t="n">
        <f aca="false">IF(J494="","",SUMPRODUCT(($A$25:$A$534=A494)*($N$25:$N$534&gt;N494))+1)</f>
        <v>16</v>
      </c>
      <c r="P494" s="3" t="str">
        <f aca="false">A494&amp;"|"&amp;O494</f>
        <v>2010s payroll-adj|16</v>
      </c>
    </row>
    <row r="495" customFormat="false" ht="15" hidden="false" customHeight="true" outlineLevel="0" collapsed="false">
      <c r="A495" s="1" t="s">
        <v>24</v>
      </c>
      <c r="B495" s="7" t="s">
        <v>76</v>
      </c>
      <c r="C495" s="1" t="s">
        <v>72</v>
      </c>
      <c r="D495" s="3" t="n">
        <f aca="false">COUNTIFS(Market_Panel!$A$2:$A$2705,B495,Market_Panel!$B$2:$B$2705,"&gt;="&amp;$B$20,Market_Panel!$B$2:$B$2705,"&lt;="&amp;$C$20)</f>
        <v>10</v>
      </c>
      <c r="E495" s="10" t="n">
        <f aca="false">IF(D495=0,"",AVERAGEIFS(Market_Panel!$M$2:$M$2705,Market_Panel!$A$2:$A$2705,B495,Market_Panel!$B$2:$B$2705,"&gt;="&amp;$B$20,Market_Panel!$B$2:$B$2705,"&lt;="&amp;$C$20))</f>
        <v>-0.0320853250461146</v>
      </c>
      <c r="F495" s="11" t="n">
        <f aca="false">IF(D495=0,"",AVERAGEIFS(Market_Panel!$P$2:$P$2705,Market_Panel!$A$2:$A$2705,B495,Market_Panel!$B$2:$B$2705,"&gt;="&amp;$B$20,Market_Panel!$B$2:$B$2705,"&lt;="&amp;$C$20))</f>
        <v>-0.561886996781325</v>
      </c>
      <c r="G495" s="11" t="n">
        <f aca="false">IF(D495=0,"",AVERAGEIFS(Market_Panel!$R$2:$R$2705,Market_Panel!$A$2:$A$2705,B495,Market_Panel!$B$2:$B$2705,"&gt;="&amp;$B$20,Market_Panel!$B$2:$B$2705,"&lt;="&amp;$C$20))</f>
        <v>0</v>
      </c>
      <c r="H495" s="11" t="n">
        <f aca="false">IF(OR(D495=0,$H$20=0),0,AVERAGEIFS(Market_Panel!$Y$2:$Y$2705,Market_Panel!$A$2:$A$2705,B495,Market_Panel!$B$2:$B$2705,"&gt;="&amp;$B$20,Market_Panel!$B$2:$B$2705,"&lt;="&amp;$C$20))</f>
        <v>-0.195156180971618</v>
      </c>
      <c r="I495" s="10" t="n">
        <f aca="false">IF(D495=0,"",$I$20+$F$20*F495+$G$20*G495+$H$20*H495)</f>
        <v>-0.010036390735165</v>
      </c>
      <c r="J495" s="5" t="n">
        <f aca="false">IF(D495&lt;5,"",(E495-I495)*162)</f>
        <v>-3.57192735837384</v>
      </c>
      <c r="K495" s="5" t="n">
        <f aca="false">IF(D495=0,"",E495*162)</f>
        <v>-5.19782265747057</v>
      </c>
      <c r="L495" s="3" t="n">
        <f aca="false">SUMIFS(Seasons!$L$2:$L$2865,Seasons!$A$2:$A$2865,B495,Seasons!$B$2:$B$2865,"&gt;="&amp;$B$20,Seasons!$B$2:$B$2865,"&lt;="&amp;$C$20)</f>
        <v>2</v>
      </c>
      <c r="M495" s="3" t="n">
        <f aca="false">SUMIFS(Seasons!$N$2:$N$2865,Seasons!$A$2:$A$2865,B495,Seasons!$B$2:$B$2865,"&gt;="&amp;$B$20,Seasons!$B$2:$B$2865,"&lt;="&amp;$C$20)</f>
        <v>1</v>
      </c>
      <c r="N495" s="3" t="n">
        <f aca="false">IF(J495="",-1000000,J495+ROW()*0.000000001)</f>
        <v>-3.57192686337384</v>
      </c>
      <c r="O495" s="3" t="n">
        <f aca="false">IF(J495="","",SUMPRODUCT(($A$25:$A$534=A495)*($N$25:$N$534&gt;N495))+1)</f>
        <v>22</v>
      </c>
      <c r="P495" s="3" t="str">
        <f aca="false">A495&amp;"|"&amp;O495</f>
        <v>2010s payroll-adj|22</v>
      </c>
    </row>
    <row r="496" customFormat="false" ht="15" hidden="false" customHeight="true" outlineLevel="0" collapsed="false">
      <c r="A496" s="1" t="s">
        <v>24</v>
      </c>
      <c r="B496" s="7" t="s">
        <v>77</v>
      </c>
      <c r="C496" s="1" t="s">
        <v>72</v>
      </c>
      <c r="D496" s="3" t="n">
        <f aca="false">COUNTIFS(Market_Panel!$A$2:$A$2705,B496,Market_Panel!$B$2:$B$2705,"&gt;="&amp;$B$20,Market_Panel!$B$2:$B$2705,"&lt;="&amp;$C$20)</f>
        <v>10</v>
      </c>
      <c r="E496" s="10" t="n">
        <f aca="false">IF(D496=0,"",AVERAGEIFS(Market_Panel!$M$2:$M$2705,Market_Panel!$A$2:$A$2705,B496,Market_Panel!$B$2:$B$2705,"&gt;="&amp;$B$20,Market_Panel!$B$2:$B$2705,"&lt;="&amp;$C$20))</f>
        <v>0.00829186195683928</v>
      </c>
      <c r="F496" s="11" t="n">
        <f aca="false">IF(D496=0,"",AVERAGEIFS(Market_Panel!$P$2:$P$2705,Market_Panel!$A$2:$A$2705,B496,Market_Panel!$B$2:$B$2705,"&gt;="&amp;$B$20,Market_Panel!$B$2:$B$2705,"&lt;="&amp;$C$20))</f>
        <v>-0.362846696682001</v>
      </c>
      <c r="G496" s="11" t="n">
        <f aca="false">IF(D496=0,"",AVERAGEIFS(Market_Panel!$R$2:$R$2705,Market_Panel!$A$2:$A$2705,B496,Market_Panel!$B$2:$B$2705,"&gt;="&amp;$B$20,Market_Panel!$B$2:$B$2705,"&lt;="&amp;$C$20))</f>
        <v>0</v>
      </c>
      <c r="H496" s="11" t="n">
        <f aca="false">IF(OR(D496=0,$H$20=0),0,AVERAGEIFS(Market_Panel!$Y$2:$Y$2705,Market_Panel!$A$2:$A$2705,B496,Market_Panel!$B$2:$B$2705,"&gt;="&amp;$B$20,Market_Panel!$B$2:$B$2705,"&lt;="&amp;$C$20))</f>
        <v>-0.164327575141471</v>
      </c>
      <c r="I496" s="10" t="n">
        <f aca="false">IF(D496=0,"",$I$20+$F$20*F496+$G$20*G496+$H$20*H496)</f>
        <v>-0.0092381729391975</v>
      </c>
      <c r="J496" s="5" t="n">
        <f aca="false">IF(D496&lt;5,"",(E496-I496)*162)</f>
        <v>2.83986565315796</v>
      </c>
      <c r="K496" s="5" t="n">
        <f aca="false">IF(D496=0,"",E496*162)</f>
        <v>1.34328163700796</v>
      </c>
      <c r="L496" s="3" t="n">
        <f aca="false">SUMIFS(Seasons!$L$2:$L$2865,Seasons!$A$2:$A$2865,B496,Seasons!$B$2:$B$2865,"&gt;="&amp;$B$20,Seasons!$B$2:$B$2865,"&lt;="&amp;$C$20)</f>
        <v>3</v>
      </c>
      <c r="M496" s="3" t="n">
        <f aca="false">SUMIFS(Seasons!$N$2:$N$2865,Seasons!$A$2:$A$2865,B496,Seasons!$B$2:$B$2865,"&gt;="&amp;$B$20,Seasons!$B$2:$B$2865,"&lt;="&amp;$C$20)</f>
        <v>0</v>
      </c>
      <c r="N496" s="3" t="n">
        <f aca="false">IF(J496="",-1000000,J496+ROW()*0.000000001)</f>
        <v>2.83986614915796</v>
      </c>
      <c r="O496" s="3" t="n">
        <f aca="false">IF(J496="","",SUMPRODUCT(($A$25:$A$534=A496)*($N$25:$N$534&gt;N496))+1)</f>
        <v>10</v>
      </c>
      <c r="P496" s="3" t="str">
        <f aca="false">A496&amp;"|"&amp;O496</f>
        <v>2010s payroll-adj|10</v>
      </c>
    </row>
    <row r="497" customFormat="false" ht="15" hidden="false" customHeight="true" outlineLevel="0" collapsed="false">
      <c r="A497" s="1" t="s">
        <v>24</v>
      </c>
      <c r="B497" s="7" t="s">
        <v>78</v>
      </c>
      <c r="C497" s="1" t="s">
        <v>72</v>
      </c>
      <c r="D497" s="3" t="n">
        <f aca="false">COUNTIFS(Market_Panel!$A$2:$A$2705,B497,Market_Panel!$B$2:$B$2705,"&gt;="&amp;$B$20,Market_Panel!$B$2:$B$2705,"&lt;="&amp;$C$20)</f>
        <v>10</v>
      </c>
      <c r="E497" s="10" t="n">
        <f aca="false">IF(D497=0,"",AVERAGEIFS(Market_Panel!$M$2:$M$2705,Market_Panel!$A$2:$A$2705,B497,Market_Panel!$B$2:$B$2705,"&gt;="&amp;$B$20,Market_Panel!$B$2:$B$2705,"&lt;="&amp;$C$20))</f>
        <v>-0.043813720107843</v>
      </c>
      <c r="F497" s="11" t="n">
        <f aca="false">IF(D497=0,"",AVERAGEIFS(Market_Panel!$P$2:$P$2705,Market_Panel!$A$2:$A$2705,B497,Market_Panel!$B$2:$B$2705,"&gt;="&amp;$B$20,Market_Panel!$B$2:$B$2705,"&lt;="&amp;$C$20))</f>
        <v>0.464767507247009</v>
      </c>
      <c r="G497" s="11" t="n">
        <f aca="false">IF(D497=0,"",AVERAGEIFS(Market_Panel!$R$2:$R$2705,Market_Panel!$A$2:$A$2705,B497,Market_Panel!$B$2:$B$2705,"&gt;="&amp;$B$20,Market_Panel!$B$2:$B$2705,"&lt;="&amp;$C$20))</f>
        <v>0</v>
      </c>
      <c r="H497" s="11" t="n">
        <f aca="false">IF(OR(D497=0,$H$20=0),0,AVERAGEIFS(Market_Panel!$Y$2:$Y$2705,Market_Panel!$A$2:$A$2705,B497,Market_Panel!$B$2:$B$2705,"&gt;="&amp;$B$20,Market_Panel!$B$2:$B$2705,"&lt;="&amp;$C$20))</f>
        <v>-0.352013461191535</v>
      </c>
      <c r="I497" s="10" t="n">
        <f aca="false">IF(D497=0,"",$I$20+$F$20*F497+$G$20*G497+$H$20*H497)</f>
        <v>-0.0286556613943081</v>
      </c>
      <c r="J497" s="5" t="n">
        <f aca="false">IF(D497&lt;5,"",(E497-I497)*162)</f>
        <v>-2.45560551159266</v>
      </c>
      <c r="K497" s="5" t="n">
        <f aca="false">IF(D497=0,"",E497*162)</f>
        <v>-7.09782265747057</v>
      </c>
      <c r="L497" s="3" t="n">
        <f aca="false">SUMIFS(Seasons!$L$2:$L$2865,Seasons!$A$2:$A$2865,B497,Seasons!$B$2:$B$2865,"&gt;="&amp;$B$20,Seasons!$B$2:$B$2865,"&lt;="&amp;$C$20)</f>
        <v>0</v>
      </c>
      <c r="M497" s="3" t="n">
        <f aca="false">SUMIFS(Seasons!$N$2:$N$2865,Seasons!$A$2:$A$2865,B497,Seasons!$B$2:$B$2865,"&gt;="&amp;$B$20,Seasons!$B$2:$B$2865,"&lt;="&amp;$C$20)</f>
        <v>0</v>
      </c>
      <c r="N497" s="3" t="n">
        <f aca="false">IF(J497="",-1000000,J497+ROW()*0.000000001)</f>
        <v>-2.45560501459266</v>
      </c>
      <c r="O497" s="3" t="n">
        <f aca="false">IF(J497="","",SUMPRODUCT(($A$25:$A$534=A497)*($N$25:$N$534&gt;N497))+1)</f>
        <v>19</v>
      </c>
      <c r="P497" s="3" t="str">
        <f aca="false">A497&amp;"|"&amp;O497</f>
        <v>2010s payroll-adj|19</v>
      </c>
    </row>
    <row r="498" customFormat="false" ht="15" hidden="false" customHeight="true" outlineLevel="0" collapsed="false">
      <c r="A498" s="1" t="s">
        <v>24</v>
      </c>
      <c r="B498" s="7" t="s">
        <v>79</v>
      </c>
      <c r="C498" s="1" t="s">
        <v>72</v>
      </c>
      <c r="D498" s="3" t="n">
        <f aca="false">COUNTIFS(Market_Panel!$A$2:$A$2705,B498,Market_Panel!$B$2:$B$2705,"&gt;="&amp;$B$20,Market_Panel!$B$2:$B$2705,"&lt;="&amp;$C$20)</f>
        <v>10</v>
      </c>
      <c r="E498" s="10" t="n">
        <f aca="false">IF(D498=0,"",AVERAGEIFS(Market_Panel!$M$2:$M$2705,Market_Panel!$A$2:$A$2705,B498,Market_Panel!$B$2:$B$2705,"&gt;="&amp;$B$20,Market_Panel!$B$2:$B$2705,"&lt;="&amp;$C$20))</f>
        <v>0.0429127579229829</v>
      </c>
      <c r="F498" s="11" t="n">
        <f aca="false">IF(D498=0,"",AVERAGEIFS(Market_Panel!$P$2:$P$2705,Market_Panel!$A$2:$A$2705,B498,Market_Panel!$B$2:$B$2705,"&gt;="&amp;$B$20,Market_Panel!$B$2:$B$2705,"&lt;="&amp;$C$20))</f>
        <v>-0.276500356368276</v>
      </c>
      <c r="G498" s="11" t="n">
        <f aca="false">IF(D498=0,"",AVERAGEIFS(Market_Panel!$R$2:$R$2705,Market_Panel!$A$2:$A$2705,B498,Market_Panel!$B$2:$B$2705,"&gt;="&amp;$B$20,Market_Panel!$B$2:$B$2705,"&lt;="&amp;$C$20))</f>
        <v>0</v>
      </c>
      <c r="H498" s="11" t="n">
        <f aca="false">IF(OR(D498=0,$H$20=0),0,AVERAGEIFS(Market_Panel!$Y$2:$Y$2705,Market_Panel!$A$2:$A$2705,B498,Market_Panel!$B$2:$B$2705,"&gt;="&amp;$B$20,Market_Panel!$B$2:$B$2705,"&lt;="&amp;$C$20))</f>
        <v>0.117569560126753</v>
      </c>
      <c r="I498" s="10" t="n">
        <f aca="false">IF(D498=0,"",$I$20+$F$20*F498+$G$20*G498+$H$20*H498)</f>
        <v>0.0104364386953315</v>
      </c>
      <c r="J498" s="5" t="n">
        <f aca="false">IF(D498&lt;5,"",(E498-I498)*162)</f>
        <v>5.26116371487952</v>
      </c>
      <c r="K498" s="5" t="n">
        <f aca="false">IF(D498=0,"",E498*162)</f>
        <v>6.95186678352323</v>
      </c>
      <c r="L498" s="3" t="n">
        <f aca="false">SUMIFS(Seasons!$L$2:$L$2865,Seasons!$A$2:$A$2865,B498,Seasons!$B$2:$B$2865,"&gt;="&amp;$B$20,Seasons!$B$2:$B$2865,"&lt;="&amp;$C$20)</f>
        <v>5</v>
      </c>
      <c r="M498" s="3" t="n">
        <f aca="false">SUMIFS(Seasons!$N$2:$N$2865,Seasons!$A$2:$A$2865,B498,Seasons!$B$2:$B$2865,"&gt;="&amp;$B$20,Seasons!$B$2:$B$2865,"&lt;="&amp;$C$20)</f>
        <v>1</v>
      </c>
      <c r="N498" s="3" t="n">
        <f aca="false">IF(J498="",-1000000,J498+ROW()*0.000000001)</f>
        <v>5.26116421287952</v>
      </c>
      <c r="O498" s="3" t="n">
        <f aca="false">IF(J498="","",SUMPRODUCT(($A$25:$A$534=A498)*($N$25:$N$534&gt;N498))+1)</f>
        <v>7</v>
      </c>
      <c r="P498" s="3" t="str">
        <f aca="false">A498&amp;"|"&amp;O498</f>
        <v>2010s payroll-adj|7</v>
      </c>
    </row>
    <row r="499" customFormat="false" ht="15" hidden="false" customHeight="true" outlineLevel="0" collapsed="false">
      <c r="A499" s="1" t="s">
        <v>24</v>
      </c>
      <c r="B499" s="7" t="s">
        <v>80</v>
      </c>
      <c r="C499" s="1" t="s">
        <v>72</v>
      </c>
      <c r="D499" s="3" t="n">
        <f aca="false">COUNTIFS(Market_Panel!$A$2:$A$2705,B499,Market_Panel!$B$2:$B$2705,"&gt;="&amp;$B$20,Market_Panel!$B$2:$B$2705,"&lt;="&amp;$C$20)</f>
        <v>10</v>
      </c>
      <c r="E499" s="10" t="n">
        <f aca="false">IF(D499=0,"",AVERAGEIFS(Market_Panel!$M$2:$M$2705,Market_Panel!$A$2:$A$2705,B499,Market_Panel!$B$2:$B$2705,"&gt;="&amp;$B$20,Market_Panel!$B$2:$B$2705,"&lt;="&amp;$C$20))</f>
        <v>-0.0320853250461146</v>
      </c>
      <c r="F499" s="11" t="n">
        <f aca="false">IF(D499=0,"",AVERAGEIFS(Market_Panel!$P$2:$P$2705,Market_Panel!$A$2:$A$2705,B499,Market_Panel!$B$2:$B$2705,"&gt;="&amp;$B$20,Market_Panel!$B$2:$B$2705,"&lt;="&amp;$C$20))</f>
        <v>-0.240236590979591</v>
      </c>
      <c r="G499" s="11" t="n">
        <f aca="false">IF(D499=0,"",AVERAGEIFS(Market_Panel!$R$2:$R$2705,Market_Panel!$A$2:$A$2705,B499,Market_Panel!$B$2:$B$2705,"&gt;="&amp;$B$20,Market_Panel!$B$2:$B$2705,"&lt;="&amp;$C$20))</f>
        <v>0</v>
      </c>
      <c r="H499" s="11" t="n">
        <f aca="false">IF(OR(D499=0,$H$20=0),0,AVERAGEIFS(Market_Panel!$Y$2:$Y$2705,Market_Panel!$A$2:$A$2705,B499,Market_Panel!$B$2:$B$2705,"&gt;="&amp;$B$20,Market_Panel!$B$2:$B$2705,"&lt;="&amp;$C$20))</f>
        <v>0.0412998701523609</v>
      </c>
      <c r="I499" s="10" t="n">
        <f aca="false">IF(D499=0,"",$I$20+$F$20*F499+$G$20*G499+$H$20*H499)</f>
        <v>0.00468767309705394</v>
      </c>
      <c r="J499" s="5" t="n">
        <f aca="false">IF(D499&lt;5,"",(E499-I499)*162)</f>
        <v>-5.9572256991933</v>
      </c>
      <c r="K499" s="5" t="n">
        <f aca="false">IF(D499=0,"",E499*162)</f>
        <v>-5.19782265747057</v>
      </c>
      <c r="L499" s="3" t="n">
        <f aca="false">SUMIFS(Seasons!$L$2:$L$2865,Seasons!$A$2:$A$2865,B499,Seasons!$B$2:$B$2865,"&gt;="&amp;$B$20,Seasons!$B$2:$B$2865,"&lt;="&amp;$C$20)</f>
        <v>0</v>
      </c>
      <c r="M499" s="3" t="n">
        <f aca="false">SUMIFS(Seasons!$N$2:$N$2865,Seasons!$A$2:$A$2865,B499,Seasons!$B$2:$B$2865,"&gt;="&amp;$B$20,Seasons!$B$2:$B$2865,"&lt;="&amp;$C$20)</f>
        <v>0</v>
      </c>
      <c r="N499" s="3" t="n">
        <f aca="false">IF(J499="",-1000000,J499+ROW()*0.000000001)</f>
        <v>-5.9572252001933</v>
      </c>
      <c r="O499" s="3" t="n">
        <f aca="false">IF(J499="","",SUMPRODUCT(($A$25:$A$534=A499)*($N$25:$N$534&gt;N499))+1)</f>
        <v>28</v>
      </c>
      <c r="P499" s="3" t="str">
        <f aca="false">A499&amp;"|"&amp;O499</f>
        <v>2010s payroll-adj|28</v>
      </c>
    </row>
    <row r="500" customFormat="false" ht="15" hidden="false" customHeight="true" outlineLevel="0" collapsed="false">
      <c r="A500" s="1" t="s">
        <v>24</v>
      </c>
      <c r="B500" s="7" t="s">
        <v>81</v>
      </c>
      <c r="C500" s="1" t="s">
        <v>72</v>
      </c>
      <c r="D500" s="3" t="n">
        <f aca="false">COUNTIFS(Market_Panel!$A$2:$A$2705,B500,Market_Panel!$B$2:$B$2705,"&gt;="&amp;$B$20,Market_Panel!$B$2:$B$2705,"&lt;="&amp;$C$20)</f>
        <v>10</v>
      </c>
      <c r="E500" s="10" t="n">
        <f aca="false">IF(D500=0,"",AVERAGEIFS(Market_Panel!$M$2:$M$2705,Market_Panel!$A$2:$A$2705,B500,Market_Panel!$B$2:$B$2705,"&gt;="&amp;$B$20,Market_Panel!$B$2:$B$2705,"&lt;="&amp;$C$20))</f>
        <v>-0.00986310282389238</v>
      </c>
      <c r="F500" s="11" t="n">
        <f aca="false">IF(D500=0,"",AVERAGEIFS(Market_Panel!$P$2:$P$2705,Market_Panel!$A$2:$A$2705,B500,Market_Panel!$B$2:$B$2705,"&gt;="&amp;$B$20,Market_Panel!$B$2:$B$2705,"&lt;="&amp;$C$20))</f>
        <v>1.16128070098703</v>
      </c>
      <c r="G500" s="11" t="n">
        <f aca="false">IF(D500=0,"",AVERAGEIFS(Market_Panel!$R$2:$R$2705,Market_Panel!$A$2:$A$2705,B500,Market_Panel!$B$2:$B$2705,"&gt;="&amp;$B$20,Market_Panel!$B$2:$B$2705,"&lt;="&amp;$C$20))</f>
        <v>0</v>
      </c>
      <c r="H500" s="11" t="n">
        <f aca="false">IF(OR(D500=0,$H$20=0),0,AVERAGEIFS(Market_Panel!$Y$2:$Y$2705,Market_Panel!$A$2:$A$2705,B500,Market_Panel!$B$2:$B$2705,"&gt;="&amp;$B$20,Market_Panel!$B$2:$B$2705,"&lt;="&amp;$C$20))</f>
        <v>0.0195562368731782</v>
      </c>
      <c r="I500" s="10" t="n">
        <f aca="false">IF(D500=0,"",$I$20+$F$20*F500+$G$20*G500+$H$20*H500)</f>
        <v>-0.00688202193121576</v>
      </c>
      <c r="J500" s="5" t="n">
        <f aca="false">IF(D500&lt;5,"",(E500-I500)*162)</f>
        <v>-0.482935104613612</v>
      </c>
      <c r="K500" s="5" t="n">
        <f aca="false">IF(D500=0,"",E500*162)</f>
        <v>-1.59782265747057</v>
      </c>
      <c r="L500" s="3" t="n">
        <f aca="false">SUMIFS(Seasons!$L$2:$L$2865,Seasons!$A$2:$A$2865,B500,Seasons!$B$2:$B$2865,"&gt;="&amp;$B$20,Seasons!$B$2:$B$2865,"&lt;="&amp;$C$20)</f>
        <v>2</v>
      </c>
      <c r="M500" s="3" t="n">
        <f aca="false">SUMIFS(Seasons!$N$2:$N$2865,Seasons!$A$2:$A$2865,B500,Seasons!$B$2:$B$2865,"&gt;="&amp;$B$20,Seasons!$B$2:$B$2865,"&lt;="&amp;$C$20)</f>
        <v>0</v>
      </c>
      <c r="N500" s="3" t="n">
        <f aca="false">IF(J500="",-1000000,J500+ROW()*0.000000001)</f>
        <v>-0.482934604613612</v>
      </c>
      <c r="O500" s="3" t="n">
        <f aca="false">IF(J500="","",SUMPRODUCT(($A$25:$A$534=A500)*($N$25:$N$534&gt;N500))+1)</f>
        <v>15</v>
      </c>
      <c r="P500" s="3" t="str">
        <f aca="false">A500&amp;"|"&amp;O500</f>
        <v>2010s payroll-adj|15</v>
      </c>
    </row>
    <row r="501" customFormat="false" ht="15" hidden="false" customHeight="true" outlineLevel="0" collapsed="false">
      <c r="A501" s="1" t="s">
        <v>24</v>
      </c>
      <c r="B501" s="7" t="s">
        <v>82</v>
      </c>
      <c r="C501" s="1" t="s">
        <v>72</v>
      </c>
      <c r="D501" s="3" t="n">
        <f aca="false">COUNTIFS(Market_Panel!$A$2:$A$2705,B501,Market_Panel!$B$2:$B$2705,"&gt;="&amp;$B$20,Market_Panel!$B$2:$B$2705,"&lt;="&amp;$C$20)</f>
        <v>10</v>
      </c>
      <c r="E501" s="10" t="n">
        <f aca="false">IF(D501=0,"",AVERAGEIFS(Market_Panel!$M$2:$M$2705,Market_Panel!$A$2:$A$2705,B501,Market_Panel!$B$2:$B$2705,"&gt;="&amp;$B$20,Market_Panel!$B$2:$B$2705,"&lt;="&amp;$C$20))</f>
        <v>-0.0361336473970954</v>
      </c>
      <c r="F501" s="11" t="n">
        <f aca="false">IF(D501=0,"",AVERAGEIFS(Market_Panel!$P$2:$P$2705,Market_Panel!$A$2:$A$2705,B501,Market_Panel!$B$2:$B$2705,"&gt;="&amp;$B$20,Market_Panel!$B$2:$B$2705,"&lt;="&amp;$C$20))</f>
        <v>-0.261291521412114</v>
      </c>
      <c r="G501" s="11" t="n">
        <f aca="false">IF(D501=0,"",AVERAGEIFS(Market_Panel!$R$2:$R$2705,Market_Panel!$A$2:$A$2705,B501,Market_Panel!$B$2:$B$2705,"&gt;="&amp;$B$20,Market_Panel!$B$2:$B$2705,"&lt;="&amp;$C$20))</f>
        <v>0</v>
      </c>
      <c r="H501" s="11" t="n">
        <f aca="false">IF(OR(D501=0,$H$20=0),0,AVERAGEIFS(Market_Panel!$Y$2:$Y$2705,Market_Panel!$A$2:$A$2705,B501,Market_Panel!$B$2:$B$2705,"&gt;="&amp;$B$20,Market_Panel!$B$2:$B$2705,"&lt;="&amp;$C$20))</f>
        <v>-0.0337931166293338</v>
      </c>
      <c r="I501" s="10" t="n">
        <f aca="false">IF(D501=0,"",$I$20+$F$20*F501+$G$20*G501+$H$20*H501)</f>
        <v>-0.000567229708064912</v>
      </c>
      <c r="J501" s="5" t="n">
        <f aca="false">IF(D501&lt;5,"",(E501-I501)*162)</f>
        <v>-5.76175966562295</v>
      </c>
      <c r="K501" s="5" t="n">
        <f aca="false">IF(D501=0,"",E501*162)</f>
        <v>-5.85365087832946</v>
      </c>
      <c r="L501" s="3" t="n">
        <f aca="false">SUMIFS(Seasons!$L$2:$L$2865,Seasons!$A$2:$A$2865,B501,Seasons!$B$2:$B$2865,"&gt;="&amp;$B$20,Seasons!$B$2:$B$2865,"&lt;="&amp;$C$20)</f>
        <v>2</v>
      </c>
      <c r="M501" s="3" t="n">
        <f aca="false">SUMIFS(Seasons!$N$2:$N$2865,Seasons!$A$2:$A$2865,B501,Seasons!$B$2:$B$2865,"&gt;="&amp;$B$20,Seasons!$B$2:$B$2865,"&lt;="&amp;$C$20)</f>
        <v>0</v>
      </c>
      <c r="N501" s="3" t="n">
        <f aca="false">IF(J501="",-1000000,J501+ROW()*0.000000001)</f>
        <v>-5.76175916462295</v>
      </c>
      <c r="O501" s="3" t="n">
        <f aca="false">IF(J501="","",SUMPRODUCT(($A$25:$A$534=A501)*($N$25:$N$534&gt;N501))+1)</f>
        <v>27</v>
      </c>
      <c r="P501" s="3" t="str">
        <f aca="false">A501&amp;"|"&amp;O501</f>
        <v>2010s payroll-adj|27</v>
      </c>
    </row>
    <row r="502" customFormat="false" ht="15" hidden="false" customHeight="true" outlineLevel="0" collapsed="false">
      <c r="A502" s="1" t="s">
        <v>24</v>
      </c>
      <c r="B502" s="7" t="s">
        <v>83</v>
      </c>
      <c r="C502" s="1" t="s">
        <v>72</v>
      </c>
      <c r="D502" s="3" t="n">
        <f aca="false">COUNTIFS(Market_Panel!$A$2:$A$2705,B502,Market_Panel!$B$2:$B$2705,"&gt;="&amp;$B$20,Market_Panel!$B$2:$B$2705,"&lt;="&amp;$C$20)</f>
        <v>10</v>
      </c>
      <c r="E502" s="10" t="n">
        <f aca="false">IF(D502=0,"",AVERAGEIFS(Market_Panel!$M$2:$M$2705,Market_Panel!$A$2:$A$2705,B502,Market_Panel!$B$2:$B$2705,"&gt;="&amp;$B$20,Market_Panel!$B$2:$B$2705,"&lt;="&amp;$C$20))</f>
        <v>-0.0630223697512753</v>
      </c>
      <c r="F502" s="11" t="n">
        <f aca="false">IF(D502=0,"",AVERAGEIFS(Market_Panel!$P$2:$P$2705,Market_Panel!$A$2:$A$2705,B502,Market_Panel!$B$2:$B$2705,"&gt;="&amp;$B$20,Market_Panel!$B$2:$B$2705,"&lt;="&amp;$C$20))</f>
        <v>-0.70171009112453</v>
      </c>
      <c r="G502" s="11" t="n">
        <f aca="false">IF(D502=0,"",AVERAGEIFS(Market_Panel!$R$2:$R$2705,Market_Panel!$A$2:$A$2705,B502,Market_Panel!$B$2:$B$2705,"&gt;="&amp;$B$20,Market_Panel!$B$2:$B$2705,"&lt;="&amp;$C$20))</f>
        <v>0</v>
      </c>
      <c r="H502" s="11" t="n">
        <f aca="false">IF(OR(D502=0,$H$20=0),0,AVERAGEIFS(Market_Panel!$Y$2:$Y$2705,Market_Panel!$A$2:$A$2705,B502,Market_Panel!$B$2:$B$2705,"&gt;="&amp;$B$20,Market_Panel!$B$2:$B$2705,"&lt;="&amp;$C$20))</f>
        <v>-0.42912850856349</v>
      </c>
      <c r="I502" s="10" t="n">
        <f aca="false">IF(D502=0,"",$I$20+$F$20*F502+$G$20*G502+$H$20*H502)</f>
        <v>-0.0258796313041243</v>
      </c>
      <c r="J502" s="5" t="n">
        <f aca="false">IF(D502&lt;5,"",(E502-I502)*162)</f>
        <v>-6.01712362843846</v>
      </c>
      <c r="K502" s="5" t="n">
        <f aca="false">IF(D502=0,"",E502*162)</f>
        <v>-10.2096238997066</v>
      </c>
      <c r="L502" s="3" t="n">
        <f aca="false">SUMIFS(Seasons!$L$2:$L$2865,Seasons!$A$2:$A$2865,B502,Seasons!$B$2:$B$2865,"&gt;="&amp;$B$20,Seasons!$B$2:$B$2865,"&lt;="&amp;$C$20)</f>
        <v>0</v>
      </c>
      <c r="M502" s="3" t="n">
        <f aca="false">SUMIFS(Seasons!$N$2:$N$2865,Seasons!$A$2:$A$2865,B502,Seasons!$B$2:$B$2865,"&gt;="&amp;$B$20,Seasons!$B$2:$B$2865,"&lt;="&amp;$C$20)</f>
        <v>0</v>
      </c>
      <c r="N502" s="3" t="n">
        <f aca="false">IF(J502="",-1000000,J502+ROW()*0.000000001)</f>
        <v>-6.01712312643846</v>
      </c>
      <c r="O502" s="3" t="n">
        <f aca="false">IF(J502="","",SUMPRODUCT(($A$25:$A$534=A502)*($N$25:$N$534&gt;N502))+1)</f>
        <v>29</v>
      </c>
      <c r="P502" s="3" t="str">
        <f aca="false">A502&amp;"|"&amp;O502</f>
        <v>2010s payroll-adj|29</v>
      </c>
    </row>
    <row r="503" customFormat="false" ht="15" hidden="false" customHeight="true" outlineLevel="0" collapsed="false">
      <c r="A503" s="1" t="s">
        <v>24</v>
      </c>
      <c r="B503" s="7" t="s">
        <v>84</v>
      </c>
      <c r="C503" s="1" t="s">
        <v>72</v>
      </c>
      <c r="D503" s="3" t="n">
        <f aca="false">COUNTIFS(Market_Panel!$A$2:$A$2705,B503,Market_Panel!$B$2:$B$2705,"&gt;="&amp;$B$20,Market_Panel!$B$2:$B$2705,"&lt;="&amp;$C$20)</f>
        <v>10</v>
      </c>
      <c r="E503" s="10" t="n">
        <f aca="false">IF(D503=0,"",AVERAGEIFS(Market_Panel!$M$2:$M$2705,Market_Panel!$A$2:$A$2705,B503,Market_Panel!$B$2:$B$2705,"&gt;="&amp;$B$20,Market_Panel!$B$2:$B$2705,"&lt;="&amp;$C$20))</f>
        <v>-0.0104803867745097</v>
      </c>
      <c r="F503" s="11" t="n">
        <f aca="false">IF(D503=0,"",AVERAGEIFS(Market_Panel!$P$2:$P$2705,Market_Panel!$A$2:$A$2705,B503,Market_Panel!$B$2:$B$2705,"&gt;="&amp;$B$20,Market_Panel!$B$2:$B$2705,"&lt;="&amp;$C$20))</f>
        <v>0.586637629437051</v>
      </c>
      <c r="G503" s="11" t="n">
        <f aca="false">IF(D503=0,"",AVERAGEIFS(Market_Panel!$R$2:$R$2705,Market_Panel!$A$2:$A$2705,B503,Market_Panel!$B$2:$B$2705,"&gt;="&amp;$B$20,Market_Panel!$B$2:$B$2705,"&lt;="&amp;$C$20))</f>
        <v>0</v>
      </c>
      <c r="H503" s="11" t="n">
        <f aca="false">IF(OR(D503=0,$H$20=0),0,AVERAGEIFS(Market_Panel!$Y$2:$Y$2705,Market_Panel!$A$2:$A$2705,B503,Market_Panel!$B$2:$B$2705,"&gt;="&amp;$B$20,Market_Panel!$B$2:$B$2705,"&lt;="&amp;$C$20))</f>
        <v>-0.218076857357682</v>
      </c>
      <c r="I503" s="10" t="n">
        <f aca="false">IF(D503=0,"",$I$20+$F$20*F503+$G$20*G503+$H$20*H503)</f>
        <v>-0.0198848475216215</v>
      </c>
      <c r="J503" s="5" t="n">
        <f aca="false">IF(D503&lt;5,"",(E503-I503)*162)</f>
        <v>1.52352264103212</v>
      </c>
      <c r="K503" s="5" t="n">
        <f aca="false">IF(D503=0,"",E503*162)</f>
        <v>-1.69782265747056</v>
      </c>
      <c r="L503" s="3" t="n">
        <f aca="false">SUMIFS(Seasons!$L$2:$L$2865,Seasons!$A$2:$A$2865,B503,Seasons!$B$2:$B$2865,"&gt;="&amp;$B$20,Seasons!$B$2:$B$2865,"&lt;="&amp;$C$20)</f>
        <v>2</v>
      </c>
      <c r="M503" s="3" t="n">
        <f aca="false">SUMIFS(Seasons!$N$2:$N$2865,Seasons!$A$2:$A$2865,B503,Seasons!$B$2:$B$2865,"&gt;="&amp;$B$20,Seasons!$B$2:$B$2865,"&lt;="&amp;$C$20)</f>
        <v>0</v>
      </c>
      <c r="N503" s="3" t="n">
        <f aca="false">IF(J503="",-1000000,J503+ROW()*0.000000001)</f>
        <v>1.52352314403212</v>
      </c>
      <c r="O503" s="3" t="n">
        <f aca="false">IF(J503="","",SUMPRODUCT(($A$25:$A$534=A503)*($N$25:$N$534&gt;N503))+1)</f>
        <v>12</v>
      </c>
      <c r="P503" s="3" t="str">
        <f aca="false">A503&amp;"|"&amp;O503</f>
        <v>2010s payroll-adj|12</v>
      </c>
    </row>
    <row r="504" customFormat="false" ht="15" hidden="false" customHeight="true" outlineLevel="0" collapsed="false">
      <c r="A504" s="1" t="s">
        <v>24</v>
      </c>
      <c r="B504" s="7" t="s">
        <v>85</v>
      </c>
      <c r="C504" s="1" t="s">
        <v>72</v>
      </c>
      <c r="D504" s="3" t="n">
        <f aca="false">COUNTIFS(Market_Panel!$A$2:$A$2705,B504,Market_Panel!$B$2:$B$2705,"&gt;="&amp;$B$20,Market_Panel!$B$2:$B$2705,"&lt;="&amp;$C$20)</f>
        <v>10</v>
      </c>
      <c r="E504" s="10" t="n">
        <f aca="false">IF(D504=0,"",AVERAGEIFS(Market_Panel!$M$2:$M$2705,Market_Panel!$A$2:$A$2705,B504,Market_Panel!$B$2:$B$2705,"&gt;="&amp;$B$20,Market_Panel!$B$2:$B$2705,"&lt;="&amp;$C$20))</f>
        <v>0.0305292322514693</v>
      </c>
      <c r="F504" s="11" t="n">
        <f aca="false">IF(D504=0,"",AVERAGEIFS(Market_Panel!$P$2:$P$2705,Market_Panel!$A$2:$A$2705,B504,Market_Panel!$B$2:$B$2705,"&gt;="&amp;$B$20,Market_Panel!$B$2:$B$2705,"&lt;="&amp;$C$20))</f>
        <v>-0.859757033758997</v>
      </c>
      <c r="G504" s="11" t="n">
        <f aca="false">IF(D504=0,"",AVERAGEIFS(Market_Panel!$R$2:$R$2705,Market_Panel!$A$2:$A$2705,B504,Market_Panel!$B$2:$B$2705,"&gt;="&amp;$B$20,Market_Panel!$B$2:$B$2705,"&lt;="&amp;$C$20))</f>
        <v>0</v>
      </c>
      <c r="H504" s="11" t="n">
        <f aca="false">IF(OR(D504=0,$H$20=0),0,AVERAGEIFS(Market_Panel!$Y$2:$Y$2705,Market_Panel!$A$2:$A$2705,B504,Market_Panel!$B$2:$B$2705,"&gt;="&amp;$B$20,Market_Panel!$B$2:$B$2705,"&lt;="&amp;$C$20))</f>
        <v>-0.504039657790165</v>
      </c>
      <c r="I504" s="10" t="n">
        <f aca="false">IF(D504=0,"",$I$20+$F$20*F504+$G$20*G504+$H$20*H504)</f>
        <v>-0.0301435421376816</v>
      </c>
      <c r="J504" s="5" t="n">
        <f aca="false">IF(D504&lt;5,"",(E504-I504)*162)</f>
        <v>9.82898945104245</v>
      </c>
      <c r="K504" s="5" t="n">
        <f aca="false">IF(D504=0,"",E504*162)</f>
        <v>4.94573562473802</v>
      </c>
      <c r="L504" s="3" t="n">
        <f aca="false">SUMIFS(Seasons!$L$2:$L$2865,Seasons!$A$2:$A$2865,B504,Seasons!$B$2:$B$2865,"&gt;="&amp;$B$20,Seasons!$B$2:$B$2865,"&lt;="&amp;$C$20)</f>
        <v>4</v>
      </c>
      <c r="M504" s="3" t="n">
        <f aca="false">SUMIFS(Seasons!$N$2:$N$2865,Seasons!$A$2:$A$2865,B504,Seasons!$B$2:$B$2865,"&gt;="&amp;$B$20,Seasons!$B$2:$B$2865,"&lt;="&amp;$C$20)</f>
        <v>0</v>
      </c>
      <c r="N504" s="3" t="n">
        <f aca="false">IF(J504="",-1000000,J504+ROW()*0.000000001)</f>
        <v>9.82898995504245</v>
      </c>
      <c r="O504" s="3" t="n">
        <f aca="false">IF(J504="","",SUMPRODUCT(($A$25:$A$534=A504)*($N$25:$N$534&gt;N504))+1)</f>
        <v>1</v>
      </c>
      <c r="P504" s="3" t="str">
        <f aca="false">A504&amp;"|"&amp;O504</f>
        <v>2010s payroll-adj|1</v>
      </c>
    </row>
    <row r="505" customFormat="false" ht="15" hidden="false" customHeight="true" outlineLevel="0" collapsed="false">
      <c r="A505" s="1" t="s">
        <v>25</v>
      </c>
      <c r="B505" s="7" t="s">
        <v>54</v>
      </c>
      <c r="C505" s="1" t="s">
        <v>55</v>
      </c>
      <c r="D505" s="3" t="n">
        <f aca="false">COUNTIFS(Market_Panel!$A$2:$A$2705,B505,Market_Panel!$B$2:$B$2705,"&gt;="&amp;$B$21,Market_Panel!$B$2:$B$2705,"&lt;="&amp;$C$21)</f>
        <v>6</v>
      </c>
      <c r="E505" s="10" t="n">
        <f aca="false">IF(D505=0,"",AVERAGEIFS(Market_Panel!$M$2:$M$2705,Market_Panel!$A$2:$A$2705,B505,Market_Panel!$B$2:$B$2705,"&gt;="&amp;$B$21,Market_Panel!$B$2:$B$2705,"&lt;="&amp;$C$21))</f>
        <v>0.0689896710962567</v>
      </c>
      <c r="F505" s="11" t="n">
        <f aca="false">IF(D505=0,"",AVERAGEIFS(Market_Panel!$P$2:$P$2705,Market_Panel!$A$2:$A$2705,B505,Market_Panel!$B$2:$B$2705,"&gt;="&amp;$B$21,Market_Panel!$B$2:$B$2705,"&lt;="&amp;$C$21))</f>
        <v>-0.5592315387639</v>
      </c>
      <c r="G505" s="11" t="n">
        <f aca="false">IF(D505=0,"",AVERAGEIFS(Market_Panel!$R$2:$R$2705,Market_Panel!$A$2:$A$2705,B505,Market_Panel!$B$2:$B$2705,"&gt;="&amp;$B$21,Market_Panel!$B$2:$B$2705,"&lt;="&amp;$C$21))</f>
        <v>0</v>
      </c>
      <c r="H505" s="11" t="n">
        <f aca="false">IF(OR(D505=0,$H$21=0),0,AVERAGEIFS(Market_Panel!$Y$2:$Y$2705,Market_Panel!$A$2:$A$2705,B505,Market_Panel!$B$2:$B$2705,"&gt;="&amp;$B$21,Market_Panel!$B$2:$B$2705,"&lt;="&amp;$C$21))</f>
        <v>0.274493785454982</v>
      </c>
      <c r="I505" s="10" t="n">
        <f aca="false">IF(D505=0,"",$I$21+$F$21*F505+$G$21*G505+$H$21*H505)</f>
        <v>0.0299415975577898</v>
      </c>
      <c r="J505" s="5" t="n">
        <f aca="false">IF(D505&lt;5,"",(E505-I505)*162)</f>
        <v>6.32578791323163</v>
      </c>
      <c r="K505" s="5" t="n">
        <f aca="false">IF(D505=0,"",E505*162)</f>
        <v>11.1763267175936</v>
      </c>
      <c r="L505" s="3" t="n">
        <f aca="false">SUMIFS(Seasons!$L$2:$L$2865,Seasons!$A$2:$A$2865,B505,Seasons!$B$2:$B$2865,"&gt;="&amp;$B$21,Seasons!$B$2:$B$2865,"&lt;="&amp;$C$21)</f>
        <v>5</v>
      </c>
      <c r="M505" s="3" t="n">
        <f aca="false">SUMIFS(Seasons!$N$2:$N$2865,Seasons!$A$2:$A$2865,B505,Seasons!$B$2:$B$2865,"&gt;="&amp;$B$21,Seasons!$B$2:$B$2865,"&lt;="&amp;$C$21)</f>
        <v>1</v>
      </c>
      <c r="N505" s="3" t="n">
        <f aca="false">IF(J505="",-1000000,J505+ROW()*0.000000001)</f>
        <v>6.32578841823163</v>
      </c>
      <c r="O505" s="3" t="n">
        <f aca="false">IF(J505="","",SUMPRODUCT(($A$25:$A$534=A505)*($N$25:$N$534&gt;N505))+1)</f>
        <v>6</v>
      </c>
      <c r="P505" s="3" t="str">
        <f aca="false">A505&amp;"|"&amp;O505</f>
        <v>2020s payroll-adj|6</v>
      </c>
    </row>
    <row r="506" customFormat="false" ht="15" hidden="false" customHeight="true" outlineLevel="0" collapsed="false">
      <c r="A506" s="1" t="s">
        <v>25</v>
      </c>
      <c r="B506" s="7" t="s">
        <v>56</v>
      </c>
      <c r="C506" s="1" t="s">
        <v>55</v>
      </c>
      <c r="D506" s="3" t="n">
        <f aca="false">COUNTIFS(Market_Panel!$A$2:$A$2705,B506,Market_Panel!$B$2:$B$2705,"&gt;="&amp;$B$21,Market_Panel!$B$2:$B$2705,"&lt;="&amp;$C$21)</f>
        <v>6</v>
      </c>
      <c r="E506" s="10" t="n">
        <f aca="false">IF(D506=0,"",AVERAGEIFS(Market_Panel!$M$2:$M$2705,Market_Panel!$A$2:$A$2705,B506,Market_Panel!$B$2:$B$2705,"&gt;="&amp;$B$21,Market_Panel!$B$2:$B$2705,"&lt;="&amp;$C$21))</f>
        <v>0.0090652021138167</v>
      </c>
      <c r="F506" s="11" t="n">
        <f aca="false">IF(D506=0,"",AVERAGEIFS(Market_Panel!$P$2:$P$2705,Market_Panel!$A$2:$A$2705,B506,Market_Panel!$B$2:$B$2705,"&gt;="&amp;$B$21,Market_Panel!$B$2:$B$2705,"&lt;="&amp;$C$21))</f>
        <v>0.453628363150779</v>
      </c>
      <c r="G506" s="11" t="n">
        <f aca="false">IF(D506=0,"",AVERAGEIFS(Market_Panel!$R$2:$R$2705,Market_Panel!$A$2:$A$2705,B506,Market_Panel!$B$2:$B$2705,"&gt;="&amp;$B$21,Market_Panel!$B$2:$B$2705,"&lt;="&amp;$C$21))</f>
        <v>0</v>
      </c>
      <c r="H506" s="11" t="n">
        <f aca="false">IF(OR(D506=0,$H$21=0),0,AVERAGEIFS(Market_Panel!$Y$2:$Y$2705,Market_Panel!$A$2:$A$2705,B506,Market_Panel!$B$2:$B$2705,"&gt;="&amp;$B$21,Market_Panel!$B$2:$B$2705,"&lt;="&amp;$C$21))</f>
        <v>0.256763436673221</v>
      </c>
      <c r="I506" s="10" t="n">
        <f aca="false">IF(D506=0,"",$I$21+$F$21*F506+$G$21*G506+$H$21*H506)</f>
        <v>0.0160172815249426</v>
      </c>
      <c r="J506" s="5" t="n">
        <f aca="false">IF(D506&lt;5,"",(E506-I506)*162)</f>
        <v>-1.12623686460239</v>
      </c>
      <c r="K506" s="5" t="n">
        <f aca="false">IF(D506=0,"",E506*162)</f>
        <v>1.46856274243831</v>
      </c>
      <c r="L506" s="3" t="n">
        <f aca="false">SUMIFS(Seasons!$L$2:$L$2865,Seasons!$A$2:$A$2865,B506,Seasons!$B$2:$B$2865,"&gt;="&amp;$B$21,Seasons!$B$2:$B$2865,"&lt;="&amp;$C$21)</f>
        <v>2</v>
      </c>
      <c r="M506" s="3" t="n">
        <f aca="false">SUMIFS(Seasons!$N$2:$N$2865,Seasons!$A$2:$A$2865,B506,Seasons!$B$2:$B$2865,"&gt;="&amp;$B$21,Seasons!$B$2:$B$2865,"&lt;="&amp;$C$21)</f>
        <v>0</v>
      </c>
      <c r="N506" s="3" t="n">
        <f aca="false">IF(J506="",-1000000,J506+ROW()*0.000000001)</f>
        <v>-1.12623635860239</v>
      </c>
      <c r="O506" s="3" t="n">
        <f aca="false">IF(J506="","",SUMPRODUCT(($A$25:$A$534=A506)*($N$25:$N$534&gt;N506))+1)</f>
        <v>17</v>
      </c>
      <c r="P506" s="3" t="str">
        <f aca="false">A506&amp;"|"&amp;O506</f>
        <v>2020s payroll-adj|17</v>
      </c>
    </row>
    <row r="507" customFormat="false" ht="15" hidden="false" customHeight="true" outlineLevel="0" collapsed="false">
      <c r="A507" s="1" t="s">
        <v>25</v>
      </c>
      <c r="B507" s="7" t="s">
        <v>57</v>
      </c>
      <c r="C507" s="1" t="s">
        <v>55</v>
      </c>
      <c r="D507" s="3" t="n">
        <f aca="false">COUNTIFS(Market_Panel!$A$2:$A$2705,B507,Market_Panel!$B$2:$B$2705,"&gt;="&amp;$B$21,Market_Panel!$B$2:$B$2705,"&lt;="&amp;$C$21)</f>
        <v>6</v>
      </c>
      <c r="E507" s="10" t="n">
        <f aca="false">IF(D507=0,"",AVERAGEIFS(Market_Panel!$M$2:$M$2705,Market_Panel!$A$2:$A$2705,B507,Market_Panel!$B$2:$B$2705,"&gt;="&amp;$B$21,Market_Panel!$B$2:$B$2705,"&lt;="&amp;$C$21))</f>
        <v>-0.0157290365693109</v>
      </c>
      <c r="F507" s="11" t="n">
        <f aca="false">IF(D507=0,"",AVERAGEIFS(Market_Panel!$P$2:$P$2705,Market_Panel!$A$2:$A$2705,B507,Market_Panel!$B$2:$B$2705,"&gt;="&amp;$B$21,Market_Panel!$B$2:$B$2705,"&lt;="&amp;$C$21))</f>
        <v>-1.03689968806707</v>
      </c>
      <c r="G507" s="11" t="n">
        <f aca="false">IF(D507=0,"",AVERAGEIFS(Market_Panel!$R$2:$R$2705,Market_Panel!$A$2:$A$2705,B507,Market_Panel!$B$2:$B$2705,"&gt;="&amp;$B$21,Market_Panel!$B$2:$B$2705,"&lt;="&amp;$C$21))</f>
        <v>0</v>
      </c>
      <c r="H507" s="11" t="n">
        <f aca="false">IF(OR(D507=0,$H$21=0),0,AVERAGEIFS(Market_Panel!$Y$2:$Y$2705,Market_Panel!$A$2:$A$2705,B507,Market_Panel!$B$2:$B$2705,"&gt;="&amp;$B$21,Market_Panel!$B$2:$B$2705,"&lt;="&amp;$C$21))</f>
        <v>-0.21268816291014</v>
      </c>
      <c r="I507" s="10" t="n">
        <f aca="false">IF(D507=0,"",$I$21+$F$21*F507+$G$21*G507+$H$21*H507)</f>
        <v>-0.00515173481202649</v>
      </c>
      <c r="J507" s="5" t="n">
        <f aca="false">IF(D507&lt;5,"",(E507-I507)*162)</f>
        <v>-1.71352288468007</v>
      </c>
      <c r="K507" s="5" t="n">
        <f aca="false">IF(D507=0,"",E507*162)</f>
        <v>-2.54810392422836</v>
      </c>
      <c r="L507" s="3" t="n">
        <f aca="false">SUMIFS(Seasons!$L$2:$L$2865,Seasons!$A$2:$A$2865,B507,Seasons!$B$2:$B$2865,"&gt;="&amp;$B$21,Seasons!$B$2:$B$2865,"&lt;="&amp;$C$21)</f>
        <v>2</v>
      </c>
      <c r="M507" s="3" t="n">
        <f aca="false">SUMIFS(Seasons!$N$2:$N$2865,Seasons!$A$2:$A$2865,B507,Seasons!$B$2:$B$2865,"&gt;="&amp;$B$21,Seasons!$B$2:$B$2865,"&lt;="&amp;$C$21)</f>
        <v>0</v>
      </c>
      <c r="N507" s="3" t="n">
        <f aca="false">IF(J507="",-1000000,J507+ROW()*0.000000001)</f>
        <v>-1.71352237768007</v>
      </c>
      <c r="O507" s="3" t="n">
        <f aca="false">IF(J507="","",SUMPRODUCT(($A$25:$A$534=A507)*($N$25:$N$534&gt;N507))+1)</f>
        <v>19</v>
      </c>
      <c r="P507" s="3" t="str">
        <f aca="false">A507&amp;"|"&amp;O507</f>
        <v>2020s payroll-adj|19</v>
      </c>
    </row>
    <row r="508" customFormat="false" ht="15" hidden="false" customHeight="true" outlineLevel="0" collapsed="false">
      <c r="A508" s="1" t="s">
        <v>25</v>
      </c>
      <c r="B508" s="7" t="s">
        <v>58</v>
      </c>
      <c r="C508" s="1" t="s">
        <v>55</v>
      </c>
      <c r="D508" s="3" t="n">
        <f aca="false">COUNTIFS(Market_Panel!$A$2:$A$2705,B508,Market_Panel!$B$2:$B$2705,"&gt;="&amp;$B$21,Market_Panel!$B$2:$B$2705,"&lt;="&amp;$C$21)</f>
        <v>6</v>
      </c>
      <c r="E508" s="10" t="n">
        <f aca="false">IF(D508=0,"",AVERAGEIFS(Market_Panel!$M$2:$M$2705,Market_Panel!$A$2:$A$2705,B508,Market_Panel!$B$2:$B$2705,"&gt;="&amp;$B$21,Market_Panel!$B$2:$B$2705,"&lt;="&amp;$C$21))</f>
        <v>-0.091243439861492</v>
      </c>
      <c r="F508" s="11" t="n">
        <f aca="false">IF(D508=0,"",AVERAGEIFS(Market_Panel!$P$2:$P$2705,Market_Panel!$A$2:$A$2705,B508,Market_Panel!$B$2:$B$2705,"&gt;="&amp;$B$21,Market_Panel!$B$2:$B$2705,"&lt;="&amp;$C$21))</f>
        <v>-1.057629237709</v>
      </c>
      <c r="G508" s="11" t="n">
        <f aca="false">IF(D508=0,"",AVERAGEIFS(Market_Panel!$R$2:$R$2705,Market_Panel!$A$2:$A$2705,B508,Market_Panel!$B$2:$B$2705,"&gt;="&amp;$B$21,Market_Panel!$B$2:$B$2705,"&lt;="&amp;$C$21))</f>
        <v>0</v>
      </c>
      <c r="H508" s="11" t="n">
        <f aca="false">IF(OR(D508=0,$H$21=0),0,AVERAGEIFS(Market_Panel!$Y$2:$Y$2705,Market_Panel!$A$2:$A$2705,B508,Market_Panel!$B$2:$B$2705,"&gt;="&amp;$B$21,Market_Panel!$B$2:$B$2705,"&lt;="&amp;$C$21))</f>
        <v>-0.735041778484469</v>
      </c>
      <c r="I508" s="10" t="n">
        <f aca="false">IF(D508=0,"",$I$21+$F$21*F508+$G$21*G508+$H$21*H508)</f>
        <v>-0.0488112485424658</v>
      </c>
      <c r="J508" s="5" t="n">
        <f aca="false">IF(D508&lt;5,"",(E508-I508)*162)</f>
        <v>-6.87401499368225</v>
      </c>
      <c r="K508" s="5" t="n">
        <f aca="false">IF(D508=0,"",E508*162)</f>
        <v>-14.7814372575617</v>
      </c>
      <c r="L508" s="3" t="n">
        <f aca="false">SUMIFS(Seasons!$L$2:$L$2865,Seasons!$A$2:$A$2865,B508,Seasons!$B$2:$B$2865,"&gt;="&amp;$B$21,Seasons!$B$2:$B$2865,"&lt;="&amp;$C$21)</f>
        <v>0</v>
      </c>
      <c r="M508" s="3" t="n">
        <f aca="false">SUMIFS(Seasons!$N$2:$N$2865,Seasons!$A$2:$A$2865,B508,Seasons!$B$2:$B$2865,"&gt;="&amp;$B$21,Seasons!$B$2:$B$2865,"&lt;="&amp;$C$21)</f>
        <v>0</v>
      </c>
      <c r="N508" s="3" t="n">
        <f aca="false">IF(J508="",-1000000,J508+ROW()*0.000000001)</f>
        <v>-6.87401448568224</v>
      </c>
      <c r="O508" s="3" t="n">
        <f aca="false">IF(J508="","",SUMPRODUCT(($A$25:$A$534=A508)*($N$25:$N$534&gt;N508))+1)</f>
        <v>25</v>
      </c>
      <c r="P508" s="3" t="str">
        <f aca="false">A508&amp;"|"&amp;O508</f>
        <v>2020s payroll-adj|25</v>
      </c>
    </row>
    <row r="509" customFormat="false" ht="15" hidden="false" customHeight="true" outlineLevel="0" collapsed="false">
      <c r="A509" s="1" t="s">
        <v>25</v>
      </c>
      <c r="B509" s="7" t="s">
        <v>59</v>
      </c>
      <c r="C509" s="1" t="s">
        <v>55</v>
      </c>
      <c r="D509" s="3" t="n">
        <f aca="false">COUNTIFS(Market_Panel!$A$2:$A$2705,B509,Market_Panel!$B$2:$B$2705,"&gt;="&amp;$B$21,Market_Panel!$B$2:$B$2705,"&lt;="&amp;$C$21)</f>
        <v>6</v>
      </c>
      <c r="E509" s="10" t="n">
        <f aca="false">IF(D509=0,"",AVERAGEIFS(Market_Panel!$M$2:$M$2705,Market_Panel!$A$2:$A$2705,B509,Market_Panel!$B$2:$B$2705,"&gt;="&amp;$B$21,Market_Panel!$B$2:$B$2705,"&lt;="&amp;$C$21))</f>
        <v>0.0131733332334421</v>
      </c>
      <c r="F509" s="11" t="n">
        <f aca="false">IF(D509=0,"",AVERAGEIFS(Market_Panel!$P$2:$P$2705,Market_Panel!$A$2:$A$2705,B509,Market_Panel!$B$2:$B$2705,"&gt;="&amp;$B$21,Market_Panel!$B$2:$B$2705,"&lt;="&amp;$C$21))</f>
        <v>-1.06223763989081</v>
      </c>
      <c r="G509" s="11" t="n">
        <f aca="false">IF(D509=0,"",AVERAGEIFS(Market_Panel!$R$2:$R$2705,Market_Panel!$A$2:$A$2705,B509,Market_Panel!$B$2:$B$2705,"&gt;="&amp;$B$21,Market_Panel!$B$2:$B$2705,"&lt;="&amp;$C$21))</f>
        <v>0</v>
      </c>
      <c r="H509" s="11" t="n">
        <f aca="false">IF(OR(D509=0,$H$21=0),0,AVERAGEIFS(Market_Panel!$Y$2:$Y$2705,Market_Panel!$A$2:$A$2705,B509,Market_Panel!$B$2:$B$2705,"&gt;="&amp;$B$21,Market_Panel!$B$2:$B$2705,"&lt;="&amp;$C$21))</f>
        <v>0.123048172983459</v>
      </c>
      <c r="I509" s="10" t="n">
        <f aca="false">IF(D509=0,"",$I$21+$F$21*F509+$G$21*G509+$H$21*H509)</f>
        <v>0.0233844833847316</v>
      </c>
      <c r="J509" s="5" t="n">
        <f aca="false">IF(D509&lt;5,"",(E509-I509)*162)</f>
        <v>-1.65420632450891</v>
      </c>
      <c r="K509" s="5" t="n">
        <f aca="false">IF(D509=0,"",E509*162)</f>
        <v>2.13407998381762</v>
      </c>
      <c r="L509" s="3" t="n">
        <f aca="false">SUMIFS(Seasons!$L$2:$L$2865,Seasons!$A$2:$A$2865,B509,Seasons!$B$2:$B$2865,"&gt;="&amp;$B$21,Seasons!$B$2:$B$2865,"&lt;="&amp;$C$21)</f>
        <v>3</v>
      </c>
      <c r="M509" s="3" t="n">
        <f aca="false">SUMIFS(Seasons!$N$2:$N$2865,Seasons!$A$2:$A$2865,B509,Seasons!$B$2:$B$2865,"&gt;="&amp;$B$21,Seasons!$B$2:$B$2865,"&lt;="&amp;$C$21)</f>
        <v>0</v>
      </c>
      <c r="N509" s="3" t="n">
        <f aca="false">IF(J509="",-1000000,J509+ROW()*0.000000001)</f>
        <v>-1.65420581550891</v>
      </c>
      <c r="O509" s="3" t="n">
        <f aca="false">IF(J509="","",SUMPRODUCT(($A$25:$A$534=A509)*($N$25:$N$534&gt;N509))+1)</f>
        <v>18</v>
      </c>
      <c r="P509" s="3" t="str">
        <f aca="false">A509&amp;"|"&amp;O509</f>
        <v>2020s payroll-adj|18</v>
      </c>
    </row>
    <row r="510" customFormat="false" ht="15" hidden="false" customHeight="true" outlineLevel="0" collapsed="false">
      <c r="A510" s="1" t="s">
        <v>25</v>
      </c>
      <c r="B510" s="7" t="s">
        <v>60</v>
      </c>
      <c r="C510" s="1" t="s">
        <v>55</v>
      </c>
      <c r="D510" s="3" t="n">
        <f aca="false">COUNTIFS(Market_Panel!$A$2:$A$2705,B510,Market_Panel!$B$2:$B$2705,"&gt;="&amp;$B$21,Market_Panel!$B$2:$B$2705,"&lt;="&amp;$C$21)</f>
        <v>6</v>
      </c>
      <c r="E510" s="10" t="n">
        <f aca="false">IF(D510=0,"",AVERAGEIFS(Market_Panel!$M$2:$M$2705,Market_Panel!$A$2:$A$2705,B510,Market_Panel!$B$2:$B$2705,"&gt;="&amp;$B$21,Market_Panel!$B$2:$B$2705,"&lt;="&amp;$C$21))</f>
        <v>0.0407524449121706</v>
      </c>
      <c r="F510" s="11" t="n">
        <f aca="false">IF(D510=0,"",AVERAGEIFS(Market_Panel!$P$2:$P$2705,Market_Panel!$A$2:$A$2705,B510,Market_Panel!$B$2:$B$2705,"&gt;="&amp;$B$21,Market_Panel!$B$2:$B$2705,"&lt;="&amp;$C$21))</f>
        <v>0.608862892746789</v>
      </c>
      <c r="G510" s="11" t="n">
        <f aca="false">IF(D510=0,"",AVERAGEIFS(Market_Panel!$R$2:$R$2705,Market_Panel!$A$2:$A$2705,B510,Market_Panel!$B$2:$B$2705,"&gt;="&amp;$B$21,Market_Panel!$B$2:$B$2705,"&lt;="&amp;$C$21))</f>
        <v>0</v>
      </c>
      <c r="H510" s="11" t="n">
        <f aca="false">IF(OR(D510=0,$H$21=0),0,AVERAGEIFS(Market_Panel!$Y$2:$Y$2705,Market_Panel!$A$2:$A$2705,B510,Market_Panel!$B$2:$B$2705,"&gt;="&amp;$B$21,Market_Panel!$B$2:$B$2705,"&lt;="&amp;$C$21))</f>
        <v>0.444499978225548</v>
      </c>
      <c r="I510" s="10" t="n">
        <f aca="false">IF(D510=0,"",$I$21+$F$21*F510+$G$21*G510+$H$21*H510)</f>
        <v>0.0298945526974613</v>
      </c>
      <c r="J510" s="5" t="n">
        <f aca="false">IF(D510&lt;5,"",(E510-I510)*162)</f>
        <v>1.75897853878291</v>
      </c>
      <c r="K510" s="5" t="n">
        <f aca="false">IF(D510=0,"",E510*162)</f>
        <v>6.60189607577164</v>
      </c>
      <c r="L510" s="3" t="n">
        <f aca="false">SUMIFS(Seasons!$L$2:$L$2865,Seasons!$A$2:$A$2865,B510,Seasons!$B$2:$B$2865,"&gt;="&amp;$B$21,Seasons!$B$2:$B$2865,"&lt;="&amp;$C$21)</f>
        <v>4</v>
      </c>
      <c r="M510" s="3" t="n">
        <f aca="false">SUMIFS(Seasons!$N$2:$N$2865,Seasons!$A$2:$A$2865,B510,Seasons!$B$2:$B$2865,"&gt;="&amp;$B$21,Seasons!$B$2:$B$2865,"&lt;="&amp;$C$21)</f>
        <v>0</v>
      </c>
      <c r="N510" s="3" t="n">
        <f aca="false">IF(J510="",-1000000,J510+ROW()*0.000000001)</f>
        <v>1.75897904878291</v>
      </c>
      <c r="O510" s="3" t="n">
        <f aca="false">IF(J510="","",SUMPRODUCT(($A$25:$A$534=A510)*($N$25:$N$534&gt;N510))+1)</f>
        <v>12</v>
      </c>
      <c r="P510" s="3" t="str">
        <f aca="false">A510&amp;"|"&amp;O510</f>
        <v>2020s payroll-adj|12</v>
      </c>
    </row>
    <row r="511" customFormat="false" ht="15" hidden="false" customHeight="true" outlineLevel="0" collapsed="false">
      <c r="A511" s="1" t="s">
        <v>25</v>
      </c>
      <c r="B511" s="7" t="s">
        <v>61</v>
      </c>
      <c r="C511" s="1" t="s">
        <v>55</v>
      </c>
      <c r="D511" s="3" t="n">
        <f aca="false">COUNTIFS(Market_Panel!$A$2:$A$2705,B511,Market_Panel!$B$2:$B$2705,"&gt;="&amp;$B$21,Market_Panel!$B$2:$B$2705,"&lt;="&amp;$C$21)</f>
        <v>6</v>
      </c>
      <c r="E511" s="10" t="n">
        <f aca="false">IF(D511=0,"",AVERAGEIFS(Market_Panel!$M$2:$M$2705,Market_Panel!$A$2:$A$2705,B511,Market_Panel!$B$2:$B$2705,"&gt;="&amp;$B$21,Market_Panel!$B$2:$B$2705,"&lt;="&amp;$C$21))</f>
        <v>0.0208964778339813</v>
      </c>
      <c r="F511" s="11" t="n">
        <f aca="false">IF(D511=0,"",AVERAGEIFS(Market_Panel!$P$2:$P$2705,Market_Panel!$A$2:$A$2705,B511,Market_Panel!$B$2:$B$2705,"&gt;="&amp;$B$21,Market_Panel!$B$2:$B$2705,"&lt;="&amp;$C$21))</f>
        <v>0.00177400002012718</v>
      </c>
      <c r="G511" s="11" t="n">
        <f aca="false">IF(D511=0,"",AVERAGEIFS(Market_Panel!$R$2:$R$2705,Market_Panel!$A$2:$A$2705,B511,Market_Panel!$B$2:$B$2705,"&gt;="&amp;$B$21,Market_Panel!$B$2:$B$2705,"&lt;="&amp;$C$21))</f>
        <v>0</v>
      </c>
      <c r="H511" s="11" t="n">
        <f aca="false">IF(OR(D511=0,$H$21=0),0,AVERAGEIFS(Market_Panel!$Y$2:$Y$2705,Market_Panel!$A$2:$A$2705,B511,Market_Panel!$B$2:$B$2705,"&gt;="&amp;$B$21,Market_Panel!$B$2:$B$2705,"&lt;="&amp;$C$21))</f>
        <v>0.226345885867435</v>
      </c>
      <c r="I511" s="10" t="n">
        <f aca="false">IF(D511=0,"",$I$21+$F$21*F511+$G$21*G511+$H$21*H511)</f>
        <v>0.0190069992536147</v>
      </c>
      <c r="J511" s="5" t="n">
        <f aca="false">IF(D511&lt;5,"",(E511-I511)*162)</f>
        <v>0.306095530019388</v>
      </c>
      <c r="K511" s="5" t="n">
        <f aca="false">IF(D511=0,"",E511*162)</f>
        <v>3.38522940910497</v>
      </c>
      <c r="L511" s="3" t="n">
        <f aca="false">SUMIFS(Seasons!$L$2:$L$2865,Seasons!$A$2:$A$2865,B511,Seasons!$B$2:$B$2865,"&gt;="&amp;$B$21,Seasons!$B$2:$B$2865,"&lt;="&amp;$C$21)</f>
        <v>1</v>
      </c>
      <c r="M511" s="3" t="n">
        <f aca="false">SUMIFS(Seasons!$N$2:$N$2865,Seasons!$A$2:$A$2865,B511,Seasons!$B$2:$B$2865,"&gt;="&amp;$B$21,Seasons!$B$2:$B$2865,"&lt;="&amp;$C$21)</f>
        <v>0</v>
      </c>
      <c r="N511" s="3" t="n">
        <f aca="false">IF(J511="",-1000000,J511+ROW()*0.000000001)</f>
        <v>0.306096041019388</v>
      </c>
      <c r="O511" s="3" t="n">
        <f aca="false">IF(J511="","",SUMPRODUCT(($A$25:$A$534=A511)*($N$25:$N$534&gt;N511))+1)</f>
        <v>13</v>
      </c>
      <c r="P511" s="3" t="str">
        <f aca="false">A511&amp;"|"&amp;O511</f>
        <v>2020s payroll-adj|13</v>
      </c>
    </row>
    <row r="512" customFormat="false" ht="15" hidden="false" customHeight="true" outlineLevel="0" collapsed="false">
      <c r="A512" s="1" t="s">
        <v>25</v>
      </c>
      <c r="B512" s="7" t="s">
        <v>62</v>
      </c>
      <c r="C512" s="1" t="s">
        <v>55</v>
      </c>
      <c r="D512" s="3" t="n">
        <f aca="false">COUNTIFS(Market_Panel!$A$2:$A$2705,B512,Market_Panel!$B$2:$B$2705,"&gt;="&amp;$B$21,Market_Panel!$B$2:$B$2705,"&lt;="&amp;$C$21)</f>
        <v>6</v>
      </c>
      <c r="E512" s="10" t="n">
        <f aca="false">IF(D512=0,"",AVERAGEIFS(Market_Panel!$M$2:$M$2705,Market_Panel!$A$2:$A$2705,B512,Market_Panel!$B$2:$B$2705,"&gt;="&amp;$B$21,Market_Panel!$B$2:$B$2705,"&lt;="&amp;$C$21))</f>
        <v>0.142089893471841</v>
      </c>
      <c r="F512" s="11" t="n">
        <f aca="false">IF(D512=0,"",AVERAGEIFS(Market_Panel!$P$2:$P$2705,Market_Panel!$A$2:$A$2705,B512,Market_Panel!$B$2:$B$2705,"&gt;="&amp;$B$21,Market_Panel!$B$2:$B$2705,"&lt;="&amp;$C$21))</f>
        <v>0.80399698881741</v>
      </c>
      <c r="G512" s="11" t="n">
        <f aca="false">IF(D512=0,"",AVERAGEIFS(Market_Panel!$R$2:$R$2705,Market_Panel!$A$2:$A$2705,B512,Market_Panel!$B$2:$B$2705,"&gt;="&amp;$B$21,Market_Panel!$B$2:$B$2705,"&lt;="&amp;$C$21))</f>
        <v>0</v>
      </c>
      <c r="H512" s="11" t="n">
        <f aca="false">IF(OR(D512=0,$H$21=0),0,AVERAGEIFS(Market_Panel!$Y$2:$Y$2705,Market_Panel!$A$2:$A$2705,B512,Market_Panel!$B$2:$B$2705,"&gt;="&amp;$B$21,Market_Panel!$B$2:$B$2705,"&lt;="&amp;$C$21))</f>
        <v>0.636324858793776</v>
      </c>
      <c r="I512" s="10" t="n">
        <f aca="false">IF(D512=0,"",$I$21+$F$21*F512+$G$21*G512+$H$21*H512)</f>
        <v>0.0436257264886353</v>
      </c>
      <c r="J512" s="5" t="n">
        <f aca="false">IF(D512&lt;5,"",(E512-I512)*162)</f>
        <v>15.9511950512794</v>
      </c>
      <c r="K512" s="5" t="n">
        <f aca="false">IF(D512=0,"",E512*162)</f>
        <v>23.0185627424383</v>
      </c>
      <c r="L512" s="3" t="n">
        <f aca="false">SUMIFS(Seasons!$L$2:$L$2865,Seasons!$A$2:$A$2865,B512,Seasons!$B$2:$B$2865,"&gt;="&amp;$B$21,Seasons!$B$2:$B$2865,"&lt;="&amp;$C$21)</f>
        <v>6</v>
      </c>
      <c r="M512" s="3" t="n">
        <f aca="false">SUMIFS(Seasons!$N$2:$N$2865,Seasons!$A$2:$A$2865,B512,Seasons!$B$2:$B$2865,"&gt;="&amp;$B$21,Seasons!$B$2:$B$2865,"&lt;="&amp;$C$21)</f>
        <v>3</v>
      </c>
      <c r="N512" s="3" t="n">
        <f aca="false">IF(J512="",-1000000,J512+ROW()*0.000000001)</f>
        <v>15.9511955632794</v>
      </c>
      <c r="O512" s="3" t="n">
        <f aca="false">IF(J512="","",SUMPRODUCT(($A$25:$A$534=A512)*($N$25:$N$534&gt;N512))+1)</f>
        <v>2</v>
      </c>
      <c r="P512" s="3" t="str">
        <f aca="false">A512&amp;"|"&amp;O512</f>
        <v>2020s payroll-adj|2</v>
      </c>
    </row>
    <row r="513" customFormat="false" ht="15" hidden="false" customHeight="true" outlineLevel="0" collapsed="false">
      <c r="A513" s="1" t="s">
        <v>25</v>
      </c>
      <c r="B513" s="7" t="s">
        <v>63</v>
      </c>
      <c r="C513" s="1" t="s">
        <v>55</v>
      </c>
      <c r="D513" s="3" t="n">
        <f aca="false">COUNTIFS(Market_Panel!$A$2:$A$2705,B513,Market_Panel!$B$2:$B$2705,"&gt;="&amp;$B$21,Market_Panel!$B$2:$B$2705,"&lt;="&amp;$C$21)</f>
        <v>6</v>
      </c>
      <c r="E513" s="10" t="n">
        <f aca="false">IF(D513=0,"",AVERAGEIFS(Market_Panel!$M$2:$M$2705,Market_Panel!$A$2:$A$2705,B513,Market_Panel!$B$2:$B$2705,"&gt;="&amp;$B$21,Market_Panel!$B$2:$B$2705,"&lt;="&amp;$C$21))</f>
        <v>-0.0169636044705454</v>
      </c>
      <c r="F513" s="11" t="n">
        <f aca="false">IF(D513=0,"",AVERAGEIFS(Market_Panel!$P$2:$P$2705,Market_Panel!$A$2:$A$2705,B513,Market_Panel!$B$2:$B$2705,"&gt;="&amp;$B$21,Market_Panel!$B$2:$B$2705,"&lt;="&amp;$C$21))</f>
        <v>-0.39844495719478</v>
      </c>
      <c r="G513" s="11" t="n">
        <f aca="false">IF(D513=0,"",AVERAGEIFS(Market_Panel!$R$2:$R$2705,Market_Panel!$A$2:$A$2705,B513,Market_Panel!$B$2:$B$2705,"&gt;="&amp;$B$21,Market_Panel!$B$2:$B$2705,"&lt;="&amp;$C$21))</f>
        <v>0</v>
      </c>
      <c r="H513" s="11" t="n">
        <f aca="false">IF(OR(D513=0,$H$21=0),0,AVERAGEIFS(Market_Panel!$Y$2:$Y$2705,Market_Panel!$A$2:$A$2705,B513,Market_Panel!$B$2:$B$2705,"&gt;="&amp;$B$21,Market_Panel!$B$2:$B$2705,"&lt;="&amp;$C$21))</f>
        <v>-0.612554346776586</v>
      </c>
      <c r="I513" s="10" t="n">
        <f aca="false">IF(D513=0,"",$I$21+$F$21*F513+$G$21*G513+$H$21*H513)</f>
        <v>-0.0466058558440885</v>
      </c>
      <c r="J513" s="5" t="n">
        <f aca="false">IF(D513&lt;5,"",(E513-I513)*162)</f>
        <v>4.80204472251398</v>
      </c>
      <c r="K513" s="5" t="n">
        <f aca="false">IF(D513=0,"",E513*162)</f>
        <v>-2.74810392422836</v>
      </c>
      <c r="L513" s="3" t="n">
        <f aca="false">SUMIFS(Seasons!$L$2:$L$2865,Seasons!$A$2:$A$2865,B513,Seasons!$B$2:$B$2865,"&gt;="&amp;$B$21,Seasons!$B$2:$B$2865,"&lt;="&amp;$C$21)</f>
        <v>2</v>
      </c>
      <c r="M513" s="3" t="n">
        <f aca="false">SUMIFS(Seasons!$N$2:$N$2865,Seasons!$A$2:$A$2865,B513,Seasons!$B$2:$B$2865,"&gt;="&amp;$B$21,Seasons!$B$2:$B$2865,"&lt;="&amp;$C$21)</f>
        <v>0</v>
      </c>
      <c r="N513" s="3" t="n">
        <f aca="false">IF(J513="",-1000000,J513+ROW()*0.000000001)</f>
        <v>4.80204523551398</v>
      </c>
      <c r="O513" s="3" t="n">
        <f aca="false">IF(J513="","",SUMPRODUCT(($A$25:$A$534=A513)*($N$25:$N$534&gt;N513))+1)</f>
        <v>10</v>
      </c>
      <c r="P513" s="3" t="str">
        <f aca="false">A513&amp;"|"&amp;O513</f>
        <v>2020s payroll-adj|10</v>
      </c>
    </row>
    <row r="514" customFormat="false" ht="15" hidden="false" customHeight="true" outlineLevel="0" collapsed="false">
      <c r="A514" s="1" t="s">
        <v>25</v>
      </c>
      <c r="B514" s="7" t="s">
        <v>64</v>
      </c>
      <c r="C514" s="1" t="s">
        <v>55</v>
      </c>
      <c r="D514" s="3" t="n">
        <f aca="false">COUNTIFS(Market_Panel!$A$2:$A$2705,B514,Market_Panel!$B$2:$B$2705,"&gt;="&amp;$B$21,Market_Panel!$B$2:$B$2705,"&lt;="&amp;$C$21)</f>
        <v>6</v>
      </c>
      <c r="E514" s="10" t="n">
        <f aca="false">IF(D514=0,"",AVERAGEIFS(Market_Panel!$M$2:$M$2705,Market_Panel!$A$2:$A$2705,B514,Market_Panel!$B$2:$B$2705,"&gt;="&amp;$B$21,Market_Panel!$B$2:$B$2705,"&lt;="&amp;$C$21))</f>
        <v>-0.003280476898529</v>
      </c>
      <c r="F514" s="11" t="n">
        <f aca="false">IF(D514=0,"",AVERAGEIFS(Market_Panel!$P$2:$P$2705,Market_Panel!$A$2:$A$2705,B514,Market_Panel!$B$2:$B$2705,"&gt;="&amp;$B$21,Market_Panel!$B$2:$B$2705,"&lt;="&amp;$C$21))</f>
        <v>-0.255595578761453</v>
      </c>
      <c r="G514" s="11" t="n">
        <f aca="false">IF(D514=0,"",AVERAGEIFS(Market_Panel!$R$2:$R$2705,Market_Panel!$A$2:$A$2705,B514,Market_Panel!$B$2:$B$2705,"&gt;="&amp;$B$21,Market_Panel!$B$2:$B$2705,"&lt;="&amp;$C$21))</f>
        <v>0</v>
      </c>
      <c r="H514" s="11" t="n">
        <f aca="false">IF(OR(D514=0,$H$21=0),0,AVERAGEIFS(Market_Panel!$Y$2:$Y$2705,Market_Panel!$A$2:$A$2705,B514,Market_Panel!$B$2:$B$2705,"&gt;="&amp;$B$21,Market_Panel!$B$2:$B$2705,"&lt;="&amp;$C$21))</f>
        <v>0.281497771147852</v>
      </c>
      <c r="I514" s="10" t="n">
        <f aca="false">IF(D514=0,"",$I$21+$F$21*F514+$G$21*G514+$H$21*H514)</f>
        <v>0.0268030236833609</v>
      </c>
      <c r="J514" s="5" t="n">
        <f aca="false">IF(D514&lt;5,"",(E514-I514)*162)</f>
        <v>-4.87352709426617</v>
      </c>
      <c r="K514" s="5" t="n">
        <f aca="false">IF(D514=0,"",E514*162)</f>
        <v>-0.531437257561698</v>
      </c>
      <c r="L514" s="3" t="n">
        <f aca="false">SUMIFS(Seasons!$L$2:$L$2865,Seasons!$A$2:$A$2865,B514,Seasons!$B$2:$B$2865,"&gt;="&amp;$B$21,Seasons!$B$2:$B$2865,"&lt;="&amp;$C$21)</f>
        <v>2</v>
      </c>
      <c r="M514" s="3" t="n">
        <f aca="false">SUMIFS(Seasons!$N$2:$N$2865,Seasons!$A$2:$A$2865,B514,Seasons!$B$2:$B$2865,"&gt;="&amp;$B$21,Seasons!$B$2:$B$2865,"&lt;="&amp;$C$21)</f>
        <v>0</v>
      </c>
      <c r="N514" s="3" t="n">
        <f aca="false">IF(J514="",-1000000,J514+ROW()*0.000000001)</f>
        <v>-4.87352658026617</v>
      </c>
      <c r="O514" s="3" t="n">
        <f aca="false">IF(J514="","",SUMPRODUCT(($A$25:$A$534=A514)*($N$25:$N$534&gt;N514))+1)</f>
        <v>23</v>
      </c>
      <c r="P514" s="3" t="str">
        <f aca="false">A514&amp;"|"&amp;O514</f>
        <v>2020s payroll-adj|23</v>
      </c>
    </row>
    <row r="515" customFormat="false" ht="15" hidden="false" customHeight="true" outlineLevel="0" collapsed="false">
      <c r="A515" s="1" t="s">
        <v>25</v>
      </c>
      <c r="B515" s="7" t="s">
        <v>65</v>
      </c>
      <c r="C515" s="1" t="s">
        <v>55</v>
      </c>
      <c r="D515" s="3" t="n">
        <f aca="false">COUNTIFS(Market_Panel!$A$2:$A$2705,B515,Market_Panel!$B$2:$B$2705,"&gt;="&amp;$B$21,Market_Panel!$B$2:$B$2705,"&lt;="&amp;$C$21)</f>
        <v>6</v>
      </c>
      <c r="E515" s="10" t="n">
        <f aca="false">IF(D515=0,"",AVERAGEIFS(Market_Panel!$M$2:$M$2705,Market_Panel!$A$2:$A$2705,B515,Market_Panel!$B$2:$B$2705,"&gt;="&amp;$B$21,Market_Panel!$B$2:$B$2705,"&lt;="&amp;$C$21))</f>
        <v>-0.0570870612606689</v>
      </c>
      <c r="F515" s="11" t="n">
        <f aca="false">IF(D515=0,"",AVERAGEIFS(Market_Panel!$P$2:$P$2705,Market_Panel!$A$2:$A$2705,B515,Market_Panel!$B$2:$B$2705,"&gt;="&amp;$B$21,Market_Panel!$B$2:$B$2705,"&lt;="&amp;$C$21))</f>
        <v>0.453628363150779</v>
      </c>
      <c r="G515" s="11" t="n">
        <f aca="false">IF(D515=0,"",AVERAGEIFS(Market_Panel!$R$2:$R$2705,Market_Panel!$A$2:$A$2705,B515,Market_Panel!$B$2:$B$2705,"&gt;="&amp;$B$21,Market_Panel!$B$2:$B$2705,"&lt;="&amp;$C$21))</f>
        <v>0</v>
      </c>
      <c r="H515" s="11" t="n">
        <f aca="false">IF(OR(D515=0,$H$21=0),0,AVERAGEIFS(Market_Panel!$Y$2:$Y$2705,Market_Panel!$A$2:$A$2705,B515,Market_Panel!$B$2:$B$2705,"&gt;="&amp;$B$21,Market_Panel!$B$2:$B$2705,"&lt;="&amp;$C$21))</f>
        <v>0.0134011917614156</v>
      </c>
      <c r="I515" s="10" t="n">
        <f aca="false">IF(D515=0,"",$I$21+$F$21*F515+$G$21*G515+$H$21*H515)</f>
        <v>-0.0044420512545734</v>
      </c>
      <c r="J515" s="5" t="n">
        <f aca="false">IF(D515&lt;5,"",(E515-I515)*162)</f>
        <v>-8.52849162098747</v>
      </c>
      <c r="K515" s="5" t="n">
        <f aca="false">IF(D515=0,"",E515*162)</f>
        <v>-9.24810392422836</v>
      </c>
      <c r="L515" s="3" t="n">
        <f aca="false">SUMIFS(Seasons!$L$2:$L$2865,Seasons!$A$2:$A$2865,B515,Seasons!$B$2:$B$2865,"&gt;="&amp;$B$21,Seasons!$B$2:$B$2865,"&lt;="&amp;$C$21)</f>
        <v>2</v>
      </c>
      <c r="M515" s="3" t="n">
        <f aca="false">SUMIFS(Seasons!$N$2:$N$2865,Seasons!$A$2:$A$2865,B515,Seasons!$B$2:$B$2865,"&gt;="&amp;$B$21,Seasons!$B$2:$B$2865,"&lt;="&amp;$C$21)</f>
        <v>0</v>
      </c>
      <c r="N515" s="3" t="n">
        <f aca="false">IF(J515="",-1000000,J515+ROW()*0.000000001)</f>
        <v>-8.52849110598747</v>
      </c>
      <c r="O515" s="3" t="n">
        <f aca="false">IF(J515="","",SUMPRODUCT(($A$25:$A$534=A515)*($N$25:$N$534&gt;N515))+1)</f>
        <v>26</v>
      </c>
      <c r="P515" s="3" t="str">
        <f aca="false">A515&amp;"|"&amp;O515</f>
        <v>2020s payroll-adj|26</v>
      </c>
    </row>
    <row r="516" customFormat="false" ht="15" hidden="false" customHeight="true" outlineLevel="0" collapsed="false">
      <c r="A516" s="1" t="s">
        <v>25</v>
      </c>
      <c r="B516" s="7" t="s">
        <v>66</v>
      </c>
      <c r="C516" s="1" t="s">
        <v>55</v>
      </c>
      <c r="D516" s="3" t="n">
        <f aca="false">COUNTIFS(Market_Panel!$A$2:$A$2705,B516,Market_Panel!$B$2:$B$2705,"&gt;="&amp;$B$21,Market_Panel!$B$2:$B$2705,"&lt;="&amp;$C$21)</f>
        <v>6</v>
      </c>
      <c r="E516" s="10" t="n">
        <f aca="false">IF(D516=0,"",AVERAGEIFS(Market_Panel!$M$2:$M$2705,Market_Panel!$A$2:$A$2705,B516,Market_Panel!$B$2:$B$2705,"&gt;="&amp;$B$21,Market_Panel!$B$2:$B$2705,"&lt;="&amp;$C$21))</f>
        <v>0.0381510339774263</v>
      </c>
      <c r="F516" s="11" t="n">
        <f aca="false">IF(D516=0,"",AVERAGEIFS(Market_Panel!$P$2:$P$2705,Market_Panel!$A$2:$A$2705,B516,Market_Panel!$B$2:$B$2705,"&gt;="&amp;$B$21,Market_Panel!$B$2:$B$2705,"&lt;="&amp;$C$21))</f>
        <v>-0.850696460735531</v>
      </c>
      <c r="G516" s="11" t="n">
        <f aca="false">IF(D516=0,"",AVERAGEIFS(Market_Panel!$R$2:$R$2705,Market_Panel!$A$2:$A$2705,B516,Market_Panel!$B$2:$B$2705,"&gt;="&amp;$B$21,Market_Panel!$B$2:$B$2705,"&lt;="&amp;$C$21))</f>
        <v>0</v>
      </c>
      <c r="H516" s="11" t="n">
        <f aca="false">IF(OR(D516=0,$H$21=0),0,AVERAGEIFS(Market_Panel!$Y$2:$Y$2705,Market_Panel!$A$2:$A$2705,B516,Market_Panel!$B$2:$B$2705,"&gt;="&amp;$B$21,Market_Panel!$B$2:$B$2705,"&lt;="&amp;$C$21))</f>
        <v>-0.555683386305288</v>
      </c>
      <c r="I516" s="10" t="n">
        <f aca="false">IF(D516=0,"",$I$21+$F$21*F516+$G$21*G516+$H$21*H516)</f>
        <v>-0.0362729647694284</v>
      </c>
      <c r="J516" s="5" t="n">
        <f aca="false">IF(D516&lt;5,"",(E516-I516)*162)</f>
        <v>12.0566877969905</v>
      </c>
      <c r="K516" s="5" t="n">
        <f aca="false">IF(D516=0,"",E516*162)</f>
        <v>6.18046750434306</v>
      </c>
      <c r="L516" s="3" t="n">
        <f aca="false">SUMIFS(Seasons!$L$2:$L$2865,Seasons!$A$2:$A$2865,B516,Seasons!$B$2:$B$2865,"&gt;="&amp;$B$21,Seasons!$B$2:$B$2865,"&lt;="&amp;$C$21)</f>
        <v>4</v>
      </c>
      <c r="M516" s="3" t="n">
        <f aca="false">SUMIFS(Seasons!$N$2:$N$2865,Seasons!$A$2:$A$2865,B516,Seasons!$B$2:$B$2865,"&gt;="&amp;$B$21,Seasons!$B$2:$B$2865,"&lt;="&amp;$C$21)</f>
        <v>0</v>
      </c>
      <c r="N516" s="3" t="n">
        <f aca="false">IF(J516="",-1000000,J516+ROW()*0.000000001)</f>
        <v>12.0566883129905</v>
      </c>
      <c r="O516" s="3" t="n">
        <f aca="false">IF(J516="","",SUMPRODUCT(($A$25:$A$534=A516)*($N$25:$N$534&gt;N516))+1)</f>
        <v>3</v>
      </c>
      <c r="P516" s="3" t="str">
        <f aca="false">A516&amp;"|"&amp;O516</f>
        <v>2020s payroll-adj|3</v>
      </c>
    </row>
    <row r="517" customFormat="false" ht="15" hidden="false" customHeight="true" outlineLevel="0" collapsed="false">
      <c r="A517" s="1" t="s">
        <v>25</v>
      </c>
      <c r="B517" s="7" t="s">
        <v>67</v>
      </c>
      <c r="C517" s="1" t="s">
        <v>55</v>
      </c>
      <c r="D517" s="3" t="n">
        <f aca="false">COUNTIFS(Market_Panel!$A$2:$A$2705,B517,Market_Panel!$B$2:$B$2705,"&gt;="&amp;$B$21,Market_Panel!$B$2:$B$2705,"&lt;="&amp;$C$21)</f>
        <v>6</v>
      </c>
      <c r="E517" s="10" t="n">
        <f aca="false">IF(D517=0,"",AVERAGEIFS(Market_Panel!$M$2:$M$2705,Market_Panel!$A$2:$A$2705,B517,Market_Panel!$B$2:$B$2705,"&gt;="&amp;$B$21,Market_Panel!$B$2:$B$2705,"&lt;="&amp;$C$21))</f>
        <v>-0.0285465475668985</v>
      </c>
      <c r="F517" s="11" t="n">
        <f aca="false">IF(D517=0,"",AVERAGEIFS(Market_Panel!$P$2:$P$2705,Market_Panel!$A$2:$A$2705,B517,Market_Panel!$B$2:$B$2705,"&gt;="&amp;$B$21,Market_Panel!$B$2:$B$2705,"&lt;="&amp;$C$21))</f>
        <v>-0.31118818085489</v>
      </c>
      <c r="G517" s="11" t="n">
        <f aca="false">IF(D517=0,"",AVERAGEIFS(Market_Panel!$R$2:$R$2705,Market_Panel!$A$2:$A$2705,B517,Market_Panel!$B$2:$B$2705,"&gt;="&amp;$B$21,Market_Panel!$B$2:$B$2705,"&lt;="&amp;$C$21))</f>
        <v>0</v>
      </c>
      <c r="H517" s="11" t="n">
        <f aca="false">IF(OR(D517=0,$H$21=0),0,AVERAGEIFS(Market_Panel!$Y$2:$Y$2705,Market_Panel!$A$2:$A$2705,B517,Market_Panel!$B$2:$B$2705,"&gt;="&amp;$B$21,Market_Panel!$B$2:$B$2705,"&lt;="&amp;$C$21))</f>
        <v>-0.198701300576906</v>
      </c>
      <c r="I517" s="10" t="n">
        <f aca="false">IF(D517=0,"",$I$21+$F$21*F517+$G$21*G517+$H$21*H517)</f>
        <v>-0.0128846060088066</v>
      </c>
      <c r="J517" s="5" t="n">
        <f aca="false">IF(D517&lt;5,"",(E517-I517)*162)</f>
        <v>-2.53723453241089</v>
      </c>
      <c r="K517" s="5" t="n">
        <f aca="false">IF(D517=0,"",E517*162)</f>
        <v>-4.62454070583756</v>
      </c>
      <c r="L517" s="3" t="n">
        <f aca="false">SUMIFS(Seasons!$L$2:$L$2865,Seasons!$A$2:$A$2865,B517,Seasons!$B$2:$B$2865,"&gt;="&amp;$B$21,Seasons!$B$2:$B$2865,"&lt;="&amp;$C$21)</f>
        <v>2</v>
      </c>
      <c r="M517" s="3" t="n">
        <f aca="false">SUMIFS(Seasons!$N$2:$N$2865,Seasons!$A$2:$A$2865,B517,Seasons!$B$2:$B$2865,"&gt;="&amp;$B$21,Seasons!$B$2:$B$2865,"&lt;="&amp;$C$21)</f>
        <v>0</v>
      </c>
      <c r="N517" s="3" t="n">
        <f aca="false">IF(J517="",-1000000,J517+ROW()*0.000000001)</f>
        <v>-2.53723401541089</v>
      </c>
      <c r="O517" s="3" t="n">
        <f aca="false">IF(J517="","",SUMPRODUCT(($A$25:$A$534=A517)*($N$25:$N$534&gt;N517))+1)</f>
        <v>20</v>
      </c>
      <c r="P517" s="3" t="str">
        <f aca="false">A517&amp;"|"&amp;O517</f>
        <v>2020s payroll-adj|20</v>
      </c>
    </row>
    <row r="518" customFormat="false" ht="15" hidden="false" customHeight="true" outlineLevel="0" collapsed="false">
      <c r="A518" s="1" t="s">
        <v>25</v>
      </c>
      <c r="B518" s="7" t="s">
        <v>68</v>
      </c>
      <c r="C518" s="1" t="s">
        <v>55</v>
      </c>
      <c r="D518" s="3" t="n">
        <f aca="false">COUNTIFS(Market_Panel!$A$2:$A$2705,B518,Market_Panel!$B$2:$B$2705,"&gt;="&amp;$B$21,Market_Panel!$B$2:$B$2705,"&lt;="&amp;$C$21)</f>
        <v>6</v>
      </c>
      <c r="E518" s="10" t="n">
        <f aca="false">IF(D518=0,"",AVERAGEIFS(Market_Panel!$M$2:$M$2705,Market_Panel!$A$2:$A$2705,B518,Market_Panel!$B$2:$B$2705,"&gt;="&amp;$B$21,Market_Panel!$B$2:$B$2705,"&lt;="&amp;$C$21))</f>
        <v>0.00124627207266443</v>
      </c>
      <c r="F518" s="11" t="n">
        <f aca="false">IF(D518=0,"",AVERAGEIFS(Market_Panel!$P$2:$P$2705,Market_Panel!$A$2:$A$2705,B518,Market_Panel!$B$2:$B$2705,"&gt;="&amp;$B$21,Market_Panel!$B$2:$B$2705,"&lt;="&amp;$C$21))</f>
        <v>-0.707588102845962</v>
      </c>
      <c r="G518" s="11" t="n">
        <f aca="false">IF(D518=0,"",AVERAGEIFS(Market_Panel!$R$2:$R$2705,Market_Panel!$A$2:$A$2705,B518,Market_Panel!$B$2:$B$2705,"&gt;="&amp;$B$21,Market_Panel!$B$2:$B$2705,"&lt;="&amp;$C$21))</f>
        <v>0</v>
      </c>
      <c r="H518" s="11" t="n">
        <f aca="false">IF(OR(D518=0,$H$21=0),0,AVERAGEIFS(Market_Panel!$Y$2:$Y$2705,Market_Panel!$A$2:$A$2705,B518,Market_Panel!$B$2:$B$2705,"&gt;="&amp;$B$21,Market_Panel!$B$2:$B$2705,"&lt;="&amp;$C$21))</f>
        <v>-0.0537517213235468</v>
      </c>
      <c r="I518" s="10" t="n">
        <f aca="false">IF(D518=0,"",$I$21+$F$21*F518+$G$21*G518+$H$21*H518)</f>
        <v>0.0041673803987553</v>
      </c>
      <c r="J518" s="5" t="n">
        <f aca="false">IF(D518&lt;5,"",(E518-I518)*162)</f>
        <v>-0.473219548826721</v>
      </c>
      <c r="K518" s="5" t="n">
        <f aca="false">IF(D518=0,"",E518*162)</f>
        <v>0.201896075771638</v>
      </c>
      <c r="L518" s="3" t="n">
        <f aca="false">SUMIFS(Seasons!$L$2:$L$2865,Seasons!$A$2:$A$2865,B518,Seasons!$B$2:$B$2865,"&gt;="&amp;$B$21,Seasons!$B$2:$B$2865,"&lt;="&amp;$C$21)</f>
        <v>2</v>
      </c>
      <c r="M518" s="3" t="n">
        <f aca="false">SUMIFS(Seasons!$N$2:$N$2865,Seasons!$A$2:$A$2865,B518,Seasons!$B$2:$B$2865,"&gt;="&amp;$B$21,Seasons!$B$2:$B$2865,"&lt;="&amp;$C$21)</f>
        <v>0</v>
      </c>
      <c r="N518" s="3" t="n">
        <f aca="false">IF(J518="",-1000000,J518+ROW()*0.000000001)</f>
        <v>-0.473219030826721</v>
      </c>
      <c r="O518" s="3" t="n">
        <f aca="false">IF(J518="","",SUMPRODUCT(($A$25:$A$534=A518)*($N$25:$N$534&gt;N518))+1)</f>
        <v>15</v>
      </c>
      <c r="P518" s="3" t="str">
        <f aca="false">A518&amp;"|"&amp;O518</f>
        <v>2020s payroll-adj|15</v>
      </c>
    </row>
    <row r="519" customFormat="false" ht="15" hidden="false" customHeight="true" outlineLevel="0" collapsed="false">
      <c r="A519" s="1" t="s">
        <v>25</v>
      </c>
      <c r="B519" s="7" t="s">
        <v>69</v>
      </c>
      <c r="C519" s="1" t="s">
        <v>55</v>
      </c>
      <c r="D519" s="3" t="n">
        <f aca="false">COUNTIFS(Market_Panel!$A$2:$A$2705,B519,Market_Panel!$B$2:$B$2705,"&gt;="&amp;$B$21,Market_Panel!$B$2:$B$2705,"&lt;="&amp;$C$21)</f>
        <v>6</v>
      </c>
      <c r="E519" s="10" t="n">
        <f aca="false">IF(D519=0,"",AVERAGEIFS(Market_Panel!$M$2:$M$2705,Market_Panel!$A$2:$A$2705,B519,Market_Panel!$B$2:$B$2705,"&gt;="&amp;$B$21,Market_Panel!$B$2:$B$2705,"&lt;="&amp;$C$21))</f>
        <v>-0.0491652505610804</v>
      </c>
      <c r="F519" s="11" t="n">
        <f aca="false">IF(D519=0,"",AVERAGEIFS(Market_Panel!$P$2:$P$2705,Market_Panel!$A$2:$A$2705,B519,Market_Panel!$B$2:$B$2705,"&gt;="&amp;$B$21,Market_Panel!$B$2:$B$2705,"&lt;="&amp;$C$21))</f>
        <v>-0.683024497061645</v>
      </c>
      <c r="G519" s="11" t="n">
        <f aca="false">IF(D519=0,"",AVERAGEIFS(Market_Panel!$R$2:$R$2705,Market_Panel!$A$2:$A$2705,B519,Market_Panel!$B$2:$B$2705,"&gt;="&amp;$B$21,Market_Panel!$B$2:$B$2705,"&lt;="&amp;$C$21))</f>
        <v>0</v>
      </c>
      <c r="H519" s="11" t="n">
        <f aca="false">IF(OR(D519=0,$H$21=0),0,AVERAGEIFS(Market_Panel!$Y$2:$Y$2705,Market_Panel!$A$2:$A$2705,B519,Market_Panel!$B$2:$B$2705,"&gt;="&amp;$B$21,Market_Panel!$B$2:$B$2705,"&lt;="&amp;$C$21))</f>
        <v>-0.699539955829196</v>
      </c>
      <c r="I519" s="10" t="n">
        <f aca="false">IF(D519=0,"",$I$21+$F$21*F519+$G$21*G519+$H$21*H519)</f>
        <v>-0.050425228054105</v>
      </c>
      <c r="J519" s="5" t="n">
        <f aca="false">IF(D519&lt;5,"",(E519-I519)*162)</f>
        <v>0.204116353869976</v>
      </c>
      <c r="K519" s="5" t="n">
        <f aca="false">IF(D519=0,"",E519*162)</f>
        <v>-7.96477059089503</v>
      </c>
      <c r="L519" s="3" t="n">
        <f aca="false">SUMIFS(Seasons!$L$2:$L$2865,Seasons!$A$2:$A$2865,B519,Seasons!$B$2:$B$2865,"&gt;="&amp;$B$21,Seasons!$B$2:$B$2865,"&lt;="&amp;$C$21)</f>
        <v>1</v>
      </c>
      <c r="M519" s="3" t="n">
        <f aca="false">SUMIFS(Seasons!$N$2:$N$2865,Seasons!$A$2:$A$2865,B519,Seasons!$B$2:$B$2865,"&gt;="&amp;$B$21,Seasons!$B$2:$B$2865,"&lt;="&amp;$C$21)</f>
        <v>0</v>
      </c>
      <c r="N519" s="3" t="n">
        <f aca="false">IF(J519="",-1000000,J519+ROW()*0.000000001)</f>
        <v>0.204116872869976</v>
      </c>
      <c r="O519" s="3" t="n">
        <f aca="false">IF(J519="","",SUMPRODUCT(($A$25:$A$534=A519)*($N$25:$N$534&gt;N519))+1)</f>
        <v>14</v>
      </c>
      <c r="P519" s="3" t="str">
        <f aca="false">A519&amp;"|"&amp;O519</f>
        <v>2020s payroll-adj|14</v>
      </c>
    </row>
    <row r="520" customFormat="false" ht="15" hidden="false" customHeight="true" outlineLevel="0" collapsed="false">
      <c r="A520" s="1" t="s">
        <v>25</v>
      </c>
      <c r="B520" s="7" t="s">
        <v>70</v>
      </c>
      <c r="C520" s="1" t="s">
        <v>55</v>
      </c>
      <c r="D520" s="3" t="n">
        <f aca="false">COUNTIFS(Market_Panel!$A$2:$A$2705,B520,Market_Panel!$B$2:$B$2705,"&gt;="&amp;$B$21,Market_Panel!$B$2:$B$2705,"&lt;="&amp;$C$21)</f>
        <v>6</v>
      </c>
      <c r="E520" s="10" t="n">
        <f aca="false">IF(D520=0,"",AVERAGEIFS(Market_Panel!$M$2:$M$2705,Market_Panel!$A$2:$A$2705,B520,Market_Panel!$B$2:$B$2705,"&gt;="&amp;$B$21,Market_Panel!$B$2:$B$2705,"&lt;="&amp;$C$21))</f>
        <v>0.0659582062290431</v>
      </c>
      <c r="F520" s="11" t="n">
        <f aca="false">IF(D520=0,"",AVERAGEIFS(Market_Panel!$P$2:$P$2705,Market_Panel!$A$2:$A$2705,B520,Market_Panel!$B$2:$B$2705,"&gt;="&amp;$B$21,Market_Panel!$B$2:$B$2705,"&lt;="&amp;$C$21))</f>
        <v>1.61856951388607</v>
      </c>
      <c r="G520" s="11" t="n">
        <f aca="false">IF(D520=0,"",AVERAGEIFS(Market_Panel!$R$2:$R$2705,Market_Panel!$A$2:$A$2705,B520,Market_Panel!$B$2:$B$2705,"&gt;="&amp;$B$21,Market_Panel!$B$2:$B$2705,"&lt;="&amp;$C$21))</f>
        <v>0</v>
      </c>
      <c r="H520" s="11" t="n">
        <f aca="false">IF(OR(D520=0,$H$21=0),0,AVERAGEIFS(Market_Panel!$Y$2:$Y$2705,Market_Panel!$A$2:$A$2705,B520,Market_Panel!$B$2:$B$2705,"&gt;="&amp;$B$21,Market_Panel!$B$2:$B$2705,"&lt;="&amp;$C$21))</f>
        <v>0.572416712749349</v>
      </c>
      <c r="I520" s="10" t="n">
        <f aca="false">IF(D520=0,"",$I$21+$F$21*F520+$G$21*G520+$H$21*H520)</f>
        <v>0.0282534177282876</v>
      </c>
      <c r="J520" s="5" t="n">
        <f aca="false">IF(D520&lt;5,"",(E520-I520)*162)</f>
        <v>6.10817573712239</v>
      </c>
      <c r="K520" s="5" t="n">
        <f aca="false">IF(D520=0,"",E520*162)</f>
        <v>10.685229409105</v>
      </c>
      <c r="L520" s="3" t="n">
        <f aca="false">SUMIFS(Seasons!$L$2:$L$2865,Seasons!$A$2:$A$2865,B520,Seasons!$B$2:$B$2865,"&gt;="&amp;$B$21,Seasons!$B$2:$B$2865,"&lt;="&amp;$C$21)</f>
        <v>5</v>
      </c>
      <c r="M520" s="3" t="n">
        <f aca="false">SUMIFS(Seasons!$N$2:$N$2865,Seasons!$A$2:$A$2865,B520,Seasons!$B$2:$B$2865,"&gt;="&amp;$B$21,Seasons!$B$2:$B$2865,"&lt;="&amp;$C$21)</f>
        <v>0</v>
      </c>
      <c r="N520" s="3" t="n">
        <f aca="false">IF(J520="",-1000000,J520+ROW()*0.000000001)</f>
        <v>6.10817625712239</v>
      </c>
      <c r="O520" s="3" t="n">
        <f aca="false">IF(J520="","",SUMPRODUCT(($A$25:$A$534=A520)*($N$25:$N$534&gt;N520))+1)</f>
        <v>8</v>
      </c>
      <c r="P520" s="3" t="str">
        <f aca="false">A520&amp;"|"&amp;O520</f>
        <v>2020s payroll-adj|8</v>
      </c>
    </row>
    <row r="521" customFormat="false" ht="15" hidden="false" customHeight="true" outlineLevel="0" collapsed="false">
      <c r="A521" s="1" t="s">
        <v>25</v>
      </c>
      <c r="B521" s="7" t="s">
        <v>71</v>
      </c>
      <c r="C521" s="1" t="s">
        <v>72</v>
      </c>
      <c r="D521" s="3" t="n">
        <f aca="false">COUNTIFS(Market_Panel!$A$2:$A$2705,B521,Market_Panel!$B$2:$B$2705,"&gt;="&amp;$B$21,Market_Panel!$B$2:$B$2705,"&lt;="&amp;$C$21)</f>
        <v>6</v>
      </c>
      <c r="E521" s="10" t="n">
        <f aca="false">IF(D521=0,"",AVERAGEIFS(Market_Panel!$M$2:$M$2705,Market_Panel!$A$2:$A$2705,B521,Market_Panel!$B$2:$B$2705,"&gt;="&amp;$B$21,Market_Panel!$B$2:$B$2705,"&lt;="&amp;$C$21))</f>
        <v>-0.0594533164047018</v>
      </c>
      <c r="F521" s="11" t="n">
        <f aca="false">IF(D521=0,"",AVERAGEIFS(Market_Panel!$P$2:$P$2705,Market_Panel!$A$2:$A$2705,B521,Market_Panel!$B$2:$B$2705,"&gt;="&amp;$B$21,Market_Panel!$B$2:$B$2705,"&lt;="&amp;$C$21))</f>
        <v>0.80399698881741</v>
      </c>
      <c r="G521" s="11" t="n">
        <f aca="false">IF(D521=0,"",AVERAGEIFS(Market_Panel!$R$2:$R$2705,Market_Panel!$A$2:$A$2705,B521,Market_Panel!$B$2:$B$2705,"&gt;="&amp;$B$21,Market_Panel!$B$2:$B$2705,"&lt;="&amp;$C$21))</f>
        <v>0</v>
      </c>
      <c r="H521" s="11" t="n">
        <f aca="false">IF(OR(D521=0,$H$21=0),0,AVERAGEIFS(Market_Panel!$Y$2:$Y$2705,Market_Panel!$A$2:$A$2705,B521,Market_Panel!$B$2:$B$2705,"&gt;="&amp;$B$21,Market_Panel!$B$2:$B$2705,"&lt;="&amp;$C$21))</f>
        <v>0.282952883503225</v>
      </c>
      <c r="I521" s="10" t="n">
        <f aca="false">IF(D521=0,"",$I$21+$F$21*F521+$G$21*G521+$H$21*H521)</f>
        <v>0.0139179349614642</v>
      </c>
      <c r="J521" s="5" t="n">
        <f aca="false">IF(D521&lt;5,"",(E521-I521)*162)</f>
        <v>-11.8861427213189</v>
      </c>
      <c r="K521" s="5" t="n">
        <f aca="false">IF(D521=0,"",E521*162)</f>
        <v>-9.6314372575617</v>
      </c>
      <c r="L521" s="3" t="n">
        <f aca="false">SUMIFS(Seasons!$L$2:$L$2865,Seasons!$A$2:$A$2865,B521,Seasons!$B$2:$B$2865,"&gt;="&amp;$B$21,Seasons!$B$2:$B$2865,"&lt;="&amp;$C$21)</f>
        <v>0</v>
      </c>
      <c r="M521" s="3" t="n">
        <f aca="false">SUMIFS(Seasons!$N$2:$N$2865,Seasons!$A$2:$A$2865,B521,Seasons!$B$2:$B$2865,"&gt;="&amp;$B$21,Seasons!$B$2:$B$2865,"&lt;="&amp;$C$21)</f>
        <v>0</v>
      </c>
      <c r="N521" s="3" t="n">
        <f aca="false">IF(J521="",-1000000,J521+ROW()*0.000000001)</f>
        <v>-11.8861422003189</v>
      </c>
      <c r="O521" s="3" t="n">
        <f aca="false">IF(J521="","",SUMPRODUCT(($A$25:$A$534=A521)*($N$25:$N$534&gt;N521))+1)</f>
        <v>28</v>
      </c>
      <c r="P521" s="3" t="str">
        <f aca="false">A521&amp;"|"&amp;O521</f>
        <v>2020s payroll-adj|28</v>
      </c>
    </row>
    <row r="522" customFormat="false" ht="15" hidden="false" customHeight="true" outlineLevel="0" collapsed="false">
      <c r="A522" s="1" t="s">
        <v>25</v>
      </c>
      <c r="B522" s="7" t="s">
        <v>73</v>
      </c>
      <c r="C522" s="1" t="s">
        <v>72</v>
      </c>
      <c r="D522" s="3" t="n">
        <f aca="false">COUNTIFS(Market_Panel!$A$2:$A$2705,B522,Market_Panel!$B$2:$B$2705,"&gt;="&amp;$B$21,Market_Panel!$B$2:$B$2705,"&lt;="&amp;$C$21)</f>
        <v>6</v>
      </c>
      <c r="E522" s="10" t="n">
        <f aca="false">IF(D522=0,"",AVERAGEIFS(Market_Panel!$M$2:$M$2705,Market_Panel!$A$2:$A$2705,B522,Market_Panel!$B$2:$B$2705,"&gt;="&amp;$B$21,Market_Panel!$B$2:$B$2705,"&lt;="&amp;$C$21))</f>
        <v>-0.0510171024129323</v>
      </c>
      <c r="F522" s="11" t="n">
        <f aca="false">IF(D522=0,"",AVERAGEIFS(Market_Panel!$P$2:$P$2705,Market_Panel!$A$2:$A$2705,B522,Market_Panel!$B$2:$B$2705,"&gt;="&amp;$B$21,Market_Panel!$B$2:$B$2705,"&lt;="&amp;$C$21))</f>
        <v>0.402216015362578</v>
      </c>
      <c r="G522" s="11" t="n">
        <f aca="false">IF(D522=0,"",AVERAGEIFS(Market_Panel!$R$2:$R$2705,Market_Panel!$A$2:$A$2705,B522,Market_Panel!$B$2:$B$2705,"&gt;="&amp;$B$21,Market_Panel!$B$2:$B$2705,"&lt;="&amp;$C$21))</f>
        <v>0</v>
      </c>
      <c r="H522" s="11" t="n">
        <f aca="false">IF(OR(D522=0,$H$21=0),0,AVERAGEIFS(Market_Panel!$Y$2:$Y$2705,Market_Panel!$A$2:$A$2705,B522,Market_Panel!$B$2:$B$2705,"&gt;="&amp;$B$21,Market_Panel!$B$2:$B$2705,"&lt;="&amp;$C$21))</f>
        <v>0.227480419792193</v>
      </c>
      <c r="I522" s="10" t="n">
        <f aca="false">IF(D522=0,"",$I$21+$F$21*F522+$G$21*G522+$H$21*H522)</f>
        <v>0.0141866053075761</v>
      </c>
      <c r="J522" s="5" t="n">
        <f aca="false">IF(D522&lt;5,"",(E522-I522)*162)</f>
        <v>-10.5630006507224</v>
      </c>
      <c r="K522" s="5" t="n">
        <f aca="false">IF(D522=0,"",E522*162)</f>
        <v>-8.26477059089503</v>
      </c>
      <c r="L522" s="3" t="n">
        <f aca="false">SUMIFS(Seasons!$L$2:$L$2865,Seasons!$A$2:$A$2865,B522,Seasons!$B$2:$B$2865,"&gt;="&amp;$B$21,Seasons!$B$2:$B$2865,"&lt;="&amp;$C$21)</f>
        <v>1</v>
      </c>
      <c r="M522" s="3" t="n">
        <f aca="false">SUMIFS(Seasons!$N$2:$N$2865,Seasons!$A$2:$A$2865,B522,Seasons!$B$2:$B$2865,"&gt;="&amp;$B$21,Seasons!$B$2:$B$2865,"&lt;="&amp;$C$21)</f>
        <v>1</v>
      </c>
      <c r="N522" s="3" t="n">
        <f aca="false">IF(J522="",-1000000,J522+ROW()*0.000000001)</f>
        <v>-10.5630001287224</v>
      </c>
      <c r="O522" s="3" t="n">
        <f aca="false">IF(J522="","",SUMPRODUCT(($A$25:$A$534=A522)*($N$25:$N$534&gt;N522))+1)</f>
        <v>27</v>
      </c>
      <c r="P522" s="3" t="str">
        <f aca="false">A522&amp;"|"&amp;O522</f>
        <v>2020s payroll-adj|27</v>
      </c>
    </row>
    <row r="523" customFormat="false" ht="15" hidden="false" customHeight="true" outlineLevel="0" collapsed="false">
      <c r="A523" s="1" t="s">
        <v>25</v>
      </c>
      <c r="B523" s="7" t="s">
        <v>74</v>
      </c>
      <c r="C523" s="1" t="s">
        <v>72</v>
      </c>
      <c r="D523" s="3" t="n">
        <f aca="false">COUNTIFS(Market_Panel!$A$2:$A$2705,B523,Market_Panel!$B$2:$B$2705,"&gt;="&amp;$B$21,Market_Panel!$B$2:$B$2705,"&lt;="&amp;$C$21)</f>
        <v>6</v>
      </c>
      <c r="E523" s="10" t="n">
        <f aca="false">IF(D523=0,"",AVERAGEIFS(Market_Panel!$M$2:$M$2705,Market_Panel!$A$2:$A$2705,B523,Market_Panel!$B$2:$B$2705,"&gt;="&amp;$B$21,Market_Panel!$B$2:$B$2705,"&lt;="&amp;$C$21))</f>
        <v>0.0605534571044872</v>
      </c>
      <c r="F523" s="11" t="n">
        <f aca="false">IF(D523=0,"",AVERAGEIFS(Market_Panel!$P$2:$P$2705,Market_Panel!$A$2:$A$2705,B523,Market_Panel!$B$2:$B$2705,"&gt;="&amp;$B$21,Market_Panel!$B$2:$B$2705,"&lt;="&amp;$C$21))</f>
        <v>0.97138739717971</v>
      </c>
      <c r="G523" s="11" t="n">
        <f aca="false">IF(D523=0,"",AVERAGEIFS(Market_Panel!$R$2:$R$2705,Market_Panel!$A$2:$A$2705,B523,Market_Panel!$B$2:$B$2705,"&gt;="&amp;$B$21,Market_Panel!$B$2:$B$2705,"&lt;="&amp;$C$21))</f>
        <v>0</v>
      </c>
      <c r="H523" s="11" t="n">
        <f aca="false">IF(OR(D523=0,$H$21=0),0,AVERAGEIFS(Market_Panel!$Y$2:$Y$2705,Market_Panel!$A$2:$A$2705,B523,Market_Panel!$B$2:$B$2705,"&gt;="&amp;$B$21,Market_Panel!$B$2:$B$2705,"&lt;="&amp;$C$21))</f>
        <v>0.365438285162271</v>
      </c>
      <c r="I523" s="10" t="n">
        <f aca="false">IF(D523=0,"",$I$21+$F$21*F523+$G$21*G523+$H$21*H523)</f>
        <v>0.0187975755523422</v>
      </c>
      <c r="J523" s="5" t="n">
        <f aca="false">IF(D523&lt;5,"",(E523-I523)*162)</f>
        <v>6.76445281144749</v>
      </c>
      <c r="K523" s="5" t="n">
        <f aca="false">IF(D523=0,"",E523*162)</f>
        <v>9.80966005092692</v>
      </c>
      <c r="L523" s="3" t="n">
        <f aca="false">SUMIFS(Seasons!$L$2:$L$2865,Seasons!$A$2:$A$2865,B523,Seasons!$B$2:$B$2865,"&gt;="&amp;$B$21,Seasons!$B$2:$B$2865,"&lt;="&amp;$C$21)</f>
        <v>5</v>
      </c>
      <c r="M523" s="3" t="n">
        <f aca="false">SUMIFS(Seasons!$N$2:$N$2865,Seasons!$A$2:$A$2865,B523,Seasons!$B$2:$B$2865,"&gt;="&amp;$B$21,Seasons!$B$2:$B$2865,"&lt;="&amp;$C$21)</f>
        <v>1</v>
      </c>
      <c r="N523" s="3" t="n">
        <f aca="false">IF(J523="",-1000000,J523+ROW()*0.000000001)</f>
        <v>6.76445333444749</v>
      </c>
      <c r="O523" s="3" t="n">
        <f aca="false">IF(J523="","",SUMPRODUCT(($A$25:$A$534=A523)*($N$25:$N$534&gt;N523))+1)</f>
        <v>5</v>
      </c>
      <c r="P523" s="3" t="str">
        <f aca="false">A523&amp;"|"&amp;O523</f>
        <v>2020s payroll-adj|5</v>
      </c>
    </row>
    <row r="524" customFormat="false" ht="15" hidden="false" customHeight="true" outlineLevel="0" collapsed="false">
      <c r="A524" s="1" t="s">
        <v>25</v>
      </c>
      <c r="B524" s="7" t="s">
        <v>75</v>
      </c>
      <c r="C524" s="1" t="s">
        <v>72</v>
      </c>
      <c r="D524" s="3" t="n">
        <f aca="false">COUNTIFS(Market_Panel!$A$2:$A$2705,B524,Market_Panel!$B$2:$B$2705,"&gt;="&amp;$B$21,Market_Panel!$B$2:$B$2705,"&lt;="&amp;$C$21)</f>
        <v>6</v>
      </c>
      <c r="E524" s="10" t="n">
        <f aca="false">IF(D524=0,"",AVERAGEIFS(Market_Panel!$M$2:$M$2705,Market_Panel!$A$2:$A$2705,B524,Market_Panel!$B$2:$B$2705,"&gt;="&amp;$B$21,Market_Panel!$B$2:$B$2705,"&lt;="&amp;$C$21))</f>
        <v>0.00947672474756156</v>
      </c>
      <c r="F524" s="11" t="n">
        <f aca="false">IF(D524=0,"",AVERAGEIFS(Market_Panel!$P$2:$P$2705,Market_Panel!$A$2:$A$2705,B524,Market_Panel!$B$2:$B$2705,"&gt;="&amp;$B$21,Market_Panel!$B$2:$B$2705,"&lt;="&amp;$C$21))</f>
        <v>1.61856951388607</v>
      </c>
      <c r="G524" s="11" t="n">
        <f aca="false">IF(D524=0,"",AVERAGEIFS(Market_Panel!$R$2:$R$2705,Market_Panel!$A$2:$A$2705,B524,Market_Panel!$B$2:$B$2705,"&gt;="&amp;$B$21,Market_Panel!$B$2:$B$2705,"&lt;="&amp;$C$21))</f>
        <v>0</v>
      </c>
      <c r="H524" s="11" t="n">
        <f aca="false">IF(OR(D524=0,$H$21=0),0,AVERAGEIFS(Market_Panel!$Y$2:$Y$2705,Market_Panel!$A$2:$A$2705,B524,Market_Panel!$B$2:$B$2705,"&gt;="&amp;$B$21,Market_Panel!$B$2:$B$2705,"&lt;="&amp;$C$21))</f>
        <v>0.662644142559756</v>
      </c>
      <c r="I524" s="10" t="n">
        <f aca="false">IF(D524=0,"",$I$21+$F$21*F524+$G$21*G524+$H$21*H524)</f>
        <v>0.0358387891280317</v>
      </c>
      <c r="J524" s="5" t="n">
        <f aca="false">IF(D524&lt;5,"",(E524-I524)*162)</f>
        <v>-4.27065442963616</v>
      </c>
      <c r="K524" s="5" t="n">
        <f aca="false">IF(D524=0,"",E524*162)</f>
        <v>1.53522940910497</v>
      </c>
      <c r="L524" s="3" t="n">
        <f aca="false">SUMIFS(Seasons!$L$2:$L$2865,Seasons!$A$2:$A$2865,B524,Seasons!$B$2:$B$2865,"&gt;="&amp;$B$21,Seasons!$B$2:$B$2865,"&lt;="&amp;$C$21)</f>
        <v>2</v>
      </c>
      <c r="M524" s="3" t="n">
        <f aca="false">SUMIFS(Seasons!$N$2:$N$2865,Seasons!$A$2:$A$2865,B524,Seasons!$B$2:$B$2865,"&gt;="&amp;$B$21,Seasons!$B$2:$B$2865,"&lt;="&amp;$C$21)</f>
        <v>0</v>
      </c>
      <c r="N524" s="3" t="n">
        <f aca="false">IF(J524="",-1000000,J524+ROW()*0.000000001)</f>
        <v>-4.27065390563616</v>
      </c>
      <c r="O524" s="3" t="n">
        <f aca="false">IF(J524="","",SUMPRODUCT(($A$25:$A$534=A524)*($N$25:$N$534&gt;N524))+1)</f>
        <v>22</v>
      </c>
      <c r="P524" s="3" t="str">
        <f aca="false">A524&amp;"|"&amp;O524</f>
        <v>2020s payroll-adj|22</v>
      </c>
    </row>
    <row r="525" customFormat="false" ht="15" hidden="false" customHeight="true" outlineLevel="0" collapsed="false">
      <c r="A525" s="1" t="s">
        <v>25</v>
      </c>
      <c r="B525" s="7" t="s">
        <v>76</v>
      </c>
      <c r="C525" s="1" t="s">
        <v>72</v>
      </c>
      <c r="D525" s="3" t="n">
        <f aca="false">COUNTIFS(Market_Panel!$A$2:$A$2705,B525,Market_Panel!$B$2:$B$2705,"&gt;="&amp;$B$21,Market_Panel!$B$2:$B$2705,"&lt;="&amp;$C$21)</f>
        <v>6</v>
      </c>
      <c r="E525" s="10" t="n">
        <f aca="false">IF(D525=0,"",AVERAGEIFS(Market_Panel!$M$2:$M$2705,Market_Panel!$A$2:$A$2705,B525,Market_Panel!$B$2:$B$2705,"&gt;="&amp;$B$21,Market_Panel!$B$2:$B$2705,"&lt;="&amp;$C$21))</f>
        <v>-0.0543092834828911</v>
      </c>
      <c r="F525" s="11" t="n">
        <f aca="false">IF(D525=0,"",AVERAGEIFS(Market_Panel!$P$2:$P$2705,Market_Panel!$A$2:$A$2705,B525,Market_Panel!$B$2:$B$2705,"&gt;="&amp;$B$21,Market_Panel!$B$2:$B$2705,"&lt;="&amp;$C$21))</f>
        <v>-0.54060773182608</v>
      </c>
      <c r="G525" s="11" t="n">
        <f aca="false">IF(D525=0,"",AVERAGEIFS(Market_Panel!$R$2:$R$2705,Market_Panel!$A$2:$A$2705,B525,Market_Panel!$B$2:$B$2705,"&gt;="&amp;$B$21,Market_Panel!$B$2:$B$2705,"&lt;="&amp;$C$21))</f>
        <v>0</v>
      </c>
      <c r="H525" s="11" t="n">
        <f aca="false">IF(OR(D525=0,$H$21=0),0,AVERAGEIFS(Market_Panel!$Y$2:$Y$2705,Market_Panel!$A$2:$A$2705,B525,Market_Panel!$B$2:$B$2705,"&gt;="&amp;$B$21,Market_Panel!$B$2:$B$2705,"&lt;="&amp;$C$21))</f>
        <v>-0.302513529995221</v>
      </c>
      <c r="I525" s="10" t="n">
        <f aca="false">IF(D525=0,"",$I$21+$F$21*F525+$G$21*G525+$H$21*H525)</f>
        <v>-0.0187957199060333</v>
      </c>
      <c r="J525" s="5" t="n">
        <f aca="false">IF(D525&lt;5,"",(E525-I525)*162)</f>
        <v>-5.75319729945096</v>
      </c>
      <c r="K525" s="5" t="n">
        <f aca="false">IF(D525=0,"",E525*162)</f>
        <v>-8.79810392422836</v>
      </c>
      <c r="L525" s="3" t="n">
        <f aca="false">SUMIFS(Seasons!$L$2:$L$2865,Seasons!$A$2:$A$2865,B525,Seasons!$B$2:$B$2865,"&gt;="&amp;$B$21,Seasons!$B$2:$B$2865,"&lt;="&amp;$C$21)</f>
        <v>1</v>
      </c>
      <c r="M525" s="3" t="n">
        <f aca="false">SUMIFS(Seasons!$N$2:$N$2865,Seasons!$A$2:$A$2865,B525,Seasons!$B$2:$B$2865,"&gt;="&amp;$B$21,Seasons!$B$2:$B$2865,"&lt;="&amp;$C$21)</f>
        <v>0</v>
      </c>
      <c r="N525" s="3" t="n">
        <f aca="false">IF(J525="",-1000000,J525+ROW()*0.000000001)</f>
        <v>-5.75319677445096</v>
      </c>
      <c r="O525" s="3" t="n">
        <f aca="false">IF(J525="","",SUMPRODUCT(($A$25:$A$534=A525)*($N$25:$N$534&gt;N525))+1)</f>
        <v>24</v>
      </c>
      <c r="P525" s="3" t="str">
        <f aca="false">A525&amp;"|"&amp;O525</f>
        <v>2020s payroll-adj|24</v>
      </c>
    </row>
    <row r="526" customFormat="false" ht="15" hidden="false" customHeight="true" outlineLevel="0" collapsed="false">
      <c r="A526" s="1" t="s">
        <v>25</v>
      </c>
      <c r="B526" s="7" t="s">
        <v>77</v>
      </c>
      <c r="C526" s="1" t="s">
        <v>72</v>
      </c>
      <c r="D526" s="3" t="n">
        <f aca="false">COUNTIFS(Market_Panel!$A$2:$A$2705,B526,Market_Panel!$B$2:$B$2705,"&gt;="&amp;$B$21,Market_Panel!$B$2:$B$2705,"&lt;="&amp;$C$21)</f>
        <v>6</v>
      </c>
      <c r="E526" s="10" t="n">
        <f aca="false">IF(D526=0,"",AVERAGEIFS(Market_Panel!$M$2:$M$2705,Market_Panel!$A$2:$A$2705,B526,Market_Panel!$B$2:$B$2705,"&gt;="&amp;$B$21,Market_Panel!$B$2:$B$2705,"&lt;="&amp;$C$21))</f>
        <v>0.0569047082866562</v>
      </c>
      <c r="F526" s="11" t="n">
        <f aca="false">IF(D526=0,"",AVERAGEIFS(Market_Panel!$P$2:$P$2705,Market_Panel!$A$2:$A$2705,B526,Market_Panel!$B$2:$B$2705,"&gt;="&amp;$B$21,Market_Panel!$B$2:$B$2705,"&lt;="&amp;$C$21))</f>
        <v>-0.413039387855493</v>
      </c>
      <c r="G526" s="11" t="n">
        <f aca="false">IF(D526=0,"",AVERAGEIFS(Market_Panel!$R$2:$R$2705,Market_Panel!$A$2:$A$2705,B526,Market_Panel!$B$2:$B$2705,"&gt;="&amp;$B$21,Market_Panel!$B$2:$B$2705,"&lt;="&amp;$C$21))</f>
        <v>0</v>
      </c>
      <c r="H526" s="11" t="n">
        <f aca="false">IF(OR(D526=0,$H$21=0),0,AVERAGEIFS(Market_Panel!$Y$2:$Y$2705,Market_Panel!$A$2:$A$2705,B526,Market_Panel!$B$2:$B$2705,"&gt;="&amp;$B$21,Market_Panel!$B$2:$B$2705,"&lt;="&amp;$C$21))</f>
        <v>-0.198795470319951</v>
      </c>
      <c r="I526" s="10" t="n">
        <f aca="false">IF(D526=0,"",$I$21+$F$21*F526+$G$21*G526+$H$21*H526)</f>
        <v>-0.0116422107644386</v>
      </c>
      <c r="J526" s="5" t="n">
        <f aca="false">IF(D526&lt;5,"",(E526-I526)*162)</f>
        <v>11.1046008862774</v>
      </c>
      <c r="K526" s="5" t="n">
        <f aca="false">IF(D526=0,"",E526*162)</f>
        <v>9.21856274243831</v>
      </c>
      <c r="L526" s="3" t="n">
        <f aca="false">SUMIFS(Seasons!$L$2:$L$2865,Seasons!$A$2:$A$2865,B526,Seasons!$B$2:$B$2865,"&gt;="&amp;$B$21,Seasons!$B$2:$B$2865,"&lt;="&amp;$C$21)</f>
        <v>5</v>
      </c>
      <c r="M526" s="3" t="n">
        <f aca="false">SUMIFS(Seasons!$N$2:$N$2865,Seasons!$A$2:$A$2865,B526,Seasons!$B$2:$B$2865,"&gt;="&amp;$B$21,Seasons!$B$2:$B$2865,"&lt;="&amp;$C$21)</f>
        <v>0</v>
      </c>
      <c r="N526" s="3" t="n">
        <f aca="false">IF(J526="",-1000000,J526+ROW()*0.000000001)</f>
        <v>11.1046014122773</v>
      </c>
      <c r="O526" s="3" t="n">
        <f aca="false">IF(J526="","",SUMPRODUCT(($A$25:$A$534=A526)*($N$25:$N$534&gt;N526))+1)</f>
        <v>4</v>
      </c>
      <c r="P526" s="3" t="str">
        <f aca="false">A526&amp;"|"&amp;O526</f>
        <v>2020s payroll-adj|4</v>
      </c>
    </row>
    <row r="527" customFormat="false" ht="15" hidden="false" customHeight="true" outlineLevel="0" collapsed="false">
      <c r="A527" s="1" t="s">
        <v>25</v>
      </c>
      <c r="B527" s="7" t="s">
        <v>78</v>
      </c>
      <c r="C527" s="1" t="s">
        <v>72</v>
      </c>
      <c r="D527" s="3" t="n">
        <f aca="false">COUNTIFS(Market_Panel!$A$2:$A$2705,B527,Market_Panel!$B$2:$B$2705,"&gt;="&amp;$B$21,Market_Panel!$B$2:$B$2705,"&lt;="&amp;$C$21)</f>
        <v>6</v>
      </c>
      <c r="E527" s="10" t="n">
        <f aca="false">IF(D527=0,"",AVERAGEIFS(Market_Panel!$M$2:$M$2705,Market_Panel!$A$2:$A$2705,B527,Market_Panel!$B$2:$B$2705,"&gt;="&amp;$B$21,Market_Panel!$B$2:$B$2705,"&lt;="&amp;$C$21))</f>
        <v>0.0482627329780142</v>
      </c>
      <c r="F527" s="11" t="n">
        <f aca="false">IF(D527=0,"",AVERAGEIFS(Market_Panel!$P$2:$P$2705,Market_Panel!$A$2:$A$2705,B527,Market_Panel!$B$2:$B$2705,"&gt;="&amp;$B$21,Market_Panel!$B$2:$B$2705,"&lt;="&amp;$C$21))</f>
        <v>0.463583063369741</v>
      </c>
      <c r="G527" s="11" t="n">
        <f aca="false">IF(D527=0,"",AVERAGEIFS(Market_Panel!$R$2:$R$2705,Market_Panel!$A$2:$A$2705,B527,Market_Panel!$B$2:$B$2705,"&gt;="&amp;$B$21,Market_Panel!$B$2:$B$2705,"&lt;="&amp;$C$21))</f>
        <v>0</v>
      </c>
      <c r="H527" s="11" t="n">
        <f aca="false">IF(OR(D527=0,$H$21=0),0,AVERAGEIFS(Market_Panel!$Y$2:$Y$2705,Market_Panel!$A$2:$A$2705,B527,Market_Panel!$B$2:$B$2705,"&gt;="&amp;$B$21,Market_Panel!$B$2:$B$2705,"&lt;="&amp;$C$21))</f>
        <v>0.357942444142305</v>
      </c>
      <c r="I527" s="10" t="n">
        <f aca="false">IF(D527=0,"",$I$21+$F$21*F527+$G$21*G527+$H$21*H527)</f>
        <v>0.0244011435637224</v>
      </c>
      <c r="J527" s="5" t="n">
        <f aca="false">IF(D527&lt;5,"",(E527-I527)*162)</f>
        <v>3.86557748511527</v>
      </c>
      <c r="K527" s="5" t="n">
        <f aca="false">IF(D527=0,"",E527*162)</f>
        <v>7.81856274243831</v>
      </c>
      <c r="L527" s="3" t="n">
        <f aca="false">SUMIFS(Seasons!$L$2:$L$2865,Seasons!$A$2:$A$2865,B527,Seasons!$B$2:$B$2865,"&gt;="&amp;$B$21,Seasons!$B$2:$B$2865,"&lt;="&amp;$C$21)</f>
        <v>4</v>
      </c>
      <c r="M527" s="3" t="n">
        <f aca="false">SUMIFS(Seasons!$N$2:$N$2865,Seasons!$A$2:$A$2865,B527,Seasons!$B$2:$B$2865,"&gt;="&amp;$B$21,Seasons!$B$2:$B$2865,"&lt;="&amp;$C$21)</f>
        <v>0</v>
      </c>
      <c r="N527" s="3" t="n">
        <f aca="false">IF(J527="",-1000000,J527+ROW()*0.000000001)</f>
        <v>3.86557801211527</v>
      </c>
      <c r="O527" s="3" t="n">
        <f aca="false">IF(J527="","",SUMPRODUCT(($A$25:$A$534=A527)*($N$25:$N$534&gt;N527))+1)</f>
        <v>11</v>
      </c>
      <c r="P527" s="3" t="str">
        <f aca="false">A527&amp;"|"&amp;O527</f>
        <v>2020s payroll-adj|11</v>
      </c>
    </row>
    <row r="528" customFormat="false" ht="15" hidden="false" customHeight="true" outlineLevel="0" collapsed="false">
      <c r="A528" s="1" t="s">
        <v>25</v>
      </c>
      <c r="B528" s="7" t="s">
        <v>79</v>
      </c>
      <c r="C528" s="1" t="s">
        <v>72</v>
      </c>
      <c r="D528" s="3" t="n">
        <f aca="false">COUNTIFS(Market_Panel!$A$2:$A$2705,B528,Market_Panel!$B$2:$B$2705,"&gt;="&amp;$B$21,Market_Panel!$B$2:$B$2705,"&lt;="&amp;$C$21)</f>
        <v>6</v>
      </c>
      <c r="E528" s="10" t="n">
        <f aca="false">IF(D528=0,"",AVERAGEIFS(Market_Panel!$M$2:$M$2705,Market_Panel!$A$2:$A$2705,B528,Market_Panel!$B$2:$B$2705,"&gt;="&amp;$B$21,Market_Panel!$B$2:$B$2705,"&lt;="&amp;$C$21))</f>
        <v>-0.090317513935566</v>
      </c>
      <c r="F528" s="11" t="n">
        <f aca="false">IF(D528=0,"",AVERAGEIFS(Market_Panel!$P$2:$P$2705,Market_Panel!$A$2:$A$2705,B528,Market_Panel!$B$2:$B$2705,"&gt;="&amp;$B$21,Market_Panel!$B$2:$B$2705,"&lt;="&amp;$C$21))</f>
        <v>-0.2352343692787</v>
      </c>
      <c r="G528" s="11" t="n">
        <f aca="false">IF(D528=0,"",AVERAGEIFS(Market_Panel!$R$2:$R$2705,Market_Panel!$A$2:$A$2705,B528,Market_Panel!$B$2:$B$2705,"&gt;="&amp;$B$21,Market_Panel!$B$2:$B$2705,"&lt;="&amp;$C$21))</f>
        <v>0</v>
      </c>
      <c r="H528" s="11" t="n">
        <f aca="false">IF(OR(D528=0,$H$21=0),0,AVERAGEIFS(Market_Panel!$Y$2:$Y$2705,Market_Panel!$A$2:$A$2705,B528,Market_Panel!$B$2:$B$2705,"&gt;="&amp;$B$21,Market_Panel!$B$2:$B$2705,"&lt;="&amp;$C$21))</f>
        <v>-0.0508359591162713</v>
      </c>
      <c r="I528" s="10" t="n">
        <f aca="false">IF(D528=0,"",$I$21+$F$21*F528+$G$21*G528+$H$21*H528)</f>
        <v>-0.00138604545629969</v>
      </c>
      <c r="J528" s="5" t="n">
        <f aca="false">IF(D528&lt;5,"",(E528-I528)*162)</f>
        <v>-14.4068978936411</v>
      </c>
      <c r="K528" s="5" t="n">
        <f aca="false">IF(D528=0,"",E528*162)</f>
        <v>-14.6314372575617</v>
      </c>
      <c r="L528" s="3" t="n">
        <f aca="false">SUMIFS(Seasons!$L$2:$L$2865,Seasons!$A$2:$A$2865,B528,Seasons!$B$2:$B$2865,"&gt;="&amp;$B$21,Seasons!$B$2:$B$2865,"&lt;="&amp;$C$21)</f>
        <v>0</v>
      </c>
      <c r="M528" s="3" t="n">
        <f aca="false">SUMIFS(Seasons!$N$2:$N$2865,Seasons!$A$2:$A$2865,B528,Seasons!$B$2:$B$2865,"&gt;="&amp;$B$21,Seasons!$B$2:$B$2865,"&lt;="&amp;$C$21)</f>
        <v>0</v>
      </c>
      <c r="N528" s="3" t="n">
        <f aca="false">IF(J528="",-1000000,J528+ROW()*0.000000001)</f>
        <v>-14.4068973656411</v>
      </c>
      <c r="O528" s="3" t="n">
        <f aca="false">IF(J528="","",SUMPRODUCT(($A$25:$A$534=A528)*($N$25:$N$534&gt;N528))+1)</f>
        <v>29</v>
      </c>
      <c r="P528" s="3" t="str">
        <f aca="false">A528&amp;"|"&amp;O528</f>
        <v>2020s payroll-adj|29</v>
      </c>
    </row>
    <row r="529" customFormat="false" ht="15" hidden="false" customHeight="true" outlineLevel="0" collapsed="false">
      <c r="A529" s="1" t="s">
        <v>25</v>
      </c>
      <c r="B529" s="7" t="s">
        <v>80</v>
      </c>
      <c r="C529" s="1" t="s">
        <v>72</v>
      </c>
      <c r="D529" s="3" t="n">
        <f aca="false">COUNTIFS(Market_Panel!$A$2:$A$2705,B529,Market_Panel!$B$2:$B$2705,"&gt;="&amp;$B$21,Market_Panel!$B$2:$B$2705,"&lt;="&amp;$C$21)</f>
        <v>6</v>
      </c>
      <c r="E529" s="10" t="n">
        <f aca="false">IF(D529=0,"",AVERAGEIFS(Market_Panel!$M$2:$M$2705,Market_Panel!$A$2:$A$2705,B529,Market_Panel!$B$2:$B$2705,"&gt;="&amp;$B$21,Market_Panel!$B$2:$B$2705,"&lt;="&amp;$C$21))</f>
        <v>0.0307730210438579</v>
      </c>
      <c r="F529" s="11" t="n">
        <f aca="false">IF(D529=0,"",AVERAGEIFS(Market_Panel!$P$2:$P$2705,Market_Panel!$A$2:$A$2705,B529,Market_Panel!$B$2:$B$2705,"&gt;="&amp;$B$21,Market_Panel!$B$2:$B$2705,"&lt;="&amp;$C$21))</f>
        <v>-0.168658084303196</v>
      </c>
      <c r="G529" s="11" t="n">
        <f aca="false">IF(D529=0,"",AVERAGEIFS(Market_Panel!$R$2:$R$2705,Market_Panel!$A$2:$A$2705,B529,Market_Panel!$B$2:$B$2705,"&gt;="&amp;$B$21,Market_Panel!$B$2:$B$2705,"&lt;="&amp;$C$21))</f>
        <v>0</v>
      </c>
      <c r="H529" s="11" t="n">
        <f aca="false">IF(OR(D529=0,$H$21=0),0,AVERAGEIFS(Market_Panel!$Y$2:$Y$2705,Market_Panel!$A$2:$A$2705,B529,Market_Panel!$B$2:$B$2705,"&gt;="&amp;$B$21,Market_Panel!$B$2:$B$2705,"&lt;="&amp;$C$21))</f>
        <v>-0.110905436118408</v>
      </c>
      <c r="I529" s="10" t="n">
        <f aca="false">IF(D529=0,"",$I$21+$F$21*F529+$G$21*G529+$H$21*H529)</f>
        <v>-0.00725333574864811</v>
      </c>
      <c r="J529" s="5" t="n">
        <f aca="false">IF(D529&lt;5,"",(E529-I529)*162)</f>
        <v>6.16026980038597</v>
      </c>
      <c r="K529" s="5" t="n">
        <f aca="false">IF(D529=0,"",E529*162)</f>
        <v>4.98522940910497</v>
      </c>
      <c r="L529" s="3" t="n">
        <f aca="false">SUMIFS(Seasons!$L$2:$L$2865,Seasons!$A$2:$A$2865,B529,Seasons!$B$2:$B$2865,"&gt;="&amp;$B$21,Seasons!$B$2:$B$2865,"&lt;="&amp;$C$21)</f>
        <v>2</v>
      </c>
      <c r="M529" s="3" t="n">
        <f aca="false">SUMIFS(Seasons!$N$2:$N$2865,Seasons!$A$2:$A$2865,B529,Seasons!$B$2:$B$2865,"&gt;="&amp;$B$21,Seasons!$B$2:$B$2865,"&lt;="&amp;$C$21)</f>
        <v>0</v>
      </c>
      <c r="N529" s="3" t="n">
        <f aca="false">IF(J529="",-1000000,J529+ROW()*0.000000001)</f>
        <v>6.16027032938597</v>
      </c>
      <c r="O529" s="3" t="n">
        <f aca="false">IF(J529="","",SUMPRODUCT(($A$25:$A$534=A529)*($N$25:$N$534&gt;N529))+1)</f>
        <v>7</v>
      </c>
      <c r="P529" s="3" t="str">
        <f aca="false">A529&amp;"|"&amp;O529</f>
        <v>2020s payroll-adj|7</v>
      </c>
    </row>
    <row r="530" customFormat="false" ht="15" hidden="false" customHeight="true" outlineLevel="0" collapsed="false">
      <c r="A530" s="1" t="s">
        <v>25</v>
      </c>
      <c r="B530" s="7" t="s">
        <v>81</v>
      </c>
      <c r="C530" s="1" t="s">
        <v>72</v>
      </c>
      <c r="D530" s="3" t="n">
        <f aca="false">COUNTIFS(Market_Panel!$A$2:$A$2705,B530,Market_Panel!$B$2:$B$2705,"&gt;="&amp;$B$21,Market_Panel!$B$2:$B$2705,"&lt;="&amp;$C$21)</f>
        <v>6</v>
      </c>
      <c r="E530" s="10" t="n">
        <f aca="false">IF(D530=0,"",AVERAGEIFS(Market_Panel!$M$2:$M$2705,Market_Panel!$A$2:$A$2705,B530,Market_Panel!$B$2:$B$2705,"&gt;="&amp;$B$21,Market_Panel!$B$2:$B$2705,"&lt;="&amp;$C$21))</f>
        <v>0.0415754901796603</v>
      </c>
      <c r="F530" s="11" t="n">
        <f aca="false">IF(D530=0,"",AVERAGEIFS(Market_Panel!$P$2:$P$2705,Market_Panel!$A$2:$A$2705,B530,Market_Panel!$B$2:$B$2705,"&gt;="&amp;$B$21,Market_Panel!$B$2:$B$2705,"&lt;="&amp;$C$21))</f>
        <v>1.16409061852442</v>
      </c>
      <c r="G530" s="11" t="n">
        <f aca="false">IF(D530=0,"",AVERAGEIFS(Market_Panel!$R$2:$R$2705,Market_Panel!$A$2:$A$2705,B530,Market_Panel!$B$2:$B$2705,"&gt;="&amp;$B$21,Market_Panel!$B$2:$B$2705,"&lt;="&amp;$C$21))</f>
        <v>0</v>
      </c>
      <c r="H530" s="11" t="n">
        <f aca="false">IF(OR(D530=0,$H$21=0),0,AVERAGEIFS(Market_Panel!$Y$2:$Y$2705,Market_Panel!$A$2:$A$2705,B530,Market_Panel!$B$2:$B$2705,"&gt;="&amp;$B$21,Market_Panel!$B$2:$B$2705,"&lt;="&amp;$C$21))</f>
        <v>0.26570153996289</v>
      </c>
      <c r="I530" s="10" t="n">
        <f aca="false">IF(D530=0,"",$I$21+$F$21*F530+$G$21*G530+$H$21*H530)</f>
        <v>0.00804716168951341</v>
      </c>
      <c r="J530" s="5" t="n">
        <f aca="false">IF(D530&lt;5,"",(E530-I530)*162)</f>
        <v>5.4315892154038</v>
      </c>
      <c r="K530" s="5" t="n">
        <f aca="false">IF(D530=0,"",E530*162)</f>
        <v>6.73522940910497</v>
      </c>
      <c r="L530" s="3" t="n">
        <f aca="false">SUMIFS(Seasons!$L$2:$L$2865,Seasons!$A$2:$A$2865,B530,Seasons!$B$2:$B$2865,"&gt;="&amp;$B$21,Seasons!$B$2:$B$2865,"&lt;="&amp;$C$21)</f>
        <v>4</v>
      </c>
      <c r="M530" s="3" t="n">
        <f aca="false">SUMIFS(Seasons!$N$2:$N$2865,Seasons!$A$2:$A$2865,B530,Seasons!$B$2:$B$2865,"&gt;="&amp;$B$21,Seasons!$B$2:$B$2865,"&lt;="&amp;$C$21)</f>
        <v>0</v>
      </c>
      <c r="N530" s="3" t="n">
        <f aca="false">IF(J530="",-1000000,J530+ROW()*0.000000001)</f>
        <v>5.4315897454038</v>
      </c>
      <c r="O530" s="3" t="n">
        <f aca="false">IF(J530="","",SUMPRODUCT(($A$25:$A$534=A530)*($N$25:$N$534&gt;N530))+1)</f>
        <v>9</v>
      </c>
      <c r="P530" s="3" t="str">
        <f aca="false">A530&amp;"|"&amp;O530</f>
        <v>2020s payroll-adj|9</v>
      </c>
    </row>
    <row r="531" customFormat="false" ht="15" hidden="false" customHeight="true" outlineLevel="0" collapsed="false">
      <c r="A531" s="1" t="s">
        <v>25</v>
      </c>
      <c r="B531" s="7" t="s">
        <v>82</v>
      </c>
      <c r="C531" s="1" t="s">
        <v>72</v>
      </c>
      <c r="D531" s="3" t="n">
        <f aca="false">COUNTIFS(Market_Panel!$A$2:$A$2705,B531,Market_Panel!$B$2:$B$2705,"&gt;="&amp;$B$21,Market_Panel!$B$2:$B$2705,"&lt;="&amp;$C$21)</f>
        <v>6</v>
      </c>
      <c r="E531" s="10" t="n">
        <f aca="false">IF(D531=0,"",AVERAGEIFS(Market_Panel!$M$2:$M$2705,Market_Panel!$A$2:$A$2705,B531,Market_Panel!$B$2:$B$2705,"&gt;="&amp;$B$21,Market_Panel!$B$2:$B$2705,"&lt;="&amp;$C$21))</f>
        <v>-0.113507197753269</v>
      </c>
      <c r="F531" s="11" t="n">
        <f aca="false">IF(D531=0,"",AVERAGEIFS(Market_Panel!$P$2:$P$2705,Market_Panel!$A$2:$A$2705,B531,Market_Panel!$B$2:$B$2705,"&gt;="&amp;$B$21,Market_Panel!$B$2:$B$2705,"&lt;="&amp;$C$21))</f>
        <v>-0.1982539828143</v>
      </c>
      <c r="G531" s="11" t="n">
        <f aca="false">IF(D531=0,"",AVERAGEIFS(Market_Panel!$R$2:$R$2705,Market_Panel!$A$2:$A$2705,B531,Market_Panel!$B$2:$B$2705,"&gt;="&amp;$B$21,Market_Panel!$B$2:$B$2705,"&lt;="&amp;$C$21))</f>
        <v>0</v>
      </c>
      <c r="H531" s="11" t="n">
        <f aca="false">IF(OR(D531=0,$H$21=0),0,AVERAGEIFS(Market_Panel!$Y$2:$Y$2705,Market_Panel!$A$2:$A$2705,B531,Market_Panel!$B$2:$B$2705,"&gt;="&amp;$B$21,Market_Panel!$B$2:$B$2705,"&lt;="&amp;$C$21))</f>
        <v>-0.0110387250257317</v>
      </c>
      <c r="I531" s="10" t="n">
        <f aca="false">IF(D531=0,"",$I$21+$F$21*F531+$G$21*G531+$H$21*H531)</f>
        <v>0.001505720197931</v>
      </c>
      <c r="J531" s="5" t="n">
        <f aca="false">IF(D531&lt;5,"",(E531-I531)*162)</f>
        <v>-18.6320927080944</v>
      </c>
      <c r="K531" s="5" t="n">
        <f aca="false">IF(D531=0,"",E531*162)</f>
        <v>-18.3881660360296</v>
      </c>
      <c r="L531" s="3" t="n">
        <f aca="false">SUMIFS(Seasons!$L$2:$L$2865,Seasons!$A$2:$A$2865,B531,Seasons!$B$2:$B$2865,"&gt;="&amp;$B$21,Seasons!$B$2:$B$2865,"&lt;="&amp;$C$21)</f>
        <v>0</v>
      </c>
      <c r="M531" s="3" t="n">
        <f aca="false">SUMIFS(Seasons!$N$2:$N$2865,Seasons!$A$2:$A$2865,B531,Seasons!$B$2:$B$2865,"&gt;="&amp;$B$21,Seasons!$B$2:$B$2865,"&lt;="&amp;$C$21)</f>
        <v>0</v>
      </c>
      <c r="N531" s="3" t="n">
        <f aca="false">IF(J531="",-1000000,J531+ROW()*0.000000001)</f>
        <v>-18.6320921770944</v>
      </c>
      <c r="O531" s="3" t="n">
        <f aca="false">IF(J531="","",SUMPRODUCT(($A$25:$A$534=A531)*($N$25:$N$534&gt;N531))+1)</f>
        <v>30</v>
      </c>
      <c r="P531" s="3" t="str">
        <f aca="false">A531&amp;"|"&amp;O531</f>
        <v>2020s payroll-adj|30</v>
      </c>
    </row>
    <row r="532" customFormat="false" ht="15" hidden="false" customHeight="true" outlineLevel="0" collapsed="false">
      <c r="A532" s="1" t="s">
        <v>25</v>
      </c>
      <c r="B532" s="7" t="s">
        <v>83</v>
      </c>
      <c r="C532" s="1" t="s">
        <v>72</v>
      </c>
      <c r="D532" s="3" t="n">
        <f aca="false">COUNTIFS(Market_Panel!$A$2:$A$2705,B532,Market_Panel!$B$2:$B$2705,"&gt;="&amp;$B$21,Market_Panel!$B$2:$B$2705,"&lt;="&amp;$C$21)</f>
        <v>6</v>
      </c>
      <c r="E532" s="10" t="n">
        <f aca="false">IF(D532=0,"",AVERAGEIFS(Market_Panel!$M$2:$M$2705,Market_Panel!$A$2:$A$2705,B532,Market_Panel!$B$2:$B$2705,"&gt;="&amp;$B$21,Market_Panel!$B$2:$B$2705,"&lt;="&amp;$C$21))</f>
        <v>-0.0424780077627265</v>
      </c>
      <c r="F532" s="11" t="n">
        <f aca="false">IF(D532=0,"",AVERAGEIFS(Market_Panel!$P$2:$P$2705,Market_Panel!$A$2:$A$2705,B532,Market_Panel!$B$2:$B$2705,"&gt;="&amp;$B$21,Market_Panel!$B$2:$B$2705,"&lt;="&amp;$C$21))</f>
        <v>-0.679411346714641</v>
      </c>
      <c r="G532" s="11" t="n">
        <f aca="false">IF(D532=0,"",AVERAGEIFS(Market_Panel!$R$2:$R$2705,Market_Panel!$A$2:$A$2705,B532,Market_Panel!$B$2:$B$2705,"&gt;="&amp;$B$21,Market_Panel!$B$2:$B$2705,"&lt;="&amp;$C$21))</f>
        <v>0</v>
      </c>
      <c r="H532" s="11" t="n">
        <f aca="false">IF(OR(D532=0,$H$21=0),0,AVERAGEIFS(Market_Panel!$Y$2:$Y$2705,Market_Panel!$A$2:$A$2705,B532,Market_Panel!$B$2:$B$2705,"&gt;="&amp;$B$21,Market_Panel!$B$2:$B$2705,"&lt;="&amp;$C$21))</f>
        <v>-0.529852022413589</v>
      </c>
      <c r="I532" s="10" t="n">
        <f aca="false">IF(D532=0,"",$I$21+$F$21*F532+$G$21*G532+$H$21*H532)</f>
        <v>-0.0362040094975375</v>
      </c>
      <c r="J532" s="5" t="n">
        <f aca="false">IF(D532&lt;5,"",(E532-I532)*162)</f>
        <v>-1.01638771896062</v>
      </c>
      <c r="K532" s="5" t="n">
        <f aca="false">IF(D532=0,"",E532*162)</f>
        <v>-6.8814372575617</v>
      </c>
      <c r="L532" s="3" t="n">
        <f aca="false">SUMIFS(Seasons!$L$2:$L$2865,Seasons!$A$2:$A$2865,B532,Seasons!$B$2:$B$2865,"&gt;="&amp;$B$21,Seasons!$B$2:$B$2865,"&lt;="&amp;$C$21)</f>
        <v>2</v>
      </c>
      <c r="M532" s="3" t="n">
        <f aca="false">SUMIFS(Seasons!$N$2:$N$2865,Seasons!$A$2:$A$2865,B532,Seasons!$B$2:$B$2865,"&gt;="&amp;$B$21,Seasons!$B$2:$B$2865,"&lt;="&amp;$C$21)</f>
        <v>0</v>
      </c>
      <c r="N532" s="3" t="n">
        <f aca="false">IF(J532="",-1000000,J532+ROW()*0.000000001)</f>
        <v>-1.01638718696062</v>
      </c>
      <c r="O532" s="3" t="n">
        <f aca="false">IF(J532="","",SUMPRODUCT(($A$25:$A$534=A532)*($N$25:$N$534&gt;N532))+1)</f>
        <v>16</v>
      </c>
      <c r="P532" s="3" t="str">
        <f aca="false">A532&amp;"|"&amp;O532</f>
        <v>2020s payroll-adj|16</v>
      </c>
    </row>
    <row r="533" customFormat="false" ht="15" hidden="false" customHeight="true" outlineLevel="0" collapsed="false">
      <c r="A533" s="1" t="s">
        <v>25</v>
      </c>
      <c r="B533" s="7" t="s">
        <v>84</v>
      </c>
      <c r="C533" s="1" t="s">
        <v>72</v>
      </c>
      <c r="D533" s="3" t="n">
        <f aca="false">COUNTIFS(Market_Panel!$A$2:$A$2705,B533,Market_Panel!$B$2:$B$2705,"&gt;="&amp;$B$21,Market_Panel!$B$2:$B$2705,"&lt;="&amp;$C$21)</f>
        <v>6</v>
      </c>
      <c r="E533" s="10" t="n">
        <f aca="false">IF(D533=0,"",AVERAGEIFS(Market_Panel!$M$2:$M$2705,Market_Panel!$A$2:$A$2705,B533,Market_Panel!$B$2:$B$2705,"&gt;="&amp;$B$21,Market_Panel!$B$2:$B$2705,"&lt;="&amp;$C$21))</f>
        <v>-0.0406261559108747</v>
      </c>
      <c r="F533" s="11" t="n">
        <f aca="false">IF(D533=0,"",AVERAGEIFS(Market_Panel!$P$2:$P$2705,Market_Panel!$A$2:$A$2705,B533,Market_Panel!$B$2:$B$2705,"&gt;="&amp;$B$21,Market_Panel!$B$2:$B$2705,"&lt;="&amp;$C$21))</f>
        <v>0.611566559722055</v>
      </c>
      <c r="G533" s="11" t="n">
        <f aca="false">IF(D533=0,"",AVERAGEIFS(Market_Panel!$R$2:$R$2705,Market_Panel!$A$2:$A$2705,B533,Market_Panel!$B$2:$B$2705,"&gt;="&amp;$B$21,Market_Panel!$B$2:$B$2705,"&lt;="&amp;$C$21))</f>
        <v>0</v>
      </c>
      <c r="H533" s="11" t="n">
        <f aca="false">IF(OR(D533=0,$H$21=0),0,AVERAGEIFS(Market_Panel!$Y$2:$Y$2705,Market_Panel!$A$2:$A$2705,B533,Market_Panel!$B$2:$B$2705,"&gt;="&amp;$B$21,Market_Panel!$B$2:$B$2705,"&lt;="&amp;$C$21))</f>
        <v>-0.140386307731445</v>
      </c>
      <c r="I533" s="10" t="n">
        <f aca="false">IF(D533=0,"",$I$21+$F$21*F533+$G$21*G533+$H$21*H533)</f>
        <v>-0.0193097120229747</v>
      </c>
      <c r="J533" s="5" t="n">
        <f aca="false">IF(D533&lt;5,"",(E533-I533)*162)</f>
        <v>-3.45326390983979</v>
      </c>
      <c r="K533" s="5" t="n">
        <f aca="false">IF(D533=0,"",E533*162)</f>
        <v>-6.5814372575617</v>
      </c>
      <c r="L533" s="3" t="n">
        <f aca="false">SUMIFS(Seasons!$L$2:$L$2865,Seasons!$A$2:$A$2865,B533,Seasons!$B$2:$B$2865,"&gt;="&amp;$B$21,Seasons!$B$2:$B$2865,"&lt;="&amp;$C$21)</f>
        <v>1</v>
      </c>
      <c r="M533" s="3" t="n">
        <f aca="false">SUMIFS(Seasons!$N$2:$N$2865,Seasons!$A$2:$A$2865,B533,Seasons!$B$2:$B$2865,"&gt;="&amp;$B$21,Seasons!$B$2:$B$2865,"&lt;="&amp;$C$21)</f>
        <v>0</v>
      </c>
      <c r="N533" s="3" t="n">
        <f aca="false">IF(J533="",-1000000,J533+ROW()*0.000000001)</f>
        <v>-3.45326337683979</v>
      </c>
      <c r="O533" s="3" t="n">
        <f aca="false">IF(J533="","",SUMPRODUCT(($A$25:$A$534=A533)*($N$25:$N$534&gt;N533))+1)</f>
        <v>21</v>
      </c>
      <c r="P533" s="3" t="str">
        <f aca="false">A533&amp;"|"&amp;O533</f>
        <v>2020s payroll-adj|21</v>
      </c>
    </row>
    <row r="534" customFormat="false" ht="15" hidden="false" customHeight="true" outlineLevel="0" collapsed="false">
      <c r="A534" s="1" t="s">
        <v>25</v>
      </c>
      <c r="B534" s="7" t="s">
        <v>85</v>
      </c>
      <c r="C534" s="1" t="s">
        <v>72</v>
      </c>
      <c r="D534" s="3" t="n">
        <f aca="false">COUNTIFS(Market_Panel!$A$2:$A$2705,B534,Market_Panel!$B$2:$B$2705,"&gt;="&amp;$B$21,Market_Panel!$B$2:$B$2705,"&lt;="&amp;$C$21)</f>
        <v>6</v>
      </c>
      <c r="E534" s="10" t="n">
        <f aca="false">IF(D534=0,"",AVERAGEIFS(Market_Panel!$M$2:$M$2705,Market_Panel!$A$2:$A$2705,B534,Market_Panel!$B$2:$B$2705,"&gt;="&amp;$B$21,Market_Panel!$B$2:$B$2705,"&lt;="&amp;$C$21))</f>
        <v>0.0658553255706068</v>
      </c>
      <c r="F534" s="11" t="n">
        <f aca="false">IF(D534=0,"",AVERAGEIFS(Market_Panel!$P$2:$P$2705,Market_Panel!$A$2:$A$2705,B534,Market_Panel!$B$2:$B$2705,"&gt;="&amp;$B$21,Market_Panel!$B$2:$B$2705,"&lt;="&amp;$C$21))</f>
        <v>-0.81812949395651</v>
      </c>
      <c r="G534" s="11" t="n">
        <f aca="false">IF(D534=0,"",AVERAGEIFS(Market_Panel!$R$2:$R$2705,Market_Panel!$A$2:$A$2705,B534,Market_Panel!$B$2:$B$2705,"&gt;="&amp;$B$21,Market_Panel!$B$2:$B$2705,"&lt;="&amp;$C$21))</f>
        <v>0</v>
      </c>
      <c r="H534" s="11" t="n">
        <f aca="false">IF(OR(D534=0,$H$21=0),0,AVERAGEIFS(Market_Panel!$Y$2:$Y$2705,Market_Panel!$A$2:$A$2705,B534,Market_Panel!$B$2:$B$2705,"&gt;="&amp;$B$21,Market_Panel!$B$2:$B$2705,"&lt;="&amp;$C$21))</f>
        <v>-0.578663405852928</v>
      </c>
      <c r="I534" s="10" t="n">
        <f aca="false">IF(D534=0,"",$I$21+$F$21*F534+$G$21*G534+$H$21*H534)</f>
        <v>-0.0386046704367339</v>
      </c>
      <c r="J534" s="5" t="n">
        <f aca="false">IF(D534&lt;5,"",(E534-I534)*162)</f>
        <v>16.9225193531892</v>
      </c>
      <c r="K534" s="5" t="n">
        <f aca="false">IF(D534=0,"",E534*162)</f>
        <v>10.6685627424383</v>
      </c>
      <c r="L534" s="3" t="n">
        <f aca="false">SUMIFS(Seasons!$L$2:$L$2865,Seasons!$A$2:$A$2865,B534,Seasons!$B$2:$B$2865,"&gt;="&amp;$B$21,Seasons!$B$2:$B$2865,"&lt;="&amp;$C$21)</f>
        <v>4</v>
      </c>
      <c r="M534" s="3" t="n">
        <f aca="false">SUMIFS(Seasons!$N$2:$N$2865,Seasons!$A$2:$A$2865,B534,Seasons!$B$2:$B$2865,"&gt;="&amp;$B$21,Seasons!$B$2:$B$2865,"&lt;="&amp;$C$21)</f>
        <v>0</v>
      </c>
      <c r="N534" s="3" t="n">
        <f aca="false">IF(J534="",-1000000,J534+ROW()*0.000000001)</f>
        <v>16.9225198871892</v>
      </c>
      <c r="O534" s="3" t="n">
        <f aca="false">IF(J534="","",SUMPRODUCT(($A$25:$A$534=A534)*($N$25:$N$534&gt;N534))+1)</f>
        <v>1</v>
      </c>
      <c r="P534" s="3" t="str">
        <f aca="false">A534&amp;"|"&amp;O534</f>
        <v>2020s payroll-adj|1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7" min="2" style="0" width="13"/>
  </cols>
  <sheetData>
    <row r="1" customFormat="false" ht="17.35" hidden="false" customHeight="false" outlineLevel="0" collapsed="false">
      <c r="A1" s="12" t="s">
        <v>86</v>
      </c>
    </row>
    <row r="2" customFormat="false" ht="15" hidden="false" customHeight="false" outlineLevel="0" collapsed="false">
      <c r="A2" s="13" t="s">
        <v>87</v>
      </c>
    </row>
    <row r="4" customFormat="false" ht="15" hidden="false" customHeight="false" outlineLevel="0" collapsed="false">
      <c r="A4" s="14" t="s">
        <v>88</v>
      </c>
      <c r="B4" s="14" t="s">
        <v>89</v>
      </c>
      <c r="C4" s="14" t="s">
        <v>90</v>
      </c>
      <c r="D4" s="14" t="s">
        <v>91</v>
      </c>
      <c r="E4" s="14" t="s">
        <v>92</v>
      </c>
      <c r="F4" s="14" t="s">
        <v>93</v>
      </c>
      <c r="G4" s="14" t="s">
        <v>94</v>
      </c>
    </row>
    <row r="5" customFormat="false" ht="15" hidden="false" customHeight="false" outlineLevel="0" collapsed="false">
      <c r="A5" s="13" t="s">
        <v>95</v>
      </c>
      <c r="B5" s="15" t="n">
        <v>1871</v>
      </c>
      <c r="C5" s="15" t="n">
        <v>1900</v>
      </c>
      <c r="D5" s="16" t="n">
        <f aca="false">SUMIFS(Seasons!$D$2:$D$2865,Seasons!$B$2:$B$2865,"&gt;="&amp;B5,Seasons!$B$2:$B$2865,"&lt;="&amp;C5)</f>
        <v>10733</v>
      </c>
      <c r="E5" s="16" t="n">
        <f aca="false">SUMIFS(Seasons!$E$2:$E$2865,Seasons!$B$2:$B$2865,"&gt;="&amp;B5,Seasons!$B$2:$B$2865,"&lt;="&amp;C5)</f>
        <v>9244</v>
      </c>
      <c r="F5" s="17" t="n">
        <f aca="false">D5/(D5+E5)</f>
        <v>0.537267858036742</v>
      </c>
      <c r="G5" s="13" t="n">
        <f aca="false">COUNTIFS(Seasons!$B$2:$B$2865,"&gt;="&amp;B5,Seasons!$B$2:$B$2865,"&lt;="&amp;C5)</f>
        <v>160</v>
      </c>
    </row>
    <row r="6" customFormat="false" ht="15" hidden="false" customHeight="false" outlineLevel="0" collapsed="false">
      <c r="A6" s="13" t="s">
        <v>96</v>
      </c>
      <c r="B6" s="15" t="n">
        <v>1901</v>
      </c>
      <c r="C6" s="15" t="n">
        <v>1960</v>
      </c>
      <c r="D6" s="16" t="n">
        <f aca="false">SUMIFS(Seasons!$D$2:$D$2865,Seasons!$B$2:$B$2865,"&gt;="&amp;B6,Seasons!$B$2:$B$2865,"&lt;="&amp;C6)</f>
        <v>72658</v>
      </c>
      <c r="E6" s="16" t="n">
        <f aca="false">SUMIFS(Seasons!$E$2:$E$2865,Seasons!$B$2:$B$2865,"&gt;="&amp;B6,Seasons!$B$2:$B$2865,"&lt;="&amp;C6)</f>
        <v>72623</v>
      </c>
      <c r="F6" s="17" t="n">
        <f aca="false">D6/(D6+E6)</f>
        <v>0.500120456219327</v>
      </c>
      <c r="G6" s="13" t="n">
        <f aca="false">COUNTIFS(Seasons!$B$2:$B$2865,"&gt;="&amp;B6,Seasons!$B$2:$B$2865,"&lt;="&amp;C6)</f>
        <v>958</v>
      </c>
    </row>
    <row r="7" customFormat="false" ht="15" hidden="false" customHeight="false" outlineLevel="0" collapsed="false">
      <c r="A7" s="13" t="s">
        <v>97</v>
      </c>
      <c r="B7" s="15" t="n">
        <v>1961</v>
      </c>
      <c r="C7" s="15" t="n">
        <v>2025</v>
      </c>
      <c r="D7" s="16" t="n">
        <f aca="false">SUMIFS(Seasons!$D$2:$D$2865,Seasons!$A$2:$A$2865,"ATL",Seasons!$B$2:$B$2865,"&gt;="&amp;B7,Seasons!$B$2:$B$2865,"&lt;="&amp;C7)+SUMIFS(Seasons!$D$2:$D$2865,Seasons!$A$2:$A$2865,"CHC",Seasons!$B$2:$B$2865,"&gt;="&amp;B7,Seasons!$B$2:$B$2865,"&lt;="&amp;C7)+SUMIFS(Seasons!$D$2:$D$2865,Seasons!$A$2:$A$2865,"CIN",Seasons!$B$2:$B$2865,"&gt;="&amp;B7,Seasons!$B$2:$B$2865,"&lt;="&amp;C7)+SUMIFS(Seasons!$D$2:$D$2865,Seasons!$A$2:$A$2865,"PIT",Seasons!$B$2:$B$2865,"&gt;="&amp;B7,Seasons!$B$2:$B$2865,"&lt;="&amp;C7)+SUMIFS(Seasons!$D$2:$D$2865,Seasons!$A$2:$A$2865,"STL",Seasons!$B$2:$B$2865,"&gt;="&amp;B7,Seasons!$B$2:$B$2865,"&lt;="&amp;C7)+SUMIFS(Seasons!$D$2:$D$2865,Seasons!$A$2:$A$2865,"PHI",Seasons!$B$2:$B$2865,"&gt;="&amp;B7,Seasons!$B$2:$B$2865,"&lt;="&amp;C7)+SUMIFS(Seasons!$D$2:$D$2865,Seasons!$A$2:$A$2865,"SFG",Seasons!$B$2:$B$2865,"&gt;="&amp;B7,Seasons!$B$2:$B$2865,"&lt;="&amp;C7)+SUMIFS(Seasons!$D$2:$D$2865,Seasons!$A$2:$A$2865,"LAD",Seasons!$B$2:$B$2865,"&gt;="&amp;B7,Seasons!$B$2:$B$2865,"&lt;="&amp;C7)+SUMIFS(Seasons!$D$2:$D$2865,Seasons!$A$2:$A$2865,"BAL",Seasons!$B$2:$B$2865,"&gt;="&amp;B7,Seasons!$B$2:$B$2865,"&lt;="&amp;C7)+SUMIFS(Seasons!$D$2:$D$2865,Seasons!$A$2:$A$2865,"BOS",Seasons!$B$2:$B$2865,"&gt;="&amp;B7,Seasons!$B$2:$B$2865,"&lt;="&amp;C7)+SUMIFS(Seasons!$D$2:$D$2865,Seasons!$A$2:$A$2865,"CHW",Seasons!$B$2:$B$2865,"&gt;="&amp;B7,Seasons!$B$2:$B$2865,"&lt;="&amp;C7)+SUMIFS(Seasons!$D$2:$D$2865,Seasons!$A$2:$A$2865,"CLE",Seasons!$B$2:$B$2865,"&gt;="&amp;B7,Seasons!$B$2:$B$2865,"&lt;="&amp;C7)+SUMIFS(Seasons!$D$2:$D$2865,Seasons!$A$2:$A$2865,"DET",Seasons!$B$2:$B$2865,"&gt;="&amp;B7,Seasons!$B$2:$B$2865,"&lt;="&amp;C7)+SUMIFS(Seasons!$D$2:$D$2865,Seasons!$A$2:$A$2865,"MIN",Seasons!$B$2:$B$2865,"&gt;="&amp;B7,Seasons!$B$2:$B$2865,"&lt;="&amp;C7)+SUMIFS(Seasons!$D$2:$D$2865,Seasons!$A$2:$A$2865,"OAK",Seasons!$B$2:$B$2865,"&gt;="&amp;B7,Seasons!$B$2:$B$2865,"&lt;="&amp;C7)+SUMIFS(Seasons!$D$2:$D$2865,Seasons!$A$2:$A$2865,"NYY",Seasons!$B$2:$B$2865,"&gt;="&amp;B7,Seasons!$B$2:$B$2865,"&lt;="&amp;C7)</f>
        <v>84160</v>
      </c>
      <c r="E7" s="16" t="n">
        <f aca="false">SUMIFS(Seasons!$E$2:$E$2865,Seasons!$A$2:$A$2865,"ATL",Seasons!$B$2:$B$2865,"&gt;="&amp;B7,Seasons!$B$2:$B$2865,"&lt;="&amp;C7)+SUMIFS(Seasons!$E$2:$E$2865,Seasons!$A$2:$A$2865,"CHC",Seasons!$B$2:$B$2865,"&gt;="&amp;B7,Seasons!$B$2:$B$2865,"&lt;="&amp;C7)+SUMIFS(Seasons!$E$2:$E$2865,Seasons!$A$2:$A$2865,"CIN",Seasons!$B$2:$B$2865,"&gt;="&amp;B7,Seasons!$B$2:$B$2865,"&lt;="&amp;C7)+SUMIFS(Seasons!$E$2:$E$2865,Seasons!$A$2:$A$2865,"PIT",Seasons!$B$2:$B$2865,"&gt;="&amp;B7,Seasons!$B$2:$B$2865,"&lt;="&amp;C7)+SUMIFS(Seasons!$E$2:$E$2865,Seasons!$A$2:$A$2865,"STL",Seasons!$B$2:$B$2865,"&gt;="&amp;B7,Seasons!$B$2:$B$2865,"&lt;="&amp;C7)+SUMIFS(Seasons!$E$2:$E$2865,Seasons!$A$2:$A$2865,"PHI",Seasons!$B$2:$B$2865,"&gt;="&amp;B7,Seasons!$B$2:$B$2865,"&lt;="&amp;C7)+SUMIFS(Seasons!$E$2:$E$2865,Seasons!$A$2:$A$2865,"SFG",Seasons!$B$2:$B$2865,"&gt;="&amp;B7,Seasons!$B$2:$B$2865,"&lt;="&amp;C7)+SUMIFS(Seasons!$E$2:$E$2865,Seasons!$A$2:$A$2865,"LAD",Seasons!$B$2:$B$2865,"&gt;="&amp;B7,Seasons!$B$2:$B$2865,"&lt;="&amp;C7)+SUMIFS(Seasons!$E$2:$E$2865,Seasons!$A$2:$A$2865,"BAL",Seasons!$B$2:$B$2865,"&gt;="&amp;B7,Seasons!$B$2:$B$2865,"&lt;="&amp;C7)+SUMIFS(Seasons!$E$2:$E$2865,Seasons!$A$2:$A$2865,"BOS",Seasons!$B$2:$B$2865,"&gt;="&amp;B7,Seasons!$B$2:$B$2865,"&lt;="&amp;C7)+SUMIFS(Seasons!$E$2:$E$2865,Seasons!$A$2:$A$2865,"CHW",Seasons!$B$2:$B$2865,"&gt;="&amp;B7,Seasons!$B$2:$B$2865,"&lt;="&amp;C7)+SUMIFS(Seasons!$E$2:$E$2865,Seasons!$A$2:$A$2865,"CLE",Seasons!$B$2:$B$2865,"&gt;="&amp;B7,Seasons!$B$2:$B$2865,"&lt;="&amp;C7)+SUMIFS(Seasons!$E$2:$E$2865,Seasons!$A$2:$A$2865,"DET",Seasons!$B$2:$B$2865,"&gt;="&amp;B7,Seasons!$B$2:$B$2865,"&lt;="&amp;C7)+SUMIFS(Seasons!$E$2:$E$2865,Seasons!$A$2:$A$2865,"MIN",Seasons!$B$2:$B$2865,"&gt;="&amp;B7,Seasons!$B$2:$B$2865,"&lt;="&amp;C7)+SUMIFS(Seasons!$E$2:$E$2865,Seasons!$A$2:$A$2865,"OAK",Seasons!$B$2:$B$2865,"&gt;="&amp;B7,Seasons!$B$2:$B$2865,"&lt;="&amp;C7)+SUMIFS(Seasons!$E$2:$E$2865,Seasons!$A$2:$A$2865,"NYY",Seasons!$B$2:$B$2865,"&gt;="&amp;B7,Seasons!$B$2:$B$2865,"&lt;="&amp;C7)</f>
        <v>80389</v>
      </c>
      <c r="F7" s="17" t="n">
        <f aca="false">D7/(D7+E7)</f>
        <v>0.511458592881148</v>
      </c>
      <c r="G7" s="13" t="n">
        <f aca="false">COUNTIFS(Seasons!$A$2:$A$2865,"ATL",Seasons!$B$2:$B$2865,"&gt;="&amp;B7,Seasons!$B$2:$B$2865,"&lt;="&amp;C7)+COUNTIFS(Seasons!$A$2:$A$2865,"CHC",Seasons!$B$2:$B$2865,"&gt;="&amp;B7,Seasons!$B$2:$B$2865,"&lt;="&amp;C7)+COUNTIFS(Seasons!$A$2:$A$2865,"CIN",Seasons!$B$2:$B$2865,"&gt;="&amp;B7,Seasons!$B$2:$B$2865,"&lt;="&amp;C7)+COUNTIFS(Seasons!$A$2:$A$2865,"PIT",Seasons!$B$2:$B$2865,"&gt;="&amp;B7,Seasons!$B$2:$B$2865,"&lt;="&amp;C7)+COUNTIFS(Seasons!$A$2:$A$2865,"STL",Seasons!$B$2:$B$2865,"&gt;="&amp;B7,Seasons!$B$2:$B$2865,"&lt;="&amp;C7)+COUNTIFS(Seasons!$A$2:$A$2865,"PHI",Seasons!$B$2:$B$2865,"&gt;="&amp;B7,Seasons!$B$2:$B$2865,"&lt;="&amp;C7)+COUNTIFS(Seasons!$A$2:$A$2865,"SFG",Seasons!$B$2:$B$2865,"&gt;="&amp;B7,Seasons!$B$2:$B$2865,"&lt;="&amp;C7)+COUNTIFS(Seasons!$A$2:$A$2865,"LAD",Seasons!$B$2:$B$2865,"&gt;="&amp;B7,Seasons!$B$2:$B$2865,"&lt;="&amp;C7)+COUNTIFS(Seasons!$A$2:$A$2865,"BAL",Seasons!$B$2:$B$2865,"&gt;="&amp;B7,Seasons!$B$2:$B$2865,"&lt;="&amp;C7)+COUNTIFS(Seasons!$A$2:$A$2865,"BOS",Seasons!$B$2:$B$2865,"&gt;="&amp;B7,Seasons!$B$2:$B$2865,"&lt;="&amp;C7)+COUNTIFS(Seasons!$A$2:$A$2865,"CHW",Seasons!$B$2:$B$2865,"&gt;="&amp;B7,Seasons!$B$2:$B$2865,"&lt;="&amp;C7)+COUNTIFS(Seasons!$A$2:$A$2865,"CLE",Seasons!$B$2:$B$2865,"&gt;="&amp;B7,Seasons!$B$2:$B$2865,"&lt;="&amp;C7)+COUNTIFS(Seasons!$A$2:$A$2865,"DET",Seasons!$B$2:$B$2865,"&gt;="&amp;B7,Seasons!$B$2:$B$2865,"&lt;="&amp;C7)+COUNTIFS(Seasons!$A$2:$A$2865,"MIN",Seasons!$B$2:$B$2865,"&gt;="&amp;B7,Seasons!$B$2:$B$2865,"&lt;="&amp;C7)+COUNTIFS(Seasons!$A$2:$A$2865,"OAK",Seasons!$B$2:$B$2865,"&gt;="&amp;B7,Seasons!$B$2:$B$2865,"&lt;="&amp;C7)+COUNTIFS(Seasons!$A$2:$A$2865,"NYY",Seasons!$B$2:$B$2865,"&gt;="&amp;B7,Seasons!$B$2:$B$2865,"&lt;="&amp;C7)</f>
        <v>1040</v>
      </c>
    </row>
    <row r="8" customFormat="false" ht="15" hidden="false" customHeight="false" outlineLevel="0" collapsed="false">
      <c r="A8" s="13" t="s">
        <v>98</v>
      </c>
      <c r="B8" s="15" t="n">
        <v>1961</v>
      </c>
      <c r="C8" s="15" t="n">
        <v>2025</v>
      </c>
      <c r="D8" s="16" t="n">
        <f aca="false">SUMIFS(Seasons!$D$2:$D$2865,Seasons!$A$2:$A$2865,"ANA",Seasons!$B$2:$B$2865,"&gt;="&amp;B8,Seasons!$B$2:$B$2865,"&lt;="&amp;C8)+SUMIFS(Seasons!$D$2:$D$2865,Seasons!$A$2:$A$2865,"TEX",Seasons!$B$2:$B$2865,"&gt;="&amp;B8,Seasons!$B$2:$B$2865,"&lt;="&amp;C8)+SUMIFS(Seasons!$D$2:$D$2865,Seasons!$A$2:$A$2865,"HOU",Seasons!$B$2:$B$2865,"&gt;="&amp;B8,Seasons!$B$2:$B$2865,"&lt;="&amp;C8)+SUMIFS(Seasons!$D$2:$D$2865,Seasons!$A$2:$A$2865,"NYM",Seasons!$B$2:$B$2865,"&gt;="&amp;B8,Seasons!$B$2:$B$2865,"&lt;="&amp;C8)+SUMIFS(Seasons!$D$2:$D$2865,Seasons!$A$2:$A$2865,"KCR",Seasons!$B$2:$B$2865,"&gt;="&amp;B8,Seasons!$B$2:$B$2865,"&lt;="&amp;C8)+SUMIFS(Seasons!$D$2:$D$2865,Seasons!$A$2:$A$2865,"MIL",Seasons!$B$2:$B$2865,"&gt;="&amp;B8,Seasons!$B$2:$B$2865,"&lt;="&amp;C8)+SUMIFS(Seasons!$D$2:$D$2865,Seasons!$A$2:$A$2865,"SDP",Seasons!$B$2:$B$2865,"&gt;="&amp;B8,Seasons!$B$2:$B$2865,"&lt;="&amp;C8)+SUMIFS(Seasons!$D$2:$D$2865,Seasons!$A$2:$A$2865,"WSN",Seasons!$B$2:$B$2865,"&gt;="&amp;B8,Seasons!$B$2:$B$2865,"&lt;="&amp;C8)+SUMIFS(Seasons!$D$2:$D$2865,Seasons!$A$2:$A$2865,"SEA",Seasons!$B$2:$B$2865,"&gt;="&amp;B8,Seasons!$B$2:$B$2865,"&lt;="&amp;C8)+SUMIFS(Seasons!$D$2:$D$2865,Seasons!$A$2:$A$2865,"TOR",Seasons!$B$2:$B$2865,"&gt;="&amp;B8,Seasons!$B$2:$B$2865,"&lt;="&amp;C8)+SUMIFS(Seasons!$D$2:$D$2865,Seasons!$A$2:$A$2865,"COL",Seasons!$B$2:$B$2865,"&gt;="&amp;B8,Seasons!$B$2:$B$2865,"&lt;="&amp;C8)+SUMIFS(Seasons!$D$2:$D$2865,Seasons!$A$2:$A$2865,"FLA",Seasons!$B$2:$B$2865,"&gt;="&amp;B8,Seasons!$B$2:$B$2865,"&lt;="&amp;C8)+SUMIFS(Seasons!$D$2:$D$2865,Seasons!$A$2:$A$2865,"ARI",Seasons!$B$2:$B$2865,"&gt;="&amp;B8,Seasons!$B$2:$B$2865,"&lt;="&amp;C8)+SUMIFS(Seasons!$D$2:$D$2865,Seasons!$A$2:$A$2865,"TBD",Seasons!$B$2:$B$2865,"&gt;="&amp;B8,Seasons!$B$2:$B$2865,"&lt;="&amp;C8)</f>
        <v>53855</v>
      </c>
      <c r="E8" s="16" t="n">
        <f aca="false">SUMIFS(Seasons!$E$2:$E$2865,Seasons!$A$2:$A$2865,"ANA",Seasons!$B$2:$B$2865,"&gt;="&amp;B8,Seasons!$B$2:$B$2865,"&lt;="&amp;C8)+SUMIFS(Seasons!$E$2:$E$2865,Seasons!$A$2:$A$2865,"TEX",Seasons!$B$2:$B$2865,"&gt;="&amp;B8,Seasons!$B$2:$B$2865,"&lt;="&amp;C8)+SUMIFS(Seasons!$E$2:$E$2865,Seasons!$A$2:$A$2865,"HOU",Seasons!$B$2:$B$2865,"&gt;="&amp;B8,Seasons!$B$2:$B$2865,"&lt;="&amp;C8)+SUMIFS(Seasons!$E$2:$E$2865,Seasons!$A$2:$A$2865,"NYM",Seasons!$B$2:$B$2865,"&gt;="&amp;B8,Seasons!$B$2:$B$2865,"&lt;="&amp;C8)+SUMIFS(Seasons!$E$2:$E$2865,Seasons!$A$2:$A$2865,"KCR",Seasons!$B$2:$B$2865,"&gt;="&amp;B8,Seasons!$B$2:$B$2865,"&lt;="&amp;C8)+SUMIFS(Seasons!$E$2:$E$2865,Seasons!$A$2:$A$2865,"MIL",Seasons!$B$2:$B$2865,"&gt;="&amp;B8,Seasons!$B$2:$B$2865,"&lt;="&amp;C8)+SUMIFS(Seasons!$E$2:$E$2865,Seasons!$A$2:$A$2865,"SDP",Seasons!$B$2:$B$2865,"&gt;="&amp;B8,Seasons!$B$2:$B$2865,"&lt;="&amp;C8)+SUMIFS(Seasons!$E$2:$E$2865,Seasons!$A$2:$A$2865,"WSN",Seasons!$B$2:$B$2865,"&gt;="&amp;B8,Seasons!$B$2:$B$2865,"&lt;="&amp;C8)+SUMIFS(Seasons!$E$2:$E$2865,Seasons!$A$2:$A$2865,"SEA",Seasons!$B$2:$B$2865,"&gt;="&amp;B8,Seasons!$B$2:$B$2865,"&lt;="&amp;C8)+SUMIFS(Seasons!$E$2:$E$2865,Seasons!$A$2:$A$2865,"TOR",Seasons!$B$2:$B$2865,"&gt;="&amp;B8,Seasons!$B$2:$B$2865,"&lt;="&amp;C8)+SUMIFS(Seasons!$E$2:$E$2865,Seasons!$A$2:$A$2865,"COL",Seasons!$B$2:$B$2865,"&gt;="&amp;B8,Seasons!$B$2:$B$2865,"&lt;="&amp;C8)+SUMIFS(Seasons!$E$2:$E$2865,Seasons!$A$2:$A$2865,"FLA",Seasons!$B$2:$B$2865,"&gt;="&amp;B8,Seasons!$B$2:$B$2865,"&lt;="&amp;C8)+SUMIFS(Seasons!$E$2:$E$2865,Seasons!$A$2:$A$2865,"ARI",Seasons!$B$2:$B$2865,"&gt;="&amp;B8,Seasons!$B$2:$B$2865,"&lt;="&amp;C8)+SUMIFS(Seasons!$E$2:$E$2865,Seasons!$A$2:$A$2865,"TBD",Seasons!$B$2:$B$2865,"&gt;="&amp;B8,Seasons!$B$2:$B$2865,"&lt;="&amp;C8)</f>
        <v>57626</v>
      </c>
      <c r="F8" s="17" t="n">
        <f aca="false">D8/(D8+E8)</f>
        <v>0.483086804029386</v>
      </c>
      <c r="G8" s="13" t="n">
        <f aca="false">COUNTIFS(Seasons!$A$2:$A$2865,"ANA",Seasons!$B$2:$B$2865,"&gt;="&amp;B8,Seasons!$B$2:$B$2865,"&lt;="&amp;C8)+COUNTIFS(Seasons!$A$2:$A$2865,"TEX",Seasons!$B$2:$B$2865,"&gt;="&amp;B8,Seasons!$B$2:$B$2865,"&lt;="&amp;C8)+COUNTIFS(Seasons!$A$2:$A$2865,"HOU",Seasons!$B$2:$B$2865,"&gt;="&amp;B8,Seasons!$B$2:$B$2865,"&lt;="&amp;C8)+COUNTIFS(Seasons!$A$2:$A$2865,"NYM",Seasons!$B$2:$B$2865,"&gt;="&amp;B8,Seasons!$B$2:$B$2865,"&lt;="&amp;C8)+COUNTIFS(Seasons!$A$2:$A$2865,"KCR",Seasons!$B$2:$B$2865,"&gt;="&amp;B8,Seasons!$B$2:$B$2865,"&lt;="&amp;C8)+COUNTIFS(Seasons!$A$2:$A$2865,"MIL",Seasons!$B$2:$B$2865,"&gt;="&amp;B8,Seasons!$B$2:$B$2865,"&lt;="&amp;C8)+COUNTIFS(Seasons!$A$2:$A$2865,"SDP",Seasons!$B$2:$B$2865,"&gt;="&amp;B8,Seasons!$B$2:$B$2865,"&lt;="&amp;C8)+COUNTIFS(Seasons!$A$2:$A$2865,"WSN",Seasons!$B$2:$B$2865,"&gt;="&amp;B8,Seasons!$B$2:$B$2865,"&lt;="&amp;C8)+COUNTIFS(Seasons!$A$2:$A$2865,"SEA",Seasons!$B$2:$B$2865,"&gt;="&amp;B8,Seasons!$B$2:$B$2865,"&lt;="&amp;C8)+COUNTIFS(Seasons!$A$2:$A$2865,"TOR",Seasons!$B$2:$B$2865,"&gt;="&amp;B8,Seasons!$B$2:$B$2865,"&lt;="&amp;C8)+COUNTIFS(Seasons!$A$2:$A$2865,"COL",Seasons!$B$2:$B$2865,"&gt;="&amp;B8,Seasons!$B$2:$B$2865,"&lt;="&amp;C8)+COUNTIFS(Seasons!$A$2:$A$2865,"FLA",Seasons!$B$2:$B$2865,"&gt;="&amp;B8,Seasons!$B$2:$B$2865,"&lt;="&amp;C8)+COUNTIFS(Seasons!$A$2:$A$2865,"ARI",Seasons!$B$2:$B$2865,"&gt;="&amp;B8,Seasons!$B$2:$B$2865,"&lt;="&amp;C8)+COUNTIFS(Seasons!$A$2:$A$2865,"TBD",Seasons!$B$2:$B$2865,"&gt;="&amp;B8,Seasons!$B$2:$B$2865,"&lt;="&amp;C8)</f>
        <v>706</v>
      </c>
    </row>
    <row r="9" customFormat="false" ht="15" hidden="false" customHeight="false" outlineLevel="0" collapsed="false">
      <c r="A9" s="13" t="s">
        <v>99</v>
      </c>
      <c r="B9" s="15" t="n">
        <v>1871</v>
      </c>
      <c r="C9" s="15" t="n">
        <v>1915</v>
      </c>
      <c r="D9" s="16" t="n">
        <f aca="false">SUM(Defunct!G2:G66)</f>
        <v>9843</v>
      </c>
      <c r="E9" s="16" t="n">
        <f aca="false">SUM(Defunct!H2:H66)</f>
        <v>11332</v>
      </c>
      <c r="F9" s="17" t="n">
        <f aca="false">D9/(D9+E9)</f>
        <v>0.464840613931523</v>
      </c>
      <c r="G9" s="13" t="n">
        <f aca="false">SUM(Defunct!F2:F66)</f>
        <v>189</v>
      </c>
    </row>
    <row r="11" customFormat="false" ht="15" hidden="false" customHeight="false" outlineLevel="0" collapsed="false">
      <c r="A11" s="13" t="s">
        <v>100</v>
      </c>
      <c r="F11" s="18" t="n">
        <f aca="false">D9/(D9+E9)*0+(D9+E9)/((D9+E9)+(D5+E5)+(D6+E6)+(D7+E7)+(D8+E8))</f>
        <v>0.0457874467795262</v>
      </c>
    </row>
    <row r="12" customFormat="false" ht="15" hidden="false" customHeight="false" outlineLevel="0" collapsed="false">
      <c r="A12" s="13" t="s">
        <v>101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6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14"/>
    <col collapsed="false" customWidth="true" hidden="false" outlineLevel="0" max="4" min="3" style="1" width="16"/>
    <col collapsed="false" customWidth="true" hidden="false" outlineLevel="0" max="5" min="5" style="1" width="12"/>
    <col collapsed="false" customWidth="true" hidden="false" outlineLevel="0" max="6" min="6" style="1" width="14"/>
    <col collapsed="false" customWidth="true" hidden="false" outlineLevel="0" max="7" min="7" style="1" width="8"/>
    <col collapsed="false" customWidth="true" hidden="false" outlineLevel="0" max="8" min="8" style="1" width="14"/>
    <col collapsed="false" customWidth="true" hidden="false" outlineLevel="0" max="10" min="9" style="1" width="12"/>
    <col collapsed="false" customWidth="true" hidden="false" outlineLevel="0" max="12" min="11" style="1" width="14"/>
  </cols>
  <sheetData>
    <row r="1" customFormat="false" ht="17.25" hidden="false" customHeight="true" outlineLevel="0" collapsed="false">
      <c r="A1" s="2" t="s">
        <v>102</v>
      </c>
    </row>
    <row r="2" customFormat="false" ht="15" hidden="false" customHeight="true" outlineLevel="0" collapsed="false">
      <c r="A2" s="3" t="s">
        <v>103</v>
      </c>
    </row>
    <row r="4" customFormat="false" ht="45" hidden="false" customHeight="true" outlineLevel="0" collapsed="false">
      <c r="A4" s="4" t="s">
        <v>104</v>
      </c>
      <c r="B4" s="4" t="s">
        <v>105</v>
      </c>
      <c r="C4" s="4" t="s">
        <v>106</v>
      </c>
      <c r="D4" s="4" t="s">
        <v>107</v>
      </c>
      <c r="E4" s="4" t="s">
        <v>108</v>
      </c>
      <c r="F4" s="4" t="s">
        <v>109</v>
      </c>
    </row>
    <row r="5" customFormat="false" ht="15" hidden="false" customHeight="true" outlineLevel="0" collapsed="false">
      <c r="A5" s="3" t="s">
        <v>110</v>
      </c>
      <c r="B5" s="3" t="n">
        <f aca="false">COUNT(Market_Panel!$M$2:$M$2705)</f>
        <v>2704</v>
      </c>
      <c r="C5" s="8" t="n">
        <f aca="false">SLOPE(Market_Panel!$M$2:$M$2705,Market_Panel!$P$2:$P$2705)</f>
        <v>0.0170060108691097</v>
      </c>
      <c r="D5" s="11" t="n">
        <f aca="false">CORREL(Market_Panel!$M$2:$M$2705,Market_Panel!$P$2:$P$2705)</f>
        <v>0.14277558789347</v>
      </c>
      <c r="E5" s="19" t="n">
        <f aca="false">C5*LN(2)*162</f>
        <v>1.90960229481222</v>
      </c>
      <c r="F5" s="3" t="s">
        <v>111</v>
      </c>
    </row>
    <row r="6" customFormat="false" ht="15" hidden="false" customHeight="true" outlineLevel="0" collapsed="false">
      <c r="A6" s="3" t="s">
        <v>112</v>
      </c>
      <c r="B6" s="3" t="n">
        <f aca="false">COUNT(Market_Panel!$M$2:$M$959)</f>
        <v>958</v>
      </c>
      <c r="C6" s="8" t="n">
        <f aca="false">SLOPE(Market_Panel!$M$2:$M$959,Market_Panel!$P$2:$P$959)</f>
        <v>0.0355753493863685</v>
      </c>
      <c r="D6" s="11" t="n">
        <f aca="false">CORREL(Market_Panel!$M$2:$M$959,Market_Panel!$P$2:$P$959)</f>
        <v>0.237425324254677</v>
      </c>
      <c r="E6" s="19" t="n">
        <f aca="false">C6*LN(2)*162</f>
        <v>3.99475040618461</v>
      </c>
      <c r="F6" s="3" t="s">
        <v>113</v>
      </c>
    </row>
    <row r="7" customFormat="false" ht="15" hidden="false" customHeight="true" outlineLevel="0" collapsed="false">
      <c r="A7" s="3" t="s">
        <v>114</v>
      </c>
      <c r="B7" s="3" t="n">
        <f aca="false">COUNT(Market_Panel!$M$960:$M$2705)</f>
        <v>1746</v>
      </c>
      <c r="C7" s="8" t="n">
        <f aca="false">SLOPE(Market_Panel!$M$960:$M$2705,Market_Panel!$P$960:$P$2705)</f>
        <v>0.00865316371410736</v>
      </c>
      <c r="D7" s="11" t="n">
        <f aca="false">CORREL(Market_Panel!$M$960:$M$2705,Market_Panel!$P$960:$P$2705)</f>
        <v>0.0845679440916891</v>
      </c>
      <c r="E7" s="19" t="n">
        <f aca="false">C7*LN(2)*162</f>
        <v>0.971662397079856</v>
      </c>
      <c r="F7" s="3" t="s">
        <v>115</v>
      </c>
    </row>
    <row r="8" customFormat="false" ht="15" hidden="false" customHeight="true" outlineLevel="0" collapsed="false">
      <c r="A8" s="3" t="s">
        <v>116</v>
      </c>
      <c r="B8" s="3" t="n">
        <f aca="false">COUNT(Market_Panel!$M$1648:$M$2705)</f>
        <v>1058</v>
      </c>
      <c r="C8" s="8" t="n">
        <f aca="false">SLOPE(Market_Panel!$M$1648:$M$2705,Market_Panel!$P$1648:$P$2705)</f>
        <v>0.0121000290161712</v>
      </c>
      <c r="D8" s="11" t="n">
        <f aca="false">CORREL(Market_Panel!$M$1648:$M$2705,Market_Panel!$P$1648:$P$2705)</f>
        <v>0.1237997403462</v>
      </c>
      <c r="E8" s="19" t="n">
        <f aca="false">C8*LN(2)*162</f>
        <v>1.35871036155492</v>
      </c>
      <c r="F8" s="3" t="s">
        <v>117</v>
      </c>
    </row>
    <row r="10" customFormat="false" ht="15" hidden="false" customHeight="true" outlineLevel="0" collapsed="false">
      <c r="A10" s="9" t="s">
        <v>118</v>
      </c>
    </row>
    <row r="11" customFormat="false" ht="31.5" hidden="false" customHeight="true" outlineLevel="0" collapsed="false">
      <c r="A11" s="4" t="s">
        <v>119</v>
      </c>
      <c r="B11" s="4" t="s">
        <v>120</v>
      </c>
      <c r="C11" s="4" t="s">
        <v>121</v>
      </c>
      <c r="D11" s="4" t="s">
        <v>122</v>
      </c>
      <c r="E11" s="4" t="s">
        <v>123</v>
      </c>
    </row>
    <row r="12" customFormat="false" ht="15" hidden="false" customHeight="true" outlineLevel="0" collapsed="false">
      <c r="A12" s="3" t="s">
        <v>124</v>
      </c>
      <c r="B12" s="8" t="n">
        <f aca="false">INDEX(LINEST(Market_Panel!$M$960:$M$2705,Market_Panel!$P$960:$R$2705),1,3)</f>
        <v>0.010901015194144</v>
      </c>
      <c r="C12" s="19" t="n">
        <f aca="false">B12*LN(2)*162</f>
        <v>1.22407328742405</v>
      </c>
      <c r="D12" s="8" t="n">
        <f aca="false">INDEX(LINEST(Market_Panel!$M$960:$M$2705,Market_Panel!$P$960:$S$2705),1,4)</f>
        <v>0.00535166145986487</v>
      </c>
      <c r="E12" s="19" t="n">
        <f aca="false">D12*LN(2)*162</f>
        <v>0.600937226459098</v>
      </c>
    </row>
    <row r="13" customFormat="false" ht="15" hidden="false" customHeight="true" outlineLevel="0" collapsed="false">
      <c r="A13" s="3" t="s">
        <v>125</v>
      </c>
      <c r="B13" s="8" t="n">
        <f aca="false">INDEX(LINEST(Market_Panel!$M$960:$M$2705,Market_Panel!$P$960:$R$2705),1,2)</f>
        <v>-0.0234071685760604</v>
      </c>
      <c r="C13" s="19" t="n">
        <f aca="false">B13*162</f>
        <v>-3.79196130932179</v>
      </c>
      <c r="D13" s="8" t="n">
        <f aca="false">INDEX(LINEST(Market_Panel!$M$960:$M$2705,Market_Panel!$P$960:$S$2705),1,3)</f>
        <v>-0.0186444967110924</v>
      </c>
      <c r="E13" s="19" t="n">
        <f aca="false">D13*162</f>
        <v>-3.02040846719697</v>
      </c>
    </row>
    <row r="14" customFormat="false" ht="15" hidden="false" customHeight="true" outlineLevel="0" collapsed="false">
      <c r="A14" s="3" t="s">
        <v>126</v>
      </c>
      <c r="B14" s="8" t="n">
        <f aca="false">INDEX(LINEST(Market_Panel!$M$960:$M$2705,Market_Panel!$P$960:$R$2705),1,1)</f>
        <v>-0.0422278589285799</v>
      </c>
      <c r="C14" s="19" t="n">
        <f aca="false">B14*162</f>
        <v>-6.84091314642995</v>
      </c>
      <c r="D14" s="8" t="n">
        <f aca="false">INDEX(LINEST(Market_Panel!$M$960:$M$2705,Market_Panel!$P$960:$S$2705),1,2)</f>
        <v>-0.0444447115325882</v>
      </c>
      <c r="E14" s="19" t="n">
        <f aca="false">D14*162</f>
        <v>-7.20004326827928</v>
      </c>
    </row>
    <row r="15" customFormat="false" ht="15" hidden="false" customHeight="true" outlineLevel="0" collapsed="false">
      <c r="A15" s="3" t="s">
        <v>127</v>
      </c>
      <c r="B15" s="3" t="s">
        <v>128</v>
      </c>
      <c r="C15" s="3"/>
      <c r="D15" s="8" t="n">
        <f aca="false">INDEX(LINEST(Market_Panel!$M$960:$M$2705,Market_Panel!$P$960:$S$2705),1,1)</f>
        <v>0.0433914499447072</v>
      </c>
      <c r="E15" s="19" t="n">
        <f aca="false">D15*162</f>
        <v>7.02941489104256</v>
      </c>
    </row>
    <row r="16" customFormat="false" ht="15" hidden="false" customHeight="true" outlineLevel="0" collapsed="false">
      <c r="A16" s="3" t="s">
        <v>36</v>
      </c>
      <c r="B16" s="8" t="n">
        <f aca="false">INDEX(LINEST(Market_Panel!$M$960:$M$2705,Market_Panel!$P$960:$R$2705),1,4)</f>
        <v>0.0128507223738258</v>
      </c>
      <c r="C16" s="19" t="n">
        <f aca="false">B16*162</f>
        <v>2.08181702455978</v>
      </c>
      <c r="D16" s="8" t="n">
        <f aca="false">INDEX(LINEST(Market_Panel!$M$960:$M$2705,Market_Panel!$P$960:$S$2705),1,5)</f>
        <v>0.00948730243195168</v>
      </c>
      <c r="E16" s="19" t="n">
        <f aca="false">D16*162</f>
        <v>1.53694299397617</v>
      </c>
    </row>
    <row r="17" customFormat="false" ht="15" hidden="false" customHeight="true" outlineLevel="0" collapsed="false">
      <c r="A17" s="3" t="s">
        <v>129</v>
      </c>
    </row>
    <row r="19" customFormat="false" ht="15" hidden="false" customHeight="true" outlineLevel="0" collapsed="false">
      <c r="A19" s="9" t="s">
        <v>130</v>
      </c>
    </row>
    <row r="20" customFormat="false" ht="45" hidden="false" customHeight="true" outlineLevel="0" collapsed="false">
      <c r="A20" s="4" t="s">
        <v>4</v>
      </c>
      <c r="B20" s="4" t="s">
        <v>42</v>
      </c>
      <c r="C20" s="4" t="s">
        <v>131</v>
      </c>
      <c r="D20" s="4" t="s">
        <v>132</v>
      </c>
      <c r="E20" s="4" t="s">
        <v>133</v>
      </c>
      <c r="F20" s="4" t="s">
        <v>134</v>
      </c>
      <c r="G20" s="4" t="s">
        <v>135</v>
      </c>
      <c r="H20" s="4" t="s">
        <v>136</v>
      </c>
      <c r="I20" s="4" t="s">
        <v>137</v>
      </c>
      <c r="J20" s="4" t="s">
        <v>138</v>
      </c>
      <c r="K20" s="4" t="s">
        <v>139</v>
      </c>
      <c r="L20" s="4" t="s">
        <v>140</v>
      </c>
    </row>
    <row r="21" customFormat="false" ht="15" hidden="false" customHeight="true" outlineLevel="0" collapsed="false">
      <c r="A21" s="7" t="s">
        <v>54</v>
      </c>
      <c r="B21" s="3" t="s">
        <v>55</v>
      </c>
      <c r="C21" s="7" t="s">
        <v>141</v>
      </c>
      <c r="D21" s="20" t="n">
        <f aca="false">INDEX(Pop_Inputs!$O$2:$O$29,MATCH(C21,Pop_Inputs!$A$2:$A$29,0))</f>
        <v>6411149</v>
      </c>
      <c r="E21" s="3" t="n">
        <f aca="false">COUNTIF($C$21:$C$50,C21)</f>
        <v>1</v>
      </c>
      <c r="F21" s="20" t="n">
        <f aca="false">D21/E21</f>
        <v>6411149</v>
      </c>
      <c r="G21" s="11" t="n">
        <f aca="false">LN(F21)</f>
        <v>15.6735490640033</v>
      </c>
      <c r="H21" s="21" t="n">
        <f aca="false">AVERAGEIFS(Market_Panel!$M$2:$M$2705,Market_Panel!$A$2:$A$2705,A21,Market_Panel!$B$2:$B$2705,"&gt;=1995")</f>
        <v>0.0569625136517459</v>
      </c>
      <c r="I21" s="21" t="n">
        <f aca="false">$C$53+$C$52*G21</f>
        <v>0.00987322039947725</v>
      </c>
      <c r="J21" s="10" t="n">
        <f aca="false">H21-I21</f>
        <v>0.0470892932522686</v>
      </c>
      <c r="K21" s="21" t="n">
        <f aca="false">AVERAGEIFS(Market_Panel!$M$2:$M$2705,Market_Panel!$A$2:$A$2705,A21)</f>
        <v>-0.00962839889871483</v>
      </c>
      <c r="L21" s="11" t="n">
        <f aca="false">AVERAGEIFS(Market_Panel!$P$2:$P$2705,Market_Panel!$A$2:$A$2705,A21)</f>
        <v>-0.685515079369877</v>
      </c>
    </row>
    <row r="22" customFormat="false" ht="15" hidden="false" customHeight="true" outlineLevel="0" collapsed="false">
      <c r="A22" s="7" t="s">
        <v>56</v>
      </c>
      <c r="B22" s="3" t="s">
        <v>55</v>
      </c>
      <c r="C22" s="7" t="s">
        <v>142</v>
      </c>
      <c r="D22" s="20" t="n">
        <f aca="false">INDEX(Pop_Inputs!$O$2:$O$29,MATCH(C22,Pop_Inputs!$A$2:$A$29,0))</f>
        <v>9618502</v>
      </c>
      <c r="E22" s="3" t="n">
        <f aca="false">COUNTIF($C$21:$C$50,C22)</f>
        <v>2</v>
      </c>
      <c r="F22" s="20" t="n">
        <f aca="false">D22/E22</f>
        <v>4809251</v>
      </c>
      <c r="G22" s="11" t="n">
        <f aca="false">LN(F22)</f>
        <v>15.386051912701</v>
      </c>
      <c r="H22" s="21" t="n">
        <f aca="false">AVERAGEIFS(Market_Panel!$M$2:$M$2705,Market_Panel!$A$2:$A$2705,A22,Market_Panel!$B$2:$B$2705,"&gt;=1995")</f>
        <v>-0.00166624967947216</v>
      </c>
      <c r="I22" s="21" t="n">
        <f aca="false">$C$53+$C$52*G22</f>
        <v>0.00303525107572933</v>
      </c>
      <c r="J22" s="10" t="n">
        <f aca="false">H22-I22</f>
        <v>-0.00470150075520149</v>
      </c>
      <c r="K22" s="21" t="n">
        <f aca="false">AVERAGEIFS(Market_Panel!$M$2:$M$2705,Market_Panel!$A$2:$A$2705,A22)</f>
        <v>0.00554783828229284</v>
      </c>
      <c r="L22" s="11" t="n">
        <f aca="false">AVERAGEIFS(Market_Panel!$P$2:$P$2705,Market_Panel!$A$2:$A$2705,A22)</f>
        <v>0.546140143601172</v>
      </c>
    </row>
    <row r="23" customFormat="false" ht="15" hidden="false" customHeight="true" outlineLevel="0" collapsed="false">
      <c r="A23" s="7" t="s">
        <v>57</v>
      </c>
      <c r="B23" s="3" t="s">
        <v>55</v>
      </c>
      <c r="C23" s="7" t="s">
        <v>143</v>
      </c>
      <c r="D23" s="20" t="n">
        <f aca="false">INDEX(Pop_Inputs!$O$2:$O$29,MATCH(C23,Pop_Inputs!$A$2:$A$29,0))</f>
        <v>2265051</v>
      </c>
      <c r="E23" s="3" t="n">
        <f aca="false">COUNTIF($C$21:$C$50,C23)</f>
        <v>1</v>
      </c>
      <c r="F23" s="20" t="n">
        <f aca="false">D23/E23</f>
        <v>2265051</v>
      </c>
      <c r="G23" s="11" t="n">
        <f aca="false">LN(F23)</f>
        <v>14.6331078332021</v>
      </c>
      <c r="H23" s="21" t="n">
        <f aca="false">AVERAGEIFS(Market_Panel!$M$2:$M$2705,Market_Panel!$A$2:$A$2705,A23,Market_Panel!$B$2:$B$2705,"&gt;=1995")</f>
        <v>-0.0177577972113751</v>
      </c>
      <c r="I23" s="21" t="n">
        <f aca="false">$C$53+$C$52*G23</f>
        <v>-0.0148731299109678</v>
      </c>
      <c r="J23" s="10" t="n">
        <f aca="false">H23-I23</f>
        <v>-0.00288466730040732</v>
      </c>
      <c r="K23" s="21" t="n">
        <f aca="false">AVERAGEIFS(Market_Panel!$M$2:$M$2705,Market_Panel!$A$2:$A$2705,A23)</f>
        <v>-0.00103078485181029</v>
      </c>
      <c r="L23" s="11" t="n">
        <f aca="false">AVERAGEIFS(Market_Panel!$P$2:$P$2705,Market_Panel!$A$2:$A$2705,A23)</f>
        <v>-0.773019968911186</v>
      </c>
    </row>
    <row r="24" customFormat="false" ht="15" hidden="false" customHeight="true" outlineLevel="0" collapsed="false">
      <c r="A24" s="7" t="s">
        <v>58</v>
      </c>
      <c r="B24" s="3" t="s">
        <v>55</v>
      </c>
      <c r="C24" s="7" t="s">
        <v>144</v>
      </c>
      <c r="D24" s="20" t="n">
        <f aca="false">INDEX(Pop_Inputs!$O$2:$O$29,MATCH(C24,Pop_Inputs!$A$2:$A$29,0))</f>
        <v>2429917</v>
      </c>
      <c r="E24" s="3" t="n">
        <f aca="false">COUNTIF($C$21:$C$50,C24)</f>
        <v>1</v>
      </c>
      <c r="F24" s="20" t="n">
        <f aca="false">D24/E24</f>
        <v>2429917</v>
      </c>
      <c r="G24" s="11" t="n">
        <f aca="false">LN(F24)</f>
        <v>14.7033676583548</v>
      </c>
      <c r="H24" s="21" t="n">
        <f aca="false">AVERAGEIFS(Market_Panel!$M$2:$M$2705,Market_Panel!$A$2:$A$2705,A24,Market_Panel!$B$2:$B$2705,"&gt;=1995")</f>
        <v>-0.0544818670978008</v>
      </c>
      <c r="I24" s="21" t="n">
        <f aca="false">$C$53+$C$52*G24</f>
        <v>-0.0132020367300096</v>
      </c>
      <c r="J24" s="10" t="n">
        <f aca="false">H24-I24</f>
        <v>-0.0412798303677913</v>
      </c>
      <c r="K24" s="21" t="n">
        <f aca="false">AVERAGEIFS(Market_Panel!$M$2:$M$2705,Market_Panel!$A$2:$A$2705,A24)</f>
        <v>0.00329079522300822</v>
      </c>
      <c r="L24" s="11" t="n">
        <f aca="false">AVERAGEIFS(Market_Panel!$P$2:$P$2705,Market_Panel!$A$2:$A$2705,A24)</f>
        <v>-0.58974549168217</v>
      </c>
    </row>
    <row r="25" customFormat="false" ht="15" hidden="false" customHeight="true" outlineLevel="0" collapsed="false">
      <c r="A25" s="7" t="s">
        <v>59</v>
      </c>
      <c r="B25" s="3" t="s">
        <v>55</v>
      </c>
      <c r="C25" s="7" t="s">
        <v>145</v>
      </c>
      <c r="D25" s="20" t="n">
        <f aca="false">INDEX(Pop_Inputs!$O$2:$O$29,MATCH(C25,Pop_Inputs!$A$2:$A$29,0))</f>
        <v>2809299</v>
      </c>
      <c r="E25" s="3" t="n">
        <f aca="false">COUNTIF($C$21:$C$50,C25)</f>
        <v>1</v>
      </c>
      <c r="F25" s="20" t="n">
        <f aca="false">D25/E25</f>
        <v>2809299</v>
      </c>
      <c r="G25" s="11" t="n">
        <f aca="false">LN(F25)</f>
        <v>14.8484455439959</v>
      </c>
      <c r="H25" s="21" t="n">
        <f aca="false">AVERAGEIFS(Market_Panel!$M$2:$M$2705,Market_Panel!$A$2:$A$2705,A25,Market_Panel!$B$2:$B$2705,"&gt;=1995")</f>
        <v>0.0378527542025795</v>
      </c>
      <c r="I25" s="21" t="n">
        <f aca="false">$C$53+$C$52*G25</f>
        <v>-0.00975143512552623</v>
      </c>
      <c r="J25" s="10" t="n">
        <f aca="false">H25-I25</f>
        <v>0.0476041893281058</v>
      </c>
      <c r="K25" s="21" t="n">
        <f aca="false">AVERAGEIFS(Market_Panel!$M$2:$M$2705,Market_Panel!$A$2:$A$2705,A25)</f>
        <v>0.0208419276928988</v>
      </c>
      <c r="L25" s="11" t="n">
        <f aca="false">AVERAGEIFS(Market_Panel!$P$2:$P$2705,Market_Panel!$A$2:$A$2705,A25)</f>
        <v>-0.715396020364899</v>
      </c>
    </row>
    <row r="26" customFormat="false" ht="15" hidden="false" customHeight="true" outlineLevel="0" collapsed="false">
      <c r="A26" s="7" t="s">
        <v>60</v>
      </c>
      <c r="B26" s="3" t="s">
        <v>55</v>
      </c>
      <c r="C26" s="7" t="s">
        <v>146</v>
      </c>
      <c r="D26" s="20" t="n">
        <f aca="false">INDEX(Pop_Inputs!$O$2:$O$29,MATCH(C26,Pop_Inputs!$A$2:$A$29,0))</f>
        <v>6245051</v>
      </c>
      <c r="E26" s="3" t="n">
        <f aca="false">COUNTIF($C$21:$C$50,C26)</f>
        <v>1</v>
      </c>
      <c r="F26" s="20" t="n">
        <f aca="false">D26/E26</f>
        <v>6245051</v>
      </c>
      <c r="G26" s="11" t="n">
        <f aca="false">LN(F26)</f>
        <v>15.6472998680417</v>
      </c>
      <c r="H26" s="21" t="n">
        <f aca="false">AVERAGEIFS(Market_Panel!$M$2:$M$2705,Market_Panel!$A$2:$A$2705,A26,Market_Panel!$B$2:$B$2705,"&gt;=1995")</f>
        <v>0.0033465141118333</v>
      </c>
      <c r="I26" s="21" t="n">
        <f aca="false">$C$53+$C$52*G26</f>
        <v>0.00924889700724313</v>
      </c>
      <c r="J26" s="10" t="n">
        <f aca="false">H26-I26</f>
        <v>-0.00590238289540983</v>
      </c>
      <c r="K26" s="21" t="n">
        <f aca="false">AVERAGEIFS(Market_Panel!$M$2:$M$2705,Market_Panel!$A$2:$A$2705,A26)</f>
        <v>-0.0315054839209133</v>
      </c>
      <c r="L26" s="11" t="n">
        <f aca="false">AVERAGEIFS(Market_Panel!$P$2:$P$2705,Market_Panel!$A$2:$A$2705,A26)</f>
        <v>0.414230736896588</v>
      </c>
    </row>
    <row r="27" customFormat="false" ht="15" hidden="false" customHeight="true" outlineLevel="0" collapsed="false">
      <c r="A27" s="7" t="s">
        <v>61</v>
      </c>
      <c r="B27" s="3" t="s">
        <v>55</v>
      </c>
      <c r="C27" s="7" t="s">
        <v>147</v>
      </c>
      <c r="D27" s="20" t="n">
        <f aca="false">INDEX(Pop_Inputs!$O$2:$O$29,MATCH(C27,Pop_Inputs!$A$2:$A$29,0))</f>
        <v>4648486</v>
      </c>
      <c r="E27" s="3" t="n">
        <f aca="false">COUNTIF($C$21:$C$50,C27)</f>
        <v>2</v>
      </c>
      <c r="F27" s="20" t="n">
        <f aca="false">D27/E27</f>
        <v>2324243</v>
      </c>
      <c r="G27" s="11" t="n">
        <f aca="false">LN(F27)</f>
        <v>14.6589049525894</v>
      </c>
      <c r="H27" s="21" t="n">
        <f aca="false">AVERAGEIFS(Market_Panel!$M$2:$M$2705,Market_Panel!$A$2:$A$2705,A27,Market_Panel!$B$2:$B$2705,"&gt;=1995")</f>
        <v>0.0161084263248536</v>
      </c>
      <c r="I27" s="21" t="n">
        <f aca="false">$C$53+$C$52*G27</f>
        <v>-0.0142595589235257</v>
      </c>
      <c r="J27" s="10" t="n">
        <f aca="false">H27-I27</f>
        <v>0.0303679852483793</v>
      </c>
      <c r="K27" s="21" t="n">
        <f aca="false">AVERAGEIFS(Market_Panel!$M$2:$M$2705,Market_Panel!$A$2:$A$2705,A27)</f>
        <v>0.0334084344093722</v>
      </c>
      <c r="L27" s="11" t="n">
        <f aca="false">AVERAGEIFS(Market_Panel!$P$2:$P$2705,Market_Panel!$A$2:$A$2705,A27)</f>
        <v>0.34687856682102</v>
      </c>
    </row>
    <row r="28" customFormat="false" ht="15" hidden="false" customHeight="true" outlineLevel="0" collapsed="false">
      <c r="A28" s="7" t="s">
        <v>62</v>
      </c>
      <c r="B28" s="3" t="s">
        <v>55</v>
      </c>
      <c r="C28" s="7" t="s">
        <v>148</v>
      </c>
      <c r="D28" s="20" t="n">
        <f aca="false">INDEX(Pop_Inputs!$O$2:$O$29,MATCH(C28,Pop_Inputs!$A$2:$A$29,0))</f>
        <v>13200998</v>
      </c>
      <c r="E28" s="3" t="n">
        <f aca="false">COUNTIF($C$21:$C$50,C28)</f>
        <v>2</v>
      </c>
      <c r="F28" s="20" t="n">
        <f aca="false">D28/E28</f>
        <v>6600499</v>
      </c>
      <c r="G28" s="11" t="n">
        <f aca="false">LN(F28)</f>
        <v>15.7026558101993</v>
      </c>
      <c r="H28" s="21" t="n">
        <f aca="false">AVERAGEIFS(Market_Panel!$M$2:$M$2705,Market_Panel!$A$2:$A$2705,A28,Market_Panel!$B$2:$B$2705,"&gt;=1995")</f>
        <v>0.063695579261641</v>
      </c>
      <c r="I28" s="21" t="n">
        <f aca="false">$C$53+$C$52*G28</f>
        <v>0.0105655091289494</v>
      </c>
      <c r="J28" s="10" t="n">
        <f aca="false">H28-I28</f>
        <v>0.0531300701326916</v>
      </c>
      <c r="K28" s="21" t="n">
        <f aca="false">AVERAGEIFS(Market_Panel!$M$2:$M$2705,Market_Panel!$A$2:$A$2705,A28)</f>
        <v>0.0317798887346115</v>
      </c>
      <c r="L28" s="11" t="n">
        <f aca="false">AVERAGEIFS(Market_Panel!$P$2:$P$2705,Market_Panel!$A$2:$A$2705,A28)</f>
        <v>0.785936514514213</v>
      </c>
    </row>
    <row r="29" customFormat="false" ht="15" hidden="false" customHeight="true" outlineLevel="0" collapsed="false">
      <c r="A29" s="7" t="s">
        <v>63</v>
      </c>
      <c r="B29" s="3" t="s">
        <v>55</v>
      </c>
      <c r="C29" s="7" t="s">
        <v>149</v>
      </c>
      <c r="D29" s="20" t="n">
        <f aca="false">INDEX(Pop_Inputs!$O$2:$O$29,MATCH(C29,Pop_Inputs!$A$2:$A$29,0))</f>
        <v>2859024</v>
      </c>
      <c r="E29" s="3" t="n">
        <f aca="false">COUNTIF($C$21:$C$50,C29)</f>
        <v>1</v>
      </c>
      <c r="F29" s="20" t="n">
        <f aca="false">D29/E29</f>
        <v>2859024</v>
      </c>
      <c r="G29" s="11" t="n">
        <f aca="false">LN(F29)</f>
        <v>14.8659908658128</v>
      </c>
      <c r="H29" s="21" t="n">
        <f aca="false">AVERAGEIFS(Market_Panel!$M$2:$M$2705,Market_Panel!$A$2:$A$2705,A29,Market_Panel!$B$2:$B$2705,"&gt;=1995")</f>
        <v>-0.0328010824261326</v>
      </c>
      <c r="I29" s="21" t="n">
        <f aca="false">$C$53+$C$52*G29</f>
        <v>-0.00933412882591389</v>
      </c>
      <c r="J29" s="10" t="n">
        <f aca="false">H29-I29</f>
        <v>-0.0234669536002187</v>
      </c>
      <c r="K29" s="21" t="n">
        <f aca="false">AVERAGEIFS(Market_Panel!$M$2:$M$2705,Market_Panel!$A$2:$A$2705,A29)</f>
        <v>-0.0259359784955378</v>
      </c>
      <c r="L29" s="11" t="n">
        <f aca="false">AVERAGEIFS(Market_Panel!$P$2:$P$2705,Market_Panel!$A$2:$A$2705,A29)</f>
        <v>-0.419743882214193</v>
      </c>
    </row>
    <row r="30" customFormat="false" ht="15" hidden="false" customHeight="true" outlineLevel="0" collapsed="false">
      <c r="A30" s="7" t="s">
        <v>64</v>
      </c>
      <c r="B30" s="3" t="s">
        <v>55</v>
      </c>
      <c r="C30" s="7" t="s">
        <v>150</v>
      </c>
      <c r="D30" s="20" t="n">
        <f aca="false">INDEX(Pop_Inputs!$O$2:$O$29,MATCH(C30,Pop_Inputs!$A$2:$A$29,0))</f>
        <v>4941632</v>
      </c>
      <c r="E30" s="3" t="n">
        <f aca="false">COUNTIF($C$21:$C$50,C30)</f>
        <v>1</v>
      </c>
      <c r="F30" s="20" t="n">
        <f aca="false">D30/E30</f>
        <v>4941632</v>
      </c>
      <c r="G30" s="11" t="n">
        <f aca="false">LN(F30)</f>
        <v>15.4132061989783</v>
      </c>
      <c r="H30" s="21" t="n">
        <f aca="false">AVERAGEIFS(Market_Panel!$M$2:$M$2705,Market_Panel!$A$2:$A$2705,A30,Market_Panel!$B$2:$B$2705,"&gt;=1995")</f>
        <v>0.0418446069752838</v>
      </c>
      <c r="I30" s="21" t="n">
        <f aca="false">$C$53+$C$52*G30</f>
        <v>0.0036811015675724</v>
      </c>
      <c r="J30" s="10" t="n">
        <f aca="false">H30-I30</f>
        <v>0.0381635054077114</v>
      </c>
      <c r="K30" s="21" t="n">
        <f aca="false">AVERAGEIFS(Market_Panel!$M$2:$M$2705,Market_Panel!$A$2:$A$2705,A30)</f>
        <v>0.0176311465273657</v>
      </c>
      <c r="L30" s="11" t="n">
        <f aca="false">AVERAGEIFS(Market_Panel!$P$2:$P$2705,Market_Panel!$A$2:$A$2705,A30)</f>
        <v>-0.528833013242617</v>
      </c>
    </row>
    <row r="31" customFormat="false" ht="15" hidden="false" customHeight="true" outlineLevel="0" collapsed="false">
      <c r="A31" s="7" t="s">
        <v>65</v>
      </c>
      <c r="B31" s="3" t="s">
        <v>55</v>
      </c>
      <c r="C31" s="7" t="s">
        <v>142</v>
      </c>
      <c r="D31" s="20" t="n">
        <f aca="false">INDEX(Pop_Inputs!$O$2:$O$29,MATCH(C31,Pop_Inputs!$A$2:$A$29,0))</f>
        <v>9618502</v>
      </c>
      <c r="E31" s="3" t="n">
        <f aca="false">COUNTIF($C$21:$C$50,C31)</f>
        <v>2</v>
      </c>
      <c r="F31" s="20" t="n">
        <f aca="false">D31/E31</f>
        <v>4809251</v>
      </c>
      <c r="G31" s="11" t="n">
        <f aca="false">LN(F31)</f>
        <v>15.386051912701</v>
      </c>
      <c r="H31" s="21" t="n">
        <f aca="false">AVERAGEIFS(Market_Panel!$M$2:$M$2705,Market_Panel!$A$2:$A$2705,A31,Market_Panel!$B$2:$B$2705,"&gt;=1995")</f>
        <v>-0.0165375895902133</v>
      </c>
      <c r="I31" s="21" t="n">
        <f aca="false">$C$53+$C$52*G31</f>
        <v>0.00303525107572933</v>
      </c>
      <c r="J31" s="10" t="n">
        <f aca="false">H31-I31</f>
        <v>-0.0195728406659426</v>
      </c>
      <c r="K31" s="21" t="n">
        <f aca="false">AVERAGEIFS(Market_Panel!$M$2:$M$2705,Market_Panel!$A$2:$A$2705,A31)</f>
        <v>-0.000683557471476854</v>
      </c>
      <c r="L31" s="11" t="n">
        <f aca="false">AVERAGEIFS(Market_Panel!$P$2:$P$2705,Market_Panel!$A$2:$A$2705,A31)</f>
        <v>0.546140143601172</v>
      </c>
    </row>
    <row r="32" customFormat="false" ht="15" hidden="false" customHeight="true" outlineLevel="0" collapsed="false">
      <c r="A32" s="7" t="s">
        <v>66</v>
      </c>
      <c r="B32" s="3" t="s">
        <v>55</v>
      </c>
      <c r="C32" s="7" t="s">
        <v>151</v>
      </c>
      <c r="D32" s="20" t="n">
        <f aca="false">INDEX(Pop_Inputs!$O$2:$O$29,MATCH(C32,Pop_Inputs!$A$2:$A$29,0))</f>
        <v>2171877</v>
      </c>
      <c r="E32" s="3" t="n">
        <f aca="false">COUNTIF($C$21:$C$50,C32)</f>
        <v>1</v>
      </c>
      <c r="F32" s="20" t="n">
        <f aca="false">D32/E32</f>
        <v>2171877</v>
      </c>
      <c r="G32" s="11" t="n">
        <f aca="false">LN(F32)</f>
        <v>14.5911023285982</v>
      </c>
      <c r="H32" s="21" t="n">
        <f aca="false">AVERAGEIFS(Market_Panel!$M$2:$M$2705,Market_Panel!$A$2:$A$2705,A32,Market_Panel!$B$2:$B$2705,"&gt;=1995")</f>
        <v>0.033630376916734</v>
      </c>
      <c r="I32" s="21" t="n">
        <f aca="false">$C$53+$C$52*G32</f>
        <v>-0.0158722088604769</v>
      </c>
      <c r="J32" s="10" t="n">
        <f aca="false">H32-I32</f>
        <v>0.0495025857772109</v>
      </c>
      <c r="K32" s="21" t="n">
        <f aca="false">AVERAGEIFS(Market_Panel!$M$2:$M$2705,Market_Panel!$A$2:$A$2705,A32)</f>
        <v>0.0138994298302038</v>
      </c>
      <c r="L32" s="11" t="n">
        <f aca="false">AVERAGEIFS(Market_Panel!$P$2:$P$2705,Market_Panel!$A$2:$A$2705,A32)</f>
        <v>-0.310986064761851</v>
      </c>
    </row>
    <row r="33" customFormat="false" ht="15" hidden="false" customHeight="true" outlineLevel="0" collapsed="false">
      <c r="A33" s="7" t="s">
        <v>67</v>
      </c>
      <c r="B33" s="3" t="s">
        <v>55</v>
      </c>
      <c r="C33" s="7" t="s">
        <v>152</v>
      </c>
      <c r="D33" s="20" t="n">
        <f aca="false">INDEX(Pop_Inputs!$O$2:$O$29,MATCH(C33,Pop_Inputs!$A$2:$A$29,0))</f>
        <v>4400578</v>
      </c>
      <c r="E33" s="3" t="n">
        <f aca="false">COUNTIF($C$21:$C$50,C33)</f>
        <v>1</v>
      </c>
      <c r="F33" s="20" t="n">
        <f aca="false">D33/E33</f>
        <v>4400578</v>
      </c>
      <c r="G33" s="11" t="n">
        <f aca="false">LN(F33)</f>
        <v>15.2972464538974</v>
      </c>
      <c r="H33" s="21" t="n">
        <f aca="false">AVERAGEIFS(Market_Panel!$M$2:$M$2705,Market_Panel!$A$2:$A$2705,A33,Market_Panel!$B$2:$B$2705,"&gt;=1995")</f>
        <v>-0.041148153717804</v>
      </c>
      <c r="I33" s="21" t="n">
        <f aca="false">$C$53+$C$52*G33</f>
        <v>0.000923059701554319</v>
      </c>
      <c r="J33" s="10" t="n">
        <f aca="false">H33-I33</f>
        <v>-0.0420712134193583</v>
      </c>
      <c r="K33" s="21" t="n">
        <f aca="false">AVERAGEIFS(Market_Panel!$M$2:$M$2705,Market_Panel!$A$2:$A$2705,A33)</f>
        <v>0.00264658714976259</v>
      </c>
      <c r="L33" s="11" t="n">
        <f aca="false">AVERAGEIFS(Market_Panel!$P$2:$P$2705,Market_Panel!$A$2:$A$2705,A33)</f>
        <v>0.202144716662505</v>
      </c>
    </row>
    <row r="34" customFormat="false" ht="15" hidden="false" customHeight="true" outlineLevel="0" collapsed="false">
      <c r="A34" s="7" t="s">
        <v>68</v>
      </c>
      <c r="B34" s="3" t="s">
        <v>55</v>
      </c>
      <c r="C34" s="7" t="s">
        <v>153</v>
      </c>
      <c r="D34" s="20" t="n">
        <f aca="false">INDEX(Pop_Inputs!$O$2:$O$29,MATCH(C34,Pop_Inputs!$A$2:$A$29,0))</f>
        <v>3693729</v>
      </c>
      <c r="E34" s="3" t="n">
        <f aca="false">COUNTIF($C$21:$C$50,C34)</f>
        <v>1</v>
      </c>
      <c r="F34" s="20" t="n">
        <f aca="false">D34/E34</f>
        <v>3693729</v>
      </c>
      <c r="G34" s="11" t="n">
        <f aca="false">LN(F34)</f>
        <v>15.1221470748412</v>
      </c>
      <c r="H34" s="21" t="n">
        <f aca="false">AVERAGEIFS(Market_Panel!$M$2:$M$2705,Market_Panel!$A$2:$A$2705,A34,Market_Panel!$B$2:$B$2705,"&gt;=1995")</f>
        <v>-0.0106367919634679</v>
      </c>
      <c r="I34" s="21" t="n">
        <f aca="false">$C$53+$C$52*G34</f>
        <v>-0.00324158741640868</v>
      </c>
      <c r="J34" s="10" t="n">
        <f aca="false">H34-I34</f>
        <v>-0.00739520454705925</v>
      </c>
      <c r="K34" s="21" t="n">
        <f aca="false">AVERAGEIFS(Market_Panel!$M$2:$M$2705,Market_Panel!$A$2:$A$2705,A34)</f>
        <v>-0.0189628322407734</v>
      </c>
      <c r="L34" s="11" t="n">
        <f aca="false">AVERAGEIFS(Market_Panel!$P$2:$P$2705,Market_Panel!$A$2:$A$2705,A34)</f>
        <v>-0.634859727058352</v>
      </c>
    </row>
    <row r="35" customFormat="false" ht="15" hidden="false" customHeight="true" outlineLevel="0" collapsed="false">
      <c r="A35" s="7" t="s">
        <v>69</v>
      </c>
      <c r="B35" s="3" t="s">
        <v>55</v>
      </c>
      <c r="C35" s="7" t="s">
        <v>147</v>
      </c>
      <c r="D35" s="20" t="n">
        <f aca="false">INDEX(Pop_Inputs!$O$2:$O$29,MATCH(C35,Pop_Inputs!$A$2:$A$29,0))</f>
        <v>4648486</v>
      </c>
      <c r="E35" s="3" t="n">
        <f aca="false">COUNTIF($C$21:$C$50,C35)</f>
        <v>2</v>
      </c>
      <c r="F35" s="20" t="n">
        <f aca="false">D35/E35</f>
        <v>2324243</v>
      </c>
      <c r="G35" s="11" t="n">
        <f aca="false">LN(F35)</f>
        <v>14.6589049525894</v>
      </c>
      <c r="H35" s="21" t="n">
        <f aca="false">AVERAGEIFS(Market_Panel!$M$2:$M$2705,Market_Panel!$A$2:$A$2705,A35,Market_Panel!$B$2:$B$2705,"&gt;=1995")</f>
        <v>0.00730592500205297</v>
      </c>
      <c r="I35" s="21" t="n">
        <f aca="false">$C$53+$C$52*G35</f>
        <v>-0.0142595589235257</v>
      </c>
      <c r="J35" s="10" t="n">
        <f aca="false">H35-I35</f>
        <v>0.0215654839255787</v>
      </c>
      <c r="K35" s="21" t="n">
        <f aca="false">AVERAGEIFS(Market_Panel!$M$2:$M$2705,Market_Panel!$A$2:$A$2705,A35)</f>
        <v>-0.0134491718935171</v>
      </c>
      <c r="L35" s="11" t="n">
        <f aca="false">AVERAGEIFS(Market_Panel!$P$2:$P$2705,Market_Panel!$A$2:$A$2705,A35)</f>
        <v>-0.403800227655466</v>
      </c>
    </row>
    <row r="36" customFormat="false" ht="15" hidden="false" customHeight="true" outlineLevel="0" collapsed="false">
      <c r="A36" s="7" t="s">
        <v>70</v>
      </c>
      <c r="B36" s="3" t="s">
        <v>55</v>
      </c>
      <c r="C36" s="7" t="s">
        <v>154</v>
      </c>
      <c r="D36" s="20" t="n">
        <f aca="false">INDEX(Pop_Inputs!$O$2:$O$29,MATCH(C36,Pop_Inputs!$A$2:$A$29,0))</f>
        <v>20140470</v>
      </c>
      <c r="E36" s="3" t="n">
        <f aca="false">COUNTIF($C$21:$C$50,C36)</f>
        <v>2</v>
      </c>
      <c r="F36" s="20" t="n">
        <f aca="false">D36/E36</f>
        <v>10070235</v>
      </c>
      <c r="G36" s="11" t="n">
        <f aca="false">LN(F36)</f>
        <v>16.1250946010659</v>
      </c>
      <c r="H36" s="21" t="n">
        <f aca="false">AVERAGEIFS(Market_Panel!$M$2:$M$2705,Market_Panel!$A$2:$A$2705,A36,Market_Panel!$B$2:$B$2705,"&gt;=1995")</f>
        <v>0.0829205343853627</v>
      </c>
      <c r="I36" s="21" t="n">
        <f aca="false">$C$53+$C$52*G36</f>
        <v>0.0206129947475817</v>
      </c>
      <c r="J36" s="10" t="n">
        <f aca="false">H36-I36</f>
        <v>0.062307539637781</v>
      </c>
      <c r="K36" s="21" t="n">
        <f aca="false">AVERAGEIFS(Market_Panel!$M$2:$M$2705,Market_Panel!$A$2:$A$2705,A36)</f>
        <v>0.0695335953981265</v>
      </c>
      <c r="L36" s="11" t="n">
        <f aca="false">AVERAGEIFS(Market_Panel!$P$2:$P$2705,Market_Panel!$A$2:$A$2705,A36)</f>
        <v>1.26394343126244</v>
      </c>
    </row>
    <row r="37" customFormat="false" ht="15" hidden="false" customHeight="true" outlineLevel="0" collapsed="false">
      <c r="A37" s="7" t="s">
        <v>71</v>
      </c>
      <c r="B37" s="3" t="s">
        <v>72</v>
      </c>
      <c r="C37" s="7" t="s">
        <v>148</v>
      </c>
      <c r="D37" s="20" t="n">
        <f aca="false">INDEX(Pop_Inputs!$O$2:$O$29,MATCH(C37,Pop_Inputs!$A$2:$A$29,0))</f>
        <v>13200998</v>
      </c>
      <c r="E37" s="3" t="n">
        <f aca="false">COUNTIF($C$21:$C$50,C37)</f>
        <v>2</v>
      </c>
      <c r="F37" s="20" t="n">
        <f aca="false">D37/E37</f>
        <v>6600499</v>
      </c>
      <c r="G37" s="11" t="n">
        <f aca="false">LN(F37)</f>
        <v>15.7026558101993</v>
      </c>
      <c r="H37" s="21" t="n">
        <f aca="false">AVERAGEIFS(Market_Panel!$M$2:$M$2705,Market_Panel!$A$2:$A$2705,A37,Market_Panel!$B$2:$B$2705,"&gt;=1995")</f>
        <v>0.00714135994715083</v>
      </c>
      <c r="I37" s="21" t="n">
        <f aca="false">$C$53+$C$52*G37</f>
        <v>0.0105655091289494</v>
      </c>
      <c r="J37" s="10" t="n">
        <f aca="false">H37-I37</f>
        <v>-0.00342414918179861</v>
      </c>
      <c r="K37" s="21" t="n">
        <f aca="false">AVERAGEIFS(Market_Panel!$M$2:$M$2705,Market_Panel!$A$2:$A$2705,A37)</f>
        <v>-0.00651446798746147</v>
      </c>
      <c r="L37" s="11" t="n">
        <f aca="false">AVERAGEIFS(Market_Panel!$P$2:$P$2705,Market_Panel!$A$2:$A$2705,A37)</f>
        <v>0.651564130158796</v>
      </c>
    </row>
    <row r="38" customFormat="false" ht="15" hidden="false" customHeight="true" outlineLevel="0" collapsed="false">
      <c r="A38" s="7" t="s">
        <v>73</v>
      </c>
      <c r="B38" s="3" t="s">
        <v>72</v>
      </c>
      <c r="C38" s="7" t="s">
        <v>155</v>
      </c>
      <c r="D38" s="20" t="n">
        <f aca="false">INDEX(Pop_Inputs!$O$2:$O$29,MATCH(C38,Pop_Inputs!$A$2:$A$29,0))</f>
        <v>8477157</v>
      </c>
      <c r="E38" s="3" t="n">
        <f aca="false">COUNTIF($C$21:$C$50,C38)</f>
        <v>1</v>
      </c>
      <c r="F38" s="20" t="n">
        <f aca="false">D38/E38</f>
        <v>8477157</v>
      </c>
      <c r="G38" s="11" t="n">
        <f aca="false">LN(F38)</f>
        <v>15.9528856921221</v>
      </c>
      <c r="H38" s="21" t="n">
        <f aca="false">AVERAGEIFS(Market_Panel!$M$2:$M$2705,Market_Panel!$A$2:$A$2705,A38,Market_Panel!$B$2:$B$2705,"&gt;=1995")</f>
        <v>-0.00454479943227799</v>
      </c>
      <c r="I38" s="21" t="n">
        <f aca="false">$C$53+$C$52*G38</f>
        <v>0.0165170959489329</v>
      </c>
      <c r="J38" s="10" t="n">
        <f aca="false">H38-I38</f>
        <v>-0.0210618953812109</v>
      </c>
      <c r="K38" s="21" t="n">
        <f aca="false">AVERAGEIFS(Market_Panel!$M$2:$M$2705,Market_Panel!$A$2:$A$2705,A38)</f>
        <v>-0.024413315878422</v>
      </c>
      <c r="L38" s="11" t="n">
        <f aca="false">AVERAGEIFS(Market_Panel!$P$2:$P$2705,Market_Panel!$A$2:$A$2705,A38)</f>
        <v>0.164040043060855</v>
      </c>
    </row>
    <row r="39" customFormat="false" ht="15" hidden="false" customHeight="true" outlineLevel="0" collapsed="false">
      <c r="A39" s="7" t="s">
        <v>74</v>
      </c>
      <c r="B39" s="3" t="s">
        <v>72</v>
      </c>
      <c r="C39" s="7" t="s">
        <v>156</v>
      </c>
      <c r="D39" s="20" t="n">
        <f aca="false">INDEX(Pop_Inputs!$O$2:$O$29,MATCH(C39,Pop_Inputs!$A$2:$A$29,0))</f>
        <v>7122240</v>
      </c>
      <c r="E39" s="3" t="n">
        <f aca="false">COUNTIF($C$21:$C$50,C39)</f>
        <v>1</v>
      </c>
      <c r="F39" s="20" t="n">
        <f aca="false">D39/E39</f>
        <v>7122240</v>
      </c>
      <c r="G39" s="11" t="n">
        <f aca="false">LN(F39)</f>
        <v>15.7787328406514</v>
      </c>
      <c r="H39" s="21" t="n">
        <f aca="false">AVERAGEIFS(Market_Panel!$M$2:$M$2705,Market_Panel!$A$2:$A$2705,A39,Market_Panel!$B$2:$B$2705,"&gt;=1995")</f>
        <v>0.0211001682200924</v>
      </c>
      <c r="I39" s="21" t="n">
        <f aca="false">$C$53+$C$52*G39</f>
        <v>0.012374961494363</v>
      </c>
      <c r="J39" s="10" t="n">
        <f aca="false">H39-I39</f>
        <v>0.00872520672572941</v>
      </c>
      <c r="K39" s="21" t="n">
        <f aca="false">AVERAGEIFS(Market_Panel!$M$2:$M$2705,Market_Panel!$A$2:$A$2705,A39)</f>
        <v>0.00323123295370019</v>
      </c>
      <c r="L39" s="11" t="n">
        <f aca="false">AVERAGEIFS(Market_Panel!$P$2:$P$2705,Market_Panel!$A$2:$A$2705,A39)</f>
        <v>0.675348307289595</v>
      </c>
    </row>
    <row r="40" customFormat="false" ht="15" hidden="false" customHeight="true" outlineLevel="0" collapsed="false">
      <c r="A40" s="7" t="s">
        <v>75</v>
      </c>
      <c r="B40" s="3" t="s">
        <v>72</v>
      </c>
      <c r="C40" s="7" t="s">
        <v>154</v>
      </c>
      <c r="D40" s="20" t="n">
        <f aca="false">INDEX(Pop_Inputs!$O$2:$O$29,MATCH(C40,Pop_Inputs!$A$2:$A$29,0))</f>
        <v>20140470</v>
      </c>
      <c r="E40" s="3" t="n">
        <f aca="false">COUNTIF($C$21:$C$50,C40)</f>
        <v>2</v>
      </c>
      <c r="F40" s="20" t="n">
        <f aca="false">D40/E40</f>
        <v>10070235</v>
      </c>
      <c r="G40" s="11" t="n">
        <f aca="false">LN(F40)</f>
        <v>16.1250946010659</v>
      </c>
      <c r="H40" s="21" t="n">
        <f aca="false">AVERAGEIFS(Market_Panel!$M$2:$M$2705,Market_Panel!$A$2:$A$2705,A40,Market_Panel!$B$2:$B$2705,"&gt;=1995")</f>
        <v>0.0028255642836847</v>
      </c>
      <c r="I40" s="21" t="n">
        <f aca="false">$C$53+$C$52*G40</f>
        <v>0.0206129947475817</v>
      </c>
      <c r="J40" s="10" t="n">
        <f aca="false">H40-I40</f>
        <v>-0.017787430463897</v>
      </c>
      <c r="K40" s="21" t="n">
        <f aca="false">AVERAGEIFS(Market_Panel!$M$2:$M$2705,Market_Panel!$A$2:$A$2705,A40)</f>
        <v>-0.017166014332584</v>
      </c>
      <c r="L40" s="11" t="n">
        <f aca="false">AVERAGEIFS(Market_Panel!$P$2:$P$2705,Market_Panel!$A$2:$A$2705,A40)</f>
        <v>1.50855886755271</v>
      </c>
    </row>
    <row r="41" customFormat="false" ht="15" hidden="false" customHeight="true" outlineLevel="0" collapsed="false">
      <c r="A41" s="7" t="s">
        <v>76</v>
      </c>
      <c r="B41" s="3" t="s">
        <v>72</v>
      </c>
      <c r="C41" s="7" t="s">
        <v>157</v>
      </c>
      <c r="D41" s="20" t="n">
        <f aca="false">INDEX(Pop_Inputs!$O$2:$O$29,MATCH(C41,Pop_Inputs!$A$2:$A$29,0))</f>
        <v>2253579</v>
      </c>
      <c r="E41" s="3" t="n">
        <f aca="false">COUNTIF($C$21:$C$50,C41)</f>
        <v>1</v>
      </c>
      <c r="F41" s="20" t="n">
        <f aca="false">D41/E41</f>
        <v>2253579</v>
      </c>
      <c r="G41" s="11" t="n">
        <f aca="false">LN(F41)</f>
        <v>14.628030177077</v>
      </c>
      <c r="H41" s="21" t="n">
        <f aca="false">AVERAGEIFS(Market_Panel!$M$2:$M$2705,Market_Panel!$A$2:$A$2705,A41,Market_Panel!$B$2:$B$2705,"&gt;=1995")</f>
        <v>-0.0575943832070444</v>
      </c>
      <c r="I41" s="21" t="n">
        <f aca="false">$C$53+$C$52*G41</f>
        <v>-0.0149938993052463</v>
      </c>
      <c r="J41" s="10" t="n">
        <f aca="false">H41-I41</f>
        <v>-0.0426004839017981</v>
      </c>
      <c r="K41" s="21" t="n">
        <f aca="false">AVERAGEIFS(Market_Panel!$M$2:$M$2705,Market_Panel!$A$2:$A$2705,A41)</f>
        <v>-0.0229481487781143</v>
      </c>
      <c r="L41" s="11" t="n">
        <f aca="false">AVERAGEIFS(Market_Panel!$P$2:$P$2705,Market_Panel!$A$2:$A$2705,A41)</f>
        <v>-0.608277492119123</v>
      </c>
    </row>
    <row r="42" customFormat="false" ht="15" hidden="false" customHeight="true" outlineLevel="0" collapsed="false">
      <c r="A42" s="7" t="s">
        <v>77</v>
      </c>
      <c r="B42" s="3" t="s">
        <v>72</v>
      </c>
      <c r="C42" s="7" t="s">
        <v>158</v>
      </c>
      <c r="D42" s="20" t="n">
        <f aca="false">INDEX(Pop_Inputs!$O$2:$O$29,MATCH(C42,Pop_Inputs!$A$2:$A$29,0))</f>
        <v>1574731</v>
      </c>
      <c r="E42" s="3" t="n">
        <f aca="false">COUNTIF($C$21:$C$50,C42)</f>
        <v>1</v>
      </c>
      <c r="F42" s="20" t="n">
        <f aca="false">D42/E42</f>
        <v>1574731</v>
      </c>
      <c r="G42" s="11" t="n">
        <f aca="false">LN(F42)</f>
        <v>14.2695950220042</v>
      </c>
      <c r="H42" s="21" t="n">
        <f aca="false">AVERAGEIFS(Market_Panel!$M$2:$M$2705,Market_Panel!$A$2:$A$2705,A42,Market_Panel!$B$2:$B$2705,"&gt;=1995")</f>
        <v>-0.00492222404387113</v>
      </c>
      <c r="I42" s="21" t="n">
        <f aca="false">$C$53+$C$52*G42</f>
        <v>-0.0235190919335512</v>
      </c>
      <c r="J42" s="10" t="n">
        <f aca="false">H42-I42</f>
        <v>0.0185968678896801</v>
      </c>
      <c r="K42" s="21" t="n">
        <f aca="false">AVERAGEIFS(Market_Panel!$M$2:$M$2705,Market_Panel!$A$2:$A$2705,A42)</f>
        <v>-0.0104584001651343</v>
      </c>
      <c r="L42" s="11" t="n">
        <f aca="false">AVERAGEIFS(Market_Panel!$P$2:$P$2705,Market_Panel!$A$2:$A$2705,A42)</f>
        <v>-0.326394399618583</v>
      </c>
    </row>
    <row r="43" customFormat="false" ht="15" hidden="false" customHeight="true" outlineLevel="0" collapsed="false">
      <c r="A43" s="7" t="s">
        <v>78</v>
      </c>
      <c r="B43" s="3" t="s">
        <v>72</v>
      </c>
      <c r="C43" s="7" t="s">
        <v>159</v>
      </c>
      <c r="D43" s="20" t="n">
        <f aca="false">INDEX(Pop_Inputs!$O$2:$O$29,MATCH(C43,Pop_Inputs!$A$2:$A$29,0))</f>
        <v>3298799</v>
      </c>
      <c r="E43" s="3" t="n">
        <f aca="false">COUNTIF($C$21:$C$50,C43)</f>
        <v>1</v>
      </c>
      <c r="F43" s="20" t="n">
        <f aca="false">D43/E43</f>
        <v>3298799</v>
      </c>
      <c r="G43" s="11" t="n">
        <f aca="false">LN(F43)</f>
        <v>15.0090690208008</v>
      </c>
      <c r="H43" s="21" t="n">
        <f aca="false">AVERAGEIFS(Market_Panel!$M$2:$M$2705,Market_Panel!$A$2:$A$2705,A43,Market_Panel!$B$2:$B$2705,"&gt;=1995")</f>
        <v>-0.0105160718459279</v>
      </c>
      <c r="I43" s="21" t="n">
        <f aca="false">$C$53+$C$52*G43</f>
        <v>-0.00593108976874551</v>
      </c>
      <c r="J43" s="10" t="n">
        <f aca="false">H43-I43</f>
        <v>-0.00458498207718235</v>
      </c>
      <c r="K43" s="21" t="n">
        <f aca="false">AVERAGEIFS(Market_Panel!$M$2:$M$2705,Market_Panel!$A$2:$A$2705,A43)</f>
        <v>-0.0310320043694112</v>
      </c>
      <c r="L43" s="11" t="n">
        <f aca="false">AVERAGEIFS(Market_Panel!$P$2:$P$2705,Market_Panel!$A$2:$A$2705,A43)</f>
        <v>0.256705668913996</v>
      </c>
    </row>
    <row r="44" customFormat="false" ht="15" hidden="false" customHeight="true" outlineLevel="0" collapsed="false">
      <c r="A44" s="7" t="s">
        <v>79</v>
      </c>
      <c r="B44" s="3" t="s">
        <v>72</v>
      </c>
      <c r="C44" s="7" t="s">
        <v>160</v>
      </c>
      <c r="D44" s="20" t="n">
        <f aca="false">INDEX(Pop_Inputs!$O$2:$O$29,MATCH(C44,Pop_Inputs!$A$2:$A$29,0))</f>
        <v>6304975</v>
      </c>
      <c r="E44" s="3" t="n">
        <f aca="false">COUNTIF($C$21:$C$50,C44)</f>
        <v>1</v>
      </c>
      <c r="F44" s="20" t="n">
        <f aca="false">D44/E44</f>
        <v>6304975</v>
      </c>
      <c r="G44" s="11" t="n">
        <f aca="false">LN(F44)</f>
        <v>15.6568495622662</v>
      </c>
      <c r="H44" s="21" t="n">
        <f aca="false">AVERAGEIFS(Market_Panel!$M$2:$M$2705,Market_Panel!$A$2:$A$2705,A44,Market_Panel!$B$2:$B$2705,"&gt;=1995")</f>
        <v>-0.029590272103354</v>
      </c>
      <c r="I44" s="21" t="n">
        <f aca="false">$C$53+$C$52*G44</f>
        <v>0.00947603148792509</v>
      </c>
      <c r="J44" s="10" t="n">
        <f aca="false">H44-I44</f>
        <v>-0.0390663035912791</v>
      </c>
      <c r="K44" s="21" t="n">
        <f aca="false">AVERAGEIFS(Market_Panel!$M$2:$M$2705,Market_Panel!$A$2:$A$2705,A44)</f>
        <v>-0.0178282847871431</v>
      </c>
      <c r="L44" s="11" t="n">
        <f aca="false">AVERAGEIFS(Market_Panel!$P$2:$P$2705,Market_Panel!$A$2:$A$2705,A44)</f>
        <v>0.0334083007075638</v>
      </c>
    </row>
    <row r="45" customFormat="false" ht="15" hidden="false" customHeight="true" outlineLevel="0" collapsed="false">
      <c r="A45" s="7" t="s">
        <v>80</v>
      </c>
      <c r="B45" s="3" t="s">
        <v>72</v>
      </c>
      <c r="C45" s="7" t="s">
        <v>161</v>
      </c>
      <c r="D45" s="20" t="n">
        <f aca="false">INDEX(Pop_Inputs!$O$2:$O$29,MATCH(C45,Pop_Inputs!$A$2:$A$29,0))</f>
        <v>4018762</v>
      </c>
      <c r="E45" s="3" t="n">
        <f aca="false">COUNTIF($C$21:$C$50,C45)</f>
        <v>1</v>
      </c>
      <c r="F45" s="20" t="n">
        <f aca="false">D45/E45</f>
        <v>4018762</v>
      </c>
      <c r="G45" s="11" t="n">
        <f aca="false">LN(F45)</f>
        <v>15.2064844529667</v>
      </c>
      <c r="H45" s="21" t="n">
        <f aca="false">AVERAGEIFS(Market_Panel!$M$2:$M$2705,Market_Panel!$A$2:$A$2705,A45,Market_Panel!$B$2:$B$2705,"&gt;=1995")</f>
        <v>0.00383241107630549</v>
      </c>
      <c r="I45" s="21" t="n">
        <f aca="false">$C$53+$C$52*G45</f>
        <v>-0.00123566700343991</v>
      </c>
      <c r="J45" s="10" t="n">
        <f aca="false">H45-I45</f>
        <v>0.0050680780797454</v>
      </c>
      <c r="K45" s="21" t="n">
        <f aca="false">AVERAGEIFS(Market_Panel!$M$2:$M$2705,Market_Panel!$A$2:$A$2705,A45)</f>
        <v>-0.0225856384333385</v>
      </c>
      <c r="L45" s="11" t="n">
        <f aca="false">AVERAGEIFS(Market_Panel!$P$2:$P$2705,Market_Panel!$A$2:$A$2705,A45)</f>
        <v>-0.366437659991808</v>
      </c>
    </row>
    <row r="46" customFormat="false" ht="15" hidden="false" customHeight="true" outlineLevel="0" collapsed="false">
      <c r="A46" s="7" t="s">
        <v>81</v>
      </c>
      <c r="B46" s="3" t="s">
        <v>72</v>
      </c>
      <c r="C46" s="7" t="s">
        <v>162</v>
      </c>
      <c r="D46" s="20" t="n">
        <f aca="false">INDEX(Pop_Inputs!$O$2:$O$29,MATCH(C46,Pop_Inputs!$A$2:$A$29,0))</f>
        <v>6202225</v>
      </c>
      <c r="E46" s="3" t="n">
        <f aca="false">COUNTIF($C$21:$C$50,C46)</f>
        <v>1</v>
      </c>
      <c r="F46" s="20" t="n">
        <f aca="false">D46/E46</f>
        <v>6202225</v>
      </c>
      <c r="G46" s="11" t="n">
        <f aca="false">LN(F46)</f>
        <v>15.6404186566043</v>
      </c>
      <c r="H46" s="21" t="n">
        <f aca="false">AVERAGEIFS(Market_Panel!$M$2:$M$2705,Market_Panel!$A$2:$A$2705,A46,Market_Panel!$B$2:$B$2705,"&gt;=1995")</f>
        <v>-1.98230728769602E-005</v>
      </c>
      <c r="I46" s="21" t="n">
        <f aca="false">$C$53+$C$52*G46</f>
        <v>0.00908523099348912</v>
      </c>
      <c r="J46" s="10" t="n">
        <f aca="false">H46-I46</f>
        <v>-0.00910505406636608</v>
      </c>
      <c r="K46" s="21" t="n">
        <f aca="false">AVERAGEIFS(Market_Panel!$M$2:$M$2705,Market_Panel!$A$2:$A$2705,A46)</f>
        <v>-0.00109352136244711</v>
      </c>
      <c r="L46" s="11" t="n">
        <f aca="false">AVERAGEIFS(Market_Panel!$P$2:$P$2705,Market_Panel!$A$2:$A$2705,A46)</f>
        <v>0.59640919652984</v>
      </c>
    </row>
    <row r="47" customFormat="false" ht="15" hidden="false" customHeight="true" outlineLevel="0" collapsed="false">
      <c r="A47" s="7" t="s">
        <v>82</v>
      </c>
      <c r="B47" s="3" t="s">
        <v>72</v>
      </c>
      <c r="C47" s="7" t="s">
        <v>163</v>
      </c>
      <c r="D47" s="20" t="n">
        <f aca="false">INDEX(Pop_Inputs!$O$2:$O$29,MATCH(C47,Pop_Inputs!$A$2:$A$29,0))</f>
        <v>3092037</v>
      </c>
      <c r="E47" s="3" t="n">
        <f aca="false">COUNTIF($C$21:$C$50,C47)</f>
        <v>1</v>
      </c>
      <c r="F47" s="20" t="n">
        <f aca="false">D47/E47</f>
        <v>3092037</v>
      </c>
      <c r="G47" s="11" t="n">
        <f aca="false">LN(F47)</f>
        <v>14.9443406549827</v>
      </c>
      <c r="H47" s="21" t="n">
        <f aca="false">AVERAGEIFS(Market_Panel!$M$2:$M$2705,Market_Panel!$A$2:$A$2705,A47,Market_Panel!$B$2:$B$2705,"&gt;=1995")</f>
        <v>-0.0425610319910337</v>
      </c>
      <c r="I47" s="21" t="n">
        <f aca="false">$C$53+$C$52*G47</f>
        <v>-0.00747062008351734</v>
      </c>
      <c r="J47" s="10" t="n">
        <f aca="false">H47-I47</f>
        <v>-0.0350904119075164</v>
      </c>
      <c r="K47" s="21" t="n">
        <f aca="false">AVERAGEIFS(Market_Panel!$M$2:$M$2705,Market_Panel!$A$2:$A$2705,A47)</f>
        <v>-0.044032658441784</v>
      </c>
      <c r="L47" s="11" t="n">
        <f aca="false">AVERAGEIFS(Market_Panel!$P$2:$P$2705,Market_Panel!$A$2:$A$2705,A47)</f>
        <v>-0.325778205286301</v>
      </c>
    </row>
    <row r="48" customFormat="false" ht="15" hidden="false" customHeight="true" outlineLevel="0" collapsed="false">
      <c r="A48" s="7" t="s">
        <v>83</v>
      </c>
      <c r="B48" s="3" t="s">
        <v>72</v>
      </c>
      <c r="C48" s="7" t="s">
        <v>164</v>
      </c>
      <c r="D48" s="20" t="n">
        <f aca="false">INDEX(Pop_Inputs!$O$2:$O$29,MATCH(C48,Pop_Inputs!$A$2:$A$29,0))</f>
        <v>6457988</v>
      </c>
      <c r="E48" s="3" t="n">
        <f aca="false">COUNTIF($C$21:$C$50,C48)</f>
        <v>1</v>
      </c>
      <c r="F48" s="20" t="n">
        <f aca="false">D48/E48</f>
        <v>6457988</v>
      </c>
      <c r="G48" s="11" t="n">
        <f aca="false">LN(F48)</f>
        <v>15.6808283721382</v>
      </c>
      <c r="H48" s="21" t="n">
        <f aca="false">AVERAGEIFS(Market_Panel!$M$2:$M$2705,Market_Panel!$A$2:$A$2705,A48,Market_Panel!$B$2:$B$2705,"&gt;=1995")</f>
        <v>-0.0359257651733025</v>
      </c>
      <c r="I48" s="21" t="n">
        <f aca="false">$C$53+$C$52*G48</f>
        <v>0.0100463549348943</v>
      </c>
      <c r="J48" s="10" t="n">
        <f aca="false">H48-I48</f>
        <v>-0.0459721201081967</v>
      </c>
      <c r="K48" s="21" t="n">
        <f aca="false">AVERAGEIFS(Market_Panel!$M$2:$M$2705,Market_Panel!$A$2:$A$2705,A48)</f>
        <v>-0.0386489747839276</v>
      </c>
      <c r="L48" s="11" t="n">
        <f aca="false">AVERAGEIFS(Market_Panel!$P$2:$P$2705,Market_Panel!$A$2:$A$2705,A48)</f>
        <v>-0.749776199289421</v>
      </c>
    </row>
    <row r="49" customFormat="false" ht="15" hidden="false" customHeight="true" outlineLevel="0" collapsed="false">
      <c r="A49" s="7" t="s">
        <v>84</v>
      </c>
      <c r="B49" s="3" t="s">
        <v>72</v>
      </c>
      <c r="C49" s="7" t="s">
        <v>165</v>
      </c>
      <c r="D49" s="20" t="n">
        <f aca="false">INDEX(Pop_Inputs!$O$2:$O$29,MATCH(C49,Pop_Inputs!$A$2:$A$29,0))</f>
        <v>4845832</v>
      </c>
      <c r="E49" s="3" t="n">
        <f aca="false">COUNTIF($C$21:$C$50,C49)</f>
        <v>1</v>
      </c>
      <c r="F49" s="20" t="n">
        <f aca="false">D49/E49</f>
        <v>4845832</v>
      </c>
      <c r="G49" s="11" t="n">
        <f aca="false">LN(F49)</f>
        <v>15.3936295119904</v>
      </c>
      <c r="H49" s="21" t="n">
        <f aca="false">AVERAGEIFS(Market_Panel!$M$2:$M$2705,Market_Panel!$A$2:$A$2705,A49,Market_Panel!$B$2:$B$2705,"&gt;=1995")</f>
        <v>-0.0128800367154638</v>
      </c>
      <c r="I49" s="21" t="n">
        <f aca="false">$C$53+$C$52*G49</f>
        <v>0.00321548031018909</v>
      </c>
      <c r="J49" s="10" t="n">
        <f aca="false">H49-I49</f>
        <v>-0.0160955170256529</v>
      </c>
      <c r="K49" s="21" t="n">
        <f aca="false">AVERAGEIFS(Market_Panel!$M$2:$M$2705,Market_Panel!$A$2:$A$2705,A49)</f>
        <v>-0.0128800367154638</v>
      </c>
      <c r="L49" s="11" t="n">
        <f aca="false">AVERAGEIFS(Market_Panel!$P$2:$P$2705,Market_Panel!$A$2:$A$2705,A49)</f>
        <v>0.550873710839638</v>
      </c>
    </row>
    <row r="50" customFormat="false" ht="15" hidden="false" customHeight="true" outlineLevel="0" collapsed="false">
      <c r="A50" s="7" t="s">
        <v>85</v>
      </c>
      <c r="B50" s="3" t="s">
        <v>72</v>
      </c>
      <c r="C50" s="7" t="s">
        <v>166</v>
      </c>
      <c r="D50" s="20" t="n">
        <f aca="false">INDEX(Pop_Inputs!$O$2:$O$29,MATCH(C50,Pop_Inputs!$A$2:$A$29,0))</f>
        <v>3175275</v>
      </c>
      <c r="E50" s="3" t="n">
        <f aca="false">COUNTIF($C$21:$C$50,C50)</f>
        <v>1</v>
      </c>
      <c r="F50" s="20" t="n">
        <f aca="false">D50/E50</f>
        <v>3175275</v>
      </c>
      <c r="G50" s="11" t="n">
        <f aca="false">LN(F50)</f>
        <v>14.9709048007314</v>
      </c>
      <c r="H50" s="21" t="n">
        <f aca="false">AVERAGEIFS(Market_Panel!$M$2:$M$2705,Market_Panel!$A$2:$A$2705,A50,Market_Panel!$B$2:$B$2705,"&gt;=1995")</f>
        <v>-0.00689666992397673</v>
      </c>
      <c r="I50" s="21" t="n">
        <f aca="false">$C$53+$C$52*G50</f>
        <v>-0.00683880577538115</v>
      </c>
      <c r="J50" s="10" t="n">
        <f aca="false">H50-I50</f>
        <v>-5.78641485955789E-005</v>
      </c>
      <c r="K50" s="21" t="n">
        <f aca="false">AVERAGEIFS(Market_Panel!$M$2:$M$2705,Market_Panel!$A$2:$A$2705,A50)</f>
        <v>-0.00689666992397673</v>
      </c>
      <c r="L50" s="11" t="n">
        <f aca="false">AVERAGEIFS(Market_Panel!$P$2:$P$2705,Market_Panel!$A$2:$A$2705,A50)</f>
        <v>-0.898420111829547</v>
      </c>
    </row>
    <row r="52" customFormat="false" ht="15" hidden="false" customHeight="true" outlineLevel="0" collapsed="false">
      <c r="A52" s="3" t="s">
        <v>167</v>
      </c>
      <c r="C52" s="8" t="n">
        <f aca="false">SLOPE(H21:H50,G21:G50)</f>
        <v>0.0237844767948955</v>
      </c>
    </row>
    <row r="53" customFormat="false" ht="15" hidden="false" customHeight="true" outlineLevel="0" collapsed="false">
      <c r="A53" s="3" t="s">
        <v>168</v>
      </c>
      <c r="C53" s="21" t="n">
        <f aca="false">INTERCEPT(H21:H50,G21:G50)</f>
        <v>-0.362913943606966</v>
      </c>
    </row>
    <row r="54" customFormat="false" ht="15" hidden="false" customHeight="true" outlineLevel="0" collapsed="false">
      <c r="A54" s="3" t="s">
        <v>169</v>
      </c>
      <c r="C54" s="11" t="n">
        <f aca="false">CORREL(H21:H50,G21:G50)</f>
        <v>0.35280286115254</v>
      </c>
    </row>
    <row r="55" customFormat="false" ht="15" hidden="false" customHeight="true" outlineLevel="0" collapsed="false">
      <c r="A55" s="3" t="s">
        <v>108</v>
      </c>
      <c r="C55" s="19" t="n">
        <f aca="false">C52*LN(2)*162</f>
        <v>2.67075517109899</v>
      </c>
    </row>
    <row r="57" customFormat="false" ht="15" hidden="false" customHeight="false" outlineLevel="0" collapsed="false">
      <c r="A57" s="22" t="s">
        <v>170</v>
      </c>
    </row>
    <row r="58" customFormat="false" ht="15" hidden="false" customHeight="false" outlineLevel="0" collapsed="false">
      <c r="A58" s="13" t="s">
        <v>171</v>
      </c>
      <c r="C58" s="23" t="n">
        <f aca="false">CORREL(Market_Panel!$Y$2:$Y$2705,Market_Panel!$P$2:$P$2705)</f>
        <v>0.416457092914369</v>
      </c>
    </row>
    <row r="59" customFormat="false" ht="15" hidden="false" customHeight="false" outlineLevel="0" collapsed="false">
      <c r="A59" s="13" t="s">
        <v>172</v>
      </c>
      <c r="C59" s="23" t="n">
        <f aca="false">CORREL(Market_Panel!$Y$2:$Y$2705,Market_Panel!$M$2:$M$2705)</f>
        <v>0.358048894613185</v>
      </c>
    </row>
    <row r="60" customFormat="false" ht="15" hidden="false" customHeight="false" outlineLevel="0" collapsed="false">
      <c r="A60" s="13" t="s">
        <v>173</v>
      </c>
      <c r="C60" s="24" t="n">
        <f aca="false">SLOPE(Market_Panel!$M$2:$M$2705,Market_Panel!$Y$2:$Y$2705)</f>
        <v>0.0666313769294907</v>
      </c>
    </row>
    <row r="61" customFormat="false" ht="15" hidden="false" customHeight="false" outlineLevel="0" collapsed="false">
      <c r="A61" s="13" t="s">
        <v>174</v>
      </c>
      <c r="C61" s="25" t="n">
        <f aca="false">C60*LN(2)*162</f>
        <v>7.48202687099156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4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6" min="1" style="1" width="14"/>
  </cols>
  <sheetData>
    <row r="1" customFormat="false" ht="17.25" hidden="false" customHeight="true" outlineLevel="0" collapsed="false">
      <c r="A1" s="2" t="s">
        <v>175</v>
      </c>
    </row>
    <row r="2" customFormat="false" ht="15" hidden="false" customHeight="true" outlineLevel="0" collapsed="false">
      <c r="A2" s="3" t="s">
        <v>176</v>
      </c>
    </row>
    <row r="3" customFormat="false" ht="15" hidden="false" customHeight="true" outlineLevel="0" collapsed="false">
      <c r="A3" s="9" t="s">
        <v>177</v>
      </c>
      <c r="E3" s="7" t="n">
        <v>5</v>
      </c>
      <c r="F3" s="3" t="s">
        <v>178</v>
      </c>
    </row>
    <row r="5" customFormat="false" ht="75" hidden="false" customHeight="true" outlineLevel="0" collapsed="false">
      <c r="A5" s="4" t="s">
        <v>4</v>
      </c>
      <c r="B5" s="4" t="s">
        <v>42</v>
      </c>
      <c r="C5" s="4" t="s">
        <v>179</v>
      </c>
      <c r="D5" s="4" t="s">
        <v>180</v>
      </c>
      <c r="E5" s="4" t="s">
        <v>181</v>
      </c>
      <c r="F5" s="4" t="s">
        <v>182</v>
      </c>
      <c r="G5" s="4" t="s">
        <v>183</v>
      </c>
      <c r="H5" s="4" t="s">
        <v>184</v>
      </c>
      <c r="I5" s="4" t="s">
        <v>185</v>
      </c>
      <c r="J5" s="4" t="s">
        <v>186</v>
      </c>
      <c r="K5" s="4" t="s">
        <v>187</v>
      </c>
      <c r="L5" s="4" t="s">
        <v>188</v>
      </c>
      <c r="M5" s="4" t="s">
        <v>189</v>
      </c>
      <c r="N5" s="4" t="s">
        <v>190</v>
      </c>
      <c r="O5" s="4" t="s">
        <v>191</v>
      </c>
      <c r="P5" s="4" t="s">
        <v>192</v>
      </c>
    </row>
    <row r="6" customFormat="false" ht="15" hidden="false" customHeight="true" outlineLevel="0" collapsed="false">
      <c r="A6" s="7" t="s">
        <v>54</v>
      </c>
      <c r="B6" s="3" t="str">
        <f aca="false">Franchise_Totals!C2</f>
        <v>Established</v>
      </c>
      <c r="C6" s="3" t="n">
        <f aca="false">_xlfn.MINIFS(Seasons!$B$2:$B$2865,Seasons!$A$2:$A$2865,A6)</f>
        <v>1876</v>
      </c>
      <c r="D6" s="3" t="n">
        <f aca="false">COUNTIFS(Seasons!$A$2:$A$2865,A6)</f>
        <v>150</v>
      </c>
      <c r="E6" s="21" t="n">
        <f aca="false">SUMIFS(Seasons!$D$2:$D$2865,Seasons!$A$2:$A$2865,A6)/(SUMIFS(Seasons!$D$2:$D$2865,Seasons!$A$2:$A$2865,A6)+SUMIFS(Seasons!$E$2:$E$2865,Seasons!$A$2:$A$2865,A6))</f>
        <v>0.503487064116985</v>
      </c>
      <c r="F6" s="21" t="str">
        <f aca="false">IF(B6&lt;&gt;"Expansion","",SUMIFS(Seasons!$D$2:$D$2865,Seasons!$A$2:$A$2865,A6,Seasons!$B$2:$B$2865,"&lt;"&amp;(C6+$E$3))/(SUMIFS(Seasons!$D$2:$D$2865,Seasons!$A$2:$A$2865,A6,Seasons!$B$2:$B$2865,"&lt;"&amp;(C6+$E$3))+SUMIFS(Seasons!$E$2:$E$2865,Seasons!$A$2:$A$2865,A6,Seasons!$B$2:$B$2865,"&lt;"&amp;(C6+$E$3))))</f>
        <v/>
      </c>
      <c r="G6" s="19" t="str">
        <f aca="false">IF(B6&lt;&gt;"Expansion","",(SUMIFS(Seasons!$E$2:$E$2865,Seasons!$A$2:$A$2865,A6,Seasons!$B$2:$B$2865,"&lt;"&amp;(C6+$E$3))-SUMIFS(Seasons!$D$2:$D$2865,Seasons!$A$2:$A$2865,A6,Seasons!$B$2:$B$2865,"&lt;"&amp;(C6+$E$3)))/2)</f>
        <v/>
      </c>
      <c r="H6" s="21" t="str">
        <f aca="false">IF(B6&lt;&gt;"Expansion","",SUMIFS(Seasons!$D$2:$D$2865,Seasons!$A$2:$A$2865,A6,Seasons!$B$2:$B$2865,"&gt;="&amp;(C6+$E$3))/(SUMIFS(Seasons!$D$2:$D$2865,Seasons!$A$2:$A$2865,A6,Seasons!$B$2:$B$2865,"&gt;="&amp;(C6+$E$3))+SUMIFS(Seasons!$E$2:$E$2865,Seasons!$A$2:$A$2865,A6,Seasons!$B$2:$B$2865,"&gt;="&amp;(C6+$E$3))))</f>
        <v/>
      </c>
      <c r="I6" s="21" t="str">
        <f aca="false">IF(B6&lt;&gt;"Expansion","",SUMIFS(Seasons!$D$2:$D$2865,Seasons!$A$2:$A$2865,A6,Seasons!$B$2:$B$2865,"&lt;"&amp;(C6+10))/(SUMIFS(Seasons!$D$2:$D$2865,Seasons!$A$2:$A$2865,A6,Seasons!$B$2:$B$2865,"&lt;"&amp;(C6+10))+SUMIFS(Seasons!$E$2:$E$2865,Seasons!$A$2:$A$2865,A6,Seasons!$B$2:$B$2865,"&lt;"&amp;(C6+10))))</f>
        <v/>
      </c>
      <c r="J6" s="21" t="str">
        <f aca="false">IF(B6&lt;&gt;"Expansion","",SUMIFS(Seasons!$D$2:$D$2865,Seasons!$A$2:$A$2865,A6,Seasons!$B$2:$B$2865,"&gt;="&amp;(C6+10))/(SUMIFS(Seasons!$D$2:$D$2865,Seasons!$A$2:$A$2865,A6,Seasons!$B$2:$B$2865,"&gt;="&amp;(C6+10))+SUMIFS(Seasons!$E$2:$E$2865,Seasons!$A$2:$A$2865,A6,Seasons!$B$2:$B$2865,"&gt;="&amp;(C6+10))))</f>
        <v/>
      </c>
      <c r="K6" s="21" t="n">
        <f aca="false">IF(B6="Expansion",J6,SUMIFS(Seasons!$D$2:$D$2865,Seasons!$A$2:$A$2865,A6,Seasons!$B$2:$B$2865,"&gt;=1961")/(SUMIFS(Seasons!$D$2:$D$2865,Seasons!$A$2:$A$2865,A6,Seasons!$B$2:$B$2865,"&gt;=1961")+SUMIFS(Seasons!$E$2:$E$2865,Seasons!$A$2:$A$2865,A6,Seasons!$B$2:$B$2865,"&gt;=1961")))</f>
        <v>0.520973236009732</v>
      </c>
      <c r="L6" s="3" t="n">
        <f aca="false">RANK(K6,$K$6:$K$35)</f>
        <v>6</v>
      </c>
      <c r="M6" s="10" t="n">
        <f aca="false">E6-K6</f>
        <v>-0.0174861718927469</v>
      </c>
      <c r="N6" s="5" t="str">
        <f aca="false">IF(B6="Expansion",(H6-0.5)*162,"")</f>
        <v/>
      </c>
      <c r="O6" s="19" t="str">
        <f aca="false">IF(B6&lt;&gt;"Expansion","",IF(E6&gt;=0.5,"already erased",IF(H6&gt;0.5,G6/((H6-0.5)*162),"never at post-hole pace")))</f>
        <v/>
      </c>
      <c r="P6" s="26" t="str">
        <f aca="false">IF(B6&lt;&gt;"Expansion","",IF((SUMIFS(Seasons!$E$2:$E$2865,Seasons!$A$2:$A$2865,A6)-SUMIFS(Seasons!$D$2:$D$2865,Seasons!$A$2:$A$2865,A6))&lt;=0,"n/a (all-time .500+)",IF(G6/((SUMIFS(Seasons!$E$2:$E$2865,Seasons!$A$2:$A$2865,A6)-SUMIFS(Seasons!$D$2:$D$2865,Seasons!$A$2:$A$2865,A6))/2)&gt;1,"&gt;100%",G6/((SUMIFS(Seasons!$E$2:$E$2865,Seasons!$A$2:$A$2865,A6)-SUMIFS(Seasons!$D$2:$D$2865,Seasons!$A$2:$A$2865,A6))/2))))</f>
        <v/>
      </c>
    </row>
    <row r="7" customFormat="false" ht="15" hidden="false" customHeight="true" outlineLevel="0" collapsed="false">
      <c r="A7" s="7" t="s">
        <v>56</v>
      </c>
      <c r="B7" s="3" t="str">
        <f aca="false">Franchise_Totals!C3</f>
        <v>Established</v>
      </c>
      <c r="C7" s="3" t="n">
        <f aca="false">_xlfn.MINIFS(Seasons!$B$2:$B$2865,Seasons!$A$2:$A$2865,A7)</f>
        <v>1876</v>
      </c>
      <c r="D7" s="3" t="n">
        <f aca="false">COUNTIFS(Seasons!$A$2:$A$2865,A7)</f>
        <v>150</v>
      </c>
      <c r="E7" s="21" t="n">
        <f aca="false">SUMIFS(Seasons!$D$2:$D$2865,Seasons!$A$2:$A$2865,A7)/(SUMIFS(Seasons!$D$2:$D$2865,Seasons!$A$2:$A$2865,A7)+SUMIFS(Seasons!$E$2:$E$2865,Seasons!$A$2:$A$2865,A7))</f>
        <v>0.513075125808771</v>
      </c>
      <c r="F7" s="21" t="str">
        <f aca="false">IF(B7&lt;&gt;"Expansion","",SUMIFS(Seasons!$D$2:$D$2865,Seasons!$A$2:$A$2865,A7,Seasons!$B$2:$B$2865,"&lt;"&amp;(C7+$E$3))/(SUMIFS(Seasons!$D$2:$D$2865,Seasons!$A$2:$A$2865,A7,Seasons!$B$2:$B$2865,"&lt;"&amp;(C7+$E$3))+SUMIFS(Seasons!$E$2:$E$2865,Seasons!$A$2:$A$2865,A7,Seasons!$B$2:$B$2865,"&lt;"&amp;(C7+$E$3))))</f>
        <v/>
      </c>
      <c r="G7" s="19" t="str">
        <f aca="false">IF(B7&lt;&gt;"Expansion","",(SUMIFS(Seasons!$E$2:$E$2865,Seasons!$A$2:$A$2865,A7,Seasons!$B$2:$B$2865,"&lt;"&amp;(C7+$E$3))-SUMIFS(Seasons!$D$2:$D$2865,Seasons!$A$2:$A$2865,A7,Seasons!$B$2:$B$2865,"&lt;"&amp;(C7+$E$3)))/2)</f>
        <v/>
      </c>
      <c r="H7" s="21" t="str">
        <f aca="false">IF(B7&lt;&gt;"Expansion","",SUMIFS(Seasons!$D$2:$D$2865,Seasons!$A$2:$A$2865,A7,Seasons!$B$2:$B$2865,"&gt;="&amp;(C7+$E$3))/(SUMIFS(Seasons!$D$2:$D$2865,Seasons!$A$2:$A$2865,A7,Seasons!$B$2:$B$2865,"&gt;="&amp;(C7+$E$3))+SUMIFS(Seasons!$E$2:$E$2865,Seasons!$A$2:$A$2865,A7,Seasons!$B$2:$B$2865,"&gt;="&amp;(C7+$E$3))))</f>
        <v/>
      </c>
      <c r="I7" s="21" t="str">
        <f aca="false">IF(B7&lt;&gt;"Expansion","",SUMIFS(Seasons!$D$2:$D$2865,Seasons!$A$2:$A$2865,A7,Seasons!$B$2:$B$2865,"&lt;"&amp;(C7+10))/(SUMIFS(Seasons!$D$2:$D$2865,Seasons!$A$2:$A$2865,A7,Seasons!$B$2:$B$2865,"&lt;"&amp;(C7+10))+SUMIFS(Seasons!$E$2:$E$2865,Seasons!$A$2:$A$2865,A7,Seasons!$B$2:$B$2865,"&lt;"&amp;(C7+10))))</f>
        <v/>
      </c>
      <c r="J7" s="21" t="str">
        <f aca="false">IF(B7&lt;&gt;"Expansion","",SUMIFS(Seasons!$D$2:$D$2865,Seasons!$A$2:$A$2865,A7,Seasons!$B$2:$B$2865,"&gt;="&amp;(C7+10))/(SUMIFS(Seasons!$D$2:$D$2865,Seasons!$A$2:$A$2865,A7,Seasons!$B$2:$B$2865,"&gt;="&amp;(C7+10))+SUMIFS(Seasons!$E$2:$E$2865,Seasons!$A$2:$A$2865,A7,Seasons!$B$2:$B$2865,"&gt;="&amp;(C7+10))))</f>
        <v/>
      </c>
      <c r="K7" s="21" t="n">
        <f aca="false">IF(B7="Expansion",J7,SUMIFS(Seasons!$D$2:$D$2865,Seasons!$A$2:$A$2865,A7,Seasons!$B$2:$B$2865,"&gt;=1961")/(SUMIFS(Seasons!$D$2:$D$2865,Seasons!$A$2:$A$2865,A7,Seasons!$B$2:$B$2865,"&gt;=1961")+SUMIFS(Seasons!$E$2:$E$2865,Seasons!$A$2:$A$2865,A7,Seasons!$B$2:$B$2865,"&gt;=1961")))</f>
        <v>0.486036781161818</v>
      </c>
      <c r="L7" s="3" t="n">
        <f aca="false">RANK(K7,$K$6:$K$35)</f>
        <v>25</v>
      </c>
      <c r="M7" s="10" t="n">
        <f aca="false">E7-K7</f>
        <v>0.027038344646953</v>
      </c>
      <c r="N7" s="5" t="str">
        <f aca="false">IF(B7="Expansion",(H7-0.5)*162,"")</f>
        <v/>
      </c>
      <c r="O7" s="19" t="str">
        <f aca="false">IF(B7&lt;&gt;"Expansion","",IF(E7&gt;=0.5,"already erased",IF(H7&gt;0.5,G7/((H7-0.5)*162),"never at post-hole pace")))</f>
        <v/>
      </c>
      <c r="P7" s="26" t="str">
        <f aca="false">IF(B7&lt;&gt;"Expansion","",IF((SUMIFS(Seasons!$E$2:$E$2865,Seasons!$A$2:$A$2865,A7)-SUMIFS(Seasons!$D$2:$D$2865,Seasons!$A$2:$A$2865,A7))&lt;=0,"n/a (all-time .500+)",IF(G7/((SUMIFS(Seasons!$E$2:$E$2865,Seasons!$A$2:$A$2865,A7)-SUMIFS(Seasons!$D$2:$D$2865,Seasons!$A$2:$A$2865,A7))/2)&gt;1,"&gt;100%",G7/((SUMIFS(Seasons!$E$2:$E$2865,Seasons!$A$2:$A$2865,A7)-SUMIFS(Seasons!$D$2:$D$2865,Seasons!$A$2:$A$2865,A7))/2))))</f>
        <v/>
      </c>
    </row>
    <row r="8" customFormat="false" ht="15" hidden="false" customHeight="true" outlineLevel="0" collapsed="false">
      <c r="A8" s="7" t="s">
        <v>57</v>
      </c>
      <c r="B8" s="3" t="str">
        <f aca="false">Franchise_Totals!C4</f>
        <v>Established</v>
      </c>
      <c r="C8" s="3" t="n">
        <f aca="false">_xlfn.MINIFS(Seasons!$B$2:$B$2865,Seasons!$A$2:$A$2865,A8)</f>
        <v>1882</v>
      </c>
      <c r="D8" s="3" t="n">
        <f aca="false">COUNTIFS(Seasons!$A$2:$A$2865,A8)</f>
        <v>144</v>
      </c>
      <c r="E8" s="21" t="n">
        <f aca="false">SUMIFS(Seasons!$D$2:$D$2865,Seasons!$A$2:$A$2865,A8)/(SUMIFS(Seasons!$D$2:$D$2865,Seasons!$A$2:$A$2865,A8)+SUMIFS(Seasons!$E$2:$E$2865,Seasons!$A$2:$A$2865,A8))</f>
        <v>0.503933766352575</v>
      </c>
      <c r="F8" s="21" t="str">
        <f aca="false">IF(B8&lt;&gt;"Expansion","",SUMIFS(Seasons!$D$2:$D$2865,Seasons!$A$2:$A$2865,A8,Seasons!$B$2:$B$2865,"&lt;"&amp;(C8+$E$3))/(SUMIFS(Seasons!$D$2:$D$2865,Seasons!$A$2:$A$2865,A8,Seasons!$B$2:$B$2865,"&lt;"&amp;(C8+$E$3))+SUMIFS(Seasons!$E$2:$E$2865,Seasons!$A$2:$A$2865,A8,Seasons!$B$2:$B$2865,"&lt;"&amp;(C8+$E$3))))</f>
        <v/>
      </c>
      <c r="G8" s="19" t="str">
        <f aca="false">IF(B8&lt;&gt;"Expansion","",(SUMIFS(Seasons!$E$2:$E$2865,Seasons!$A$2:$A$2865,A8,Seasons!$B$2:$B$2865,"&lt;"&amp;(C8+$E$3))-SUMIFS(Seasons!$D$2:$D$2865,Seasons!$A$2:$A$2865,A8,Seasons!$B$2:$B$2865,"&lt;"&amp;(C8+$E$3)))/2)</f>
        <v/>
      </c>
      <c r="H8" s="21" t="str">
        <f aca="false">IF(B8&lt;&gt;"Expansion","",SUMIFS(Seasons!$D$2:$D$2865,Seasons!$A$2:$A$2865,A8,Seasons!$B$2:$B$2865,"&gt;="&amp;(C8+$E$3))/(SUMIFS(Seasons!$D$2:$D$2865,Seasons!$A$2:$A$2865,A8,Seasons!$B$2:$B$2865,"&gt;="&amp;(C8+$E$3))+SUMIFS(Seasons!$E$2:$E$2865,Seasons!$A$2:$A$2865,A8,Seasons!$B$2:$B$2865,"&gt;="&amp;(C8+$E$3))))</f>
        <v/>
      </c>
      <c r="I8" s="21" t="str">
        <f aca="false">IF(B8&lt;&gt;"Expansion","",SUMIFS(Seasons!$D$2:$D$2865,Seasons!$A$2:$A$2865,A8,Seasons!$B$2:$B$2865,"&lt;"&amp;(C8+10))/(SUMIFS(Seasons!$D$2:$D$2865,Seasons!$A$2:$A$2865,A8,Seasons!$B$2:$B$2865,"&lt;"&amp;(C8+10))+SUMIFS(Seasons!$E$2:$E$2865,Seasons!$A$2:$A$2865,A8,Seasons!$B$2:$B$2865,"&lt;"&amp;(C8+10))))</f>
        <v/>
      </c>
      <c r="J8" s="21" t="str">
        <f aca="false">IF(B8&lt;&gt;"Expansion","",SUMIFS(Seasons!$D$2:$D$2865,Seasons!$A$2:$A$2865,A8,Seasons!$B$2:$B$2865,"&gt;="&amp;(C8+10))/(SUMIFS(Seasons!$D$2:$D$2865,Seasons!$A$2:$A$2865,A8,Seasons!$B$2:$B$2865,"&gt;="&amp;(C8+10))+SUMIFS(Seasons!$E$2:$E$2865,Seasons!$A$2:$A$2865,A8,Seasons!$B$2:$B$2865,"&gt;="&amp;(C8+10))))</f>
        <v/>
      </c>
      <c r="K8" s="21" t="n">
        <f aca="false">IF(B8="Expansion",J8,SUMIFS(Seasons!$D$2:$D$2865,Seasons!$A$2:$A$2865,A8,Seasons!$B$2:$B$2865,"&gt;=1961")/(SUMIFS(Seasons!$D$2:$D$2865,Seasons!$A$2:$A$2865,A8,Seasons!$B$2:$B$2865,"&gt;=1961")+SUMIFS(Seasons!$E$2:$E$2865,Seasons!$A$2:$A$2865,A8,Seasons!$B$2:$B$2865,"&gt;=1961")))</f>
        <v>0.513269174686498</v>
      </c>
      <c r="L8" s="3" t="n">
        <f aca="false">RANK(K8,$K$6:$K$35)</f>
        <v>9</v>
      </c>
      <c r="M8" s="10" t="n">
        <f aca="false">E8-K8</f>
        <v>-0.00933540833392232</v>
      </c>
      <c r="N8" s="5" t="str">
        <f aca="false">IF(B8="Expansion",(H8-0.5)*162,"")</f>
        <v/>
      </c>
      <c r="O8" s="19" t="str">
        <f aca="false">IF(B8&lt;&gt;"Expansion","",IF(E8&gt;=0.5,"already erased",IF(H8&gt;0.5,G8/((H8-0.5)*162),"never at post-hole pace")))</f>
        <v/>
      </c>
      <c r="P8" s="26" t="str">
        <f aca="false">IF(B8&lt;&gt;"Expansion","",IF((SUMIFS(Seasons!$E$2:$E$2865,Seasons!$A$2:$A$2865,A8)-SUMIFS(Seasons!$D$2:$D$2865,Seasons!$A$2:$A$2865,A8))&lt;=0,"n/a (all-time .500+)",IF(G8/((SUMIFS(Seasons!$E$2:$E$2865,Seasons!$A$2:$A$2865,A8)-SUMIFS(Seasons!$D$2:$D$2865,Seasons!$A$2:$A$2865,A8))/2)&gt;1,"&gt;100%",G8/((SUMIFS(Seasons!$E$2:$E$2865,Seasons!$A$2:$A$2865,A8)-SUMIFS(Seasons!$D$2:$D$2865,Seasons!$A$2:$A$2865,A8))/2))))</f>
        <v/>
      </c>
    </row>
    <row r="9" customFormat="false" ht="15" hidden="false" customHeight="true" outlineLevel="0" collapsed="false">
      <c r="A9" s="7" t="s">
        <v>58</v>
      </c>
      <c r="B9" s="3" t="str">
        <f aca="false">Franchise_Totals!C5</f>
        <v>Established</v>
      </c>
      <c r="C9" s="3" t="n">
        <f aca="false">_xlfn.MINIFS(Seasons!$B$2:$B$2865,Seasons!$A$2:$A$2865,A9)</f>
        <v>1882</v>
      </c>
      <c r="D9" s="3" t="n">
        <f aca="false">COUNTIFS(Seasons!$A$2:$A$2865,A9)</f>
        <v>144</v>
      </c>
      <c r="E9" s="21" t="n">
        <f aca="false">SUMIFS(Seasons!$D$2:$D$2865,Seasons!$A$2:$A$2865,A9)/(SUMIFS(Seasons!$D$2:$D$2865,Seasons!$A$2:$A$2865,A9)+SUMIFS(Seasons!$E$2:$E$2865,Seasons!$A$2:$A$2865,A9))</f>
        <v>0.5</v>
      </c>
      <c r="F9" s="21" t="str">
        <f aca="false">IF(B9&lt;&gt;"Expansion","",SUMIFS(Seasons!$D$2:$D$2865,Seasons!$A$2:$A$2865,A9,Seasons!$B$2:$B$2865,"&lt;"&amp;(C9+$E$3))/(SUMIFS(Seasons!$D$2:$D$2865,Seasons!$A$2:$A$2865,A9,Seasons!$B$2:$B$2865,"&lt;"&amp;(C9+$E$3))+SUMIFS(Seasons!$E$2:$E$2865,Seasons!$A$2:$A$2865,A9,Seasons!$B$2:$B$2865,"&lt;"&amp;(C9+$E$3))))</f>
        <v/>
      </c>
      <c r="G9" s="19" t="str">
        <f aca="false">IF(B9&lt;&gt;"Expansion","",(SUMIFS(Seasons!$E$2:$E$2865,Seasons!$A$2:$A$2865,A9,Seasons!$B$2:$B$2865,"&lt;"&amp;(C9+$E$3))-SUMIFS(Seasons!$D$2:$D$2865,Seasons!$A$2:$A$2865,A9,Seasons!$B$2:$B$2865,"&lt;"&amp;(C9+$E$3)))/2)</f>
        <v/>
      </c>
      <c r="H9" s="21" t="str">
        <f aca="false">IF(B9&lt;&gt;"Expansion","",SUMIFS(Seasons!$D$2:$D$2865,Seasons!$A$2:$A$2865,A9,Seasons!$B$2:$B$2865,"&gt;="&amp;(C9+$E$3))/(SUMIFS(Seasons!$D$2:$D$2865,Seasons!$A$2:$A$2865,A9,Seasons!$B$2:$B$2865,"&gt;="&amp;(C9+$E$3))+SUMIFS(Seasons!$E$2:$E$2865,Seasons!$A$2:$A$2865,A9,Seasons!$B$2:$B$2865,"&gt;="&amp;(C9+$E$3))))</f>
        <v/>
      </c>
      <c r="I9" s="21" t="str">
        <f aca="false">IF(B9&lt;&gt;"Expansion","",SUMIFS(Seasons!$D$2:$D$2865,Seasons!$A$2:$A$2865,A9,Seasons!$B$2:$B$2865,"&lt;"&amp;(C9+10))/(SUMIFS(Seasons!$D$2:$D$2865,Seasons!$A$2:$A$2865,A9,Seasons!$B$2:$B$2865,"&lt;"&amp;(C9+10))+SUMIFS(Seasons!$E$2:$E$2865,Seasons!$A$2:$A$2865,A9,Seasons!$B$2:$B$2865,"&lt;"&amp;(C9+10))))</f>
        <v/>
      </c>
      <c r="J9" s="21" t="str">
        <f aca="false">IF(B9&lt;&gt;"Expansion","",SUMIFS(Seasons!$D$2:$D$2865,Seasons!$A$2:$A$2865,A9,Seasons!$B$2:$B$2865,"&gt;="&amp;(C9+10))/(SUMIFS(Seasons!$D$2:$D$2865,Seasons!$A$2:$A$2865,A9,Seasons!$B$2:$B$2865,"&gt;="&amp;(C9+10))+SUMIFS(Seasons!$E$2:$E$2865,Seasons!$A$2:$A$2865,A9,Seasons!$B$2:$B$2865,"&gt;="&amp;(C9+10))))</f>
        <v/>
      </c>
      <c r="K9" s="21" t="n">
        <f aca="false">IF(B9="Expansion",J9,SUMIFS(Seasons!$D$2:$D$2865,Seasons!$A$2:$A$2865,A9,Seasons!$B$2:$B$2865,"&gt;=1961")/(SUMIFS(Seasons!$D$2:$D$2865,Seasons!$A$2:$A$2865,A9,Seasons!$B$2:$B$2865,"&gt;=1961")+SUMIFS(Seasons!$E$2:$E$2865,Seasons!$A$2:$A$2865,A9,Seasons!$B$2:$B$2865,"&gt;=1961")))</f>
        <v>0.487883211678832</v>
      </c>
      <c r="L9" s="3" t="n">
        <f aca="false">RANK(K9,$K$6:$K$35)</f>
        <v>23</v>
      </c>
      <c r="M9" s="10" t="n">
        <f aca="false">E9-K9</f>
        <v>0.0121167883211679</v>
      </c>
      <c r="N9" s="5" t="str">
        <f aca="false">IF(B9="Expansion",(H9-0.5)*162,"")</f>
        <v/>
      </c>
      <c r="O9" s="19" t="str">
        <f aca="false">IF(B9&lt;&gt;"Expansion","",IF(E9&gt;=0.5,"already erased",IF(H9&gt;0.5,G9/((H9-0.5)*162),"never at post-hole pace")))</f>
        <v/>
      </c>
      <c r="P9" s="26" t="str">
        <f aca="false">IF(B9&lt;&gt;"Expansion","",IF((SUMIFS(Seasons!$E$2:$E$2865,Seasons!$A$2:$A$2865,A9)-SUMIFS(Seasons!$D$2:$D$2865,Seasons!$A$2:$A$2865,A9))&lt;=0,"n/a (all-time .500+)",IF(G9/((SUMIFS(Seasons!$E$2:$E$2865,Seasons!$A$2:$A$2865,A9)-SUMIFS(Seasons!$D$2:$D$2865,Seasons!$A$2:$A$2865,A9))/2)&gt;1,"&gt;100%",G9/((SUMIFS(Seasons!$E$2:$E$2865,Seasons!$A$2:$A$2865,A9)-SUMIFS(Seasons!$D$2:$D$2865,Seasons!$A$2:$A$2865,A9))/2))))</f>
        <v/>
      </c>
    </row>
    <row r="10" customFormat="false" ht="15" hidden="false" customHeight="true" outlineLevel="0" collapsed="false">
      <c r="A10" s="7" t="s">
        <v>59</v>
      </c>
      <c r="B10" s="3" t="str">
        <f aca="false">Franchise_Totals!C6</f>
        <v>Established</v>
      </c>
      <c r="C10" s="3" t="n">
        <f aca="false">_xlfn.MINIFS(Seasons!$B$2:$B$2865,Seasons!$A$2:$A$2865,A10)</f>
        <v>1882</v>
      </c>
      <c r="D10" s="3" t="n">
        <f aca="false">COUNTIFS(Seasons!$A$2:$A$2865,A10)</f>
        <v>144</v>
      </c>
      <c r="E10" s="21" t="n">
        <f aca="false">SUMIFS(Seasons!$D$2:$D$2865,Seasons!$A$2:$A$2865,A10)/(SUMIFS(Seasons!$D$2:$D$2865,Seasons!$A$2:$A$2865,A10)+SUMIFS(Seasons!$E$2:$E$2865,Seasons!$A$2:$A$2865,A10))</f>
        <v>0.5200695684013</v>
      </c>
      <c r="F10" s="21" t="str">
        <f aca="false">IF(B10&lt;&gt;"Expansion","",SUMIFS(Seasons!$D$2:$D$2865,Seasons!$A$2:$A$2865,A10,Seasons!$B$2:$B$2865,"&lt;"&amp;(C10+$E$3))/(SUMIFS(Seasons!$D$2:$D$2865,Seasons!$A$2:$A$2865,A10,Seasons!$B$2:$B$2865,"&lt;"&amp;(C10+$E$3))+SUMIFS(Seasons!$E$2:$E$2865,Seasons!$A$2:$A$2865,A10,Seasons!$B$2:$B$2865,"&lt;"&amp;(C10+$E$3))))</f>
        <v/>
      </c>
      <c r="G10" s="19" t="str">
        <f aca="false">IF(B10&lt;&gt;"Expansion","",(SUMIFS(Seasons!$E$2:$E$2865,Seasons!$A$2:$A$2865,A10,Seasons!$B$2:$B$2865,"&lt;"&amp;(C10+$E$3))-SUMIFS(Seasons!$D$2:$D$2865,Seasons!$A$2:$A$2865,A10,Seasons!$B$2:$B$2865,"&lt;"&amp;(C10+$E$3)))/2)</f>
        <v/>
      </c>
      <c r="H10" s="21" t="str">
        <f aca="false">IF(B10&lt;&gt;"Expansion","",SUMIFS(Seasons!$D$2:$D$2865,Seasons!$A$2:$A$2865,A10,Seasons!$B$2:$B$2865,"&gt;="&amp;(C10+$E$3))/(SUMIFS(Seasons!$D$2:$D$2865,Seasons!$A$2:$A$2865,A10,Seasons!$B$2:$B$2865,"&gt;="&amp;(C10+$E$3))+SUMIFS(Seasons!$E$2:$E$2865,Seasons!$A$2:$A$2865,A10,Seasons!$B$2:$B$2865,"&gt;="&amp;(C10+$E$3))))</f>
        <v/>
      </c>
      <c r="I10" s="21" t="str">
        <f aca="false">IF(B10&lt;&gt;"Expansion","",SUMIFS(Seasons!$D$2:$D$2865,Seasons!$A$2:$A$2865,A10,Seasons!$B$2:$B$2865,"&lt;"&amp;(C10+10))/(SUMIFS(Seasons!$D$2:$D$2865,Seasons!$A$2:$A$2865,A10,Seasons!$B$2:$B$2865,"&lt;"&amp;(C10+10))+SUMIFS(Seasons!$E$2:$E$2865,Seasons!$A$2:$A$2865,A10,Seasons!$B$2:$B$2865,"&lt;"&amp;(C10+10))))</f>
        <v/>
      </c>
      <c r="J10" s="21" t="str">
        <f aca="false">IF(B10&lt;&gt;"Expansion","",SUMIFS(Seasons!$D$2:$D$2865,Seasons!$A$2:$A$2865,A10,Seasons!$B$2:$B$2865,"&gt;="&amp;(C10+10))/(SUMIFS(Seasons!$D$2:$D$2865,Seasons!$A$2:$A$2865,A10,Seasons!$B$2:$B$2865,"&gt;="&amp;(C10+10))+SUMIFS(Seasons!$E$2:$E$2865,Seasons!$A$2:$A$2865,A10,Seasons!$B$2:$B$2865,"&gt;="&amp;(C10+10))))</f>
        <v/>
      </c>
      <c r="K10" s="21" t="n">
        <f aca="false">IF(B10="Expansion",J10,SUMIFS(Seasons!$D$2:$D$2865,Seasons!$A$2:$A$2865,A10,Seasons!$B$2:$B$2865,"&gt;=1961")/(SUMIFS(Seasons!$D$2:$D$2865,Seasons!$A$2:$A$2865,A10,Seasons!$B$2:$B$2865,"&gt;=1961")+SUMIFS(Seasons!$E$2:$E$2865,Seasons!$A$2:$A$2865,A10,Seasons!$B$2:$B$2865,"&gt;=1961")))</f>
        <v>0.529039789862827</v>
      </c>
      <c r="L10" s="3" t="n">
        <f aca="false">RANK(K10,$K$6:$K$35)</f>
        <v>5</v>
      </c>
      <c r="M10" s="10" t="n">
        <f aca="false">E10-K10</f>
        <v>-0.00897022146152726</v>
      </c>
      <c r="N10" s="5" t="str">
        <f aca="false">IF(B10="Expansion",(H10-0.5)*162,"")</f>
        <v/>
      </c>
      <c r="O10" s="19" t="str">
        <f aca="false">IF(B10&lt;&gt;"Expansion","",IF(E10&gt;=0.5,"already erased",IF(H10&gt;0.5,G10/((H10-0.5)*162),"never at post-hole pace")))</f>
        <v/>
      </c>
      <c r="P10" s="26" t="str">
        <f aca="false">IF(B10&lt;&gt;"Expansion","",IF((SUMIFS(Seasons!$E$2:$E$2865,Seasons!$A$2:$A$2865,A10)-SUMIFS(Seasons!$D$2:$D$2865,Seasons!$A$2:$A$2865,A10))&lt;=0,"n/a (all-time .500+)",IF(G10/((SUMIFS(Seasons!$E$2:$E$2865,Seasons!$A$2:$A$2865,A10)-SUMIFS(Seasons!$D$2:$D$2865,Seasons!$A$2:$A$2865,A10))/2)&gt;1,"&gt;100%",G10/((SUMIFS(Seasons!$E$2:$E$2865,Seasons!$A$2:$A$2865,A10)-SUMIFS(Seasons!$D$2:$D$2865,Seasons!$A$2:$A$2865,A10))/2))))</f>
        <v/>
      </c>
    </row>
    <row r="11" customFormat="false" ht="15" hidden="false" customHeight="true" outlineLevel="0" collapsed="false">
      <c r="A11" s="7" t="s">
        <v>60</v>
      </c>
      <c r="B11" s="3" t="str">
        <f aca="false">Franchise_Totals!C7</f>
        <v>Established</v>
      </c>
      <c r="C11" s="3" t="n">
        <f aca="false">_xlfn.MINIFS(Seasons!$B$2:$B$2865,Seasons!$A$2:$A$2865,A11)</f>
        <v>1883</v>
      </c>
      <c r="D11" s="3" t="n">
        <f aca="false">COUNTIFS(Seasons!$A$2:$A$2865,A11)</f>
        <v>143</v>
      </c>
      <c r="E11" s="21" t="n">
        <f aca="false">SUMIFS(Seasons!$D$2:$D$2865,Seasons!$A$2:$A$2865,A11)/(SUMIFS(Seasons!$D$2:$D$2865,Seasons!$A$2:$A$2865,A11)+SUMIFS(Seasons!$E$2:$E$2865,Seasons!$A$2:$A$2865,A11))</f>
        <v>0.474902051163863</v>
      </c>
      <c r="F11" s="21" t="str">
        <f aca="false">IF(B11&lt;&gt;"Expansion","",SUMIFS(Seasons!$D$2:$D$2865,Seasons!$A$2:$A$2865,A11,Seasons!$B$2:$B$2865,"&lt;"&amp;(C11+$E$3))/(SUMIFS(Seasons!$D$2:$D$2865,Seasons!$A$2:$A$2865,A11,Seasons!$B$2:$B$2865,"&lt;"&amp;(C11+$E$3))+SUMIFS(Seasons!$E$2:$E$2865,Seasons!$A$2:$A$2865,A11,Seasons!$B$2:$B$2865,"&lt;"&amp;(C11+$E$3))))</f>
        <v/>
      </c>
      <c r="G11" s="19" t="str">
        <f aca="false">IF(B11&lt;&gt;"Expansion","",(SUMIFS(Seasons!$E$2:$E$2865,Seasons!$A$2:$A$2865,A11,Seasons!$B$2:$B$2865,"&lt;"&amp;(C11+$E$3))-SUMIFS(Seasons!$D$2:$D$2865,Seasons!$A$2:$A$2865,A11,Seasons!$B$2:$B$2865,"&lt;"&amp;(C11+$E$3)))/2)</f>
        <v/>
      </c>
      <c r="H11" s="21" t="str">
        <f aca="false">IF(B11&lt;&gt;"Expansion","",SUMIFS(Seasons!$D$2:$D$2865,Seasons!$A$2:$A$2865,A11,Seasons!$B$2:$B$2865,"&gt;="&amp;(C11+$E$3))/(SUMIFS(Seasons!$D$2:$D$2865,Seasons!$A$2:$A$2865,A11,Seasons!$B$2:$B$2865,"&gt;="&amp;(C11+$E$3))+SUMIFS(Seasons!$E$2:$E$2865,Seasons!$A$2:$A$2865,A11,Seasons!$B$2:$B$2865,"&gt;="&amp;(C11+$E$3))))</f>
        <v/>
      </c>
      <c r="I11" s="21" t="str">
        <f aca="false">IF(B11&lt;&gt;"Expansion","",SUMIFS(Seasons!$D$2:$D$2865,Seasons!$A$2:$A$2865,A11,Seasons!$B$2:$B$2865,"&lt;"&amp;(C11+10))/(SUMIFS(Seasons!$D$2:$D$2865,Seasons!$A$2:$A$2865,A11,Seasons!$B$2:$B$2865,"&lt;"&amp;(C11+10))+SUMIFS(Seasons!$E$2:$E$2865,Seasons!$A$2:$A$2865,A11,Seasons!$B$2:$B$2865,"&lt;"&amp;(C11+10))))</f>
        <v/>
      </c>
      <c r="J11" s="21" t="str">
        <f aca="false">IF(B11&lt;&gt;"Expansion","",SUMIFS(Seasons!$D$2:$D$2865,Seasons!$A$2:$A$2865,A11,Seasons!$B$2:$B$2865,"&gt;="&amp;(C11+10))/(SUMIFS(Seasons!$D$2:$D$2865,Seasons!$A$2:$A$2865,A11,Seasons!$B$2:$B$2865,"&gt;="&amp;(C11+10))+SUMIFS(Seasons!$E$2:$E$2865,Seasons!$A$2:$A$2865,A11,Seasons!$B$2:$B$2865,"&gt;="&amp;(C11+10))))</f>
        <v/>
      </c>
      <c r="K11" s="21" t="n">
        <f aca="false">IF(B11="Expansion",J11,SUMIFS(Seasons!$D$2:$D$2865,Seasons!$A$2:$A$2865,A11,Seasons!$B$2:$B$2865,"&gt;=1961")/(SUMIFS(Seasons!$D$2:$D$2865,Seasons!$A$2:$A$2865,A11,Seasons!$B$2:$B$2865,"&gt;=1961")+SUMIFS(Seasons!$E$2:$E$2865,Seasons!$A$2:$A$2865,A11,Seasons!$B$2:$B$2865,"&gt;=1961")))</f>
        <v>0.499805598755832</v>
      </c>
      <c r="L11" s="3" t="n">
        <f aca="false">RANK(K11,$K$6:$K$35)</f>
        <v>14</v>
      </c>
      <c r="M11" s="10" t="n">
        <f aca="false">E11-K11</f>
        <v>-0.0249035475919694</v>
      </c>
      <c r="N11" s="5" t="str">
        <f aca="false">IF(B11="Expansion",(H11-0.5)*162,"")</f>
        <v/>
      </c>
      <c r="O11" s="19" t="str">
        <f aca="false">IF(B11&lt;&gt;"Expansion","",IF(E11&gt;=0.5,"already erased",IF(H11&gt;0.5,G11/((H11-0.5)*162),"never at post-hole pace")))</f>
        <v/>
      </c>
      <c r="P11" s="26" t="str">
        <f aca="false">IF(B11&lt;&gt;"Expansion","",IF((SUMIFS(Seasons!$E$2:$E$2865,Seasons!$A$2:$A$2865,A11)-SUMIFS(Seasons!$D$2:$D$2865,Seasons!$A$2:$A$2865,A11))&lt;=0,"n/a (all-time .500+)",IF(G11/((SUMIFS(Seasons!$E$2:$E$2865,Seasons!$A$2:$A$2865,A11)-SUMIFS(Seasons!$D$2:$D$2865,Seasons!$A$2:$A$2865,A11))/2)&gt;1,"&gt;100%",G11/((SUMIFS(Seasons!$E$2:$E$2865,Seasons!$A$2:$A$2865,A11)-SUMIFS(Seasons!$D$2:$D$2865,Seasons!$A$2:$A$2865,A11))/2))))</f>
        <v/>
      </c>
    </row>
    <row r="12" customFormat="false" ht="15" hidden="false" customHeight="true" outlineLevel="0" collapsed="false">
      <c r="A12" s="7" t="s">
        <v>61</v>
      </c>
      <c r="B12" s="3" t="str">
        <f aca="false">Franchise_Totals!C8</f>
        <v>Established</v>
      </c>
      <c r="C12" s="3" t="n">
        <f aca="false">_xlfn.MINIFS(Seasons!$B$2:$B$2865,Seasons!$A$2:$A$2865,A12)</f>
        <v>1883</v>
      </c>
      <c r="D12" s="3" t="n">
        <f aca="false">COUNTIFS(Seasons!$A$2:$A$2865,A12)</f>
        <v>143</v>
      </c>
      <c r="E12" s="21" t="n">
        <f aca="false">SUMIFS(Seasons!$D$2:$D$2865,Seasons!$A$2:$A$2865,A12)/(SUMIFS(Seasons!$D$2:$D$2865,Seasons!$A$2:$A$2865,A12)+SUMIFS(Seasons!$E$2:$E$2865,Seasons!$A$2:$A$2865,A12))</f>
        <v>0.535033606481908</v>
      </c>
      <c r="F12" s="21" t="str">
        <f aca="false">IF(B12&lt;&gt;"Expansion","",SUMIFS(Seasons!$D$2:$D$2865,Seasons!$A$2:$A$2865,A12,Seasons!$B$2:$B$2865,"&lt;"&amp;(C12+$E$3))/(SUMIFS(Seasons!$D$2:$D$2865,Seasons!$A$2:$A$2865,A12,Seasons!$B$2:$B$2865,"&lt;"&amp;(C12+$E$3))+SUMIFS(Seasons!$E$2:$E$2865,Seasons!$A$2:$A$2865,A12,Seasons!$B$2:$B$2865,"&lt;"&amp;(C12+$E$3))))</f>
        <v/>
      </c>
      <c r="G12" s="19" t="str">
        <f aca="false">IF(B12&lt;&gt;"Expansion","",(SUMIFS(Seasons!$E$2:$E$2865,Seasons!$A$2:$A$2865,A12,Seasons!$B$2:$B$2865,"&lt;"&amp;(C12+$E$3))-SUMIFS(Seasons!$D$2:$D$2865,Seasons!$A$2:$A$2865,A12,Seasons!$B$2:$B$2865,"&lt;"&amp;(C12+$E$3)))/2)</f>
        <v/>
      </c>
      <c r="H12" s="21" t="str">
        <f aca="false">IF(B12&lt;&gt;"Expansion","",SUMIFS(Seasons!$D$2:$D$2865,Seasons!$A$2:$A$2865,A12,Seasons!$B$2:$B$2865,"&gt;="&amp;(C12+$E$3))/(SUMIFS(Seasons!$D$2:$D$2865,Seasons!$A$2:$A$2865,A12,Seasons!$B$2:$B$2865,"&gt;="&amp;(C12+$E$3))+SUMIFS(Seasons!$E$2:$E$2865,Seasons!$A$2:$A$2865,A12,Seasons!$B$2:$B$2865,"&gt;="&amp;(C12+$E$3))))</f>
        <v/>
      </c>
      <c r="I12" s="21" t="str">
        <f aca="false">IF(B12&lt;&gt;"Expansion","",SUMIFS(Seasons!$D$2:$D$2865,Seasons!$A$2:$A$2865,A12,Seasons!$B$2:$B$2865,"&lt;"&amp;(C12+10))/(SUMIFS(Seasons!$D$2:$D$2865,Seasons!$A$2:$A$2865,A12,Seasons!$B$2:$B$2865,"&lt;"&amp;(C12+10))+SUMIFS(Seasons!$E$2:$E$2865,Seasons!$A$2:$A$2865,A12,Seasons!$B$2:$B$2865,"&lt;"&amp;(C12+10))))</f>
        <v/>
      </c>
      <c r="J12" s="21" t="str">
        <f aca="false">IF(B12&lt;&gt;"Expansion","",SUMIFS(Seasons!$D$2:$D$2865,Seasons!$A$2:$A$2865,A12,Seasons!$B$2:$B$2865,"&gt;="&amp;(C12+10))/(SUMIFS(Seasons!$D$2:$D$2865,Seasons!$A$2:$A$2865,A12,Seasons!$B$2:$B$2865,"&gt;="&amp;(C12+10))+SUMIFS(Seasons!$E$2:$E$2865,Seasons!$A$2:$A$2865,A12,Seasons!$B$2:$B$2865,"&gt;="&amp;(C12+10))))</f>
        <v/>
      </c>
      <c r="K12" s="21" t="n">
        <f aca="false">IF(B12="Expansion",J12,SUMIFS(Seasons!$D$2:$D$2865,Seasons!$A$2:$A$2865,A12,Seasons!$B$2:$B$2865,"&gt;=1961")/(SUMIFS(Seasons!$D$2:$D$2865,Seasons!$A$2:$A$2865,A12,Seasons!$B$2:$B$2865,"&gt;=1961")+SUMIFS(Seasons!$E$2:$E$2865,Seasons!$A$2:$A$2865,A12,Seasons!$B$2:$B$2865,"&gt;=1961")))</f>
        <v>0.516075764934434</v>
      </c>
      <c r="L12" s="3" t="n">
        <f aca="false">RANK(K12,$K$6:$K$35)</f>
        <v>7</v>
      </c>
      <c r="M12" s="10" t="n">
        <f aca="false">E12-K12</f>
        <v>0.0189578415474736</v>
      </c>
      <c r="N12" s="5" t="str">
        <f aca="false">IF(B12="Expansion",(H12-0.5)*162,"")</f>
        <v/>
      </c>
      <c r="O12" s="19" t="str">
        <f aca="false">IF(B12&lt;&gt;"Expansion","",IF(E12&gt;=0.5,"already erased",IF(H12&gt;0.5,G12/((H12-0.5)*162),"never at post-hole pace")))</f>
        <v/>
      </c>
      <c r="P12" s="26" t="str">
        <f aca="false">IF(B12&lt;&gt;"Expansion","",IF((SUMIFS(Seasons!$E$2:$E$2865,Seasons!$A$2:$A$2865,A12)-SUMIFS(Seasons!$D$2:$D$2865,Seasons!$A$2:$A$2865,A12))&lt;=0,"n/a (all-time .500+)",IF(G12/((SUMIFS(Seasons!$E$2:$E$2865,Seasons!$A$2:$A$2865,A12)-SUMIFS(Seasons!$D$2:$D$2865,Seasons!$A$2:$A$2865,A12))/2)&gt;1,"&gt;100%",G12/((SUMIFS(Seasons!$E$2:$E$2865,Seasons!$A$2:$A$2865,A12)-SUMIFS(Seasons!$D$2:$D$2865,Seasons!$A$2:$A$2865,A12))/2))))</f>
        <v/>
      </c>
    </row>
    <row r="13" customFormat="false" ht="15" hidden="false" customHeight="true" outlineLevel="0" collapsed="false">
      <c r="A13" s="7" t="s">
        <v>62</v>
      </c>
      <c r="B13" s="3" t="str">
        <f aca="false">Franchise_Totals!C9</f>
        <v>Established</v>
      </c>
      <c r="C13" s="3" t="n">
        <f aca="false">_xlfn.MINIFS(Seasons!$B$2:$B$2865,Seasons!$A$2:$A$2865,A13)</f>
        <v>1884</v>
      </c>
      <c r="D13" s="3" t="n">
        <f aca="false">COUNTIFS(Seasons!$A$2:$A$2865,A13)</f>
        <v>142</v>
      </c>
      <c r="E13" s="21" t="n">
        <f aca="false">SUMIFS(Seasons!$D$2:$D$2865,Seasons!$A$2:$A$2865,A13)/(SUMIFS(Seasons!$D$2:$D$2865,Seasons!$A$2:$A$2865,A13)+SUMIFS(Seasons!$E$2:$E$2865,Seasons!$A$2:$A$2865,A13))</f>
        <v>0.532037669651925</v>
      </c>
      <c r="F13" s="21" t="str">
        <f aca="false">IF(B13&lt;&gt;"Expansion","",SUMIFS(Seasons!$D$2:$D$2865,Seasons!$A$2:$A$2865,A13,Seasons!$B$2:$B$2865,"&lt;"&amp;(C13+$E$3))/(SUMIFS(Seasons!$D$2:$D$2865,Seasons!$A$2:$A$2865,A13,Seasons!$B$2:$B$2865,"&lt;"&amp;(C13+$E$3))+SUMIFS(Seasons!$E$2:$E$2865,Seasons!$A$2:$A$2865,A13,Seasons!$B$2:$B$2865,"&lt;"&amp;(C13+$E$3))))</f>
        <v/>
      </c>
      <c r="G13" s="19" t="str">
        <f aca="false">IF(B13&lt;&gt;"Expansion","",(SUMIFS(Seasons!$E$2:$E$2865,Seasons!$A$2:$A$2865,A13,Seasons!$B$2:$B$2865,"&lt;"&amp;(C13+$E$3))-SUMIFS(Seasons!$D$2:$D$2865,Seasons!$A$2:$A$2865,A13,Seasons!$B$2:$B$2865,"&lt;"&amp;(C13+$E$3)))/2)</f>
        <v/>
      </c>
      <c r="H13" s="21" t="str">
        <f aca="false">IF(B13&lt;&gt;"Expansion","",SUMIFS(Seasons!$D$2:$D$2865,Seasons!$A$2:$A$2865,A13,Seasons!$B$2:$B$2865,"&gt;="&amp;(C13+$E$3))/(SUMIFS(Seasons!$D$2:$D$2865,Seasons!$A$2:$A$2865,A13,Seasons!$B$2:$B$2865,"&gt;="&amp;(C13+$E$3))+SUMIFS(Seasons!$E$2:$E$2865,Seasons!$A$2:$A$2865,A13,Seasons!$B$2:$B$2865,"&gt;="&amp;(C13+$E$3))))</f>
        <v/>
      </c>
      <c r="I13" s="21" t="str">
        <f aca="false">IF(B13&lt;&gt;"Expansion","",SUMIFS(Seasons!$D$2:$D$2865,Seasons!$A$2:$A$2865,A13,Seasons!$B$2:$B$2865,"&lt;"&amp;(C13+10))/(SUMIFS(Seasons!$D$2:$D$2865,Seasons!$A$2:$A$2865,A13,Seasons!$B$2:$B$2865,"&lt;"&amp;(C13+10))+SUMIFS(Seasons!$E$2:$E$2865,Seasons!$A$2:$A$2865,A13,Seasons!$B$2:$B$2865,"&lt;"&amp;(C13+10))))</f>
        <v/>
      </c>
      <c r="J13" s="21" t="str">
        <f aca="false">IF(B13&lt;&gt;"Expansion","",SUMIFS(Seasons!$D$2:$D$2865,Seasons!$A$2:$A$2865,A13,Seasons!$B$2:$B$2865,"&gt;="&amp;(C13+10))/(SUMIFS(Seasons!$D$2:$D$2865,Seasons!$A$2:$A$2865,A13,Seasons!$B$2:$B$2865,"&gt;="&amp;(C13+10))+SUMIFS(Seasons!$E$2:$E$2865,Seasons!$A$2:$A$2865,A13,Seasons!$B$2:$B$2865,"&gt;="&amp;(C13+10))))</f>
        <v/>
      </c>
      <c r="K13" s="21" t="n">
        <f aca="false">IF(B13="Expansion",J13,SUMIFS(Seasons!$D$2:$D$2865,Seasons!$A$2:$A$2865,A13,Seasons!$B$2:$B$2865,"&gt;=1961")/(SUMIFS(Seasons!$D$2:$D$2865,Seasons!$A$2:$A$2865,A13,Seasons!$B$2:$B$2865,"&gt;=1961")+SUMIFS(Seasons!$E$2:$E$2865,Seasons!$A$2:$A$2865,A13,Seasons!$B$2:$B$2865,"&gt;=1961")))</f>
        <v>0.549834855255489</v>
      </c>
      <c r="L13" s="3" t="n">
        <f aca="false">RANK(K13,$K$6:$K$35)</f>
        <v>2</v>
      </c>
      <c r="M13" s="10" t="n">
        <f aca="false">E13-K13</f>
        <v>-0.0177971856035636</v>
      </c>
      <c r="N13" s="5" t="str">
        <f aca="false">IF(B13="Expansion",(H13-0.5)*162,"")</f>
        <v/>
      </c>
      <c r="O13" s="19" t="str">
        <f aca="false">IF(B13&lt;&gt;"Expansion","",IF(E13&gt;=0.5,"already erased",IF(H13&gt;0.5,G13/((H13-0.5)*162),"never at post-hole pace")))</f>
        <v/>
      </c>
      <c r="P13" s="26" t="str">
        <f aca="false">IF(B13&lt;&gt;"Expansion","",IF((SUMIFS(Seasons!$E$2:$E$2865,Seasons!$A$2:$A$2865,A13)-SUMIFS(Seasons!$D$2:$D$2865,Seasons!$A$2:$A$2865,A13))&lt;=0,"n/a (all-time .500+)",IF(G13/((SUMIFS(Seasons!$E$2:$E$2865,Seasons!$A$2:$A$2865,A13)-SUMIFS(Seasons!$D$2:$D$2865,Seasons!$A$2:$A$2865,A13))/2)&gt;1,"&gt;100%",G13/((SUMIFS(Seasons!$E$2:$E$2865,Seasons!$A$2:$A$2865,A13)-SUMIFS(Seasons!$D$2:$D$2865,Seasons!$A$2:$A$2865,A13))/2))))</f>
        <v/>
      </c>
    </row>
    <row r="14" customFormat="false" ht="15" hidden="false" customHeight="true" outlineLevel="0" collapsed="false">
      <c r="A14" s="7" t="s">
        <v>63</v>
      </c>
      <c r="B14" s="3" t="str">
        <f aca="false">Franchise_Totals!C10</f>
        <v>Established</v>
      </c>
      <c r="C14" s="3" t="n">
        <f aca="false">_xlfn.MINIFS(Seasons!$B$2:$B$2865,Seasons!$A$2:$A$2865,A14)</f>
        <v>1901</v>
      </c>
      <c r="D14" s="3" t="n">
        <f aca="false">COUNTIFS(Seasons!$A$2:$A$2865,A14)</f>
        <v>125</v>
      </c>
      <c r="E14" s="21" t="n">
        <f aca="false">SUMIFS(Seasons!$D$2:$D$2865,Seasons!$A$2:$A$2865,A14)/(SUMIFS(Seasons!$D$2:$D$2865,Seasons!$A$2:$A$2865,A14)+SUMIFS(Seasons!$E$2:$E$2865,Seasons!$A$2:$A$2865,A14))</f>
        <v>0.474801197975834</v>
      </c>
      <c r="F14" s="21" t="str">
        <f aca="false">IF(B14&lt;&gt;"Expansion","",SUMIFS(Seasons!$D$2:$D$2865,Seasons!$A$2:$A$2865,A14,Seasons!$B$2:$B$2865,"&lt;"&amp;(C14+$E$3))/(SUMIFS(Seasons!$D$2:$D$2865,Seasons!$A$2:$A$2865,A14,Seasons!$B$2:$B$2865,"&lt;"&amp;(C14+$E$3))+SUMIFS(Seasons!$E$2:$E$2865,Seasons!$A$2:$A$2865,A14,Seasons!$B$2:$B$2865,"&lt;"&amp;(C14+$E$3))))</f>
        <v/>
      </c>
      <c r="G14" s="19" t="str">
        <f aca="false">IF(B14&lt;&gt;"Expansion","",(SUMIFS(Seasons!$E$2:$E$2865,Seasons!$A$2:$A$2865,A14,Seasons!$B$2:$B$2865,"&lt;"&amp;(C14+$E$3))-SUMIFS(Seasons!$D$2:$D$2865,Seasons!$A$2:$A$2865,A14,Seasons!$B$2:$B$2865,"&lt;"&amp;(C14+$E$3)))/2)</f>
        <v/>
      </c>
      <c r="H14" s="21" t="str">
        <f aca="false">IF(B14&lt;&gt;"Expansion","",SUMIFS(Seasons!$D$2:$D$2865,Seasons!$A$2:$A$2865,A14,Seasons!$B$2:$B$2865,"&gt;="&amp;(C14+$E$3))/(SUMIFS(Seasons!$D$2:$D$2865,Seasons!$A$2:$A$2865,A14,Seasons!$B$2:$B$2865,"&gt;="&amp;(C14+$E$3))+SUMIFS(Seasons!$E$2:$E$2865,Seasons!$A$2:$A$2865,A14,Seasons!$B$2:$B$2865,"&gt;="&amp;(C14+$E$3))))</f>
        <v/>
      </c>
      <c r="I14" s="21" t="str">
        <f aca="false">IF(B14&lt;&gt;"Expansion","",SUMIFS(Seasons!$D$2:$D$2865,Seasons!$A$2:$A$2865,A14,Seasons!$B$2:$B$2865,"&lt;"&amp;(C14+10))/(SUMIFS(Seasons!$D$2:$D$2865,Seasons!$A$2:$A$2865,A14,Seasons!$B$2:$B$2865,"&lt;"&amp;(C14+10))+SUMIFS(Seasons!$E$2:$E$2865,Seasons!$A$2:$A$2865,A14,Seasons!$B$2:$B$2865,"&lt;"&amp;(C14+10))))</f>
        <v/>
      </c>
      <c r="J14" s="21" t="str">
        <f aca="false">IF(B14&lt;&gt;"Expansion","",SUMIFS(Seasons!$D$2:$D$2865,Seasons!$A$2:$A$2865,A14,Seasons!$B$2:$B$2865,"&gt;="&amp;(C14+10))/(SUMIFS(Seasons!$D$2:$D$2865,Seasons!$A$2:$A$2865,A14,Seasons!$B$2:$B$2865,"&gt;="&amp;(C14+10))+SUMIFS(Seasons!$E$2:$E$2865,Seasons!$A$2:$A$2865,A14,Seasons!$B$2:$B$2865,"&gt;="&amp;(C14+10))))</f>
        <v/>
      </c>
      <c r="K14" s="21" t="n">
        <f aca="false">IF(B14="Expansion",J14,SUMIFS(Seasons!$D$2:$D$2865,Seasons!$A$2:$A$2865,A14,Seasons!$B$2:$B$2865,"&gt;=1961")/(SUMIFS(Seasons!$D$2:$D$2865,Seasons!$A$2:$A$2865,A14,Seasons!$B$2:$B$2865,"&gt;=1961")+SUMIFS(Seasons!$E$2:$E$2865,Seasons!$A$2:$A$2865,A14,Seasons!$B$2:$B$2865,"&gt;=1961")))</f>
        <v>0.509975669099757</v>
      </c>
      <c r="L14" s="3" t="n">
        <f aca="false">RANK(K14,$K$6:$K$35)</f>
        <v>11</v>
      </c>
      <c r="M14" s="10" t="n">
        <f aca="false">E14-K14</f>
        <v>-0.0351744711239227</v>
      </c>
      <c r="N14" s="5" t="str">
        <f aca="false">IF(B14="Expansion",(H14-0.5)*162,"")</f>
        <v/>
      </c>
      <c r="O14" s="19" t="str">
        <f aca="false">IF(B14&lt;&gt;"Expansion","",IF(E14&gt;=0.5,"already erased",IF(H14&gt;0.5,G14/((H14-0.5)*162),"never at post-hole pace")))</f>
        <v/>
      </c>
      <c r="P14" s="26" t="str">
        <f aca="false">IF(B14&lt;&gt;"Expansion","",IF((SUMIFS(Seasons!$E$2:$E$2865,Seasons!$A$2:$A$2865,A14)-SUMIFS(Seasons!$D$2:$D$2865,Seasons!$A$2:$A$2865,A14))&lt;=0,"n/a (all-time .500+)",IF(G14/((SUMIFS(Seasons!$E$2:$E$2865,Seasons!$A$2:$A$2865,A14)-SUMIFS(Seasons!$D$2:$D$2865,Seasons!$A$2:$A$2865,A14))/2)&gt;1,"&gt;100%",G14/((SUMIFS(Seasons!$E$2:$E$2865,Seasons!$A$2:$A$2865,A14)-SUMIFS(Seasons!$D$2:$D$2865,Seasons!$A$2:$A$2865,A14))/2))))</f>
        <v/>
      </c>
    </row>
    <row r="15" customFormat="false" ht="15" hidden="false" customHeight="true" outlineLevel="0" collapsed="false">
      <c r="A15" s="7" t="s">
        <v>64</v>
      </c>
      <c r="B15" s="3" t="str">
        <f aca="false">Franchise_Totals!C11</f>
        <v>Established</v>
      </c>
      <c r="C15" s="3" t="n">
        <f aca="false">_xlfn.MINIFS(Seasons!$B$2:$B$2865,Seasons!$A$2:$A$2865,A15)</f>
        <v>1901</v>
      </c>
      <c r="D15" s="3" t="n">
        <f aca="false">COUNTIFS(Seasons!$A$2:$A$2865,A15)</f>
        <v>125</v>
      </c>
      <c r="E15" s="21" t="n">
        <f aca="false">SUMIFS(Seasons!$D$2:$D$2865,Seasons!$A$2:$A$2865,A15)/(SUMIFS(Seasons!$D$2:$D$2865,Seasons!$A$2:$A$2865,A15)+SUMIFS(Seasons!$E$2:$E$2865,Seasons!$A$2:$A$2865,A15))</f>
        <v>0.518266253869969</v>
      </c>
      <c r="F15" s="21" t="str">
        <f aca="false">IF(B15&lt;&gt;"Expansion","",SUMIFS(Seasons!$D$2:$D$2865,Seasons!$A$2:$A$2865,A15,Seasons!$B$2:$B$2865,"&lt;"&amp;(C15+$E$3))/(SUMIFS(Seasons!$D$2:$D$2865,Seasons!$A$2:$A$2865,A15,Seasons!$B$2:$B$2865,"&lt;"&amp;(C15+$E$3))+SUMIFS(Seasons!$E$2:$E$2865,Seasons!$A$2:$A$2865,A15,Seasons!$B$2:$B$2865,"&lt;"&amp;(C15+$E$3))))</f>
        <v/>
      </c>
      <c r="G15" s="19" t="str">
        <f aca="false">IF(B15&lt;&gt;"Expansion","",(SUMIFS(Seasons!$E$2:$E$2865,Seasons!$A$2:$A$2865,A15,Seasons!$B$2:$B$2865,"&lt;"&amp;(C15+$E$3))-SUMIFS(Seasons!$D$2:$D$2865,Seasons!$A$2:$A$2865,A15,Seasons!$B$2:$B$2865,"&lt;"&amp;(C15+$E$3)))/2)</f>
        <v/>
      </c>
      <c r="H15" s="21" t="str">
        <f aca="false">IF(B15&lt;&gt;"Expansion","",SUMIFS(Seasons!$D$2:$D$2865,Seasons!$A$2:$A$2865,A15,Seasons!$B$2:$B$2865,"&gt;="&amp;(C15+$E$3))/(SUMIFS(Seasons!$D$2:$D$2865,Seasons!$A$2:$A$2865,A15,Seasons!$B$2:$B$2865,"&gt;="&amp;(C15+$E$3))+SUMIFS(Seasons!$E$2:$E$2865,Seasons!$A$2:$A$2865,A15,Seasons!$B$2:$B$2865,"&gt;="&amp;(C15+$E$3))))</f>
        <v/>
      </c>
      <c r="I15" s="21" t="str">
        <f aca="false">IF(B15&lt;&gt;"Expansion","",SUMIFS(Seasons!$D$2:$D$2865,Seasons!$A$2:$A$2865,A15,Seasons!$B$2:$B$2865,"&lt;"&amp;(C15+10))/(SUMIFS(Seasons!$D$2:$D$2865,Seasons!$A$2:$A$2865,A15,Seasons!$B$2:$B$2865,"&lt;"&amp;(C15+10))+SUMIFS(Seasons!$E$2:$E$2865,Seasons!$A$2:$A$2865,A15,Seasons!$B$2:$B$2865,"&lt;"&amp;(C15+10))))</f>
        <v/>
      </c>
      <c r="J15" s="21" t="str">
        <f aca="false">IF(B15&lt;&gt;"Expansion","",SUMIFS(Seasons!$D$2:$D$2865,Seasons!$A$2:$A$2865,A15,Seasons!$B$2:$B$2865,"&gt;="&amp;(C15+10))/(SUMIFS(Seasons!$D$2:$D$2865,Seasons!$A$2:$A$2865,A15,Seasons!$B$2:$B$2865,"&gt;="&amp;(C15+10))+SUMIFS(Seasons!$E$2:$E$2865,Seasons!$A$2:$A$2865,A15,Seasons!$B$2:$B$2865,"&gt;="&amp;(C15+10))))</f>
        <v/>
      </c>
      <c r="K15" s="21" t="n">
        <f aca="false">IF(B15="Expansion",J15,SUMIFS(Seasons!$D$2:$D$2865,Seasons!$A$2:$A$2865,A15,Seasons!$B$2:$B$2865,"&gt;=1961")/(SUMIFS(Seasons!$D$2:$D$2865,Seasons!$A$2:$A$2865,A15,Seasons!$B$2:$B$2865,"&gt;=1961")+SUMIFS(Seasons!$E$2:$E$2865,Seasons!$A$2:$A$2865,A15,Seasons!$B$2:$B$2865,"&gt;=1961")))</f>
        <v>0.530852200952288</v>
      </c>
      <c r="L15" s="3" t="n">
        <f aca="false">RANK(K15,$K$6:$K$35)</f>
        <v>4</v>
      </c>
      <c r="M15" s="10" t="n">
        <f aca="false">E15-K15</f>
        <v>-0.0125859470823193</v>
      </c>
      <c r="N15" s="5" t="str">
        <f aca="false">IF(B15="Expansion",(H15-0.5)*162,"")</f>
        <v/>
      </c>
      <c r="O15" s="19" t="str">
        <f aca="false">IF(B15&lt;&gt;"Expansion","",IF(E15&gt;=0.5,"already erased",IF(H15&gt;0.5,G15/((H15-0.5)*162),"never at post-hole pace")))</f>
        <v/>
      </c>
      <c r="P15" s="26" t="str">
        <f aca="false">IF(B15&lt;&gt;"Expansion","",IF((SUMIFS(Seasons!$E$2:$E$2865,Seasons!$A$2:$A$2865,A15)-SUMIFS(Seasons!$D$2:$D$2865,Seasons!$A$2:$A$2865,A15))&lt;=0,"n/a (all-time .500+)",IF(G15/((SUMIFS(Seasons!$E$2:$E$2865,Seasons!$A$2:$A$2865,A15)-SUMIFS(Seasons!$D$2:$D$2865,Seasons!$A$2:$A$2865,A15))/2)&gt;1,"&gt;100%",G15/((SUMIFS(Seasons!$E$2:$E$2865,Seasons!$A$2:$A$2865,A15)-SUMIFS(Seasons!$D$2:$D$2865,Seasons!$A$2:$A$2865,A15))/2))))</f>
        <v/>
      </c>
    </row>
    <row r="16" customFormat="false" ht="15" hidden="false" customHeight="true" outlineLevel="0" collapsed="false">
      <c r="A16" s="7" t="s">
        <v>65</v>
      </c>
      <c r="B16" s="3" t="str">
        <f aca="false">Franchise_Totals!C12</f>
        <v>Established</v>
      </c>
      <c r="C16" s="3" t="n">
        <f aca="false">_xlfn.MINIFS(Seasons!$B$2:$B$2865,Seasons!$A$2:$A$2865,A16)</f>
        <v>1901</v>
      </c>
      <c r="D16" s="3" t="n">
        <f aca="false">COUNTIFS(Seasons!$A$2:$A$2865,A16)</f>
        <v>125</v>
      </c>
      <c r="E16" s="21" t="n">
        <f aca="false">SUMIFS(Seasons!$D$2:$D$2865,Seasons!$A$2:$A$2865,A16)/(SUMIFS(Seasons!$D$2:$D$2865,Seasons!$A$2:$A$2865,A16)+SUMIFS(Seasons!$E$2:$E$2865,Seasons!$A$2:$A$2865,A16))</f>
        <v>0.498451053283767</v>
      </c>
      <c r="F16" s="21" t="str">
        <f aca="false">IF(B16&lt;&gt;"Expansion","",SUMIFS(Seasons!$D$2:$D$2865,Seasons!$A$2:$A$2865,A16,Seasons!$B$2:$B$2865,"&lt;"&amp;(C16+$E$3))/(SUMIFS(Seasons!$D$2:$D$2865,Seasons!$A$2:$A$2865,A16,Seasons!$B$2:$B$2865,"&lt;"&amp;(C16+$E$3))+SUMIFS(Seasons!$E$2:$E$2865,Seasons!$A$2:$A$2865,A16,Seasons!$B$2:$B$2865,"&lt;"&amp;(C16+$E$3))))</f>
        <v/>
      </c>
      <c r="G16" s="19" t="str">
        <f aca="false">IF(B16&lt;&gt;"Expansion","",(SUMIFS(Seasons!$E$2:$E$2865,Seasons!$A$2:$A$2865,A16,Seasons!$B$2:$B$2865,"&lt;"&amp;(C16+$E$3))-SUMIFS(Seasons!$D$2:$D$2865,Seasons!$A$2:$A$2865,A16,Seasons!$B$2:$B$2865,"&lt;"&amp;(C16+$E$3)))/2)</f>
        <v/>
      </c>
      <c r="H16" s="21" t="str">
        <f aca="false">IF(B16&lt;&gt;"Expansion","",SUMIFS(Seasons!$D$2:$D$2865,Seasons!$A$2:$A$2865,A16,Seasons!$B$2:$B$2865,"&gt;="&amp;(C16+$E$3))/(SUMIFS(Seasons!$D$2:$D$2865,Seasons!$A$2:$A$2865,A16,Seasons!$B$2:$B$2865,"&gt;="&amp;(C16+$E$3))+SUMIFS(Seasons!$E$2:$E$2865,Seasons!$A$2:$A$2865,A16,Seasons!$B$2:$B$2865,"&gt;="&amp;(C16+$E$3))))</f>
        <v/>
      </c>
      <c r="I16" s="21" t="str">
        <f aca="false">IF(B16&lt;&gt;"Expansion","",SUMIFS(Seasons!$D$2:$D$2865,Seasons!$A$2:$A$2865,A16,Seasons!$B$2:$B$2865,"&lt;"&amp;(C16+10))/(SUMIFS(Seasons!$D$2:$D$2865,Seasons!$A$2:$A$2865,A16,Seasons!$B$2:$B$2865,"&lt;"&amp;(C16+10))+SUMIFS(Seasons!$E$2:$E$2865,Seasons!$A$2:$A$2865,A16,Seasons!$B$2:$B$2865,"&lt;"&amp;(C16+10))))</f>
        <v/>
      </c>
      <c r="J16" s="21" t="str">
        <f aca="false">IF(B16&lt;&gt;"Expansion","",SUMIFS(Seasons!$D$2:$D$2865,Seasons!$A$2:$A$2865,A16,Seasons!$B$2:$B$2865,"&gt;="&amp;(C16+10))/(SUMIFS(Seasons!$D$2:$D$2865,Seasons!$A$2:$A$2865,A16,Seasons!$B$2:$B$2865,"&gt;="&amp;(C16+10))+SUMIFS(Seasons!$E$2:$E$2865,Seasons!$A$2:$A$2865,A16,Seasons!$B$2:$B$2865,"&gt;="&amp;(C16+10))))</f>
        <v/>
      </c>
      <c r="K16" s="21" t="n">
        <f aca="false">IF(B16="Expansion",J16,SUMIFS(Seasons!$D$2:$D$2865,Seasons!$A$2:$A$2865,A16,Seasons!$B$2:$B$2865,"&gt;=1961")/(SUMIFS(Seasons!$D$2:$D$2865,Seasons!$A$2:$A$2865,A16,Seasons!$B$2:$B$2865,"&gt;=1961")+SUMIFS(Seasons!$E$2:$E$2865,Seasons!$A$2:$A$2865,A16,Seasons!$B$2:$B$2865,"&gt;=1961")))</f>
        <v>0.492220925709841</v>
      </c>
      <c r="L16" s="3" t="n">
        <f aca="false">RANK(K16,$K$6:$K$35)</f>
        <v>21</v>
      </c>
      <c r="M16" s="10" t="n">
        <f aca="false">E16-K16</f>
        <v>0.00623012757392649</v>
      </c>
      <c r="N16" s="5" t="str">
        <f aca="false">IF(B16="Expansion",(H16-0.5)*162,"")</f>
        <v/>
      </c>
      <c r="O16" s="19" t="str">
        <f aca="false">IF(B16&lt;&gt;"Expansion","",IF(E16&gt;=0.5,"already erased",IF(H16&gt;0.5,G16/((H16-0.5)*162),"never at post-hole pace")))</f>
        <v/>
      </c>
      <c r="P16" s="26" t="str">
        <f aca="false">IF(B16&lt;&gt;"Expansion","",IF((SUMIFS(Seasons!$E$2:$E$2865,Seasons!$A$2:$A$2865,A16)-SUMIFS(Seasons!$D$2:$D$2865,Seasons!$A$2:$A$2865,A16))&lt;=0,"n/a (all-time .500+)",IF(G16/((SUMIFS(Seasons!$E$2:$E$2865,Seasons!$A$2:$A$2865,A16)-SUMIFS(Seasons!$D$2:$D$2865,Seasons!$A$2:$A$2865,A16))/2)&gt;1,"&gt;100%",G16/((SUMIFS(Seasons!$E$2:$E$2865,Seasons!$A$2:$A$2865,A16)-SUMIFS(Seasons!$D$2:$D$2865,Seasons!$A$2:$A$2865,A16))/2))))</f>
        <v/>
      </c>
    </row>
    <row r="17" customFormat="false" ht="15" hidden="false" customHeight="true" outlineLevel="0" collapsed="false">
      <c r="A17" s="7" t="s">
        <v>66</v>
      </c>
      <c r="B17" s="3" t="str">
        <f aca="false">Franchise_Totals!C13</f>
        <v>Established</v>
      </c>
      <c r="C17" s="3" t="n">
        <f aca="false">_xlfn.MINIFS(Seasons!$B$2:$B$2865,Seasons!$A$2:$A$2865,A17)</f>
        <v>1901</v>
      </c>
      <c r="D17" s="3" t="n">
        <f aca="false">COUNTIFS(Seasons!$A$2:$A$2865,A17)</f>
        <v>125</v>
      </c>
      <c r="E17" s="21" t="n">
        <f aca="false">SUMIFS(Seasons!$D$2:$D$2865,Seasons!$A$2:$A$2865,A17)/(SUMIFS(Seasons!$D$2:$D$2865,Seasons!$A$2:$A$2865,A17)+SUMIFS(Seasons!$E$2:$E$2865,Seasons!$A$2:$A$2865,A17))</f>
        <v>0.512820512820513</v>
      </c>
      <c r="F17" s="21" t="str">
        <f aca="false">IF(B17&lt;&gt;"Expansion","",SUMIFS(Seasons!$D$2:$D$2865,Seasons!$A$2:$A$2865,A17,Seasons!$B$2:$B$2865,"&lt;"&amp;(C17+$E$3))/(SUMIFS(Seasons!$D$2:$D$2865,Seasons!$A$2:$A$2865,A17,Seasons!$B$2:$B$2865,"&lt;"&amp;(C17+$E$3))+SUMIFS(Seasons!$E$2:$E$2865,Seasons!$A$2:$A$2865,A17,Seasons!$B$2:$B$2865,"&lt;"&amp;(C17+$E$3))))</f>
        <v/>
      </c>
      <c r="G17" s="19" t="str">
        <f aca="false">IF(B17&lt;&gt;"Expansion","",(SUMIFS(Seasons!$E$2:$E$2865,Seasons!$A$2:$A$2865,A17,Seasons!$B$2:$B$2865,"&lt;"&amp;(C17+$E$3))-SUMIFS(Seasons!$D$2:$D$2865,Seasons!$A$2:$A$2865,A17,Seasons!$B$2:$B$2865,"&lt;"&amp;(C17+$E$3)))/2)</f>
        <v/>
      </c>
      <c r="H17" s="21" t="str">
        <f aca="false">IF(B17&lt;&gt;"Expansion","",SUMIFS(Seasons!$D$2:$D$2865,Seasons!$A$2:$A$2865,A17,Seasons!$B$2:$B$2865,"&gt;="&amp;(C17+$E$3))/(SUMIFS(Seasons!$D$2:$D$2865,Seasons!$A$2:$A$2865,A17,Seasons!$B$2:$B$2865,"&gt;="&amp;(C17+$E$3))+SUMIFS(Seasons!$E$2:$E$2865,Seasons!$A$2:$A$2865,A17,Seasons!$B$2:$B$2865,"&gt;="&amp;(C17+$E$3))))</f>
        <v/>
      </c>
      <c r="I17" s="21" t="str">
        <f aca="false">IF(B17&lt;&gt;"Expansion","",SUMIFS(Seasons!$D$2:$D$2865,Seasons!$A$2:$A$2865,A17,Seasons!$B$2:$B$2865,"&lt;"&amp;(C17+10))/(SUMIFS(Seasons!$D$2:$D$2865,Seasons!$A$2:$A$2865,A17,Seasons!$B$2:$B$2865,"&lt;"&amp;(C17+10))+SUMIFS(Seasons!$E$2:$E$2865,Seasons!$A$2:$A$2865,A17,Seasons!$B$2:$B$2865,"&lt;"&amp;(C17+10))))</f>
        <v/>
      </c>
      <c r="J17" s="21" t="str">
        <f aca="false">IF(B17&lt;&gt;"Expansion","",SUMIFS(Seasons!$D$2:$D$2865,Seasons!$A$2:$A$2865,A17,Seasons!$B$2:$B$2865,"&gt;="&amp;(C17+10))/(SUMIFS(Seasons!$D$2:$D$2865,Seasons!$A$2:$A$2865,A17,Seasons!$B$2:$B$2865,"&gt;="&amp;(C17+10))+SUMIFS(Seasons!$E$2:$E$2865,Seasons!$A$2:$A$2865,A17,Seasons!$B$2:$B$2865,"&gt;="&amp;(C17+10))))</f>
        <v/>
      </c>
      <c r="K17" s="21" t="n">
        <f aca="false">IF(B17="Expansion",J17,SUMIFS(Seasons!$D$2:$D$2865,Seasons!$A$2:$A$2865,A17,Seasons!$B$2:$B$2865,"&gt;=1961")/(SUMIFS(Seasons!$D$2:$D$2865,Seasons!$A$2:$A$2865,A17,Seasons!$B$2:$B$2865,"&gt;=1961")+SUMIFS(Seasons!$E$2:$E$2865,Seasons!$A$2:$A$2865,A17,Seasons!$B$2:$B$2865,"&gt;=1961")))</f>
        <v>0.497420924574209</v>
      </c>
      <c r="L17" s="3" t="n">
        <f aca="false">RANK(K17,$K$6:$K$35)</f>
        <v>17</v>
      </c>
      <c r="M17" s="10" t="n">
        <f aca="false">E17-K17</f>
        <v>0.0153995882463036</v>
      </c>
      <c r="N17" s="5" t="str">
        <f aca="false">IF(B17="Expansion",(H17-0.5)*162,"")</f>
        <v/>
      </c>
      <c r="O17" s="19" t="str">
        <f aca="false">IF(B17&lt;&gt;"Expansion","",IF(E17&gt;=0.5,"already erased",IF(H17&gt;0.5,G17/((H17-0.5)*162),"never at post-hole pace")))</f>
        <v/>
      </c>
      <c r="P17" s="26" t="str">
        <f aca="false">IF(B17&lt;&gt;"Expansion","",IF((SUMIFS(Seasons!$E$2:$E$2865,Seasons!$A$2:$A$2865,A17)-SUMIFS(Seasons!$D$2:$D$2865,Seasons!$A$2:$A$2865,A17))&lt;=0,"n/a (all-time .500+)",IF(G17/((SUMIFS(Seasons!$E$2:$E$2865,Seasons!$A$2:$A$2865,A17)-SUMIFS(Seasons!$D$2:$D$2865,Seasons!$A$2:$A$2865,A17))/2)&gt;1,"&gt;100%",G17/((SUMIFS(Seasons!$E$2:$E$2865,Seasons!$A$2:$A$2865,A17)-SUMIFS(Seasons!$D$2:$D$2865,Seasons!$A$2:$A$2865,A17))/2))))</f>
        <v/>
      </c>
    </row>
    <row r="18" customFormat="false" ht="15" hidden="false" customHeight="true" outlineLevel="0" collapsed="false">
      <c r="A18" s="7" t="s">
        <v>67</v>
      </c>
      <c r="B18" s="3" t="str">
        <f aca="false">Franchise_Totals!C14</f>
        <v>Established</v>
      </c>
      <c r="C18" s="3" t="n">
        <f aca="false">_xlfn.MINIFS(Seasons!$B$2:$B$2865,Seasons!$A$2:$A$2865,A18)</f>
        <v>1901</v>
      </c>
      <c r="D18" s="3" t="n">
        <f aca="false">COUNTIFS(Seasons!$A$2:$A$2865,A18)</f>
        <v>125</v>
      </c>
      <c r="E18" s="21" t="n">
        <f aca="false">SUMIFS(Seasons!$D$2:$D$2865,Seasons!$A$2:$A$2865,A18)/(SUMIFS(Seasons!$D$2:$D$2865,Seasons!$A$2:$A$2865,A18)+SUMIFS(Seasons!$E$2:$E$2865,Seasons!$A$2:$A$2865,A18))</f>
        <v>0.503117753156403</v>
      </c>
      <c r="F18" s="21" t="str">
        <f aca="false">IF(B18&lt;&gt;"Expansion","",SUMIFS(Seasons!$D$2:$D$2865,Seasons!$A$2:$A$2865,A18,Seasons!$B$2:$B$2865,"&lt;"&amp;(C18+$E$3))/(SUMIFS(Seasons!$D$2:$D$2865,Seasons!$A$2:$A$2865,A18,Seasons!$B$2:$B$2865,"&lt;"&amp;(C18+$E$3))+SUMIFS(Seasons!$E$2:$E$2865,Seasons!$A$2:$A$2865,A18,Seasons!$B$2:$B$2865,"&lt;"&amp;(C18+$E$3))))</f>
        <v/>
      </c>
      <c r="G18" s="19" t="str">
        <f aca="false">IF(B18&lt;&gt;"Expansion","",(SUMIFS(Seasons!$E$2:$E$2865,Seasons!$A$2:$A$2865,A18,Seasons!$B$2:$B$2865,"&lt;"&amp;(C18+$E$3))-SUMIFS(Seasons!$D$2:$D$2865,Seasons!$A$2:$A$2865,A18,Seasons!$B$2:$B$2865,"&lt;"&amp;(C18+$E$3)))/2)</f>
        <v/>
      </c>
      <c r="H18" s="21" t="str">
        <f aca="false">IF(B18&lt;&gt;"Expansion","",SUMIFS(Seasons!$D$2:$D$2865,Seasons!$A$2:$A$2865,A18,Seasons!$B$2:$B$2865,"&gt;="&amp;(C18+$E$3))/(SUMIFS(Seasons!$D$2:$D$2865,Seasons!$A$2:$A$2865,A18,Seasons!$B$2:$B$2865,"&gt;="&amp;(C18+$E$3))+SUMIFS(Seasons!$E$2:$E$2865,Seasons!$A$2:$A$2865,A18,Seasons!$B$2:$B$2865,"&gt;="&amp;(C18+$E$3))))</f>
        <v/>
      </c>
      <c r="I18" s="21" t="str">
        <f aca="false">IF(B18&lt;&gt;"Expansion","",SUMIFS(Seasons!$D$2:$D$2865,Seasons!$A$2:$A$2865,A18,Seasons!$B$2:$B$2865,"&lt;"&amp;(C18+10))/(SUMIFS(Seasons!$D$2:$D$2865,Seasons!$A$2:$A$2865,A18,Seasons!$B$2:$B$2865,"&lt;"&amp;(C18+10))+SUMIFS(Seasons!$E$2:$E$2865,Seasons!$A$2:$A$2865,A18,Seasons!$B$2:$B$2865,"&lt;"&amp;(C18+10))))</f>
        <v/>
      </c>
      <c r="J18" s="21" t="str">
        <f aca="false">IF(B18&lt;&gt;"Expansion","",SUMIFS(Seasons!$D$2:$D$2865,Seasons!$A$2:$A$2865,A18,Seasons!$B$2:$B$2865,"&gt;="&amp;(C18+10))/(SUMIFS(Seasons!$D$2:$D$2865,Seasons!$A$2:$A$2865,A18,Seasons!$B$2:$B$2865,"&gt;="&amp;(C18+10))+SUMIFS(Seasons!$E$2:$E$2865,Seasons!$A$2:$A$2865,A18,Seasons!$B$2:$B$2865,"&gt;="&amp;(C18+10))))</f>
        <v/>
      </c>
      <c r="K18" s="21" t="n">
        <f aca="false">IF(B18="Expansion",J18,SUMIFS(Seasons!$D$2:$D$2865,Seasons!$A$2:$A$2865,A18,Seasons!$B$2:$B$2865,"&gt;=1961")/(SUMIFS(Seasons!$D$2:$D$2865,Seasons!$A$2:$A$2865,A18,Seasons!$B$2:$B$2865,"&gt;=1961")+SUMIFS(Seasons!$E$2:$E$2865,Seasons!$A$2:$A$2865,A18,Seasons!$B$2:$B$2865,"&gt;=1961")))</f>
        <v>0.492566320085512</v>
      </c>
      <c r="L18" s="3" t="n">
        <f aca="false">RANK(K18,$K$6:$K$35)</f>
        <v>20</v>
      </c>
      <c r="M18" s="10" t="n">
        <f aca="false">E18-K18</f>
        <v>0.0105514330708913</v>
      </c>
      <c r="N18" s="5" t="str">
        <f aca="false">IF(B18="Expansion",(H18-0.5)*162,"")</f>
        <v/>
      </c>
      <c r="O18" s="19" t="str">
        <f aca="false">IF(B18&lt;&gt;"Expansion","",IF(E18&gt;=0.5,"already erased",IF(H18&gt;0.5,G18/((H18-0.5)*162),"never at post-hole pace")))</f>
        <v/>
      </c>
      <c r="P18" s="26" t="str">
        <f aca="false">IF(B18&lt;&gt;"Expansion","",IF((SUMIFS(Seasons!$E$2:$E$2865,Seasons!$A$2:$A$2865,A18)-SUMIFS(Seasons!$D$2:$D$2865,Seasons!$A$2:$A$2865,A18))&lt;=0,"n/a (all-time .500+)",IF(G18/((SUMIFS(Seasons!$E$2:$E$2865,Seasons!$A$2:$A$2865,A18)-SUMIFS(Seasons!$D$2:$D$2865,Seasons!$A$2:$A$2865,A18))/2)&gt;1,"&gt;100%",G18/((SUMIFS(Seasons!$E$2:$E$2865,Seasons!$A$2:$A$2865,A18)-SUMIFS(Seasons!$D$2:$D$2865,Seasons!$A$2:$A$2865,A18))/2))))</f>
        <v/>
      </c>
    </row>
    <row r="19" customFormat="false" ht="15" hidden="false" customHeight="true" outlineLevel="0" collapsed="false">
      <c r="A19" s="7" t="s">
        <v>68</v>
      </c>
      <c r="B19" s="3" t="str">
        <f aca="false">Franchise_Totals!C15</f>
        <v>Established</v>
      </c>
      <c r="C19" s="3" t="n">
        <f aca="false">_xlfn.MINIFS(Seasons!$B$2:$B$2865,Seasons!$A$2:$A$2865,A19)</f>
        <v>1901</v>
      </c>
      <c r="D19" s="3" t="n">
        <f aca="false">COUNTIFS(Seasons!$A$2:$A$2865,A19)</f>
        <v>125</v>
      </c>
      <c r="E19" s="21" t="n">
        <f aca="false">SUMIFS(Seasons!$D$2:$D$2865,Seasons!$A$2:$A$2865,A19)/(SUMIFS(Seasons!$D$2:$D$2865,Seasons!$A$2:$A$2865,A19)+SUMIFS(Seasons!$E$2:$E$2865,Seasons!$A$2:$A$2865,A19))</f>
        <v>0.481471924029728</v>
      </c>
      <c r="F19" s="21" t="str">
        <f aca="false">IF(B19&lt;&gt;"Expansion","",SUMIFS(Seasons!$D$2:$D$2865,Seasons!$A$2:$A$2865,A19,Seasons!$B$2:$B$2865,"&lt;"&amp;(C19+$E$3))/(SUMIFS(Seasons!$D$2:$D$2865,Seasons!$A$2:$A$2865,A19,Seasons!$B$2:$B$2865,"&lt;"&amp;(C19+$E$3))+SUMIFS(Seasons!$E$2:$E$2865,Seasons!$A$2:$A$2865,A19,Seasons!$B$2:$B$2865,"&lt;"&amp;(C19+$E$3))))</f>
        <v/>
      </c>
      <c r="G19" s="19" t="str">
        <f aca="false">IF(B19&lt;&gt;"Expansion","",(SUMIFS(Seasons!$E$2:$E$2865,Seasons!$A$2:$A$2865,A19,Seasons!$B$2:$B$2865,"&lt;"&amp;(C19+$E$3))-SUMIFS(Seasons!$D$2:$D$2865,Seasons!$A$2:$A$2865,A19,Seasons!$B$2:$B$2865,"&lt;"&amp;(C19+$E$3)))/2)</f>
        <v/>
      </c>
      <c r="H19" s="21" t="str">
        <f aca="false">IF(B19&lt;&gt;"Expansion","",SUMIFS(Seasons!$D$2:$D$2865,Seasons!$A$2:$A$2865,A19,Seasons!$B$2:$B$2865,"&gt;="&amp;(C19+$E$3))/(SUMIFS(Seasons!$D$2:$D$2865,Seasons!$A$2:$A$2865,A19,Seasons!$B$2:$B$2865,"&gt;="&amp;(C19+$E$3))+SUMIFS(Seasons!$E$2:$E$2865,Seasons!$A$2:$A$2865,A19,Seasons!$B$2:$B$2865,"&gt;="&amp;(C19+$E$3))))</f>
        <v/>
      </c>
      <c r="I19" s="21" t="str">
        <f aca="false">IF(B19&lt;&gt;"Expansion","",SUMIFS(Seasons!$D$2:$D$2865,Seasons!$A$2:$A$2865,A19,Seasons!$B$2:$B$2865,"&lt;"&amp;(C19+10))/(SUMIFS(Seasons!$D$2:$D$2865,Seasons!$A$2:$A$2865,A19,Seasons!$B$2:$B$2865,"&lt;"&amp;(C19+10))+SUMIFS(Seasons!$E$2:$E$2865,Seasons!$A$2:$A$2865,A19,Seasons!$B$2:$B$2865,"&lt;"&amp;(C19+10))))</f>
        <v/>
      </c>
      <c r="J19" s="21" t="str">
        <f aca="false">IF(B19&lt;&gt;"Expansion","",SUMIFS(Seasons!$D$2:$D$2865,Seasons!$A$2:$A$2865,A19,Seasons!$B$2:$B$2865,"&gt;="&amp;(C19+10))/(SUMIFS(Seasons!$D$2:$D$2865,Seasons!$A$2:$A$2865,A19,Seasons!$B$2:$B$2865,"&gt;="&amp;(C19+10))+SUMIFS(Seasons!$E$2:$E$2865,Seasons!$A$2:$A$2865,A19,Seasons!$B$2:$B$2865,"&gt;="&amp;(C19+10))))</f>
        <v/>
      </c>
      <c r="K19" s="21" t="n">
        <f aca="false">IF(B19="Expansion",J19,SUMIFS(Seasons!$D$2:$D$2865,Seasons!$A$2:$A$2865,A19,Seasons!$B$2:$B$2865,"&gt;=1961")/(SUMIFS(Seasons!$D$2:$D$2865,Seasons!$A$2:$A$2865,A19,Seasons!$B$2:$B$2865,"&gt;=1961")+SUMIFS(Seasons!$E$2:$E$2865,Seasons!$A$2:$A$2865,A19,Seasons!$B$2:$B$2865,"&gt;=1961")))</f>
        <v>0.49625813976091</v>
      </c>
      <c r="L19" s="3" t="n">
        <f aca="false">RANK(K19,$K$6:$K$35)</f>
        <v>18</v>
      </c>
      <c r="M19" s="10" t="n">
        <f aca="false">E19-K19</f>
        <v>-0.0147862157311822</v>
      </c>
      <c r="N19" s="5" t="str">
        <f aca="false">IF(B19="Expansion",(H19-0.5)*162,"")</f>
        <v/>
      </c>
      <c r="O19" s="19" t="str">
        <f aca="false">IF(B19&lt;&gt;"Expansion","",IF(E19&gt;=0.5,"already erased",IF(H19&gt;0.5,G19/((H19-0.5)*162),"never at post-hole pace")))</f>
        <v/>
      </c>
      <c r="P19" s="26" t="str">
        <f aca="false">IF(B19&lt;&gt;"Expansion","",IF((SUMIFS(Seasons!$E$2:$E$2865,Seasons!$A$2:$A$2865,A19)-SUMIFS(Seasons!$D$2:$D$2865,Seasons!$A$2:$A$2865,A19))&lt;=0,"n/a (all-time .500+)",IF(G19/((SUMIFS(Seasons!$E$2:$E$2865,Seasons!$A$2:$A$2865,A19)-SUMIFS(Seasons!$D$2:$D$2865,Seasons!$A$2:$A$2865,A19))/2)&gt;1,"&gt;100%",G19/((SUMIFS(Seasons!$E$2:$E$2865,Seasons!$A$2:$A$2865,A19)-SUMIFS(Seasons!$D$2:$D$2865,Seasons!$A$2:$A$2865,A19))/2))))</f>
        <v/>
      </c>
    </row>
    <row r="20" customFormat="false" ht="15" hidden="false" customHeight="true" outlineLevel="0" collapsed="false">
      <c r="A20" s="7" t="s">
        <v>69</v>
      </c>
      <c r="B20" s="3" t="str">
        <f aca="false">Franchise_Totals!C16</f>
        <v>Established</v>
      </c>
      <c r="C20" s="3" t="n">
        <f aca="false">_xlfn.MINIFS(Seasons!$B$2:$B$2865,Seasons!$A$2:$A$2865,A20)</f>
        <v>1901</v>
      </c>
      <c r="D20" s="3" t="n">
        <f aca="false">COUNTIFS(Seasons!$A$2:$A$2865,A20)</f>
        <v>125</v>
      </c>
      <c r="E20" s="21" t="n">
        <f aca="false">SUMIFS(Seasons!$D$2:$D$2865,Seasons!$A$2:$A$2865,A20)/(SUMIFS(Seasons!$D$2:$D$2865,Seasons!$A$2:$A$2865,A20)+SUMIFS(Seasons!$E$2:$E$2865,Seasons!$A$2:$A$2865,A20))</f>
        <v>0.486046511627907</v>
      </c>
      <c r="F20" s="21" t="str">
        <f aca="false">IF(B20&lt;&gt;"Expansion","",SUMIFS(Seasons!$D$2:$D$2865,Seasons!$A$2:$A$2865,A20,Seasons!$B$2:$B$2865,"&lt;"&amp;(C20+$E$3))/(SUMIFS(Seasons!$D$2:$D$2865,Seasons!$A$2:$A$2865,A20,Seasons!$B$2:$B$2865,"&lt;"&amp;(C20+$E$3))+SUMIFS(Seasons!$E$2:$E$2865,Seasons!$A$2:$A$2865,A20,Seasons!$B$2:$B$2865,"&lt;"&amp;(C20+$E$3))))</f>
        <v/>
      </c>
      <c r="G20" s="19" t="str">
        <f aca="false">IF(B20&lt;&gt;"Expansion","",(SUMIFS(Seasons!$E$2:$E$2865,Seasons!$A$2:$A$2865,A20,Seasons!$B$2:$B$2865,"&lt;"&amp;(C20+$E$3))-SUMIFS(Seasons!$D$2:$D$2865,Seasons!$A$2:$A$2865,A20,Seasons!$B$2:$B$2865,"&lt;"&amp;(C20+$E$3)))/2)</f>
        <v/>
      </c>
      <c r="H20" s="21" t="str">
        <f aca="false">IF(B20&lt;&gt;"Expansion","",SUMIFS(Seasons!$D$2:$D$2865,Seasons!$A$2:$A$2865,A20,Seasons!$B$2:$B$2865,"&gt;="&amp;(C20+$E$3))/(SUMIFS(Seasons!$D$2:$D$2865,Seasons!$A$2:$A$2865,A20,Seasons!$B$2:$B$2865,"&gt;="&amp;(C20+$E$3))+SUMIFS(Seasons!$E$2:$E$2865,Seasons!$A$2:$A$2865,A20,Seasons!$B$2:$B$2865,"&gt;="&amp;(C20+$E$3))))</f>
        <v/>
      </c>
      <c r="I20" s="21" t="str">
        <f aca="false">IF(B20&lt;&gt;"Expansion","",SUMIFS(Seasons!$D$2:$D$2865,Seasons!$A$2:$A$2865,A20,Seasons!$B$2:$B$2865,"&lt;"&amp;(C20+10))/(SUMIFS(Seasons!$D$2:$D$2865,Seasons!$A$2:$A$2865,A20,Seasons!$B$2:$B$2865,"&lt;"&amp;(C20+10))+SUMIFS(Seasons!$E$2:$E$2865,Seasons!$A$2:$A$2865,A20,Seasons!$B$2:$B$2865,"&lt;"&amp;(C20+10))))</f>
        <v/>
      </c>
      <c r="J20" s="21" t="str">
        <f aca="false">IF(B20&lt;&gt;"Expansion","",SUMIFS(Seasons!$D$2:$D$2865,Seasons!$A$2:$A$2865,A20,Seasons!$B$2:$B$2865,"&gt;="&amp;(C20+10))/(SUMIFS(Seasons!$D$2:$D$2865,Seasons!$A$2:$A$2865,A20,Seasons!$B$2:$B$2865,"&gt;="&amp;(C20+10))+SUMIFS(Seasons!$E$2:$E$2865,Seasons!$A$2:$A$2865,A20,Seasons!$B$2:$B$2865,"&gt;="&amp;(C20+10))))</f>
        <v/>
      </c>
      <c r="K20" s="21" t="n">
        <f aca="false">IF(B20="Expansion",J20,SUMIFS(Seasons!$D$2:$D$2865,Seasons!$A$2:$A$2865,A20,Seasons!$B$2:$B$2865,"&gt;=1961")/(SUMIFS(Seasons!$D$2:$D$2865,Seasons!$A$2:$A$2865,A20,Seasons!$B$2:$B$2865,"&gt;=1961")+SUMIFS(Seasons!$E$2:$E$2865,Seasons!$A$2:$A$2865,A20,Seasons!$B$2:$B$2865,"&gt;=1961")))</f>
        <v>0.50014573010784</v>
      </c>
      <c r="L20" s="3" t="n">
        <f aca="false">RANK(K20,$K$6:$K$35)</f>
        <v>13</v>
      </c>
      <c r="M20" s="10" t="n">
        <f aca="false">E20-K20</f>
        <v>-0.0140992184799333</v>
      </c>
      <c r="N20" s="5" t="str">
        <f aca="false">IF(B20="Expansion",(H20-0.5)*162,"")</f>
        <v/>
      </c>
      <c r="O20" s="19" t="str">
        <f aca="false">IF(B20&lt;&gt;"Expansion","",IF(E20&gt;=0.5,"already erased",IF(H20&gt;0.5,G20/((H20-0.5)*162),"never at post-hole pace")))</f>
        <v/>
      </c>
      <c r="P20" s="26" t="str">
        <f aca="false">IF(B20&lt;&gt;"Expansion","",IF((SUMIFS(Seasons!$E$2:$E$2865,Seasons!$A$2:$A$2865,A20)-SUMIFS(Seasons!$D$2:$D$2865,Seasons!$A$2:$A$2865,A20))&lt;=0,"n/a (all-time .500+)",IF(G20/((SUMIFS(Seasons!$E$2:$E$2865,Seasons!$A$2:$A$2865,A20)-SUMIFS(Seasons!$D$2:$D$2865,Seasons!$A$2:$A$2865,A20))/2)&gt;1,"&gt;100%",G20/((SUMIFS(Seasons!$E$2:$E$2865,Seasons!$A$2:$A$2865,A20)-SUMIFS(Seasons!$D$2:$D$2865,Seasons!$A$2:$A$2865,A20))/2))))</f>
        <v/>
      </c>
    </row>
    <row r="21" customFormat="false" ht="15" hidden="false" customHeight="true" outlineLevel="0" collapsed="false">
      <c r="A21" s="7" t="s">
        <v>70</v>
      </c>
      <c r="B21" s="3" t="str">
        <f aca="false">Franchise_Totals!C17</f>
        <v>Established</v>
      </c>
      <c r="C21" s="3" t="n">
        <f aca="false">_xlfn.MINIFS(Seasons!$B$2:$B$2865,Seasons!$A$2:$A$2865,A21)</f>
        <v>1903</v>
      </c>
      <c r="D21" s="3" t="n">
        <f aca="false">COUNTIFS(Seasons!$A$2:$A$2865,A21)</f>
        <v>123</v>
      </c>
      <c r="E21" s="21" t="n">
        <f aca="false">SUMIFS(Seasons!$D$2:$D$2865,Seasons!$A$2:$A$2865,A21)/(SUMIFS(Seasons!$D$2:$D$2865,Seasons!$A$2:$A$2865,A21)+SUMIFS(Seasons!$E$2:$E$2865,Seasons!$A$2:$A$2865,A21))</f>
        <v>0.569572506286672</v>
      </c>
      <c r="F21" s="21" t="str">
        <f aca="false">IF(B21&lt;&gt;"Expansion","",SUMIFS(Seasons!$D$2:$D$2865,Seasons!$A$2:$A$2865,A21,Seasons!$B$2:$B$2865,"&lt;"&amp;(C21+$E$3))/(SUMIFS(Seasons!$D$2:$D$2865,Seasons!$A$2:$A$2865,A21,Seasons!$B$2:$B$2865,"&lt;"&amp;(C21+$E$3))+SUMIFS(Seasons!$E$2:$E$2865,Seasons!$A$2:$A$2865,A21,Seasons!$B$2:$B$2865,"&lt;"&amp;(C21+$E$3))))</f>
        <v/>
      </c>
      <c r="G21" s="19" t="str">
        <f aca="false">IF(B21&lt;&gt;"Expansion","",(SUMIFS(Seasons!$E$2:$E$2865,Seasons!$A$2:$A$2865,A21,Seasons!$B$2:$B$2865,"&lt;"&amp;(C21+$E$3))-SUMIFS(Seasons!$D$2:$D$2865,Seasons!$A$2:$A$2865,A21,Seasons!$B$2:$B$2865,"&lt;"&amp;(C21+$E$3)))/2)</f>
        <v/>
      </c>
      <c r="H21" s="21" t="str">
        <f aca="false">IF(B21&lt;&gt;"Expansion","",SUMIFS(Seasons!$D$2:$D$2865,Seasons!$A$2:$A$2865,A21,Seasons!$B$2:$B$2865,"&gt;="&amp;(C21+$E$3))/(SUMIFS(Seasons!$D$2:$D$2865,Seasons!$A$2:$A$2865,A21,Seasons!$B$2:$B$2865,"&gt;="&amp;(C21+$E$3))+SUMIFS(Seasons!$E$2:$E$2865,Seasons!$A$2:$A$2865,A21,Seasons!$B$2:$B$2865,"&gt;="&amp;(C21+$E$3))))</f>
        <v/>
      </c>
      <c r="I21" s="21" t="str">
        <f aca="false">IF(B21&lt;&gt;"Expansion","",SUMIFS(Seasons!$D$2:$D$2865,Seasons!$A$2:$A$2865,A21,Seasons!$B$2:$B$2865,"&lt;"&amp;(C21+10))/(SUMIFS(Seasons!$D$2:$D$2865,Seasons!$A$2:$A$2865,A21,Seasons!$B$2:$B$2865,"&lt;"&amp;(C21+10))+SUMIFS(Seasons!$E$2:$E$2865,Seasons!$A$2:$A$2865,A21,Seasons!$B$2:$B$2865,"&lt;"&amp;(C21+10))))</f>
        <v/>
      </c>
      <c r="J21" s="21" t="str">
        <f aca="false">IF(B21&lt;&gt;"Expansion","",SUMIFS(Seasons!$D$2:$D$2865,Seasons!$A$2:$A$2865,A21,Seasons!$B$2:$B$2865,"&gt;="&amp;(C21+10))/(SUMIFS(Seasons!$D$2:$D$2865,Seasons!$A$2:$A$2865,A21,Seasons!$B$2:$B$2865,"&gt;="&amp;(C21+10))+SUMIFS(Seasons!$E$2:$E$2865,Seasons!$A$2:$A$2865,A21,Seasons!$B$2:$B$2865,"&gt;="&amp;(C21+10))))</f>
        <v/>
      </c>
      <c r="K21" s="21" t="n">
        <f aca="false">IF(B21="Expansion",J21,SUMIFS(Seasons!$D$2:$D$2865,Seasons!$A$2:$A$2865,A21,Seasons!$B$2:$B$2865,"&gt;=1961")/(SUMIFS(Seasons!$D$2:$D$2865,Seasons!$A$2:$A$2865,A21,Seasons!$B$2:$B$2865,"&gt;=1961")+SUMIFS(Seasons!$E$2:$E$2865,Seasons!$A$2:$A$2865,A21,Seasons!$B$2:$B$2865,"&gt;=1961")))</f>
        <v>0.560937651979379</v>
      </c>
      <c r="L21" s="3" t="n">
        <f aca="false">RANK(K21,$K$6:$K$35)</f>
        <v>1</v>
      </c>
      <c r="M21" s="10" t="n">
        <f aca="false">E21-K21</f>
        <v>0.00863485430729283</v>
      </c>
      <c r="N21" s="5" t="str">
        <f aca="false">IF(B21="Expansion",(H21-0.5)*162,"")</f>
        <v/>
      </c>
      <c r="O21" s="19" t="str">
        <f aca="false">IF(B21&lt;&gt;"Expansion","",IF(E21&gt;=0.5,"already erased",IF(H21&gt;0.5,G21/((H21-0.5)*162),"never at post-hole pace")))</f>
        <v/>
      </c>
      <c r="P21" s="26" t="str">
        <f aca="false">IF(B21&lt;&gt;"Expansion","",IF((SUMIFS(Seasons!$E$2:$E$2865,Seasons!$A$2:$A$2865,A21)-SUMIFS(Seasons!$D$2:$D$2865,Seasons!$A$2:$A$2865,A21))&lt;=0,"n/a (all-time .500+)",IF(G21/((SUMIFS(Seasons!$E$2:$E$2865,Seasons!$A$2:$A$2865,A21)-SUMIFS(Seasons!$D$2:$D$2865,Seasons!$A$2:$A$2865,A21))/2)&gt;1,"&gt;100%",G21/((SUMIFS(Seasons!$E$2:$E$2865,Seasons!$A$2:$A$2865,A21)-SUMIFS(Seasons!$D$2:$D$2865,Seasons!$A$2:$A$2865,A21))/2))))</f>
        <v/>
      </c>
    </row>
    <row r="22" customFormat="false" ht="15" hidden="false" customHeight="true" outlineLevel="0" collapsed="false">
      <c r="A22" s="7" t="s">
        <v>71</v>
      </c>
      <c r="B22" s="3" t="str">
        <f aca="false">Franchise_Totals!C18</f>
        <v>Expansion</v>
      </c>
      <c r="C22" s="3" t="n">
        <f aca="false">_xlfn.MINIFS(Seasons!$B$2:$B$2865,Seasons!$A$2:$A$2865,A22)</f>
        <v>1961</v>
      </c>
      <c r="D22" s="3" t="n">
        <f aca="false">COUNTIFS(Seasons!$A$2:$A$2865,A22)</f>
        <v>65</v>
      </c>
      <c r="E22" s="21" t="n">
        <f aca="false">SUMIFS(Seasons!$D$2:$D$2865,Seasons!$A$2:$A$2865,A22)/(SUMIFS(Seasons!$D$2:$D$2865,Seasons!$A$2:$A$2865,A22)+SUMIFS(Seasons!$E$2:$E$2865,Seasons!$A$2:$A$2865,A22))</f>
        <v>0.494562050883667</v>
      </c>
      <c r="F22" s="21" t="n">
        <f aca="false">IF(B22&lt;&gt;"Expansion","",SUMIFS(Seasons!$D$2:$D$2865,Seasons!$A$2:$A$2865,A22,Seasons!$B$2:$B$2865,"&lt;"&amp;(C22+$E$3))/(SUMIFS(Seasons!$D$2:$D$2865,Seasons!$A$2:$A$2865,A22,Seasons!$B$2:$B$2865,"&lt;"&amp;(C22+$E$3))+SUMIFS(Seasons!$E$2:$E$2865,Seasons!$A$2:$A$2865,A22,Seasons!$B$2:$B$2865,"&lt;"&amp;(C22+$E$3))))</f>
        <v>0.474009900990099</v>
      </c>
      <c r="G22" s="19" t="n">
        <f aca="false">IF(B22&lt;&gt;"Expansion","",(SUMIFS(Seasons!$E$2:$E$2865,Seasons!$A$2:$A$2865,A22,Seasons!$B$2:$B$2865,"&lt;"&amp;(C22+$E$3))-SUMIFS(Seasons!$D$2:$D$2865,Seasons!$A$2:$A$2865,A22,Seasons!$B$2:$B$2865,"&lt;"&amp;(C22+$E$3)))/2)</f>
        <v>21</v>
      </c>
      <c r="H22" s="21" t="n">
        <f aca="false">IF(B22&lt;&gt;"Expansion","",SUMIFS(Seasons!$D$2:$D$2865,Seasons!$A$2:$A$2865,A22,Seasons!$B$2:$B$2865,"&gt;="&amp;(C22+$E$3))/(SUMIFS(Seasons!$D$2:$D$2865,Seasons!$A$2:$A$2865,A22,Seasons!$B$2:$B$2865,"&gt;="&amp;(C22+$E$3))+SUMIFS(Seasons!$E$2:$E$2865,Seasons!$A$2:$A$2865,A22,Seasons!$B$2:$B$2865,"&gt;="&amp;(C22+$E$3))))</f>
        <v>0.496311907270811</v>
      </c>
      <c r="I22" s="21" t="n">
        <f aca="false">IF(B22&lt;&gt;"Expansion","",SUMIFS(Seasons!$D$2:$D$2865,Seasons!$A$2:$A$2865,A22,Seasons!$B$2:$B$2865,"&lt;"&amp;(C22+10))/(SUMIFS(Seasons!$D$2:$D$2865,Seasons!$A$2:$A$2865,A22,Seasons!$B$2:$B$2865,"&lt;"&amp;(C22+10))+SUMIFS(Seasons!$E$2:$E$2865,Seasons!$A$2:$A$2865,A22,Seasons!$B$2:$B$2865,"&lt;"&amp;(C22+10))))</f>
        <v>0.476808905380334</v>
      </c>
      <c r="J22" s="21" t="n">
        <f aca="false">IF(B22&lt;&gt;"Expansion","",SUMIFS(Seasons!$D$2:$D$2865,Seasons!$A$2:$A$2865,A22,Seasons!$B$2:$B$2865,"&gt;="&amp;(C22+10))/(SUMIFS(Seasons!$D$2:$D$2865,Seasons!$A$2:$A$2865,A22,Seasons!$B$2:$B$2865,"&gt;="&amp;(C22+10))+SUMIFS(Seasons!$E$2:$E$2865,Seasons!$A$2:$A$2865,A22,Seasons!$B$2:$B$2865,"&gt;="&amp;(C22+10))))</f>
        <v>0.497868909111854</v>
      </c>
      <c r="K22" s="21" t="n">
        <f aca="false">IF(B22="Expansion",J22,SUMIFS(Seasons!$D$2:$D$2865,Seasons!$A$2:$A$2865,A22,Seasons!$B$2:$B$2865,"&gt;=1961")/(SUMIFS(Seasons!$D$2:$D$2865,Seasons!$A$2:$A$2865,A22,Seasons!$B$2:$B$2865,"&gt;=1961")+SUMIFS(Seasons!$E$2:$E$2865,Seasons!$A$2:$A$2865,A22,Seasons!$B$2:$B$2865,"&gt;=1961")))</f>
        <v>0.497868909111854</v>
      </c>
      <c r="L22" s="3" t="n">
        <f aca="false">RANK(K22,$K$6:$K$35)</f>
        <v>16</v>
      </c>
      <c r="M22" s="10" t="n">
        <f aca="false">E22-K22</f>
        <v>-0.00330685822818677</v>
      </c>
      <c r="N22" s="5" t="n">
        <f aca="false">IF(B22="Expansion",(H22-0.5)*162,"")</f>
        <v>-0.597471022128558</v>
      </c>
      <c r="O22" s="19" t="str">
        <f aca="false">IF(B22&lt;&gt;"Expansion","",IF(E22&gt;=0.5,"already erased",IF(H22&gt;0.5,G22/((H22-0.5)*162),"never at post-hole pace")))</f>
        <v>never at post-hole pace</v>
      </c>
      <c r="P22" s="26" t="n">
        <f aca="false">IF(B22&lt;&gt;"Expansion","",IF((SUMIFS(Seasons!$E$2:$E$2865,Seasons!$A$2:$A$2865,A22)-SUMIFS(Seasons!$D$2:$D$2865,Seasons!$A$2:$A$2865,A22))&lt;=0,"n/a (all-time .500+)",IF(G22/((SUMIFS(Seasons!$E$2:$E$2865,Seasons!$A$2:$A$2865,A22)-SUMIFS(Seasons!$D$2:$D$2865,Seasons!$A$2:$A$2865,A22))/2)&gt;1,"&gt;100%",G22/((SUMIFS(Seasons!$E$2:$E$2865,Seasons!$A$2:$A$2865,A22)-SUMIFS(Seasons!$D$2:$D$2865,Seasons!$A$2:$A$2865,A22))/2))))</f>
        <v>0.375</v>
      </c>
    </row>
    <row r="23" customFormat="false" ht="15" hidden="false" customHeight="true" outlineLevel="0" collapsed="false">
      <c r="A23" s="7" t="s">
        <v>73</v>
      </c>
      <c r="B23" s="3" t="str">
        <f aca="false">Franchise_Totals!C19</f>
        <v>Expansion</v>
      </c>
      <c r="C23" s="3" t="n">
        <f aca="false">_xlfn.MINIFS(Seasons!$B$2:$B$2865,Seasons!$A$2:$A$2865,A23)</f>
        <v>1961</v>
      </c>
      <c r="D23" s="3" t="n">
        <f aca="false">COUNTIFS(Seasons!$A$2:$A$2865,A23)</f>
        <v>65</v>
      </c>
      <c r="E23" s="21" t="n">
        <f aca="false">SUMIFS(Seasons!$D$2:$D$2865,Seasons!$A$2:$A$2865,A23)/(SUMIFS(Seasons!$D$2:$D$2865,Seasons!$A$2:$A$2865,A23)+SUMIFS(Seasons!$E$2:$E$2865,Seasons!$A$2:$A$2865,A23))</f>
        <v>0.476463723011087</v>
      </c>
      <c r="F23" s="21" t="n">
        <f aca="false">IF(B23&lt;&gt;"Expansion","",SUMIFS(Seasons!$D$2:$D$2865,Seasons!$A$2:$A$2865,A23,Seasons!$B$2:$B$2865,"&lt;"&amp;(C23+$E$3))/(SUMIFS(Seasons!$D$2:$D$2865,Seasons!$A$2:$A$2865,A23,Seasons!$B$2:$B$2865,"&lt;"&amp;(C23+$E$3))+SUMIFS(Seasons!$E$2:$E$2865,Seasons!$A$2:$A$2865,A23,Seasons!$B$2:$B$2865,"&lt;"&amp;(C23+$E$3))))</f>
        <v>0.382425742574257</v>
      </c>
      <c r="G23" s="19" t="n">
        <f aca="false">IF(B23&lt;&gt;"Expansion","",(SUMIFS(Seasons!$E$2:$E$2865,Seasons!$A$2:$A$2865,A23,Seasons!$B$2:$B$2865,"&lt;"&amp;(C23+$E$3))-SUMIFS(Seasons!$D$2:$D$2865,Seasons!$A$2:$A$2865,A23,Seasons!$B$2:$B$2865,"&lt;"&amp;(C23+$E$3)))/2)</f>
        <v>95</v>
      </c>
      <c r="H23" s="21" t="n">
        <f aca="false">IF(B23&lt;&gt;"Expansion","",SUMIFS(Seasons!$D$2:$D$2865,Seasons!$A$2:$A$2865,A23,Seasons!$B$2:$B$2865,"&gt;="&amp;(C23+$E$3))/(SUMIFS(Seasons!$D$2:$D$2865,Seasons!$A$2:$A$2865,A23,Seasons!$B$2:$B$2865,"&gt;="&amp;(C23+$E$3))+SUMIFS(Seasons!$E$2:$E$2865,Seasons!$A$2:$A$2865,A23,Seasons!$B$2:$B$2865,"&gt;="&amp;(C23+$E$3))))</f>
        <v>0.484483850538315</v>
      </c>
      <c r="I23" s="21" t="n">
        <f aca="false">IF(B23&lt;&gt;"Expansion","",SUMIFS(Seasons!$D$2:$D$2865,Seasons!$A$2:$A$2865,A23,Seasons!$B$2:$B$2865,"&lt;"&amp;(C23+10))/(SUMIFS(Seasons!$D$2:$D$2865,Seasons!$A$2:$A$2865,A23,Seasons!$B$2:$B$2865,"&lt;"&amp;(C23+10))+SUMIFS(Seasons!$E$2:$E$2865,Seasons!$A$2:$A$2865,A23,Seasons!$B$2:$B$2865,"&lt;"&amp;(C23+10))))</f>
        <v>0.419714817110973</v>
      </c>
      <c r="J23" s="21" t="n">
        <f aca="false">IF(B23&lt;&gt;"Expansion","",SUMIFS(Seasons!$D$2:$D$2865,Seasons!$A$2:$A$2865,A23,Seasons!$B$2:$B$2865,"&gt;="&amp;(C23+10))/(SUMIFS(Seasons!$D$2:$D$2865,Seasons!$A$2:$A$2865,A23,Seasons!$B$2:$B$2865,"&gt;="&amp;(C23+10))+SUMIFS(Seasons!$E$2:$E$2865,Seasons!$A$2:$A$2865,A23,Seasons!$B$2:$B$2865,"&gt;="&amp;(C23+10))))</f>
        <v>0.487022724651056</v>
      </c>
      <c r="K23" s="21" t="n">
        <f aca="false">IF(B23="Expansion",J23,SUMIFS(Seasons!$D$2:$D$2865,Seasons!$A$2:$A$2865,A23,Seasons!$B$2:$B$2865,"&gt;=1961")/(SUMIFS(Seasons!$D$2:$D$2865,Seasons!$A$2:$A$2865,A23,Seasons!$B$2:$B$2865,"&gt;=1961")+SUMIFS(Seasons!$E$2:$E$2865,Seasons!$A$2:$A$2865,A23,Seasons!$B$2:$B$2865,"&gt;=1961")))</f>
        <v>0.487022724651056</v>
      </c>
      <c r="L23" s="3" t="n">
        <f aca="false">RANK(K23,$K$6:$K$35)</f>
        <v>24</v>
      </c>
      <c r="M23" s="10" t="n">
        <f aca="false">E23-K23</f>
        <v>-0.0105590016399681</v>
      </c>
      <c r="N23" s="5" t="n">
        <f aca="false">IF(B23="Expansion",(H23-0.5)*162,"")</f>
        <v>-2.51361621279291</v>
      </c>
      <c r="O23" s="19" t="str">
        <f aca="false">IF(B23&lt;&gt;"Expansion","",IF(E23&gt;=0.5,"already erased",IF(H23&gt;0.5,G23/((H23-0.5)*162),"never at post-hole pace")))</f>
        <v>never at post-hole pace</v>
      </c>
      <c r="P23" s="26" t="n">
        <f aca="false">IF(B23&lt;&gt;"Expansion","",IF((SUMIFS(Seasons!$E$2:$E$2865,Seasons!$A$2:$A$2865,A23)-SUMIFS(Seasons!$D$2:$D$2865,Seasons!$A$2:$A$2865,A23))&lt;=0,"n/a (all-time .500+)",IF(G23/((SUMIFS(Seasons!$E$2:$E$2865,Seasons!$A$2:$A$2865,A23)-SUMIFS(Seasons!$D$2:$D$2865,Seasons!$A$2:$A$2865,A23))/2)&gt;1,"&gt;100%",G23/((SUMIFS(Seasons!$E$2:$E$2865,Seasons!$A$2:$A$2865,A23)-SUMIFS(Seasons!$D$2:$D$2865,Seasons!$A$2:$A$2865,A23))/2))))</f>
        <v>0.392561983471074</v>
      </c>
    </row>
    <row r="24" customFormat="false" ht="15" hidden="false" customHeight="true" outlineLevel="0" collapsed="false">
      <c r="A24" s="7" t="s">
        <v>74</v>
      </c>
      <c r="B24" s="3" t="str">
        <f aca="false">Franchise_Totals!C20</f>
        <v>Expansion</v>
      </c>
      <c r="C24" s="3" t="n">
        <f aca="false">_xlfn.MINIFS(Seasons!$B$2:$B$2865,Seasons!$A$2:$A$2865,A24)</f>
        <v>1962</v>
      </c>
      <c r="D24" s="3" t="n">
        <f aca="false">COUNTIFS(Seasons!$A$2:$A$2865,A24)</f>
        <v>64</v>
      </c>
      <c r="E24" s="21" t="n">
        <f aca="false">SUMIFS(Seasons!$D$2:$D$2865,Seasons!$A$2:$A$2865,A24)/(SUMIFS(Seasons!$D$2:$D$2865,Seasons!$A$2:$A$2865,A24)+SUMIFS(Seasons!$E$2:$E$2865,Seasons!$A$2:$A$2865,A24))</f>
        <v>0.502762430939227</v>
      </c>
      <c r="F24" s="21" t="n">
        <f aca="false">IF(B24&lt;&gt;"Expansion","",SUMIFS(Seasons!$D$2:$D$2865,Seasons!$A$2:$A$2865,A24,Seasons!$B$2:$B$2865,"&lt;"&amp;(C24+$E$3))/(SUMIFS(Seasons!$D$2:$D$2865,Seasons!$A$2:$A$2865,A24,Seasons!$B$2:$B$2865,"&lt;"&amp;(C24+$E$3))+SUMIFS(Seasons!$E$2:$E$2865,Seasons!$A$2:$A$2865,A24,Seasons!$B$2:$B$2865,"&lt;"&amp;(C24+$E$3))))</f>
        <v>0.412128712871287</v>
      </c>
      <c r="G24" s="19" t="n">
        <f aca="false">IF(B24&lt;&gt;"Expansion","",(SUMIFS(Seasons!$E$2:$E$2865,Seasons!$A$2:$A$2865,A24,Seasons!$B$2:$B$2865,"&lt;"&amp;(C24+$E$3))-SUMIFS(Seasons!$D$2:$D$2865,Seasons!$A$2:$A$2865,A24,Seasons!$B$2:$B$2865,"&lt;"&amp;(C24+$E$3)))/2)</f>
        <v>71</v>
      </c>
      <c r="H24" s="21" t="n">
        <f aca="false">IF(B24&lt;&gt;"Expansion","",SUMIFS(Seasons!$D$2:$D$2865,Seasons!$A$2:$A$2865,A24,Seasons!$B$2:$B$2865,"&gt;="&amp;(C24+$E$3))/(SUMIFS(Seasons!$D$2:$D$2865,Seasons!$A$2:$A$2865,A24,Seasons!$B$2:$B$2865,"&gt;="&amp;(C24+$E$3))+SUMIFS(Seasons!$E$2:$E$2865,Seasons!$A$2:$A$2865,A24,Seasons!$B$2:$B$2865,"&gt;="&amp;(C24+$E$3))))</f>
        <v>0.51061320754717</v>
      </c>
      <c r="I24" s="21" t="n">
        <f aca="false">IF(B24&lt;&gt;"Expansion","",SUMIFS(Seasons!$D$2:$D$2865,Seasons!$A$2:$A$2865,A24,Seasons!$B$2:$B$2865,"&lt;"&amp;(C24+10))/(SUMIFS(Seasons!$D$2:$D$2865,Seasons!$A$2:$A$2865,A24,Seasons!$B$2:$B$2865,"&lt;"&amp;(C24+10))+SUMIFS(Seasons!$E$2:$E$2865,Seasons!$A$2:$A$2865,A24,Seasons!$B$2:$B$2865,"&lt;"&amp;(C24+10))))</f>
        <v>0.440667490729295</v>
      </c>
      <c r="J24" s="21" t="n">
        <f aca="false">IF(B24&lt;&gt;"Expansion","",SUMIFS(Seasons!$D$2:$D$2865,Seasons!$A$2:$A$2865,A24,Seasons!$B$2:$B$2865,"&gt;="&amp;(C24+10))/(SUMIFS(Seasons!$D$2:$D$2865,Seasons!$A$2:$A$2865,A24,Seasons!$B$2:$B$2865,"&gt;="&amp;(C24+10))+SUMIFS(Seasons!$E$2:$E$2865,Seasons!$A$2:$A$2865,A24,Seasons!$B$2:$B$2865,"&gt;="&amp;(C24+10))))</f>
        <v>0.514557407842217</v>
      </c>
      <c r="K24" s="21" t="n">
        <f aca="false">IF(B24="Expansion",J24,SUMIFS(Seasons!$D$2:$D$2865,Seasons!$A$2:$A$2865,A24,Seasons!$B$2:$B$2865,"&gt;=1961")/(SUMIFS(Seasons!$D$2:$D$2865,Seasons!$A$2:$A$2865,A24,Seasons!$B$2:$B$2865,"&gt;=1961")+SUMIFS(Seasons!$E$2:$E$2865,Seasons!$A$2:$A$2865,A24,Seasons!$B$2:$B$2865,"&gt;=1961")))</f>
        <v>0.514557407842217</v>
      </c>
      <c r="L24" s="3" t="n">
        <f aca="false">RANK(K24,$K$6:$K$35)</f>
        <v>8</v>
      </c>
      <c r="M24" s="10" t="n">
        <f aca="false">E24-K24</f>
        <v>-0.0117949769029899</v>
      </c>
      <c r="N24" s="5" t="n">
        <f aca="false">IF(B24="Expansion",(H24-0.5)*162,"")</f>
        <v>1.7193396226415</v>
      </c>
      <c r="O24" s="19" t="str">
        <f aca="false">IF(B24&lt;&gt;"Expansion","",IF(E24&gt;=0.5,"already erased",IF(H24&gt;0.5,G24/((H24-0.5)*162),"never at post-hole pace")))</f>
        <v>already erased</v>
      </c>
      <c r="P24" s="26" t="str">
        <f aca="false">IF(B24&lt;&gt;"Expansion","",IF((SUMIFS(Seasons!$E$2:$E$2865,Seasons!$A$2:$A$2865,A24)-SUMIFS(Seasons!$D$2:$D$2865,Seasons!$A$2:$A$2865,A24))&lt;=0,"n/a (all-time .500+)",IF(G24/((SUMIFS(Seasons!$E$2:$E$2865,Seasons!$A$2:$A$2865,A24)-SUMIFS(Seasons!$D$2:$D$2865,Seasons!$A$2:$A$2865,A24))/2)&gt;1,"&gt;100%",G24/((SUMIFS(Seasons!$E$2:$E$2865,Seasons!$A$2:$A$2865,A24)-SUMIFS(Seasons!$D$2:$D$2865,Seasons!$A$2:$A$2865,A24))/2))))</f>
        <v>n/a (all-time .500+)</v>
      </c>
    </row>
    <row r="25" customFormat="false" ht="15" hidden="false" customHeight="true" outlineLevel="0" collapsed="false">
      <c r="A25" s="7" t="s">
        <v>75</v>
      </c>
      <c r="B25" s="3" t="str">
        <f aca="false">Franchise_Totals!C21</f>
        <v>Expansion</v>
      </c>
      <c r="C25" s="3" t="n">
        <f aca="false">_xlfn.MINIFS(Seasons!$B$2:$B$2865,Seasons!$A$2:$A$2865,A25)</f>
        <v>1962</v>
      </c>
      <c r="D25" s="3" t="n">
        <f aca="false">COUNTIFS(Seasons!$A$2:$A$2865,A25)</f>
        <v>64</v>
      </c>
      <c r="E25" s="21" t="n">
        <f aca="false">SUMIFS(Seasons!$D$2:$D$2865,Seasons!$A$2:$A$2865,A25)/(SUMIFS(Seasons!$D$2:$D$2865,Seasons!$A$2:$A$2865,A25)+SUMIFS(Seasons!$E$2:$E$2865,Seasons!$A$2:$A$2865,A25))</f>
        <v>0.483804068733952</v>
      </c>
      <c r="F25" s="21" t="n">
        <f aca="false">IF(B25&lt;&gt;"Expansion","",SUMIFS(Seasons!$D$2:$D$2865,Seasons!$A$2:$A$2865,A25,Seasons!$B$2:$B$2865,"&lt;"&amp;(C25+$E$3))/(SUMIFS(Seasons!$D$2:$D$2865,Seasons!$A$2:$A$2865,A25,Seasons!$B$2:$B$2865,"&lt;"&amp;(C25+$E$3))+SUMIFS(Seasons!$E$2:$E$2865,Seasons!$A$2:$A$2865,A25,Seasons!$B$2:$B$2865,"&lt;"&amp;(C25+$E$3))))</f>
        <v>0.322180916976456</v>
      </c>
      <c r="G25" s="19" t="n">
        <f aca="false">IF(B25&lt;&gt;"Expansion","",(SUMIFS(Seasons!$E$2:$E$2865,Seasons!$A$2:$A$2865,A25,Seasons!$B$2:$B$2865,"&lt;"&amp;(C25+$E$3))-SUMIFS(Seasons!$D$2:$D$2865,Seasons!$A$2:$A$2865,A25,Seasons!$B$2:$B$2865,"&lt;"&amp;(C25+$E$3)))/2)</f>
        <v>143.5</v>
      </c>
      <c r="H25" s="21" t="n">
        <f aca="false">IF(B25&lt;&gt;"Expansion","",SUMIFS(Seasons!$D$2:$D$2865,Seasons!$A$2:$A$2865,A25,Seasons!$B$2:$B$2865,"&gt;="&amp;(C25+$E$3))/(SUMIFS(Seasons!$D$2:$D$2865,Seasons!$A$2:$A$2865,A25,Seasons!$B$2:$B$2865,"&gt;="&amp;(C25+$E$3))+SUMIFS(Seasons!$E$2:$E$2865,Seasons!$A$2:$A$2865,A25,Seasons!$B$2:$B$2865,"&gt;="&amp;(C25+$E$3))))</f>
        <v>0.497800193153772</v>
      </c>
      <c r="I25" s="21" t="n">
        <f aca="false">IF(B25&lt;&gt;"Expansion","",SUMIFS(Seasons!$D$2:$D$2865,Seasons!$A$2:$A$2865,A25,Seasons!$B$2:$B$2865,"&lt;"&amp;(C25+10))/(SUMIFS(Seasons!$D$2:$D$2865,Seasons!$A$2:$A$2865,A25,Seasons!$B$2:$B$2865,"&lt;"&amp;(C25+10))+SUMIFS(Seasons!$E$2:$E$2865,Seasons!$A$2:$A$2865,A25,Seasons!$B$2:$B$2865,"&lt;"&amp;(C25+10))))</f>
        <v>0.408163265306122</v>
      </c>
      <c r="J25" s="21" t="n">
        <f aca="false">IF(B25&lt;&gt;"Expansion","",SUMIFS(Seasons!$D$2:$D$2865,Seasons!$A$2:$A$2865,A25,Seasons!$B$2:$B$2865,"&gt;="&amp;(C25+10))/(SUMIFS(Seasons!$D$2:$D$2865,Seasons!$A$2:$A$2865,A25,Seasons!$B$2:$B$2865,"&gt;="&amp;(C25+10))+SUMIFS(Seasons!$E$2:$E$2865,Seasons!$A$2:$A$2865,A25,Seasons!$B$2:$B$2865,"&gt;="&amp;(C25+10))))</f>
        <v>0.498178399341873</v>
      </c>
      <c r="K25" s="21" t="n">
        <f aca="false">IF(B25="Expansion",J25,SUMIFS(Seasons!$D$2:$D$2865,Seasons!$A$2:$A$2865,A25,Seasons!$B$2:$B$2865,"&gt;=1961")/(SUMIFS(Seasons!$D$2:$D$2865,Seasons!$A$2:$A$2865,A25,Seasons!$B$2:$B$2865,"&gt;=1961")+SUMIFS(Seasons!$E$2:$E$2865,Seasons!$A$2:$A$2865,A25,Seasons!$B$2:$B$2865,"&gt;=1961")))</f>
        <v>0.498178399341873</v>
      </c>
      <c r="L25" s="3" t="n">
        <f aca="false">RANK(K25,$K$6:$K$35)</f>
        <v>15</v>
      </c>
      <c r="M25" s="10" t="n">
        <f aca="false">E25-K25</f>
        <v>-0.0143743306079211</v>
      </c>
      <c r="N25" s="5" t="n">
        <f aca="false">IF(B25="Expansion",(H25-0.5)*162,"")</f>
        <v>-0.356368709088954</v>
      </c>
      <c r="O25" s="19" t="str">
        <f aca="false">IF(B25&lt;&gt;"Expansion","",IF(E25&gt;=0.5,"already erased",IF(H25&gt;0.5,G25/((H25-0.5)*162),"never at post-hole pace")))</f>
        <v>never at post-hole pace</v>
      </c>
      <c r="P25" s="26" t="n">
        <f aca="false">IF(B25&lt;&gt;"Expansion","",IF((SUMIFS(Seasons!$E$2:$E$2865,Seasons!$A$2:$A$2865,A25)-SUMIFS(Seasons!$D$2:$D$2865,Seasons!$A$2:$A$2865,A25))&lt;=0,"n/a (all-time .500+)",IF(G25/((SUMIFS(Seasons!$E$2:$E$2865,Seasons!$A$2:$A$2865,A25)-SUMIFS(Seasons!$D$2:$D$2865,Seasons!$A$2:$A$2865,A25))/2)&gt;1,"&gt;100%",G25/((SUMIFS(Seasons!$E$2:$E$2865,Seasons!$A$2:$A$2865,A25)-SUMIFS(Seasons!$D$2:$D$2865,Seasons!$A$2:$A$2865,A25))/2))))</f>
        <v>0.875</v>
      </c>
    </row>
    <row r="26" customFormat="false" ht="15" hidden="false" customHeight="true" outlineLevel="0" collapsed="false">
      <c r="A26" s="7" t="s">
        <v>76</v>
      </c>
      <c r="B26" s="3" t="str">
        <f aca="false">Franchise_Totals!C22</f>
        <v>Expansion</v>
      </c>
      <c r="C26" s="3" t="n">
        <f aca="false">_xlfn.MINIFS(Seasons!$B$2:$B$2865,Seasons!$A$2:$A$2865,A26)</f>
        <v>1969</v>
      </c>
      <c r="D26" s="3" t="n">
        <f aca="false">COUNTIFS(Seasons!$A$2:$A$2865,A26)</f>
        <v>57</v>
      </c>
      <c r="E26" s="21" t="n">
        <f aca="false">SUMIFS(Seasons!$D$2:$D$2865,Seasons!$A$2:$A$2865,A26)/(SUMIFS(Seasons!$D$2:$D$2865,Seasons!$A$2:$A$2865,A26)+SUMIFS(Seasons!$E$2:$E$2865,Seasons!$A$2:$A$2865,A26))</f>
        <v>0.477037695985767</v>
      </c>
      <c r="F26" s="21" t="n">
        <f aca="false">IF(B26&lt;&gt;"Expansion","",SUMIFS(Seasons!$D$2:$D$2865,Seasons!$A$2:$A$2865,A26,Seasons!$B$2:$B$2865,"&lt;"&amp;(C26+$E$3))/(SUMIFS(Seasons!$D$2:$D$2865,Seasons!$A$2:$A$2865,A26,Seasons!$B$2:$B$2865,"&lt;"&amp;(C26+$E$3))+SUMIFS(Seasons!$E$2:$E$2865,Seasons!$A$2:$A$2865,A26,Seasons!$B$2:$B$2865,"&lt;"&amp;(C26+$E$3))))</f>
        <v>0.478152309612984</v>
      </c>
      <c r="G26" s="19" t="n">
        <f aca="false">IF(B26&lt;&gt;"Expansion","",(SUMIFS(Seasons!$E$2:$E$2865,Seasons!$A$2:$A$2865,A26,Seasons!$B$2:$B$2865,"&lt;"&amp;(C26+$E$3))-SUMIFS(Seasons!$D$2:$D$2865,Seasons!$A$2:$A$2865,A26,Seasons!$B$2:$B$2865,"&lt;"&amp;(C26+$E$3)))/2)</f>
        <v>17.5</v>
      </c>
      <c r="H26" s="21" t="n">
        <f aca="false">IF(B26&lt;&gt;"Expansion","",SUMIFS(Seasons!$D$2:$D$2865,Seasons!$A$2:$A$2865,A26,Seasons!$B$2:$B$2865,"&gt;="&amp;(C26+$E$3))/(SUMIFS(Seasons!$D$2:$D$2865,Seasons!$A$2:$A$2865,A26,Seasons!$B$2:$B$2865,"&gt;="&amp;(C26+$E$3))+SUMIFS(Seasons!$E$2:$E$2865,Seasons!$A$2:$A$2865,A26,Seasons!$B$2:$B$2865,"&gt;="&amp;(C26+$E$3))))</f>
        <v>0.4769287109375</v>
      </c>
      <c r="I26" s="21" t="n">
        <f aca="false">IF(B26&lt;&gt;"Expansion","",SUMIFS(Seasons!$D$2:$D$2865,Seasons!$A$2:$A$2865,A26,Seasons!$B$2:$B$2865,"&lt;"&amp;(C26+10))/(SUMIFS(Seasons!$D$2:$D$2865,Seasons!$A$2:$A$2865,A26,Seasons!$B$2:$B$2865,"&lt;"&amp;(C26+10))+SUMIFS(Seasons!$E$2:$E$2865,Seasons!$A$2:$A$2865,A26,Seasons!$B$2:$B$2865,"&lt;"&amp;(C26+10))))</f>
        <v>0.518311607697083</v>
      </c>
      <c r="J26" s="21" t="n">
        <f aca="false">IF(B26&lt;&gt;"Expansion","",SUMIFS(Seasons!$D$2:$D$2865,Seasons!$A$2:$A$2865,A26,Seasons!$B$2:$B$2865,"&gt;="&amp;(C26+10))/(SUMIFS(Seasons!$D$2:$D$2865,Seasons!$A$2:$A$2865,A26,Seasons!$B$2:$B$2865,"&gt;="&amp;(C26+10))+SUMIFS(Seasons!$E$2:$E$2865,Seasons!$A$2:$A$2865,A26,Seasons!$B$2:$B$2865,"&gt;="&amp;(C26+10))))</f>
        <v>0.468030344080195</v>
      </c>
      <c r="K26" s="21" t="n">
        <f aca="false">IF(B26="Expansion",J26,SUMIFS(Seasons!$D$2:$D$2865,Seasons!$A$2:$A$2865,A26,Seasons!$B$2:$B$2865,"&gt;=1961")/(SUMIFS(Seasons!$D$2:$D$2865,Seasons!$A$2:$A$2865,A26,Seasons!$B$2:$B$2865,"&gt;=1961")+SUMIFS(Seasons!$E$2:$E$2865,Seasons!$A$2:$A$2865,A26,Seasons!$B$2:$B$2865,"&gt;=1961")))</f>
        <v>0.468030344080195</v>
      </c>
      <c r="L26" s="3" t="n">
        <f aca="false">RANK(K26,$K$6:$K$35)</f>
        <v>28</v>
      </c>
      <c r="M26" s="10" t="n">
        <f aca="false">E26-K26</f>
        <v>0.00900735190557167</v>
      </c>
      <c r="N26" s="5" t="n">
        <f aca="false">IF(B26="Expansion",(H26-0.5)*162,"")</f>
        <v>-3.737548828125</v>
      </c>
      <c r="O26" s="19" t="str">
        <f aca="false">IF(B26&lt;&gt;"Expansion","",IF(E26&gt;=0.5,"already erased",IF(H26&gt;0.5,G26/((H26-0.5)*162),"never at post-hole pace")))</f>
        <v>never at post-hole pace</v>
      </c>
      <c r="P26" s="26" t="n">
        <f aca="false">IF(B26&lt;&gt;"Expansion","",IF((SUMIFS(Seasons!$E$2:$E$2865,Seasons!$A$2:$A$2865,A26)-SUMIFS(Seasons!$D$2:$D$2865,Seasons!$A$2:$A$2865,A26))&lt;=0,"n/a (all-time .500+)",IF(G26/((SUMIFS(Seasons!$E$2:$E$2865,Seasons!$A$2:$A$2865,A26)-SUMIFS(Seasons!$D$2:$D$2865,Seasons!$A$2:$A$2865,A26))/2)&gt;1,"&gt;100%",G26/((SUMIFS(Seasons!$E$2:$E$2865,Seasons!$A$2:$A$2865,A26)-SUMIFS(Seasons!$D$2:$D$2865,Seasons!$A$2:$A$2865,A26))/2))))</f>
        <v>0.0847457627118644</v>
      </c>
    </row>
    <row r="27" customFormat="false" ht="15" hidden="false" customHeight="true" outlineLevel="0" collapsed="false">
      <c r="A27" s="7" t="s">
        <v>77</v>
      </c>
      <c r="B27" s="3" t="str">
        <f aca="false">Franchise_Totals!C23</f>
        <v>Expansion</v>
      </c>
      <c r="C27" s="3" t="n">
        <f aca="false">_xlfn.MINIFS(Seasons!$B$2:$B$2865,Seasons!$A$2:$A$2865,A27)</f>
        <v>1969</v>
      </c>
      <c r="D27" s="3" t="n">
        <f aca="false">COUNTIFS(Seasons!$A$2:$A$2865,A27)</f>
        <v>57</v>
      </c>
      <c r="E27" s="21" t="n">
        <f aca="false">SUMIFS(Seasons!$D$2:$D$2865,Seasons!$A$2:$A$2865,A27)/(SUMIFS(Seasons!$D$2:$D$2865,Seasons!$A$2:$A$2865,A27)+SUMIFS(Seasons!$E$2:$E$2865,Seasons!$A$2:$A$2865,A27))</f>
        <v>0.489444444444444</v>
      </c>
      <c r="F27" s="21" t="n">
        <f aca="false">IF(B27&lt;&gt;"Expansion","",SUMIFS(Seasons!$D$2:$D$2865,Seasons!$A$2:$A$2865,A27,Seasons!$B$2:$B$2865,"&lt;"&amp;(C27+$E$3))/(SUMIFS(Seasons!$D$2:$D$2865,Seasons!$A$2:$A$2865,A27,Seasons!$B$2:$B$2865,"&lt;"&amp;(C27+$E$3))+SUMIFS(Seasons!$E$2:$E$2865,Seasons!$A$2:$A$2865,A27,Seasons!$B$2:$B$2865,"&lt;"&amp;(C27+$E$3))))</f>
        <v>0.419676214196762</v>
      </c>
      <c r="G27" s="19" t="n">
        <f aca="false">IF(B27&lt;&gt;"Expansion","",(SUMIFS(Seasons!$E$2:$E$2865,Seasons!$A$2:$A$2865,A27,Seasons!$B$2:$B$2865,"&lt;"&amp;(C27+$E$3))-SUMIFS(Seasons!$D$2:$D$2865,Seasons!$A$2:$A$2865,A27,Seasons!$B$2:$B$2865,"&lt;"&amp;(C27+$E$3)))/2)</f>
        <v>64.5</v>
      </c>
      <c r="H27" s="21" t="n">
        <f aca="false">IF(B27&lt;&gt;"Expansion","",SUMIFS(Seasons!$D$2:$D$2865,Seasons!$A$2:$A$2865,A27,Seasons!$B$2:$B$2865,"&gt;="&amp;(C27+$E$3))/(SUMIFS(Seasons!$D$2:$D$2865,Seasons!$A$2:$A$2865,A27,Seasons!$B$2:$B$2865,"&gt;="&amp;(C27+$E$3))+SUMIFS(Seasons!$E$2:$E$2865,Seasons!$A$2:$A$2865,A27,Seasons!$B$2:$B$2865,"&gt;="&amp;(C27+$E$3))))</f>
        <v>0.496279126509699</v>
      </c>
      <c r="I27" s="21" t="n">
        <f aca="false">IF(B27&lt;&gt;"Expansion","",SUMIFS(Seasons!$D$2:$D$2865,Seasons!$A$2:$A$2865,A27,Seasons!$B$2:$B$2865,"&lt;"&amp;(C27+10))/(SUMIFS(Seasons!$D$2:$D$2865,Seasons!$A$2:$A$2865,A27,Seasons!$B$2:$B$2865,"&lt;"&amp;(C27+10))+SUMIFS(Seasons!$E$2:$E$2865,Seasons!$A$2:$A$2865,A27,Seasons!$B$2:$B$2865,"&lt;"&amp;(C27+10))))</f>
        <v>0.438585607940447</v>
      </c>
      <c r="J27" s="21" t="n">
        <f aca="false">IF(B27&lt;&gt;"Expansion","",SUMIFS(Seasons!$D$2:$D$2865,Seasons!$A$2:$A$2865,A27,Seasons!$B$2:$B$2865,"&gt;="&amp;(C27+10))/(SUMIFS(Seasons!$D$2:$D$2865,Seasons!$A$2:$A$2865,A27,Seasons!$B$2:$B$2865,"&gt;="&amp;(C27+10))+SUMIFS(Seasons!$E$2:$E$2865,Seasons!$A$2:$A$2865,A27,Seasons!$B$2:$B$2865,"&gt;="&amp;(C27+10))))</f>
        <v>0.500541418516513</v>
      </c>
      <c r="K27" s="21" t="n">
        <f aca="false">IF(B27="Expansion",J27,SUMIFS(Seasons!$D$2:$D$2865,Seasons!$A$2:$A$2865,A27,Seasons!$B$2:$B$2865,"&gt;=1961")/(SUMIFS(Seasons!$D$2:$D$2865,Seasons!$A$2:$A$2865,A27,Seasons!$B$2:$B$2865,"&gt;=1961")+SUMIFS(Seasons!$E$2:$E$2865,Seasons!$A$2:$A$2865,A27,Seasons!$B$2:$B$2865,"&gt;=1961")))</f>
        <v>0.500541418516513</v>
      </c>
      <c r="L27" s="3" t="n">
        <f aca="false">RANK(K27,$K$6:$K$35)</f>
        <v>12</v>
      </c>
      <c r="M27" s="10" t="n">
        <f aca="false">E27-K27</f>
        <v>-0.0110969740720688</v>
      </c>
      <c r="N27" s="5" t="n">
        <f aca="false">IF(B27="Expansion",(H27-0.5)*162,"")</f>
        <v>-0.602781505428813</v>
      </c>
      <c r="O27" s="19" t="str">
        <f aca="false">IF(B27&lt;&gt;"Expansion","",IF(E27&gt;=0.5,"already erased",IF(H27&gt;0.5,G27/((H27-0.5)*162),"never at post-hole pace")))</f>
        <v>never at post-hole pace</v>
      </c>
      <c r="P27" s="26" t="n">
        <f aca="false">IF(B27&lt;&gt;"Expansion","",IF((SUMIFS(Seasons!$E$2:$E$2865,Seasons!$A$2:$A$2865,A27)-SUMIFS(Seasons!$D$2:$D$2865,Seasons!$A$2:$A$2865,A27))&lt;=0,"n/a (all-time .500+)",IF(G27/((SUMIFS(Seasons!$E$2:$E$2865,Seasons!$A$2:$A$2865,A27)-SUMIFS(Seasons!$D$2:$D$2865,Seasons!$A$2:$A$2865,A27))/2)&gt;1,"&gt;100%",G27/((SUMIFS(Seasons!$E$2:$E$2865,Seasons!$A$2:$A$2865,A27)-SUMIFS(Seasons!$D$2:$D$2865,Seasons!$A$2:$A$2865,A27))/2))))</f>
        <v>0.678947368421053</v>
      </c>
    </row>
    <row r="28" customFormat="false" ht="15" hidden="false" customHeight="true" outlineLevel="0" collapsed="false">
      <c r="A28" s="7" t="s">
        <v>78</v>
      </c>
      <c r="B28" s="3" t="str">
        <f aca="false">Franchise_Totals!C24</f>
        <v>Expansion</v>
      </c>
      <c r="C28" s="3" t="n">
        <f aca="false">_xlfn.MINIFS(Seasons!$B$2:$B$2865,Seasons!$A$2:$A$2865,A28)</f>
        <v>1969</v>
      </c>
      <c r="D28" s="3" t="n">
        <f aca="false">COUNTIFS(Seasons!$A$2:$A$2865,A28)</f>
        <v>57</v>
      </c>
      <c r="E28" s="21" t="n">
        <f aca="false">SUMIFS(Seasons!$D$2:$D$2865,Seasons!$A$2:$A$2865,A28)/(SUMIFS(Seasons!$D$2:$D$2865,Seasons!$A$2:$A$2865,A28)+SUMIFS(Seasons!$E$2:$E$2865,Seasons!$A$2:$A$2865,A28))</f>
        <v>0.46824339329336</v>
      </c>
      <c r="F28" s="21" t="n">
        <f aca="false">IF(B28&lt;&gt;"Expansion","",SUMIFS(Seasons!$D$2:$D$2865,Seasons!$A$2:$A$2865,A28,Seasons!$B$2:$B$2865,"&lt;"&amp;(C28+$E$3))/(SUMIFS(Seasons!$D$2:$D$2865,Seasons!$A$2:$A$2865,A28,Seasons!$B$2:$B$2865,"&lt;"&amp;(C28+$E$3))+SUMIFS(Seasons!$E$2:$E$2865,Seasons!$A$2:$A$2865,A28,Seasons!$B$2:$B$2865,"&lt;"&amp;(C28+$E$3))))</f>
        <v>0.3675</v>
      </c>
      <c r="G28" s="19" t="n">
        <f aca="false">IF(B28&lt;&gt;"Expansion","",(SUMIFS(Seasons!$E$2:$E$2865,Seasons!$A$2:$A$2865,A28,Seasons!$B$2:$B$2865,"&lt;"&amp;(C28+$E$3))-SUMIFS(Seasons!$D$2:$D$2865,Seasons!$A$2:$A$2865,A28,Seasons!$B$2:$B$2865,"&lt;"&amp;(C28+$E$3)))/2)</f>
        <v>106</v>
      </c>
      <c r="H28" s="21" t="n">
        <f aca="false">IF(B28&lt;&gt;"Expansion","",SUMIFS(Seasons!$D$2:$D$2865,Seasons!$A$2:$A$2865,A28,Seasons!$B$2:$B$2865,"&gt;="&amp;(C28+$E$3))/(SUMIFS(Seasons!$D$2:$D$2865,Seasons!$A$2:$A$2865,A28,Seasons!$B$2:$B$2865,"&gt;="&amp;(C28+$E$3))+SUMIFS(Seasons!$E$2:$E$2865,Seasons!$A$2:$A$2865,A28,Seasons!$B$2:$B$2865,"&gt;="&amp;(C28+$E$3))))</f>
        <v>0.478064830611748</v>
      </c>
      <c r="I28" s="21" t="n">
        <f aca="false">IF(B28&lt;&gt;"Expansion","",SUMIFS(Seasons!$D$2:$D$2865,Seasons!$A$2:$A$2865,A28,Seasons!$B$2:$B$2865,"&lt;"&amp;(C28+10))/(SUMIFS(Seasons!$D$2:$D$2865,Seasons!$A$2:$A$2865,A28,Seasons!$B$2:$B$2865,"&lt;"&amp;(C28+10))+SUMIFS(Seasons!$E$2:$E$2865,Seasons!$A$2:$A$2865,A28,Seasons!$B$2:$B$2865,"&lt;"&amp;(C28+10))))</f>
        <v>0.404347826086957</v>
      </c>
      <c r="J28" s="21" t="n">
        <f aca="false">IF(B28&lt;&gt;"Expansion","",SUMIFS(Seasons!$D$2:$D$2865,Seasons!$A$2:$A$2865,A28,Seasons!$B$2:$B$2865,"&gt;="&amp;(C28+10))/(SUMIFS(Seasons!$D$2:$D$2865,Seasons!$A$2:$A$2865,A28,Seasons!$B$2:$B$2865,"&gt;="&amp;(C28+10))+SUMIFS(Seasons!$E$2:$E$2865,Seasons!$A$2:$A$2865,A28,Seasons!$B$2:$B$2865,"&gt;="&amp;(C28+10))))</f>
        <v>0.482152514872904</v>
      </c>
      <c r="K28" s="21" t="n">
        <f aca="false">IF(B28="Expansion",J28,SUMIFS(Seasons!$D$2:$D$2865,Seasons!$A$2:$A$2865,A28,Seasons!$B$2:$B$2865,"&gt;=1961")/(SUMIFS(Seasons!$D$2:$D$2865,Seasons!$A$2:$A$2865,A28,Seasons!$B$2:$B$2865,"&gt;=1961")+SUMIFS(Seasons!$E$2:$E$2865,Seasons!$A$2:$A$2865,A28,Seasons!$B$2:$B$2865,"&gt;=1961")))</f>
        <v>0.482152514872904</v>
      </c>
      <c r="L28" s="3" t="n">
        <f aca="false">RANK(K28,$K$6:$K$35)</f>
        <v>26</v>
      </c>
      <c r="M28" s="10" t="n">
        <f aca="false">E28-K28</f>
        <v>-0.0139091215795443</v>
      </c>
      <c r="N28" s="5" t="n">
        <f aca="false">IF(B28="Expansion",(H28-0.5)*162,"")</f>
        <v>-3.55349744089691</v>
      </c>
      <c r="O28" s="19" t="str">
        <f aca="false">IF(B28&lt;&gt;"Expansion","",IF(E28&gt;=0.5,"already erased",IF(H28&gt;0.5,G28/((H28-0.5)*162),"never at post-hole pace")))</f>
        <v>never at post-hole pace</v>
      </c>
      <c r="P28" s="26" t="n">
        <f aca="false">IF(B28&lt;&gt;"Expansion","",IF((SUMIFS(Seasons!$E$2:$E$2865,Seasons!$A$2:$A$2865,A28)-SUMIFS(Seasons!$D$2:$D$2865,Seasons!$A$2:$A$2865,A28))&lt;=0,"n/a (all-time .500+)",IF(G28/((SUMIFS(Seasons!$E$2:$E$2865,Seasons!$A$2:$A$2865,A28)-SUMIFS(Seasons!$D$2:$D$2865,Seasons!$A$2:$A$2865,A28))/2)&gt;1,"&gt;100%",G28/((SUMIFS(Seasons!$E$2:$E$2865,Seasons!$A$2:$A$2865,A28)-SUMIFS(Seasons!$D$2:$D$2865,Seasons!$A$2:$A$2865,A28))/2))))</f>
        <v>0.370629370629371</v>
      </c>
    </row>
    <row r="29" customFormat="false" ht="15" hidden="false" customHeight="true" outlineLevel="0" collapsed="false">
      <c r="A29" s="7" t="s">
        <v>79</v>
      </c>
      <c r="B29" s="3" t="str">
        <f aca="false">Franchise_Totals!C25</f>
        <v>Expansion</v>
      </c>
      <c r="C29" s="3" t="n">
        <f aca="false">_xlfn.MINIFS(Seasons!$B$2:$B$2865,Seasons!$A$2:$A$2865,A29)</f>
        <v>1969</v>
      </c>
      <c r="D29" s="3" t="n">
        <f aca="false">COUNTIFS(Seasons!$A$2:$A$2865,A29)</f>
        <v>57</v>
      </c>
      <c r="E29" s="21" t="n">
        <f aca="false">SUMIFS(Seasons!$D$2:$D$2865,Seasons!$A$2:$A$2865,A29)/(SUMIFS(Seasons!$D$2:$D$2865,Seasons!$A$2:$A$2865,A29)+SUMIFS(Seasons!$E$2:$E$2865,Seasons!$A$2:$A$2865,A29))</f>
        <v>0.48143619386394</v>
      </c>
      <c r="F29" s="21" t="n">
        <f aca="false">IF(B29&lt;&gt;"Expansion","",SUMIFS(Seasons!$D$2:$D$2865,Seasons!$A$2:$A$2865,A29,Seasons!$B$2:$B$2865,"&lt;"&amp;(C29+$E$3))/(SUMIFS(Seasons!$D$2:$D$2865,Seasons!$A$2:$A$2865,A29,Seasons!$B$2:$B$2865,"&lt;"&amp;(C29+$E$3))+SUMIFS(Seasons!$E$2:$E$2865,Seasons!$A$2:$A$2865,A29,Seasons!$B$2:$B$2865,"&lt;"&amp;(C29+$E$3))))</f>
        <v>0.429638854296389</v>
      </c>
      <c r="G29" s="19" t="n">
        <f aca="false">IF(B29&lt;&gt;"Expansion","",(SUMIFS(Seasons!$E$2:$E$2865,Seasons!$A$2:$A$2865,A29,Seasons!$B$2:$B$2865,"&lt;"&amp;(C29+$E$3))-SUMIFS(Seasons!$D$2:$D$2865,Seasons!$A$2:$A$2865,A29,Seasons!$B$2:$B$2865,"&lt;"&amp;(C29+$E$3)))/2)</f>
        <v>56.5</v>
      </c>
      <c r="H29" s="21" t="n">
        <f aca="false">IF(B29&lt;&gt;"Expansion","",SUMIFS(Seasons!$D$2:$D$2865,Seasons!$A$2:$A$2865,A29,Seasons!$B$2:$B$2865,"&gt;="&amp;(C29+$E$3))/(SUMIFS(Seasons!$D$2:$D$2865,Seasons!$A$2:$A$2865,A29,Seasons!$B$2:$B$2865,"&gt;="&amp;(C29+$E$3))+SUMIFS(Seasons!$E$2:$E$2865,Seasons!$A$2:$A$2865,A29,Seasons!$B$2:$B$2865,"&gt;="&amp;(C29+$E$3))))</f>
        <v>0.486512876846088</v>
      </c>
      <c r="I29" s="21" t="n">
        <f aca="false">IF(B29&lt;&gt;"Expansion","",SUMIFS(Seasons!$D$2:$D$2865,Seasons!$A$2:$A$2865,A29,Seasons!$B$2:$B$2865,"&lt;"&amp;(C29+10))/(SUMIFS(Seasons!$D$2:$D$2865,Seasons!$A$2:$A$2865,A29,Seasons!$B$2:$B$2865,"&lt;"&amp;(C29+10))+SUMIFS(Seasons!$E$2:$E$2865,Seasons!$A$2:$A$2865,A29,Seasons!$B$2:$B$2865,"&lt;"&amp;(C29+10))))</f>
        <v>0.437344913151365</v>
      </c>
      <c r="J29" s="21" t="n">
        <f aca="false">IF(B29&lt;&gt;"Expansion","",SUMIFS(Seasons!$D$2:$D$2865,Seasons!$A$2:$A$2865,A29,Seasons!$B$2:$B$2865,"&gt;="&amp;(C29+10))/(SUMIFS(Seasons!$D$2:$D$2865,Seasons!$A$2:$A$2865,A29,Seasons!$B$2:$B$2865,"&gt;="&amp;(C29+10))+SUMIFS(Seasons!$E$2:$E$2865,Seasons!$A$2:$A$2865,A29,Seasons!$B$2:$B$2865,"&gt;="&amp;(C29+10))))</f>
        <v>0.491061755146262</v>
      </c>
      <c r="K29" s="21" t="n">
        <f aca="false">IF(B29="Expansion",J29,SUMIFS(Seasons!$D$2:$D$2865,Seasons!$A$2:$A$2865,A29,Seasons!$B$2:$B$2865,"&gt;=1961")/(SUMIFS(Seasons!$D$2:$D$2865,Seasons!$A$2:$A$2865,A29,Seasons!$B$2:$B$2865,"&gt;=1961")+SUMIFS(Seasons!$E$2:$E$2865,Seasons!$A$2:$A$2865,A29,Seasons!$B$2:$B$2865,"&gt;=1961")))</f>
        <v>0.491061755146262</v>
      </c>
      <c r="L29" s="3" t="n">
        <f aca="false">RANK(K29,$K$6:$K$35)</f>
        <v>22</v>
      </c>
      <c r="M29" s="10" t="n">
        <f aca="false">E29-K29</f>
        <v>-0.00962556128232267</v>
      </c>
      <c r="N29" s="5" t="n">
        <f aca="false">IF(B29="Expansion",(H29-0.5)*162,"")</f>
        <v>-2.18491395093372</v>
      </c>
      <c r="O29" s="19" t="str">
        <f aca="false">IF(B29&lt;&gt;"Expansion","",IF(E29&gt;=0.5,"already erased",IF(H29&gt;0.5,G29/((H29-0.5)*162),"never at post-hole pace")))</f>
        <v>never at post-hole pace</v>
      </c>
      <c r="P29" s="26" t="n">
        <f aca="false">IF(B29&lt;&gt;"Expansion","",IF((SUMIFS(Seasons!$E$2:$E$2865,Seasons!$A$2:$A$2865,A29)-SUMIFS(Seasons!$D$2:$D$2865,Seasons!$A$2:$A$2865,A29))&lt;=0,"n/a (all-time .500+)",IF(G29/((SUMIFS(Seasons!$E$2:$E$2865,Seasons!$A$2:$A$2865,A29)-SUMIFS(Seasons!$D$2:$D$2865,Seasons!$A$2:$A$2865,A29))/2)&gt;1,"&gt;100%",G29/((SUMIFS(Seasons!$E$2:$E$2865,Seasons!$A$2:$A$2865,A29)-SUMIFS(Seasons!$D$2:$D$2865,Seasons!$A$2:$A$2865,A29))/2))))</f>
        <v>0.338323353293413</v>
      </c>
    </row>
    <row r="30" customFormat="false" ht="15" hidden="false" customHeight="true" outlineLevel="0" collapsed="false">
      <c r="A30" s="7" t="s">
        <v>80</v>
      </c>
      <c r="B30" s="3" t="str">
        <f aca="false">Franchise_Totals!C26</f>
        <v>Expansion</v>
      </c>
      <c r="C30" s="3" t="n">
        <f aca="false">_xlfn.MINIFS(Seasons!$B$2:$B$2865,Seasons!$A$2:$A$2865,A30)</f>
        <v>1977</v>
      </c>
      <c r="D30" s="3" t="n">
        <f aca="false">COUNTIFS(Seasons!$A$2:$A$2865,A30)</f>
        <v>49</v>
      </c>
      <c r="E30" s="21" t="n">
        <f aca="false">SUMIFS(Seasons!$D$2:$D$2865,Seasons!$A$2:$A$2865,A30)/(SUMIFS(Seasons!$D$2:$D$2865,Seasons!$A$2:$A$2865,A30)+SUMIFS(Seasons!$E$2:$E$2865,Seasons!$A$2:$A$2865,A30))</f>
        <v>0.478407469848269</v>
      </c>
      <c r="F30" s="21" t="n">
        <f aca="false">IF(B30&lt;&gt;"Expansion","",SUMIFS(Seasons!$D$2:$D$2865,Seasons!$A$2:$A$2865,A30,Seasons!$B$2:$B$2865,"&lt;"&amp;(C30+$E$3))/(SUMIFS(Seasons!$D$2:$D$2865,Seasons!$A$2:$A$2865,A30,Seasons!$B$2:$B$2865,"&lt;"&amp;(C30+$E$3))+SUMIFS(Seasons!$E$2:$E$2865,Seasons!$A$2:$A$2865,A30,Seasons!$B$2:$B$2865,"&lt;"&amp;(C30+$E$3))))</f>
        <v>0.384105960264901</v>
      </c>
      <c r="G30" s="19" t="n">
        <f aca="false">IF(B30&lt;&gt;"Expansion","",(SUMIFS(Seasons!$E$2:$E$2865,Seasons!$A$2:$A$2865,A30,Seasons!$B$2:$B$2865,"&lt;"&amp;(C30+$E$3))-SUMIFS(Seasons!$D$2:$D$2865,Seasons!$A$2:$A$2865,A30,Seasons!$B$2:$B$2865,"&lt;"&amp;(C30+$E$3)))/2)</f>
        <v>87.5</v>
      </c>
      <c r="H30" s="21" t="n">
        <f aca="false">IF(B30&lt;&gt;"Expansion","",SUMIFS(Seasons!$D$2:$D$2865,Seasons!$A$2:$A$2865,A30,Seasons!$B$2:$B$2865,"&gt;="&amp;(C30+$E$3))/(SUMIFS(Seasons!$D$2:$D$2865,Seasons!$A$2:$A$2865,A30,Seasons!$B$2:$B$2865,"&gt;="&amp;(C30+$E$3))+SUMIFS(Seasons!$E$2:$E$2865,Seasons!$A$2:$A$2865,A30,Seasons!$B$2:$B$2865,"&gt;="&amp;(C30+$E$3))))</f>
        <v>0.488642898217366</v>
      </c>
      <c r="I30" s="21" t="n">
        <f aca="false">IF(B30&lt;&gt;"Expansion","",SUMIFS(Seasons!$D$2:$D$2865,Seasons!$A$2:$A$2865,A30,Seasons!$B$2:$B$2865,"&lt;"&amp;(C30+10))/(SUMIFS(Seasons!$D$2:$D$2865,Seasons!$A$2:$A$2865,A30,Seasons!$B$2:$B$2865,"&lt;"&amp;(C30+10))+SUMIFS(Seasons!$E$2:$E$2865,Seasons!$A$2:$A$2865,A30,Seasons!$B$2:$B$2865,"&lt;"&amp;(C30+10))))</f>
        <v>0.409584664536741</v>
      </c>
      <c r="J30" s="21" t="n">
        <f aca="false">IF(B30&lt;&gt;"Expansion","",SUMIFS(Seasons!$D$2:$D$2865,Seasons!$A$2:$A$2865,A30,Seasons!$B$2:$B$2865,"&gt;="&amp;(C30+10))/(SUMIFS(Seasons!$D$2:$D$2865,Seasons!$A$2:$A$2865,A30,Seasons!$B$2:$B$2865,"&gt;="&amp;(C30+10))+SUMIFS(Seasons!$E$2:$E$2865,Seasons!$A$2:$A$2865,A30,Seasons!$B$2:$B$2865,"&gt;="&amp;(C30+10))))</f>
        <v>0.495932313699967</v>
      </c>
      <c r="K30" s="21" t="n">
        <f aca="false">IF(B30="Expansion",J30,SUMIFS(Seasons!$D$2:$D$2865,Seasons!$A$2:$A$2865,A30,Seasons!$B$2:$B$2865,"&gt;=1961")/(SUMIFS(Seasons!$D$2:$D$2865,Seasons!$A$2:$A$2865,A30,Seasons!$B$2:$B$2865,"&gt;=1961")+SUMIFS(Seasons!$E$2:$E$2865,Seasons!$A$2:$A$2865,A30,Seasons!$B$2:$B$2865,"&gt;=1961")))</f>
        <v>0.495932313699967</v>
      </c>
      <c r="L30" s="3" t="n">
        <f aca="false">RANK(K30,$K$6:$K$35)</f>
        <v>19</v>
      </c>
      <c r="M30" s="10" t="n">
        <f aca="false">E30-K30</f>
        <v>-0.0175248438516987</v>
      </c>
      <c r="N30" s="5" t="n">
        <f aca="false">IF(B30="Expansion",(H30-0.5)*162,"")</f>
        <v>-1.83985048878666</v>
      </c>
      <c r="O30" s="19" t="str">
        <f aca="false">IF(B30&lt;&gt;"Expansion","",IF(E30&gt;=0.5,"already erased",IF(H30&gt;0.5,G30/((H30-0.5)*162),"never at post-hole pace")))</f>
        <v>never at post-hole pace</v>
      </c>
      <c r="P30" s="26" t="n">
        <f aca="false">IF(B30&lt;&gt;"Expansion","",IF((SUMIFS(Seasons!$E$2:$E$2865,Seasons!$A$2:$A$2865,A30)-SUMIFS(Seasons!$D$2:$D$2865,Seasons!$A$2:$A$2865,A30))&lt;=0,"n/a (all-time .500+)",IF(G30/((SUMIFS(Seasons!$E$2:$E$2865,Seasons!$A$2:$A$2865,A30)-SUMIFS(Seasons!$D$2:$D$2865,Seasons!$A$2:$A$2865,A30))/2)&gt;1,"&gt;100%",G30/((SUMIFS(Seasons!$E$2:$E$2865,Seasons!$A$2:$A$2865,A30)-SUMIFS(Seasons!$D$2:$D$2865,Seasons!$A$2:$A$2865,A30))/2))))</f>
        <v>0.525525525525526</v>
      </c>
    </row>
    <row r="31" customFormat="false" ht="15" hidden="false" customHeight="true" outlineLevel="0" collapsed="false">
      <c r="A31" s="7" t="s">
        <v>81</v>
      </c>
      <c r="B31" s="3" t="str">
        <f aca="false">Franchise_Totals!C27</f>
        <v>Expansion</v>
      </c>
      <c r="C31" s="3" t="n">
        <f aca="false">_xlfn.MINIFS(Seasons!$B$2:$B$2865,Seasons!$A$2:$A$2865,A31)</f>
        <v>1977</v>
      </c>
      <c r="D31" s="3" t="n">
        <f aca="false">COUNTIFS(Seasons!$A$2:$A$2865,A31)</f>
        <v>49</v>
      </c>
      <c r="E31" s="21" t="n">
        <f aca="false">SUMIFS(Seasons!$D$2:$D$2865,Seasons!$A$2:$A$2865,A31)/(SUMIFS(Seasons!$D$2:$D$2865,Seasons!$A$2:$A$2865,A31)+SUMIFS(Seasons!$E$2:$E$2865,Seasons!$A$2:$A$2865,A31))</f>
        <v>0.499935157567112</v>
      </c>
      <c r="F31" s="21" t="n">
        <f aca="false">IF(B31&lt;&gt;"Expansion","",SUMIFS(Seasons!$D$2:$D$2865,Seasons!$A$2:$A$2865,A31,Seasons!$B$2:$B$2865,"&lt;"&amp;(C31+$E$3))/(SUMIFS(Seasons!$D$2:$D$2865,Seasons!$A$2:$A$2865,A31,Seasons!$B$2:$B$2865,"&lt;"&amp;(C31+$E$3))+SUMIFS(Seasons!$E$2:$E$2865,Seasons!$A$2:$A$2865,A31,Seasons!$B$2:$B$2865,"&lt;"&amp;(C31+$E$3))))</f>
        <v>0.359042553191489</v>
      </c>
      <c r="G31" s="19" t="n">
        <f aca="false">IF(B31&lt;&gt;"Expansion","",(SUMIFS(Seasons!$E$2:$E$2865,Seasons!$A$2:$A$2865,A31,Seasons!$B$2:$B$2865,"&lt;"&amp;(C31+$E$3))-SUMIFS(Seasons!$D$2:$D$2865,Seasons!$A$2:$A$2865,A31,Seasons!$B$2:$B$2865,"&lt;"&amp;(C31+$E$3)))/2)</f>
        <v>106</v>
      </c>
      <c r="H31" s="21" t="n">
        <f aca="false">IF(B31&lt;&gt;"Expansion","",SUMIFS(Seasons!$D$2:$D$2865,Seasons!$A$2:$A$2865,A31,Seasons!$B$2:$B$2865,"&gt;="&amp;(C31+$E$3))/(SUMIFS(Seasons!$D$2:$D$2865,Seasons!$A$2:$A$2865,A31,Seasons!$B$2:$B$2865,"&gt;="&amp;(C31+$E$3))+SUMIFS(Seasons!$E$2:$E$2865,Seasons!$A$2:$A$2865,A31,Seasons!$B$2:$B$2865,"&gt;="&amp;(C31+$E$3))))</f>
        <v>0.515160224170139</v>
      </c>
      <c r="I31" s="21" t="n">
        <f aca="false">IF(B31&lt;&gt;"Expansion","",SUMIFS(Seasons!$D$2:$D$2865,Seasons!$A$2:$A$2865,A31,Seasons!$B$2:$B$2865,"&lt;"&amp;(C31+10))/(SUMIFS(Seasons!$D$2:$D$2865,Seasons!$A$2:$A$2865,A31,Seasons!$B$2:$B$2865,"&lt;"&amp;(C31+10))+SUMIFS(Seasons!$E$2:$E$2865,Seasons!$A$2:$A$2865,A31,Seasons!$B$2:$B$2865,"&lt;"&amp;(C31+10))))</f>
        <v>0.455477258167841</v>
      </c>
      <c r="J31" s="21" t="n">
        <f aca="false">IF(B31&lt;&gt;"Expansion","",SUMIFS(Seasons!$D$2:$D$2865,Seasons!$A$2:$A$2865,A31,Seasons!$B$2:$B$2865,"&gt;="&amp;(C31+10))/(SUMIFS(Seasons!$D$2:$D$2865,Seasons!$A$2:$A$2865,A31,Seasons!$B$2:$B$2865,"&gt;="&amp;(C31+10))+SUMIFS(Seasons!$E$2:$E$2865,Seasons!$A$2:$A$2865,A31,Seasons!$B$2:$B$2865,"&gt;="&amp;(C31+10))))</f>
        <v>0.511219512195122</v>
      </c>
      <c r="K31" s="21" t="n">
        <f aca="false">IF(B31="Expansion",J31,SUMIFS(Seasons!$D$2:$D$2865,Seasons!$A$2:$A$2865,A31,Seasons!$B$2:$B$2865,"&gt;=1961")/(SUMIFS(Seasons!$D$2:$D$2865,Seasons!$A$2:$A$2865,A31,Seasons!$B$2:$B$2865,"&gt;=1961")+SUMIFS(Seasons!$E$2:$E$2865,Seasons!$A$2:$A$2865,A31,Seasons!$B$2:$B$2865,"&gt;=1961")))</f>
        <v>0.511219512195122</v>
      </c>
      <c r="L31" s="3" t="n">
        <f aca="false">RANK(K31,$K$6:$K$35)</f>
        <v>10</v>
      </c>
      <c r="M31" s="10" t="n">
        <f aca="false">E31-K31</f>
        <v>-0.01128435462801</v>
      </c>
      <c r="N31" s="5" t="n">
        <f aca="false">IF(B31="Expansion",(H31-0.5)*162,"")</f>
        <v>2.45595631556258</v>
      </c>
      <c r="O31" s="19" t="n">
        <f aca="false">IF(B31&lt;&gt;"Expansion","",IF(E31&gt;=0.5,"already erased",IF(H31&gt;0.5,G31/((H31-0.5)*162),"never at post-hole pace")))</f>
        <v>43.1603768065063</v>
      </c>
      <c r="P31" s="26" t="str">
        <f aca="false">IF(B31&lt;&gt;"Expansion","",IF((SUMIFS(Seasons!$E$2:$E$2865,Seasons!$A$2:$A$2865,A31)-SUMIFS(Seasons!$D$2:$D$2865,Seasons!$A$2:$A$2865,A31))&lt;=0,"n/a (all-time .500+)",IF(G31/((SUMIFS(Seasons!$E$2:$E$2865,Seasons!$A$2:$A$2865,A31)-SUMIFS(Seasons!$D$2:$D$2865,Seasons!$A$2:$A$2865,A31))/2)&gt;1,"&gt;100%",G31/((SUMIFS(Seasons!$E$2:$E$2865,Seasons!$A$2:$A$2865,A31)-SUMIFS(Seasons!$D$2:$D$2865,Seasons!$A$2:$A$2865,A31))/2))))</f>
        <v>&gt;100%</v>
      </c>
    </row>
    <row r="32" customFormat="false" ht="15" hidden="false" customHeight="true" outlineLevel="0" collapsed="false">
      <c r="A32" s="7" t="s">
        <v>82</v>
      </c>
      <c r="B32" s="3" t="str">
        <f aca="false">Franchise_Totals!C28</f>
        <v>Expansion</v>
      </c>
      <c r="C32" s="3" t="n">
        <f aca="false">_xlfn.MINIFS(Seasons!$B$2:$B$2865,Seasons!$A$2:$A$2865,A32)</f>
        <v>1993</v>
      </c>
      <c r="D32" s="3" t="n">
        <f aca="false">COUNTIFS(Seasons!$A$2:$A$2865,A32)</f>
        <v>33</v>
      </c>
      <c r="E32" s="21" t="n">
        <f aca="false">SUMIFS(Seasons!$D$2:$D$2865,Seasons!$A$2:$A$2865,A32)/(SUMIFS(Seasons!$D$2:$D$2865,Seasons!$A$2:$A$2865,A32)+SUMIFS(Seasons!$E$2:$E$2865,Seasons!$A$2:$A$2865,A32))</f>
        <v>0.456194519490544</v>
      </c>
      <c r="F32" s="21" t="n">
        <f aca="false">IF(B32&lt;&gt;"Expansion","",SUMIFS(Seasons!$D$2:$D$2865,Seasons!$A$2:$A$2865,A32,Seasons!$B$2:$B$2865,"&lt;"&amp;(C32+$E$3))/(SUMIFS(Seasons!$D$2:$D$2865,Seasons!$A$2:$A$2865,A32,Seasons!$B$2:$B$2865,"&lt;"&amp;(C32+$E$3))+SUMIFS(Seasons!$E$2:$E$2865,Seasons!$A$2:$A$2865,A32,Seasons!$B$2:$B$2865,"&lt;"&amp;(C32+$E$3))))</f>
        <v>0.485943775100402</v>
      </c>
      <c r="G32" s="19" t="n">
        <f aca="false">IF(B32&lt;&gt;"Expansion","",(SUMIFS(Seasons!$E$2:$E$2865,Seasons!$A$2:$A$2865,A32,Seasons!$B$2:$B$2865,"&lt;"&amp;(C32+$E$3))-SUMIFS(Seasons!$D$2:$D$2865,Seasons!$A$2:$A$2865,A32,Seasons!$B$2:$B$2865,"&lt;"&amp;(C32+$E$3)))/2)</f>
        <v>10.5</v>
      </c>
      <c r="H32" s="21" t="n">
        <f aca="false">IF(B32&lt;&gt;"Expansion","",SUMIFS(Seasons!$D$2:$D$2865,Seasons!$A$2:$A$2865,A32,Seasons!$B$2:$B$2865,"&gt;="&amp;(C32+$E$3))/(SUMIFS(Seasons!$D$2:$D$2865,Seasons!$A$2:$A$2865,A32,Seasons!$B$2:$B$2865,"&gt;="&amp;(C32+$E$3))+SUMIFS(Seasons!$E$2:$E$2865,Seasons!$A$2:$A$2865,A32,Seasons!$B$2:$B$2865,"&gt;="&amp;(C32+$E$3))))</f>
        <v>0.451183765501691</v>
      </c>
      <c r="I32" s="21" t="n">
        <f aca="false">IF(B32&lt;&gt;"Expansion","",SUMIFS(Seasons!$D$2:$D$2865,Seasons!$A$2:$A$2865,A32,Seasons!$B$2:$B$2865,"&lt;"&amp;(C32+10))/(SUMIFS(Seasons!$D$2:$D$2865,Seasons!$A$2:$A$2865,A32,Seasons!$B$2:$B$2865,"&lt;"&amp;(C32+10))+SUMIFS(Seasons!$E$2:$E$2865,Seasons!$A$2:$A$2865,A32,Seasons!$B$2:$B$2865,"&lt;"&amp;(C32+10))))</f>
        <v>0.475272960822094</v>
      </c>
      <c r="J32" s="21" t="n">
        <f aca="false">IF(B32&lt;&gt;"Expansion","",SUMIFS(Seasons!$D$2:$D$2865,Seasons!$A$2:$A$2865,A32,Seasons!$B$2:$B$2865,"&gt;="&amp;(C32+10))/(SUMIFS(Seasons!$D$2:$D$2865,Seasons!$A$2:$A$2865,A32,Seasons!$B$2:$B$2865,"&gt;="&amp;(C32+10))+SUMIFS(Seasons!$E$2:$E$2865,Seasons!$A$2:$A$2865,A32,Seasons!$B$2:$B$2865,"&gt;="&amp;(C32+10))))</f>
        <v>0.448</v>
      </c>
      <c r="K32" s="21" t="n">
        <f aca="false">IF(B32="Expansion",J32,SUMIFS(Seasons!$D$2:$D$2865,Seasons!$A$2:$A$2865,A32,Seasons!$B$2:$B$2865,"&gt;=1961")/(SUMIFS(Seasons!$D$2:$D$2865,Seasons!$A$2:$A$2865,A32,Seasons!$B$2:$B$2865,"&gt;=1961")+SUMIFS(Seasons!$E$2:$E$2865,Seasons!$A$2:$A$2865,A32,Seasons!$B$2:$B$2865,"&gt;=1961")))</f>
        <v>0.448</v>
      </c>
      <c r="L32" s="3" t="n">
        <f aca="false">RANK(K32,$K$6:$K$35)</f>
        <v>30</v>
      </c>
      <c r="M32" s="10" t="n">
        <f aca="false">E32-K32</f>
        <v>0.00819451949054417</v>
      </c>
      <c r="N32" s="5" t="n">
        <f aca="false">IF(B32="Expansion",(H32-0.5)*162,"")</f>
        <v>-7.90822998872604</v>
      </c>
      <c r="O32" s="19" t="str">
        <f aca="false">IF(B32&lt;&gt;"Expansion","",IF(E32&gt;=0.5,"already erased",IF(H32&gt;0.5,G32/((H32-0.5)*162),"never at post-hole pace")))</f>
        <v>never at post-hole pace</v>
      </c>
      <c r="P32" s="26" t="n">
        <f aca="false">IF(B32&lt;&gt;"Expansion","",IF((SUMIFS(Seasons!$E$2:$E$2865,Seasons!$A$2:$A$2865,A32)-SUMIFS(Seasons!$D$2:$D$2865,Seasons!$A$2:$A$2865,A32))&lt;=0,"n/a (all-time .500+)",IF(G32/((SUMIFS(Seasons!$E$2:$E$2865,Seasons!$A$2:$A$2865,A32)-SUMIFS(Seasons!$D$2:$D$2865,Seasons!$A$2:$A$2865,A32))/2)&gt;1,"&gt;100%",G32/((SUMIFS(Seasons!$E$2:$E$2865,Seasons!$A$2:$A$2865,A32)-SUMIFS(Seasons!$D$2:$D$2865,Seasons!$A$2:$A$2865,A32))/2))))</f>
        <v>0.0462555066079295</v>
      </c>
    </row>
    <row r="33" customFormat="false" ht="15" hidden="false" customHeight="true" outlineLevel="0" collapsed="false">
      <c r="A33" s="7" t="s">
        <v>83</v>
      </c>
      <c r="B33" s="3" t="str">
        <f aca="false">Franchise_Totals!C29</f>
        <v>Expansion</v>
      </c>
      <c r="C33" s="3" t="n">
        <f aca="false">_xlfn.MINIFS(Seasons!$B$2:$B$2865,Seasons!$A$2:$A$2865,A33)</f>
        <v>1993</v>
      </c>
      <c r="D33" s="3" t="n">
        <f aca="false">COUNTIFS(Seasons!$A$2:$A$2865,A33)</f>
        <v>33</v>
      </c>
      <c r="E33" s="21" t="n">
        <f aca="false">SUMIFS(Seasons!$D$2:$D$2865,Seasons!$A$2:$A$2865,A33)/(SUMIFS(Seasons!$D$2:$D$2865,Seasons!$A$2:$A$2865,A33)+SUMIFS(Seasons!$E$2:$E$2865,Seasons!$A$2:$A$2865,A33))</f>
        <v>0.460378817162737</v>
      </c>
      <c r="F33" s="21" t="n">
        <f aca="false">IF(B33&lt;&gt;"Expansion","",SUMIFS(Seasons!$D$2:$D$2865,Seasons!$A$2:$A$2865,A33,Seasons!$B$2:$B$2865,"&lt;"&amp;(C33+$E$3))/(SUMIFS(Seasons!$D$2:$D$2865,Seasons!$A$2:$A$2865,A33,Seasons!$B$2:$B$2865,"&lt;"&amp;(C33+$E$3))+SUMIFS(Seasons!$E$2:$E$2865,Seasons!$A$2:$A$2865,A33,Seasons!$B$2:$B$2865,"&lt;"&amp;(C33+$E$3))))</f>
        <v>0.475806451612903</v>
      </c>
      <c r="G33" s="19" t="n">
        <f aca="false">IF(B33&lt;&gt;"Expansion","",(SUMIFS(Seasons!$E$2:$E$2865,Seasons!$A$2:$A$2865,A33,Seasons!$B$2:$B$2865,"&lt;"&amp;(C33+$E$3))-SUMIFS(Seasons!$D$2:$D$2865,Seasons!$A$2:$A$2865,A33,Seasons!$B$2:$B$2865,"&lt;"&amp;(C33+$E$3)))/2)</f>
        <v>18</v>
      </c>
      <c r="H33" s="21" t="n">
        <f aca="false">IF(B33&lt;&gt;"Expansion","",SUMIFS(Seasons!$D$2:$D$2865,Seasons!$A$2:$A$2865,A33,Seasons!$B$2:$B$2865,"&gt;="&amp;(C33+$E$3))/(SUMIFS(Seasons!$D$2:$D$2865,Seasons!$A$2:$A$2865,A33,Seasons!$B$2:$B$2865,"&gt;="&amp;(C33+$E$3))+SUMIFS(Seasons!$E$2:$E$2865,Seasons!$A$2:$A$2865,A33,Seasons!$B$2:$B$2865,"&gt;="&amp;(C33+$E$3))))</f>
        <v>0.457787810383747</v>
      </c>
      <c r="I33" s="21" t="n">
        <f aca="false">IF(B33&lt;&gt;"Expansion","",SUMIFS(Seasons!$D$2:$D$2865,Seasons!$A$2:$A$2865,A33,Seasons!$B$2:$B$2865,"&lt;"&amp;(C33+10))/(SUMIFS(Seasons!$D$2:$D$2865,Seasons!$A$2:$A$2865,A33,Seasons!$B$2:$B$2865,"&lt;"&amp;(C33+10))+SUMIFS(Seasons!$E$2:$E$2865,Seasons!$A$2:$A$2865,A33,Seasons!$B$2:$B$2865,"&lt;"&amp;(C33+10))))</f>
        <v>0.45460399227302</v>
      </c>
      <c r="J33" s="21" t="n">
        <f aca="false">IF(B33&lt;&gt;"Expansion","",SUMIFS(Seasons!$D$2:$D$2865,Seasons!$A$2:$A$2865,A33,Seasons!$B$2:$B$2865,"&gt;="&amp;(C33+10))/(SUMIFS(Seasons!$D$2:$D$2865,Seasons!$A$2:$A$2865,A33,Seasons!$B$2:$B$2865,"&gt;="&amp;(C33+10))+SUMIFS(Seasons!$E$2:$E$2865,Seasons!$A$2:$A$2865,A33,Seasons!$B$2:$B$2865,"&gt;="&amp;(C33+10))))</f>
        <v>0.462855564761116</v>
      </c>
      <c r="K33" s="21" t="n">
        <f aca="false">IF(B33="Expansion",J33,SUMIFS(Seasons!$D$2:$D$2865,Seasons!$A$2:$A$2865,A33,Seasons!$B$2:$B$2865,"&gt;=1961")/(SUMIFS(Seasons!$D$2:$D$2865,Seasons!$A$2:$A$2865,A33,Seasons!$B$2:$B$2865,"&gt;=1961")+SUMIFS(Seasons!$E$2:$E$2865,Seasons!$A$2:$A$2865,A33,Seasons!$B$2:$B$2865,"&gt;=1961")))</f>
        <v>0.462855564761116</v>
      </c>
      <c r="L33" s="3" t="n">
        <f aca="false">RANK(K33,$K$6:$K$35)</f>
        <v>29</v>
      </c>
      <c r="M33" s="10" t="n">
        <f aca="false">E33-K33</f>
        <v>-0.00247674759837896</v>
      </c>
      <c r="N33" s="5" t="n">
        <f aca="false">IF(B33="Expansion",(H33-0.5)*162,"")</f>
        <v>-6.83837471783296</v>
      </c>
      <c r="O33" s="19" t="str">
        <f aca="false">IF(B33&lt;&gt;"Expansion","",IF(E33&gt;=0.5,"already erased",IF(H33&gt;0.5,G33/((H33-0.5)*162),"never at post-hole pace")))</f>
        <v>never at post-hole pace</v>
      </c>
      <c r="P33" s="26" t="n">
        <f aca="false">IF(B33&lt;&gt;"Expansion","",IF((SUMIFS(Seasons!$E$2:$E$2865,Seasons!$A$2:$A$2865,A33)-SUMIFS(Seasons!$D$2:$D$2865,Seasons!$A$2:$A$2865,A33))&lt;=0,"n/a (all-time .500+)",IF(G33/((SUMIFS(Seasons!$E$2:$E$2865,Seasons!$A$2:$A$2865,A33)-SUMIFS(Seasons!$D$2:$D$2865,Seasons!$A$2:$A$2865,A33))/2)&gt;1,"&gt;100%",G33/((SUMIFS(Seasons!$E$2:$E$2865,Seasons!$A$2:$A$2865,A33)-SUMIFS(Seasons!$D$2:$D$2865,Seasons!$A$2:$A$2865,A33))/2))))</f>
        <v>0.0878048780487805</v>
      </c>
    </row>
    <row r="34" customFormat="false" ht="15" hidden="false" customHeight="true" outlineLevel="0" collapsed="false">
      <c r="A34" s="7" t="s">
        <v>84</v>
      </c>
      <c r="B34" s="3" t="str">
        <f aca="false">Franchise_Totals!C30</f>
        <v>Expansion</v>
      </c>
      <c r="C34" s="3" t="n">
        <f aca="false">_xlfn.MINIFS(Seasons!$B$2:$B$2865,Seasons!$A$2:$A$2865,A34)</f>
        <v>1998</v>
      </c>
      <c r="D34" s="3" t="n">
        <f aca="false">COUNTIFS(Seasons!$A$2:$A$2865,A34)</f>
        <v>28</v>
      </c>
      <c r="E34" s="21" t="n">
        <f aca="false">SUMIFS(Seasons!$D$2:$D$2865,Seasons!$A$2:$A$2865,A34)/(SUMIFS(Seasons!$D$2:$D$2865,Seasons!$A$2:$A$2865,A34)+SUMIFS(Seasons!$E$2:$E$2865,Seasons!$A$2:$A$2865,A34))</f>
        <v>0.48872350022553</v>
      </c>
      <c r="F34" s="21" t="n">
        <f aca="false">IF(B34&lt;&gt;"Expansion","",SUMIFS(Seasons!$D$2:$D$2865,Seasons!$A$2:$A$2865,A34,Seasons!$B$2:$B$2865,"&lt;"&amp;(C34+$E$3))/(SUMIFS(Seasons!$D$2:$D$2865,Seasons!$A$2:$A$2865,A34,Seasons!$B$2:$B$2865,"&lt;"&amp;(C34+$E$3))+SUMIFS(Seasons!$E$2:$E$2865,Seasons!$A$2:$A$2865,A34,Seasons!$B$2:$B$2865,"&lt;"&amp;(C34+$E$3))))</f>
        <v>0.54320987654321</v>
      </c>
      <c r="G34" s="19" t="n">
        <f aca="false">IF(B34&lt;&gt;"Expansion","",(SUMIFS(Seasons!$E$2:$E$2865,Seasons!$A$2:$A$2865,A34,Seasons!$B$2:$B$2865,"&lt;"&amp;(C34+$E$3))-SUMIFS(Seasons!$D$2:$D$2865,Seasons!$A$2:$A$2865,A34,Seasons!$B$2:$B$2865,"&lt;"&amp;(C34+$E$3)))/2)</f>
        <v>-35</v>
      </c>
      <c r="H34" s="21" t="n">
        <f aca="false">IF(B34&lt;&gt;"Expansion","",SUMIFS(Seasons!$D$2:$D$2865,Seasons!$A$2:$A$2865,A34,Seasons!$B$2:$B$2865,"&gt;="&amp;(C34+$E$3))/(SUMIFS(Seasons!$D$2:$D$2865,Seasons!$A$2:$A$2865,A34,Seasons!$B$2:$B$2865,"&gt;="&amp;(C34+$E$3))+SUMIFS(Seasons!$E$2:$E$2865,Seasons!$A$2:$A$2865,A34,Seasons!$B$2:$B$2865,"&gt;="&amp;(C34+$E$3))))</f>
        <v>0.476545253863135</v>
      </c>
      <c r="I34" s="21" t="n">
        <f aca="false">IF(B34&lt;&gt;"Expansion","",SUMIFS(Seasons!$D$2:$D$2865,Seasons!$A$2:$A$2865,A34,Seasons!$B$2:$B$2865,"&lt;"&amp;(C34+10))/(SUMIFS(Seasons!$D$2:$D$2865,Seasons!$A$2:$A$2865,A34,Seasons!$B$2:$B$2865,"&lt;"&amp;(C34+10))+SUMIFS(Seasons!$E$2:$E$2865,Seasons!$A$2:$A$2865,A34,Seasons!$B$2:$B$2865,"&lt;"&amp;(C34+10))))</f>
        <v>0.504938271604938</v>
      </c>
      <c r="J34" s="21" t="n">
        <f aca="false">IF(B34&lt;&gt;"Expansion","",SUMIFS(Seasons!$D$2:$D$2865,Seasons!$A$2:$A$2865,A34,Seasons!$B$2:$B$2865,"&gt;="&amp;(C34+10))/(SUMIFS(Seasons!$D$2:$D$2865,Seasons!$A$2:$A$2865,A34,Seasons!$B$2:$B$2865,"&gt;="&amp;(C34+10))+SUMIFS(Seasons!$E$2:$E$2865,Seasons!$A$2:$A$2865,A34,Seasons!$B$2:$B$2865,"&gt;="&amp;(C34+10))))</f>
        <v>0.479388770433547</v>
      </c>
      <c r="K34" s="21" t="n">
        <f aca="false">IF(B34="Expansion",J34,SUMIFS(Seasons!$D$2:$D$2865,Seasons!$A$2:$A$2865,A34,Seasons!$B$2:$B$2865,"&gt;=1961")/(SUMIFS(Seasons!$D$2:$D$2865,Seasons!$A$2:$A$2865,A34,Seasons!$B$2:$B$2865,"&gt;=1961")+SUMIFS(Seasons!$E$2:$E$2865,Seasons!$A$2:$A$2865,A34,Seasons!$B$2:$B$2865,"&gt;=1961")))</f>
        <v>0.479388770433547</v>
      </c>
      <c r="L34" s="3" t="n">
        <f aca="false">RANK(K34,$K$6:$K$35)</f>
        <v>27</v>
      </c>
      <c r="M34" s="10" t="n">
        <f aca="false">E34-K34</f>
        <v>0.00933472979198347</v>
      </c>
      <c r="N34" s="5" t="n">
        <f aca="false">IF(B34="Expansion",(H34-0.5)*162,"")</f>
        <v>-3.79966887417218</v>
      </c>
      <c r="O34" s="19" t="str">
        <f aca="false">IF(B34&lt;&gt;"Expansion","",IF(E34&gt;=0.5,"already erased",IF(H34&gt;0.5,G34/((H34-0.5)*162),"never at post-hole pace")))</f>
        <v>never at post-hole pace</v>
      </c>
      <c r="P34" s="26" t="n">
        <f aca="false">IF(B34&lt;&gt;"Expansion","",IF((SUMIFS(Seasons!$E$2:$E$2865,Seasons!$A$2:$A$2865,A34)-SUMIFS(Seasons!$D$2:$D$2865,Seasons!$A$2:$A$2865,A34))&lt;=0,"n/a (all-time .500+)",IF(G34/((SUMIFS(Seasons!$E$2:$E$2865,Seasons!$A$2:$A$2865,A34)-SUMIFS(Seasons!$D$2:$D$2865,Seasons!$A$2:$A$2865,A34))/2)&gt;1,"&gt;100%",G34/((SUMIFS(Seasons!$E$2:$E$2865,Seasons!$A$2:$A$2865,A34)-SUMIFS(Seasons!$D$2:$D$2865,Seasons!$A$2:$A$2865,A34))/2))))</f>
        <v>-0.7</v>
      </c>
    </row>
    <row r="35" customFormat="false" ht="15" hidden="false" customHeight="true" outlineLevel="0" collapsed="false">
      <c r="A35" s="7" t="s">
        <v>85</v>
      </c>
      <c r="B35" s="3" t="str">
        <f aca="false">Franchise_Totals!C31</f>
        <v>Expansion</v>
      </c>
      <c r="C35" s="3" t="n">
        <f aca="false">_xlfn.MINIFS(Seasons!$B$2:$B$2865,Seasons!$A$2:$A$2865,A35)</f>
        <v>1998</v>
      </c>
      <c r="D35" s="3" t="n">
        <f aca="false">COUNTIFS(Seasons!$A$2:$A$2865,A35)</f>
        <v>28</v>
      </c>
      <c r="E35" s="21" t="n">
        <f aca="false">SUMIFS(Seasons!$D$2:$D$2865,Seasons!$A$2:$A$2865,A35)/(SUMIFS(Seasons!$D$2:$D$2865,Seasons!$A$2:$A$2865,A35)+SUMIFS(Seasons!$E$2:$E$2865,Seasons!$A$2:$A$2865,A35))</f>
        <v>0.489169675090253</v>
      </c>
      <c r="F35" s="21" t="n">
        <f aca="false">IF(B35&lt;&gt;"Expansion","",SUMIFS(Seasons!$D$2:$D$2865,Seasons!$A$2:$A$2865,A35,Seasons!$B$2:$B$2865,"&lt;"&amp;(C35+$E$3))/(SUMIFS(Seasons!$D$2:$D$2865,Seasons!$A$2:$A$2865,A35,Seasons!$B$2:$B$2865,"&lt;"&amp;(C35+$E$3))+SUMIFS(Seasons!$E$2:$E$2865,Seasons!$A$2:$A$2865,A35,Seasons!$B$2:$B$2865,"&lt;"&amp;(C35+$E$3))))</f>
        <v>0.393564356435644</v>
      </c>
      <c r="G35" s="19" t="n">
        <f aca="false">IF(B35&lt;&gt;"Expansion","",(SUMIFS(Seasons!$E$2:$E$2865,Seasons!$A$2:$A$2865,A35,Seasons!$B$2:$B$2865,"&lt;"&amp;(C35+$E$3))-SUMIFS(Seasons!$D$2:$D$2865,Seasons!$A$2:$A$2865,A35,Seasons!$B$2:$B$2865,"&lt;"&amp;(C35+$E$3)))/2)</f>
        <v>86</v>
      </c>
      <c r="H35" s="21" t="n">
        <f aca="false">IF(B35&lt;&gt;"Expansion","",SUMIFS(Seasons!$D$2:$D$2865,Seasons!$A$2:$A$2865,A35,Seasons!$B$2:$B$2865,"&gt;="&amp;(C35+$E$3))/(SUMIFS(Seasons!$D$2:$D$2865,Seasons!$A$2:$A$2865,A35,Seasons!$B$2:$B$2865,"&gt;="&amp;(C35+$E$3))+SUMIFS(Seasons!$E$2:$E$2865,Seasons!$A$2:$A$2865,A35,Seasons!$B$2:$B$2865,"&gt;="&amp;(C35+$E$3))))</f>
        <v>0.510485651214128</v>
      </c>
      <c r="I35" s="21" t="n">
        <f aca="false">IF(B35&lt;&gt;"Expansion","",SUMIFS(Seasons!$D$2:$D$2865,Seasons!$A$2:$A$2865,A35,Seasons!$B$2:$B$2865,"&lt;"&amp;(C35+10))/(SUMIFS(Seasons!$D$2:$D$2865,Seasons!$A$2:$A$2865,A35,Seasons!$B$2:$B$2865,"&lt;"&amp;(C35+10))+SUMIFS(Seasons!$E$2:$E$2865,Seasons!$A$2:$A$2865,A35,Seasons!$B$2:$B$2865,"&lt;"&amp;(C35+10))))</f>
        <v>0.398886827458256</v>
      </c>
      <c r="J35" s="21" t="n">
        <f aca="false">IF(B35&lt;&gt;"Expansion","",SUMIFS(Seasons!$D$2:$D$2865,Seasons!$A$2:$A$2865,A35,Seasons!$B$2:$B$2865,"&gt;="&amp;(C35+10))/(SUMIFS(Seasons!$D$2:$D$2865,Seasons!$A$2:$A$2865,A35,Seasons!$B$2:$B$2865,"&gt;="&amp;(C35+10))+SUMIFS(Seasons!$E$2:$E$2865,Seasons!$A$2:$A$2865,A35,Seasons!$B$2:$B$2865,"&gt;="&amp;(C35+10))))</f>
        <v>0.541030195381883</v>
      </c>
      <c r="K35" s="21" t="n">
        <f aca="false">IF(B35="Expansion",J35,SUMIFS(Seasons!$D$2:$D$2865,Seasons!$A$2:$A$2865,A35,Seasons!$B$2:$B$2865,"&gt;=1961")/(SUMIFS(Seasons!$D$2:$D$2865,Seasons!$A$2:$A$2865,A35,Seasons!$B$2:$B$2865,"&gt;=1961")+SUMIFS(Seasons!$E$2:$E$2865,Seasons!$A$2:$A$2865,A35,Seasons!$B$2:$B$2865,"&gt;=1961")))</f>
        <v>0.541030195381883</v>
      </c>
      <c r="L35" s="3" t="n">
        <f aca="false">RANK(K35,$K$6:$K$35)</f>
        <v>3</v>
      </c>
      <c r="M35" s="10" t="n">
        <f aca="false">E35-K35</f>
        <v>-0.0518605202916301</v>
      </c>
      <c r="N35" s="5" t="n">
        <f aca="false">IF(B35="Expansion",(H35-0.5)*162,"")</f>
        <v>1.69867549668874</v>
      </c>
      <c r="O35" s="19" t="n">
        <f aca="false">IF(B35&lt;&gt;"Expansion","",IF(E35&gt;=0.5,"already erased",IF(H35&gt;0.5,G35/((H35-0.5)*162),"never at post-hole pace")))</f>
        <v>50.6276803118909</v>
      </c>
      <c r="P35" s="26" t="str">
        <f aca="false">IF(B35&lt;&gt;"Expansion","",IF((SUMIFS(Seasons!$E$2:$E$2865,Seasons!$A$2:$A$2865,A35)-SUMIFS(Seasons!$D$2:$D$2865,Seasons!$A$2:$A$2865,A35))&lt;=0,"n/a (all-time .500+)",IF(G35/((SUMIFS(Seasons!$E$2:$E$2865,Seasons!$A$2:$A$2865,A35)-SUMIFS(Seasons!$D$2:$D$2865,Seasons!$A$2:$A$2865,A35))/2)&gt;1,"&gt;100%",G35/((SUMIFS(Seasons!$E$2:$E$2865,Seasons!$A$2:$A$2865,A35)-SUMIFS(Seasons!$D$2:$D$2865,Seasons!$A$2:$A$2865,A35))/2))))</f>
        <v>&gt;100%</v>
      </c>
    </row>
    <row r="37" customFormat="false" ht="15" hidden="false" customHeight="true" outlineLevel="0" collapsed="false">
      <c r="A37" s="9" t="s">
        <v>193</v>
      </c>
      <c r="E37" s="21" t="n">
        <f aca="false">AVERAGEIF($B$6:$B$35,"Expansion",E6:E35)</f>
        <v>0.481897367181421</v>
      </c>
      <c r="F37" s="21" t="n">
        <f aca="false">AVERAGEIF($B$6:$B$35,"Expansion",F6:F35)</f>
        <v>0.423384687476199</v>
      </c>
      <c r="H37" s="21" t="n">
        <f aca="false">AVERAGEIF($B$6:$B$35,"Expansion",H6:H35)</f>
        <v>0.487628593340379</v>
      </c>
      <c r="I37" s="21" t="n">
        <f aca="false">AVERAGEIF($B$6:$B$35,"Expansion",I6:I35)</f>
        <v>0.445907743447533</v>
      </c>
      <c r="J37" s="21" t="n">
        <f aca="false">AVERAGEIF($B$6:$B$35,"Expansion",J6:J35)</f>
        <v>0.491274273573893</v>
      </c>
      <c r="K37" s="21" t="n">
        <f aca="false">AVERAGEIF($B$6:$B$35,"Expansion",K6:K35)</f>
        <v>0.491274273573893</v>
      </c>
      <c r="M37" s="10" t="n">
        <f aca="false">AVERAGEIF($B$6:$B$35,"Expansion",M6:M35)</f>
        <v>-0.00937690639247287</v>
      </c>
    </row>
    <row r="38" customFormat="false" ht="15" hidden="false" customHeight="true" outlineLevel="0" collapsed="false">
      <c r="A38" s="9" t="s">
        <v>194</v>
      </c>
      <c r="E38" s="21" t="n">
        <f aca="false">AVERAGEIF($B$6:$B$35,"Established",E6:E35)</f>
        <v>0.507942910314257</v>
      </c>
      <c r="F38" s="21"/>
      <c r="H38" s="21"/>
      <c r="I38" s="21"/>
      <c r="J38" s="21"/>
      <c r="K38" s="21" t="n">
        <f aca="false">AVERAGEIF($B$6:$B$35,"Established",K6:K35)</f>
        <v>0.51145599841345</v>
      </c>
      <c r="M38" s="10" t="n">
        <f aca="false">AVERAGEIF($B$6:$B$35,"Established",M6:M35)</f>
        <v>-0.0035130880991924</v>
      </c>
    </row>
    <row r="40" customFormat="false" ht="15" hidden="false" customHeight="true" outlineLevel="0" collapsed="false">
      <c r="A40" s="3" t="s">
        <v>195</v>
      </c>
      <c r="E40" s="3" t="n">
        <f aca="false">COUNTIFS($B$6:$B$35,"Expansion",$J$6:$J$35,"&gt;=0.5")</f>
        <v>4</v>
      </c>
    </row>
    <row r="41" customFormat="false" ht="15" hidden="false" customHeight="true" outlineLevel="0" collapsed="false">
      <c r="A41" s="3" t="s">
        <v>196</v>
      </c>
      <c r="E41" s="3" t="n">
        <f aca="false">COUNTIFS($B$6:$B$35,"Expansion",$J$6:$J$35,"&gt;"&amp;$K$38)</f>
        <v>2</v>
      </c>
    </row>
    <row r="42" customFormat="false" ht="15" hidden="false" customHeight="true" outlineLevel="0" collapsed="false">
      <c r="A42" s="3" t="s">
        <v>197</v>
      </c>
      <c r="E42" s="3"/>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16"/>
    <col collapsed="false" customWidth="true" hidden="false" outlineLevel="0" max="13" min="2" style="1" width="13"/>
  </cols>
  <sheetData>
    <row r="1" customFormat="false" ht="17.25" hidden="false" customHeight="true" outlineLevel="0" collapsed="false">
      <c r="A1" s="2" t="s">
        <v>198</v>
      </c>
    </row>
    <row r="2" customFormat="false" ht="15" hidden="false" customHeight="true" outlineLevel="0" collapsed="false">
      <c r="A2" s="3" t="s">
        <v>199</v>
      </c>
    </row>
    <row r="4" customFormat="false" ht="45" hidden="false" customHeight="true" outlineLevel="0" collapsed="false">
      <c r="A4" s="4" t="s">
        <v>4</v>
      </c>
      <c r="B4" s="4" t="s">
        <v>42</v>
      </c>
      <c r="C4" s="4" t="s">
        <v>200</v>
      </c>
      <c r="D4" s="4" t="s">
        <v>7</v>
      </c>
      <c r="E4" s="4" t="s">
        <v>201</v>
      </c>
      <c r="F4" s="4" t="s">
        <v>8</v>
      </c>
      <c r="G4" s="4" t="s">
        <v>202</v>
      </c>
      <c r="H4" s="4" t="s">
        <v>203</v>
      </c>
      <c r="I4" s="4" t="s">
        <v>204</v>
      </c>
      <c r="J4" s="4" t="s">
        <v>205</v>
      </c>
      <c r="K4" s="4" t="s">
        <v>206</v>
      </c>
      <c r="L4" s="4" t="s">
        <v>207</v>
      </c>
      <c r="M4" s="4" t="s">
        <v>208</v>
      </c>
    </row>
    <row r="5" customFormat="false" ht="15" hidden="false" customHeight="true" outlineLevel="0" collapsed="false">
      <c r="A5" s="7" t="s">
        <v>54</v>
      </c>
      <c r="B5" s="3" t="s">
        <v>55</v>
      </c>
      <c r="C5" s="3" t="n">
        <f aca="false">COUNTIFS(Seasons!$A$2:$A$2865,A5,Seasons!$B$2:$B$2865,"&gt;=1969")</f>
        <v>57</v>
      </c>
      <c r="D5" s="3" t="n">
        <f aca="false">SUMIFS(Seasons!$L$2:$L$2865,Seasons!$A$2:$A$2865,A5,Seasons!$B$2:$B$2865,"&gt;=1969")</f>
        <v>26</v>
      </c>
      <c r="E5" s="3" t="n">
        <f aca="false">SUMIFS(Seasons!$M$2:$M$2865,Seasons!$A$2:$A$2865,A5,Seasons!$B$2:$B$2865,"&gt;=1969")</f>
        <v>6</v>
      </c>
      <c r="F5" s="3" t="n">
        <f aca="false">SUMIFS(Seasons!$N$2:$N$2865,Seasons!$A$2:$A$2865,A5,Seasons!$B$2:$B$2865,"&gt;=1969")</f>
        <v>2</v>
      </c>
      <c r="G5" s="19" t="n">
        <f aca="false">D5/C5*100</f>
        <v>45.6140350877193</v>
      </c>
      <c r="H5" s="19" t="n">
        <f aca="false">E5/C5*100</f>
        <v>10.5263157894737</v>
      </c>
      <c r="I5" s="19" t="n">
        <f aca="false">F5/C5*100</f>
        <v>3.50877192982456</v>
      </c>
      <c r="J5" s="3" t="n">
        <f aca="false">COUNTIFS(Seasons!$A$2:$A$2865,A5,Seasons!$B$2:$B$2865,"&gt;=1995")</f>
        <v>31</v>
      </c>
      <c r="K5" s="3" t="n">
        <f aca="false">SUMIFS(Seasons!$L$2:$L$2865,Seasons!$A$2:$A$2865,A5,Seasons!$B$2:$B$2865,"&gt;=1995")</f>
        <v>21</v>
      </c>
      <c r="L5" s="19" t="n">
        <f aca="false">K5/J5*100</f>
        <v>67.741935483871</v>
      </c>
      <c r="M5" s="3" t="n">
        <f aca="false">SUMIFS(Seasons!$N$2:$N$2865,Seasons!$A$2:$A$2865,A5,Seasons!$B$2:$B$2865,"&gt;=1995")</f>
        <v>2</v>
      </c>
    </row>
    <row r="6" customFormat="false" ht="15" hidden="false" customHeight="true" outlineLevel="0" collapsed="false">
      <c r="A6" s="7" t="s">
        <v>56</v>
      </c>
      <c r="B6" s="3" t="s">
        <v>55</v>
      </c>
      <c r="C6" s="3" t="n">
        <f aca="false">COUNTIFS(Seasons!$A$2:$A$2865,A6,Seasons!$B$2:$B$2865,"&gt;=1969")</f>
        <v>57</v>
      </c>
      <c r="D6" s="3" t="n">
        <f aca="false">SUMIFS(Seasons!$L$2:$L$2865,Seasons!$A$2:$A$2865,A6,Seasons!$B$2:$B$2865,"&gt;=1969")</f>
        <v>12</v>
      </c>
      <c r="E6" s="3" t="n">
        <f aca="false">SUMIFS(Seasons!$M$2:$M$2865,Seasons!$A$2:$A$2865,A6,Seasons!$B$2:$B$2865,"&gt;=1969")</f>
        <v>1</v>
      </c>
      <c r="F6" s="3" t="n">
        <f aca="false">SUMIFS(Seasons!$N$2:$N$2865,Seasons!$A$2:$A$2865,A6,Seasons!$B$2:$B$2865,"&gt;=1969")</f>
        <v>1</v>
      </c>
      <c r="G6" s="19" t="n">
        <f aca="false">D6/C6*100</f>
        <v>21.0526315789474</v>
      </c>
      <c r="H6" s="19" t="n">
        <f aca="false">E6/C6*100</f>
        <v>1.75438596491228</v>
      </c>
      <c r="I6" s="19" t="n">
        <f aca="false">F6/C6*100</f>
        <v>1.75438596491228</v>
      </c>
      <c r="J6" s="3" t="n">
        <f aca="false">COUNTIFS(Seasons!$A$2:$A$2865,A6,Seasons!$B$2:$B$2865,"&gt;=1995")</f>
        <v>31</v>
      </c>
      <c r="K6" s="3" t="n">
        <f aca="false">SUMIFS(Seasons!$L$2:$L$2865,Seasons!$A$2:$A$2865,A6,Seasons!$B$2:$B$2865,"&gt;=1995")</f>
        <v>10</v>
      </c>
      <c r="L6" s="19" t="n">
        <f aca="false">K6/J6*100</f>
        <v>32.258064516129</v>
      </c>
      <c r="M6" s="3" t="n">
        <f aca="false">SUMIFS(Seasons!$N$2:$N$2865,Seasons!$A$2:$A$2865,A6,Seasons!$B$2:$B$2865,"&gt;=1995")</f>
        <v>1</v>
      </c>
    </row>
    <row r="7" customFormat="false" ht="15" hidden="false" customHeight="true" outlineLevel="0" collapsed="false">
      <c r="A7" s="7" t="s">
        <v>57</v>
      </c>
      <c r="B7" s="3" t="s">
        <v>55</v>
      </c>
      <c r="C7" s="3" t="n">
        <f aca="false">COUNTIFS(Seasons!$A$2:$A$2865,A7,Seasons!$B$2:$B$2865,"&gt;=1969")</f>
        <v>57</v>
      </c>
      <c r="D7" s="3" t="n">
        <f aca="false">SUMIFS(Seasons!$L$2:$L$2865,Seasons!$A$2:$A$2865,A7,Seasons!$B$2:$B$2865,"&gt;=1969")</f>
        <v>13</v>
      </c>
      <c r="E7" s="3" t="n">
        <f aca="false">SUMIFS(Seasons!$M$2:$M$2865,Seasons!$A$2:$A$2865,A7,Seasons!$B$2:$B$2865,"&gt;=1969")</f>
        <v>5</v>
      </c>
      <c r="F7" s="3" t="n">
        <f aca="false">SUMIFS(Seasons!$N$2:$N$2865,Seasons!$A$2:$A$2865,A7,Seasons!$B$2:$B$2865,"&gt;=1969")</f>
        <v>3</v>
      </c>
      <c r="G7" s="19" t="n">
        <f aca="false">D7/C7*100</f>
        <v>22.8070175438596</v>
      </c>
      <c r="H7" s="19" t="n">
        <f aca="false">E7/C7*100</f>
        <v>8.7719298245614</v>
      </c>
      <c r="I7" s="19" t="n">
        <f aca="false">F7/C7*100</f>
        <v>5.26315789473684</v>
      </c>
      <c r="J7" s="3" t="n">
        <f aca="false">COUNTIFS(Seasons!$A$2:$A$2865,A7,Seasons!$B$2:$B$2865,"&gt;=1995")</f>
        <v>31</v>
      </c>
      <c r="K7" s="3" t="n">
        <f aca="false">SUMIFS(Seasons!$L$2:$L$2865,Seasons!$A$2:$A$2865,A7,Seasons!$B$2:$B$2865,"&gt;=1995")</f>
        <v>6</v>
      </c>
      <c r="L7" s="19" t="n">
        <f aca="false">K7/J7*100</f>
        <v>19.3548387096774</v>
      </c>
      <c r="M7" s="3" t="n">
        <f aca="false">SUMIFS(Seasons!$N$2:$N$2865,Seasons!$A$2:$A$2865,A7,Seasons!$B$2:$B$2865,"&gt;=1995")</f>
        <v>0</v>
      </c>
    </row>
    <row r="8" customFormat="false" ht="15" hidden="false" customHeight="true" outlineLevel="0" collapsed="false">
      <c r="A8" s="7" t="s">
        <v>58</v>
      </c>
      <c r="B8" s="3" t="s">
        <v>55</v>
      </c>
      <c r="C8" s="3" t="n">
        <f aca="false">COUNTIFS(Seasons!$A$2:$A$2865,A8,Seasons!$B$2:$B$2865,"&gt;=1969")</f>
        <v>57</v>
      </c>
      <c r="D8" s="3" t="n">
        <f aca="false">SUMIFS(Seasons!$L$2:$L$2865,Seasons!$A$2:$A$2865,A8,Seasons!$B$2:$B$2865,"&gt;=1969")</f>
        <v>12</v>
      </c>
      <c r="E8" s="3" t="n">
        <f aca="false">SUMIFS(Seasons!$M$2:$M$2865,Seasons!$A$2:$A$2865,A8,Seasons!$B$2:$B$2865,"&gt;=1969")</f>
        <v>2</v>
      </c>
      <c r="F8" s="3" t="n">
        <f aca="false">SUMIFS(Seasons!$N$2:$N$2865,Seasons!$A$2:$A$2865,A8,Seasons!$B$2:$B$2865,"&gt;=1969")</f>
        <v>2</v>
      </c>
      <c r="G8" s="19" t="n">
        <f aca="false">D8/C8*100</f>
        <v>21.0526315789474</v>
      </c>
      <c r="H8" s="19" t="n">
        <f aca="false">E8/C8*100</f>
        <v>3.50877192982456</v>
      </c>
      <c r="I8" s="19" t="n">
        <f aca="false">F8/C8*100</f>
        <v>3.50877192982456</v>
      </c>
      <c r="J8" s="3" t="n">
        <f aca="false">COUNTIFS(Seasons!$A$2:$A$2865,A8,Seasons!$B$2:$B$2865,"&gt;=1995")</f>
        <v>31</v>
      </c>
      <c r="K8" s="3" t="n">
        <f aca="false">SUMIFS(Seasons!$L$2:$L$2865,Seasons!$A$2:$A$2865,A8,Seasons!$B$2:$B$2865,"&gt;=1995")</f>
        <v>3</v>
      </c>
      <c r="L8" s="19" t="n">
        <f aca="false">K8/J8*100</f>
        <v>9.67741935483871</v>
      </c>
      <c r="M8" s="3" t="n">
        <f aca="false">SUMIFS(Seasons!$N$2:$N$2865,Seasons!$A$2:$A$2865,A8,Seasons!$B$2:$B$2865,"&gt;=1995")</f>
        <v>0</v>
      </c>
    </row>
    <row r="9" customFormat="false" ht="15" hidden="false" customHeight="true" outlineLevel="0" collapsed="false">
      <c r="A9" s="7" t="s">
        <v>59</v>
      </c>
      <c r="B9" s="3" t="s">
        <v>55</v>
      </c>
      <c r="C9" s="3" t="n">
        <f aca="false">COUNTIFS(Seasons!$A$2:$A$2865,A9,Seasons!$B$2:$B$2865,"&gt;=1969")</f>
        <v>57</v>
      </c>
      <c r="D9" s="3" t="n">
        <f aca="false">SUMIFS(Seasons!$L$2:$L$2865,Seasons!$A$2:$A$2865,A9,Seasons!$B$2:$B$2865,"&gt;=1969")</f>
        <v>20</v>
      </c>
      <c r="E9" s="3" t="n">
        <f aca="false">SUMIFS(Seasons!$M$2:$M$2865,Seasons!$A$2:$A$2865,A9,Seasons!$B$2:$B$2865,"&gt;=1969")</f>
        <v>7</v>
      </c>
      <c r="F9" s="3" t="n">
        <f aca="false">SUMIFS(Seasons!$N$2:$N$2865,Seasons!$A$2:$A$2865,A9,Seasons!$B$2:$B$2865,"&gt;=1969")</f>
        <v>3</v>
      </c>
      <c r="G9" s="19" t="n">
        <f aca="false">D9/C9*100</f>
        <v>35.0877192982456</v>
      </c>
      <c r="H9" s="19" t="n">
        <f aca="false">E9/C9*100</f>
        <v>12.280701754386</v>
      </c>
      <c r="I9" s="19" t="n">
        <f aca="false">F9/C9*100</f>
        <v>5.26315789473684</v>
      </c>
      <c r="J9" s="3" t="n">
        <f aca="false">COUNTIFS(Seasons!$A$2:$A$2865,A9,Seasons!$B$2:$B$2865,"&gt;=1995")</f>
        <v>31</v>
      </c>
      <c r="K9" s="3" t="n">
        <f aca="false">SUMIFS(Seasons!$L$2:$L$2865,Seasons!$A$2:$A$2865,A9,Seasons!$B$2:$B$2865,"&gt;=1995")</f>
        <v>17</v>
      </c>
      <c r="L9" s="19" t="n">
        <f aca="false">K9/J9*100</f>
        <v>54.8387096774194</v>
      </c>
      <c r="M9" s="3" t="n">
        <f aca="false">SUMIFS(Seasons!$N$2:$N$2865,Seasons!$A$2:$A$2865,A9,Seasons!$B$2:$B$2865,"&gt;=1995")</f>
        <v>2</v>
      </c>
    </row>
    <row r="10" customFormat="false" ht="15" hidden="false" customHeight="true" outlineLevel="0" collapsed="false">
      <c r="A10" s="7" t="s">
        <v>60</v>
      </c>
      <c r="B10" s="3" t="s">
        <v>55</v>
      </c>
      <c r="C10" s="3" t="n">
        <f aca="false">COUNTIFS(Seasons!$A$2:$A$2865,A10,Seasons!$B$2:$B$2865,"&gt;=1969")</f>
        <v>57</v>
      </c>
      <c r="D10" s="3" t="n">
        <f aca="false">SUMIFS(Seasons!$L$2:$L$2865,Seasons!$A$2:$A$2865,A10,Seasons!$B$2:$B$2865,"&gt;=1969")</f>
        <v>16</v>
      </c>
      <c r="E10" s="3" t="n">
        <f aca="false">SUMIFS(Seasons!$M$2:$M$2865,Seasons!$A$2:$A$2865,A10,Seasons!$B$2:$B$2865,"&gt;=1969")</f>
        <v>6</v>
      </c>
      <c r="F10" s="3" t="n">
        <f aca="false">SUMIFS(Seasons!$N$2:$N$2865,Seasons!$A$2:$A$2865,A10,Seasons!$B$2:$B$2865,"&gt;=1969")</f>
        <v>2</v>
      </c>
      <c r="G10" s="19" t="n">
        <f aca="false">D10/C10*100</f>
        <v>28.0701754385965</v>
      </c>
      <c r="H10" s="19" t="n">
        <f aca="false">E10/C10*100</f>
        <v>10.5263157894737</v>
      </c>
      <c r="I10" s="19" t="n">
        <f aca="false">F10/C10*100</f>
        <v>3.50877192982456</v>
      </c>
      <c r="J10" s="3" t="n">
        <f aca="false">COUNTIFS(Seasons!$A$2:$A$2865,A10,Seasons!$B$2:$B$2865,"&gt;=1995")</f>
        <v>31</v>
      </c>
      <c r="K10" s="3" t="n">
        <f aca="false">SUMIFS(Seasons!$L$2:$L$2865,Seasons!$A$2:$A$2865,A10,Seasons!$B$2:$B$2865,"&gt;=1995")</f>
        <v>9</v>
      </c>
      <c r="L10" s="19" t="n">
        <f aca="false">K10/J10*100</f>
        <v>29.0322580645161</v>
      </c>
      <c r="M10" s="3" t="n">
        <f aca="false">SUMIFS(Seasons!$N$2:$N$2865,Seasons!$A$2:$A$2865,A10,Seasons!$B$2:$B$2865,"&gt;=1995")</f>
        <v>1</v>
      </c>
    </row>
    <row r="11" customFormat="false" ht="15" hidden="false" customHeight="true" outlineLevel="0" collapsed="false">
      <c r="A11" s="7" t="s">
        <v>61</v>
      </c>
      <c r="B11" s="3" t="s">
        <v>55</v>
      </c>
      <c r="C11" s="3" t="n">
        <f aca="false">COUNTIFS(Seasons!$A$2:$A$2865,A11,Seasons!$B$2:$B$2865,"&gt;=1969")</f>
        <v>57</v>
      </c>
      <c r="D11" s="3" t="n">
        <f aca="false">SUMIFS(Seasons!$L$2:$L$2865,Seasons!$A$2:$A$2865,A11,Seasons!$B$2:$B$2865,"&gt;=1969")</f>
        <v>12</v>
      </c>
      <c r="E11" s="3" t="n">
        <f aca="false">SUMIFS(Seasons!$M$2:$M$2865,Seasons!$A$2:$A$2865,A11,Seasons!$B$2:$B$2865,"&gt;=1969")</f>
        <v>5</v>
      </c>
      <c r="F11" s="3" t="n">
        <f aca="false">SUMIFS(Seasons!$N$2:$N$2865,Seasons!$A$2:$A$2865,A11,Seasons!$B$2:$B$2865,"&gt;=1969")</f>
        <v>3</v>
      </c>
      <c r="G11" s="19" t="n">
        <f aca="false">D11/C11*100</f>
        <v>21.0526315789474</v>
      </c>
      <c r="H11" s="19" t="n">
        <f aca="false">E11/C11*100</f>
        <v>8.7719298245614</v>
      </c>
      <c r="I11" s="19" t="n">
        <f aca="false">F11/C11*100</f>
        <v>5.26315789473684</v>
      </c>
      <c r="J11" s="3" t="n">
        <f aca="false">COUNTIFS(Seasons!$A$2:$A$2865,A11,Seasons!$B$2:$B$2865,"&gt;=1995")</f>
        <v>31</v>
      </c>
      <c r="K11" s="3" t="n">
        <f aca="false">SUMIFS(Seasons!$L$2:$L$2865,Seasons!$A$2:$A$2865,A11,Seasons!$B$2:$B$2865,"&gt;=1995")</f>
        <v>9</v>
      </c>
      <c r="L11" s="19" t="n">
        <f aca="false">K11/J11*100</f>
        <v>29.0322580645161</v>
      </c>
      <c r="M11" s="3" t="n">
        <f aca="false">SUMIFS(Seasons!$N$2:$N$2865,Seasons!$A$2:$A$2865,A11,Seasons!$B$2:$B$2865,"&gt;=1995")</f>
        <v>3</v>
      </c>
    </row>
    <row r="12" customFormat="false" ht="15" hidden="false" customHeight="true" outlineLevel="0" collapsed="false">
      <c r="A12" s="7" t="s">
        <v>62</v>
      </c>
      <c r="B12" s="3" t="s">
        <v>55</v>
      </c>
      <c r="C12" s="3" t="n">
        <f aca="false">COUNTIFS(Seasons!$A$2:$A$2865,A12,Seasons!$B$2:$B$2865,"&gt;=1969")</f>
        <v>57</v>
      </c>
      <c r="D12" s="3" t="n">
        <f aca="false">SUMIFS(Seasons!$L$2:$L$2865,Seasons!$A$2:$A$2865,A12,Seasons!$B$2:$B$2865,"&gt;=1969")</f>
        <v>26</v>
      </c>
      <c r="E12" s="3" t="n">
        <f aca="false">SUMIFS(Seasons!$M$2:$M$2865,Seasons!$A$2:$A$2865,A12,Seasons!$B$2:$B$2865,"&gt;=1969")</f>
        <v>10</v>
      </c>
      <c r="F12" s="3" t="n">
        <f aca="false">SUMIFS(Seasons!$N$2:$N$2865,Seasons!$A$2:$A$2865,A12,Seasons!$B$2:$B$2865,"&gt;=1969")</f>
        <v>5</v>
      </c>
      <c r="G12" s="19" t="n">
        <f aca="false">D12/C12*100</f>
        <v>45.6140350877193</v>
      </c>
      <c r="H12" s="19" t="n">
        <f aca="false">E12/C12*100</f>
        <v>17.5438596491228</v>
      </c>
      <c r="I12" s="19" t="n">
        <f aca="false">F12/C12*100</f>
        <v>8.7719298245614</v>
      </c>
      <c r="J12" s="3" t="n">
        <f aca="false">COUNTIFS(Seasons!$A$2:$A$2865,A12,Seasons!$B$2:$B$2865,"&gt;=1995")</f>
        <v>31</v>
      </c>
      <c r="K12" s="3" t="n">
        <f aca="false">SUMIFS(Seasons!$L$2:$L$2865,Seasons!$A$2:$A$2865,A12,Seasons!$B$2:$B$2865,"&gt;=1995")</f>
        <v>19</v>
      </c>
      <c r="L12" s="19" t="n">
        <f aca="false">K12/J12*100</f>
        <v>61.2903225806452</v>
      </c>
      <c r="M12" s="3" t="n">
        <f aca="false">SUMIFS(Seasons!$N$2:$N$2865,Seasons!$A$2:$A$2865,A12,Seasons!$B$2:$B$2865,"&gt;=1995")</f>
        <v>3</v>
      </c>
    </row>
    <row r="13" customFormat="false" ht="15" hidden="false" customHeight="true" outlineLevel="0" collapsed="false">
      <c r="A13" s="7" t="s">
        <v>63</v>
      </c>
      <c r="B13" s="3" t="s">
        <v>55</v>
      </c>
      <c r="C13" s="3" t="n">
        <f aca="false">COUNTIFS(Seasons!$A$2:$A$2865,A13,Seasons!$B$2:$B$2865,"&gt;=1969")</f>
        <v>57</v>
      </c>
      <c r="D13" s="3" t="n">
        <f aca="false">SUMIFS(Seasons!$L$2:$L$2865,Seasons!$A$2:$A$2865,A13,Seasons!$B$2:$B$2865,"&gt;=1969")</f>
        <v>14</v>
      </c>
      <c r="E13" s="3" t="n">
        <f aca="false">SUMIFS(Seasons!$M$2:$M$2865,Seasons!$A$2:$A$2865,A13,Seasons!$B$2:$B$2865,"&gt;=1969")</f>
        <v>5</v>
      </c>
      <c r="F13" s="3" t="n">
        <f aca="false">SUMIFS(Seasons!$N$2:$N$2865,Seasons!$A$2:$A$2865,A13,Seasons!$B$2:$B$2865,"&gt;=1969")</f>
        <v>2</v>
      </c>
      <c r="G13" s="19" t="n">
        <f aca="false">D13/C13*100</f>
        <v>24.5614035087719</v>
      </c>
      <c r="H13" s="19" t="n">
        <f aca="false">E13/C13*100</f>
        <v>8.7719298245614</v>
      </c>
      <c r="I13" s="19" t="n">
        <f aca="false">F13/C13*100</f>
        <v>3.50877192982456</v>
      </c>
      <c r="J13" s="3" t="n">
        <f aca="false">COUNTIFS(Seasons!$A$2:$A$2865,A13,Seasons!$B$2:$B$2865,"&gt;=1995")</f>
        <v>31</v>
      </c>
      <c r="K13" s="3" t="n">
        <f aca="false">SUMIFS(Seasons!$L$2:$L$2865,Seasons!$A$2:$A$2865,A13,Seasons!$B$2:$B$2865,"&gt;=1995")</f>
        <v>7</v>
      </c>
      <c r="L13" s="19" t="n">
        <f aca="false">K13/J13*100</f>
        <v>22.5806451612903</v>
      </c>
      <c r="M13" s="3" t="n">
        <f aca="false">SUMIFS(Seasons!$N$2:$N$2865,Seasons!$A$2:$A$2865,A13,Seasons!$B$2:$B$2865,"&gt;=1995")</f>
        <v>0</v>
      </c>
    </row>
    <row r="14" customFormat="false" ht="15" hidden="false" customHeight="true" outlineLevel="0" collapsed="false">
      <c r="A14" s="7" t="s">
        <v>64</v>
      </c>
      <c r="B14" s="3" t="s">
        <v>55</v>
      </c>
      <c r="C14" s="3" t="n">
        <f aca="false">COUNTIFS(Seasons!$A$2:$A$2865,A14,Seasons!$B$2:$B$2865,"&gt;=1969")</f>
        <v>57</v>
      </c>
      <c r="D14" s="3" t="n">
        <f aca="false">SUMIFS(Seasons!$L$2:$L$2865,Seasons!$A$2:$A$2865,A14,Seasons!$B$2:$B$2865,"&gt;=1969")</f>
        <v>19</v>
      </c>
      <c r="E14" s="3" t="n">
        <f aca="false">SUMIFS(Seasons!$M$2:$M$2865,Seasons!$A$2:$A$2865,A14,Seasons!$B$2:$B$2865,"&gt;=1969")</f>
        <v>6</v>
      </c>
      <c r="F14" s="3" t="n">
        <f aca="false">SUMIFS(Seasons!$N$2:$N$2865,Seasons!$A$2:$A$2865,A14,Seasons!$B$2:$B$2865,"&gt;=1969")</f>
        <v>4</v>
      </c>
      <c r="G14" s="19" t="n">
        <f aca="false">D14/C14*100</f>
        <v>33.3333333333333</v>
      </c>
      <c r="H14" s="19" t="n">
        <f aca="false">E14/C14*100</f>
        <v>10.5263157894737</v>
      </c>
      <c r="I14" s="19" t="n">
        <f aca="false">F14/C14*100</f>
        <v>7.01754385964912</v>
      </c>
      <c r="J14" s="3" t="n">
        <f aca="false">COUNTIFS(Seasons!$A$2:$A$2865,A14,Seasons!$B$2:$B$2865,"&gt;=1995")</f>
        <v>31</v>
      </c>
      <c r="K14" s="3" t="n">
        <f aca="false">SUMIFS(Seasons!$L$2:$L$2865,Seasons!$A$2:$A$2865,A14,Seasons!$B$2:$B$2865,"&gt;=1995")</f>
        <v>15</v>
      </c>
      <c r="L14" s="19" t="n">
        <f aca="false">K14/J14*100</f>
        <v>48.3870967741936</v>
      </c>
      <c r="M14" s="3" t="n">
        <f aca="false">SUMIFS(Seasons!$N$2:$N$2865,Seasons!$A$2:$A$2865,A14,Seasons!$B$2:$B$2865,"&gt;=1995")</f>
        <v>4</v>
      </c>
    </row>
    <row r="15" customFormat="false" ht="15" hidden="false" customHeight="true" outlineLevel="0" collapsed="false">
      <c r="A15" s="7" t="s">
        <v>65</v>
      </c>
      <c r="B15" s="3" t="s">
        <v>55</v>
      </c>
      <c r="C15" s="3" t="n">
        <f aca="false">COUNTIFS(Seasons!$A$2:$A$2865,A15,Seasons!$B$2:$B$2865,"&gt;=1969")</f>
        <v>57</v>
      </c>
      <c r="D15" s="3" t="n">
        <f aca="false">SUMIFS(Seasons!$L$2:$L$2865,Seasons!$A$2:$A$2865,A15,Seasons!$B$2:$B$2865,"&gt;=1969")</f>
        <v>7</v>
      </c>
      <c r="E15" s="3" t="n">
        <f aca="false">SUMIFS(Seasons!$M$2:$M$2865,Seasons!$A$2:$A$2865,A15,Seasons!$B$2:$B$2865,"&gt;=1969")</f>
        <v>1</v>
      </c>
      <c r="F15" s="3" t="n">
        <f aca="false">SUMIFS(Seasons!$N$2:$N$2865,Seasons!$A$2:$A$2865,A15,Seasons!$B$2:$B$2865,"&gt;=1969")</f>
        <v>1</v>
      </c>
      <c r="G15" s="19" t="n">
        <f aca="false">D15/C15*100</f>
        <v>12.280701754386</v>
      </c>
      <c r="H15" s="19" t="n">
        <f aca="false">E15/C15*100</f>
        <v>1.75438596491228</v>
      </c>
      <c r="I15" s="19" t="n">
        <f aca="false">F15/C15*100</f>
        <v>1.75438596491228</v>
      </c>
      <c r="J15" s="3" t="n">
        <f aca="false">COUNTIFS(Seasons!$A$2:$A$2865,A15,Seasons!$B$2:$B$2865,"&gt;=1995")</f>
        <v>31</v>
      </c>
      <c r="K15" s="3" t="n">
        <f aca="false">SUMIFS(Seasons!$L$2:$L$2865,Seasons!$A$2:$A$2865,A15,Seasons!$B$2:$B$2865,"&gt;=1995")</f>
        <v>5</v>
      </c>
      <c r="L15" s="19" t="n">
        <f aca="false">K15/J15*100</f>
        <v>16.1290322580645</v>
      </c>
      <c r="M15" s="3" t="n">
        <f aca="false">SUMIFS(Seasons!$N$2:$N$2865,Seasons!$A$2:$A$2865,A15,Seasons!$B$2:$B$2865,"&gt;=1995")</f>
        <v>1</v>
      </c>
    </row>
    <row r="16" customFormat="false" ht="15" hidden="false" customHeight="true" outlineLevel="0" collapsed="false">
      <c r="A16" s="7" t="s">
        <v>66</v>
      </c>
      <c r="B16" s="3" t="s">
        <v>55</v>
      </c>
      <c r="C16" s="3" t="n">
        <f aca="false">COUNTIFS(Seasons!$A$2:$A$2865,A16,Seasons!$B$2:$B$2865,"&gt;=1969")</f>
        <v>57</v>
      </c>
      <c r="D16" s="3" t="n">
        <f aca="false">SUMIFS(Seasons!$L$2:$L$2865,Seasons!$A$2:$A$2865,A16,Seasons!$B$2:$B$2865,"&gt;=1969")</f>
        <v>15</v>
      </c>
      <c r="E16" s="3" t="n">
        <f aca="false">SUMIFS(Seasons!$M$2:$M$2865,Seasons!$A$2:$A$2865,A16,Seasons!$B$2:$B$2865,"&gt;=1969")</f>
        <v>3</v>
      </c>
      <c r="F16" s="3" t="n">
        <f aca="false">SUMIFS(Seasons!$N$2:$N$2865,Seasons!$A$2:$A$2865,A16,Seasons!$B$2:$B$2865,"&gt;=1969")</f>
        <v>0</v>
      </c>
      <c r="G16" s="19" t="n">
        <f aca="false">D16/C16*100</f>
        <v>26.3157894736842</v>
      </c>
      <c r="H16" s="19" t="n">
        <f aca="false">E16/C16*100</f>
        <v>5.26315789473684</v>
      </c>
      <c r="I16" s="19" t="n">
        <f aca="false">F16/C16*100</f>
        <v>0</v>
      </c>
      <c r="J16" s="3" t="n">
        <f aca="false">COUNTIFS(Seasons!$A$2:$A$2865,A16,Seasons!$B$2:$B$2865,"&gt;=1995")</f>
        <v>31</v>
      </c>
      <c r="K16" s="3" t="n">
        <f aca="false">SUMIFS(Seasons!$L$2:$L$2865,Seasons!$A$2:$A$2865,A16,Seasons!$B$2:$B$2865,"&gt;=1995")</f>
        <v>15</v>
      </c>
      <c r="L16" s="19" t="n">
        <f aca="false">K16/J16*100</f>
        <v>48.3870967741936</v>
      </c>
      <c r="M16" s="3" t="n">
        <f aca="false">SUMIFS(Seasons!$N$2:$N$2865,Seasons!$A$2:$A$2865,A16,Seasons!$B$2:$B$2865,"&gt;=1995")</f>
        <v>0</v>
      </c>
    </row>
    <row r="17" customFormat="false" ht="15" hidden="false" customHeight="true" outlineLevel="0" collapsed="false">
      <c r="A17" s="7" t="s">
        <v>67</v>
      </c>
      <c r="B17" s="3" t="s">
        <v>55</v>
      </c>
      <c r="C17" s="3" t="n">
        <f aca="false">COUNTIFS(Seasons!$A$2:$A$2865,A17,Seasons!$B$2:$B$2865,"&gt;=1969")</f>
        <v>57</v>
      </c>
      <c r="D17" s="3" t="n">
        <f aca="false">SUMIFS(Seasons!$L$2:$L$2865,Seasons!$A$2:$A$2865,A17,Seasons!$B$2:$B$2865,"&gt;=1969")</f>
        <v>10</v>
      </c>
      <c r="E17" s="3" t="n">
        <f aca="false">SUMIFS(Seasons!$M$2:$M$2865,Seasons!$A$2:$A$2865,A17,Seasons!$B$2:$B$2865,"&gt;=1969")</f>
        <v>3</v>
      </c>
      <c r="F17" s="3" t="n">
        <f aca="false">SUMIFS(Seasons!$N$2:$N$2865,Seasons!$A$2:$A$2865,A17,Seasons!$B$2:$B$2865,"&gt;=1969")</f>
        <v>1</v>
      </c>
      <c r="G17" s="19" t="n">
        <f aca="false">D17/C17*100</f>
        <v>17.5438596491228</v>
      </c>
      <c r="H17" s="19" t="n">
        <f aca="false">E17/C17*100</f>
        <v>5.26315789473684</v>
      </c>
      <c r="I17" s="19" t="n">
        <f aca="false">F17/C17*100</f>
        <v>1.75438596491228</v>
      </c>
      <c r="J17" s="3" t="n">
        <f aca="false">COUNTIFS(Seasons!$A$2:$A$2865,A17,Seasons!$B$2:$B$2865,"&gt;=1995")</f>
        <v>31</v>
      </c>
      <c r="K17" s="3" t="n">
        <f aca="false">SUMIFS(Seasons!$L$2:$L$2865,Seasons!$A$2:$A$2865,A17,Seasons!$B$2:$B$2865,"&gt;=1995")</f>
        <v>7</v>
      </c>
      <c r="L17" s="19" t="n">
        <f aca="false">K17/J17*100</f>
        <v>22.5806451612903</v>
      </c>
      <c r="M17" s="3" t="n">
        <f aca="false">SUMIFS(Seasons!$N$2:$N$2865,Seasons!$A$2:$A$2865,A17,Seasons!$B$2:$B$2865,"&gt;=1995")</f>
        <v>0</v>
      </c>
    </row>
    <row r="18" customFormat="false" ht="15" hidden="false" customHeight="true" outlineLevel="0" collapsed="false">
      <c r="A18" s="7" t="s">
        <v>68</v>
      </c>
      <c r="B18" s="3" t="s">
        <v>55</v>
      </c>
      <c r="C18" s="3" t="n">
        <f aca="false">COUNTIFS(Seasons!$A$2:$A$2865,A18,Seasons!$B$2:$B$2865,"&gt;=1969")</f>
        <v>57</v>
      </c>
      <c r="D18" s="3" t="n">
        <f aca="false">SUMIFS(Seasons!$L$2:$L$2865,Seasons!$A$2:$A$2865,A18,Seasons!$B$2:$B$2865,"&gt;=1969")</f>
        <v>14</v>
      </c>
      <c r="E18" s="3" t="n">
        <f aca="false">SUMIFS(Seasons!$M$2:$M$2865,Seasons!$A$2:$A$2865,A18,Seasons!$B$2:$B$2865,"&gt;=1969")</f>
        <v>2</v>
      </c>
      <c r="F18" s="3" t="n">
        <f aca="false">SUMIFS(Seasons!$N$2:$N$2865,Seasons!$A$2:$A$2865,A18,Seasons!$B$2:$B$2865,"&gt;=1969")</f>
        <v>2</v>
      </c>
      <c r="G18" s="19" t="n">
        <f aca="false">D18/C18*100</f>
        <v>24.5614035087719</v>
      </c>
      <c r="H18" s="19" t="n">
        <f aca="false">E18/C18*100</f>
        <v>3.50877192982456</v>
      </c>
      <c r="I18" s="19" t="n">
        <f aca="false">F18/C18*100</f>
        <v>3.50877192982456</v>
      </c>
      <c r="J18" s="3" t="n">
        <f aca="false">COUNTIFS(Seasons!$A$2:$A$2865,A18,Seasons!$B$2:$B$2865,"&gt;=1995")</f>
        <v>31</v>
      </c>
      <c r="K18" s="3" t="n">
        <f aca="false">SUMIFS(Seasons!$L$2:$L$2865,Seasons!$A$2:$A$2865,A18,Seasons!$B$2:$B$2865,"&gt;=1995")</f>
        <v>10</v>
      </c>
      <c r="L18" s="19" t="n">
        <f aca="false">K18/J18*100</f>
        <v>32.258064516129</v>
      </c>
      <c r="M18" s="3" t="n">
        <f aca="false">SUMIFS(Seasons!$N$2:$N$2865,Seasons!$A$2:$A$2865,A18,Seasons!$B$2:$B$2865,"&gt;=1995")</f>
        <v>0</v>
      </c>
    </row>
    <row r="19" customFormat="false" ht="15" hidden="false" customHeight="true" outlineLevel="0" collapsed="false">
      <c r="A19" s="7" t="s">
        <v>69</v>
      </c>
      <c r="B19" s="3" t="s">
        <v>55</v>
      </c>
      <c r="C19" s="3" t="n">
        <f aca="false">COUNTIFS(Seasons!$A$2:$A$2865,A19,Seasons!$B$2:$B$2865,"&gt;=1969")</f>
        <v>57</v>
      </c>
      <c r="D19" s="3" t="n">
        <f aca="false">SUMIFS(Seasons!$L$2:$L$2865,Seasons!$A$2:$A$2865,A19,Seasons!$B$2:$B$2865,"&gt;=1969")</f>
        <v>21</v>
      </c>
      <c r="E19" s="3" t="n">
        <f aca="false">SUMIFS(Seasons!$M$2:$M$2865,Seasons!$A$2:$A$2865,A19,Seasons!$B$2:$B$2865,"&gt;=1969")</f>
        <v>6</v>
      </c>
      <c r="F19" s="3" t="n">
        <f aca="false">SUMIFS(Seasons!$N$2:$N$2865,Seasons!$A$2:$A$2865,A19,Seasons!$B$2:$B$2865,"&gt;=1969")</f>
        <v>4</v>
      </c>
      <c r="G19" s="19" t="n">
        <f aca="false">D19/C19*100</f>
        <v>36.8421052631579</v>
      </c>
      <c r="H19" s="19" t="n">
        <f aca="false">E19/C19*100</f>
        <v>10.5263157894737</v>
      </c>
      <c r="I19" s="19" t="n">
        <f aca="false">F19/C19*100</f>
        <v>7.01754385964912</v>
      </c>
      <c r="J19" s="3" t="n">
        <f aca="false">COUNTIFS(Seasons!$A$2:$A$2865,A19,Seasons!$B$2:$B$2865,"&gt;=1995")</f>
        <v>31</v>
      </c>
      <c r="K19" s="3" t="n">
        <f aca="false">SUMIFS(Seasons!$L$2:$L$2865,Seasons!$A$2:$A$2865,A19,Seasons!$B$2:$B$2865,"&gt;=1995")</f>
        <v>11</v>
      </c>
      <c r="L19" s="19" t="n">
        <f aca="false">K19/J19*100</f>
        <v>35.4838709677419</v>
      </c>
      <c r="M19" s="3" t="n">
        <f aca="false">SUMIFS(Seasons!$N$2:$N$2865,Seasons!$A$2:$A$2865,A19,Seasons!$B$2:$B$2865,"&gt;=1995")</f>
        <v>0</v>
      </c>
    </row>
    <row r="20" customFormat="false" ht="15" hidden="false" customHeight="true" outlineLevel="0" collapsed="false">
      <c r="A20" s="7" t="s">
        <v>70</v>
      </c>
      <c r="B20" s="3" t="s">
        <v>55</v>
      </c>
      <c r="C20" s="3" t="n">
        <f aca="false">COUNTIFS(Seasons!$A$2:$A$2865,A20,Seasons!$B$2:$B$2865,"&gt;=1969")</f>
        <v>57</v>
      </c>
      <c r="D20" s="3" t="n">
        <f aca="false">SUMIFS(Seasons!$L$2:$L$2865,Seasons!$A$2:$A$2865,A20,Seasons!$B$2:$B$2865,"&gt;=1969")</f>
        <v>31</v>
      </c>
      <c r="E20" s="3" t="n">
        <f aca="false">SUMIFS(Seasons!$M$2:$M$2865,Seasons!$A$2:$A$2865,A20,Seasons!$B$2:$B$2865,"&gt;=1969")</f>
        <v>12</v>
      </c>
      <c r="F20" s="3" t="n">
        <f aca="false">SUMIFS(Seasons!$N$2:$N$2865,Seasons!$A$2:$A$2865,A20,Seasons!$B$2:$B$2865,"&gt;=1969")</f>
        <v>7</v>
      </c>
      <c r="G20" s="19" t="n">
        <f aca="false">D20/C20*100</f>
        <v>54.3859649122807</v>
      </c>
      <c r="H20" s="19" t="n">
        <f aca="false">E20/C20*100</f>
        <v>21.0526315789474</v>
      </c>
      <c r="I20" s="19" t="n">
        <f aca="false">F20/C20*100</f>
        <v>12.280701754386</v>
      </c>
      <c r="J20" s="3" t="n">
        <f aca="false">COUNTIFS(Seasons!$A$2:$A$2865,A20,Seasons!$B$2:$B$2865,"&gt;=1995")</f>
        <v>31</v>
      </c>
      <c r="K20" s="3" t="n">
        <f aca="false">SUMIFS(Seasons!$L$2:$L$2865,Seasons!$A$2:$A$2865,A20,Seasons!$B$2:$B$2865,"&gt;=1995")</f>
        <v>26</v>
      </c>
      <c r="L20" s="19" t="n">
        <f aca="false">K20/J20*100</f>
        <v>83.8709677419355</v>
      </c>
      <c r="M20" s="3" t="n">
        <f aca="false">SUMIFS(Seasons!$N$2:$N$2865,Seasons!$A$2:$A$2865,A20,Seasons!$B$2:$B$2865,"&gt;=1995")</f>
        <v>5</v>
      </c>
    </row>
    <row r="21" customFormat="false" ht="15" hidden="false" customHeight="true" outlineLevel="0" collapsed="false">
      <c r="A21" s="7" t="s">
        <v>71</v>
      </c>
      <c r="B21" s="3" t="s">
        <v>72</v>
      </c>
      <c r="C21" s="3" t="n">
        <f aca="false">COUNTIFS(Seasons!$A$2:$A$2865,A21,Seasons!$B$2:$B$2865,"&gt;=1969")</f>
        <v>57</v>
      </c>
      <c r="D21" s="3" t="n">
        <f aca="false">SUMIFS(Seasons!$L$2:$L$2865,Seasons!$A$2:$A$2865,A21,Seasons!$B$2:$B$2865,"&gt;=1969")</f>
        <v>10</v>
      </c>
      <c r="E21" s="3" t="n">
        <f aca="false">SUMIFS(Seasons!$M$2:$M$2865,Seasons!$A$2:$A$2865,A21,Seasons!$B$2:$B$2865,"&gt;=1969")</f>
        <v>1</v>
      </c>
      <c r="F21" s="3" t="n">
        <f aca="false">SUMIFS(Seasons!$N$2:$N$2865,Seasons!$A$2:$A$2865,A21,Seasons!$B$2:$B$2865,"&gt;=1969")</f>
        <v>1</v>
      </c>
      <c r="G21" s="19" t="n">
        <f aca="false">D21/C21*100</f>
        <v>17.5438596491228</v>
      </c>
      <c r="H21" s="19" t="n">
        <f aca="false">E21/C21*100</f>
        <v>1.75438596491228</v>
      </c>
      <c r="I21" s="19" t="n">
        <f aca="false">F21/C21*100</f>
        <v>1.75438596491228</v>
      </c>
      <c r="J21" s="3" t="n">
        <f aca="false">COUNTIFS(Seasons!$A$2:$A$2865,A21,Seasons!$B$2:$B$2865,"&gt;=1995")</f>
        <v>31</v>
      </c>
      <c r="K21" s="3" t="n">
        <f aca="false">SUMIFS(Seasons!$L$2:$L$2865,Seasons!$A$2:$A$2865,A21,Seasons!$B$2:$B$2865,"&gt;=1995")</f>
        <v>7</v>
      </c>
      <c r="L21" s="19" t="n">
        <f aca="false">K21/J21*100</f>
        <v>22.5806451612903</v>
      </c>
      <c r="M21" s="3" t="n">
        <f aca="false">SUMIFS(Seasons!$N$2:$N$2865,Seasons!$A$2:$A$2865,A21,Seasons!$B$2:$B$2865,"&gt;=1995")</f>
        <v>1</v>
      </c>
    </row>
    <row r="22" customFormat="false" ht="15" hidden="false" customHeight="true" outlineLevel="0" collapsed="false">
      <c r="A22" s="7" t="s">
        <v>73</v>
      </c>
      <c r="B22" s="3" t="s">
        <v>72</v>
      </c>
      <c r="C22" s="3" t="n">
        <f aca="false">COUNTIFS(Seasons!$A$2:$A$2865,A22,Seasons!$B$2:$B$2865,"&gt;=1969")</f>
        <v>57</v>
      </c>
      <c r="D22" s="3" t="n">
        <f aca="false">SUMIFS(Seasons!$L$2:$L$2865,Seasons!$A$2:$A$2865,A22,Seasons!$B$2:$B$2865,"&gt;=1969")</f>
        <v>9</v>
      </c>
      <c r="E22" s="3" t="n">
        <f aca="false">SUMIFS(Seasons!$M$2:$M$2865,Seasons!$A$2:$A$2865,A22,Seasons!$B$2:$B$2865,"&gt;=1969")</f>
        <v>3</v>
      </c>
      <c r="F22" s="3" t="n">
        <f aca="false">SUMIFS(Seasons!$N$2:$N$2865,Seasons!$A$2:$A$2865,A22,Seasons!$B$2:$B$2865,"&gt;=1969")</f>
        <v>1</v>
      </c>
      <c r="G22" s="19" t="n">
        <f aca="false">D22/C22*100</f>
        <v>15.7894736842105</v>
      </c>
      <c r="H22" s="19" t="n">
        <f aca="false">E22/C22*100</f>
        <v>5.26315789473684</v>
      </c>
      <c r="I22" s="19" t="n">
        <f aca="false">F22/C22*100</f>
        <v>1.75438596491228</v>
      </c>
      <c r="J22" s="3" t="n">
        <f aca="false">COUNTIFS(Seasons!$A$2:$A$2865,A22,Seasons!$B$2:$B$2865,"&gt;=1995")</f>
        <v>31</v>
      </c>
      <c r="K22" s="3" t="n">
        <f aca="false">SUMIFS(Seasons!$L$2:$L$2865,Seasons!$A$2:$A$2865,A22,Seasons!$B$2:$B$2865,"&gt;=1995")</f>
        <v>9</v>
      </c>
      <c r="L22" s="19" t="n">
        <f aca="false">K22/J22*100</f>
        <v>29.0322580645161</v>
      </c>
      <c r="M22" s="3" t="n">
        <f aca="false">SUMIFS(Seasons!$N$2:$N$2865,Seasons!$A$2:$A$2865,A22,Seasons!$B$2:$B$2865,"&gt;=1995")</f>
        <v>1</v>
      </c>
    </row>
    <row r="23" customFormat="false" ht="15" hidden="false" customHeight="true" outlineLevel="0" collapsed="false">
      <c r="A23" s="7" t="s">
        <v>74</v>
      </c>
      <c r="B23" s="3" t="s">
        <v>72</v>
      </c>
      <c r="C23" s="3" t="n">
        <f aca="false">COUNTIFS(Seasons!$A$2:$A$2865,A23,Seasons!$B$2:$B$2865,"&gt;=1969")</f>
        <v>57</v>
      </c>
      <c r="D23" s="3" t="n">
        <f aca="false">SUMIFS(Seasons!$L$2:$L$2865,Seasons!$A$2:$A$2865,A23,Seasons!$B$2:$B$2865,"&gt;=1969")</f>
        <v>18</v>
      </c>
      <c r="E23" s="3" t="n">
        <f aca="false">SUMIFS(Seasons!$M$2:$M$2865,Seasons!$A$2:$A$2865,A23,Seasons!$B$2:$B$2865,"&gt;=1969")</f>
        <v>5</v>
      </c>
      <c r="F23" s="3" t="n">
        <f aca="false">SUMIFS(Seasons!$N$2:$N$2865,Seasons!$A$2:$A$2865,A23,Seasons!$B$2:$B$2865,"&gt;=1969")</f>
        <v>2</v>
      </c>
      <c r="G23" s="19" t="n">
        <f aca="false">D23/C23*100</f>
        <v>31.5789473684211</v>
      </c>
      <c r="H23" s="19" t="n">
        <f aca="false">E23/C23*100</f>
        <v>8.7719298245614</v>
      </c>
      <c r="I23" s="19" t="n">
        <f aca="false">F23/C23*100</f>
        <v>3.50877192982456</v>
      </c>
      <c r="J23" s="3" t="n">
        <f aca="false">COUNTIFS(Seasons!$A$2:$A$2865,A23,Seasons!$B$2:$B$2865,"&gt;=1995")</f>
        <v>31</v>
      </c>
      <c r="K23" s="3" t="n">
        <f aca="false">SUMIFS(Seasons!$L$2:$L$2865,Seasons!$A$2:$A$2865,A23,Seasons!$B$2:$B$2865,"&gt;=1995")</f>
        <v>15</v>
      </c>
      <c r="L23" s="19" t="n">
        <f aca="false">K23/J23*100</f>
        <v>48.3870967741936</v>
      </c>
      <c r="M23" s="3" t="n">
        <f aca="false">SUMIFS(Seasons!$N$2:$N$2865,Seasons!$A$2:$A$2865,A23,Seasons!$B$2:$B$2865,"&gt;=1995")</f>
        <v>2</v>
      </c>
    </row>
    <row r="24" customFormat="false" ht="15" hidden="false" customHeight="true" outlineLevel="0" collapsed="false">
      <c r="A24" s="7" t="s">
        <v>75</v>
      </c>
      <c r="B24" s="3" t="s">
        <v>72</v>
      </c>
      <c r="C24" s="3" t="n">
        <f aca="false">COUNTIFS(Seasons!$A$2:$A$2865,A24,Seasons!$B$2:$B$2865,"&gt;=1969")</f>
        <v>57</v>
      </c>
      <c r="D24" s="3" t="n">
        <f aca="false">SUMIFS(Seasons!$L$2:$L$2865,Seasons!$A$2:$A$2865,A24,Seasons!$B$2:$B$2865,"&gt;=1969")</f>
        <v>11</v>
      </c>
      <c r="E24" s="3" t="n">
        <f aca="false">SUMIFS(Seasons!$M$2:$M$2865,Seasons!$A$2:$A$2865,A24,Seasons!$B$2:$B$2865,"&gt;=1969")</f>
        <v>5</v>
      </c>
      <c r="F24" s="3" t="n">
        <f aca="false">SUMIFS(Seasons!$N$2:$N$2865,Seasons!$A$2:$A$2865,A24,Seasons!$B$2:$B$2865,"&gt;=1969")</f>
        <v>2</v>
      </c>
      <c r="G24" s="19" t="n">
        <f aca="false">D24/C24*100</f>
        <v>19.2982456140351</v>
      </c>
      <c r="H24" s="19" t="n">
        <f aca="false">E24/C24*100</f>
        <v>8.7719298245614</v>
      </c>
      <c r="I24" s="19" t="n">
        <f aca="false">F24/C24*100</f>
        <v>3.50877192982456</v>
      </c>
      <c r="J24" s="3" t="n">
        <f aca="false">COUNTIFS(Seasons!$A$2:$A$2865,A24,Seasons!$B$2:$B$2865,"&gt;=1995")</f>
        <v>31</v>
      </c>
      <c r="K24" s="3" t="n">
        <f aca="false">SUMIFS(Seasons!$L$2:$L$2865,Seasons!$A$2:$A$2865,A24,Seasons!$B$2:$B$2865,"&gt;=1995")</f>
        <v>7</v>
      </c>
      <c r="L24" s="19" t="n">
        <f aca="false">K24/J24*100</f>
        <v>22.5806451612903</v>
      </c>
      <c r="M24" s="3" t="n">
        <f aca="false">SUMIFS(Seasons!$N$2:$N$2865,Seasons!$A$2:$A$2865,A24,Seasons!$B$2:$B$2865,"&gt;=1995")</f>
        <v>0</v>
      </c>
    </row>
    <row r="25" customFormat="false" ht="15" hidden="false" customHeight="true" outlineLevel="0" collapsed="false">
      <c r="A25" s="7" t="s">
        <v>76</v>
      </c>
      <c r="B25" s="3" t="s">
        <v>72</v>
      </c>
      <c r="C25" s="3" t="n">
        <f aca="false">COUNTIFS(Seasons!$A$2:$A$2865,A25,Seasons!$B$2:$B$2865,"&gt;=1969")</f>
        <v>57</v>
      </c>
      <c r="D25" s="3" t="n">
        <f aca="false">SUMIFS(Seasons!$L$2:$L$2865,Seasons!$A$2:$A$2865,A25,Seasons!$B$2:$B$2865,"&gt;=1969")</f>
        <v>10</v>
      </c>
      <c r="E25" s="3" t="n">
        <f aca="false">SUMIFS(Seasons!$M$2:$M$2865,Seasons!$A$2:$A$2865,A25,Seasons!$B$2:$B$2865,"&gt;=1969")</f>
        <v>4</v>
      </c>
      <c r="F25" s="3" t="n">
        <f aca="false">SUMIFS(Seasons!$N$2:$N$2865,Seasons!$A$2:$A$2865,A25,Seasons!$B$2:$B$2865,"&gt;=1969")</f>
        <v>2</v>
      </c>
      <c r="G25" s="19" t="n">
        <f aca="false">D25/C25*100</f>
        <v>17.5438596491228</v>
      </c>
      <c r="H25" s="19" t="n">
        <f aca="false">E25/C25*100</f>
        <v>7.01754385964912</v>
      </c>
      <c r="I25" s="19" t="n">
        <f aca="false">F25/C25*100</f>
        <v>3.50877192982456</v>
      </c>
      <c r="J25" s="3" t="n">
        <f aca="false">COUNTIFS(Seasons!$A$2:$A$2865,A25,Seasons!$B$2:$B$2865,"&gt;=1995")</f>
        <v>31</v>
      </c>
      <c r="K25" s="3" t="n">
        <f aca="false">SUMIFS(Seasons!$L$2:$L$2865,Seasons!$A$2:$A$2865,A25,Seasons!$B$2:$B$2865,"&gt;=1995")</f>
        <v>3</v>
      </c>
      <c r="L25" s="19" t="n">
        <f aca="false">K25/J25*100</f>
        <v>9.67741935483871</v>
      </c>
      <c r="M25" s="3" t="n">
        <f aca="false">SUMIFS(Seasons!$N$2:$N$2865,Seasons!$A$2:$A$2865,A25,Seasons!$B$2:$B$2865,"&gt;=1995")</f>
        <v>1</v>
      </c>
    </row>
    <row r="26" customFormat="false" ht="15" hidden="false" customHeight="true" outlineLevel="0" collapsed="false">
      <c r="A26" s="7" t="s">
        <v>77</v>
      </c>
      <c r="B26" s="3" t="s">
        <v>72</v>
      </c>
      <c r="C26" s="3" t="n">
        <f aca="false">COUNTIFS(Seasons!$A$2:$A$2865,A26,Seasons!$B$2:$B$2865,"&gt;=1969")</f>
        <v>57</v>
      </c>
      <c r="D26" s="3" t="n">
        <f aca="false">SUMIFS(Seasons!$L$2:$L$2865,Seasons!$A$2:$A$2865,A26,Seasons!$B$2:$B$2865,"&gt;=1969")</f>
        <v>11</v>
      </c>
      <c r="E26" s="3" t="n">
        <f aca="false">SUMIFS(Seasons!$M$2:$M$2865,Seasons!$A$2:$A$2865,A26,Seasons!$B$2:$B$2865,"&gt;=1969")</f>
        <v>1</v>
      </c>
      <c r="F26" s="3" t="n">
        <f aca="false">SUMIFS(Seasons!$N$2:$N$2865,Seasons!$A$2:$A$2865,A26,Seasons!$B$2:$B$2865,"&gt;=1969")</f>
        <v>0</v>
      </c>
      <c r="G26" s="19" t="n">
        <f aca="false">D26/C26*100</f>
        <v>19.2982456140351</v>
      </c>
      <c r="H26" s="19" t="n">
        <f aca="false">E26/C26*100</f>
        <v>1.75438596491228</v>
      </c>
      <c r="I26" s="19" t="n">
        <f aca="false">F26/C26*100</f>
        <v>0</v>
      </c>
      <c r="J26" s="3" t="n">
        <f aca="false">COUNTIFS(Seasons!$A$2:$A$2865,A26,Seasons!$B$2:$B$2865,"&gt;=1995")</f>
        <v>31</v>
      </c>
      <c r="K26" s="3" t="n">
        <f aca="false">SUMIFS(Seasons!$L$2:$L$2865,Seasons!$A$2:$A$2865,A26,Seasons!$B$2:$B$2865,"&gt;=1995")</f>
        <v>9</v>
      </c>
      <c r="L26" s="19" t="n">
        <f aca="false">K26/J26*100</f>
        <v>29.0322580645161</v>
      </c>
      <c r="M26" s="3" t="n">
        <f aca="false">SUMIFS(Seasons!$N$2:$N$2865,Seasons!$A$2:$A$2865,A26,Seasons!$B$2:$B$2865,"&gt;=1995")</f>
        <v>0</v>
      </c>
    </row>
    <row r="27" customFormat="false" ht="15" hidden="false" customHeight="true" outlineLevel="0" collapsed="false">
      <c r="A27" s="7" t="s">
        <v>78</v>
      </c>
      <c r="B27" s="3" t="s">
        <v>72</v>
      </c>
      <c r="C27" s="3" t="n">
        <f aca="false">COUNTIFS(Seasons!$A$2:$A$2865,A27,Seasons!$B$2:$B$2865,"&gt;=1969")</f>
        <v>57</v>
      </c>
      <c r="D27" s="3" t="n">
        <f aca="false">SUMIFS(Seasons!$L$2:$L$2865,Seasons!$A$2:$A$2865,A27,Seasons!$B$2:$B$2865,"&gt;=1969")</f>
        <v>9</v>
      </c>
      <c r="E27" s="3" t="n">
        <f aca="false">SUMIFS(Seasons!$M$2:$M$2865,Seasons!$A$2:$A$2865,A27,Seasons!$B$2:$B$2865,"&gt;=1969")</f>
        <v>2</v>
      </c>
      <c r="F27" s="3" t="n">
        <f aca="false">SUMIFS(Seasons!$N$2:$N$2865,Seasons!$A$2:$A$2865,A27,Seasons!$B$2:$B$2865,"&gt;=1969")</f>
        <v>0</v>
      </c>
      <c r="G27" s="19" t="n">
        <f aca="false">D27/C27*100</f>
        <v>15.7894736842105</v>
      </c>
      <c r="H27" s="19" t="n">
        <f aca="false">E27/C27*100</f>
        <v>3.50877192982456</v>
      </c>
      <c r="I27" s="19" t="n">
        <f aca="false">F27/C27*100</f>
        <v>0</v>
      </c>
      <c r="J27" s="3" t="n">
        <f aca="false">COUNTIFS(Seasons!$A$2:$A$2865,A27,Seasons!$B$2:$B$2865,"&gt;=1995")</f>
        <v>31</v>
      </c>
      <c r="K27" s="3" t="n">
        <f aca="false">SUMIFS(Seasons!$L$2:$L$2865,Seasons!$A$2:$A$2865,A27,Seasons!$B$2:$B$2865,"&gt;=1995")</f>
        <v>8</v>
      </c>
      <c r="L27" s="19" t="n">
        <f aca="false">K27/J27*100</f>
        <v>25.8064516129032</v>
      </c>
      <c r="M27" s="3" t="n">
        <f aca="false">SUMIFS(Seasons!$N$2:$N$2865,Seasons!$A$2:$A$2865,A27,Seasons!$B$2:$B$2865,"&gt;=1995")</f>
        <v>0</v>
      </c>
    </row>
    <row r="28" customFormat="false" ht="15" hidden="false" customHeight="true" outlineLevel="0" collapsed="false">
      <c r="A28" s="7" t="s">
        <v>79</v>
      </c>
      <c r="B28" s="3" t="s">
        <v>72</v>
      </c>
      <c r="C28" s="3" t="n">
        <f aca="false">COUNTIFS(Seasons!$A$2:$A$2865,A28,Seasons!$B$2:$B$2865,"&gt;=1969")</f>
        <v>57</v>
      </c>
      <c r="D28" s="3" t="n">
        <f aca="false">SUMIFS(Seasons!$L$2:$L$2865,Seasons!$A$2:$A$2865,A28,Seasons!$B$2:$B$2865,"&gt;=1969")</f>
        <v>6</v>
      </c>
      <c r="E28" s="3" t="n">
        <f aca="false">SUMIFS(Seasons!$M$2:$M$2865,Seasons!$A$2:$A$2865,A28,Seasons!$B$2:$B$2865,"&gt;=1969")</f>
        <v>1</v>
      </c>
      <c r="F28" s="3" t="n">
        <f aca="false">SUMIFS(Seasons!$N$2:$N$2865,Seasons!$A$2:$A$2865,A28,Seasons!$B$2:$B$2865,"&gt;=1969")</f>
        <v>1</v>
      </c>
      <c r="G28" s="19" t="n">
        <f aca="false">D28/C28*100</f>
        <v>10.5263157894737</v>
      </c>
      <c r="H28" s="19" t="n">
        <f aca="false">E28/C28*100</f>
        <v>1.75438596491228</v>
      </c>
      <c r="I28" s="19" t="n">
        <f aca="false">F28/C28*100</f>
        <v>1.75438596491228</v>
      </c>
      <c r="J28" s="3" t="n">
        <f aca="false">COUNTIFS(Seasons!$A$2:$A$2865,A28,Seasons!$B$2:$B$2865,"&gt;=1995")</f>
        <v>31</v>
      </c>
      <c r="K28" s="3" t="n">
        <f aca="false">SUMIFS(Seasons!$L$2:$L$2865,Seasons!$A$2:$A$2865,A28,Seasons!$B$2:$B$2865,"&gt;=1995")</f>
        <v>5</v>
      </c>
      <c r="L28" s="19" t="n">
        <f aca="false">K28/J28*100</f>
        <v>16.1290322580645</v>
      </c>
      <c r="M28" s="3" t="n">
        <f aca="false">SUMIFS(Seasons!$N$2:$N$2865,Seasons!$A$2:$A$2865,A28,Seasons!$B$2:$B$2865,"&gt;=1995")</f>
        <v>1</v>
      </c>
    </row>
    <row r="29" customFormat="false" ht="15" hidden="false" customHeight="true" outlineLevel="0" collapsed="false">
      <c r="A29" s="7" t="s">
        <v>80</v>
      </c>
      <c r="B29" s="3" t="s">
        <v>72</v>
      </c>
      <c r="C29" s="3" t="n">
        <f aca="false">COUNTIFS(Seasons!$A$2:$A$2865,A29,Seasons!$B$2:$B$2865,"&gt;=1969")</f>
        <v>49</v>
      </c>
      <c r="D29" s="3" t="n">
        <f aca="false">SUMIFS(Seasons!$L$2:$L$2865,Seasons!$A$2:$A$2865,A29,Seasons!$B$2:$B$2865,"&gt;=1969")</f>
        <v>6</v>
      </c>
      <c r="E29" s="3" t="n">
        <f aca="false">SUMIFS(Seasons!$M$2:$M$2865,Seasons!$A$2:$A$2865,A29,Seasons!$B$2:$B$2865,"&gt;=1969")</f>
        <v>0</v>
      </c>
      <c r="F29" s="3" t="n">
        <f aca="false">SUMIFS(Seasons!$N$2:$N$2865,Seasons!$A$2:$A$2865,A29,Seasons!$B$2:$B$2865,"&gt;=1969")</f>
        <v>0</v>
      </c>
      <c r="G29" s="19" t="n">
        <f aca="false">D29/C29*100</f>
        <v>12.2448979591837</v>
      </c>
      <c r="H29" s="19" t="n">
        <f aca="false">E29/C29*100</f>
        <v>0</v>
      </c>
      <c r="I29" s="19" t="n">
        <f aca="false">F29/C29*100</f>
        <v>0</v>
      </c>
      <c r="J29" s="3" t="n">
        <f aca="false">COUNTIFS(Seasons!$A$2:$A$2865,A29,Seasons!$B$2:$B$2865,"&gt;=1995")</f>
        <v>31</v>
      </c>
      <c r="K29" s="3" t="n">
        <f aca="false">SUMIFS(Seasons!$L$2:$L$2865,Seasons!$A$2:$A$2865,A29,Seasons!$B$2:$B$2865,"&gt;=1995")</f>
        <v>6</v>
      </c>
      <c r="L29" s="19" t="n">
        <f aca="false">K29/J29*100</f>
        <v>19.3548387096774</v>
      </c>
      <c r="M29" s="3" t="n">
        <f aca="false">SUMIFS(Seasons!$N$2:$N$2865,Seasons!$A$2:$A$2865,A29,Seasons!$B$2:$B$2865,"&gt;=1995")</f>
        <v>0</v>
      </c>
    </row>
    <row r="30" customFormat="false" ht="15" hidden="false" customHeight="true" outlineLevel="0" collapsed="false">
      <c r="A30" s="7" t="s">
        <v>81</v>
      </c>
      <c r="B30" s="3" t="s">
        <v>72</v>
      </c>
      <c r="C30" s="3" t="n">
        <f aca="false">COUNTIFS(Seasons!$A$2:$A$2865,A30,Seasons!$B$2:$B$2865,"&gt;=1969")</f>
        <v>49</v>
      </c>
      <c r="D30" s="3" t="n">
        <f aca="false">SUMIFS(Seasons!$L$2:$L$2865,Seasons!$A$2:$A$2865,A30,Seasons!$B$2:$B$2865,"&gt;=1969")</f>
        <v>11</v>
      </c>
      <c r="E30" s="3" t="n">
        <f aca="false">SUMIFS(Seasons!$M$2:$M$2865,Seasons!$A$2:$A$2865,A30,Seasons!$B$2:$B$2865,"&gt;=1969")</f>
        <v>3</v>
      </c>
      <c r="F30" s="3" t="n">
        <f aca="false">SUMIFS(Seasons!$N$2:$N$2865,Seasons!$A$2:$A$2865,A30,Seasons!$B$2:$B$2865,"&gt;=1969")</f>
        <v>2</v>
      </c>
      <c r="G30" s="19" t="n">
        <f aca="false">D30/C30*100</f>
        <v>22.4489795918367</v>
      </c>
      <c r="H30" s="19" t="n">
        <f aca="false">E30/C30*100</f>
        <v>6.12244897959184</v>
      </c>
      <c r="I30" s="19" t="n">
        <f aca="false">F30/C30*100</f>
        <v>4.08163265306123</v>
      </c>
      <c r="J30" s="3" t="n">
        <f aca="false">COUNTIFS(Seasons!$A$2:$A$2865,A30,Seasons!$B$2:$B$2865,"&gt;=1995")</f>
        <v>31</v>
      </c>
      <c r="K30" s="3" t="n">
        <f aca="false">SUMIFS(Seasons!$L$2:$L$2865,Seasons!$A$2:$A$2865,A30,Seasons!$B$2:$B$2865,"&gt;=1995")</f>
        <v>6</v>
      </c>
      <c r="L30" s="19" t="n">
        <f aca="false">K30/J30*100</f>
        <v>19.3548387096774</v>
      </c>
      <c r="M30" s="3" t="n">
        <f aca="false">SUMIFS(Seasons!$N$2:$N$2865,Seasons!$A$2:$A$2865,A30,Seasons!$B$2:$B$2865,"&gt;=1995")</f>
        <v>0</v>
      </c>
    </row>
    <row r="31" customFormat="false" ht="15" hidden="false" customHeight="true" outlineLevel="0" collapsed="false">
      <c r="A31" s="7" t="s">
        <v>82</v>
      </c>
      <c r="B31" s="3" t="s">
        <v>72</v>
      </c>
      <c r="C31" s="3" t="n">
        <f aca="false">COUNTIFS(Seasons!$A$2:$A$2865,A31,Seasons!$B$2:$B$2865,"&gt;=1969")</f>
        <v>33</v>
      </c>
      <c r="D31" s="3" t="n">
        <f aca="false">SUMIFS(Seasons!$L$2:$L$2865,Seasons!$A$2:$A$2865,A31,Seasons!$B$2:$B$2865,"&gt;=1969")</f>
        <v>5</v>
      </c>
      <c r="E31" s="3" t="n">
        <f aca="false">SUMIFS(Seasons!$M$2:$M$2865,Seasons!$A$2:$A$2865,A31,Seasons!$B$2:$B$2865,"&gt;=1969")</f>
        <v>1</v>
      </c>
      <c r="F31" s="3" t="n">
        <f aca="false">SUMIFS(Seasons!$N$2:$N$2865,Seasons!$A$2:$A$2865,A31,Seasons!$B$2:$B$2865,"&gt;=1969")</f>
        <v>0</v>
      </c>
      <c r="G31" s="19" t="n">
        <f aca="false">D31/C31*100</f>
        <v>15.1515151515152</v>
      </c>
      <c r="H31" s="19" t="n">
        <f aca="false">E31/C31*100</f>
        <v>3.03030303030303</v>
      </c>
      <c r="I31" s="19" t="n">
        <f aca="false">F31/C31*100</f>
        <v>0</v>
      </c>
      <c r="J31" s="3" t="n">
        <f aca="false">COUNTIFS(Seasons!$A$2:$A$2865,A31,Seasons!$B$2:$B$2865,"&gt;=1995")</f>
        <v>31</v>
      </c>
      <c r="K31" s="3" t="n">
        <f aca="false">SUMIFS(Seasons!$L$2:$L$2865,Seasons!$A$2:$A$2865,A31,Seasons!$B$2:$B$2865,"&gt;=1995")</f>
        <v>5</v>
      </c>
      <c r="L31" s="19" t="n">
        <f aca="false">K31/J31*100</f>
        <v>16.1290322580645</v>
      </c>
      <c r="M31" s="3" t="n">
        <f aca="false">SUMIFS(Seasons!$N$2:$N$2865,Seasons!$A$2:$A$2865,A31,Seasons!$B$2:$B$2865,"&gt;=1995")</f>
        <v>0</v>
      </c>
    </row>
    <row r="32" customFormat="false" ht="15" hidden="false" customHeight="true" outlineLevel="0" collapsed="false">
      <c r="A32" s="7" t="s">
        <v>83</v>
      </c>
      <c r="B32" s="3" t="s">
        <v>72</v>
      </c>
      <c r="C32" s="3" t="n">
        <f aca="false">COUNTIFS(Seasons!$A$2:$A$2865,A32,Seasons!$B$2:$B$2865,"&gt;=1969")</f>
        <v>33</v>
      </c>
      <c r="D32" s="3" t="n">
        <f aca="false">SUMIFS(Seasons!$L$2:$L$2865,Seasons!$A$2:$A$2865,A32,Seasons!$B$2:$B$2865,"&gt;=1969")</f>
        <v>4</v>
      </c>
      <c r="E32" s="3" t="n">
        <f aca="false">SUMIFS(Seasons!$M$2:$M$2865,Seasons!$A$2:$A$2865,A32,Seasons!$B$2:$B$2865,"&gt;=1969")</f>
        <v>2</v>
      </c>
      <c r="F32" s="3" t="n">
        <f aca="false">SUMIFS(Seasons!$N$2:$N$2865,Seasons!$A$2:$A$2865,A32,Seasons!$B$2:$B$2865,"&gt;=1969")</f>
        <v>2</v>
      </c>
      <c r="G32" s="19" t="n">
        <f aca="false">D32/C32*100</f>
        <v>12.1212121212121</v>
      </c>
      <c r="H32" s="19" t="n">
        <f aca="false">E32/C32*100</f>
        <v>6.06060606060606</v>
      </c>
      <c r="I32" s="19" t="n">
        <f aca="false">F32/C32*100</f>
        <v>6.06060606060606</v>
      </c>
      <c r="J32" s="3" t="n">
        <f aca="false">COUNTIFS(Seasons!$A$2:$A$2865,A32,Seasons!$B$2:$B$2865,"&gt;=1995")</f>
        <v>31</v>
      </c>
      <c r="K32" s="3" t="n">
        <f aca="false">SUMIFS(Seasons!$L$2:$L$2865,Seasons!$A$2:$A$2865,A32,Seasons!$B$2:$B$2865,"&gt;=1995")</f>
        <v>4</v>
      </c>
      <c r="L32" s="19" t="n">
        <f aca="false">K32/J32*100</f>
        <v>12.9032258064516</v>
      </c>
      <c r="M32" s="3" t="n">
        <f aca="false">SUMIFS(Seasons!$N$2:$N$2865,Seasons!$A$2:$A$2865,A32,Seasons!$B$2:$B$2865,"&gt;=1995")</f>
        <v>2</v>
      </c>
    </row>
    <row r="33" customFormat="false" ht="15" hidden="false" customHeight="true" outlineLevel="0" collapsed="false">
      <c r="A33" s="7" t="s">
        <v>84</v>
      </c>
      <c r="B33" s="3" t="s">
        <v>72</v>
      </c>
      <c r="C33" s="3" t="n">
        <f aca="false">COUNTIFS(Seasons!$A$2:$A$2865,A33,Seasons!$B$2:$B$2865,"&gt;=1969")</f>
        <v>28</v>
      </c>
      <c r="D33" s="3" t="n">
        <f aca="false">SUMIFS(Seasons!$L$2:$L$2865,Seasons!$A$2:$A$2865,A33,Seasons!$B$2:$B$2865,"&gt;=1969")</f>
        <v>7</v>
      </c>
      <c r="E33" s="3" t="n">
        <f aca="false">SUMIFS(Seasons!$M$2:$M$2865,Seasons!$A$2:$A$2865,A33,Seasons!$B$2:$B$2865,"&gt;=1969")</f>
        <v>2</v>
      </c>
      <c r="F33" s="3" t="n">
        <f aca="false">SUMIFS(Seasons!$N$2:$N$2865,Seasons!$A$2:$A$2865,A33,Seasons!$B$2:$B$2865,"&gt;=1969")</f>
        <v>1</v>
      </c>
      <c r="G33" s="19" t="n">
        <f aca="false">D33/C33*100</f>
        <v>25</v>
      </c>
      <c r="H33" s="19" t="n">
        <f aca="false">E33/C33*100</f>
        <v>7.14285714285714</v>
      </c>
      <c r="I33" s="19" t="n">
        <f aca="false">F33/C33*100</f>
        <v>3.57142857142857</v>
      </c>
      <c r="J33" s="3" t="n">
        <f aca="false">COUNTIFS(Seasons!$A$2:$A$2865,A33,Seasons!$B$2:$B$2865,"&gt;=1995")</f>
        <v>28</v>
      </c>
      <c r="K33" s="3" t="n">
        <f aca="false">SUMIFS(Seasons!$L$2:$L$2865,Seasons!$A$2:$A$2865,A33,Seasons!$B$2:$B$2865,"&gt;=1995")</f>
        <v>7</v>
      </c>
      <c r="L33" s="19" t="n">
        <f aca="false">K33/J33*100</f>
        <v>25</v>
      </c>
      <c r="M33" s="3" t="n">
        <f aca="false">SUMIFS(Seasons!$N$2:$N$2865,Seasons!$A$2:$A$2865,A33,Seasons!$B$2:$B$2865,"&gt;=1995")</f>
        <v>1</v>
      </c>
    </row>
    <row r="34" customFormat="false" ht="15" hidden="false" customHeight="true" outlineLevel="0" collapsed="false">
      <c r="A34" s="7" t="s">
        <v>85</v>
      </c>
      <c r="B34" s="3" t="s">
        <v>72</v>
      </c>
      <c r="C34" s="3" t="n">
        <f aca="false">COUNTIFS(Seasons!$A$2:$A$2865,A34,Seasons!$B$2:$B$2865,"&gt;=1969")</f>
        <v>28</v>
      </c>
      <c r="D34" s="3" t="n">
        <f aca="false">SUMIFS(Seasons!$L$2:$L$2865,Seasons!$A$2:$A$2865,A34,Seasons!$B$2:$B$2865,"&gt;=1969")</f>
        <v>9</v>
      </c>
      <c r="E34" s="3" t="n">
        <f aca="false">SUMIFS(Seasons!$M$2:$M$2865,Seasons!$A$2:$A$2865,A34,Seasons!$B$2:$B$2865,"&gt;=1969")</f>
        <v>2</v>
      </c>
      <c r="F34" s="3" t="n">
        <f aca="false">SUMIFS(Seasons!$N$2:$N$2865,Seasons!$A$2:$A$2865,A34,Seasons!$B$2:$B$2865,"&gt;=1969")</f>
        <v>0</v>
      </c>
      <c r="G34" s="19" t="n">
        <f aca="false">D34/C34*100</f>
        <v>32.1428571428571</v>
      </c>
      <c r="H34" s="19" t="n">
        <f aca="false">E34/C34*100</f>
        <v>7.14285714285714</v>
      </c>
      <c r="I34" s="19" t="n">
        <f aca="false">F34/C34*100</f>
        <v>0</v>
      </c>
      <c r="J34" s="3" t="n">
        <f aca="false">COUNTIFS(Seasons!$A$2:$A$2865,A34,Seasons!$B$2:$B$2865,"&gt;=1995")</f>
        <v>28</v>
      </c>
      <c r="K34" s="3" t="n">
        <f aca="false">SUMIFS(Seasons!$L$2:$L$2865,Seasons!$A$2:$A$2865,A34,Seasons!$B$2:$B$2865,"&gt;=1995")</f>
        <v>9</v>
      </c>
      <c r="L34" s="19" t="n">
        <f aca="false">K34/J34*100</f>
        <v>32.1428571428571</v>
      </c>
      <c r="M34" s="3" t="n">
        <f aca="false">SUMIFS(Seasons!$N$2:$N$2865,Seasons!$A$2:$A$2865,A34,Seasons!$B$2:$B$2865,"&gt;=1995")</f>
        <v>0</v>
      </c>
    </row>
    <row r="36" customFormat="false" ht="15" hidden="false" customHeight="true" outlineLevel="0" collapsed="false">
      <c r="A36" s="9" t="s">
        <v>209</v>
      </c>
      <c r="C36" s="3" t="n">
        <f aca="false">SUMIFS(C$5:C$34,$B$5:$B$34,"Expansion")</f>
        <v>676</v>
      </c>
      <c r="D36" s="3" t="n">
        <f aca="false">SUMIFS(D$5:D$34,$B$5:$B$34,"Expansion")</f>
        <v>126</v>
      </c>
      <c r="E36" s="3" t="n">
        <f aca="false">SUMIFS(E$5:E$34,$B$5:$B$34,"Expansion")</f>
        <v>32</v>
      </c>
      <c r="F36" s="3" t="n">
        <f aca="false">SUMIFS(F$5:F$34,$B$5:$B$34,"Expansion")</f>
        <v>14</v>
      </c>
      <c r="G36" s="19" t="n">
        <f aca="false">D36/C36*100</f>
        <v>18.6390532544379</v>
      </c>
      <c r="H36" s="19" t="n">
        <f aca="false">E36/C36*100</f>
        <v>4.73372781065089</v>
      </c>
      <c r="I36" s="19" t="n">
        <f aca="false">F36/C36*100</f>
        <v>2.07100591715976</v>
      </c>
      <c r="J36" s="3" t="n">
        <f aca="false">SUMIFS(J$5:J$34,$B$5:$B$34,"Expansion")</f>
        <v>428</v>
      </c>
      <c r="K36" s="3" t="n">
        <f aca="false">SUMIFS(K$5:K$34,$B$5:$B$34,"Expansion")</f>
        <v>100</v>
      </c>
      <c r="L36" s="19" t="n">
        <f aca="false">K36/J36*100</f>
        <v>23.3644859813084</v>
      </c>
      <c r="M36" s="3" t="n">
        <f aca="false">SUMIFS(M$5:M$34,$B$5:$B$34,"Expansion")</f>
        <v>9</v>
      </c>
    </row>
    <row r="37" customFormat="false" ht="15" hidden="false" customHeight="true" outlineLevel="0" collapsed="false">
      <c r="A37" s="9" t="s">
        <v>210</v>
      </c>
      <c r="C37" s="3" t="n">
        <f aca="false">SUMIFS(C$5:C$34,$B$5:$B$34,"Established")</f>
        <v>912</v>
      </c>
      <c r="D37" s="3" t="n">
        <f aca="false">SUMIFS(D$5:D$34,$B$5:$B$34,"Established")</f>
        <v>268</v>
      </c>
      <c r="E37" s="3" t="n">
        <f aca="false">SUMIFS(E$5:E$34,$B$5:$B$34,"Established")</f>
        <v>80</v>
      </c>
      <c r="F37" s="3" t="n">
        <f aca="false">SUMIFS(F$5:F$34,$B$5:$B$34,"Established")</f>
        <v>42</v>
      </c>
      <c r="G37" s="19" t="n">
        <f aca="false">D37/C37*100</f>
        <v>29.3859649122807</v>
      </c>
      <c r="H37" s="19" t="n">
        <f aca="false">E37/C37*100</f>
        <v>8.7719298245614</v>
      </c>
      <c r="I37" s="19" t="n">
        <f aca="false">F37/C37*100</f>
        <v>4.60526315789474</v>
      </c>
      <c r="J37" s="3" t="n">
        <f aca="false">SUMIFS(J$5:J$34,$B$5:$B$34,"Established")</f>
        <v>496</v>
      </c>
      <c r="K37" s="3" t="n">
        <f aca="false">SUMIFS(K$5:K$34,$B$5:$B$34,"Established")</f>
        <v>190</v>
      </c>
      <c r="L37" s="19" t="n">
        <f aca="false">K37/J37*100</f>
        <v>38.3064516129032</v>
      </c>
      <c r="M37" s="3" t="n">
        <f aca="false">SUMIFS(M$5:M$34,$B$5:$B$34,"Established")</f>
        <v>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10" min="2" style="1" width="14"/>
  </cols>
  <sheetData>
    <row r="1" customFormat="false" ht="17.25" hidden="false" customHeight="true" outlineLevel="0" collapsed="false">
      <c r="A1" s="2" t="s">
        <v>211</v>
      </c>
    </row>
    <row r="2" customFormat="false" ht="15" hidden="false" customHeight="true" outlineLevel="0" collapsed="false">
      <c r="A2" s="3" t="s">
        <v>212</v>
      </c>
    </row>
    <row r="4" customFormat="false" ht="60" hidden="false" customHeight="true" outlineLevel="0" collapsed="false">
      <c r="A4" s="4" t="s">
        <v>213</v>
      </c>
      <c r="B4" s="4" t="s">
        <v>89</v>
      </c>
      <c r="C4" s="4" t="s">
        <v>90</v>
      </c>
      <c r="D4" s="4" t="s">
        <v>214</v>
      </c>
      <c r="E4" s="4" t="s">
        <v>215</v>
      </c>
      <c r="F4" s="4" t="s">
        <v>216</v>
      </c>
      <c r="G4" s="4" t="s">
        <v>217</v>
      </c>
      <c r="H4" s="4" t="s">
        <v>218</v>
      </c>
      <c r="I4" s="4" t="s">
        <v>219</v>
      </c>
      <c r="J4" s="4" t="s">
        <v>220</v>
      </c>
    </row>
    <row r="5" customFormat="false" ht="15" hidden="false" customHeight="true" outlineLevel="0" collapsed="false">
      <c r="A5" s="3" t="s">
        <v>221</v>
      </c>
      <c r="B5" s="7" t="n">
        <v>0</v>
      </c>
      <c r="C5" s="7" t="n">
        <v>4</v>
      </c>
      <c r="D5" s="10" t="n">
        <f aca="false">IFERROR(AVERAGEIFS(Market_Panel!$M$2:$M$2705,Market_Panel!$Q$2:$Q$2705,1,Market_Panel!$U$2:$U$2705,"&gt;="&amp;B5,Market_Panel!$U$2:$U$2705,"&lt;="&amp;C5),"")</f>
        <v>-0.0767209751139782</v>
      </c>
      <c r="E5" s="3" t="n">
        <f aca="false">COUNTIFS(Market_Panel!$Q$2:$Q$2705,1,Market_Panel!$U$2:$U$2705,"&gt;="&amp;B5,Market_Panel!$U$2:$U$2705,"&lt;="&amp;C5)</f>
        <v>70</v>
      </c>
      <c r="F5" s="10" t="n">
        <f aca="false">IFERROR(AVERAGEIFS(Market_Panel!$M$2:$M$2705,Market_Panel!$Q$2:$Q$2705,1,Market_Panel!$U$2:$U$2705,"&gt;="&amp;B5,Market_Panel!$U$2:$U$2705,"&lt;="&amp;C5,Market_Panel!$T$2:$T$2705,"&gt;=1961",Market_Panel!$T$2:$T$2705,"&lt;=1962"),"")</f>
        <v>-0.102259908662611</v>
      </c>
      <c r="G5" s="10" t="n">
        <f aca="false">IFERROR(AVERAGEIFS(Market_Panel!$M$2:$M$2705,Market_Panel!$Q$2:$Q$2705,1,Market_Panel!$U$2:$U$2705,"&gt;="&amp;B5,Market_Panel!$U$2:$U$2705,"&lt;="&amp;C5,Market_Panel!$T$2:$T$2705,"&gt;=1969",Market_Panel!$T$2:$T$2705,"&lt;=1969"),"")</f>
        <v>-0.0761378399734352</v>
      </c>
      <c r="H5" s="10" t="n">
        <f aca="false">IFERROR(AVERAGEIFS(Market_Panel!$M$2:$M$2705,Market_Panel!$Q$2:$Q$2705,1,Market_Panel!$U$2:$U$2705,"&gt;="&amp;B5,Market_Panel!$U$2:$U$2705,"&lt;="&amp;C5,Market_Panel!$T$2:$T$2705,"&gt;=1977",Market_Panel!$T$2:$T$2705,"&lt;=1977"),"")</f>
        <v>-0.128089402519706</v>
      </c>
      <c r="I5" s="10" t="n">
        <f aca="false">IFERROR(AVERAGEIFS(Market_Panel!$M$2:$M$2705,Market_Panel!$Q$2:$Q$2705,1,Market_Panel!$U$2:$U$2705,"&gt;="&amp;B5,Market_Panel!$U$2:$U$2705,"&lt;="&amp;C5,Market_Panel!$T$2:$T$2705,"&gt;=1993",Market_Panel!$T$2:$T$2705,"&lt;=1998"),"")</f>
        <v>-0.0260809630030243</v>
      </c>
      <c r="J5" s="10" t="n">
        <f aca="false">AVERAGEIFS(Market_Panel!$M$2:$M$2705,Market_Panel!$Q$2:$Q$2705,0)</f>
        <v>0.00602295407585889</v>
      </c>
    </row>
    <row r="6" customFormat="false" ht="15" hidden="false" customHeight="true" outlineLevel="0" collapsed="false">
      <c r="A6" s="3" t="s">
        <v>222</v>
      </c>
      <c r="B6" s="7" t="n">
        <v>5</v>
      </c>
      <c r="C6" s="7" t="n">
        <v>9</v>
      </c>
      <c r="D6" s="10" t="n">
        <f aca="false">IFERROR(AVERAGEIFS(Market_Panel!$M$2:$M$2705,Market_Panel!$Q$2:$Q$2705,1,Market_Panel!$U$2:$U$2705,"&gt;="&amp;B6,Market_Panel!$U$2:$U$2705,"&lt;="&amp;C6),"")</f>
        <v>-0.0320597848400863</v>
      </c>
      <c r="E6" s="3" t="n">
        <f aca="false">COUNTIFS(Market_Panel!$Q$2:$Q$2705,1,Market_Panel!$U$2:$U$2705,"&gt;="&amp;B6,Market_Panel!$U$2:$U$2705,"&lt;="&amp;C6)</f>
        <v>70</v>
      </c>
      <c r="F6" s="10" t="n">
        <f aca="false">IFERROR(AVERAGEIFS(Market_Panel!$M$2:$M$2705,Market_Panel!$Q$2:$Q$2705,1,Market_Panel!$U$2:$U$2705,"&gt;="&amp;B6,Market_Panel!$U$2:$U$2705,"&lt;="&amp;C6,Market_Panel!$T$2:$T$2705,"&gt;=1961",Market_Panel!$T$2:$T$2705,"&lt;=1962"),"")</f>
        <v>-0.0250658040358023</v>
      </c>
      <c r="G6" s="10" t="n">
        <f aca="false">IFERROR(AVERAGEIFS(Market_Panel!$M$2:$M$2705,Market_Panel!$Q$2:$Q$2705,1,Market_Panel!$U$2:$U$2705,"&gt;="&amp;B6,Market_Panel!$U$2:$U$2705,"&lt;="&amp;C6,Market_Panel!$T$2:$T$2705,"&gt;=1969",Market_Panel!$T$2:$T$2705,"&lt;=1969"),"")</f>
        <v>-0.0246800276985068</v>
      </c>
      <c r="H6" s="10" t="n">
        <f aca="false">IFERROR(AVERAGEIFS(Market_Panel!$M$2:$M$2705,Market_Panel!$Q$2:$Q$2705,1,Market_Panel!$U$2:$U$2705,"&gt;="&amp;B6,Market_Panel!$U$2:$U$2705,"&lt;="&amp;C6,Market_Panel!$T$2:$T$2705,"&gt;=1977",Market_Panel!$T$2:$T$2705,"&lt;=1977"),"")</f>
        <v>-0.0107226542914949</v>
      </c>
      <c r="I6" s="10" t="n">
        <f aca="false">IFERROR(AVERAGEIFS(Market_Panel!$M$2:$M$2705,Market_Panel!$Q$2:$Q$2705,1,Market_Panel!$U$2:$U$2705,"&gt;="&amp;B6,Market_Panel!$U$2:$U$2705,"&lt;="&amp;C6,Market_Panel!$T$2:$T$2705,"&gt;=1993",Market_Panel!$T$2:$T$2705,"&lt;=1998"),"")</f>
        <v>-0.0571020880602454</v>
      </c>
      <c r="J6" s="10" t="n">
        <f aca="false">AVERAGEIFS(Market_Panel!$M$2:$M$2705,Market_Panel!$Q$2:$Q$2705,0)</f>
        <v>0.00602295407585889</v>
      </c>
    </row>
    <row r="7" customFormat="false" ht="15" hidden="false" customHeight="true" outlineLevel="0" collapsed="false">
      <c r="A7" s="3" t="s">
        <v>223</v>
      </c>
      <c r="B7" s="7" t="n">
        <v>10</v>
      </c>
      <c r="C7" s="7" t="n">
        <v>14</v>
      </c>
      <c r="D7" s="10" t="n">
        <f aca="false">IFERROR(AVERAGEIFS(Market_Panel!$M$2:$M$2705,Market_Panel!$Q$2:$Q$2705,1,Market_Panel!$U$2:$U$2705,"&gt;="&amp;B7,Market_Panel!$U$2:$U$2705,"&lt;="&amp;C7),"")</f>
        <v>0.000215220046989898</v>
      </c>
      <c r="E7" s="3" t="n">
        <f aca="false">COUNTIFS(Market_Panel!$Q$2:$Q$2705,1,Market_Panel!$U$2:$U$2705,"&gt;="&amp;B7,Market_Panel!$U$2:$U$2705,"&lt;="&amp;C7)</f>
        <v>70</v>
      </c>
      <c r="F7" s="10" t="n">
        <f aca="false">IFERROR(AVERAGEIFS(Market_Panel!$M$2:$M$2705,Market_Panel!$Q$2:$Q$2705,1,Market_Panel!$U$2:$U$2705,"&gt;="&amp;B7,Market_Panel!$U$2:$U$2705,"&lt;="&amp;C7,Market_Panel!$T$2:$T$2705,"&gt;=1961",Market_Panel!$T$2:$T$2705,"&lt;=1962"),"")</f>
        <v>-0.0308921186890174</v>
      </c>
      <c r="G7" s="10" t="n">
        <f aca="false">IFERROR(AVERAGEIFS(Market_Panel!$M$2:$M$2705,Market_Panel!$Q$2:$Q$2705,1,Market_Panel!$U$2:$U$2705,"&gt;="&amp;B7,Market_Panel!$U$2:$U$2705,"&lt;="&amp;C7,Market_Panel!$T$2:$T$2705,"&gt;=1969",Market_Panel!$T$2:$T$2705,"&lt;=1969"),"")</f>
        <v>0.0226985618143488</v>
      </c>
      <c r="H7" s="10" t="n">
        <f aca="false">IFERROR(AVERAGEIFS(Market_Panel!$M$2:$M$2705,Market_Panel!$Q$2:$Q$2705,1,Market_Panel!$U$2:$U$2705,"&gt;="&amp;B7,Market_Panel!$U$2:$U$2705,"&lt;="&amp;C7,Market_Panel!$T$2:$T$2705,"&gt;=1977",Market_Panel!$T$2:$T$2705,"&lt;=1977"),"")</f>
        <v>0.0114158600390484</v>
      </c>
      <c r="I7" s="10" t="n">
        <f aca="false">IFERROR(AVERAGEIFS(Market_Panel!$M$2:$M$2705,Market_Panel!$Q$2:$Q$2705,1,Market_Panel!$U$2:$U$2705,"&gt;="&amp;B7,Market_Panel!$U$2:$U$2705,"&lt;="&amp;C7,Market_Panel!$T$2:$T$2705,"&gt;=1993",Market_Panel!$T$2:$T$2705,"&lt;=1998"),"")</f>
        <v>0.00323889701960894</v>
      </c>
      <c r="J7" s="10" t="n">
        <f aca="false">AVERAGEIFS(Market_Panel!$M$2:$M$2705,Market_Panel!$Q$2:$Q$2705,0)</f>
        <v>0.00602295407585889</v>
      </c>
    </row>
    <row r="8" customFormat="false" ht="15" hidden="false" customHeight="true" outlineLevel="0" collapsed="false">
      <c r="A8" s="3" t="s">
        <v>224</v>
      </c>
      <c r="B8" s="7" t="n">
        <v>15</v>
      </c>
      <c r="C8" s="7" t="n">
        <v>19</v>
      </c>
      <c r="D8" s="10" t="n">
        <f aca="false">IFERROR(AVERAGEIFS(Market_Panel!$M$2:$M$2705,Market_Panel!$Q$2:$Q$2705,1,Market_Panel!$U$2:$U$2705,"&gt;="&amp;B8,Market_Panel!$U$2:$U$2705,"&lt;="&amp;C8),"")</f>
        <v>-0.0115321801155476</v>
      </c>
      <c r="E8" s="3" t="n">
        <f aca="false">COUNTIFS(Market_Panel!$Q$2:$Q$2705,1,Market_Panel!$U$2:$U$2705,"&gt;="&amp;B8,Market_Panel!$U$2:$U$2705,"&lt;="&amp;C8)</f>
        <v>70</v>
      </c>
      <c r="F8" s="10" t="n">
        <f aca="false">IFERROR(AVERAGEIFS(Market_Panel!$M$2:$M$2705,Market_Panel!$Q$2:$Q$2705,1,Market_Panel!$U$2:$U$2705,"&gt;="&amp;B8,Market_Panel!$U$2:$U$2705,"&lt;="&amp;C8,Market_Panel!$T$2:$T$2705,"&gt;=1961",Market_Panel!$T$2:$T$2705,"&lt;=1962"),"")</f>
        <v>-0.0190669941663696</v>
      </c>
      <c r="G8" s="10" t="n">
        <f aca="false">IFERROR(AVERAGEIFS(Market_Panel!$M$2:$M$2705,Market_Panel!$Q$2:$Q$2705,1,Market_Panel!$U$2:$U$2705,"&gt;="&amp;B8,Market_Panel!$U$2:$U$2705,"&lt;="&amp;C8,Market_Panel!$T$2:$T$2705,"&gt;=1969",Market_Panel!$T$2:$T$2705,"&lt;=1969"),"")</f>
        <v>0.00121956713442223</v>
      </c>
      <c r="H8" s="10" t="n">
        <f aca="false">IFERROR(AVERAGEIFS(Market_Panel!$M$2:$M$2705,Market_Panel!$Q$2:$Q$2705,1,Market_Panel!$U$2:$U$2705,"&gt;="&amp;B8,Market_Panel!$U$2:$U$2705,"&lt;="&amp;C8,Market_Panel!$T$2:$T$2705,"&gt;=1977",Market_Panel!$T$2:$T$2705,"&lt;=1977"),"")</f>
        <v>-0.00859797381240198</v>
      </c>
      <c r="I8" s="10" t="n">
        <f aca="false">IFERROR(AVERAGEIFS(Market_Panel!$M$2:$M$2705,Market_Panel!$Q$2:$Q$2705,1,Market_Panel!$U$2:$U$2705,"&gt;="&amp;B8,Market_Panel!$U$2:$U$2705,"&lt;="&amp;C8,Market_Panel!$T$2:$T$2705,"&gt;=1993",Market_Panel!$T$2:$T$2705,"&lt;=1998"),"")</f>
        <v>-0.0182162164662683</v>
      </c>
      <c r="J8" s="10" t="n">
        <f aca="false">AVERAGEIFS(Market_Panel!$M$2:$M$2705,Market_Panel!$Q$2:$Q$2705,0)</f>
        <v>0.00602295407585889</v>
      </c>
    </row>
    <row r="9" customFormat="false" ht="15" hidden="false" customHeight="true" outlineLevel="0" collapsed="false">
      <c r="A9" s="3" t="s">
        <v>225</v>
      </c>
      <c r="B9" s="7" t="n">
        <v>20</v>
      </c>
      <c r="C9" s="7" t="n">
        <v>29</v>
      </c>
      <c r="D9" s="10" t="n">
        <f aca="false">IFERROR(AVERAGEIFS(Market_Panel!$M$2:$M$2705,Market_Panel!$Q$2:$Q$2705,1,Market_Panel!$U$2:$U$2705,"&gt;="&amp;B9,Market_Panel!$U$2:$U$2705,"&lt;="&amp;C9),"")</f>
        <v>-0.00434873478622456</v>
      </c>
      <c r="E9" s="3" t="n">
        <f aca="false">COUNTIFS(Market_Panel!$Q$2:$Q$2705,1,Market_Panel!$U$2:$U$2705,"&gt;="&amp;B9,Market_Panel!$U$2:$U$2705,"&lt;="&amp;C9)</f>
        <v>136</v>
      </c>
      <c r="F9" s="10" t="n">
        <f aca="false">IFERROR(AVERAGEIFS(Market_Panel!$M$2:$M$2705,Market_Panel!$Q$2:$Q$2705,1,Market_Panel!$U$2:$U$2705,"&gt;="&amp;B9,Market_Panel!$U$2:$U$2705,"&lt;="&amp;C9,Market_Panel!$T$2:$T$2705,"&gt;=1961",Market_Panel!$T$2:$T$2705,"&lt;=1962"),"")</f>
        <v>0.00374896944088434</v>
      </c>
      <c r="G9" s="10" t="n">
        <f aca="false">IFERROR(AVERAGEIFS(Market_Panel!$M$2:$M$2705,Market_Panel!$Q$2:$Q$2705,1,Market_Panel!$U$2:$U$2705,"&gt;="&amp;B9,Market_Panel!$U$2:$U$2705,"&lt;="&amp;C9,Market_Panel!$T$2:$T$2705,"&gt;=1969",Market_Panel!$T$2:$T$2705,"&lt;=1969"),"")</f>
        <v>-0.00654001019175956</v>
      </c>
      <c r="H9" s="10" t="n">
        <f aca="false">IFERROR(AVERAGEIFS(Market_Panel!$M$2:$M$2705,Market_Panel!$Q$2:$Q$2705,1,Market_Panel!$U$2:$U$2705,"&gt;="&amp;B9,Market_Panel!$U$2:$U$2705,"&lt;="&amp;C9,Market_Panel!$T$2:$T$2705,"&gt;=1977",Market_Panel!$T$2:$T$2705,"&lt;=1977"),"")</f>
        <v>0.0117130567437451</v>
      </c>
      <c r="I9" s="10" t="n">
        <f aca="false">IFERROR(AVERAGEIFS(Market_Panel!$M$2:$M$2705,Market_Panel!$Q$2:$Q$2705,1,Market_Panel!$U$2:$U$2705,"&gt;="&amp;B9,Market_Panel!$U$2:$U$2705,"&lt;="&amp;C9,Market_Panel!$T$2:$T$2705,"&gt;=1993",Market_Panel!$T$2:$T$2705,"&lt;=1998"),"")</f>
        <v>-0.019834650993512</v>
      </c>
      <c r="J9" s="10" t="n">
        <f aca="false">AVERAGEIFS(Market_Panel!$M$2:$M$2705,Market_Panel!$Q$2:$Q$2705,0)</f>
        <v>0.00602295407585889</v>
      </c>
    </row>
    <row r="10" customFormat="false" ht="15" hidden="false" customHeight="true" outlineLevel="0" collapsed="false">
      <c r="A10" s="3" t="s">
        <v>226</v>
      </c>
      <c r="B10" s="7" t="n">
        <v>30</v>
      </c>
      <c r="C10" s="7" t="n">
        <v>39</v>
      </c>
      <c r="D10" s="10" t="n">
        <f aca="false">IFERROR(AVERAGEIFS(Market_Panel!$M$2:$M$2705,Market_Panel!$Q$2:$Q$2705,1,Market_Panel!$U$2:$U$2705,"&gt;="&amp;B10,Market_Panel!$U$2:$U$2705,"&lt;="&amp;C10),"")</f>
        <v>-0.0260592909567122</v>
      </c>
      <c r="E10" s="3" t="n">
        <f aca="false">COUNTIFS(Market_Panel!$Q$2:$Q$2705,1,Market_Panel!$U$2:$U$2705,"&gt;="&amp;B10,Market_Panel!$U$2:$U$2705,"&lt;="&amp;C10)</f>
        <v>106</v>
      </c>
      <c r="F10" s="10" t="n">
        <f aca="false">IFERROR(AVERAGEIFS(Market_Panel!$M$2:$M$2705,Market_Panel!$Q$2:$Q$2705,1,Market_Panel!$U$2:$U$2705,"&gt;="&amp;B10,Market_Panel!$U$2:$U$2705,"&lt;="&amp;C10,Market_Panel!$T$2:$T$2705,"&gt;=1961",Market_Panel!$T$2:$T$2705,"&lt;=1962"),"")</f>
        <v>0.0055970020649899</v>
      </c>
      <c r="G10" s="10" t="n">
        <f aca="false">IFERROR(AVERAGEIFS(Market_Panel!$M$2:$M$2705,Market_Panel!$Q$2:$Q$2705,1,Market_Panel!$U$2:$U$2705,"&gt;="&amp;B10,Market_Panel!$U$2:$U$2705,"&lt;="&amp;C10,Market_Panel!$T$2:$T$2705,"&gt;=1969",Market_Panel!$T$2:$T$2705,"&lt;=1969"),"")</f>
        <v>-0.0532067177251578</v>
      </c>
      <c r="H10" s="10" t="n">
        <f aca="false">IFERROR(AVERAGEIFS(Market_Panel!$M$2:$M$2705,Market_Panel!$Q$2:$Q$2705,1,Market_Panel!$U$2:$U$2705,"&gt;="&amp;B10,Market_Panel!$U$2:$U$2705,"&lt;="&amp;C10,Market_Panel!$T$2:$T$2705,"&gt;=1977",Market_Panel!$T$2:$T$2705,"&lt;=1977"),"")</f>
        <v>-0.0126454689308487</v>
      </c>
      <c r="I10" s="10" t="n">
        <f aca="false">IFERROR(AVERAGEIFS(Market_Panel!$M$2:$M$2705,Market_Panel!$Q$2:$Q$2705,1,Market_Panel!$U$2:$U$2705,"&gt;="&amp;B10,Market_Panel!$U$2:$U$2705,"&lt;="&amp;C10,Market_Panel!$T$2:$T$2705,"&gt;=1993",Market_Panel!$T$2:$T$2705,"&lt;=1998"),"")</f>
        <v>-0.100831139397967</v>
      </c>
      <c r="J10" s="10" t="n">
        <f aca="false">AVERAGEIFS(Market_Panel!$M$2:$M$2705,Market_Panel!$Q$2:$Q$2705,0)</f>
        <v>0.00602295407585889</v>
      </c>
    </row>
    <row r="11" customFormat="false" ht="15" hidden="false" customHeight="true" outlineLevel="0" collapsed="false">
      <c r="A11" s="3" t="s">
        <v>227</v>
      </c>
      <c r="B11" s="7" t="n">
        <v>40</v>
      </c>
      <c r="C11" s="7" t="n">
        <v>99</v>
      </c>
      <c r="D11" s="10" t="n">
        <f aca="false">IFERROR(AVERAGEIFS(Market_Panel!$M$2:$M$2705,Market_Panel!$Q$2:$Q$2705,1,Market_Panel!$U$2:$U$2705,"&gt;="&amp;B11,Market_Panel!$U$2:$U$2705,"&lt;="&amp;C11),"")</f>
        <v>-0.00148537537850259</v>
      </c>
      <c r="E11" s="3" t="n">
        <f aca="false">COUNTIFS(Market_Panel!$Q$2:$Q$2705,1,Market_Panel!$U$2:$U$2705,"&gt;="&amp;B11,Market_Panel!$U$2:$U$2705,"&lt;="&amp;C11)</f>
        <v>184</v>
      </c>
      <c r="F11" s="10" t="n">
        <f aca="false">IFERROR(AVERAGEIFS(Market_Panel!$M$2:$M$2705,Market_Panel!$Q$2:$Q$2705,1,Market_Panel!$U$2:$U$2705,"&gt;="&amp;B11,Market_Panel!$U$2:$U$2705,"&lt;="&amp;C11,Market_Panel!$T$2:$T$2705,"&gt;=1961",Market_Panel!$T$2:$T$2705,"&lt;=1962"),"")</f>
        <v>0.0027523029725516</v>
      </c>
      <c r="G11" s="10" t="n">
        <f aca="false">IFERROR(AVERAGEIFS(Market_Panel!$M$2:$M$2705,Market_Panel!$Q$2:$Q$2705,1,Market_Panel!$U$2:$U$2705,"&gt;="&amp;B11,Market_Panel!$U$2:$U$2705,"&lt;="&amp;C11,Market_Panel!$T$2:$T$2705,"&gt;=1969",Market_Panel!$T$2:$T$2705,"&lt;=1969"),"")</f>
        <v>-0.0111962629492449</v>
      </c>
      <c r="H11" s="10" t="n">
        <f aca="false">IFERROR(AVERAGEIFS(Market_Panel!$M$2:$M$2705,Market_Panel!$Q$2:$Q$2705,1,Market_Panel!$U$2:$U$2705,"&gt;="&amp;B11,Market_Panel!$U$2:$U$2705,"&lt;="&amp;C11,Market_Panel!$T$2:$T$2705,"&gt;=1977",Market_Panel!$T$2:$T$2705,"&lt;=1977"),"")</f>
        <v>0.0121283955330066</v>
      </c>
      <c r="I11" s="10" t="str">
        <f aca="false">IFERROR(AVERAGEIFS(Market_Panel!$M$2:$M$2705,Market_Panel!$Q$2:$Q$2705,1,Market_Panel!$U$2:$U$2705,"&gt;="&amp;B11,Market_Panel!$U$2:$U$2705,"&lt;="&amp;C11,Market_Panel!$T$2:$T$2705,"&gt;=1993",Market_Panel!$T$2:$T$2705,"&lt;=1998"),"")</f>
        <v/>
      </c>
      <c r="J11" s="10" t="n">
        <f aca="false">AVERAGEIFS(Market_Panel!$M$2:$M$2705,Market_Panel!$Q$2:$Q$2705,0)</f>
        <v>0.00602295407585889</v>
      </c>
    </row>
    <row r="13" customFormat="false" ht="15" hidden="false" customHeight="true" outlineLevel="0" collapsed="false">
      <c r="A13" s="9" t="s">
        <v>228</v>
      </c>
    </row>
    <row r="14" customFormat="false" ht="31.5" hidden="false" customHeight="true" outlineLevel="0" collapsed="false">
      <c r="A14" s="4" t="s">
        <v>213</v>
      </c>
      <c r="B14" s="4" t="s">
        <v>89</v>
      </c>
      <c r="C14" s="4" t="s">
        <v>90</v>
      </c>
      <c r="D14" s="4" t="s">
        <v>229</v>
      </c>
    </row>
    <row r="15" customFormat="false" ht="15" hidden="false" customHeight="true" outlineLevel="0" collapsed="false">
      <c r="A15" s="3" t="s">
        <v>221</v>
      </c>
      <c r="B15" s="7" t="n">
        <v>0</v>
      </c>
      <c r="C15" s="7" t="n">
        <v>4</v>
      </c>
      <c r="D15" s="26" t="n">
        <f aca="false">IFERROR(COUNTIFS(Market_Panel!$Q$2:$Q$2705,1,Market_Panel!$U$2:$U$2705,"&gt;="&amp;B15,Market_Panel!$U$2:$U$2705,"&lt;="&amp;C15,Market_Panel!$K$2:$K$2705,"&gt;0.5")/COUNTIFS(Market_Panel!$Q$2:$Q$2705,1,Market_Panel!$U$2:$U$2705,"&gt;="&amp;B15,Market_Panel!$U$2:$U$2705,"&lt;="&amp;C15),"")</f>
        <v>0.171428571428571</v>
      </c>
    </row>
    <row r="16" customFormat="false" ht="15" hidden="false" customHeight="true" outlineLevel="0" collapsed="false">
      <c r="A16" s="3" t="s">
        <v>222</v>
      </c>
      <c r="B16" s="7" t="n">
        <v>5</v>
      </c>
      <c r="C16" s="7" t="n">
        <v>9</v>
      </c>
      <c r="D16" s="26" t="n">
        <f aca="false">IFERROR(COUNTIFS(Market_Panel!$Q$2:$Q$2705,1,Market_Panel!$U$2:$U$2705,"&gt;="&amp;B16,Market_Panel!$U$2:$U$2705,"&lt;="&amp;C16,Market_Panel!$K$2:$K$2705,"&gt;0.5")/COUNTIFS(Market_Panel!$Q$2:$Q$2705,1,Market_Panel!$U$2:$U$2705,"&gt;="&amp;B16,Market_Panel!$U$2:$U$2705,"&lt;="&amp;C16),"")</f>
        <v>0.271428571428571</v>
      </c>
    </row>
    <row r="17" customFormat="false" ht="15" hidden="false" customHeight="true" outlineLevel="0" collapsed="false">
      <c r="A17" s="3" t="s">
        <v>223</v>
      </c>
      <c r="B17" s="7" t="n">
        <v>10</v>
      </c>
      <c r="C17" s="7" t="n">
        <v>14</v>
      </c>
      <c r="D17" s="26" t="n">
        <f aca="false">IFERROR(COUNTIFS(Market_Panel!$Q$2:$Q$2705,1,Market_Panel!$U$2:$U$2705,"&gt;="&amp;B17,Market_Panel!$U$2:$U$2705,"&lt;="&amp;C17,Market_Panel!$K$2:$K$2705,"&gt;0.5")/COUNTIFS(Market_Panel!$Q$2:$Q$2705,1,Market_Panel!$U$2:$U$2705,"&gt;="&amp;B17,Market_Panel!$U$2:$U$2705,"&lt;="&amp;C17),"")</f>
        <v>0.528571428571429</v>
      </c>
    </row>
    <row r="18" customFormat="false" ht="15" hidden="false" customHeight="true" outlineLevel="0" collapsed="false">
      <c r="A18" s="3" t="s">
        <v>224</v>
      </c>
      <c r="B18" s="7" t="n">
        <v>15</v>
      </c>
      <c r="C18" s="7" t="n">
        <v>19</v>
      </c>
      <c r="D18" s="26" t="n">
        <f aca="false">IFERROR(COUNTIFS(Market_Panel!$Q$2:$Q$2705,1,Market_Panel!$U$2:$U$2705,"&gt;="&amp;B18,Market_Panel!$U$2:$U$2705,"&lt;="&amp;C18,Market_Panel!$K$2:$K$2705,"&gt;0.5")/COUNTIFS(Market_Panel!$Q$2:$Q$2705,1,Market_Panel!$U$2:$U$2705,"&gt;="&amp;B18,Market_Panel!$U$2:$U$2705,"&lt;="&amp;C18),"")</f>
        <v>0.428571428571429</v>
      </c>
    </row>
    <row r="19" customFormat="false" ht="15" hidden="false" customHeight="true" outlineLevel="0" collapsed="false">
      <c r="A19" s="3" t="s">
        <v>225</v>
      </c>
      <c r="B19" s="7" t="n">
        <v>20</v>
      </c>
      <c r="C19" s="7" t="n">
        <v>29</v>
      </c>
      <c r="D19" s="26" t="n">
        <f aca="false">IFERROR(COUNTIFS(Market_Panel!$Q$2:$Q$2705,1,Market_Panel!$U$2:$U$2705,"&gt;="&amp;B19,Market_Panel!$U$2:$U$2705,"&lt;="&amp;C19,Market_Panel!$K$2:$K$2705,"&gt;0.5")/COUNTIFS(Market_Panel!$Q$2:$Q$2705,1,Market_Panel!$U$2:$U$2705,"&gt;="&amp;B19,Market_Panel!$U$2:$U$2705,"&lt;="&amp;C19),"")</f>
        <v>0.433823529411765</v>
      </c>
    </row>
    <row r="20" customFormat="false" ht="15" hidden="false" customHeight="true" outlineLevel="0" collapsed="false">
      <c r="A20" s="3" t="s">
        <v>226</v>
      </c>
      <c r="B20" s="7" t="n">
        <v>30</v>
      </c>
      <c r="C20" s="7" t="n">
        <v>39</v>
      </c>
      <c r="D20" s="26" t="n">
        <f aca="false">IFERROR(COUNTIFS(Market_Panel!$Q$2:$Q$2705,1,Market_Panel!$U$2:$U$2705,"&gt;="&amp;B20,Market_Panel!$U$2:$U$2705,"&lt;="&amp;C20,Market_Panel!$K$2:$K$2705,"&gt;0.5")/COUNTIFS(Market_Panel!$Q$2:$Q$2705,1,Market_Panel!$U$2:$U$2705,"&gt;="&amp;B20,Market_Panel!$U$2:$U$2705,"&lt;="&amp;C20),"")</f>
        <v>0.405660377358491</v>
      </c>
    </row>
    <row r="21" customFormat="false" ht="15" hidden="false" customHeight="true" outlineLevel="0" collapsed="false">
      <c r="A21" s="3" t="s">
        <v>227</v>
      </c>
      <c r="B21" s="7" t="n">
        <v>40</v>
      </c>
      <c r="C21" s="7" t="n">
        <v>99</v>
      </c>
      <c r="D21" s="26" t="n">
        <f aca="false">IFERROR(COUNTIFS(Market_Panel!$Q$2:$Q$2705,1,Market_Panel!$U$2:$U$2705,"&gt;="&amp;B21,Market_Panel!$U$2:$U$2705,"&lt;="&amp;C21,Market_Panel!$K$2:$K$2705,"&gt;0.5")/COUNTIFS(Market_Panel!$Q$2:$Q$2705,1,Market_Panel!$U$2:$U$2705,"&gt;="&amp;B21,Market_Panel!$U$2:$U$2705,"&lt;="&amp;C21),"")</f>
        <v>0.472826086956522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9" min="2" style="1" width="15"/>
  </cols>
  <sheetData>
    <row r="1" customFormat="false" ht="17.25" hidden="false" customHeight="true" outlineLevel="0" collapsed="false">
      <c r="A1" s="2" t="s">
        <v>230</v>
      </c>
    </row>
    <row r="2" customFormat="false" ht="15" hidden="false" customHeight="true" outlineLevel="0" collapsed="false">
      <c r="A2" s="3" t="s">
        <v>231</v>
      </c>
    </row>
    <row r="4" customFormat="false" ht="45" hidden="false" customHeight="true" outlineLevel="0" collapsed="false">
      <c r="A4" s="4" t="s">
        <v>232</v>
      </c>
      <c r="B4" s="4" t="s">
        <v>233</v>
      </c>
      <c r="C4" s="4" t="s">
        <v>234</v>
      </c>
      <c r="D4" s="4" t="s">
        <v>235</v>
      </c>
      <c r="E4" s="4" t="s">
        <v>236</v>
      </c>
      <c r="F4" s="4" t="s">
        <v>237</v>
      </c>
      <c r="G4" s="4" t="s">
        <v>238</v>
      </c>
      <c r="H4" s="4" t="s">
        <v>239</v>
      </c>
      <c r="I4" s="4" t="s">
        <v>240</v>
      </c>
    </row>
    <row r="5" customFormat="false" ht="15" hidden="false" customHeight="true" outlineLevel="0" collapsed="false">
      <c r="A5" s="3" t="s">
        <v>241</v>
      </c>
      <c r="B5" s="3" t="n">
        <f aca="false">COUNTIFS(Market_Panel!$V$2:$V$2705,A5)</f>
        <v>782</v>
      </c>
      <c r="C5" s="10" t="n">
        <f aca="false">AVERAGEIFS(Market_Panel!$M$2:$M$2705,Market_Panel!$V$2:$V$2705,A5)</f>
        <v>0.00684369973550659</v>
      </c>
      <c r="D5" s="3" t="n">
        <f aca="false">COUNTIFS(Market_Panel!$V$2:$V$2705,A5,Market_Panel!$B$2:$B$2705,"&gt;=1961")</f>
        <v>324</v>
      </c>
      <c r="E5" s="10" t="n">
        <f aca="false">IFERROR(AVERAGEIFS(Market_Panel!$M$2:$M$2705,Market_Panel!$V$2:$V$2705,A5,Market_Panel!$B$2:$B$2705,"&gt;=1961"),"")</f>
        <v>0.0118163841147151</v>
      </c>
      <c r="F5" s="10" t="n">
        <f aca="false">IFERROR(AVERAGEIFS(Market_Panel!$M$2:$M$2705,Market_Panel!$V$2:$V$2705,A5,Market_Panel!$B$2:$B$2705,"&gt;=1961",Market_Panel!$Q$2:$Q$2705,0),"")</f>
        <v>0.018950512963281</v>
      </c>
      <c r="G5" s="10" t="n">
        <f aca="false">IFERROR(AVERAGEIFS(Market_Panel!$M$2:$M$2705,Market_Panel!$V$2:$V$2705,A5,Market_Panel!$B$2:$B$2705,"&gt;=1961",Market_Panel!$Q$2:$Q$2705,1),"")</f>
        <v>-0.017166014332584</v>
      </c>
      <c r="H5" s="3" t="n">
        <f aca="false">COUNTIFS(Market_Panel!$V$2:$V$2705,A5,Market_Panel!$B$2:$B$2705,"&gt;=1995")</f>
        <v>155</v>
      </c>
      <c r="I5" s="10" t="n">
        <f aca="false">IFERROR(AVERAGEIFS(Market_Panel!$M$2:$M$2705,Market_Panel!$V$2:$V$2705,A5,Market_Panel!$B$2:$B$2705,"&gt;=1995"),"")</f>
        <v>0.0152910705316727</v>
      </c>
    </row>
    <row r="6" customFormat="false" ht="15" hidden="false" customHeight="true" outlineLevel="0" collapsed="false">
      <c r="A6" s="3" t="s">
        <v>242</v>
      </c>
      <c r="B6" s="3" t="n">
        <f aca="false">COUNTIFS(Market_Panel!$V$2:$V$2705,A6)</f>
        <v>1007</v>
      </c>
      <c r="C6" s="10" t="n">
        <f aca="false">AVERAGEIFS(Market_Panel!$M$2:$M$2705,Market_Panel!$V$2:$V$2705,A6)</f>
        <v>-0.000887022000909568</v>
      </c>
      <c r="D6" s="3" t="n">
        <f aca="false">COUNTIFS(Market_Panel!$V$2:$V$2705,A6,Market_Panel!$B$2:$B$2705,"&gt;=1961")</f>
        <v>580</v>
      </c>
      <c r="E6" s="10" t="n">
        <f aca="false">IFERROR(AVERAGEIFS(Market_Panel!$M$2:$M$2705,Market_Panel!$V$2:$V$2705,A6,Market_Panel!$B$2:$B$2705,"&gt;=1961"),"")</f>
        <v>-0.00286601010100825</v>
      </c>
      <c r="F6" s="10" t="n">
        <f aca="false">IFERROR(AVERAGEIFS(Market_Panel!$M$2:$M$2705,Market_Panel!$V$2:$V$2705,A6,Market_Panel!$B$2:$B$2705,"&gt;=1961",Market_Panel!$Q$2:$Q$2705,0),"")</f>
        <v>0.000293318014057257</v>
      </c>
      <c r="G6" s="10" t="n">
        <f aca="false">IFERROR(AVERAGEIFS(Market_Panel!$M$2:$M$2705,Market_Panel!$V$2:$V$2705,A6,Market_Panel!$B$2:$B$2705,"&gt;=1961",Market_Panel!$Q$2:$Q$2705,1),"")</f>
        <v>-0.0159227023995533</v>
      </c>
      <c r="H6" s="3" t="n">
        <f aca="false">COUNTIFS(Market_Panel!$V$2:$V$2705,A6,Market_Panel!$B$2:$B$2705,"&gt;=1995")</f>
        <v>279</v>
      </c>
      <c r="I6" s="10" t="n">
        <f aca="false">IFERROR(AVERAGEIFS(Market_Panel!$M$2:$M$2705,Market_Panel!$V$2:$V$2705,A6,Market_Panel!$B$2:$B$2705,"&gt;=1995"),"")</f>
        <v>-0.00875333981043716</v>
      </c>
    </row>
    <row r="7" customFormat="false" ht="15" hidden="false" customHeight="true" outlineLevel="0" collapsed="false">
      <c r="A7" s="3" t="s">
        <v>243</v>
      </c>
      <c r="B7" s="3" t="n">
        <f aca="false">COUNTIFS(Market_Panel!$V$2:$V$2705,A7)</f>
        <v>403</v>
      </c>
      <c r="C7" s="10" t="n">
        <f aca="false">AVERAGEIFS(Market_Panel!$M$2:$M$2705,Market_Panel!$V$2:$V$2705,A7)</f>
        <v>-0.00963674572911748</v>
      </c>
      <c r="D7" s="3" t="n">
        <f aca="false">COUNTIFS(Market_Panel!$V$2:$V$2705,A7,Market_Panel!$B$2:$B$2705,"&gt;=1961")</f>
        <v>336</v>
      </c>
      <c r="E7" s="10" t="n">
        <f aca="false">IFERROR(AVERAGEIFS(Market_Panel!$M$2:$M$2705,Market_Panel!$V$2:$V$2705,A7,Market_Panel!$B$2:$B$2705,"&gt;=1961"),"")</f>
        <v>-0.00435134980100404</v>
      </c>
      <c r="F7" s="10" t="n">
        <f aca="false">IFERROR(AVERAGEIFS(Market_Panel!$M$2:$M$2705,Market_Panel!$V$2:$V$2705,A7,Market_Panel!$B$2:$B$2705,"&gt;=1961",Market_Panel!$Q$2:$Q$2705,0),"")</f>
        <v>0.0150374086618525</v>
      </c>
      <c r="G7" s="10" t="n">
        <f aca="false">IFERROR(AVERAGEIFS(Market_Panel!$M$2:$M$2705,Market_Panel!$V$2:$V$2705,A7,Market_Panel!$B$2:$B$2705,"&gt;=1961",Market_Panel!$Q$2:$Q$2705,1),"")</f>
        <v>-0.0158375811178622</v>
      </c>
      <c r="H7" s="3" t="n">
        <f aca="false">COUNTIFS(Market_Panel!$V$2:$V$2705,A7,Market_Panel!$B$2:$B$2705,"&gt;=1995")</f>
        <v>204</v>
      </c>
      <c r="I7" s="10" t="n">
        <f aca="false">IFERROR(AVERAGEIFS(Market_Panel!$M$2:$M$2705,Market_Panel!$V$2:$V$2705,A7,Market_Panel!$B$2:$B$2705,"&gt;=1995"),"")</f>
        <v>-0.00263590561222945</v>
      </c>
    </row>
    <row r="8" customFormat="false" ht="15" hidden="false" customHeight="true" outlineLevel="0" collapsed="false">
      <c r="A8" s="3" t="s">
        <v>244</v>
      </c>
      <c r="B8" s="3" t="n">
        <f aca="false">COUNTIFS(Market_Panel!$V$2:$V$2705,A8)</f>
        <v>427</v>
      </c>
      <c r="C8" s="10" t="n">
        <f aca="false">AVERAGEIFS(Market_Panel!$M$2:$M$2705,Market_Panel!$V$2:$V$2705,A8)</f>
        <v>4.03092071158911E-006</v>
      </c>
      <c r="D8" s="3" t="n">
        <f aca="false">COUNTIFS(Market_Panel!$V$2:$V$2705,A8,Market_Panel!$B$2:$B$2705,"&gt;=1961")</f>
        <v>421</v>
      </c>
      <c r="E8" s="10" t="n">
        <f aca="false">IFERROR(AVERAGEIFS(Market_Panel!$M$2:$M$2705,Market_Panel!$V$2:$V$2705,A8,Market_Panel!$B$2:$B$2705,"&gt;=1961"),"")</f>
        <v>-0.00030288443915872</v>
      </c>
      <c r="F8" s="10" t="n">
        <f aca="false">IFERROR(AVERAGEIFS(Market_Panel!$M$2:$M$2705,Market_Panel!$V$2:$V$2705,A8,Market_Panel!$B$2:$B$2705,"&gt;=1961",Market_Panel!$Q$2:$Q$2705,0),"")</f>
        <v>0.0270748578607272</v>
      </c>
      <c r="G8" s="10" t="n">
        <f aca="false">IFERROR(AVERAGEIFS(Market_Panel!$M$2:$M$2705,Market_Panel!$V$2:$V$2705,A8,Market_Panel!$B$2:$B$2705,"&gt;=1961",Market_Panel!$Q$2:$Q$2705,1),"")</f>
        <v>-0.0223930799429293</v>
      </c>
      <c r="H8" s="3" t="n">
        <f aca="false">COUNTIFS(Market_Panel!$V$2:$V$2705,A8,Market_Panel!$B$2:$B$2705,"&gt;=1995")</f>
        <v>245</v>
      </c>
      <c r="I8" s="10" t="n">
        <f aca="false">IFERROR(AVERAGEIFS(Market_Panel!$M$2:$M$2705,Market_Panel!$V$2:$V$2705,A8,Market_Panel!$B$2:$B$2705,"&gt;=1995"),"")</f>
        <v>0.00422270817548297</v>
      </c>
    </row>
    <row r="9" customFormat="false" ht="15" hidden="false" customHeight="true" outlineLevel="0" collapsed="false">
      <c r="A9" s="3" t="s">
        <v>245</v>
      </c>
      <c r="B9" s="3" t="n">
        <f aca="false">COUNTIFS(Market_Panel!$V$2:$V$2705,A9)</f>
        <v>85</v>
      </c>
      <c r="C9" s="10" t="n">
        <f aca="false">AVERAGEIFS(Market_Panel!$M$2:$M$2705,Market_Panel!$V$2:$V$2705,A9)</f>
        <v>-0.00678417308893792</v>
      </c>
      <c r="D9" s="3" t="n">
        <f aca="false">COUNTIFS(Market_Panel!$V$2:$V$2705,A9,Market_Panel!$B$2:$B$2705,"&gt;=1961")</f>
        <v>85</v>
      </c>
      <c r="E9" s="10" t="n">
        <f aca="false">IFERROR(AVERAGEIFS(Market_Panel!$M$2:$M$2705,Market_Panel!$V$2:$V$2705,A9,Market_Panel!$B$2:$B$2705,"&gt;=1961"),"")</f>
        <v>-0.00678417308893792</v>
      </c>
      <c r="F9" s="10" t="str">
        <f aca="false">IFERROR(AVERAGEIFS(Market_Panel!$M$2:$M$2705,Market_Panel!$V$2:$V$2705,A9,Market_Panel!$B$2:$B$2705,"&gt;=1961",Market_Panel!$Q$2:$Q$2705,0),"")</f>
        <v/>
      </c>
      <c r="G9" s="10" t="n">
        <f aca="false">IFERROR(AVERAGEIFS(Market_Panel!$M$2:$M$2705,Market_Panel!$V$2:$V$2705,A9,Market_Panel!$B$2:$B$2705,"&gt;=1961",Market_Panel!$Q$2:$Q$2705,1),"")</f>
        <v>-0.00678417308893792</v>
      </c>
      <c r="H9" s="3" t="n">
        <f aca="false">COUNTIFS(Market_Panel!$V$2:$V$2705,A9,Market_Panel!$B$2:$B$2705,"&gt;=1995")</f>
        <v>41</v>
      </c>
      <c r="I9" s="10" t="n">
        <f aca="false">IFERROR(AVERAGEIFS(Market_Panel!$M$2:$M$2705,Market_Panel!$V$2:$V$2705,A9,Market_Panel!$B$2:$B$2705,"&gt;=1995"),"")</f>
        <v>-0.0103603142291663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11"/>
    <col collapsed="false" customWidth="true" hidden="false" outlineLevel="0" max="3" min="3" style="1" width="14"/>
    <col collapsed="false" customWidth="true" hidden="false" outlineLevel="0" max="4" min="4" style="1" width="16"/>
    <col collapsed="false" customWidth="true" hidden="false" outlineLevel="0" max="5" min="5" style="1" width="18"/>
    <col collapsed="false" customWidth="true" hidden="false" outlineLevel="0" max="7" min="6" style="1" width="16"/>
    <col collapsed="false" customWidth="true" hidden="false" outlineLevel="0" max="8" min="8" style="1" width="10"/>
  </cols>
  <sheetData>
    <row r="1" customFormat="false" ht="17.25" hidden="false" customHeight="true" outlineLevel="0" collapsed="false">
      <c r="A1" s="2" t="s">
        <v>246</v>
      </c>
    </row>
    <row r="2" customFormat="false" ht="15" hidden="false" customHeight="true" outlineLevel="0" collapsed="false">
      <c r="A2" s="3" t="s">
        <v>247</v>
      </c>
    </row>
    <row r="4" customFormat="false" ht="45" hidden="false" customHeight="true" outlineLevel="0" collapsed="false">
      <c r="A4" s="4" t="s">
        <v>4</v>
      </c>
      <c r="B4" s="4" t="s">
        <v>248</v>
      </c>
      <c r="C4" s="4" t="s">
        <v>89</v>
      </c>
      <c r="D4" s="4" t="s">
        <v>90</v>
      </c>
      <c r="E4" s="4" t="s">
        <v>249</v>
      </c>
      <c r="F4" s="4" t="s">
        <v>250</v>
      </c>
      <c r="G4" s="4" t="s">
        <v>251</v>
      </c>
      <c r="H4" s="4" t="s">
        <v>252</v>
      </c>
    </row>
    <row r="5" customFormat="false" ht="15" hidden="false" customHeight="true" outlineLevel="0" collapsed="false">
      <c r="A5" s="7" t="s">
        <v>63</v>
      </c>
      <c r="B5" s="7" t="n">
        <v>1954</v>
      </c>
      <c r="C5" s="7" t="s">
        <v>145</v>
      </c>
      <c r="D5" s="7" t="s">
        <v>149</v>
      </c>
      <c r="E5" s="11" t="n">
        <f aca="false">SUMIFS(Market_Panel!$I$2:$I$2705,Market_Panel!$A$2:$A$2705,A5,Market_Panel!$B$2:$B$2705,B5)/SUMIFS(Market_Panel!$I$2:$I$2705,Market_Panel!$A$2:$A$2705,A5,Market_Panel!$B$2:$B$2705,B5-1)</f>
        <v>1.14838533513465</v>
      </c>
      <c r="F5" s="10" t="n">
        <f aca="false">AVERAGEIFS(Market_Panel!$M$2:$M$2705,Market_Panel!$A$2:$A$2705,A5,Market_Panel!$B$2:$B$2705,"&gt;="&amp;(B5-10),Market_Panel!$B$2:$B$2705,"&lt;"&amp;B5)</f>
        <v>-0.08627692236515</v>
      </c>
      <c r="G5" s="10" t="n">
        <f aca="false">AVERAGEIFS(Market_Panel!$M$2:$M$2705,Market_Panel!$A$2:$A$2705,A5,Market_Panel!$B$2:$B$2705,"&gt;="&amp;B5,Market_Panel!$B$2:$B$2705,"&lt;"&amp;(B5+10))</f>
        <v>-0.0195794030738854</v>
      </c>
      <c r="H5" s="10" t="n">
        <f aca="false">G5-F5</f>
        <v>0.0666975192912646</v>
      </c>
    </row>
    <row r="6" customFormat="false" ht="15" hidden="false" customHeight="true" outlineLevel="0" collapsed="false">
      <c r="A6" s="7" t="s">
        <v>54</v>
      </c>
      <c r="B6" s="7" t="n">
        <v>1953</v>
      </c>
      <c r="C6" s="7" t="s">
        <v>150</v>
      </c>
      <c r="D6" s="7" t="s">
        <v>158</v>
      </c>
      <c r="E6" s="11" t="n">
        <f aca="false">SUMIFS(Market_Panel!$I$2:$I$2705,Market_Panel!$A$2:$A$2705,A6,Market_Panel!$B$2:$B$2705,B6)/SUMIFS(Market_Panel!$I$2:$I$2705,Market_Panel!$A$2:$A$2705,A6,Market_Panel!$B$2:$B$2705,B6-1)</f>
        <v>0.85569185170003</v>
      </c>
      <c r="F6" s="10" t="n">
        <f aca="false">AVERAGEIFS(Market_Panel!$M$2:$M$2705,Market_Panel!$A$2:$A$2705,A6,Market_Panel!$B$2:$B$2705,"&gt;="&amp;(B6-10),Market_Panel!$B$2:$B$2705,"&lt;"&amp;B6)</f>
        <v>-0.00710688686201272</v>
      </c>
      <c r="G6" s="10" t="n">
        <f aca="false">AVERAGEIFS(Market_Panel!$M$2:$M$2705,Market_Panel!$A$2:$A$2705,A6,Market_Panel!$B$2:$B$2705,"&gt;="&amp;B6,Market_Panel!$B$2:$B$2705,"&lt;"&amp;(B6+10))</f>
        <v>0.0732004462576505</v>
      </c>
      <c r="H6" s="10" t="n">
        <f aca="false">G6-F6</f>
        <v>0.0803073331196632</v>
      </c>
    </row>
    <row r="7" customFormat="false" ht="15" hidden="false" customHeight="true" outlineLevel="0" collapsed="false">
      <c r="A7" s="7" t="s">
        <v>69</v>
      </c>
      <c r="B7" s="7" t="n">
        <v>1955</v>
      </c>
      <c r="C7" s="7" t="s">
        <v>146</v>
      </c>
      <c r="D7" s="7" t="s">
        <v>157</v>
      </c>
      <c r="E7" s="11" t="n">
        <f aca="false">SUMIFS(Market_Panel!$I$2:$I$2705,Market_Panel!$A$2:$A$2705,A7,Market_Panel!$B$2:$B$2705,B7)/SUMIFS(Market_Panel!$I$2:$I$2705,Market_Panel!$A$2:$A$2705,A7,Market_Panel!$B$2:$B$2705,B7-1)</f>
        <v>0.228011769417623</v>
      </c>
      <c r="F7" s="10" t="n">
        <f aca="false">AVERAGEIFS(Market_Panel!$M$2:$M$2705,Market_Panel!$A$2:$A$2705,A7,Market_Panel!$B$2:$B$2705,"&gt;="&amp;(B7-10),Market_Panel!$B$2:$B$2705,"&lt;"&amp;B7)</f>
        <v>-0.0736853916930779</v>
      </c>
      <c r="G7" s="10" t="n">
        <f aca="false">AVERAGEIFS(Market_Panel!$M$2:$M$2705,Market_Panel!$A$2:$A$2705,A7,Market_Panel!$B$2:$B$2705,"&gt;="&amp;B7,Market_Panel!$B$2:$B$2705,"&lt;"&amp;(B7+10))</f>
        <v>-0.0961928972491869</v>
      </c>
      <c r="H7" s="10" t="n">
        <f aca="false">G7-F7</f>
        <v>-0.022507505556109</v>
      </c>
    </row>
    <row r="8" customFormat="false" ht="15" hidden="false" customHeight="true" outlineLevel="0" collapsed="false">
      <c r="A8" s="7" t="s">
        <v>61</v>
      </c>
      <c r="B8" s="7" t="n">
        <v>1958</v>
      </c>
      <c r="C8" s="7" t="s">
        <v>154</v>
      </c>
      <c r="D8" s="7" t="s">
        <v>147</v>
      </c>
      <c r="E8" s="11" t="n">
        <f aca="false">SUMIFS(Market_Panel!$I$2:$I$2705,Market_Panel!$A$2:$A$2705,A8,Market_Panel!$B$2:$B$2705,B8)/SUMIFS(Market_Panel!$I$2:$I$2705,Market_Panel!$A$2:$A$2705,A8,Market_Panel!$B$2:$B$2705,B8-1)</f>
        <v>0.0956126608061818</v>
      </c>
      <c r="F8" s="10" t="n">
        <f aca="false">AVERAGEIFS(Market_Panel!$M$2:$M$2705,Market_Panel!$A$2:$A$2705,A8,Market_Panel!$B$2:$B$2705,"&gt;="&amp;(B8-10),Market_Panel!$B$2:$B$2705,"&lt;"&amp;B8)</f>
        <v>0.0248087088121532</v>
      </c>
      <c r="G8" s="10" t="n">
        <f aca="false">AVERAGEIFS(Market_Panel!$M$2:$M$2705,Market_Panel!$A$2:$A$2705,A8,Market_Panel!$B$2:$B$2705,"&gt;="&amp;B8,Market_Panel!$B$2:$B$2705,"&lt;"&amp;(B8+10))</f>
        <v>0.0572918475995029</v>
      </c>
      <c r="H8" s="10" t="n">
        <f aca="false">G8-F8</f>
        <v>0.0324831387873497</v>
      </c>
    </row>
    <row r="9" customFormat="false" ht="15" hidden="false" customHeight="true" outlineLevel="0" collapsed="false">
      <c r="A9" s="7" t="s">
        <v>62</v>
      </c>
      <c r="B9" s="7" t="n">
        <v>1958</v>
      </c>
      <c r="C9" s="7" t="s">
        <v>154</v>
      </c>
      <c r="D9" s="7" t="s">
        <v>148</v>
      </c>
      <c r="E9" s="11" t="n">
        <f aca="false">SUMIFS(Market_Panel!$I$2:$I$2705,Market_Panel!$A$2:$A$2705,A9,Market_Panel!$B$2:$B$2705,B9)/SUMIFS(Market_Panel!$I$2:$I$2705,Market_Panel!$A$2:$A$2705,A9,Market_Panel!$B$2:$B$2705,B9-1)</f>
        <v>0.302979821519521</v>
      </c>
      <c r="F9" s="10" t="n">
        <f aca="false">AVERAGEIFS(Market_Panel!$M$2:$M$2705,Market_Panel!$A$2:$A$2705,A9,Market_Panel!$B$2:$B$2705,"&gt;="&amp;(B9-10),Market_Panel!$B$2:$B$2705,"&lt;"&amp;B9)</f>
        <v>0.106813307602065</v>
      </c>
      <c r="G9" s="10" t="n">
        <f aca="false">AVERAGEIFS(Market_Panel!$M$2:$M$2705,Market_Panel!$A$2:$A$2705,A9,Market_Panel!$B$2:$B$2705,"&gt;="&amp;B9,Market_Panel!$B$2:$B$2705,"&lt;"&amp;(B9+10))</f>
        <v>0.0495199791029967</v>
      </c>
      <c r="H9" s="10" t="n">
        <f aca="false">G9-F9</f>
        <v>-0.0572933284990681</v>
      </c>
    </row>
    <row r="10" customFormat="false" ht="15" hidden="false" customHeight="true" outlineLevel="0" collapsed="false">
      <c r="A10" s="7" t="s">
        <v>68</v>
      </c>
      <c r="B10" s="7" t="n">
        <v>1961</v>
      </c>
      <c r="C10" s="7" t="s">
        <v>160</v>
      </c>
      <c r="D10" s="7" t="s">
        <v>153</v>
      </c>
      <c r="E10" s="11" t="n">
        <f aca="false">SUMIFS(Market_Panel!$I$2:$I$2705,Market_Panel!$A$2:$A$2705,A10,Market_Panel!$B$2:$B$2705,B10)/SUMIFS(Market_Panel!$I$2:$I$2705,Market_Panel!$A$2:$A$2705,A10,Market_Panel!$B$2:$B$2705,B10-1)</f>
        <v>0.625416674822581</v>
      </c>
      <c r="F10" s="10" t="n">
        <f aca="false">AVERAGEIFS(Market_Panel!$M$2:$M$2705,Market_Panel!$A$2:$A$2705,A10,Market_Panel!$B$2:$B$2705,"&gt;="&amp;(B10-10),Market_Panel!$B$2:$B$2705,"&lt;"&amp;B10)</f>
        <v>-0.0798532941126404</v>
      </c>
      <c r="G10" s="10" t="n">
        <f aca="false">AVERAGEIFS(Market_Panel!$M$2:$M$2705,Market_Panel!$A$2:$A$2705,A10,Market_Panel!$B$2:$B$2705,"&gt;="&amp;B10,Market_Panel!$B$2:$B$2705,"&lt;"&amp;(B10+10))</f>
        <v>0.048489712869015</v>
      </c>
      <c r="H10" s="10" t="n">
        <f aca="false">G10-F10</f>
        <v>0.128343006981655</v>
      </c>
    </row>
    <row r="11" customFormat="false" ht="15" hidden="false" customHeight="true" outlineLevel="0" collapsed="false">
      <c r="A11" s="7" t="s">
        <v>54</v>
      </c>
      <c r="B11" s="7" t="n">
        <v>1966</v>
      </c>
      <c r="C11" s="7" t="s">
        <v>158</v>
      </c>
      <c r="D11" s="7" t="s">
        <v>141</v>
      </c>
      <c r="E11" s="11" t="n">
        <f aca="false">SUMIFS(Market_Panel!$I$2:$I$2705,Market_Panel!$A$2:$A$2705,A11,Market_Panel!$B$2:$B$2705,B11)/SUMIFS(Market_Panel!$I$2:$I$2705,Market_Panel!$A$2:$A$2705,A11,Market_Panel!$B$2:$B$2705,B11-1)</f>
        <v>0.674782594819365</v>
      </c>
      <c r="F11" s="10" t="n">
        <f aca="false">AVERAGEIFS(Market_Panel!$M$2:$M$2705,Market_Panel!$A$2:$A$2705,A11,Market_Panel!$B$2:$B$2705,"&gt;="&amp;(B11-10),Market_Panel!$B$2:$B$2705,"&lt;"&amp;B11)</f>
        <v>0.0597534707831786</v>
      </c>
      <c r="G11" s="10" t="n">
        <f aca="false">AVERAGEIFS(Market_Panel!$M$2:$M$2705,Market_Panel!$A$2:$A$2705,A11,Market_Panel!$B$2:$B$2705,"&gt;="&amp;B11,Market_Panel!$B$2:$B$2705,"&lt;"&amp;(B11+10))</f>
        <v>-0.00645382211584181</v>
      </c>
      <c r="H11" s="10" t="n">
        <f aca="false">G11-F11</f>
        <v>-0.0662072928990204</v>
      </c>
    </row>
    <row r="12" customFormat="false" ht="15" hidden="false" customHeight="true" outlineLevel="0" collapsed="false">
      <c r="A12" s="7" t="s">
        <v>69</v>
      </c>
      <c r="B12" s="7" t="n">
        <v>1968</v>
      </c>
      <c r="C12" s="7" t="s">
        <v>157</v>
      </c>
      <c r="D12" s="7" t="s">
        <v>253</v>
      </c>
      <c r="E12" s="11" t="n">
        <f aca="false">SUMIFS(Market_Panel!$I$2:$I$2705,Market_Panel!$A$2:$A$2705,A12,Market_Panel!$B$2:$B$2705,B12)/SUMIFS(Market_Panel!$I$2:$I$2705,Market_Panel!$A$2:$A$2705,A12,Market_Panel!$B$2:$B$2705,B12-1)</f>
        <v>0.729280330040677</v>
      </c>
      <c r="F12" s="10" t="n">
        <f aca="false">AVERAGEIFS(Market_Panel!$M$2:$M$2705,Market_Panel!$A$2:$A$2705,A12,Market_Panel!$B$2:$B$2705,"&gt;="&amp;(B12-10),Market_Panel!$B$2:$B$2705,"&lt;"&amp;B12)</f>
        <v>-0.0882446857812334</v>
      </c>
      <c r="G12" s="10" t="n">
        <f aca="false">AVERAGEIFS(Market_Panel!$M$2:$M$2705,Market_Panel!$A$2:$A$2705,A12,Market_Panel!$B$2:$B$2705,"&gt;="&amp;B12,Market_Panel!$B$2:$B$2705,"&lt;"&amp;(B12+10))</f>
        <v>0.0498543847160269</v>
      </c>
      <c r="H12" s="10" t="n">
        <f aca="false">G12-F12</f>
        <v>0.13809907049726</v>
      </c>
    </row>
    <row r="13" customFormat="false" ht="15" hidden="false" customHeight="true" outlineLevel="0" collapsed="false">
      <c r="A13" s="7" t="s">
        <v>73</v>
      </c>
      <c r="B13" s="7" t="n">
        <v>1972</v>
      </c>
      <c r="C13" s="7" t="s">
        <v>160</v>
      </c>
      <c r="D13" s="7" t="s">
        <v>155</v>
      </c>
      <c r="E13" s="11" t="n">
        <f aca="false">SUMIFS(Market_Panel!$I$2:$I$2705,Market_Panel!$A$2:$A$2705,A13,Market_Panel!$B$2:$B$2705,B13)/SUMIFS(Market_Panel!$I$2:$I$2705,Market_Panel!$A$2:$A$2705,A13,Market_Panel!$B$2:$B$2705,B13-1)</f>
        <v>1.15091231168056</v>
      </c>
      <c r="F13" s="10" t="n">
        <f aca="false">AVERAGEIFS(Market_Panel!$M$2:$M$2705,Market_Panel!$A$2:$A$2705,A13,Market_Panel!$B$2:$B$2705,"&gt;="&amp;(B13-10),Market_Panel!$B$2:$B$2705,"&lt;"&amp;B13)</f>
        <v>-0.0784803209698821</v>
      </c>
      <c r="G13" s="10" t="n">
        <f aca="false">AVERAGEIFS(Market_Panel!$M$2:$M$2705,Market_Panel!$A$2:$A$2705,A13,Market_Panel!$B$2:$B$2705,"&gt;="&amp;B13,Market_Panel!$B$2:$B$2705,"&lt;"&amp;(B13+10))</f>
        <v>-0.0170729788442853</v>
      </c>
      <c r="H13" s="10" t="n">
        <f aca="false">G13-F13</f>
        <v>0.0614073421255968</v>
      </c>
    </row>
    <row r="14" customFormat="false" ht="15" hidden="false" customHeight="true" outlineLevel="0" collapsed="false">
      <c r="A14" s="7" t="s">
        <v>79</v>
      </c>
      <c r="B14" s="7" t="n">
        <v>2005</v>
      </c>
      <c r="C14" s="7" t="s">
        <v>254</v>
      </c>
      <c r="D14" s="7" t="s">
        <v>160</v>
      </c>
      <c r="E14" s="11" t="n">
        <f aca="false">SUMIFS(Market_Panel!$I$2:$I$2705,Market_Panel!$A$2:$A$2705,A14,Market_Panel!$B$2:$B$2705,B14)/SUMIFS(Market_Panel!$I$2:$I$2705,Market_Panel!$A$2:$A$2705,A14,Market_Panel!$B$2:$B$2705,B14-1)</f>
        <v>0.469215736925428</v>
      </c>
      <c r="F14" s="10" t="n">
        <f aca="false">AVERAGEIFS(Market_Panel!$M$2:$M$2705,Market_Panel!$A$2:$A$2705,A14,Market_Panel!$B$2:$B$2705,"&gt;="&amp;(B14-10),Market_Panel!$B$2:$B$2705,"&lt;"&amp;B14)</f>
        <v>-0.0424158368136634</v>
      </c>
      <c r="G14" s="10" t="n">
        <f aca="false">AVERAGEIFS(Market_Panel!$M$2:$M$2705,Market_Panel!$A$2:$A$2705,A14,Market_Panel!$B$2:$B$2705,"&gt;="&amp;B14,Market_Panel!$B$2:$B$2705,"&lt;"&amp;(B14+10))</f>
        <v>-0.022912319632482</v>
      </c>
      <c r="H14" s="10" t="n">
        <f aca="false">G14-F14</f>
        <v>0.0195035171811813</v>
      </c>
    </row>
    <row r="16" customFormat="false" ht="15" hidden="false" customHeight="true" outlineLevel="0" collapsed="false">
      <c r="A16" s="9" t="s">
        <v>255</v>
      </c>
      <c r="H16" s="10" t="n">
        <f aca="false">AVERAGE(H5:H14)</f>
        <v>0.0380832801029774</v>
      </c>
    </row>
    <row r="17" customFormat="false" ht="15" hidden="false" customHeight="true" outlineLevel="0" collapsed="false">
      <c r="A17" s="3" t="s">
        <v>256</v>
      </c>
      <c r="H17" s="3" t="n">
        <f aca="false">COUNTIF(E5:E14,"&gt;1")</f>
        <v>2</v>
      </c>
    </row>
    <row r="18" customFormat="false" ht="15" hidden="false" customHeight="true" outlineLevel="0" collapsed="false">
      <c r="A18" s="3" t="s">
        <v>257</v>
      </c>
      <c r="H18" s="10" t="n">
        <f aca="false">AVERAGEIF(E5:E14,"&gt;1",H5:H14)</f>
        <v>0.0640524307084307</v>
      </c>
    </row>
    <row r="19" customFormat="false" ht="15" hidden="false" customHeight="true" outlineLevel="0" collapsed="false">
      <c r="A19" s="3" t="s">
        <v>258</v>
      </c>
      <c r="H19" s="10" t="n">
        <f aca="false">AVERAGEIF(E5:E14,"&lt;=1",H5:H14)</f>
        <v>0.031590992451614</v>
      </c>
    </row>
    <row r="20" customFormat="false" ht="15" hidden="false" customHeight="true" outlineLevel="0" collapsed="false">
      <c r="A20" s="3" t="s">
        <v>259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8" min="2" style="1" width="17"/>
  </cols>
  <sheetData>
    <row r="1" customFormat="false" ht="17.25" hidden="false" customHeight="true" outlineLevel="0" collapsed="false">
      <c r="A1" s="2" t="s">
        <v>260</v>
      </c>
    </row>
    <row r="2" customFormat="false" ht="15" hidden="false" customHeight="true" outlineLevel="0" collapsed="false">
      <c r="A2" s="3" t="s">
        <v>261</v>
      </c>
    </row>
    <row r="4" customFormat="false" ht="60" hidden="false" customHeight="true" outlineLevel="0" collapsed="false">
      <c r="A4" s="4" t="s">
        <v>262</v>
      </c>
      <c r="B4" s="4" t="s">
        <v>263</v>
      </c>
      <c r="C4" s="4" t="s">
        <v>264</v>
      </c>
      <c r="D4" s="4" t="s">
        <v>265</v>
      </c>
      <c r="E4" s="4" t="s">
        <v>266</v>
      </c>
      <c r="F4" s="4" t="s">
        <v>267</v>
      </c>
      <c r="G4" s="4" t="s">
        <v>268</v>
      </c>
      <c r="H4" s="4" t="s">
        <v>269</v>
      </c>
    </row>
    <row r="5" customFormat="false" ht="15" hidden="false" customHeight="true" outlineLevel="0" collapsed="false">
      <c r="A5" s="3" t="s">
        <v>270</v>
      </c>
      <c r="B5" s="3" t="n">
        <f aca="false">COUNTIFS(First10!$C$2:$C$31,"Expansion")</f>
        <v>14</v>
      </c>
      <c r="C5" s="21" t="n">
        <f aca="false">AVERAGEIFS(First10!$O$2:$O$31,First10!$C$2:$C$31,"Expansion")</f>
        <v>0.481897367181421</v>
      </c>
      <c r="D5" s="21" t="n">
        <f aca="false">AVERAGEIFS(First10!$J$2:$J$31,First10!$C$2:$C$31,"Expansion")</f>
        <v>0.445907743447533</v>
      </c>
      <c r="E5" s="19" t="n">
        <f aca="false">AVERAGEIFS(First10!$K$2:$K$31,First10!$C$2:$C$31,"Expansion")</f>
        <v>2.21428571428571</v>
      </c>
      <c r="F5" s="19" t="n">
        <f aca="false">AVERAGEIFS(First10!$L$2:$L$31,First10!$C$2:$C$31,"Expansion")</f>
        <v>0.785714285714286</v>
      </c>
      <c r="G5" s="3" t="n">
        <f aca="false">COUNTIFS(Franchise_Totals!$C$2:$C$31,"Expansion",Franchise_Totals!$H$2:$H$31,"&lt;0.5")</f>
        <v>13</v>
      </c>
      <c r="H5" s="3" t="n">
        <f aca="false">SUMIFS(Franchise_Totals!$I$2:$I$31,Franchise_Totals!$C$2:$C$31,"Expansion")</f>
        <v>14</v>
      </c>
    </row>
    <row r="6" customFormat="false" ht="15" hidden="false" customHeight="true" outlineLevel="0" collapsed="false">
      <c r="A6" s="3" t="s">
        <v>271</v>
      </c>
      <c r="B6" s="3" t="n">
        <f aca="false">COUNTIFS(First10!$D$2:$D$31,"1961-62")</f>
        <v>4</v>
      </c>
      <c r="C6" s="21" t="n">
        <f aca="false">AVERAGEIFS(First10!$O$2:$O$31,First10!$D$2:$D$31,"1961-62")</f>
        <v>0.489398068391983</v>
      </c>
      <c r="D6" s="21" t="n">
        <f aca="false">AVERAGEIFS(First10!$J$2:$J$31,First10!$D$2:$D$31,"1961-62")</f>
        <v>0.436338619631681</v>
      </c>
      <c r="E6" s="19" t="n">
        <f aca="false">AVERAGEIFS(First10!$K$2:$K$31,First10!$D$2:$D$31,"1961-62")</f>
        <v>2</v>
      </c>
      <c r="F6" s="19" t="n">
        <f aca="false">AVERAGEIFS(First10!$L$2:$L$31,First10!$D$2:$D$31,"1961-62")</f>
        <v>0.25</v>
      </c>
      <c r="G6" s="3" t="n">
        <f aca="false">COUNTIFS(Franchise_Totals!$D$2:$D$31,"1961-62",Franchise_Totals!$H$2:$H$31,"&lt;0.5")</f>
        <v>3</v>
      </c>
      <c r="H6" s="3" t="n">
        <f aca="false">SUMIFS(Franchise_Totals!$I$2:$I$31,Franchise_Totals!$D$2:$D$31,"1961-62")</f>
        <v>6</v>
      </c>
    </row>
    <row r="7" customFormat="false" ht="15" hidden="false" customHeight="true" outlineLevel="0" collapsed="false">
      <c r="A7" s="3" t="s">
        <v>272</v>
      </c>
      <c r="B7" s="3" t="n">
        <f aca="false">COUNTIFS(First10!$D$2:$D$31,"1969")</f>
        <v>4</v>
      </c>
      <c r="C7" s="21" t="n">
        <f aca="false">AVERAGEIFS(First10!$O$2:$O$31,First10!$D$2:$D$31,"1969")</f>
        <v>0.479040431896878</v>
      </c>
      <c r="D7" s="21" t="n">
        <f aca="false">AVERAGEIFS(First10!$J$2:$J$31,First10!$D$2:$D$31,"1969")</f>
        <v>0.449647488718963</v>
      </c>
      <c r="E7" s="19" t="n">
        <f aca="false">AVERAGEIFS(First10!$K$2:$K$31,First10!$D$2:$D$31,"1969")</f>
        <v>2</v>
      </c>
      <c r="F7" s="19" t="n">
        <f aca="false">AVERAGEIFS(First10!$L$2:$L$31,First10!$D$2:$D$31,"1969")</f>
        <v>0.75</v>
      </c>
      <c r="G7" s="3" t="n">
        <f aca="false">COUNTIFS(Franchise_Totals!$D$2:$D$31,"1969",Franchise_Totals!$H$2:$H$31,"&lt;0.5")</f>
        <v>4</v>
      </c>
      <c r="H7" s="3" t="n">
        <f aca="false">SUMIFS(Franchise_Totals!$I$2:$I$31,Franchise_Totals!$D$2:$D$31,"1969")</f>
        <v>3</v>
      </c>
    </row>
    <row r="8" customFormat="false" ht="15" hidden="false" customHeight="true" outlineLevel="0" collapsed="false">
      <c r="A8" s="3" t="s">
        <v>273</v>
      </c>
      <c r="B8" s="3" t="n">
        <f aca="false">COUNTIFS(First10!$D$2:$D$31,"1977")</f>
        <v>2</v>
      </c>
      <c r="C8" s="21" t="n">
        <f aca="false">AVERAGEIFS(First10!$O$2:$O$31,First10!$D$2:$D$31,"1977")</f>
        <v>0.48917131370769</v>
      </c>
      <c r="D8" s="21" t="n">
        <f aca="false">AVERAGEIFS(First10!$J$2:$J$31,First10!$D$2:$D$31,"1977")</f>
        <v>0.432530961352291</v>
      </c>
      <c r="E8" s="19" t="n">
        <f aca="false">AVERAGEIFS(First10!$K$2:$K$31,First10!$D$2:$D$31,"1977")</f>
        <v>2</v>
      </c>
      <c r="F8" s="19" t="n">
        <f aca="false">AVERAGEIFS(First10!$L$2:$L$31,First10!$D$2:$D$31,"1977")</f>
        <v>0.5</v>
      </c>
      <c r="G8" s="3" t="n">
        <f aca="false">COUNTIFS(Franchise_Totals!$D$2:$D$31,"1977",Franchise_Totals!$H$2:$H$31,"&lt;0.5")</f>
        <v>2</v>
      </c>
      <c r="H8" s="3" t="n">
        <f aca="false">SUMIFS(Franchise_Totals!$I$2:$I$31,Franchise_Totals!$D$2:$D$31,"1977")</f>
        <v>2</v>
      </c>
    </row>
    <row r="9" customFormat="false" ht="15" hidden="false" customHeight="true" outlineLevel="0" collapsed="false">
      <c r="A9" s="3" t="s">
        <v>274</v>
      </c>
      <c r="B9" s="3" t="n">
        <f aca="false">COUNTIFS(First10!$D$2:$D$31,"1993-98")</f>
        <v>4</v>
      </c>
      <c r="C9" s="21" t="n">
        <f aca="false">AVERAGEIFS(First10!$O$2:$O$31,First10!$D$2:$D$31,"1993-98")</f>
        <v>0.473616627992266</v>
      </c>
      <c r="D9" s="21" t="n">
        <f aca="false">AVERAGEIFS(First10!$J$2:$J$31,First10!$D$2:$D$31,"1993-98")</f>
        <v>0.458425513039577</v>
      </c>
      <c r="E9" s="19" t="n">
        <f aca="false">AVERAGEIFS(First10!$K$2:$K$31,First10!$D$2:$D$31,"1993-98")</f>
        <v>2.75</v>
      </c>
      <c r="F9" s="19" t="n">
        <f aca="false">AVERAGEIFS(First10!$L$2:$L$31,First10!$D$2:$D$31,"1993-98")</f>
        <v>1.5</v>
      </c>
      <c r="G9" s="3" t="n">
        <f aca="false">COUNTIFS(Franchise_Totals!$D$2:$D$31,"1993-98",Franchise_Totals!$H$2:$H$31,"&lt;0.5")</f>
        <v>4</v>
      </c>
      <c r="H9" s="3" t="n">
        <f aca="false">SUMIFS(Franchise_Totals!$I$2:$I$31,Franchise_Totals!$D$2:$D$31,"1993-98")</f>
        <v>3</v>
      </c>
    </row>
    <row r="10" customFormat="false" ht="15" hidden="false" customHeight="true" outlineLevel="0" collapsed="false">
      <c r="A10" s="3" t="s">
        <v>210</v>
      </c>
      <c r="B10" s="3" t="n">
        <f aca="false">COUNTIFS(First10!$C$2:$C$31,"Established")</f>
        <v>16</v>
      </c>
      <c r="C10" s="21" t="n">
        <f aca="false">AVERAGEIFS(First10!$O$2:$O$31,First10!$C$2:$C$31,"Established")</f>
        <v>0.507942910314257</v>
      </c>
      <c r="D10" s="21" t="n">
        <f aca="false">AVERAGEIFS(First10!$J$2:$J$31,First10!$C$2:$C$31,"Established")</f>
        <v>0.499560253430504</v>
      </c>
      <c r="E10" s="19" t="n">
        <f aca="false">AVERAGEIFS(First10!$K$2:$K$31,First10!$C$2:$C$31,"Established")</f>
        <v>5.1875</v>
      </c>
      <c r="F10" s="19" t="n">
        <f aca="false">AVERAGEIFS(First10!$L$2:$L$31,First10!$C$2:$C$31,"Established")</f>
        <v>1.25</v>
      </c>
      <c r="G10" s="3" t="n">
        <f aca="false">COUNTIFS(Franchise_Totals!$C$2:$C$31,"Established",Franchise_Totals!$H$2:$H$31,"&lt;0.5")</f>
        <v>5</v>
      </c>
      <c r="H10" s="3" t="n">
        <f aca="false">SUMIFS(Franchise_Totals!$I$2:$I$31,Franchise_Totals!$C$2:$C$31,"Established")</f>
        <v>107</v>
      </c>
    </row>
    <row r="12" customFormat="false" ht="15" hidden="false" customHeight="true" outlineLevel="0" collapsed="false">
      <c r="A12" s="9" t="s">
        <v>275</v>
      </c>
    </row>
    <row r="13" customFormat="false" ht="15" hidden="false" customHeight="true" outlineLevel="0" collapsed="false">
      <c r="A13" s="3" t="s">
        <v>276</v>
      </c>
    </row>
    <row r="14" customFormat="false" ht="15" hidden="false" customHeight="true" outlineLevel="0" collapsed="false">
      <c r="A14" s="3" t="s">
        <v>277</v>
      </c>
    </row>
    <row r="15" customFormat="false" ht="15" hidden="false" customHeight="true" outlineLevel="0" collapsed="false">
      <c r="A15" s="3" t="s">
        <v>278</v>
      </c>
    </row>
    <row r="16" customFormat="false" ht="15" hidden="false" customHeight="true" outlineLevel="0" collapsed="false">
      <c r="A16" s="3" t="s">
        <v>279</v>
      </c>
    </row>
    <row r="19" customFormat="false" ht="15" hidden="false" customHeight="true" outlineLevel="0" collapsed="false">
      <c r="A19" s="9" t="s">
        <v>280</v>
      </c>
    </row>
    <row r="20" customFormat="false" ht="15" hidden="false" customHeight="true" outlineLevel="0" collapsed="false">
      <c r="A20" s="3" t="s">
        <v>281</v>
      </c>
      <c r="B20" s="27" t="n">
        <f aca="false">COUNTA(Defunct!A2:A66)</f>
        <v>65</v>
      </c>
    </row>
    <row r="21" customFormat="false" ht="15" hidden="false" customHeight="true" outlineLevel="0" collapsed="false">
      <c r="A21" s="3" t="s">
        <v>282</v>
      </c>
      <c r="B21" s="19" t="n">
        <f aca="false">MEDIAN(Defunct!F2:F66)</f>
        <v>1</v>
      </c>
    </row>
    <row r="22" customFormat="false" ht="15" hidden="false" customHeight="true" outlineLevel="0" collapsed="false">
      <c r="A22" s="3" t="s">
        <v>283</v>
      </c>
      <c r="B22" s="26" t="n">
        <f aca="false">SUM(Defunct!K2:K66)/COUNTA(Defunct!A2:A66)</f>
        <v>0.8</v>
      </c>
    </row>
    <row r="23" customFormat="false" ht="15" hidden="false" customHeight="true" outlineLevel="0" collapsed="false">
      <c r="A23" s="3" t="s">
        <v>284</v>
      </c>
      <c r="B23" s="27" t="n">
        <f aca="false">SUM(Defunct!J2:J66)</f>
        <v>3</v>
      </c>
    </row>
    <row r="24" customFormat="false" ht="15" hidden="false" customHeight="true" outlineLevel="0" collapsed="false">
      <c r="A24" s="3" t="s">
        <v>285</v>
      </c>
      <c r="B24" s="21" t="n">
        <f aca="false">SUM(Defunct!G2:G66)/(SUM(Defunct!G2:G66)+SUM(Defunct!H2:H66))</f>
        <v>0.464840613931523</v>
      </c>
    </row>
    <row r="25" customFormat="false" ht="15" hidden="false" customHeight="true" outlineLevel="0" collapsed="false">
      <c r="A25" s="3" t="s">
        <v>286</v>
      </c>
      <c r="B25" s="27" t="n">
        <f aca="false">0</f>
        <v>0</v>
      </c>
    </row>
    <row r="27" customFormat="false" ht="15" hidden="false" customHeight="true" outlineLevel="0" collapsed="false">
      <c r="A27" s="3" t="s">
        <v>287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22"/>
    <col collapsed="false" customWidth="true" hidden="false" outlineLevel="0" max="15" min="2" style="1" width="12"/>
    <col collapsed="false" customWidth="true" hidden="false" outlineLevel="0" max="16" min="16" style="1" width="70"/>
  </cols>
  <sheetData>
    <row r="1" customFormat="false" ht="31.5" hidden="false" customHeight="true" outlineLevel="0" collapsed="false">
      <c r="A1" s="4" t="s">
        <v>288</v>
      </c>
      <c r="B1" s="4" t="s">
        <v>289</v>
      </c>
      <c r="C1" s="4" t="s">
        <v>290</v>
      </c>
      <c r="D1" s="4" t="s">
        <v>291</v>
      </c>
      <c r="E1" s="4" t="s">
        <v>292</v>
      </c>
      <c r="F1" s="4" t="s">
        <v>293</v>
      </c>
      <c r="G1" s="4" t="s">
        <v>294</v>
      </c>
      <c r="H1" s="4" t="s">
        <v>295</v>
      </c>
      <c r="I1" s="4" t="s">
        <v>296</v>
      </c>
      <c r="J1" s="4" t="s">
        <v>297</v>
      </c>
      <c r="K1" s="4" t="s">
        <v>298</v>
      </c>
      <c r="L1" s="4" t="s">
        <v>299</v>
      </c>
      <c r="M1" s="4" t="s">
        <v>300</v>
      </c>
      <c r="N1" s="4" t="s">
        <v>301</v>
      </c>
      <c r="O1" s="4" t="s">
        <v>302</v>
      </c>
      <c r="P1" s="4" t="s">
        <v>303</v>
      </c>
      <c r="Q1" s="28" t="s">
        <v>232</v>
      </c>
    </row>
    <row r="2" customFormat="false" ht="15" hidden="false" customHeight="true" outlineLevel="0" collapsed="false">
      <c r="A2" s="3" t="s">
        <v>154</v>
      </c>
      <c r="B2" s="29" t="n">
        <v>3437202</v>
      </c>
      <c r="C2" s="29" t="n">
        <v>4766883</v>
      </c>
      <c r="D2" s="29" t="n">
        <v>5620048</v>
      </c>
      <c r="E2" s="29" t="n">
        <v>6930446</v>
      </c>
      <c r="F2" s="29" t="n">
        <v>7454995</v>
      </c>
      <c r="G2" s="29" t="n">
        <v>7891957</v>
      </c>
      <c r="H2" s="29" t="n">
        <v>7781984</v>
      </c>
      <c r="I2" s="29" t="n">
        <v>7894862</v>
      </c>
      <c r="J2" s="29" t="n">
        <v>7071639</v>
      </c>
      <c r="K2" s="29" t="n">
        <v>7322564</v>
      </c>
      <c r="L2" s="29" t="n">
        <v>8008278</v>
      </c>
      <c r="M2" s="29" t="n">
        <v>8175133</v>
      </c>
      <c r="N2" s="29" t="n">
        <v>8804190</v>
      </c>
      <c r="O2" s="29" t="n">
        <v>20140470</v>
      </c>
      <c r="P2" s="3" t="s">
        <v>304</v>
      </c>
      <c r="Q2" s="7" t="s">
        <v>241</v>
      </c>
    </row>
    <row r="3" customFormat="false" ht="15" hidden="false" customHeight="true" outlineLevel="0" collapsed="false">
      <c r="A3" s="3" t="s">
        <v>142</v>
      </c>
      <c r="B3" s="29" t="n">
        <v>1698575</v>
      </c>
      <c r="C3" s="29" t="n">
        <v>2185283</v>
      </c>
      <c r="D3" s="29" t="n">
        <v>2701705</v>
      </c>
      <c r="E3" s="29" t="n">
        <v>3376438</v>
      </c>
      <c r="F3" s="29" t="n">
        <v>3396808</v>
      </c>
      <c r="G3" s="29" t="n">
        <v>3620962</v>
      </c>
      <c r="H3" s="29" t="n">
        <v>3550404</v>
      </c>
      <c r="I3" s="29" t="n">
        <v>3366957</v>
      </c>
      <c r="J3" s="29" t="n">
        <v>3005072</v>
      </c>
      <c r="K3" s="29" t="n">
        <v>2783726</v>
      </c>
      <c r="L3" s="29" t="n">
        <v>2896016</v>
      </c>
      <c r="M3" s="29" t="n">
        <v>2695598</v>
      </c>
      <c r="N3" s="29" t="n">
        <v>2746388</v>
      </c>
      <c r="O3" s="29" t="n">
        <v>9618502</v>
      </c>
      <c r="P3" s="3" t="s">
        <v>304</v>
      </c>
      <c r="Q3" s="7" t="s">
        <v>242</v>
      </c>
    </row>
    <row r="4" customFormat="false" ht="15" hidden="false" customHeight="true" outlineLevel="0" collapsed="false">
      <c r="A4" s="3" t="s">
        <v>146</v>
      </c>
      <c r="B4" s="29" t="n">
        <v>1293697</v>
      </c>
      <c r="C4" s="29" t="n">
        <v>1549008</v>
      </c>
      <c r="D4" s="29" t="n">
        <v>1823779</v>
      </c>
      <c r="E4" s="29" t="n">
        <v>1950961</v>
      </c>
      <c r="F4" s="29" t="n">
        <v>1931334</v>
      </c>
      <c r="G4" s="29" t="n">
        <v>2071605</v>
      </c>
      <c r="H4" s="29" t="n">
        <v>2002512</v>
      </c>
      <c r="I4" s="29" t="n">
        <v>1948609</v>
      </c>
      <c r="J4" s="29" t="n">
        <v>1688210</v>
      </c>
      <c r="K4" s="29" t="n">
        <v>1585577</v>
      </c>
      <c r="L4" s="29" t="n">
        <v>1517550</v>
      </c>
      <c r="M4" s="29" t="n">
        <v>1526006</v>
      </c>
      <c r="N4" s="29" t="n">
        <v>1603797</v>
      </c>
      <c r="O4" s="29" t="n">
        <v>6245051</v>
      </c>
      <c r="P4" s="3" t="s">
        <v>304</v>
      </c>
      <c r="Q4" s="7" t="s">
        <v>241</v>
      </c>
    </row>
    <row r="5" customFormat="false" ht="15" hidden="false" customHeight="true" outlineLevel="0" collapsed="false">
      <c r="A5" s="3" t="s">
        <v>145</v>
      </c>
      <c r="B5" s="29" t="n">
        <v>575238</v>
      </c>
      <c r="C5" s="29" t="n">
        <v>687029</v>
      </c>
      <c r="D5" s="29" t="n">
        <v>772897</v>
      </c>
      <c r="E5" s="29" t="n">
        <v>821960</v>
      </c>
      <c r="F5" s="29" t="n">
        <v>816048</v>
      </c>
      <c r="G5" s="29" t="n">
        <v>856796</v>
      </c>
      <c r="H5" s="29" t="n">
        <v>750026</v>
      </c>
      <c r="I5" s="29" t="n">
        <v>622236</v>
      </c>
      <c r="J5" s="29" t="n">
        <v>453805</v>
      </c>
      <c r="K5" s="29" t="n">
        <v>396685</v>
      </c>
      <c r="L5" s="29" t="n">
        <v>348189</v>
      </c>
      <c r="M5" s="29" t="n">
        <v>319294</v>
      </c>
      <c r="N5" s="29" t="n">
        <v>301578</v>
      </c>
      <c r="O5" s="29" t="n">
        <v>2809299</v>
      </c>
      <c r="P5" s="3" t="s">
        <v>305</v>
      </c>
      <c r="Q5" s="7" t="s">
        <v>242</v>
      </c>
    </row>
    <row r="6" customFormat="false" ht="15" hidden="false" customHeight="true" outlineLevel="0" collapsed="false">
      <c r="A6" s="3" t="s">
        <v>150</v>
      </c>
      <c r="B6" s="29" t="n">
        <v>560892</v>
      </c>
      <c r="C6" s="29" t="n">
        <v>670585</v>
      </c>
      <c r="D6" s="29" t="n">
        <v>748060</v>
      </c>
      <c r="E6" s="29" t="n">
        <v>781188</v>
      </c>
      <c r="F6" s="29" t="n">
        <v>770816</v>
      </c>
      <c r="G6" s="29" t="n">
        <v>801444</v>
      </c>
      <c r="H6" s="29" t="n">
        <v>697197</v>
      </c>
      <c r="I6" s="29" t="n">
        <v>641071</v>
      </c>
      <c r="J6" s="29" t="n">
        <v>562994</v>
      </c>
      <c r="K6" s="29" t="n">
        <v>574283</v>
      </c>
      <c r="L6" s="29" t="n">
        <v>589141</v>
      </c>
      <c r="M6" s="29" t="n">
        <v>617594</v>
      </c>
      <c r="N6" s="29" t="n">
        <v>675647</v>
      </c>
      <c r="O6" s="29" t="n">
        <v>4941632</v>
      </c>
      <c r="P6" s="3" t="s">
        <v>306</v>
      </c>
      <c r="Q6" s="7" t="s">
        <v>241</v>
      </c>
    </row>
    <row r="7" customFormat="false" ht="15" hidden="false" customHeight="true" outlineLevel="0" collapsed="false">
      <c r="A7" s="3" t="s">
        <v>149</v>
      </c>
      <c r="B7" s="29" t="n">
        <v>508957</v>
      </c>
      <c r="C7" s="29" t="n">
        <v>558485</v>
      </c>
      <c r="D7" s="29" t="n">
        <v>733826</v>
      </c>
      <c r="E7" s="29" t="n">
        <v>804874</v>
      </c>
      <c r="F7" s="29" t="n">
        <v>859100</v>
      </c>
      <c r="G7" s="29" t="n">
        <v>949708</v>
      </c>
      <c r="H7" s="29" t="n">
        <v>939024</v>
      </c>
      <c r="I7" s="29" t="n">
        <v>905759</v>
      </c>
      <c r="J7" s="29" t="n">
        <v>786775</v>
      </c>
      <c r="K7" s="29" t="n">
        <v>736014</v>
      </c>
      <c r="L7" s="29" t="n">
        <v>651154</v>
      </c>
      <c r="M7" s="29" t="n">
        <v>620961</v>
      </c>
      <c r="N7" s="29" t="n">
        <v>585708</v>
      </c>
      <c r="O7" s="29" t="n">
        <v>2859024</v>
      </c>
      <c r="P7" s="3" t="s">
        <v>305</v>
      </c>
      <c r="Q7" s="7" t="s">
        <v>243</v>
      </c>
    </row>
    <row r="8" customFormat="false" ht="15" hidden="false" customHeight="true" outlineLevel="0" collapsed="false">
      <c r="A8" s="3" t="s">
        <v>151</v>
      </c>
      <c r="B8" s="29" t="n">
        <v>381768</v>
      </c>
      <c r="C8" s="29" t="n">
        <v>560663</v>
      </c>
      <c r="D8" s="29" t="n">
        <v>796841</v>
      </c>
      <c r="E8" s="29" t="n">
        <v>900429</v>
      </c>
      <c r="F8" s="29" t="n">
        <v>878336</v>
      </c>
      <c r="G8" s="29" t="n">
        <v>914808</v>
      </c>
      <c r="H8" s="29" t="n">
        <v>876050</v>
      </c>
      <c r="I8" s="29" t="n">
        <v>750903</v>
      </c>
      <c r="J8" s="29" t="n">
        <v>573822</v>
      </c>
      <c r="K8" s="29" t="n">
        <v>505616</v>
      </c>
      <c r="L8" s="29" t="n">
        <v>478403</v>
      </c>
      <c r="M8" s="29" t="n">
        <v>396815</v>
      </c>
      <c r="N8" s="29" t="n">
        <v>372624</v>
      </c>
      <c r="O8" s="29" t="n">
        <v>2171877</v>
      </c>
      <c r="P8" s="3" t="s">
        <v>305</v>
      </c>
      <c r="Q8" s="7" t="s">
        <v>242</v>
      </c>
    </row>
    <row r="9" customFormat="false" ht="15" hidden="false" customHeight="true" outlineLevel="0" collapsed="false">
      <c r="A9" s="3" t="s">
        <v>144</v>
      </c>
      <c r="B9" s="29" t="n">
        <v>321616</v>
      </c>
      <c r="C9" s="29" t="n">
        <v>533905</v>
      </c>
      <c r="D9" s="29" t="n">
        <v>588343</v>
      </c>
      <c r="E9" s="29" t="n">
        <v>669817</v>
      </c>
      <c r="F9" s="29" t="n">
        <v>671659</v>
      </c>
      <c r="G9" s="29" t="n">
        <v>676806</v>
      </c>
      <c r="H9" s="29" t="n">
        <v>604332</v>
      </c>
      <c r="I9" s="29" t="n">
        <v>520117</v>
      </c>
      <c r="J9" s="29" t="n">
        <v>423938</v>
      </c>
      <c r="K9" s="29" t="n">
        <v>369879</v>
      </c>
      <c r="L9" s="29" t="n">
        <v>334563</v>
      </c>
      <c r="M9" s="29" t="n">
        <v>305704</v>
      </c>
      <c r="N9" s="29" t="n">
        <v>302971</v>
      </c>
      <c r="O9" s="29" t="n">
        <v>2429917</v>
      </c>
      <c r="P9" s="3" t="s">
        <v>305</v>
      </c>
      <c r="Q9" s="7" t="s">
        <v>241</v>
      </c>
    </row>
    <row r="10" customFormat="false" ht="15" hidden="false" customHeight="true" outlineLevel="0" collapsed="false">
      <c r="A10" s="3" t="s">
        <v>152</v>
      </c>
      <c r="B10" s="29" t="n">
        <v>285704</v>
      </c>
      <c r="C10" s="29" t="n">
        <v>465766</v>
      </c>
      <c r="D10" s="29" t="n">
        <v>993678</v>
      </c>
      <c r="E10" s="29" t="n">
        <v>1568662</v>
      </c>
      <c r="F10" s="29" t="n">
        <v>1623452</v>
      </c>
      <c r="G10" s="29" t="n">
        <v>1849568</v>
      </c>
      <c r="H10" s="29" t="n">
        <v>1670144</v>
      </c>
      <c r="I10" s="29" t="n">
        <v>1511482</v>
      </c>
      <c r="J10" s="29" t="n">
        <v>1203368</v>
      </c>
      <c r="K10" s="29" t="n">
        <v>1027974</v>
      </c>
      <c r="L10" s="29" t="n">
        <v>951270</v>
      </c>
      <c r="M10" s="29" t="n">
        <v>713777</v>
      </c>
      <c r="N10" s="29" t="n">
        <v>639111</v>
      </c>
      <c r="O10" s="29" t="n">
        <v>4400578</v>
      </c>
      <c r="P10" s="3" t="s">
        <v>305</v>
      </c>
      <c r="Q10" s="7" t="s">
        <v>242</v>
      </c>
    </row>
    <row r="11" customFormat="false" ht="15" hidden="false" customHeight="true" outlineLevel="0" collapsed="false">
      <c r="A11" s="3" t="s">
        <v>143</v>
      </c>
      <c r="B11" s="29" t="n">
        <v>325902</v>
      </c>
      <c r="C11" s="29" t="n">
        <v>363591</v>
      </c>
      <c r="D11" s="29" t="n">
        <v>401247</v>
      </c>
      <c r="E11" s="29" t="n">
        <v>451160</v>
      </c>
      <c r="F11" s="29" t="n">
        <v>455610</v>
      </c>
      <c r="G11" s="29" t="n">
        <v>503998</v>
      </c>
      <c r="H11" s="29" t="n">
        <v>502550</v>
      </c>
      <c r="I11" s="29" t="n">
        <v>452525</v>
      </c>
      <c r="J11" s="29" t="n">
        <v>385460</v>
      </c>
      <c r="K11" s="29" t="n">
        <v>364040</v>
      </c>
      <c r="L11" s="29" t="n">
        <v>331285</v>
      </c>
      <c r="M11" s="29" t="n">
        <v>296943</v>
      </c>
      <c r="N11" s="29" t="n">
        <v>309317</v>
      </c>
      <c r="O11" s="29" t="n">
        <v>2265051</v>
      </c>
      <c r="P11" s="3" t="s">
        <v>305</v>
      </c>
      <c r="Q11" s="7" t="s">
        <v>242</v>
      </c>
    </row>
    <row r="12" customFormat="false" ht="15" hidden="false" customHeight="true" outlineLevel="0" collapsed="false">
      <c r="A12" s="3" t="s">
        <v>160</v>
      </c>
      <c r="B12" s="29" t="n">
        <v>278718</v>
      </c>
      <c r="C12" s="29" t="n">
        <v>331069</v>
      </c>
      <c r="D12" s="29" t="n">
        <v>437571</v>
      </c>
      <c r="E12" s="29" t="n">
        <v>486869</v>
      </c>
      <c r="F12" s="29" t="n">
        <v>663091</v>
      </c>
      <c r="G12" s="29" t="n">
        <v>802178</v>
      </c>
      <c r="H12" s="29" t="n">
        <v>763956</v>
      </c>
      <c r="I12" s="29" t="n">
        <v>756510</v>
      </c>
      <c r="J12" s="29" t="n">
        <v>638333</v>
      </c>
      <c r="K12" s="29" t="n">
        <v>606900</v>
      </c>
      <c r="L12" s="29" t="n">
        <v>572059</v>
      </c>
      <c r="M12" s="29" t="n">
        <v>601723</v>
      </c>
      <c r="N12" s="29" t="n">
        <v>689545</v>
      </c>
      <c r="O12" s="29" t="n">
        <v>6304975</v>
      </c>
      <c r="P12" s="3" t="s">
        <v>305</v>
      </c>
      <c r="Q12" s="7" t="s">
        <v>243</v>
      </c>
    </row>
    <row r="13" customFormat="false" ht="15" hidden="false" customHeight="true" outlineLevel="0" collapsed="false">
      <c r="A13" s="3" t="s">
        <v>153</v>
      </c>
      <c r="B13" s="29" t="n">
        <v>202718</v>
      </c>
      <c r="C13" s="29" t="n">
        <v>301408</v>
      </c>
      <c r="D13" s="29" t="n">
        <v>380582</v>
      </c>
      <c r="E13" s="29" t="n">
        <v>464356</v>
      </c>
      <c r="F13" s="29" t="n">
        <v>492370</v>
      </c>
      <c r="G13" s="29" t="n">
        <v>521718</v>
      </c>
      <c r="H13" s="29" t="n">
        <v>482872</v>
      </c>
      <c r="I13" s="29" t="n">
        <v>434400</v>
      </c>
      <c r="J13" s="29" t="n">
        <v>370951</v>
      </c>
      <c r="K13" s="29" t="n">
        <v>368383</v>
      </c>
      <c r="L13" s="29" t="n">
        <v>382618</v>
      </c>
      <c r="M13" s="29" t="n">
        <v>382578</v>
      </c>
      <c r="N13" s="29" t="n">
        <v>429954</v>
      </c>
      <c r="O13" s="29" t="n">
        <v>3693729</v>
      </c>
      <c r="P13" s="3" t="s">
        <v>305</v>
      </c>
      <c r="Q13" s="7" t="s">
        <v>242</v>
      </c>
    </row>
    <row r="14" customFormat="false" ht="15" hidden="false" customHeight="true" outlineLevel="0" collapsed="false">
      <c r="A14" s="3" t="s">
        <v>158</v>
      </c>
      <c r="B14" s="29" t="n">
        <v>285315</v>
      </c>
      <c r="C14" s="29" t="n">
        <v>373857</v>
      </c>
      <c r="D14" s="29" t="n">
        <v>457147</v>
      </c>
      <c r="E14" s="29" t="n">
        <v>578249</v>
      </c>
      <c r="F14" s="29" t="n">
        <v>587472</v>
      </c>
      <c r="G14" s="29" t="n">
        <v>637392</v>
      </c>
      <c r="H14" s="29" t="n">
        <v>741324</v>
      </c>
      <c r="I14" s="29" t="n">
        <v>717099</v>
      </c>
      <c r="J14" s="29" t="n">
        <v>636212</v>
      </c>
      <c r="K14" s="29" t="n">
        <v>628088</v>
      </c>
      <c r="L14" s="29" t="n">
        <v>596974</v>
      </c>
      <c r="M14" s="29" t="n">
        <v>594833</v>
      </c>
      <c r="N14" s="29" t="n">
        <v>577222</v>
      </c>
      <c r="O14" s="29" t="n">
        <v>1574731</v>
      </c>
      <c r="P14" s="3" t="s">
        <v>305</v>
      </c>
      <c r="Q14" s="7" t="s">
        <v>242</v>
      </c>
    </row>
    <row r="15" customFormat="false" ht="15" hidden="false" customHeight="true" outlineLevel="0" collapsed="false">
      <c r="A15" s="3" t="s">
        <v>157</v>
      </c>
      <c r="B15" s="29" t="n">
        <v>163752</v>
      </c>
      <c r="C15" s="29" t="n">
        <v>248381</v>
      </c>
      <c r="D15" s="29" t="n">
        <v>324410</v>
      </c>
      <c r="E15" s="29" t="n">
        <v>399746</v>
      </c>
      <c r="F15" s="29" t="n">
        <v>400178</v>
      </c>
      <c r="G15" s="29" t="n">
        <v>456622</v>
      </c>
      <c r="H15" s="29" t="n">
        <v>475539</v>
      </c>
      <c r="I15" s="29" t="n">
        <v>507087</v>
      </c>
      <c r="J15" s="29" t="n">
        <v>448159</v>
      </c>
      <c r="K15" s="29" t="n">
        <v>435146</v>
      </c>
      <c r="L15" s="29" t="n">
        <v>441545</v>
      </c>
      <c r="M15" s="29" t="n">
        <v>459787</v>
      </c>
      <c r="N15" s="29" t="n">
        <v>508090</v>
      </c>
      <c r="O15" s="29" t="n">
        <v>2253579</v>
      </c>
      <c r="P15" s="3" t="s">
        <v>305</v>
      </c>
      <c r="Q15" s="7" t="s">
        <v>242</v>
      </c>
    </row>
    <row r="16" customFormat="false" ht="15" hidden="false" customHeight="true" outlineLevel="0" collapsed="false">
      <c r="A16" s="3" t="s">
        <v>148</v>
      </c>
      <c r="B16" s="29" t="n">
        <v>102479</v>
      </c>
      <c r="C16" s="29" t="n">
        <v>319198</v>
      </c>
      <c r="D16" s="29" t="n">
        <v>576673</v>
      </c>
      <c r="E16" s="29" t="n">
        <v>1238048</v>
      </c>
      <c r="F16" s="29" t="n">
        <v>1504277</v>
      </c>
      <c r="G16" s="29" t="n">
        <v>1970358</v>
      </c>
      <c r="H16" s="29" t="n">
        <v>2479015</v>
      </c>
      <c r="I16" s="29" t="n">
        <v>2816061</v>
      </c>
      <c r="J16" s="29" t="n">
        <v>2966850</v>
      </c>
      <c r="K16" s="29" t="n">
        <v>3485398</v>
      </c>
      <c r="L16" s="29" t="n">
        <v>3694820</v>
      </c>
      <c r="M16" s="29" t="n">
        <v>3792621</v>
      </c>
      <c r="N16" s="29" t="n">
        <v>3898747</v>
      </c>
      <c r="O16" s="29" t="n">
        <v>13200998</v>
      </c>
      <c r="P16" s="3" t="s">
        <v>307</v>
      </c>
      <c r="Q16" s="7" t="s">
        <v>244</v>
      </c>
    </row>
    <row r="17" customFormat="false" ht="15" hidden="false" customHeight="true" outlineLevel="0" collapsed="false">
      <c r="A17" s="3" t="s">
        <v>147</v>
      </c>
      <c r="B17" s="29" t="n">
        <v>342782</v>
      </c>
      <c r="C17" s="29" t="n">
        <v>416912</v>
      </c>
      <c r="D17" s="29" t="n">
        <v>506676</v>
      </c>
      <c r="E17" s="29" t="n">
        <v>634394</v>
      </c>
      <c r="F17" s="29" t="n">
        <v>634536</v>
      </c>
      <c r="G17" s="29" t="n">
        <v>775357</v>
      </c>
      <c r="H17" s="29" t="n">
        <v>740316</v>
      </c>
      <c r="I17" s="29" t="n">
        <v>715674</v>
      </c>
      <c r="J17" s="29" t="n">
        <v>678974</v>
      </c>
      <c r="K17" s="29" t="n">
        <v>723959</v>
      </c>
      <c r="L17" s="29" t="n">
        <v>776733</v>
      </c>
      <c r="M17" s="29" t="n">
        <v>805235</v>
      </c>
      <c r="N17" s="29" t="n">
        <v>873965</v>
      </c>
      <c r="O17" s="29" t="n">
        <v>4648486</v>
      </c>
      <c r="P17" s="3" t="s">
        <v>308</v>
      </c>
      <c r="Q17" s="7" t="s">
        <v>244</v>
      </c>
    </row>
    <row r="18" customFormat="false" ht="15" hidden="false" customHeight="true" outlineLevel="0" collapsed="false">
      <c r="A18" s="3" t="s">
        <v>253</v>
      </c>
      <c r="B18" s="29" t="n">
        <v>66960</v>
      </c>
      <c r="C18" s="29" t="n">
        <v>150174</v>
      </c>
      <c r="D18" s="29" t="n">
        <v>216261</v>
      </c>
      <c r="E18" s="29" t="n">
        <v>284063</v>
      </c>
      <c r="F18" s="29" t="n">
        <v>302163</v>
      </c>
      <c r="G18" s="29" t="n">
        <v>384575</v>
      </c>
      <c r="H18" s="29" t="n">
        <v>367548</v>
      </c>
      <c r="I18" s="29" t="n">
        <v>361561</v>
      </c>
      <c r="J18" s="29" t="n">
        <v>339337</v>
      </c>
      <c r="K18" s="29" t="n">
        <v>372242</v>
      </c>
      <c r="L18" s="29" t="n">
        <v>399484</v>
      </c>
      <c r="M18" s="29" t="n">
        <v>390724</v>
      </c>
      <c r="N18" s="29" t="n">
        <v>440646</v>
      </c>
      <c r="O18" s="29"/>
      <c r="P18" s="3" t="s">
        <v>305</v>
      </c>
      <c r="Q18" s="7" t="s">
        <v>244</v>
      </c>
    </row>
    <row r="19" customFormat="false" ht="15" hidden="false" customHeight="true" outlineLevel="0" collapsed="false">
      <c r="A19" s="3" t="s">
        <v>156</v>
      </c>
      <c r="B19" s="29" t="n">
        <v>44633</v>
      </c>
      <c r="C19" s="29" t="n">
        <v>78800</v>
      </c>
      <c r="D19" s="29" t="n">
        <v>138276</v>
      </c>
      <c r="E19" s="29" t="n">
        <v>292352</v>
      </c>
      <c r="F19" s="29" t="n">
        <v>384514</v>
      </c>
      <c r="G19" s="29" t="n">
        <v>596163</v>
      </c>
      <c r="H19" s="29" t="n">
        <v>938219</v>
      </c>
      <c r="I19" s="29" t="n">
        <v>1232802</v>
      </c>
      <c r="J19" s="29" t="n">
        <v>1595138</v>
      </c>
      <c r="K19" s="29" t="n">
        <v>1630553</v>
      </c>
      <c r="L19" s="29" t="n">
        <v>1953631</v>
      </c>
      <c r="M19" s="29" t="n">
        <v>2099451</v>
      </c>
      <c r="N19" s="29" t="n">
        <v>2304580</v>
      </c>
      <c r="O19" s="29" t="n">
        <v>7122240</v>
      </c>
      <c r="P19" s="3" t="s">
        <v>305</v>
      </c>
      <c r="Q19" s="7" t="s">
        <v>243</v>
      </c>
    </row>
    <row r="20" customFormat="false" ht="15" hidden="false" customHeight="true" outlineLevel="0" collapsed="false">
      <c r="A20" s="3" t="s">
        <v>155</v>
      </c>
      <c r="B20" s="29" t="n">
        <v>42639</v>
      </c>
      <c r="C20" s="29" t="n">
        <v>92104</v>
      </c>
      <c r="D20" s="29" t="n">
        <v>158976</v>
      </c>
      <c r="E20" s="29" t="n">
        <v>269475</v>
      </c>
      <c r="F20" s="29" t="n">
        <v>294734</v>
      </c>
      <c r="G20" s="29" t="n">
        <v>434462</v>
      </c>
      <c r="H20" s="29" t="n">
        <v>679684</v>
      </c>
      <c r="I20" s="29" t="n">
        <v>844401</v>
      </c>
      <c r="J20" s="29" t="n">
        <v>904078</v>
      </c>
      <c r="K20" s="29" t="n">
        <v>1006977</v>
      </c>
      <c r="L20" s="29" t="n">
        <v>1188580</v>
      </c>
      <c r="M20" s="29" t="n">
        <v>1197816</v>
      </c>
      <c r="N20" s="29" t="n">
        <v>1304379</v>
      </c>
      <c r="O20" s="29" t="n">
        <v>8477157</v>
      </c>
      <c r="P20" s="3" t="s">
        <v>305</v>
      </c>
      <c r="Q20" s="7" t="s">
        <v>243</v>
      </c>
    </row>
    <row r="21" customFormat="false" ht="15" hidden="false" customHeight="true" outlineLevel="0" collapsed="false">
      <c r="A21" s="3" t="s">
        <v>141</v>
      </c>
      <c r="B21" s="29" t="n">
        <v>89872</v>
      </c>
      <c r="C21" s="29" t="n">
        <v>154839</v>
      </c>
      <c r="D21" s="29" t="n">
        <v>200616</v>
      </c>
      <c r="E21" s="29" t="n">
        <v>270366</v>
      </c>
      <c r="F21" s="29" t="n">
        <v>302288</v>
      </c>
      <c r="G21" s="29" t="n">
        <v>331314</v>
      </c>
      <c r="H21" s="29" t="n">
        <v>487455</v>
      </c>
      <c r="I21" s="29" t="n">
        <v>495039</v>
      </c>
      <c r="J21" s="29" t="n">
        <v>425022</v>
      </c>
      <c r="K21" s="29" t="n">
        <v>394017</v>
      </c>
      <c r="L21" s="29" t="n">
        <v>416474</v>
      </c>
      <c r="M21" s="29" t="n">
        <v>420003</v>
      </c>
      <c r="N21" s="29" t="n">
        <v>498715</v>
      </c>
      <c r="O21" s="29" t="n">
        <v>6411149</v>
      </c>
      <c r="P21" s="3" t="s">
        <v>305</v>
      </c>
      <c r="Q21" s="7" t="s">
        <v>243</v>
      </c>
    </row>
    <row r="22" customFormat="false" ht="15" hidden="false" customHeight="true" outlineLevel="0" collapsed="false">
      <c r="A22" s="3" t="s">
        <v>161</v>
      </c>
      <c r="B22" s="29" t="n">
        <v>80671</v>
      </c>
      <c r="C22" s="29" t="n">
        <v>237194</v>
      </c>
      <c r="D22" s="29" t="n">
        <v>315312</v>
      </c>
      <c r="E22" s="29" t="n">
        <v>365583</v>
      </c>
      <c r="F22" s="29" t="n">
        <v>368302</v>
      </c>
      <c r="G22" s="29" t="n">
        <v>467591</v>
      </c>
      <c r="H22" s="29" t="n">
        <v>557087</v>
      </c>
      <c r="I22" s="29" t="n">
        <v>530831</v>
      </c>
      <c r="J22" s="29" t="n">
        <v>493846</v>
      </c>
      <c r="K22" s="29" t="n">
        <v>516259</v>
      </c>
      <c r="L22" s="29" t="n">
        <v>563374</v>
      </c>
      <c r="M22" s="29" t="n">
        <v>608660</v>
      </c>
      <c r="N22" s="29" t="n">
        <v>737015</v>
      </c>
      <c r="O22" s="29" t="n">
        <v>4018762</v>
      </c>
      <c r="P22" s="3" t="s">
        <v>305</v>
      </c>
      <c r="Q22" s="7" t="s">
        <v>244</v>
      </c>
    </row>
    <row r="23" customFormat="false" ht="15" hidden="false" customHeight="true" outlineLevel="0" collapsed="false">
      <c r="A23" s="3" t="s">
        <v>163</v>
      </c>
      <c r="B23" s="29" t="n">
        <v>133859</v>
      </c>
      <c r="C23" s="29" t="n">
        <v>213381</v>
      </c>
      <c r="D23" s="29" t="n">
        <v>256491</v>
      </c>
      <c r="E23" s="29" t="n">
        <v>287861</v>
      </c>
      <c r="F23" s="29" t="n">
        <v>322412</v>
      </c>
      <c r="G23" s="29" t="n">
        <v>415765</v>
      </c>
      <c r="H23" s="29" t="n">
        <v>493887</v>
      </c>
      <c r="I23" s="29" t="n">
        <v>514678</v>
      </c>
      <c r="J23" s="29" t="n">
        <v>492686</v>
      </c>
      <c r="K23" s="29" t="n">
        <v>467610</v>
      </c>
      <c r="L23" s="29" t="n">
        <v>554636</v>
      </c>
      <c r="M23" s="29" t="n">
        <v>600158</v>
      </c>
      <c r="N23" s="29" t="n">
        <v>715522</v>
      </c>
      <c r="O23" s="29" t="n">
        <v>3092037</v>
      </c>
      <c r="P23" s="3" t="s">
        <v>305</v>
      </c>
      <c r="Q23" s="7" t="s">
        <v>244</v>
      </c>
    </row>
    <row r="24" customFormat="false" ht="15" hidden="false" customHeight="true" outlineLevel="0" collapsed="false">
      <c r="A24" s="3" t="s">
        <v>159</v>
      </c>
      <c r="B24" s="29" t="n">
        <v>17700</v>
      </c>
      <c r="C24" s="29" t="n">
        <v>39578</v>
      </c>
      <c r="D24" s="29" t="n">
        <v>74361</v>
      </c>
      <c r="E24" s="29" t="n">
        <v>147995</v>
      </c>
      <c r="F24" s="29" t="n">
        <v>203341</v>
      </c>
      <c r="G24" s="29" t="n">
        <v>334387</v>
      </c>
      <c r="H24" s="29" t="n">
        <v>573224</v>
      </c>
      <c r="I24" s="29" t="n">
        <v>696769</v>
      </c>
      <c r="J24" s="29" t="n">
        <v>875538</v>
      </c>
      <c r="K24" s="29" t="n">
        <v>1110549</v>
      </c>
      <c r="L24" s="29" t="n">
        <v>1223400</v>
      </c>
      <c r="M24" s="29" t="n">
        <v>1307402</v>
      </c>
      <c r="N24" s="29" t="n">
        <v>1386932</v>
      </c>
      <c r="O24" s="29" t="n">
        <v>3298799</v>
      </c>
      <c r="P24" s="3" t="s">
        <v>305</v>
      </c>
      <c r="Q24" s="7" t="s">
        <v>244</v>
      </c>
    </row>
    <row r="25" customFormat="false" ht="15" hidden="false" customHeight="true" outlineLevel="0" collapsed="false">
      <c r="A25" s="3" t="s">
        <v>165</v>
      </c>
      <c r="B25" s="29" t="n">
        <v>5544</v>
      </c>
      <c r="C25" s="29" t="n">
        <v>11314</v>
      </c>
      <c r="D25" s="29" t="n">
        <v>29053</v>
      </c>
      <c r="E25" s="29" t="n">
        <v>48118</v>
      </c>
      <c r="F25" s="29" t="n">
        <v>65414</v>
      </c>
      <c r="G25" s="29" t="n">
        <v>106818</v>
      </c>
      <c r="H25" s="29" t="n">
        <v>439170</v>
      </c>
      <c r="I25" s="29" t="n">
        <v>581572</v>
      </c>
      <c r="J25" s="29" t="n">
        <v>789704</v>
      </c>
      <c r="K25" s="29" t="n">
        <v>983403</v>
      </c>
      <c r="L25" s="29" t="n">
        <v>1321045</v>
      </c>
      <c r="M25" s="29" t="n">
        <v>1445632</v>
      </c>
      <c r="N25" s="29" t="n">
        <v>1608139</v>
      </c>
      <c r="O25" s="29" t="n">
        <v>4845832</v>
      </c>
      <c r="P25" s="3" t="s">
        <v>305</v>
      </c>
      <c r="Q25" s="7" t="s">
        <v>244</v>
      </c>
    </row>
    <row r="26" customFormat="false" ht="15" hidden="false" customHeight="true" outlineLevel="0" collapsed="false">
      <c r="A26" s="3" t="s">
        <v>164</v>
      </c>
      <c r="B26" s="29" t="n">
        <v>1681</v>
      </c>
      <c r="C26" s="29" t="n">
        <v>5471</v>
      </c>
      <c r="D26" s="29" t="n">
        <v>29571</v>
      </c>
      <c r="E26" s="29" t="n">
        <v>110637</v>
      </c>
      <c r="F26" s="29" t="n">
        <v>172172</v>
      </c>
      <c r="G26" s="29" t="n">
        <v>249276</v>
      </c>
      <c r="H26" s="29" t="n">
        <v>291688</v>
      </c>
      <c r="I26" s="29" t="n">
        <v>334859</v>
      </c>
      <c r="J26" s="29" t="n">
        <v>346865</v>
      </c>
      <c r="K26" s="29" t="n">
        <v>358648</v>
      </c>
      <c r="L26" s="29" t="n">
        <v>362470</v>
      </c>
      <c r="M26" s="29" t="n">
        <v>399457</v>
      </c>
      <c r="N26" s="29" t="n">
        <v>442241</v>
      </c>
      <c r="O26" s="29" t="n">
        <v>6457988</v>
      </c>
      <c r="P26" s="3" t="s">
        <v>305</v>
      </c>
      <c r="Q26" s="7" t="s">
        <v>243</v>
      </c>
    </row>
    <row r="27" customFormat="false" ht="15" hidden="false" customHeight="true" outlineLevel="0" collapsed="false">
      <c r="A27" s="3" t="s">
        <v>166</v>
      </c>
      <c r="B27" s="29" t="n">
        <v>15839</v>
      </c>
      <c r="C27" s="29" t="n">
        <v>37782</v>
      </c>
      <c r="D27" s="29" t="n">
        <v>51608</v>
      </c>
      <c r="E27" s="29" t="n">
        <v>101161</v>
      </c>
      <c r="F27" s="29" t="n">
        <v>108391</v>
      </c>
      <c r="G27" s="29" t="n">
        <v>124681</v>
      </c>
      <c r="H27" s="29" t="n">
        <v>274970</v>
      </c>
      <c r="I27" s="29" t="n">
        <v>277714</v>
      </c>
      <c r="J27" s="29" t="n">
        <v>271523</v>
      </c>
      <c r="K27" s="29" t="n">
        <v>280015</v>
      </c>
      <c r="L27" s="29" t="n">
        <v>303447</v>
      </c>
      <c r="M27" s="29" t="n">
        <v>335709</v>
      </c>
      <c r="N27" s="29" t="n">
        <v>384959</v>
      </c>
      <c r="O27" s="29" t="n">
        <v>3175275</v>
      </c>
      <c r="P27" s="3" t="s">
        <v>305</v>
      </c>
      <c r="Q27" s="7" t="s">
        <v>243</v>
      </c>
    </row>
    <row r="28" customFormat="false" ht="15" hidden="false" customHeight="true" outlineLevel="0" collapsed="false">
      <c r="A28" s="3" t="s">
        <v>162</v>
      </c>
      <c r="B28" s="29" t="n">
        <v>208040</v>
      </c>
      <c r="C28" s="29" t="n">
        <v>381383</v>
      </c>
      <c r="D28" s="29" t="n">
        <v>521893</v>
      </c>
      <c r="E28" s="29" t="n">
        <v>631207</v>
      </c>
      <c r="F28" s="29" t="n">
        <v>667706</v>
      </c>
      <c r="G28" s="29" t="n">
        <v>675754</v>
      </c>
      <c r="H28" s="29" t="n">
        <v>672407</v>
      </c>
      <c r="I28" s="29" t="n">
        <v>712786</v>
      </c>
      <c r="J28" s="29" t="n">
        <v>599217</v>
      </c>
      <c r="K28" s="29" t="n">
        <v>635395</v>
      </c>
      <c r="L28" s="29" t="n">
        <v>2481494</v>
      </c>
      <c r="M28" s="29" t="n">
        <v>2615060</v>
      </c>
      <c r="N28" s="29" t="n">
        <v>2794356</v>
      </c>
      <c r="O28" s="29" t="n">
        <v>6202225</v>
      </c>
      <c r="P28" s="3" t="s">
        <v>309</v>
      </c>
      <c r="Q28" s="7" t="s">
        <v>245</v>
      </c>
    </row>
    <row r="29" customFormat="false" ht="15" hidden="false" customHeight="true" outlineLevel="0" collapsed="false">
      <c r="A29" s="3" t="s">
        <v>254</v>
      </c>
      <c r="B29" s="29" t="n">
        <v>267730</v>
      </c>
      <c r="C29" s="29" t="n">
        <v>470480</v>
      </c>
      <c r="D29" s="29" t="n">
        <v>618506</v>
      </c>
      <c r="E29" s="29" t="n">
        <v>818577</v>
      </c>
      <c r="F29" s="29" t="n">
        <v>903007</v>
      </c>
      <c r="G29" s="29" t="n">
        <v>1021520</v>
      </c>
      <c r="H29" s="29" t="n">
        <v>1191062</v>
      </c>
      <c r="I29" s="29" t="n">
        <v>1214352</v>
      </c>
      <c r="J29" s="29" t="n">
        <v>980354</v>
      </c>
      <c r="K29" s="29" t="n">
        <v>1017666</v>
      </c>
      <c r="L29" s="29" t="n">
        <v>1039534</v>
      </c>
      <c r="M29" s="29" t="n">
        <v>1649519</v>
      </c>
      <c r="N29" s="29" t="n">
        <v>1762949</v>
      </c>
      <c r="O29" s="29" t="n">
        <v>4291732</v>
      </c>
      <c r="P29" s="3" t="s">
        <v>310</v>
      </c>
      <c r="Q29" s="7" t="s">
        <v>245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27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7"/>
    <col collapsed="false" customWidth="true" hidden="false" outlineLevel="0" max="3" min="3" style="1" width="16"/>
    <col collapsed="false" customWidth="true" hidden="false" outlineLevel="0" max="5" min="4" style="1" width="6"/>
    <col collapsed="false" customWidth="true" hidden="false" outlineLevel="0" max="6" min="6" style="1" width="10"/>
    <col collapsed="false" customWidth="true" hidden="false" outlineLevel="0" max="8" min="7" style="1" width="9"/>
    <col collapsed="false" customWidth="true" hidden="false" outlineLevel="0" max="9" min="9" style="1" width="14"/>
    <col collapsed="false" customWidth="true" hidden="false" outlineLevel="0" max="10" min="10" style="1" width="13"/>
    <col collapsed="false" customWidth="true" hidden="false" outlineLevel="0" max="11" min="11" style="1" width="8"/>
    <col collapsed="false" customWidth="true" hidden="false" outlineLevel="0" max="12" min="12" style="1" width="9"/>
    <col collapsed="false" customWidth="true" hidden="false" outlineLevel="0" max="13" min="13" style="1" width="10"/>
    <col collapsed="false" customWidth="true" hidden="false" outlineLevel="0" max="15" min="14" style="1" width="9"/>
    <col collapsed="false" customWidth="true" hidden="false" outlineLevel="0" max="16" min="16" style="1" width="10"/>
    <col collapsed="false" customWidth="true" hidden="false" outlineLevel="0" max="17" min="17" style="1" width="9"/>
    <col collapsed="false" customWidth="true" hidden="false" outlineLevel="0" max="18" min="18" style="1" width="10"/>
    <col collapsed="false" customWidth="true" hidden="false" outlineLevel="0" max="19" min="19" style="1" width="8"/>
  </cols>
  <sheetData>
    <row r="1" customFormat="false" ht="60" hidden="false" customHeight="true" outlineLevel="0" collapsed="false">
      <c r="A1" s="4" t="s">
        <v>4</v>
      </c>
      <c r="B1" s="4" t="s">
        <v>311</v>
      </c>
      <c r="C1" s="4" t="s">
        <v>312</v>
      </c>
      <c r="D1" s="4" t="s">
        <v>313</v>
      </c>
      <c r="E1" s="4" t="s">
        <v>314</v>
      </c>
      <c r="F1" s="4" t="s">
        <v>315</v>
      </c>
      <c r="G1" s="4" t="s">
        <v>316</v>
      </c>
      <c r="H1" s="4" t="s">
        <v>317</v>
      </c>
      <c r="I1" s="4" t="s">
        <v>318</v>
      </c>
      <c r="J1" s="4" t="s">
        <v>319</v>
      </c>
      <c r="K1" s="4" t="s">
        <v>93</v>
      </c>
      <c r="L1" s="4" t="s">
        <v>320</v>
      </c>
      <c r="M1" s="4" t="s">
        <v>321</v>
      </c>
      <c r="N1" s="4" t="s">
        <v>322</v>
      </c>
      <c r="O1" s="4" t="s">
        <v>323</v>
      </c>
      <c r="P1" s="4" t="s">
        <v>324</v>
      </c>
      <c r="Q1" s="4" t="s">
        <v>125</v>
      </c>
      <c r="R1" s="4" t="s">
        <v>325</v>
      </c>
      <c r="S1" s="4" t="s">
        <v>127</v>
      </c>
      <c r="T1" s="4" t="s">
        <v>326</v>
      </c>
      <c r="U1" s="4" t="s">
        <v>213</v>
      </c>
      <c r="V1" s="4" t="s">
        <v>232</v>
      </c>
      <c r="W1" s="4" t="s">
        <v>327</v>
      </c>
      <c r="X1" s="4" t="s">
        <v>328</v>
      </c>
      <c r="Y1" s="4" t="s">
        <v>329</v>
      </c>
      <c r="Z1" s="4" t="s">
        <v>330</v>
      </c>
      <c r="AA1" s="4" t="s">
        <v>331</v>
      </c>
      <c r="AB1" s="4" t="s">
        <v>332</v>
      </c>
      <c r="AC1" s="4" t="s">
        <v>333</v>
      </c>
      <c r="AD1" s="4" t="s">
        <v>334</v>
      </c>
    </row>
    <row r="2" customFormat="false" ht="15" hidden="false" customHeight="true" outlineLevel="0" collapsed="false">
      <c r="A2" s="7" t="s">
        <v>54</v>
      </c>
      <c r="B2" s="7" t="n">
        <v>1901</v>
      </c>
      <c r="C2" s="7" t="s">
        <v>150</v>
      </c>
      <c r="D2" s="7" t="n">
        <v>69</v>
      </c>
      <c r="E2" s="7" t="n">
        <v>69</v>
      </c>
      <c r="F2" s="3" t="n">
        <f aca="false">COUNTIFS($B$2:$B$2705,B2,$C$2:$C$2705,C2)</f>
        <v>2</v>
      </c>
      <c r="G2" s="3" t="n">
        <f aca="false">MIN(INT((MIN(B2,2020)-1900)/10)+1,12)</f>
        <v>1</v>
      </c>
      <c r="H2" s="3" t="n">
        <f aca="false">(MIN(B2,2020)-1900-10*(G2-1))/10</f>
        <v>0.1</v>
      </c>
      <c r="I2" s="20" t="n">
        <f aca="false">EXP(LN(INDEX(Pop_Inputs!$B$2:$N$29,MATCH(C2,Pop_Inputs!$A$2:$A$29,0),G2))*(1-H2)+LN(INDEX(Pop_Inputs!$B$2:$N$29,MATCH(C2,Pop_Inputs!$A$2:$A$29,0),G2+1))*H2)</f>
        <v>571000.784085116</v>
      </c>
      <c r="J2" s="20" t="n">
        <f aca="false">I2/F2</f>
        <v>285500.392042558</v>
      </c>
      <c r="K2" s="21" t="n">
        <f aca="false">D2/(D2+E2)</f>
        <v>0.5</v>
      </c>
      <c r="L2" s="21" t="n">
        <f aca="false">AVERAGEIFS($K$2:$K$2705,$B$2:$B$2705,B2)</f>
        <v>0.499236603310829</v>
      </c>
      <c r="M2" s="21" t="n">
        <f aca="false">K2-L2</f>
        <v>0.000763396689171247</v>
      </c>
      <c r="N2" s="21" t="n">
        <f aca="false">LN(J2)</f>
        <v>12.5619986812561</v>
      </c>
      <c r="O2" s="21" t="n">
        <f aca="false">AVERAGEIFS($N$2:$N$2705,$B$2:$B$2705,B2)</f>
        <v>13.1611615231378</v>
      </c>
      <c r="P2" s="21" t="n">
        <f aca="false">N2-O2</f>
        <v>-0.599162841881725</v>
      </c>
      <c r="Q2" s="7" t="n">
        <v>0</v>
      </c>
      <c r="R2" s="3" t="n">
        <f aca="false">IF(AND(Q2=1,B2-_xlfn.MINIFS($B$2:$B$2705,$A$2:$A$2705,A2)&lt;10),1,0)</f>
        <v>0</v>
      </c>
      <c r="S2" s="7" t="n">
        <v>0</v>
      </c>
      <c r="T2" s="3" t="n">
        <f aca="false">_xlfn.MINIFS($B$2:$B$2705,$A$2:$A$2705,A2)</f>
        <v>1901</v>
      </c>
      <c r="U2" s="3" t="n">
        <f aca="false">B2-T2</f>
        <v>0</v>
      </c>
      <c r="V2" s="3" t="str">
        <f aca="false">INDEX(Pop_Inputs!$Q$2:$Q$29,MATCH(C2,Pop_Inputs!$A$2:$A$29,0))</f>
        <v>Northeast</v>
      </c>
      <c r="W2" s="30"/>
      <c r="X2" s="3" t="str">
        <f aca="false">IF(W2="","",LN(W2))</f>
        <v/>
      </c>
      <c r="Y2" s="3" t="str">
        <f aca="false">IF(X2="","",X2-AVERAGEIFS($X$2:$X$2705,$B$2:$B$2705,B2))</f>
        <v/>
      </c>
      <c r="Z2" s="21" t="n">
        <f aca="false">P2</f>
        <v>-0.599162841881725</v>
      </c>
      <c r="AA2" s="3" t="n">
        <f aca="false">R2</f>
        <v>0</v>
      </c>
      <c r="AB2" s="21" t="n">
        <f aca="false">P2</f>
        <v>-0.599162841881725</v>
      </c>
      <c r="AC2" s="3" t="str">
        <f aca="false">Y2</f>
        <v/>
      </c>
      <c r="AD2" s="3" t="n">
        <f aca="false">R2</f>
        <v>0</v>
      </c>
    </row>
    <row r="3" customFormat="false" ht="15" hidden="false" customHeight="true" outlineLevel="0" collapsed="false">
      <c r="A3" s="7" t="s">
        <v>63</v>
      </c>
      <c r="B3" s="7" t="n">
        <v>1901</v>
      </c>
      <c r="C3" s="7" t="s">
        <v>158</v>
      </c>
      <c r="D3" s="7" t="n">
        <v>48</v>
      </c>
      <c r="E3" s="7" t="n">
        <v>89</v>
      </c>
      <c r="F3" s="3" t="n">
        <f aca="false">COUNTIFS($B$2:$B$2705,B3,$C$2:$C$2705,C3)</f>
        <v>1</v>
      </c>
      <c r="G3" s="3" t="n">
        <f aca="false">MIN(INT((MIN(B3,2020)-1900)/10)+1,12)</f>
        <v>1</v>
      </c>
      <c r="H3" s="3" t="n">
        <f aca="false">(MIN(B3,2020)-1900-10*(G3-1))/10</f>
        <v>0.1</v>
      </c>
      <c r="I3" s="20" t="n">
        <f aca="false">EXP(LN(INDEX(Pop_Inputs!$B$2:$N$29,MATCH(C3,Pop_Inputs!$A$2:$A$29,0),G3))*(1-H3)+LN(INDEX(Pop_Inputs!$B$2:$N$29,MATCH(C3,Pop_Inputs!$A$2:$A$29,0),G3+1))*H3)</f>
        <v>293131.638682491</v>
      </c>
      <c r="J3" s="20" t="n">
        <f aca="false">I3/F3</f>
        <v>293131.638682491</v>
      </c>
      <c r="K3" s="21" t="n">
        <f aca="false">D3/(D3+E3)</f>
        <v>0.35036496350365</v>
      </c>
      <c r="L3" s="21" t="n">
        <f aca="false">AVERAGEIFS($K$2:$K$2705,$B$2:$B$2705,B3)</f>
        <v>0.499236603310829</v>
      </c>
      <c r="M3" s="21" t="n">
        <f aca="false">K3-L3</f>
        <v>-0.148871639807179</v>
      </c>
      <c r="N3" s="21" t="n">
        <f aca="false">LN(J3)</f>
        <v>12.5883770658835</v>
      </c>
      <c r="O3" s="21" t="n">
        <f aca="false">AVERAGEIFS($N$2:$N$2705,$B$2:$B$2705,B3)</f>
        <v>13.1611615231378</v>
      </c>
      <c r="P3" s="21" t="n">
        <f aca="false">N3-O3</f>
        <v>-0.572784457254278</v>
      </c>
      <c r="Q3" s="7" t="n">
        <v>0</v>
      </c>
      <c r="R3" s="3" t="n">
        <f aca="false">IF(AND(Q3=1,B3-_xlfn.MINIFS($B$2:$B$2705,$A$2:$A$2705,A3)&lt;10),1,0)</f>
        <v>0</v>
      </c>
      <c r="S3" s="7" t="n">
        <v>0</v>
      </c>
      <c r="T3" s="3" t="n">
        <f aca="false">_xlfn.MINIFS($B$2:$B$2705,$A$2:$A$2705,A3)</f>
        <v>1901</v>
      </c>
      <c r="U3" s="3" t="n">
        <f aca="false">B3-T3</f>
        <v>0</v>
      </c>
      <c r="V3" s="3" t="str">
        <f aca="false">INDEX(Pop_Inputs!$Q$2:$Q$29,MATCH(C3,Pop_Inputs!$A$2:$A$29,0))</f>
        <v>Midwest</v>
      </c>
      <c r="W3" s="30"/>
      <c r="X3" s="3" t="str">
        <f aca="false">IF(W3="","",LN(W3))</f>
        <v/>
      </c>
      <c r="Y3" s="3" t="str">
        <f aca="false">IF(X3="","",X3-AVERAGEIFS($X$2:$X$2705,$B$2:$B$2705,B3))</f>
        <v/>
      </c>
      <c r="Z3" s="21" t="n">
        <f aca="false">P3</f>
        <v>-0.572784457254278</v>
      </c>
      <c r="AA3" s="3" t="n">
        <f aca="false">R3</f>
        <v>0</v>
      </c>
      <c r="AB3" s="21" t="n">
        <f aca="false">P3</f>
        <v>-0.572784457254278</v>
      </c>
      <c r="AC3" s="3" t="str">
        <f aca="false">Y3</f>
        <v/>
      </c>
      <c r="AD3" s="3" t="n">
        <f aca="false">R3</f>
        <v>0</v>
      </c>
    </row>
    <row r="4" customFormat="false" ht="15" hidden="false" customHeight="true" outlineLevel="0" collapsed="false">
      <c r="A4" s="7" t="s">
        <v>64</v>
      </c>
      <c r="B4" s="7" t="n">
        <v>1901</v>
      </c>
      <c r="C4" s="7" t="s">
        <v>150</v>
      </c>
      <c r="D4" s="7" t="n">
        <v>79</v>
      </c>
      <c r="E4" s="7" t="n">
        <v>57</v>
      </c>
      <c r="F4" s="3" t="n">
        <f aca="false">COUNTIFS($B$2:$B$2705,B4,$C$2:$C$2705,C4)</f>
        <v>2</v>
      </c>
      <c r="G4" s="3" t="n">
        <f aca="false">MIN(INT((MIN(B4,2020)-1900)/10)+1,12)</f>
        <v>1</v>
      </c>
      <c r="H4" s="3" t="n">
        <f aca="false">(MIN(B4,2020)-1900-10*(G4-1))/10</f>
        <v>0.1</v>
      </c>
      <c r="I4" s="20" t="n">
        <f aca="false">EXP(LN(INDEX(Pop_Inputs!$B$2:$N$29,MATCH(C4,Pop_Inputs!$A$2:$A$29,0),G4))*(1-H4)+LN(INDEX(Pop_Inputs!$B$2:$N$29,MATCH(C4,Pop_Inputs!$A$2:$A$29,0),G4+1))*H4)</f>
        <v>571000.784085116</v>
      </c>
      <c r="J4" s="20" t="n">
        <f aca="false">I4/F4</f>
        <v>285500.392042558</v>
      </c>
      <c r="K4" s="21" t="n">
        <f aca="false">D4/(D4+E4)</f>
        <v>0.580882352941177</v>
      </c>
      <c r="L4" s="21" t="n">
        <f aca="false">AVERAGEIFS($K$2:$K$2705,$B$2:$B$2705,B4)</f>
        <v>0.499236603310829</v>
      </c>
      <c r="M4" s="21" t="n">
        <f aca="false">K4-L4</f>
        <v>0.0816457496303478</v>
      </c>
      <c r="N4" s="21" t="n">
        <f aca="false">LN(J4)</f>
        <v>12.5619986812561</v>
      </c>
      <c r="O4" s="21" t="n">
        <f aca="false">AVERAGEIFS($N$2:$N$2705,$B$2:$B$2705,B4)</f>
        <v>13.1611615231378</v>
      </c>
      <c r="P4" s="21" t="n">
        <f aca="false">N4-O4</f>
        <v>-0.599162841881725</v>
      </c>
      <c r="Q4" s="7" t="n">
        <v>0</v>
      </c>
      <c r="R4" s="3" t="n">
        <f aca="false">IF(AND(Q4=1,B4-_xlfn.MINIFS($B$2:$B$2705,$A$2:$A$2705,A4)&lt;10),1,0)</f>
        <v>0</v>
      </c>
      <c r="S4" s="7" t="n">
        <v>0</v>
      </c>
      <c r="T4" s="3" t="n">
        <f aca="false">_xlfn.MINIFS($B$2:$B$2705,$A$2:$A$2705,A4)</f>
        <v>1901</v>
      </c>
      <c r="U4" s="3" t="n">
        <f aca="false">B4-T4</f>
        <v>0</v>
      </c>
      <c r="V4" s="3" t="str">
        <f aca="false">INDEX(Pop_Inputs!$Q$2:$Q$29,MATCH(C4,Pop_Inputs!$A$2:$A$29,0))</f>
        <v>Northeast</v>
      </c>
      <c r="W4" s="30"/>
      <c r="X4" s="3" t="str">
        <f aca="false">IF(W4="","",LN(W4))</f>
        <v/>
      </c>
      <c r="Y4" s="3" t="str">
        <f aca="false">IF(X4="","",X4-AVERAGEIFS($X$2:$X$2705,$B$2:$B$2705,B4))</f>
        <v/>
      </c>
      <c r="Z4" s="21" t="n">
        <f aca="false">P4</f>
        <v>-0.599162841881725</v>
      </c>
      <c r="AA4" s="3" t="n">
        <f aca="false">R4</f>
        <v>0</v>
      </c>
      <c r="AB4" s="21" t="n">
        <f aca="false">P4</f>
        <v>-0.599162841881725</v>
      </c>
      <c r="AC4" s="3" t="str">
        <f aca="false">Y4</f>
        <v/>
      </c>
      <c r="AD4" s="3" t="n">
        <f aca="false">R4</f>
        <v>0</v>
      </c>
    </row>
    <row r="5" customFormat="false" ht="15" hidden="false" customHeight="true" outlineLevel="0" collapsed="false">
      <c r="A5" s="7" t="s">
        <v>56</v>
      </c>
      <c r="B5" s="7" t="n">
        <v>1901</v>
      </c>
      <c r="C5" s="7" t="s">
        <v>142</v>
      </c>
      <c r="D5" s="7" t="n">
        <v>53</v>
      </c>
      <c r="E5" s="7" t="n">
        <v>86</v>
      </c>
      <c r="F5" s="3" t="n">
        <f aca="false">COUNTIFS($B$2:$B$2705,B5,$C$2:$C$2705,C5)</f>
        <v>2</v>
      </c>
      <c r="G5" s="3" t="n">
        <f aca="false">MIN(INT((MIN(B5,2020)-1900)/10)+1,12)</f>
        <v>1</v>
      </c>
      <c r="H5" s="3" t="n">
        <f aca="false">(MIN(B5,2020)-1900-10*(G5-1))/10</f>
        <v>0.1</v>
      </c>
      <c r="I5" s="20" t="n">
        <f aca="false">EXP(LN(INDEX(Pop_Inputs!$B$2:$N$29,MATCH(C5,Pop_Inputs!$A$2:$A$29,0),G5))*(1-H5)+LN(INDEX(Pop_Inputs!$B$2:$N$29,MATCH(C5,Pop_Inputs!$A$2:$A$29,0),G5+1))*H5)</f>
        <v>1741915.25961081</v>
      </c>
      <c r="J5" s="20" t="n">
        <f aca="false">I5/F5</f>
        <v>870957.629805404</v>
      </c>
      <c r="K5" s="21" t="n">
        <f aca="false">D5/(D5+E5)</f>
        <v>0.381294964028777</v>
      </c>
      <c r="L5" s="21" t="n">
        <f aca="false">AVERAGEIFS($K$2:$K$2705,$B$2:$B$2705,B5)</f>
        <v>0.499236603310829</v>
      </c>
      <c r="M5" s="21" t="n">
        <f aca="false">K5-L5</f>
        <v>-0.117941639282052</v>
      </c>
      <c r="N5" s="21" t="n">
        <f aca="false">LN(J5)</f>
        <v>13.6773486091926</v>
      </c>
      <c r="O5" s="21" t="n">
        <f aca="false">AVERAGEIFS($N$2:$N$2705,$B$2:$B$2705,B5)</f>
        <v>13.1611615231378</v>
      </c>
      <c r="P5" s="21" t="n">
        <f aca="false">N5-O5</f>
        <v>0.516187086054812</v>
      </c>
      <c r="Q5" s="7" t="n">
        <v>0</v>
      </c>
      <c r="R5" s="3" t="n">
        <f aca="false">IF(AND(Q5=1,B5-_xlfn.MINIFS($B$2:$B$2705,$A$2:$A$2705,A5)&lt;10),1,0)</f>
        <v>0</v>
      </c>
      <c r="S5" s="7" t="n">
        <v>0</v>
      </c>
      <c r="T5" s="3" t="n">
        <f aca="false">_xlfn.MINIFS($B$2:$B$2705,$A$2:$A$2705,A5)</f>
        <v>1901</v>
      </c>
      <c r="U5" s="3" t="n">
        <f aca="false">B5-T5</f>
        <v>0</v>
      </c>
      <c r="V5" s="3" t="str">
        <f aca="false">INDEX(Pop_Inputs!$Q$2:$Q$29,MATCH(C5,Pop_Inputs!$A$2:$A$29,0))</f>
        <v>Midwest</v>
      </c>
      <c r="W5" s="30"/>
      <c r="X5" s="3" t="str">
        <f aca="false">IF(W5="","",LN(W5))</f>
        <v/>
      </c>
      <c r="Y5" s="3" t="str">
        <f aca="false">IF(X5="","",X5-AVERAGEIFS($X$2:$X$2705,$B$2:$B$2705,B5))</f>
        <v/>
      </c>
      <c r="Z5" s="21" t="n">
        <f aca="false">P5</f>
        <v>0.516187086054812</v>
      </c>
      <c r="AA5" s="3" t="n">
        <f aca="false">R5</f>
        <v>0</v>
      </c>
      <c r="AB5" s="21" t="n">
        <f aca="false">P5</f>
        <v>0.516187086054812</v>
      </c>
      <c r="AC5" s="3" t="str">
        <f aca="false">Y5</f>
        <v/>
      </c>
      <c r="AD5" s="3" t="n">
        <f aca="false">R5</f>
        <v>0</v>
      </c>
    </row>
    <row r="6" customFormat="false" ht="15" hidden="false" customHeight="true" outlineLevel="0" collapsed="false">
      <c r="A6" s="7" t="s">
        <v>65</v>
      </c>
      <c r="B6" s="7" t="n">
        <v>1901</v>
      </c>
      <c r="C6" s="7" t="s">
        <v>142</v>
      </c>
      <c r="D6" s="7" t="n">
        <v>83</v>
      </c>
      <c r="E6" s="7" t="n">
        <v>53</v>
      </c>
      <c r="F6" s="3" t="n">
        <f aca="false">COUNTIFS($B$2:$B$2705,B6,$C$2:$C$2705,C6)</f>
        <v>2</v>
      </c>
      <c r="G6" s="3" t="n">
        <f aca="false">MIN(INT((MIN(B6,2020)-1900)/10)+1,12)</f>
        <v>1</v>
      </c>
      <c r="H6" s="3" t="n">
        <f aca="false">(MIN(B6,2020)-1900-10*(G6-1))/10</f>
        <v>0.1</v>
      </c>
      <c r="I6" s="20" t="n">
        <f aca="false">EXP(LN(INDEX(Pop_Inputs!$B$2:$N$29,MATCH(C6,Pop_Inputs!$A$2:$A$29,0),G6))*(1-H6)+LN(INDEX(Pop_Inputs!$B$2:$N$29,MATCH(C6,Pop_Inputs!$A$2:$A$29,0),G6+1))*H6)</f>
        <v>1741915.25961081</v>
      </c>
      <c r="J6" s="20" t="n">
        <f aca="false">I6/F6</f>
        <v>870957.629805404</v>
      </c>
      <c r="K6" s="21" t="n">
        <f aca="false">D6/(D6+E6)</f>
        <v>0.610294117647059</v>
      </c>
      <c r="L6" s="21" t="n">
        <f aca="false">AVERAGEIFS($K$2:$K$2705,$B$2:$B$2705,B6)</f>
        <v>0.499236603310829</v>
      </c>
      <c r="M6" s="21" t="n">
        <f aca="false">K6-L6</f>
        <v>0.11105751433623</v>
      </c>
      <c r="N6" s="21" t="n">
        <f aca="false">LN(J6)</f>
        <v>13.6773486091926</v>
      </c>
      <c r="O6" s="21" t="n">
        <f aca="false">AVERAGEIFS($N$2:$N$2705,$B$2:$B$2705,B6)</f>
        <v>13.1611615231378</v>
      </c>
      <c r="P6" s="21" t="n">
        <f aca="false">N6-O6</f>
        <v>0.516187086054812</v>
      </c>
      <c r="Q6" s="7" t="n">
        <v>0</v>
      </c>
      <c r="R6" s="3" t="n">
        <f aca="false">IF(AND(Q6=1,B6-_xlfn.MINIFS($B$2:$B$2705,$A$2:$A$2705,A6)&lt;10),1,0)</f>
        <v>0</v>
      </c>
      <c r="S6" s="7" t="n">
        <v>0</v>
      </c>
      <c r="T6" s="3" t="n">
        <f aca="false">_xlfn.MINIFS($B$2:$B$2705,$A$2:$A$2705,A6)</f>
        <v>1901</v>
      </c>
      <c r="U6" s="3" t="n">
        <f aca="false">B6-T6</f>
        <v>0</v>
      </c>
      <c r="V6" s="3" t="str">
        <f aca="false">INDEX(Pop_Inputs!$Q$2:$Q$29,MATCH(C6,Pop_Inputs!$A$2:$A$29,0))</f>
        <v>Midwest</v>
      </c>
      <c r="W6" s="30"/>
      <c r="X6" s="3" t="str">
        <f aca="false">IF(W6="","",LN(W6))</f>
        <v/>
      </c>
      <c r="Y6" s="3" t="str">
        <f aca="false">IF(X6="","",X6-AVERAGEIFS($X$2:$X$2705,$B$2:$B$2705,B6))</f>
        <v/>
      </c>
      <c r="Z6" s="21" t="n">
        <f aca="false">P6</f>
        <v>0.516187086054812</v>
      </c>
      <c r="AA6" s="3" t="n">
        <f aca="false">R6</f>
        <v>0</v>
      </c>
      <c r="AB6" s="21" t="n">
        <f aca="false">P6</f>
        <v>0.516187086054812</v>
      </c>
      <c r="AC6" s="3" t="str">
        <f aca="false">Y6</f>
        <v/>
      </c>
      <c r="AD6" s="3" t="n">
        <f aca="false">R6</f>
        <v>0</v>
      </c>
    </row>
    <row r="7" customFormat="false" ht="15" hidden="false" customHeight="true" outlineLevel="0" collapsed="false">
      <c r="A7" s="7" t="s">
        <v>57</v>
      </c>
      <c r="B7" s="7" t="n">
        <v>1901</v>
      </c>
      <c r="C7" s="7" t="s">
        <v>143</v>
      </c>
      <c r="D7" s="7" t="n">
        <v>52</v>
      </c>
      <c r="E7" s="7" t="n">
        <v>87</v>
      </c>
      <c r="F7" s="3" t="n">
        <f aca="false">COUNTIFS($B$2:$B$2705,B7,$C$2:$C$2705,C7)</f>
        <v>1</v>
      </c>
      <c r="G7" s="3" t="n">
        <f aca="false">MIN(INT((MIN(B7,2020)-1900)/10)+1,12)</f>
        <v>1</v>
      </c>
      <c r="H7" s="3" t="n">
        <f aca="false">(MIN(B7,2020)-1900-10*(G7-1))/10</f>
        <v>0.1</v>
      </c>
      <c r="I7" s="20" t="n">
        <f aca="false">EXP(LN(INDEX(Pop_Inputs!$B$2:$N$29,MATCH(C7,Pop_Inputs!$A$2:$A$29,0),G7))*(1-H7)+LN(INDEX(Pop_Inputs!$B$2:$N$29,MATCH(C7,Pop_Inputs!$A$2:$A$29,0),G7+1))*H7)</f>
        <v>329488.025336973</v>
      </c>
      <c r="J7" s="20" t="n">
        <f aca="false">I7/F7</f>
        <v>329488.025336973</v>
      </c>
      <c r="K7" s="21" t="n">
        <f aca="false">D7/(D7+E7)</f>
        <v>0.37410071942446</v>
      </c>
      <c r="L7" s="21" t="n">
        <f aca="false">AVERAGEIFS($K$2:$K$2705,$B$2:$B$2705,B7)</f>
        <v>0.499236603310829</v>
      </c>
      <c r="M7" s="21" t="n">
        <f aca="false">K7-L7</f>
        <v>-0.125135883886368</v>
      </c>
      <c r="N7" s="21" t="n">
        <f aca="false">LN(J7)</f>
        <v>12.7052952903431</v>
      </c>
      <c r="O7" s="21" t="n">
        <f aca="false">AVERAGEIFS($N$2:$N$2705,$B$2:$B$2705,B7)</f>
        <v>13.1611615231378</v>
      </c>
      <c r="P7" s="21" t="n">
        <f aca="false">N7-O7</f>
        <v>-0.45586623279468</v>
      </c>
      <c r="Q7" s="7" t="n">
        <v>0</v>
      </c>
      <c r="R7" s="3" t="n">
        <f aca="false">IF(AND(Q7=1,B7-_xlfn.MINIFS($B$2:$B$2705,$A$2:$A$2705,A7)&lt;10),1,0)</f>
        <v>0</v>
      </c>
      <c r="S7" s="7" t="n">
        <v>0</v>
      </c>
      <c r="T7" s="3" t="n">
        <f aca="false">_xlfn.MINIFS($B$2:$B$2705,$A$2:$A$2705,A7)</f>
        <v>1901</v>
      </c>
      <c r="U7" s="3" t="n">
        <f aca="false">B7-T7</f>
        <v>0</v>
      </c>
      <c r="V7" s="3" t="str">
        <f aca="false">INDEX(Pop_Inputs!$Q$2:$Q$29,MATCH(C7,Pop_Inputs!$A$2:$A$29,0))</f>
        <v>Midwest</v>
      </c>
      <c r="W7" s="30"/>
      <c r="X7" s="3" t="str">
        <f aca="false">IF(W7="","",LN(W7))</f>
        <v/>
      </c>
      <c r="Y7" s="3" t="str">
        <f aca="false">IF(X7="","",X7-AVERAGEIFS($X$2:$X$2705,$B$2:$B$2705,B7))</f>
        <v/>
      </c>
      <c r="Z7" s="21" t="n">
        <f aca="false">P7</f>
        <v>-0.45586623279468</v>
      </c>
      <c r="AA7" s="3" t="n">
        <f aca="false">R7</f>
        <v>0</v>
      </c>
      <c r="AB7" s="21" t="n">
        <f aca="false">P7</f>
        <v>-0.45586623279468</v>
      </c>
      <c r="AC7" s="3" t="str">
        <f aca="false">Y7</f>
        <v/>
      </c>
      <c r="AD7" s="3" t="n">
        <f aca="false">R7</f>
        <v>0</v>
      </c>
    </row>
    <row r="8" customFormat="false" ht="15" hidden="false" customHeight="true" outlineLevel="0" collapsed="false">
      <c r="A8" s="7" t="s">
        <v>66</v>
      </c>
      <c r="B8" s="7" t="n">
        <v>1901</v>
      </c>
      <c r="C8" s="7" t="s">
        <v>151</v>
      </c>
      <c r="D8" s="7" t="n">
        <v>54</v>
      </c>
      <c r="E8" s="7" t="n">
        <v>82</v>
      </c>
      <c r="F8" s="3" t="n">
        <f aca="false">COUNTIFS($B$2:$B$2705,B8,$C$2:$C$2705,C8)</f>
        <v>1</v>
      </c>
      <c r="G8" s="3" t="n">
        <f aca="false">MIN(INT((MIN(B8,2020)-1900)/10)+1,12)</f>
        <v>1</v>
      </c>
      <c r="H8" s="3" t="n">
        <f aca="false">(MIN(B8,2020)-1900-10*(G8-1))/10</f>
        <v>0.1</v>
      </c>
      <c r="I8" s="20" t="n">
        <f aca="false">EXP(LN(INDEX(Pop_Inputs!$B$2:$N$29,MATCH(C8,Pop_Inputs!$A$2:$A$29,0),G8))*(1-H8)+LN(INDEX(Pop_Inputs!$B$2:$N$29,MATCH(C8,Pop_Inputs!$A$2:$A$29,0),G8+1))*H8)</f>
        <v>396725.174793041</v>
      </c>
      <c r="J8" s="20" t="n">
        <f aca="false">I8/F8</f>
        <v>396725.174793041</v>
      </c>
      <c r="K8" s="21" t="n">
        <f aca="false">D8/(D8+E8)</f>
        <v>0.397058823529412</v>
      </c>
      <c r="L8" s="21" t="n">
        <f aca="false">AVERAGEIFS($K$2:$K$2705,$B$2:$B$2705,B8)</f>
        <v>0.499236603310829</v>
      </c>
      <c r="M8" s="21" t="n">
        <f aca="false">K8-L8</f>
        <v>-0.102177779781417</v>
      </c>
      <c r="N8" s="21" t="n">
        <f aca="false">LN(J8)</f>
        <v>12.8909990650209</v>
      </c>
      <c r="O8" s="21" t="n">
        <f aca="false">AVERAGEIFS($N$2:$N$2705,$B$2:$B$2705,B8)</f>
        <v>13.1611615231378</v>
      </c>
      <c r="P8" s="21" t="n">
        <f aca="false">N8-O8</f>
        <v>-0.270162458116943</v>
      </c>
      <c r="Q8" s="7" t="n">
        <v>0</v>
      </c>
      <c r="R8" s="3" t="n">
        <f aca="false">IF(AND(Q8=1,B8-_xlfn.MINIFS($B$2:$B$2705,$A$2:$A$2705,A8)&lt;10),1,0)</f>
        <v>0</v>
      </c>
      <c r="S8" s="7" t="n">
        <v>0</v>
      </c>
      <c r="T8" s="3" t="n">
        <f aca="false">_xlfn.MINIFS($B$2:$B$2705,$A$2:$A$2705,A8)</f>
        <v>1901</v>
      </c>
      <c r="U8" s="3" t="n">
        <f aca="false">B8-T8</f>
        <v>0</v>
      </c>
      <c r="V8" s="3" t="str">
        <f aca="false">INDEX(Pop_Inputs!$Q$2:$Q$29,MATCH(C8,Pop_Inputs!$A$2:$A$29,0))</f>
        <v>Midwest</v>
      </c>
      <c r="W8" s="30"/>
      <c r="X8" s="3" t="str">
        <f aca="false">IF(W8="","",LN(W8))</f>
        <v/>
      </c>
      <c r="Y8" s="3" t="str">
        <f aca="false">IF(X8="","",X8-AVERAGEIFS($X$2:$X$2705,$B$2:$B$2705,B8))</f>
        <v/>
      </c>
      <c r="Z8" s="21" t="n">
        <f aca="false">P8</f>
        <v>-0.270162458116943</v>
      </c>
      <c r="AA8" s="3" t="n">
        <f aca="false">R8</f>
        <v>0</v>
      </c>
      <c r="AB8" s="21" t="n">
        <f aca="false">P8</f>
        <v>-0.270162458116943</v>
      </c>
      <c r="AC8" s="3" t="str">
        <f aca="false">Y8</f>
        <v/>
      </c>
      <c r="AD8" s="3" t="n">
        <f aca="false">R8</f>
        <v>0</v>
      </c>
    </row>
    <row r="9" customFormat="false" ht="15" hidden="false" customHeight="true" outlineLevel="0" collapsed="false">
      <c r="A9" s="7" t="s">
        <v>67</v>
      </c>
      <c r="B9" s="7" t="n">
        <v>1901</v>
      </c>
      <c r="C9" s="7" t="s">
        <v>152</v>
      </c>
      <c r="D9" s="7" t="n">
        <v>74</v>
      </c>
      <c r="E9" s="7" t="n">
        <v>61</v>
      </c>
      <c r="F9" s="3" t="n">
        <f aca="false">COUNTIFS($B$2:$B$2705,B9,$C$2:$C$2705,C9)</f>
        <v>1</v>
      </c>
      <c r="G9" s="3" t="n">
        <f aca="false">MIN(INT((MIN(B9,2020)-1900)/10)+1,12)</f>
        <v>1</v>
      </c>
      <c r="H9" s="3" t="n">
        <f aca="false">(MIN(B9,2020)-1900-10*(G9-1))/10</f>
        <v>0.1</v>
      </c>
      <c r="I9" s="20" t="n">
        <f aca="false">EXP(LN(INDEX(Pop_Inputs!$B$2:$N$29,MATCH(C9,Pop_Inputs!$A$2:$A$29,0),G9))*(1-H9)+LN(INDEX(Pop_Inputs!$B$2:$N$29,MATCH(C9,Pop_Inputs!$A$2:$A$29,0),G9+1))*H9)</f>
        <v>300013.962447072</v>
      </c>
      <c r="J9" s="20" t="n">
        <f aca="false">I9/F9</f>
        <v>300013.962447072</v>
      </c>
      <c r="K9" s="21" t="n">
        <f aca="false">D9/(D9+E9)</f>
        <v>0.548148148148148</v>
      </c>
      <c r="L9" s="21" t="n">
        <f aca="false">AVERAGEIFS($K$2:$K$2705,$B$2:$B$2705,B9)</f>
        <v>0.499236603310829</v>
      </c>
      <c r="M9" s="21" t="n">
        <f aca="false">K9-L9</f>
        <v>0.0489115448373194</v>
      </c>
      <c r="N9" s="21" t="n">
        <f aca="false">LN(J9)</f>
        <v>12.6115842940456</v>
      </c>
      <c r="O9" s="21" t="n">
        <f aca="false">AVERAGEIFS($N$2:$N$2705,$B$2:$B$2705,B9)</f>
        <v>13.1611615231378</v>
      </c>
      <c r="P9" s="21" t="n">
        <f aca="false">N9-O9</f>
        <v>-0.549577229092265</v>
      </c>
      <c r="Q9" s="7" t="n">
        <v>0</v>
      </c>
      <c r="R9" s="3" t="n">
        <f aca="false">IF(AND(Q9=1,B9-_xlfn.MINIFS($B$2:$B$2705,$A$2:$A$2705,A9)&lt;10),1,0)</f>
        <v>0</v>
      </c>
      <c r="S9" s="7" t="n">
        <v>0</v>
      </c>
      <c r="T9" s="3" t="n">
        <f aca="false">_xlfn.MINIFS($B$2:$B$2705,$A$2:$A$2705,A9)</f>
        <v>1901</v>
      </c>
      <c r="U9" s="3" t="n">
        <f aca="false">B9-T9</f>
        <v>0</v>
      </c>
      <c r="V9" s="3" t="str">
        <f aca="false">INDEX(Pop_Inputs!$Q$2:$Q$29,MATCH(C9,Pop_Inputs!$A$2:$A$29,0))</f>
        <v>Midwest</v>
      </c>
      <c r="W9" s="30"/>
      <c r="X9" s="3" t="str">
        <f aca="false">IF(W9="","",LN(W9))</f>
        <v/>
      </c>
      <c r="Y9" s="3" t="str">
        <f aca="false">IF(X9="","",X9-AVERAGEIFS($X$2:$X$2705,$B$2:$B$2705,B9))</f>
        <v/>
      </c>
      <c r="Z9" s="21" t="n">
        <f aca="false">P9</f>
        <v>-0.549577229092265</v>
      </c>
      <c r="AA9" s="3" t="n">
        <f aca="false">R9</f>
        <v>0</v>
      </c>
      <c r="AB9" s="21" t="n">
        <f aca="false">P9</f>
        <v>-0.549577229092265</v>
      </c>
      <c r="AC9" s="3" t="str">
        <f aca="false">Y9</f>
        <v/>
      </c>
      <c r="AD9" s="3" t="n">
        <f aca="false">R9</f>
        <v>0</v>
      </c>
    </row>
    <row r="10" customFormat="false" ht="15" hidden="false" customHeight="true" outlineLevel="0" collapsed="false">
      <c r="A10" s="7" t="s">
        <v>62</v>
      </c>
      <c r="B10" s="7" t="n">
        <v>1901</v>
      </c>
      <c r="C10" s="7" t="s">
        <v>154</v>
      </c>
      <c r="D10" s="7" t="n">
        <v>79</v>
      </c>
      <c r="E10" s="7" t="n">
        <v>57</v>
      </c>
      <c r="F10" s="3" t="n">
        <f aca="false">COUNTIFS($B$2:$B$2705,B10,$C$2:$C$2705,C10)</f>
        <v>2</v>
      </c>
      <c r="G10" s="3" t="n">
        <f aca="false">MIN(INT((MIN(B10,2020)-1900)/10)+1,12)</f>
        <v>1</v>
      </c>
      <c r="H10" s="3" t="n">
        <f aca="false">(MIN(B10,2020)-1900-10*(G10-1))/10</f>
        <v>0.1</v>
      </c>
      <c r="I10" s="20" t="n">
        <f aca="false">EXP(LN(INDEX(Pop_Inputs!$B$2:$N$29,MATCH(C10,Pop_Inputs!$A$2:$A$29,0),G10))*(1-H10)+LN(INDEX(Pop_Inputs!$B$2:$N$29,MATCH(C10,Pop_Inputs!$A$2:$A$29,0),G10+1))*H10)</f>
        <v>3551468.76560316</v>
      </c>
      <c r="J10" s="20" t="n">
        <f aca="false">I10/F10</f>
        <v>1775734.38280158</v>
      </c>
      <c r="K10" s="21" t="n">
        <f aca="false">D10/(D10+E10)</f>
        <v>0.580882352941177</v>
      </c>
      <c r="L10" s="21" t="n">
        <f aca="false">AVERAGEIFS($K$2:$K$2705,$B$2:$B$2705,B10)</f>
        <v>0.499236603310829</v>
      </c>
      <c r="M10" s="21" t="n">
        <f aca="false">K10-L10</f>
        <v>0.0816457496303478</v>
      </c>
      <c r="N10" s="21" t="n">
        <f aca="false">LN(J10)</f>
        <v>14.3897246321158</v>
      </c>
      <c r="O10" s="21" t="n">
        <f aca="false">AVERAGEIFS($N$2:$N$2705,$B$2:$B$2705,B10)</f>
        <v>13.1611615231378</v>
      </c>
      <c r="P10" s="21" t="n">
        <f aca="false">N10-O10</f>
        <v>1.22856310897799</v>
      </c>
      <c r="Q10" s="7" t="n">
        <v>0</v>
      </c>
      <c r="R10" s="3" t="n">
        <f aca="false">IF(AND(Q10=1,B10-_xlfn.MINIFS($B$2:$B$2705,$A$2:$A$2705,A10)&lt;10),1,0)</f>
        <v>0</v>
      </c>
      <c r="S10" s="7" t="n">
        <v>0</v>
      </c>
      <c r="T10" s="3" t="n">
        <f aca="false">_xlfn.MINIFS($B$2:$B$2705,$A$2:$A$2705,A10)</f>
        <v>1901</v>
      </c>
      <c r="U10" s="3" t="n">
        <f aca="false">B10-T10</f>
        <v>0</v>
      </c>
      <c r="V10" s="3" t="str">
        <f aca="false">INDEX(Pop_Inputs!$Q$2:$Q$29,MATCH(C10,Pop_Inputs!$A$2:$A$29,0))</f>
        <v>Northeast</v>
      </c>
      <c r="W10" s="30"/>
      <c r="X10" s="3" t="str">
        <f aca="false">IF(W10="","",LN(W10))</f>
        <v/>
      </c>
      <c r="Y10" s="3" t="str">
        <f aca="false">IF(X10="","",X10-AVERAGEIFS($X$2:$X$2705,$B$2:$B$2705,B10))</f>
        <v/>
      </c>
      <c r="Z10" s="21" t="n">
        <f aca="false">P10</f>
        <v>1.22856310897799</v>
      </c>
      <c r="AA10" s="3" t="n">
        <f aca="false">R10</f>
        <v>0</v>
      </c>
      <c r="AB10" s="21" t="n">
        <f aca="false">P10</f>
        <v>1.22856310897799</v>
      </c>
      <c r="AC10" s="3" t="str">
        <f aca="false">Y10</f>
        <v/>
      </c>
      <c r="AD10" s="3" t="n">
        <f aca="false">R10</f>
        <v>0</v>
      </c>
    </row>
    <row r="11" customFormat="false" ht="15" hidden="false" customHeight="true" outlineLevel="0" collapsed="false">
      <c r="A11" s="7" t="s">
        <v>68</v>
      </c>
      <c r="B11" s="7" t="n">
        <v>1901</v>
      </c>
      <c r="C11" s="7" t="s">
        <v>160</v>
      </c>
      <c r="D11" s="7" t="n">
        <v>61</v>
      </c>
      <c r="E11" s="7" t="n">
        <v>72</v>
      </c>
      <c r="F11" s="3" t="n">
        <f aca="false">COUNTIFS($B$2:$B$2705,B11,$C$2:$C$2705,C11)</f>
        <v>1</v>
      </c>
      <c r="G11" s="3" t="n">
        <f aca="false">MIN(INT((MIN(B11,2020)-1900)/10)+1,12)</f>
        <v>1</v>
      </c>
      <c r="H11" s="3" t="n">
        <f aca="false">(MIN(B11,2020)-1900-10*(G11-1))/10</f>
        <v>0.1</v>
      </c>
      <c r="I11" s="20" t="n">
        <f aca="false">EXP(LN(INDEX(Pop_Inputs!$B$2:$N$29,MATCH(C11,Pop_Inputs!$A$2:$A$29,0),G11))*(1-H11)+LN(INDEX(Pop_Inputs!$B$2:$N$29,MATCH(C11,Pop_Inputs!$A$2:$A$29,0),G11+1))*H11)</f>
        <v>283556.996117462</v>
      </c>
      <c r="J11" s="20" t="n">
        <f aca="false">I11/F11</f>
        <v>283556.996117462</v>
      </c>
      <c r="K11" s="21" t="n">
        <f aca="false">D11/(D11+E11)</f>
        <v>0.458646616541353</v>
      </c>
      <c r="L11" s="21" t="n">
        <f aca="false">AVERAGEIFS($K$2:$K$2705,$B$2:$B$2705,B11)</f>
        <v>0.499236603310829</v>
      </c>
      <c r="M11" s="21" t="n">
        <f aca="false">K11-L11</f>
        <v>-0.0405899867694754</v>
      </c>
      <c r="N11" s="21" t="n">
        <f aca="false">LN(J11)</f>
        <v>12.5551684264492</v>
      </c>
      <c r="O11" s="21" t="n">
        <f aca="false">AVERAGEIFS($N$2:$N$2705,$B$2:$B$2705,B11)</f>
        <v>13.1611615231378</v>
      </c>
      <c r="P11" s="21" t="n">
        <f aca="false">N11-O11</f>
        <v>-0.605993096688579</v>
      </c>
      <c r="Q11" s="7" t="n">
        <v>0</v>
      </c>
      <c r="R11" s="3" t="n">
        <f aca="false">IF(AND(Q11=1,B11-_xlfn.MINIFS($B$2:$B$2705,$A$2:$A$2705,A11)&lt;10),1,0)</f>
        <v>0</v>
      </c>
      <c r="S11" s="7" t="n">
        <v>0</v>
      </c>
      <c r="T11" s="3" t="n">
        <f aca="false">_xlfn.MINIFS($B$2:$B$2705,$A$2:$A$2705,A11)</f>
        <v>1901</v>
      </c>
      <c r="U11" s="3" t="n">
        <f aca="false">B11-T11</f>
        <v>0</v>
      </c>
      <c r="V11" s="3" t="str">
        <f aca="false">INDEX(Pop_Inputs!$Q$2:$Q$29,MATCH(C11,Pop_Inputs!$A$2:$A$29,0))</f>
        <v>South</v>
      </c>
      <c r="W11" s="30"/>
      <c r="X11" s="3" t="str">
        <f aca="false">IF(W11="","",LN(W11))</f>
        <v/>
      </c>
      <c r="Y11" s="3" t="str">
        <f aca="false">IF(X11="","",X11-AVERAGEIFS($X$2:$X$2705,$B$2:$B$2705,B11))</f>
        <v/>
      </c>
      <c r="Z11" s="21" t="n">
        <f aca="false">P11</f>
        <v>-0.605993096688579</v>
      </c>
      <c r="AA11" s="3" t="n">
        <f aca="false">R11</f>
        <v>0</v>
      </c>
      <c r="AB11" s="21" t="n">
        <f aca="false">P11</f>
        <v>-0.605993096688579</v>
      </c>
      <c r="AC11" s="3" t="str">
        <f aca="false">Y11</f>
        <v/>
      </c>
      <c r="AD11" s="3" t="n">
        <f aca="false">R11</f>
        <v>0</v>
      </c>
    </row>
    <row r="12" customFormat="false" ht="15" hidden="false" customHeight="true" outlineLevel="0" collapsed="false">
      <c r="A12" s="7" t="s">
        <v>69</v>
      </c>
      <c r="B12" s="7" t="n">
        <v>1901</v>
      </c>
      <c r="C12" s="7" t="s">
        <v>146</v>
      </c>
      <c r="D12" s="7" t="n">
        <v>74</v>
      </c>
      <c r="E12" s="7" t="n">
        <v>62</v>
      </c>
      <c r="F12" s="3" t="n">
        <f aca="false">COUNTIFS($B$2:$B$2705,B12,$C$2:$C$2705,C12)</f>
        <v>2</v>
      </c>
      <c r="G12" s="3" t="n">
        <f aca="false">MIN(INT((MIN(B12,2020)-1900)/10)+1,12)</f>
        <v>1</v>
      </c>
      <c r="H12" s="3" t="n">
        <f aca="false">(MIN(B12,2020)-1900-10*(G12-1))/10</f>
        <v>0.1</v>
      </c>
      <c r="I12" s="20" t="n">
        <f aca="false">EXP(LN(INDEX(Pop_Inputs!$B$2:$N$29,MATCH(C12,Pop_Inputs!$A$2:$A$29,0),G12))*(1-H12)+LN(INDEX(Pop_Inputs!$B$2:$N$29,MATCH(C12,Pop_Inputs!$A$2:$A$29,0),G12+1))*H12)</f>
        <v>1317208.97146954</v>
      </c>
      <c r="J12" s="20" t="n">
        <f aca="false">I12/F12</f>
        <v>658604.485734771</v>
      </c>
      <c r="K12" s="21" t="n">
        <f aca="false">D12/(D12+E12)</f>
        <v>0.544117647058824</v>
      </c>
      <c r="L12" s="21" t="n">
        <f aca="false">AVERAGEIFS($K$2:$K$2705,$B$2:$B$2705,B12)</f>
        <v>0.499236603310829</v>
      </c>
      <c r="M12" s="21" t="n">
        <f aca="false">K12-L12</f>
        <v>0.0448810437479947</v>
      </c>
      <c r="N12" s="21" t="n">
        <f aca="false">LN(J12)</f>
        <v>13.3978784599167</v>
      </c>
      <c r="O12" s="21" t="n">
        <f aca="false">AVERAGEIFS($N$2:$N$2705,$B$2:$B$2705,B12)</f>
        <v>13.1611615231378</v>
      </c>
      <c r="P12" s="21" t="n">
        <f aca="false">N12-O12</f>
        <v>0.236716936778828</v>
      </c>
      <c r="Q12" s="7" t="n">
        <v>0</v>
      </c>
      <c r="R12" s="3" t="n">
        <f aca="false">IF(AND(Q12=1,B12-_xlfn.MINIFS($B$2:$B$2705,$A$2:$A$2705,A12)&lt;10),1,0)</f>
        <v>0</v>
      </c>
      <c r="S12" s="7" t="n">
        <v>0</v>
      </c>
      <c r="T12" s="3" t="n">
        <f aca="false">_xlfn.MINIFS($B$2:$B$2705,$A$2:$A$2705,A12)</f>
        <v>1901</v>
      </c>
      <c r="U12" s="3" t="n">
        <f aca="false">B12-T12</f>
        <v>0</v>
      </c>
      <c r="V12" s="3" t="str">
        <f aca="false">INDEX(Pop_Inputs!$Q$2:$Q$29,MATCH(C12,Pop_Inputs!$A$2:$A$29,0))</f>
        <v>Northeast</v>
      </c>
      <c r="W12" s="30"/>
      <c r="X12" s="3" t="str">
        <f aca="false">IF(W12="","",LN(W12))</f>
        <v/>
      </c>
      <c r="Y12" s="3" t="str">
        <f aca="false">IF(X12="","",X12-AVERAGEIFS($X$2:$X$2705,$B$2:$B$2705,B12))</f>
        <v/>
      </c>
      <c r="Z12" s="21" t="n">
        <f aca="false">P12</f>
        <v>0.236716936778828</v>
      </c>
      <c r="AA12" s="3" t="n">
        <f aca="false">R12</f>
        <v>0</v>
      </c>
      <c r="AB12" s="21" t="n">
        <f aca="false">P12</f>
        <v>0.236716936778828</v>
      </c>
      <c r="AC12" s="3" t="str">
        <f aca="false">Y12</f>
        <v/>
      </c>
      <c r="AD12" s="3" t="n">
        <f aca="false">R12</f>
        <v>0</v>
      </c>
    </row>
    <row r="13" customFormat="false" ht="15" hidden="false" customHeight="true" outlineLevel="0" collapsed="false">
      <c r="A13" s="7" t="s">
        <v>60</v>
      </c>
      <c r="B13" s="7" t="n">
        <v>1901</v>
      </c>
      <c r="C13" s="7" t="s">
        <v>146</v>
      </c>
      <c r="D13" s="7" t="n">
        <v>83</v>
      </c>
      <c r="E13" s="7" t="n">
        <v>57</v>
      </c>
      <c r="F13" s="3" t="n">
        <f aca="false">COUNTIFS($B$2:$B$2705,B13,$C$2:$C$2705,C13)</f>
        <v>2</v>
      </c>
      <c r="G13" s="3" t="n">
        <f aca="false">MIN(INT((MIN(B13,2020)-1900)/10)+1,12)</f>
        <v>1</v>
      </c>
      <c r="H13" s="3" t="n">
        <f aca="false">(MIN(B13,2020)-1900-10*(G13-1))/10</f>
        <v>0.1</v>
      </c>
      <c r="I13" s="20" t="n">
        <f aca="false">EXP(LN(INDEX(Pop_Inputs!$B$2:$N$29,MATCH(C13,Pop_Inputs!$A$2:$A$29,0),G13))*(1-H13)+LN(INDEX(Pop_Inputs!$B$2:$N$29,MATCH(C13,Pop_Inputs!$A$2:$A$29,0),G13+1))*H13)</f>
        <v>1317208.97146954</v>
      </c>
      <c r="J13" s="20" t="n">
        <f aca="false">I13/F13</f>
        <v>658604.485734771</v>
      </c>
      <c r="K13" s="21" t="n">
        <f aca="false">D13/(D13+E13)</f>
        <v>0.592857142857143</v>
      </c>
      <c r="L13" s="21" t="n">
        <f aca="false">AVERAGEIFS($K$2:$K$2705,$B$2:$B$2705,B13)</f>
        <v>0.499236603310829</v>
      </c>
      <c r="M13" s="21" t="n">
        <f aca="false">K13-L13</f>
        <v>0.0936205395463141</v>
      </c>
      <c r="N13" s="21" t="n">
        <f aca="false">LN(J13)</f>
        <v>13.3978784599167</v>
      </c>
      <c r="O13" s="21" t="n">
        <f aca="false">AVERAGEIFS($N$2:$N$2705,$B$2:$B$2705,B13)</f>
        <v>13.1611615231378</v>
      </c>
      <c r="P13" s="21" t="n">
        <f aca="false">N13-O13</f>
        <v>0.236716936778828</v>
      </c>
      <c r="Q13" s="7" t="n">
        <v>0</v>
      </c>
      <c r="R13" s="3" t="n">
        <f aca="false">IF(AND(Q13=1,B13-_xlfn.MINIFS($B$2:$B$2705,$A$2:$A$2705,A13)&lt;10),1,0)</f>
        <v>0</v>
      </c>
      <c r="S13" s="7" t="n">
        <v>0</v>
      </c>
      <c r="T13" s="3" t="n">
        <f aca="false">_xlfn.MINIFS($B$2:$B$2705,$A$2:$A$2705,A13)</f>
        <v>1901</v>
      </c>
      <c r="U13" s="3" t="n">
        <f aca="false">B13-T13</f>
        <v>0</v>
      </c>
      <c r="V13" s="3" t="str">
        <f aca="false">INDEX(Pop_Inputs!$Q$2:$Q$29,MATCH(C13,Pop_Inputs!$A$2:$A$29,0))</f>
        <v>Northeast</v>
      </c>
      <c r="W13" s="30"/>
      <c r="X13" s="3" t="str">
        <f aca="false">IF(W13="","",LN(W13))</f>
        <v/>
      </c>
      <c r="Y13" s="3" t="str">
        <f aca="false">IF(X13="","",X13-AVERAGEIFS($X$2:$X$2705,$B$2:$B$2705,B13))</f>
        <v/>
      </c>
      <c r="Z13" s="21" t="n">
        <f aca="false">P13</f>
        <v>0.236716936778828</v>
      </c>
      <c r="AA13" s="3" t="n">
        <f aca="false">R13</f>
        <v>0</v>
      </c>
      <c r="AB13" s="21" t="n">
        <f aca="false">P13</f>
        <v>0.236716936778828</v>
      </c>
      <c r="AC13" s="3" t="str">
        <f aca="false">Y13</f>
        <v/>
      </c>
      <c r="AD13" s="3" t="n">
        <f aca="false">R13</f>
        <v>0</v>
      </c>
    </row>
    <row r="14" customFormat="false" ht="15" hidden="false" customHeight="true" outlineLevel="0" collapsed="false">
      <c r="A14" s="7" t="s">
        <v>58</v>
      </c>
      <c r="B14" s="7" t="n">
        <v>1901</v>
      </c>
      <c r="C14" s="7" t="s">
        <v>144</v>
      </c>
      <c r="D14" s="7" t="n">
        <v>90</v>
      </c>
      <c r="E14" s="7" t="n">
        <v>49</v>
      </c>
      <c r="F14" s="3" t="n">
        <f aca="false">COUNTIFS($B$2:$B$2705,B14,$C$2:$C$2705,C14)</f>
        <v>1</v>
      </c>
      <c r="G14" s="3" t="n">
        <f aca="false">MIN(INT((MIN(B14,2020)-1900)/10)+1,12)</f>
        <v>1</v>
      </c>
      <c r="H14" s="3" t="n">
        <f aca="false">(MIN(B14,2020)-1900-10*(G14-1))/10</f>
        <v>0.1</v>
      </c>
      <c r="I14" s="20" t="n">
        <f aca="false">EXP(LN(INDEX(Pop_Inputs!$B$2:$N$29,MATCH(C14,Pop_Inputs!$A$2:$A$29,0),G14))*(1-H14)+LN(INDEX(Pop_Inputs!$B$2:$N$29,MATCH(C14,Pop_Inputs!$A$2:$A$29,0),G14+1))*H14)</f>
        <v>338337.612540628</v>
      </c>
      <c r="J14" s="20" t="n">
        <f aca="false">I14/F14</f>
        <v>338337.612540628</v>
      </c>
      <c r="K14" s="21" t="n">
        <f aca="false">D14/(D14+E14)</f>
        <v>0.647482014388489</v>
      </c>
      <c r="L14" s="21" t="n">
        <f aca="false">AVERAGEIFS($K$2:$K$2705,$B$2:$B$2705,B14)</f>
        <v>0.499236603310829</v>
      </c>
      <c r="M14" s="21" t="n">
        <f aca="false">K14-L14</f>
        <v>0.14824541107766</v>
      </c>
      <c r="N14" s="21" t="n">
        <f aca="false">LN(J14)</f>
        <v>12.7317995296133</v>
      </c>
      <c r="O14" s="21" t="n">
        <f aca="false">AVERAGEIFS($N$2:$N$2705,$B$2:$B$2705,B14)</f>
        <v>13.1611615231378</v>
      </c>
      <c r="P14" s="21" t="n">
        <f aca="false">N14-O14</f>
        <v>-0.429361993524555</v>
      </c>
      <c r="Q14" s="7" t="n">
        <v>0</v>
      </c>
      <c r="R14" s="3" t="n">
        <f aca="false">IF(AND(Q14=1,B14-_xlfn.MINIFS($B$2:$B$2705,$A$2:$A$2705,A14)&lt;10),1,0)</f>
        <v>0</v>
      </c>
      <c r="S14" s="7" t="n">
        <v>0</v>
      </c>
      <c r="T14" s="3" t="n">
        <f aca="false">_xlfn.MINIFS($B$2:$B$2705,$A$2:$A$2705,A14)</f>
        <v>1901</v>
      </c>
      <c r="U14" s="3" t="n">
        <f aca="false">B14-T14</f>
        <v>0</v>
      </c>
      <c r="V14" s="3" t="str">
        <f aca="false">INDEX(Pop_Inputs!$Q$2:$Q$29,MATCH(C14,Pop_Inputs!$A$2:$A$29,0))</f>
        <v>Northeast</v>
      </c>
      <c r="W14" s="30"/>
      <c r="X14" s="3" t="str">
        <f aca="false">IF(W14="","",LN(W14))</f>
        <v/>
      </c>
      <c r="Y14" s="3" t="str">
        <f aca="false">IF(X14="","",X14-AVERAGEIFS($X$2:$X$2705,$B$2:$B$2705,B14))</f>
        <v/>
      </c>
      <c r="Z14" s="21" t="n">
        <f aca="false">P14</f>
        <v>-0.429361993524555</v>
      </c>
      <c r="AA14" s="3" t="n">
        <f aca="false">R14</f>
        <v>0</v>
      </c>
      <c r="AB14" s="21" t="n">
        <f aca="false">P14</f>
        <v>-0.429361993524555</v>
      </c>
      <c r="AC14" s="3" t="str">
        <f aca="false">Y14</f>
        <v/>
      </c>
      <c r="AD14" s="3" t="n">
        <f aca="false">R14</f>
        <v>0</v>
      </c>
    </row>
    <row r="15" customFormat="false" ht="15" hidden="false" customHeight="true" outlineLevel="0" collapsed="false">
      <c r="A15" s="7" t="s">
        <v>61</v>
      </c>
      <c r="B15" s="7" t="n">
        <v>1901</v>
      </c>
      <c r="C15" s="7" t="s">
        <v>154</v>
      </c>
      <c r="D15" s="7" t="n">
        <v>52</v>
      </c>
      <c r="E15" s="7" t="n">
        <v>85</v>
      </c>
      <c r="F15" s="3" t="n">
        <f aca="false">COUNTIFS($B$2:$B$2705,B15,$C$2:$C$2705,C15)</f>
        <v>2</v>
      </c>
      <c r="G15" s="3" t="n">
        <f aca="false">MIN(INT((MIN(B15,2020)-1900)/10)+1,12)</f>
        <v>1</v>
      </c>
      <c r="H15" s="3" t="n">
        <f aca="false">(MIN(B15,2020)-1900-10*(G15-1))/10</f>
        <v>0.1</v>
      </c>
      <c r="I15" s="20" t="n">
        <f aca="false">EXP(LN(INDEX(Pop_Inputs!$B$2:$N$29,MATCH(C15,Pop_Inputs!$A$2:$A$29,0),G15))*(1-H15)+LN(INDEX(Pop_Inputs!$B$2:$N$29,MATCH(C15,Pop_Inputs!$A$2:$A$29,0),G15+1))*H15)</f>
        <v>3551468.76560316</v>
      </c>
      <c r="J15" s="20" t="n">
        <f aca="false">I15/F15</f>
        <v>1775734.38280158</v>
      </c>
      <c r="K15" s="21" t="n">
        <f aca="false">D15/(D15+E15)</f>
        <v>0.37956204379562</v>
      </c>
      <c r="L15" s="21" t="n">
        <f aca="false">AVERAGEIFS($K$2:$K$2705,$B$2:$B$2705,B15)</f>
        <v>0.499236603310829</v>
      </c>
      <c r="M15" s="21" t="n">
        <f aca="false">K15-L15</f>
        <v>-0.119674559515208</v>
      </c>
      <c r="N15" s="21" t="n">
        <f aca="false">LN(J15)</f>
        <v>14.3897246321158</v>
      </c>
      <c r="O15" s="21" t="n">
        <f aca="false">AVERAGEIFS($N$2:$N$2705,$B$2:$B$2705,B15)</f>
        <v>13.1611615231378</v>
      </c>
      <c r="P15" s="21" t="n">
        <f aca="false">N15-O15</f>
        <v>1.22856310897799</v>
      </c>
      <c r="Q15" s="7" t="n">
        <v>0</v>
      </c>
      <c r="R15" s="3" t="n">
        <f aca="false">IF(AND(Q15=1,B15-_xlfn.MINIFS($B$2:$B$2705,$A$2:$A$2705,A15)&lt;10),1,0)</f>
        <v>0</v>
      </c>
      <c r="S15" s="7" t="n">
        <v>0</v>
      </c>
      <c r="T15" s="3" t="n">
        <f aca="false">_xlfn.MINIFS($B$2:$B$2705,$A$2:$A$2705,A15)</f>
        <v>1901</v>
      </c>
      <c r="U15" s="3" t="n">
        <f aca="false">B15-T15</f>
        <v>0</v>
      </c>
      <c r="V15" s="3" t="str">
        <f aca="false">INDEX(Pop_Inputs!$Q$2:$Q$29,MATCH(C15,Pop_Inputs!$A$2:$A$29,0))</f>
        <v>Northeast</v>
      </c>
      <c r="W15" s="30"/>
      <c r="X15" s="3" t="str">
        <f aca="false">IF(W15="","",LN(W15))</f>
        <v/>
      </c>
      <c r="Y15" s="3" t="str">
        <f aca="false">IF(X15="","",X15-AVERAGEIFS($X$2:$X$2705,$B$2:$B$2705,B15))</f>
        <v/>
      </c>
      <c r="Z15" s="21" t="n">
        <f aca="false">P15</f>
        <v>1.22856310897799</v>
      </c>
      <c r="AA15" s="3" t="n">
        <f aca="false">R15</f>
        <v>0</v>
      </c>
      <c r="AB15" s="21" t="n">
        <f aca="false">P15</f>
        <v>1.22856310897799</v>
      </c>
      <c r="AC15" s="3" t="str">
        <f aca="false">Y15</f>
        <v/>
      </c>
      <c r="AD15" s="3" t="n">
        <f aca="false">R15</f>
        <v>0</v>
      </c>
    </row>
    <row r="16" customFormat="false" ht="15" hidden="false" customHeight="true" outlineLevel="0" collapsed="false">
      <c r="A16" s="7" t="s">
        <v>59</v>
      </c>
      <c r="B16" s="7" t="n">
        <v>1901</v>
      </c>
      <c r="C16" s="7" t="s">
        <v>145</v>
      </c>
      <c r="D16" s="7" t="n">
        <v>76</v>
      </c>
      <c r="E16" s="7" t="n">
        <v>64</v>
      </c>
      <c r="F16" s="3" t="n">
        <f aca="false">COUNTIFS($B$2:$B$2705,B16,$C$2:$C$2705,C16)</f>
        <v>1</v>
      </c>
      <c r="G16" s="3" t="n">
        <f aca="false">MIN(INT((MIN(B16,2020)-1900)/10)+1,12)</f>
        <v>1</v>
      </c>
      <c r="H16" s="3" t="n">
        <f aca="false">(MIN(B16,2020)-1900-10*(G16-1))/10</f>
        <v>0.1</v>
      </c>
      <c r="I16" s="20" t="n">
        <f aca="false">EXP(LN(INDEX(Pop_Inputs!$B$2:$N$29,MATCH(C16,Pop_Inputs!$A$2:$A$29,0),G16))*(1-H16)+LN(INDEX(Pop_Inputs!$B$2:$N$29,MATCH(C16,Pop_Inputs!$A$2:$A$29,0),G16+1))*H16)</f>
        <v>585545.055214512</v>
      </c>
      <c r="J16" s="20" t="n">
        <f aca="false">I16/F16</f>
        <v>585545.055214512</v>
      </c>
      <c r="K16" s="21" t="n">
        <f aca="false">D16/(D16+E16)</f>
        <v>0.542857142857143</v>
      </c>
      <c r="L16" s="21" t="n">
        <f aca="false">AVERAGEIFS($K$2:$K$2705,$B$2:$B$2705,B16)</f>
        <v>0.499236603310829</v>
      </c>
      <c r="M16" s="21" t="n">
        <f aca="false">K16-L16</f>
        <v>0.0436205395463141</v>
      </c>
      <c r="N16" s="21" t="n">
        <f aca="false">LN(J16)</f>
        <v>13.2802984107493</v>
      </c>
      <c r="O16" s="21" t="n">
        <f aca="false">AVERAGEIFS($N$2:$N$2705,$B$2:$B$2705,B16)</f>
        <v>13.1611615231378</v>
      </c>
      <c r="P16" s="21" t="n">
        <f aca="false">N16-O16</f>
        <v>0.119136887611488</v>
      </c>
      <c r="Q16" s="7" t="n">
        <v>0</v>
      </c>
      <c r="R16" s="3" t="n">
        <f aca="false">IF(AND(Q16=1,B16-_xlfn.MINIFS($B$2:$B$2705,$A$2:$A$2705,A16)&lt;10),1,0)</f>
        <v>0</v>
      </c>
      <c r="S16" s="7" t="n">
        <v>0</v>
      </c>
      <c r="T16" s="3" t="n">
        <f aca="false">_xlfn.MINIFS($B$2:$B$2705,$A$2:$A$2705,A16)</f>
        <v>1901</v>
      </c>
      <c r="U16" s="3" t="n">
        <f aca="false">B16-T16</f>
        <v>0</v>
      </c>
      <c r="V16" s="3" t="str">
        <f aca="false">INDEX(Pop_Inputs!$Q$2:$Q$29,MATCH(C16,Pop_Inputs!$A$2:$A$29,0))</f>
        <v>Midwest</v>
      </c>
      <c r="W16" s="30"/>
      <c r="X16" s="3" t="str">
        <f aca="false">IF(W16="","",LN(W16))</f>
        <v/>
      </c>
      <c r="Y16" s="3" t="str">
        <f aca="false">IF(X16="","",X16-AVERAGEIFS($X$2:$X$2705,$B$2:$B$2705,B16))</f>
        <v/>
      </c>
      <c r="Z16" s="21" t="n">
        <f aca="false">P16</f>
        <v>0.119136887611488</v>
      </c>
      <c r="AA16" s="3" t="n">
        <f aca="false">R16</f>
        <v>0</v>
      </c>
      <c r="AB16" s="21" t="n">
        <f aca="false">P16</f>
        <v>0.119136887611488</v>
      </c>
      <c r="AC16" s="3" t="str">
        <f aca="false">Y16</f>
        <v/>
      </c>
      <c r="AD16" s="3" t="n">
        <f aca="false">R16</f>
        <v>0</v>
      </c>
    </row>
    <row r="17" customFormat="false" ht="15" hidden="false" customHeight="true" outlineLevel="0" collapsed="false">
      <c r="A17" s="7" t="s">
        <v>54</v>
      </c>
      <c r="B17" s="7" t="n">
        <v>1902</v>
      </c>
      <c r="C17" s="7" t="s">
        <v>150</v>
      </c>
      <c r="D17" s="7" t="n">
        <v>73</v>
      </c>
      <c r="E17" s="7" t="n">
        <v>64</v>
      </c>
      <c r="F17" s="3" t="n">
        <f aca="false">COUNTIFS($B$2:$B$2705,B17,$C$2:$C$2705,C17)</f>
        <v>2</v>
      </c>
      <c r="G17" s="3" t="n">
        <f aca="false">MIN(INT((MIN(B17,2020)-1900)/10)+1,12)</f>
        <v>1</v>
      </c>
      <c r="H17" s="3" t="n">
        <f aca="false">(MIN(B17,2020)-1900-10*(G17-1))/10</f>
        <v>0.2</v>
      </c>
      <c r="I17" s="20" t="n">
        <f aca="false">EXP(LN(INDEX(Pop_Inputs!$B$2:$N$29,MATCH(C17,Pop_Inputs!$A$2:$A$29,0),G17))*(1-H17)+LN(INDEX(Pop_Inputs!$B$2:$N$29,MATCH(C17,Pop_Inputs!$A$2:$A$29,0),G17+1))*H17)</f>
        <v>581291.755678129</v>
      </c>
      <c r="J17" s="20" t="n">
        <f aca="false">I17/F17</f>
        <v>290645.877839065</v>
      </c>
      <c r="K17" s="21" t="n">
        <f aca="false">D17/(D17+E17)</f>
        <v>0.532846715328467</v>
      </c>
      <c r="L17" s="21" t="n">
        <f aca="false">AVERAGEIFS($K$2:$K$2705,$B$2:$B$2705,B17)</f>
        <v>0.508831130190282</v>
      </c>
      <c r="M17" s="21" t="n">
        <f aca="false">K17-L17</f>
        <v>0.0240155851381854</v>
      </c>
      <c r="N17" s="21" t="n">
        <f aca="false">LN(J17)</f>
        <v>12.5798608904694</v>
      </c>
      <c r="O17" s="21" t="n">
        <f aca="false">AVERAGEIFS($N$2:$N$2705,$B$2:$B$2705,B17)</f>
        <v>13.1408172203808</v>
      </c>
      <c r="P17" s="21" t="n">
        <f aca="false">N17-O17</f>
        <v>-0.560956329911447</v>
      </c>
      <c r="Q17" s="7" t="n">
        <v>0</v>
      </c>
      <c r="R17" s="3" t="n">
        <f aca="false">IF(AND(Q17=1,B17-_xlfn.MINIFS($B$2:$B$2705,$A$2:$A$2705,A17)&lt;10),1,0)</f>
        <v>0</v>
      </c>
      <c r="S17" s="7" t="n">
        <v>0</v>
      </c>
      <c r="T17" s="3" t="n">
        <f aca="false">_xlfn.MINIFS($B$2:$B$2705,$A$2:$A$2705,A17)</f>
        <v>1901</v>
      </c>
      <c r="U17" s="3" t="n">
        <f aca="false">B17-T17</f>
        <v>1</v>
      </c>
      <c r="V17" s="3" t="str">
        <f aca="false">INDEX(Pop_Inputs!$Q$2:$Q$29,MATCH(C17,Pop_Inputs!$A$2:$A$29,0))</f>
        <v>Northeast</v>
      </c>
      <c r="W17" s="30"/>
      <c r="X17" s="3" t="str">
        <f aca="false">IF(W17="","",LN(W17))</f>
        <v/>
      </c>
      <c r="Y17" s="3" t="str">
        <f aca="false">IF(X17="","",X17-AVERAGEIFS($X$2:$X$2705,$B$2:$B$2705,B17))</f>
        <v/>
      </c>
      <c r="Z17" s="21" t="n">
        <f aca="false">P17</f>
        <v>-0.560956329911447</v>
      </c>
      <c r="AA17" s="3" t="n">
        <f aca="false">R17</f>
        <v>0</v>
      </c>
      <c r="AB17" s="21" t="n">
        <f aca="false">P17</f>
        <v>-0.560956329911447</v>
      </c>
      <c r="AC17" s="3" t="str">
        <f aca="false">Y17</f>
        <v/>
      </c>
      <c r="AD17" s="3" t="n">
        <f aca="false">R17</f>
        <v>0</v>
      </c>
    </row>
    <row r="18" customFormat="false" ht="15" hidden="false" customHeight="true" outlineLevel="0" collapsed="false">
      <c r="A18" s="7" t="s">
        <v>63</v>
      </c>
      <c r="B18" s="7" t="n">
        <v>1902</v>
      </c>
      <c r="C18" s="7" t="s">
        <v>145</v>
      </c>
      <c r="D18" s="7" t="n">
        <v>78</v>
      </c>
      <c r="E18" s="7" t="n">
        <v>58</v>
      </c>
      <c r="F18" s="3" t="n">
        <f aca="false">COUNTIFS($B$2:$B$2705,B18,$C$2:$C$2705,C18)</f>
        <v>2</v>
      </c>
      <c r="G18" s="3" t="n">
        <f aca="false">MIN(INT((MIN(B18,2020)-1900)/10)+1,12)</f>
        <v>1</v>
      </c>
      <c r="H18" s="3" t="n">
        <f aca="false">(MIN(B18,2020)-1900-10*(G18-1))/10</f>
        <v>0.2</v>
      </c>
      <c r="I18" s="20" t="n">
        <f aca="false">EXP(LN(INDEX(Pop_Inputs!$B$2:$N$29,MATCH(C18,Pop_Inputs!$A$2:$A$29,0),G18))*(1-H18)+LN(INDEX(Pop_Inputs!$B$2:$N$29,MATCH(C18,Pop_Inputs!$A$2:$A$29,0),G18+1))*H18)</f>
        <v>596036.791182374</v>
      </c>
      <c r="J18" s="20" t="n">
        <f aca="false">I18/F18</f>
        <v>298018.395591187</v>
      </c>
      <c r="K18" s="21" t="n">
        <f aca="false">D18/(D18+E18)</f>
        <v>0.573529411764706</v>
      </c>
      <c r="L18" s="21" t="n">
        <f aca="false">AVERAGEIFS($K$2:$K$2705,$B$2:$B$2705,B18)</f>
        <v>0.508831130190282</v>
      </c>
      <c r="M18" s="21" t="n">
        <f aca="false">K18-L18</f>
        <v>0.064698281574424</v>
      </c>
      <c r="N18" s="21" t="n">
        <f aca="false">LN(J18)</f>
        <v>12.6049104937541</v>
      </c>
      <c r="O18" s="21" t="n">
        <f aca="false">AVERAGEIFS($N$2:$N$2705,$B$2:$B$2705,B18)</f>
        <v>13.1408172203808</v>
      </c>
      <c r="P18" s="21" t="n">
        <f aca="false">N18-O18</f>
        <v>-0.535906726626731</v>
      </c>
      <c r="Q18" s="7" t="n">
        <v>0</v>
      </c>
      <c r="R18" s="3" t="n">
        <f aca="false">IF(AND(Q18=1,B18-_xlfn.MINIFS($B$2:$B$2705,$A$2:$A$2705,A18)&lt;10),1,0)</f>
        <v>0</v>
      </c>
      <c r="S18" s="7" t="n">
        <v>0</v>
      </c>
      <c r="T18" s="3" t="n">
        <f aca="false">_xlfn.MINIFS($B$2:$B$2705,$A$2:$A$2705,A18)</f>
        <v>1901</v>
      </c>
      <c r="U18" s="3" t="n">
        <f aca="false">B18-T18</f>
        <v>1</v>
      </c>
      <c r="V18" s="3" t="str">
        <f aca="false">INDEX(Pop_Inputs!$Q$2:$Q$29,MATCH(C18,Pop_Inputs!$A$2:$A$29,0))</f>
        <v>Midwest</v>
      </c>
      <c r="W18" s="30"/>
      <c r="X18" s="3" t="str">
        <f aca="false">IF(W18="","",LN(W18))</f>
        <v/>
      </c>
      <c r="Y18" s="3" t="str">
        <f aca="false">IF(X18="","",X18-AVERAGEIFS($X$2:$X$2705,$B$2:$B$2705,B18))</f>
        <v/>
      </c>
      <c r="Z18" s="21" t="n">
        <f aca="false">P18</f>
        <v>-0.535906726626731</v>
      </c>
      <c r="AA18" s="3" t="n">
        <f aca="false">R18</f>
        <v>0</v>
      </c>
      <c r="AB18" s="21" t="n">
        <f aca="false">P18</f>
        <v>-0.535906726626731</v>
      </c>
      <c r="AC18" s="3" t="str">
        <f aca="false">Y18</f>
        <v/>
      </c>
      <c r="AD18" s="3" t="n">
        <f aca="false">R18</f>
        <v>0</v>
      </c>
    </row>
    <row r="19" customFormat="false" ht="15" hidden="false" customHeight="true" outlineLevel="0" collapsed="false">
      <c r="A19" s="7" t="s">
        <v>64</v>
      </c>
      <c r="B19" s="7" t="n">
        <v>1902</v>
      </c>
      <c r="C19" s="7" t="s">
        <v>150</v>
      </c>
      <c r="D19" s="7" t="n">
        <v>77</v>
      </c>
      <c r="E19" s="7" t="n">
        <v>60</v>
      </c>
      <c r="F19" s="3" t="n">
        <f aca="false">COUNTIFS($B$2:$B$2705,B19,$C$2:$C$2705,C19)</f>
        <v>2</v>
      </c>
      <c r="G19" s="3" t="n">
        <f aca="false">MIN(INT((MIN(B19,2020)-1900)/10)+1,12)</f>
        <v>1</v>
      </c>
      <c r="H19" s="3" t="n">
        <f aca="false">(MIN(B19,2020)-1900-10*(G19-1))/10</f>
        <v>0.2</v>
      </c>
      <c r="I19" s="20" t="n">
        <f aca="false">EXP(LN(INDEX(Pop_Inputs!$B$2:$N$29,MATCH(C19,Pop_Inputs!$A$2:$A$29,0),G19))*(1-H19)+LN(INDEX(Pop_Inputs!$B$2:$N$29,MATCH(C19,Pop_Inputs!$A$2:$A$29,0),G19+1))*H19)</f>
        <v>581291.755678129</v>
      </c>
      <c r="J19" s="20" t="n">
        <f aca="false">I19/F19</f>
        <v>290645.877839065</v>
      </c>
      <c r="K19" s="21" t="n">
        <f aca="false">D19/(D19+E19)</f>
        <v>0.562043795620438</v>
      </c>
      <c r="L19" s="21" t="n">
        <f aca="false">AVERAGEIFS($K$2:$K$2705,$B$2:$B$2705,B19)</f>
        <v>0.508831130190282</v>
      </c>
      <c r="M19" s="21" t="n">
        <f aca="false">K19-L19</f>
        <v>0.0532126654301561</v>
      </c>
      <c r="N19" s="21" t="n">
        <f aca="false">LN(J19)</f>
        <v>12.5798608904694</v>
      </c>
      <c r="O19" s="21" t="n">
        <f aca="false">AVERAGEIFS($N$2:$N$2705,$B$2:$B$2705,B19)</f>
        <v>13.1408172203808</v>
      </c>
      <c r="P19" s="21" t="n">
        <f aca="false">N19-O19</f>
        <v>-0.560956329911447</v>
      </c>
      <c r="Q19" s="7" t="n">
        <v>0</v>
      </c>
      <c r="R19" s="3" t="n">
        <f aca="false">IF(AND(Q19=1,B19-_xlfn.MINIFS($B$2:$B$2705,$A$2:$A$2705,A19)&lt;10),1,0)</f>
        <v>0</v>
      </c>
      <c r="S19" s="7" t="n">
        <v>0</v>
      </c>
      <c r="T19" s="3" t="n">
        <f aca="false">_xlfn.MINIFS($B$2:$B$2705,$A$2:$A$2705,A19)</f>
        <v>1901</v>
      </c>
      <c r="U19" s="3" t="n">
        <f aca="false">B19-T19</f>
        <v>1</v>
      </c>
      <c r="V19" s="3" t="str">
        <f aca="false">INDEX(Pop_Inputs!$Q$2:$Q$29,MATCH(C19,Pop_Inputs!$A$2:$A$29,0))</f>
        <v>Northeast</v>
      </c>
      <c r="W19" s="30"/>
      <c r="X19" s="3" t="str">
        <f aca="false">IF(W19="","",LN(W19))</f>
        <v/>
      </c>
      <c r="Y19" s="3" t="str">
        <f aca="false">IF(X19="","",X19-AVERAGEIFS($X$2:$X$2705,$B$2:$B$2705,B19))</f>
        <v/>
      </c>
      <c r="Z19" s="21" t="n">
        <f aca="false">P19</f>
        <v>-0.560956329911447</v>
      </c>
      <c r="AA19" s="3" t="n">
        <f aca="false">R19</f>
        <v>0</v>
      </c>
      <c r="AB19" s="21" t="n">
        <f aca="false">P19</f>
        <v>-0.560956329911447</v>
      </c>
      <c r="AC19" s="3" t="str">
        <f aca="false">Y19</f>
        <v/>
      </c>
      <c r="AD19" s="3" t="n">
        <f aca="false">R19</f>
        <v>0</v>
      </c>
    </row>
    <row r="20" customFormat="false" ht="15" hidden="false" customHeight="true" outlineLevel="0" collapsed="false">
      <c r="A20" s="7" t="s">
        <v>56</v>
      </c>
      <c r="B20" s="7" t="n">
        <v>1902</v>
      </c>
      <c r="C20" s="7" t="s">
        <v>142</v>
      </c>
      <c r="D20" s="7" t="n">
        <v>68</v>
      </c>
      <c r="E20" s="7" t="n">
        <v>69</v>
      </c>
      <c r="F20" s="3" t="n">
        <f aca="false">COUNTIFS($B$2:$B$2705,B20,$C$2:$C$2705,C20)</f>
        <v>2</v>
      </c>
      <c r="G20" s="3" t="n">
        <f aca="false">MIN(INT((MIN(B20,2020)-1900)/10)+1,12)</f>
        <v>1</v>
      </c>
      <c r="H20" s="3" t="n">
        <f aca="false">(MIN(B20,2020)-1900-10*(G20-1))/10</f>
        <v>0.2</v>
      </c>
      <c r="I20" s="20" t="n">
        <f aca="false">EXP(LN(INDEX(Pop_Inputs!$B$2:$N$29,MATCH(C20,Pop_Inputs!$A$2:$A$29,0),G20))*(1-H20)+LN(INDEX(Pop_Inputs!$B$2:$N$29,MATCH(C20,Pop_Inputs!$A$2:$A$29,0),G20+1))*H20)</f>
        <v>1786361.37448449</v>
      </c>
      <c r="J20" s="20" t="n">
        <f aca="false">I20/F20</f>
        <v>893180.687242243</v>
      </c>
      <c r="K20" s="21" t="n">
        <f aca="false">D20/(D20+E20)</f>
        <v>0.496350364963504</v>
      </c>
      <c r="L20" s="21" t="n">
        <f aca="false">AVERAGEIFS($K$2:$K$2705,$B$2:$B$2705,B20)</f>
        <v>0.508831130190282</v>
      </c>
      <c r="M20" s="21" t="n">
        <f aca="false">K20-L20</f>
        <v>-0.0124807652267782</v>
      </c>
      <c r="N20" s="21" t="n">
        <f aca="false">LN(J20)</f>
        <v>13.7025441767285</v>
      </c>
      <c r="O20" s="21" t="n">
        <f aca="false">AVERAGEIFS($N$2:$N$2705,$B$2:$B$2705,B20)</f>
        <v>13.1408172203808</v>
      </c>
      <c r="P20" s="21" t="n">
        <f aca="false">N20-O20</f>
        <v>0.561726956347723</v>
      </c>
      <c r="Q20" s="7" t="n">
        <v>0</v>
      </c>
      <c r="R20" s="3" t="n">
        <f aca="false">IF(AND(Q20=1,B20-_xlfn.MINIFS($B$2:$B$2705,$A$2:$A$2705,A20)&lt;10),1,0)</f>
        <v>0</v>
      </c>
      <c r="S20" s="7" t="n">
        <v>0</v>
      </c>
      <c r="T20" s="3" t="n">
        <f aca="false">_xlfn.MINIFS($B$2:$B$2705,$A$2:$A$2705,A20)</f>
        <v>1901</v>
      </c>
      <c r="U20" s="3" t="n">
        <f aca="false">B20-T20</f>
        <v>1</v>
      </c>
      <c r="V20" s="3" t="str">
        <f aca="false">INDEX(Pop_Inputs!$Q$2:$Q$29,MATCH(C20,Pop_Inputs!$A$2:$A$29,0))</f>
        <v>Midwest</v>
      </c>
      <c r="W20" s="30"/>
      <c r="X20" s="3" t="str">
        <f aca="false">IF(W20="","",LN(W20))</f>
        <v/>
      </c>
      <c r="Y20" s="3" t="str">
        <f aca="false">IF(X20="","",X20-AVERAGEIFS($X$2:$X$2705,$B$2:$B$2705,B20))</f>
        <v/>
      </c>
      <c r="Z20" s="21" t="n">
        <f aca="false">P20</f>
        <v>0.561726956347723</v>
      </c>
      <c r="AA20" s="3" t="n">
        <f aca="false">R20</f>
        <v>0</v>
      </c>
      <c r="AB20" s="21" t="n">
        <f aca="false">P20</f>
        <v>0.561726956347723</v>
      </c>
      <c r="AC20" s="3" t="str">
        <f aca="false">Y20</f>
        <v/>
      </c>
      <c r="AD20" s="3" t="n">
        <f aca="false">R20</f>
        <v>0</v>
      </c>
    </row>
    <row r="21" customFormat="false" ht="15" hidden="false" customHeight="true" outlineLevel="0" collapsed="false">
      <c r="A21" s="7" t="s">
        <v>65</v>
      </c>
      <c r="B21" s="7" t="n">
        <v>1902</v>
      </c>
      <c r="C21" s="7" t="s">
        <v>142</v>
      </c>
      <c r="D21" s="7" t="n">
        <v>74</v>
      </c>
      <c r="E21" s="7" t="n">
        <v>60</v>
      </c>
      <c r="F21" s="3" t="n">
        <f aca="false">COUNTIFS($B$2:$B$2705,B21,$C$2:$C$2705,C21)</f>
        <v>2</v>
      </c>
      <c r="G21" s="3" t="n">
        <f aca="false">MIN(INT((MIN(B21,2020)-1900)/10)+1,12)</f>
        <v>1</v>
      </c>
      <c r="H21" s="3" t="n">
        <f aca="false">(MIN(B21,2020)-1900-10*(G21-1))/10</f>
        <v>0.2</v>
      </c>
      <c r="I21" s="20" t="n">
        <f aca="false">EXP(LN(INDEX(Pop_Inputs!$B$2:$N$29,MATCH(C21,Pop_Inputs!$A$2:$A$29,0),G21))*(1-H21)+LN(INDEX(Pop_Inputs!$B$2:$N$29,MATCH(C21,Pop_Inputs!$A$2:$A$29,0),G21+1))*H21)</f>
        <v>1786361.37448449</v>
      </c>
      <c r="J21" s="20" t="n">
        <f aca="false">I21/F21</f>
        <v>893180.687242243</v>
      </c>
      <c r="K21" s="21" t="n">
        <f aca="false">D21/(D21+E21)</f>
        <v>0.552238805970149</v>
      </c>
      <c r="L21" s="21" t="n">
        <f aca="false">AVERAGEIFS($K$2:$K$2705,$B$2:$B$2705,B21)</f>
        <v>0.508831130190282</v>
      </c>
      <c r="M21" s="21" t="n">
        <f aca="false">K21-L21</f>
        <v>0.0434076757798675</v>
      </c>
      <c r="N21" s="21" t="n">
        <f aca="false">LN(J21)</f>
        <v>13.7025441767285</v>
      </c>
      <c r="O21" s="21" t="n">
        <f aca="false">AVERAGEIFS($N$2:$N$2705,$B$2:$B$2705,B21)</f>
        <v>13.1408172203808</v>
      </c>
      <c r="P21" s="21" t="n">
        <f aca="false">N21-O21</f>
        <v>0.561726956347723</v>
      </c>
      <c r="Q21" s="7" t="n">
        <v>0</v>
      </c>
      <c r="R21" s="3" t="n">
        <f aca="false">IF(AND(Q21=1,B21-_xlfn.MINIFS($B$2:$B$2705,$A$2:$A$2705,A21)&lt;10),1,0)</f>
        <v>0</v>
      </c>
      <c r="S21" s="7" t="n">
        <v>0</v>
      </c>
      <c r="T21" s="3" t="n">
        <f aca="false">_xlfn.MINIFS($B$2:$B$2705,$A$2:$A$2705,A21)</f>
        <v>1901</v>
      </c>
      <c r="U21" s="3" t="n">
        <f aca="false">B21-T21</f>
        <v>1</v>
      </c>
      <c r="V21" s="3" t="str">
        <f aca="false">INDEX(Pop_Inputs!$Q$2:$Q$29,MATCH(C21,Pop_Inputs!$A$2:$A$29,0))</f>
        <v>Midwest</v>
      </c>
      <c r="W21" s="30"/>
      <c r="X21" s="3" t="str">
        <f aca="false">IF(W21="","",LN(W21))</f>
        <v/>
      </c>
      <c r="Y21" s="3" t="str">
        <f aca="false">IF(X21="","",X21-AVERAGEIFS($X$2:$X$2705,$B$2:$B$2705,B21))</f>
        <v/>
      </c>
      <c r="Z21" s="21" t="n">
        <f aca="false">P21</f>
        <v>0.561726956347723</v>
      </c>
      <c r="AA21" s="3" t="n">
        <f aca="false">R21</f>
        <v>0</v>
      </c>
      <c r="AB21" s="21" t="n">
        <f aca="false">P21</f>
        <v>0.561726956347723</v>
      </c>
      <c r="AC21" s="3" t="str">
        <f aca="false">Y21</f>
        <v/>
      </c>
      <c r="AD21" s="3" t="n">
        <f aca="false">R21</f>
        <v>0</v>
      </c>
    </row>
    <row r="22" customFormat="false" ht="15" hidden="false" customHeight="true" outlineLevel="0" collapsed="false">
      <c r="A22" s="7" t="s">
        <v>57</v>
      </c>
      <c r="B22" s="7" t="n">
        <v>1902</v>
      </c>
      <c r="C22" s="7" t="s">
        <v>143</v>
      </c>
      <c r="D22" s="7" t="n">
        <v>70</v>
      </c>
      <c r="E22" s="7" t="n">
        <v>70</v>
      </c>
      <c r="F22" s="3" t="n">
        <f aca="false">COUNTIFS($B$2:$B$2705,B22,$C$2:$C$2705,C22)</f>
        <v>1</v>
      </c>
      <c r="G22" s="3" t="n">
        <f aca="false">MIN(INT((MIN(B22,2020)-1900)/10)+1,12)</f>
        <v>1</v>
      </c>
      <c r="H22" s="3" t="n">
        <f aca="false">(MIN(B22,2020)-1900-10*(G22-1))/10</f>
        <v>0.2</v>
      </c>
      <c r="I22" s="20" t="n">
        <f aca="false">EXP(LN(INDEX(Pop_Inputs!$B$2:$N$29,MATCH(C22,Pop_Inputs!$A$2:$A$29,0),G22))*(1-H22)+LN(INDEX(Pop_Inputs!$B$2:$N$29,MATCH(C22,Pop_Inputs!$A$2:$A$29,0),G22+1))*H22)</f>
        <v>333113.509093096</v>
      </c>
      <c r="J22" s="20" t="n">
        <f aca="false">I22/F22</f>
        <v>333113.509093096</v>
      </c>
      <c r="K22" s="21" t="n">
        <f aca="false">D22/(D22+E22)</f>
        <v>0.5</v>
      </c>
      <c r="L22" s="21" t="n">
        <f aca="false">AVERAGEIFS($K$2:$K$2705,$B$2:$B$2705,B22)</f>
        <v>0.508831130190282</v>
      </c>
      <c r="M22" s="21" t="n">
        <f aca="false">K22-L22</f>
        <v>-0.00883113019028181</v>
      </c>
      <c r="N22" s="21" t="n">
        <f aca="false">LN(J22)</f>
        <v>12.7162385790277</v>
      </c>
      <c r="O22" s="21" t="n">
        <f aca="false">AVERAGEIFS($N$2:$N$2705,$B$2:$B$2705,B22)</f>
        <v>13.1408172203808</v>
      </c>
      <c r="P22" s="21" t="n">
        <f aca="false">N22-O22</f>
        <v>-0.424578641353145</v>
      </c>
      <c r="Q22" s="7" t="n">
        <v>0</v>
      </c>
      <c r="R22" s="3" t="n">
        <f aca="false">IF(AND(Q22=1,B22-_xlfn.MINIFS($B$2:$B$2705,$A$2:$A$2705,A22)&lt;10),1,0)</f>
        <v>0</v>
      </c>
      <c r="S22" s="7" t="n">
        <v>0</v>
      </c>
      <c r="T22" s="3" t="n">
        <f aca="false">_xlfn.MINIFS($B$2:$B$2705,$A$2:$A$2705,A22)</f>
        <v>1901</v>
      </c>
      <c r="U22" s="3" t="n">
        <f aca="false">B22-T22</f>
        <v>1</v>
      </c>
      <c r="V22" s="3" t="str">
        <f aca="false">INDEX(Pop_Inputs!$Q$2:$Q$29,MATCH(C22,Pop_Inputs!$A$2:$A$29,0))</f>
        <v>Midwest</v>
      </c>
      <c r="W22" s="30"/>
      <c r="X22" s="3" t="str">
        <f aca="false">IF(W22="","",LN(W22))</f>
        <v/>
      </c>
      <c r="Y22" s="3" t="str">
        <f aca="false">IF(X22="","",X22-AVERAGEIFS($X$2:$X$2705,$B$2:$B$2705,B22))</f>
        <v/>
      </c>
      <c r="Z22" s="21" t="n">
        <f aca="false">P22</f>
        <v>-0.424578641353145</v>
      </c>
      <c r="AA22" s="3" t="n">
        <f aca="false">R22</f>
        <v>0</v>
      </c>
      <c r="AB22" s="21" t="n">
        <f aca="false">P22</f>
        <v>-0.424578641353145</v>
      </c>
      <c r="AC22" s="3" t="str">
        <f aca="false">Y22</f>
        <v/>
      </c>
      <c r="AD22" s="3" t="n">
        <f aca="false">R22</f>
        <v>0</v>
      </c>
    </row>
    <row r="23" customFormat="false" ht="15" hidden="false" customHeight="true" outlineLevel="0" collapsed="false">
      <c r="A23" s="7" t="s">
        <v>66</v>
      </c>
      <c r="B23" s="7" t="n">
        <v>1902</v>
      </c>
      <c r="C23" s="7" t="s">
        <v>151</v>
      </c>
      <c r="D23" s="7" t="n">
        <v>69</v>
      </c>
      <c r="E23" s="7" t="n">
        <v>67</v>
      </c>
      <c r="F23" s="3" t="n">
        <f aca="false">COUNTIFS($B$2:$B$2705,B23,$C$2:$C$2705,C23)</f>
        <v>1</v>
      </c>
      <c r="G23" s="3" t="n">
        <f aca="false">MIN(INT((MIN(B23,2020)-1900)/10)+1,12)</f>
        <v>1</v>
      </c>
      <c r="H23" s="3" t="n">
        <f aca="false">(MIN(B23,2020)-1900-10*(G23-1))/10</f>
        <v>0.2</v>
      </c>
      <c r="I23" s="20" t="n">
        <f aca="false">EXP(LN(INDEX(Pop_Inputs!$B$2:$N$29,MATCH(C23,Pop_Inputs!$A$2:$A$29,0),G23))*(1-H23)+LN(INDEX(Pop_Inputs!$B$2:$N$29,MATCH(C23,Pop_Inputs!$A$2:$A$29,0),G23+1))*H23)</f>
        <v>412268.352283503</v>
      </c>
      <c r="J23" s="20" t="n">
        <f aca="false">I23/F23</f>
        <v>412268.352283503</v>
      </c>
      <c r="K23" s="21" t="n">
        <f aca="false">D23/(D23+E23)</f>
        <v>0.507352941176471</v>
      </c>
      <c r="L23" s="21" t="n">
        <f aca="false">AVERAGEIFS($K$2:$K$2705,$B$2:$B$2705,B23)</f>
        <v>0.508831130190282</v>
      </c>
      <c r="M23" s="21" t="n">
        <f aca="false">K23-L23</f>
        <v>-0.00147818901381125</v>
      </c>
      <c r="N23" s="21" t="n">
        <f aca="false">LN(J23)</f>
        <v>12.9294297567954</v>
      </c>
      <c r="O23" s="21" t="n">
        <f aca="false">AVERAGEIFS($N$2:$N$2705,$B$2:$B$2705,B23)</f>
        <v>13.1408172203808</v>
      </c>
      <c r="P23" s="21" t="n">
        <f aca="false">N23-O23</f>
        <v>-0.211387463585366</v>
      </c>
      <c r="Q23" s="7" t="n">
        <v>0</v>
      </c>
      <c r="R23" s="3" t="n">
        <f aca="false">IF(AND(Q23=1,B23-_xlfn.MINIFS($B$2:$B$2705,$A$2:$A$2705,A23)&lt;10),1,0)</f>
        <v>0</v>
      </c>
      <c r="S23" s="7" t="n">
        <v>0</v>
      </c>
      <c r="T23" s="3" t="n">
        <f aca="false">_xlfn.MINIFS($B$2:$B$2705,$A$2:$A$2705,A23)</f>
        <v>1901</v>
      </c>
      <c r="U23" s="3" t="n">
        <f aca="false">B23-T23</f>
        <v>1</v>
      </c>
      <c r="V23" s="3" t="str">
        <f aca="false">INDEX(Pop_Inputs!$Q$2:$Q$29,MATCH(C23,Pop_Inputs!$A$2:$A$29,0))</f>
        <v>Midwest</v>
      </c>
      <c r="W23" s="30"/>
      <c r="X23" s="3" t="str">
        <f aca="false">IF(W23="","",LN(W23))</f>
        <v/>
      </c>
      <c r="Y23" s="3" t="str">
        <f aca="false">IF(X23="","",X23-AVERAGEIFS($X$2:$X$2705,$B$2:$B$2705,B23))</f>
        <v/>
      </c>
      <c r="Z23" s="21" t="n">
        <f aca="false">P23</f>
        <v>-0.211387463585366</v>
      </c>
      <c r="AA23" s="3" t="n">
        <f aca="false">R23</f>
        <v>0</v>
      </c>
      <c r="AB23" s="21" t="n">
        <f aca="false">P23</f>
        <v>-0.211387463585366</v>
      </c>
      <c r="AC23" s="3" t="str">
        <f aca="false">Y23</f>
        <v/>
      </c>
      <c r="AD23" s="3" t="n">
        <f aca="false">R23</f>
        <v>0</v>
      </c>
    </row>
    <row r="24" customFormat="false" ht="15" hidden="false" customHeight="true" outlineLevel="0" collapsed="false">
      <c r="A24" s="7" t="s">
        <v>67</v>
      </c>
      <c r="B24" s="7" t="n">
        <v>1902</v>
      </c>
      <c r="C24" s="7" t="s">
        <v>152</v>
      </c>
      <c r="D24" s="7" t="n">
        <v>52</v>
      </c>
      <c r="E24" s="7" t="n">
        <v>83</v>
      </c>
      <c r="F24" s="3" t="n">
        <f aca="false">COUNTIFS($B$2:$B$2705,B24,$C$2:$C$2705,C24)</f>
        <v>1</v>
      </c>
      <c r="G24" s="3" t="n">
        <f aca="false">MIN(INT((MIN(B24,2020)-1900)/10)+1,12)</f>
        <v>1</v>
      </c>
      <c r="H24" s="3" t="n">
        <f aca="false">(MIN(B24,2020)-1900-10*(G24-1))/10</f>
        <v>0.2</v>
      </c>
      <c r="I24" s="20" t="n">
        <f aca="false">EXP(LN(INDEX(Pop_Inputs!$B$2:$N$29,MATCH(C24,Pop_Inputs!$A$2:$A$29,0),G24))*(1-H24)+LN(INDEX(Pop_Inputs!$B$2:$N$29,MATCH(C24,Pop_Inputs!$A$2:$A$29,0),G24+1))*H24)</f>
        <v>315040.663285055</v>
      </c>
      <c r="J24" s="20" t="n">
        <f aca="false">I24/F24</f>
        <v>315040.663285055</v>
      </c>
      <c r="K24" s="21" t="n">
        <f aca="false">D24/(D24+E24)</f>
        <v>0.385185185185185</v>
      </c>
      <c r="L24" s="21" t="n">
        <f aca="false">AVERAGEIFS($K$2:$K$2705,$B$2:$B$2705,B24)</f>
        <v>0.508831130190282</v>
      </c>
      <c r="M24" s="21" t="n">
        <f aca="false">K24-L24</f>
        <v>-0.123645945005097</v>
      </c>
      <c r="N24" s="21" t="n">
        <f aca="false">LN(J24)</f>
        <v>12.6604569992702</v>
      </c>
      <c r="O24" s="21" t="n">
        <f aca="false">AVERAGEIFS($N$2:$N$2705,$B$2:$B$2705,B24)</f>
        <v>13.1408172203808</v>
      </c>
      <c r="P24" s="21" t="n">
        <f aca="false">N24-O24</f>
        <v>-0.480360221110589</v>
      </c>
      <c r="Q24" s="7" t="n">
        <v>0</v>
      </c>
      <c r="R24" s="3" t="n">
        <f aca="false">IF(AND(Q24=1,B24-_xlfn.MINIFS($B$2:$B$2705,$A$2:$A$2705,A24)&lt;10),1,0)</f>
        <v>0</v>
      </c>
      <c r="S24" s="7" t="n">
        <v>0</v>
      </c>
      <c r="T24" s="3" t="n">
        <f aca="false">_xlfn.MINIFS($B$2:$B$2705,$A$2:$A$2705,A24)</f>
        <v>1901</v>
      </c>
      <c r="U24" s="3" t="n">
        <f aca="false">B24-T24</f>
        <v>1</v>
      </c>
      <c r="V24" s="3" t="str">
        <f aca="false">INDEX(Pop_Inputs!$Q$2:$Q$29,MATCH(C24,Pop_Inputs!$A$2:$A$29,0))</f>
        <v>Midwest</v>
      </c>
      <c r="W24" s="30"/>
      <c r="X24" s="3" t="str">
        <f aca="false">IF(W24="","",LN(W24))</f>
        <v/>
      </c>
      <c r="Y24" s="3" t="str">
        <f aca="false">IF(X24="","",X24-AVERAGEIFS($X$2:$X$2705,$B$2:$B$2705,B24))</f>
        <v/>
      </c>
      <c r="Z24" s="21" t="n">
        <f aca="false">P24</f>
        <v>-0.480360221110589</v>
      </c>
      <c r="AA24" s="3" t="n">
        <f aca="false">R24</f>
        <v>0</v>
      </c>
      <c r="AB24" s="21" t="n">
        <f aca="false">P24</f>
        <v>-0.480360221110589</v>
      </c>
      <c r="AC24" s="3" t="str">
        <f aca="false">Y24</f>
        <v/>
      </c>
      <c r="AD24" s="3" t="n">
        <f aca="false">R24</f>
        <v>0</v>
      </c>
    </row>
    <row r="25" customFormat="false" ht="15" hidden="false" customHeight="true" outlineLevel="0" collapsed="false">
      <c r="A25" s="7" t="s">
        <v>62</v>
      </c>
      <c r="B25" s="7" t="n">
        <v>1902</v>
      </c>
      <c r="C25" s="7" t="s">
        <v>154</v>
      </c>
      <c r="D25" s="7" t="n">
        <v>75</v>
      </c>
      <c r="E25" s="7" t="n">
        <v>63</v>
      </c>
      <c r="F25" s="3" t="n">
        <f aca="false">COUNTIFS($B$2:$B$2705,B25,$C$2:$C$2705,C25)</f>
        <v>2</v>
      </c>
      <c r="G25" s="3" t="n">
        <f aca="false">MIN(INT((MIN(B25,2020)-1900)/10)+1,12)</f>
        <v>1</v>
      </c>
      <c r="H25" s="3" t="n">
        <f aca="false">(MIN(B25,2020)-1900-10*(G25-1))/10</f>
        <v>0.2</v>
      </c>
      <c r="I25" s="20" t="n">
        <f aca="false">EXP(LN(INDEX(Pop_Inputs!$B$2:$N$29,MATCH(C25,Pop_Inputs!$A$2:$A$29,0),G25))*(1-H25)+LN(INDEX(Pop_Inputs!$B$2:$N$29,MATCH(C25,Pop_Inputs!$A$2:$A$29,0),G25+1))*H25)</f>
        <v>3669534.22960152</v>
      </c>
      <c r="J25" s="20" t="n">
        <f aca="false">I25/F25</f>
        <v>1834767.11480076</v>
      </c>
      <c r="K25" s="21" t="n">
        <f aca="false">D25/(D25+E25)</f>
        <v>0.543478260869565</v>
      </c>
      <c r="L25" s="21" t="n">
        <f aca="false">AVERAGEIFS($K$2:$K$2705,$B$2:$B$2705,B25)</f>
        <v>0.508831130190282</v>
      </c>
      <c r="M25" s="21" t="n">
        <f aca="false">K25-L25</f>
        <v>0.0346471306792834</v>
      </c>
      <c r="N25" s="21" t="n">
        <f aca="false">LN(J25)</f>
        <v>14.4224281185016</v>
      </c>
      <c r="O25" s="21" t="n">
        <f aca="false">AVERAGEIFS($N$2:$N$2705,$B$2:$B$2705,B25)</f>
        <v>13.1408172203808</v>
      </c>
      <c r="P25" s="21" t="n">
        <f aca="false">N25-O25</f>
        <v>1.28161089812075</v>
      </c>
      <c r="Q25" s="7" t="n">
        <v>0</v>
      </c>
      <c r="R25" s="3" t="n">
        <f aca="false">IF(AND(Q25=1,B25-_xlfn.MINIFS($B$2:$B$2705,$A$2:$A$2705,A25)&lt;10),1,0)</f>
        <v>0</v>
      </c>
      <c r="S25" s="7" t="n">
        <v>0</v>
      </c>
      <c r="T25" s="3" t="n">
        <f aca="false">_xlfn.MINIFS($B$2:$B$2705,$A$2:$A$2705,A25)</f>
        <v>1901</v>
      </c>
      <c r="U25" s="3" t="n">
        <f aca="false">B25-T25</f>
        <v>1</v>
      </c>
      <c r="V25" s="3" t="str">
        <f aca="false">INDEX(Pop_Inputs!$Q$2:$Q$29,MATCH(C25,Pop_Inputs!$A$2:$A$29,0))</f>
        <v>Northeast</v>
      </c>
      <c r="W25" s="30"/>
      <c r="X25" s="3" t="str">
        <f aca="false">IF(W25="","",LN(W25))</f>
        <v/>
      </c>
      <c r="Y25" s="3" t="str">
        <f aca="false">IF(X25="","",X25-AVERAGEIFS($X$2:$X$2705,$B$2:$B$2705,B25))</f>
        <v/>
      </c>
      <c r="Z25" s="21" t="n">
        <f aca="false">P25</f>
        <v>1.28161089812075</v>
      </c>
      <c r="AA25" s="3" t="n">
        <f aca="false">R25</f>
        <v>0</v>
      </c>
      <c r="AB25" s="21" t="n">
        <f aca="false">P25</f>
        <v>1.28161089812075</v>
      </c>
      <c r="AC25" s="3" t="str">
        <f aca="false">Y25</f>
        <v/>
      </c>
      <c r="AD25" s="3" t="n">
        <f aca="false">R25</f>
        <v>0</v>
      </c>
    </row>
    <row r="26" customFormat="false" ht="15" hidden="false" customHeight="true" outlineLevel="0" collapsed="false">
      <c r="A26" s="7" t="s">
        <v>68</v>
      </c>
      <c r="B26" s="7" t="n">
        <v>1902</v>
      </c>
      <c r="C26" s="7" t="s">
        <v>160</v>
      </c>
      <c r="D26" s="7" t="n">
        <v>61</v>
      </c>
      <c r="E26" s="7" t="n">
        <v>75</v>
      </c>
      <c r="F26" s="3" t="n">
        <f aca="false">COUNTIFS($B$2:$B$2705,B26,$C$2:$C$2705,C26)</f>
        <v>1</v>
      </c>
      <c r="G26" s="3" t="n">
        <f aca="false">MIN(INT((MIN(B26,2020)-1900)/10)+1,12)</f>
        <v>1</v>
      </c>
      <c r="H26" s="3" t="n">
        <f aca="false">(MIN(B26,2020)-1900-10*(G26-1))/10</f>
        <v>0.2</v>
      </c>
      <c r="I26" s="20" t="n">
        <f aca="false">EXP(LN(INDEX(Pop_Inputs!$B$2:$N$29,MATCH(C26,Pop_Inputs!$A$2:$A$29,0),G26))*(1-H26)+LN(INDEX(Pop_Inputs!$B$2:$N$29,MATCH(C26,Pop_Inputs!$A$2:$A$29,0),G26+1))*H26)</f>
        <v>288480.005048681</v>
      </c>
      <c r="J26" s="20" t="n">
        <f aca="false">I26/F26</f>
        <v>288480.005048681</v>
      </c>
      <c r="K26" s="21" t="n">
        <f aca="false">D26/(D26+E26)</f>
        <v>0.448529411764706</v>
      </c>
      <c r="L26" s="21" t="n">
        <f aca="false">AVERAGEIFS($K$2:$K$2705,$B$2:$B$2705,B26)</f>
        <v>0.508831130190282</v>
      </c>
      <c r="M26" s="21" t="n">
        <f aca="false">K26-L26</f>
        <v>-0.0603017184255759</v>
      </c>
      <c r="N26" s="21" t="n">
        <f aca="false">LN(J26)</f>
        <v>12.5723810559381</v>
      </c>
      <c r="O26" s="21" t="n">
        <f aca="false">AVERAGEIFS($N$2:$N$2705,$B$2:$B$2705,B26)</f>
        <v>13.1408172203808</v>
      </c>
      <c r="P26" s="21" t="n">
        <f aca="false">N26-O26</f>
        <v>-0.568436164442696</v>
      </c>
      <c r="Q26" s="7" t="n">
        <v>0</v>
      </c>
      <c r="R26" s="3" t="n">
        <f aca="false">IF(AND(Q26=1,B26-_xlfn.MINIFS($B$2:$B$2705,$A$2:$A$2705,A26)&lt;10),1,0)</f>
        <v>0</v>
      </c>
      <c r="S26" s="7" t="n">
        <v>0</v>
      </c>
      <c r="T26" s="3" t="n">
        <f aca="false">_xlfn.MINIFS($B$2:$B$2705,$A$2:$A$2705,A26)</f>
        <v>1901</v>
      </c>
      <c r="U26" s="3" t="n">
        <f aca="false">B26-T26</f>
        <v>1</v>
      </c>
      <c r="V26" s="3" t="str">
        <f aca="false">INDEX(Pop_Inputs!$Q$2:$Q$29,MATCH(C26,Pop_Inputs!$A$2:$A$29,0))</f>
        <v>South</v>
      </c>
      <c r="W26" s="30"/>
      <c r="X26" s="3" t="str">
        <f aca="false">IF(W26="","",LN(W26))</f>
        <v/>
      </c>
      <c r="Y26" s="3" t="str">
        <f aca="false">IF(X26="","",X26-AVERAGEIFS($X$2:$X$2705,$B$2:$B$2705,B26))</f>
        <v/>
      </c>
      <c r="Z26" s="21" t="n">
        <f aca="false">P26</f>
        <v>-0.568436164442696</v>
      </c>
      <c r="AA26" s="3" t="n">
        <f aca="false">R26</f>
        <v>0</v>
      </c>
      <c r="AB26" s="21" t="n">
        <f aca="false">P26</f>
        <v>-0.568436164442696</v>
      </c>
      <c r="AC26" s="3" t="str">
        <f aca="false">Y26</f>
        <v/>
      </c>
      <c r="AD26" s="3" t="n">
        <f aca="false">R26</f>
        <v>0</v>
      </c>
    </row>
    <row r="27" customFormat="false" ht="15" hidden="false" customHeight="true" outlineLevel="0" collapsed="false">
      <c r="A27" s="7" t="s">
        <v>69</v>
      </c>
      <c r="B27" s="7" t="n">
        <v>1902</v>
      </c>
      <c r="C27" s="7" t="s">
        <v>146</v>
      </c>
      <c r="D27" s="7" t="n">
        <v>83</v>
      </c>
      <c r="E27" s="7" t="n">
        <v>53</v>
      </c>
      <c r="F27" s="3" t="n">
        <f aca="false">COUNTIFS($B$2:$B$2705,B27,$C$2:$C$2705,C27)</f>
        <v>2</v>
      </c>
      <c r="G27" s="3" t="n">
        <f aca="false">MIN(INT((MIN(B27,2020)-1900)/10)+1,12)</f>
        <v>1</v>
      </c>
      <c r="H27" s="3" t="n">
        <f aca="false">(MIN(B27,2020)-1900-10*(G27-1))/10</f>
        <v>0.2</v>
      </c>
      <c r="I27" s="20" t="n">
        <f aca="false">EXP(LN(INDEX(Pop_Inputs!$B$2:$N$29,MATCH(C27,Pop_Inputs!$A$2:$A$29,0),G27))*(1-H27)+LN(INDEX(Pop_Inputs!$B$2:$N$29,MATCH(C27,Pop_Inputs!$A$2:$A$29,0),G27+1))*H27)</f>
        <v>1341148.25536416</v>
      </c>
      <c r="J27" s="20" t="n">
        <f aca="false">I27/F27</f>
        <v>670574.12768208</v>
      </c>
      <c r="K27" s="21" t="n">
        <f aca="false">D27/(D27+E27)</f>
        <v>0.610294117647059</v>
      </c>
      <c r="L27" s="21" t="n">
        <f aca="false">AVERAGEIFS($K$2:$K$2705,$B$2:$B$2705,B27)</f>
        <v>0.508831130190282</v>
      </c>
      <c r="M27" s="21" t="n">
        <f aca="false">K27-L27</f>
        <v>0.101462987456777</v>
      </c>
      <c r="N27" s="21" t="n">
        <f aca="false">LN(J27)</f>
        <v>13.4158895314201</v>
      </c>
      <c r="O27" s="21" t="n">
        <f aca="false">AVERAGEIFS($N$2:$N$2705,$B$2:$B$2705,B27)</f>
        <v>13.1408172203808</v>
      </c>
      <c r="P27" s="21" t="n">
        <f aca="false">N27-O27</f>
        <v>0.275072311039327</v>
      </c>
      <c r="Q27" s="7" t="n">
        <v>0</v>
      </c>
      <c r="R27" s="3" t="n">
        <f aca="false">IF(AND(Q27=1,B27-_xlfn.MINIFS($B$2:$B$2705,$A$2:$A$2705,A27)&lt;10),1,0)</f>
        <v>0</v>
      </c>
      <c r="S27" s="7" t="n">
        <v>0</v>
      </c>
      <c r="T27" s="3" t="n">
        <f aca="false">_xlfn.MINIFS($B$2:$B$2705,$A$2:$A$2705,A27)</f>
        <v>1901</v>
      </c>
      <c r="U27" s="3" t="n">
        <f aca="false">B27-T27</f>
        <v>1</v>
      </c>
      <c r="V27" s="3" t="str">
        <f aca="false">INDEX(Pop_Inputs!$Q$2:$Q$29,MATCH(C27,Pop_Inputs!$A$2:$A$29,0))</f>
        <v>Northeast</v>
      </c>
      <c r="W27" s="30"/>
      <c r="X27" s="3" t="str">
        <f aca="false">IF(W27="","",LN(W27))</f>
        <v/>
      </c>
      <c r="Y27" s="3" t="str">
        <f aca="false">IF(X27="","",X27-AVERAGEIFS($X$2:$X$2705,$B$2:$B$2705,B27))</f>
        <v/>
      </c>
      <c r="Z27" s="21" t="n">
        <f aca="false">P27</f>
        <v>0.275072311039327</v>
      </c>
      <c r="AA27" s="3" t="n">
        <f aca="false">R27</f>
        <v>0</v>
      </c>
      <c r="AB27" s="21" t="n">
        <f aca="false">P27</f>
        <v>0.275072311039327</v>
      </c>
      <c r="AC27" s="3" t="str">
        <f aca="false">Y27</f>
        <v/>
      </c>
      <c r="AD27" s="3" t="n">
        <f aca="false">R27</f>
        <v>0</v>
      </c>
    </row>
    <row r="28" customFormat="false" ht="15" hidden="false" customHeight="true" outlineLevel="0" collapsed="false">
      <c r="A28" s="7" t="s">
        <v>60</v>
      </c>
      <c r="B28" s="7" t="n">
        <v>1902</v>
      </c>
      <c r="C28" s="7" t="s">
        <v>146</v>
      </c>
      <c r="D28" s="7" t="n">
        <v>56</v>
      </c>
      <c r="E28" s="7" t="n">
        <v>81</v>
      </c>
      <c r="F28" s="3" t="n">
        <f aca="false">COUNTIFS($B$2:$B$2705,B28,$C$2:$C$2705,C28)</f>
        <v>2</v>
      </c>
      <c r="G28" s="3" t="n">
        <f aca="false">MIN(INT((MIN(B28,2020)-1900)/10)+1,12)</f>
        <v>1</v>
      </c>
      <c r="H28" s="3" t="n">
        <f aca="false">(MIN(B28,2020)-1900-10*(G28-1))/10</f>
        <v>0.2</v>
      </c>
      <c r="I28" s="20" t="n">
        <f aca="false">EXP(LN(INDEX(Pop_Inputs!$B$2:$N$29,MATCH(C28,Pop_Inputs!$A$2:$A$29,0),G28))*(1-H28)+LN(INDEX(Pop_Inputs!$B$2:$N$29,MATCH(C28,Pop_Inputs!$A$2:$A$29,0),G28+1))*H28)</f>
        <v>1341148.25536416</v>
      </c>
      <c r="J28" s="20" t="n">
        <f aca="false">I28/F28</f>
        <v>670574.12768208</v>
      </c>
      <c r="K28" s="21" t="n">
        <f aca="false">D28/(D28+E28)</f>
        <v>0.408759124087591</v>
      </c>
      <c r="L28" s="21" t="n">
        <f aca="false">AVERAGEIFS($K$2:$K$2705,$B$2:$B$2705,B28)</f>
        <v>0.508831130190282</v>
      </c>
      <c r="M28" s="21" t="n">
        <f aca="false">K28-L28</f>
        <v>-0.100072006102691</v>
      </c>
      <c r="N28" s="21" t="n">
        <f aca="false">LN(J28)</f>
        <v>13.4158895314201</v>
      </c>
      <c r="O28" s="21" t="n">
        <f aca="false">AVERAGEIFS($N$2:$N$2705,$B$2:$B$2705,B28)</f>
        <v>13.1408172203808</v>
      </c>
      <c r="P28" s="21" t="n">
        <f aca="false">N28-O28</f>
        <v>0.275072311039327</v>
      </c>
      <c r="Q28" s="7" t="n">
        <v>0</v>
      </c>
      <c r="R28" s="3" t="n">
        <f aca="false">IF(AND(Q28=1,B28-_xlfn.MINIFS($B$2:$B$2705,$A$2:$A$2705,A28)&lt;10),1,0)</f>
        <v>0</v>
      </c>
      <c r="S28" s="7" t="n">
        <v>0</v>
      </c>
      <c r="T28" s="3" t="n">
        <f aca="false">_xlfn.MINIFS($B$2:$B$2705,$A$2:$A$2705,A28)</f>
        <v>1901</v>
      </c>
      <c r="U28" s="3" t="n">
        <f aca="false">B28-T28</f>
        <v>1</v>
      </c>
      <c r="V28" s="3" t="str">
        <f aca="false">INDEX(Pop_Inputs!$Q$2:$Q$29,MATCH(C28,Pop_Inputs!$A$2:$A$29,0))</f>
        <v>Northeast</v>
      </c>
      <c r="W28" s="30"/>
      <c r="X28" s="3" t="str">
        <f aca="false">IF(W28="","",LN(W28))</f>
        <v/>
      </c>
      <c r="Y28" s="3" t="str">
        <f aca="false">IF(X28="","",X28-AVERAGEIFS($X$2:$X$2705,$B$2:$B$2705,B28))</f>
        <v/>
      </c>
      <c r="Z28" s="21" t="n">
        <f aca="false">P28</f>
        <v>0.275072311039327</v>
      </c>
      <c r="AA28" s="3" t="n">
        <f aca="false">R28</f>
        <v>0</v>
      </c>
      <c r="AB28" s="21" t="n">
        <f aca="false">P28</f>
        <v>0.275072311039327</v>
      </c>
      <c r="AC28" s="3" t="str">
        <f aca="false">Y28</f>
        <v/>
      </c>
      <c r="AD28" s="3" t="n">
        <f aca="false">R28</f>
        <v>0</v>
      </c>
    </row>
    <row r="29" customFormat="false" ht="15" hidden="false" customHeight="true" outlineLevel="0" collapsed="false">
      <c r="A29" s="7" t="s">
        <v>58</v>
      </c>
      <c r="B29" s="7" t="n">
        <v>1902</v>
      </c>
      <c r="C29" s="7" t="s">
        <v>144</v>
      </c>
      <c r="D29" s="7" t="n">
        <v>103</v>
      </c>
      <c r="E29" s="7" t="n">
        <v>36</v>
      </c>
      <c r="F29" s="3" t="n">
        <f aca="false">COUNTIFS($B$2:$B$2705,B29,$C$2:$C$2705,C29)</f>
        <v>1</v>
      </c>
      <c r="G29" s="3" t="n">
        <f aca="false">MIN(INT((MIN(B29,2020)-1900)/10)+1,12)</f>
        <v>1</v>
      </c>
      <c r="H29" s="3" t="n">
        <f aca="false">(MIN(B29,2020)-1900-10*(G29-1))/10</f>
        <v>0.2</v>
      </c>
      <c r="I29" s="20" t="n">
        <f aca="false">EXP(LN(INDEX(Pop_Inputs!$B$2:$N$29,MATCH(C29,Pop_Inputs!$A$2:$A$29,0),G29))*(1-H29)+LN(INDEX(Pop_Inputs!$B$2:$N$29,MATCH(C29,Pop_Inputs!$A$2:$A$29,0),G29+1))*H29)</f>
        <v>355928.623139683</v>
      </c>
      <c r="J29" s="20" t="n">
        <f aca="false">I29/F29</f>
        <v>355928.623139683</v>
      </c>
      <c r="K29" s="21" t="n">
        <f aca="false">D29/(D29+E29)</f>
        <v>0.741007194244604</v>
      </c>
      <c r="L29" s="21" t="n">
        <f aca="false">AVERAGEIFS($K$2:$K$2705,$B$2:$B$2705,B29)</f>
        <v>0.508831130190282</v>
      </c>
      <c r="M29" s="21" t="n">
        <f aca="false">K29-L29</f>
        <v>0.232176064054322</v>
      </c>
      <c r="N29" s="21" t="n">
        <f aca="false">LN(J29)</f>
        <v>12.7824854929334</v>
      </c>
      <c r="O29" s="21" t="n">
        <f aca="false">AVERAGEIFS($N$2:$N$2705,$B$2:$B$2705,B29)</f>
        <v>13.1408172203808</v>
      </c>
      <c r="P29" s="21" t="n">
        <f aca="false">N29-O29</f>
        <v>-0.358331727447458</v>
      </c>
      <c r="Q29" s="7" t="n">
        <v>0</v>
      </c>
      <c r="R29" s="3" t="n">
        <f aca="false">IF(AND(Q29=1,B29-_xlfn.MINIFS($B$2:$B$2705,$A$2:$A$2705,A29)&lt;10),1,0)</f>
        <v>0</v>
      </c>
      <c r="S29" s="7" t="n">
        <v>0</v>
      </c>
      <c r="T29" s="3" t="n">
        <f aca="false">_xlfn.MINIFS($B$2:$B$2705,$A$2:$A$2705,A29)</f>
        <v>1901</v>
      </c>
      <c r="U29" s="3" t="n">
        <f aca="false">B29-T29</f>
        <v>1</v>
      </c>
      <c r="V29" s="3" t="str">
        <f aca="false">INDEX(Pop_Inputs!$Q$2:$Q$29,MATCH(C29,Pop_Inputs!$A$2:$A$29,0))</f>
        <v>Northeast</v>
      </c>
      <c r="W29" s="30"/>
      <c r="X29" s="3" t="str">
        <f aca="false">IF(W29="","",LN(W29))</f>
        <v/>
      </c>
      <c r="Y29" s="3" t="str">
        <f aca="false">IF(X29="","",X29-AVERAGEIFS($X$2:$X$2705,$B$2:$B$2705,B29))</f>
        <v/>
      </c>
      <c r="Z29" s="21" t="n">
        <f aca="false">P29</f>
        <v>-0.358331727447458</v>
      </c>
      <c r="AA29" s="3" t="n">
        <f aca="false">R29</f>
        <v>0</v>
      </c>
      <c r="AB29" s="21" t="n">
        <f aca="false">P29</f>
        <v>-0.358331727447458</v>
      </c>
      <c r="AC29" s="3" t="str">
        <f aca="false">Y29</f>
        <v/>
      </c>
      <c r="AD29" s="3" t="n">
        <f aca="false">R29</f>
        <v>0</v>
      </c>
    </row>
    <row r="30" customFormat="false" ht="15" hidden="false" customHeight="true" outlineLevel="0" collapsed="false">
      <c r="A30" s="7" t="s">
        <v>61</v>
      </c>
      <c r="B30" s="7" t="n">
        <v>1902</v>
      </c>
      <c r="C30" s="7" t="s">
        <v>154</v>
      </c>
      <c r="D30" s="7" t="n">
        <v>48</v>
      </c>
      <c r="E30" s="7" t="n">
        <v>88</v>
      </c>
      <c r="F30" s="3" t="n">
        <f aca="false">COUNTIFS($B$2:$B$2705,B30,$C$2:$C$2705,C30)</f>
        <v>2</v>
      </c>
      <c r="G30" s="3" t="n">
        <f aca="false">MIN(INT((MIN(B30,2020)-1900)/10)+1,12)</f>
        <v>1</v>
      </c>
      <c r="H30" s="3" t="n">
        <f aca="false">(MIN(B30,2020)-1900-10*(G30-1))/10</f>
        <v>0.2</v>
      </c>
      <c r="I30" s="20" t="n">
        <f aca="false">EXP(LN(INDEX(Pop_Inputs!$B$2:$N$29,MATCH(C30,Pop_Inputs!$A$2:$A$29,0),G30))*(1-H30)+LN(INDEX(Pop_Inputs!$B$2:$N$29,MATCH(C30,Pop_Inputs!$A$2:$A$29,0),G30+1))*H30)</f>
        <v>3669534.22960152</v>
      </c>
      <c r="J30" s="20" t="n">
        <f aca="false">I30/F30</f>
        <v>1834767.11480076</v>
      </c>
      <c r="K30" s="21" t="n">
        <f aca="false">D30/(D30+E30)</f>
        <v>0.352941176470588</v>
      </c>
      <c r="L30" s="21" t="n">
        <f aca="false">AVERAGEIFS($K$2:$K$2705,$B$2:$B$2705,B30)</f>
        <v>0.508831130190282</v>
      </c>
      <c r="M30" s="21" t="n">
        <f aca="false">K30-L30</f>
        <v>-0.155889953719694</v>
      </c>
      <c r="N30" s="21" t="n">
        <f aca="false">LN(J30)</f>
        <v>14.4224281185016</v>
      </c>
      <c r="O30" s="21" t="n">
        <f aca="false">AVERAGEIFS($N$2:$N$2705,$B$2:$B$2705,B30)</f>
        <v>13.1408172203808</v>
      </c>
      <c r="P30" s="21" t="n">
        <f aca="false">N30-O30</f>
        <v>1.28161089812075</v>
      </c>
      <c r="Q30" s="7" t="n">
        <v>0</v>
      </c>
      <c r="R30" s="3" t="n">
        <f aca="false">IF(AND(Q30=1,B30-_xlfn.MINIFS($B$2:$B$2705,$A$2:$A$2705,A30)&lt;10),1,0)</f>
        <v>0</v>
      </c>
      <c r="S30" s="7" t="n">
        <v>0</v>
      </c>
      <c r="T30" s="3" t="n">
        <f aca="false">_xlfn.MINIFS($B$2:$B$2705,$A$2:$A$2705,A30)</f>
        <v>1901</v>
      </c>
      <c r="U30" s="3" t="n">
        <f aca="false">B30-T30</f>
        <v>1</v>
      </c>
      <c r="V30" s="3" t="str">
        <f aca="false">INDEX(Pop_Inputs!$Q$2:$Q$29,MATCH(C30,Pop_Inputs!$A$2:$A$29,0))</f>
        <v>Northeast</v>
      </c>
      <c r="W30" s="30"/>
      <c r="X30" s="3" t="str">
        <f aca="false">IF(W30="","",LN(W30))</f>
        <v/>
      </c>
      <c r="Y30" s="3" t="str">
        <f aca="false">IF(X30="","",X30-AVERAGEIFS($X$2:$X$2705,$B$2:$B$2705,B30))</f>
        <v/>
      </c>
      <c r="Z30" s="21" t="n">
        <f aca="false">P30</f>
        <v>1.28161089812075</v>
      </c>
      <c r="AA30" s="3" t="n">
        <f aca="false">R30</f>
        <v>0</v>
      </c>
      <c r="AB30" s="21" t="n">
        <f aca="false">P30</f>
        <v>1.28161089812075</v>
      </c>
      <c r="AC30" s="3" t="str">
        <f aca="false">Y30</f>
        <v/>
      </c>
      <c r="AD30" s="3" t="n">
        <f aca="false">R30</f>
        <v>0</v>
      </c>
    </row>
    <row r="31" customFormat="false" ht="15" hidden="false" customHeight="true" outlineLevel="0" collapsed="false">
      <c r="A31" s="7" t="s">
        <v>59</v>
      </c>
      <c r="B31" s="7" t="n">
        <v>1902</v>
      </c>
      <c r="C31" s="7" t="s">
        <v>145</v>
      </c>
      <c r="D31" s="7" t="n">
        <v>56</v>
      </c>
      <c r="E31" s="7" t="n">
        <v>78</v>
      </c>
      <c r="F31" s="3" t="n">
        <f aca="false">COUNTIFS($B$2:$B$2705,B31,$C$2:$C$2705,C31)</f>
        <v>2</v>
      </c>
      <c r="G31" s="3" t="n">
        <f aca="false">MIN(INT((MIN(B31,2020)-1900)/10)+1,12)</f>
        <v>1</v>
      </c>
      <c r="H31" s="3" t="n">
        <f aca="false">(MIN(B31,2020)-1900-10*(G31-1))/10</f>
        <v>0.2</v>
      </c>
      <c r="I31" s="20" t="n">
        <f aca="false">EXP(LN(INDEX(Pop_Inputs!$B$2:$N$29,MATCH(C31,Pop_Inputs!$A$2:$A$29,0),G31))*(1-H31)+LN(INDEX(Pop_Inputs!$B$2:$N$29,MATCH(C31,Pop_Inputs!$A$2:$A$29,0),G31+1))*H31)</f>
        <v>596036.791182374</v>
      </c>
      <c r="J31" s="20" t="n">
        <f aca="false">I31/F31</f>
        <v>298018.395591187</v>
      </c>
      <c r="K31" s="21" t="n">
        <f aca="false">D31/(D31+E31)</f>
        <v>0.417910447761194</v>
      </c>
      <c r="L31" s="21" t="n">
        <f aca="false">AVERAGEIFS($K$2:$K$2705,$B$2:$B$2705,B31)</f>
        <v>0.508831130190282</v>
      </c>
      <c r="M31" s="21" t="n">
        <f aca="false">K31-L31</f>
        <v>-0.0909206824290878</v>
      </c>
      <c r="N31" s="21" t="n">
        <f aca="false">LN(J31)</f>
        <v>12.6049104937541</v>
      </c>
      <c r="O31" s="21" t="n">
        <f aca="false">AVERAGEIFS($N$2:$N$2705,$B$2:$B$2705,B31)</f>
        <v>13.1408172203808</v>
      </c>
      <c r="P31" s="21" t="n">
        <f aca="false">N31-O31</f>
        <v>-0.535906726626731</v>
      </c>
      <c r="Q31" s="7" t="n">
        <v>0</v>
      </c>
      <c r="R31" s="3" t="n">
        <f aca="false">IF(AND(Q31=1,B31-_xlfn.MINIFS($B$2:$B$2705,$A$2:$A$2705,A31)&lt;10),1,0)</f>
        <v>0</v>
      </c>
      <c r="S31" s="7" t="n">
        <v>0</v>
      </c>
      <c r="T31" s="3" t="n">
        <f aca="false">_xlfn.MINIFS($B$2:$B$2705,$A$2:$A$2705,A31)</f>
        <v>1901</v>
      </c>
      <c r="U31" s="3" t="n">
        <f aca="false">B31-T31</f>
        <v>1</v>
      </c>
      <c r="V31" s="3" t="str">
        <f aca="false">INDEX(Pop_Inputs!$Q$2:$Q$29,MATCH(C31,Pop_Inputs!$A$2:$A$29,0))</f>
        <v>Midwest</v>
      </c>
      <c r="W31" s="30"/>
      <c r="X31" s="3" t="str">
        <f aca="false">IF(W31="","",LN(W31))</f>
        <v/>
      </c>
      <c r="Y31" s="3" t="str">
        <f aca="false">IF(X31="","",X31-AVERAGEIFS($X$2:$X$2705,$B$2:$B$2705,B31))</f>
        <v/>
      </c>
      <c r="Z31" s="21" t="n">
        <f aca="false">P31</f>
        <v>-0.535906726626731</v>
      </c>
      <c r="AA31" s="3" t="n">
        <f aca="false">R31</f>
        <v>0</v>
      </c>
      <c r="AB31" s="21" t="n">
        <f aca="false">P31</f>
        <v>-0.535906726626731</v>
      </c>
      <c r="AC31" s="3" t="str">
        <f aca="false">Y31</f>
        <v/>
      </c>
      <c r="AD31" s="3" t="n">
        <f aca="false">R31</f>
        <v>0</v>
      </c>
    </row>
    <row r="32" customFormat="false" ht="15" hidden="false" customHeight="true" outlineLevel="0" collapsed="false">
      <c r="A32" s="7" t="s">
        <v>54</v>
      </c>
      <c r="B32" s="7" t="n">
        <v>1903</v>
      </c>
      <c r="C32" s="7" t="s">
        <v>150</v>
      </c>
      <c r="D32" s="7" t="n">
        <v>58</v>
      </c>
      <c r="E32" s="7" t="n">
        <v>80</v>
      </c>
      <c r="F32" s="3" t="n">
        <f aca="false">COUNTIFS($B$2:$B$2705,B32,$C$2:$C$2705,C32)</f>
        <v>2</v>
      </c>
      <c r="G32" s="3" t="n">
        <f aca="false">MIN(INT((MIN(B32,2020)-1900)/10)+1,12)</f>
        <v>1</v>
      </c>
      <c r="H32" s="3" t="n">
        <f aca="false">(MIN(B32,2020)-1900-10*(G32-1))/10</f>
        <v>0.3</v>
      </c>
      <c r="I32" s="20" t="n">
        <f aca="false">EXP(LN(INDEX(Pop_Inputs!$B$2:$N$29,MATCH(C32,Pop_Inputs!$A$2:$A$29,0),G32))*(1-H32)+LN(INDEX(Pop_Inputs!$B$2:$N$29,MATCH(C32,Pop_Inputs!$A$2:$A$29,0),G32+1))*H32)</f>
        <v>591768.198288485</v>
      </c>
      <c r="J32" s="20" t="n">
        <f aca="false">I32/F32</f>
        <v>295884.099144243</v>
      </c>
      <c r="K32" s="21" t="n">
        <f aca="false">D32/(D32+E32)</f>
        <v>0.420289855072464</v>
      </c>
      <c r="L32" s="21" t="n">
        <f aca="false">AVERAGEIFS($K$2:$K$2705,$B$2:$B$2705,B32)</f>
        <v>0.499525126942228</v>
      </c>
      <c r="M32" s="21" t="n">
        <f aca="false">K32-L32</f>
        <v>-0.0792352718697647</v>
      </c>
      <c r="N32" s="21" t="n">
        <f aca="false">LN(J32)</f>
        <v>12.5977230996826</v>
      </c>
      <c r="O32" s="21" t="n">
        <f aca="false">AVERAGEIFS($N$2:$N$2705,$B$2:$B$2705,B32)</f>
        <v>13.1712626913234</v>
      </c>
      <c r="P32" s="21" t="n">
        <f aca="false">N32-O32</f>
        <v>-0.57353959164074</v>
      </c>
      <c r="Q32" s="7" t="n">
        <v>0</v>
      </c>
      <c r="R32" s="3" t="n">
        <f aca="false">IF(AND(Q32=1,B32-_xlfn.MINIFS($B$2:$B$2705,$A$2:$A$2705,A32)&lt;10),1,0)</f>
        <v>0</v>
      </c>
      <c r="S32" s="7" t="n">
        <v>0</v>
      </c>
      <c r="T32" s="3" t="n">
        <f aca="false">_xlfn.MINIFS($B$2:$B$2705,$A$2:$A$2705,A32)</f>
        <v>1901</v>
      </c>
      <c r="U32" s="3" t="n">
        <f aca="false">B32-T32</f>
        <v>2</v>
      </c>
      <c r="V32" s="3" t="str">
        <f aca="false">INDEX(Pop_Inputs!$Q$2:$Q$29,MATCH(C32,Pop_Inputs!$A$2:$A$29,0))</f>
        <v>Northeast</v>
      </c>
      <c r="W32" s="30"/>
      <c r="X32" s="3" t="str">
        <f aca="false">IF(W32="","",LN(W32))</f>
        <v/>
      </c>
      <c r="Y32" s="3" t="str">
        <f aca="false">IF(X32="","",X32-AVERAGEIFS($X$2:$X$2705,$B$2:$B$2705,B32))</f>
        <v/>
      </c>
      <c r="Z32" s="21" t="n">
        <f aca="false">P32</f>
        <v>-0.57353959164074</v>
      </c>
      <c r="AA32" s="3" t="n">
        <f aca="false">R32</f>
        <v>0</v>
      </c>
      <c r="AB32" s="21" t="n">
        <f aca="false">P32</f>
        <v>-0.57353959164074</v>
      </c>
      <c r="AC32" s="3" t="str">
        <f aca="false">Y32</f>
        <v/>
      </c>
      <c r="AD32" s="3" t="n">
        <f aca="false">R32</f>
        <v>0</v>
      </c>
    </row>
    <row r="33" customFormat="false" ht="15" hidden="false" customHeight="true" outlineLevel="0" collapsed="false">
      <c r="A33" s="7" t="s">
        <v>63</v>
      </c>
      <c r="B33" s="7" t="n">
        <v>1903</v>
      </c>
      <c r="C33" s="7" t="s">
        <v>145</v>
      </c>
      <c r="D33" s="7" t="n">
        <v>65</v>
      </c>
      <c r="E33" s="7" t="n">
        <v>74</v>
      </c>
      <c r="F33" s="3" t="n">
        <f aca="false">COUNTIFS($B$2:$B$2705,B33,$C$2:$C$2705,C33)</f>
        <v>2</v>
      </c>
      <c r="G33" s="3" t="n">
        <f aca="false">MIN(INT((MIN(B33,2020)-1900)/10)+1,12)</f>
        <v>1</v>
      </c>
      <c r="H33" s="3" t="n">
        <f aca="false">(MIN(B33,2020)-1900-10*(G33-1))/10</f>
        <v>0.3</v>
      </c>
      <c r="I33" s="20" t="n">
        <f aca="false">EXP(LN(INDEX(Pop_Inputs!$B$2:$N$29,MATCH(C33,Pop_Inputs!$A$2:$A$29,0),G33))*(1-H33)+LN(INDEX(Pop_Inputs!$B$2:$N$29,MATCH(C33,Pop_Inputs!$A$2:$A$29,0),G33+1))*H33)</f>
        <v>606716.516994293</v>
      </c>
      <c r="J33" s="20" t="n">
        <f aca="false">I33/F33</f>
        <v>303358.258497147</v>
      </c>
      <c r="K33" s="21" t="n">
        <f aca="false">D33/(D33+E33)</f>
        <v>0.467625899280576</v>
      </c>
      <c r="L33" s="21" t="n">
        <f aca="false">AVERAGEIFS($K$2:$K$2705,$B$2:$B$2705,B33)</f>
        <v>0.499525126942228</v>
      </c>
      <c r="M33" s="21" t="n">
        <f aca="false">K33-L33</f>
        <v>-0.0318992276616529</v>
      </c>
      <c r="N33" s="21" t="n">
        <f aca="false">LN(J33)</f>
        <v>12.6226697573188</v>
      </c>
      <c r="O33" s="21" t="n">
        <f aca="false">AVERAGEIFS($N$2:$N$2705,$B$2:$B$2705,B33)</f>
        <v>13.1712626913234</v>
      </c>
      <c r="P33" s="21" t="n">
        <f aca="false">N33-O33</f>
        <v>-0.548592934004578</v>
      </c>
      <c r="Q33" s="7" t="n">
        <v>0</v>
      </c>
      <c r="R33" s="3" t="n">
        <f aca="false">IF(AND(Q33=1,B33-_xlfn.MINIFS($B$2:$B$2705,$A$2:$A$2705,A33)&lt;10),1,0)</f>
        <v>0</v>
      </c>
      <c r="S33" s="7" t="n">
        <v>0</v>
      </c>
      <c r="T33" s="3" t="n">
        <f aca="false">_xlfn.MINIFS($B$2:$B$2705,$A$2:$A$2705,A33)</f>
        <v>1901</v>
      </c>
      <c r="U33" s="3" t="n">
        <f aca="false">B33-T33</f>
        <v>2</v>
      </c>
      <c r="V33" s="3" t="str">
        <f aca="false">INDEX(Pop_Inputs!$Q$2:$Q$29,MATCH(C33,Pop_Inputs!$A$2:$A$29,0))</f>
        <v>Midwest</v>
      </c>
      <c r="W33" s="30"/>
      <c r="X33" s="3" t="str">
        <f aca="false">IF(W33="","",LN(W33))</f>
        <v/>
      </c>
      <c r="Y33" s="3" t="str">
        <f aca="false">IF(X33="","",X33-AVERAGEIFS($X$2:$X$2705,$B$2:$B$2705,B33))</f>
        <v/>
      </c>
      <c r="Z33" s="21" t="n">
        <f aca="false">P33</f>
        <v>-0.548592934004578</v>
      </c>
      <c r="AA33" s="3" t="n">
        <f aca="false">R33</f>
        <v>0</v>
      </c>
      <c r="AB33" s="21" t="n">
        <f aca="false">P33</f>
        <v>-0.548592934004578</v>
      </c>
      <c r="AC33" s="3" t="str">
        <f aca="false">Y33</f>
        <v/>
      </c>
      <c r="AD33" s="3" t="n">
        <f aca="false">R33</f>
        <v>0</v>
      </c>
    </row>
    <row r="34" customFormat="false" ht="15" hidden="false" customHeight="true" outlineLevel="0" collapsed="false">
      <c r="A34" s="7" t="s">
        <v>64</v>
      </c>
      <c r="B34" s="7" t="n">
        <v>1903</v>
      </c>
      <c r="C34" s="7" t="s">
        <v>150</v>
      </c>
      <c r="D34" s="7" t="n">
        <v>91</v>
      </c>
      <c r="E34" s="7" t="n">
        <v>47</v>
      </c>
      <c r="F34" s="3" t="n">
        <f aca="false">COUNTIFS($B$2:$B$2705,B34,$C$2:$C$2705,C34)</f>
        <v>2</v>
      </c>
      <c r="G34" s="3" t="n">
        <f aca="false">MIN(INT((MIN(B34,2020)-1900)/10)+1,12)</f>
        <v>1</v>
      </c>
      <c r="H34" s="3" t="n">
        <f aca="false">(MIN(B34,2020)-1900-10*(G34-1))/10</f>
        <v>0.3</v>
      </c>
      <c r="I34" s="20" t="n">
        <f aca="false">EXP(LN(INDEX(Pop_Inputs!$B$2:$N$29,MATCH(C34,Pop_Inputs!$A$2:$A$29,0),G34))*(1-H34)+LN(INDEX(Pop_Inputs!$B$2:$N$29,MATCH(C34,Pop_Inputs!$A$2:$A$29,0),G34+1))*H34)</f>
        <v>591768.198288485</v>
      </c>
      <c r="J34" s="20" t="n">
        <f aca="false">I34/F34</f>
        <v>295884.099144243</v>
      </c>
      <c r="K34" s="21" t="n">
        <f aca="false">D34/(D34+E34)</f>
        <v>0.659420289855073</v>
      </c>
      <c r="L34" s="21" t="n">
        <f aca="false">AVERAGEIFS($K$2:$K$2705,$B$2:$B$2705,B34)</f>
        <v>0.499525126942228</v>
      </c>
      <c r="M34" s="21" t="n">
        <f aca="false">K34-L34</f>
        <v>0.159895162912844</v>
      </c>
      <c r="N34" s="21" t="n">
        <f aca="false">LN(J34)</f>
        <v>12.5977230996826</v>
      </c>
      <c r="O34" s="21" t="n">
        <f aca="false">AVERAGEIFS($N$2:$N$2705,$B$2:$B$2705,B34)</f>
        <v>13.1712626913234</v>
      </c>
      <c r="P34" s="21" t="n">
        <f aca="false">N34-O34</f>
        <v>-0.57353959164074</v>
      </c>
      <c r="Q34" s="7" t="n">
        <v>0</v>
      </c>
      <c r="R34" s="3" t="n">
        <f aca="false">IF(AND(Q34=1,B34-_xlfn.MINIFS($B$2:$B$2705,$A$2:$A$2705,A34)&lt;10),1,0)</f>
        <v>0</v>
      </c>
      <c r="S34" s="7" t="n">
        <v>0</v>
      </c>
      <c r="T34" s="3" t="n">
        <f aca="false">_xlfn.MINIFS($B$2:$B$2705,$A$2:$A$2705,A34)</f>
        <v>1901</v>
      </c>
      <c r="U34" s="3" t="n">
        <f aca="false">B34-T34</f>
        <v>2</v>
      </c>
      <c r="V34" s="3" t="str">
        <f aca="false">INDEX(Pop_Inputs!$Q$2:$Q$29,MATCH(C34,Pop_Inputs!$A$2:$A$29,0))</f>
        <v>Northeast</v>
      </c>
      <c r="W34" s="30"/>
      <c r="X34" s="3" t="str">
        <f aca="false">IF(W34="","",LN(W34))</f>
        <v/>
      </c>
      <c r="Y34" s="3" t="str">
        <f aca="false">IF(X34="","",X34-AVERAGEIFS($X$2:$X$2705,$B$2:$B$2705,B34))</f>
        <v/>
      </c>
      <c r="Z34" s="21" t="n">
        <f aca="false">P34</f>
        <v>-0.57353959164074</v>
      </c>
      <c r="AA34" s="3" t="n">
        <f aca="false">R34</f>
        <v>0</v>
      </c>
      <c r="AB34" s="21" t="n">
        <f aca="false">P34</f>
        <v>-0.57353959164074</v>
      </c>
      <c r="AC34" s="3" t="str">
        <f aca="false">Y34</f>
        <v/>
      </c>
      <c r="AD34" s="3" t="n">
        <f aca="false">R34</f>
        <v>0</v>
      </c>
    </row>
    <row r="35" customFormat="false" ht="15" hidden="false" customHeight="true" outlineLevel="0" collapsed="false">
      <c r="A35" s="7" t="s">
        <v>56</v>
      </c>
      <c r="B35" s="7" t="n">
        <v>1903</v>
      </c>
      <c r="C35" s="7" t="s">
        <v>142</v>
      </c>
      <c r="D35" s="7" t="n">
        <v>82</v>
      </c>
      <c r="E35" s="7" t="n">
        <v>56</v>
      </c>
      <c r="F35" s="3" t="n">
        <f aca="false">COUNTIFS($B$2:$B$2705,B35,$C$2:$C$2705,C35)</f>
        <v>2</v>
      </c>
      <c r="G35" s="3" t="n">
        <f aca="false">MIN(INT((MIN(B35,2020)-1900)/10)+1,12)</f>
        <v>1</v>
      </c>
      <c r="H35" s="3" t="n">
        <f aca="false">(MIN(B35,2020)-1900-10*(G35-1))/10</f>
        <v>0.3</v>
      </c>
      <c r="I35" s="20" t="n">
        <f aca="false">EXP(LN(INDEX(Pop_Inputs!$B$2:$N$29,MATCH(C35,Pop_Inputs!$A$2:$A$29,0),G35))*(1-H35)+LN(INDEX(Pop_Inputs!$B$2:$N$29,MATCH(C35,Pop_Inputs!$A$2:$A$29,0),G35+1))*H35)</f>
        <v>1831941.56124625</v>
      </c>
      <c r="J35" s="20" t="n">
        <f aca="false">I35/F35</f>
        <v>915970.780623127</v>
      </c>
      <c r="K35" s="21" t="n">
        <f aca="false">D35/(D35+E35)</f>
        <v>0.594202898550725</v>
      </c>
      <c r="L35" s="21" t="n">
        <f aca="false">AVERAGEIFS($K$2:$K$2705,$B$2:$B$2705,B35)</f>
        <v>0.499525126942228</v>
      </c>
      <c r="M35" s="21" t="n">
        <f aca="false">K35-L35</f>
        <v>0.0946777716084962</v>
      </c>
      <c r="N35" s="21" t="n">
        <f aca="false">LN(J35)</f>
        <v>13.7277397442644</v>
      </c>
      <c r="O35" s="21" t="n">
        <f aca="false">AVERAGEIFS($N$2:$N$2705,$B$2:$B$2705,B35)</f>
        <v>13.1712626913234</v>
      </c>
      <c r="P35" s="21" t="n">
        <f aca="false">N35-O35</f>
        <v>0.556477052941064</v>
      </c>
      <c r="Q35" s="7" t="n">
        <v>0</v>
      </c>
      <c r="R35" s="3" t="n">
        <f aca="false">IF(AND(Q35=1,B35-_xlfn.MINIFS($B$2:$B$2705,$A$2:$A$2705,A35)&lt;10),1,0)</f>
        <v>0</v>
      </c>
      <c r="S35" s="7" t="n">
        <v>0</v>
      </c>
      <c r="T35" s="3" t="n">
        <f aca="false">_xlfn.MINIFS($B$2:$B$2705,$A$2:$A$2705,A35)</f>
        <v>1901</v>
      </c>
      <c r="U35" s="3" t="n">
        <f aca="false">B35-T35</f>
        <v>2</v>
      </c>
      <c r="V35" s="3" t="str">
        <f aca="false">INDEX(Pop_Inputs!$Q$2:$Q$29,MATCH(C35,Pop_Inputs!$A$2:$A$29,0))</f>
        <v>Midwest</v>
      </c>
      <c r="W35" s="30"/>
      <c r="X35" s="3" t="str">
        <f aca="false">IF(W35="","",LN(W35))</f>
        <v/>
      </c>
      <c r="Y35" s="3" t="str">
        <f aca="false">IF(X35="","",X35-AVERAGEIFS($X$2:$X$2705,$B$2:$B$2705,B35))</f>
        <v/>
      </c>
      <c r="Z35" s="21" t="n">
        <f aca="false">P35</f>
        <v>0.556477052941064</v>
      </c>
      <c r="AA35" s="3" t="n">
        <f aca="false">R35</f>
        <v>0</v>
      </c>
      <c r="AB35" s="21" t="n">
        <f aca="false">P35</f>
        <v>0.556477052941064</v>
      </c>
      <c r="AC35" s="3" t="str">
        <f aca="false">Y35</f>
        <v/>
      </c>
      <c r="AD35" s="3" t="n">
        <f aca="false">R35</f>
        <v>0</v>
      </c>
    </row>
    <row r="36" customFormat="false" ht="15" hidden="false" customHeight="true" outlineLevel="0" collapsed="false">
      <c r="A36" s="7" t="s">
        <v>65</v>
      </c>
      <c r="B36" s="7" t="n">
        <v>1903</v>
      </c>
      <c r="C36" s="7" t="s">
        <v>142</v>
      </c>
      <c r="D36" s="7" t="n">
        <v>60</v>
      </c>
      <c r="E36" s="7" t="n">
        <v>77</v>
      </c>
      <c r="F36" s="3" t="n">
        <f aca="false">COUNTIFS($B$2:$B$2705,B36,$C$2:$C$2705,C36)</f>
        <v>2</v>
      </c>
      <c r="G36" s="3" t="n">
        <f aca="false">MIN(INT((MIN(B36,2020)-1900)/10)+1,12)</f>
        <v>1</v>
      </c>
      <c r="H36" s="3" t="n">
        <f aca="false">(MIN(B36,2020)-1900-10*(G36-1))/10</f>
        <v>0.3</v>
      </c>
      <c r="I36" s="20" t="n">
        <f aca="false">EXP(LN(INDEX(Pop_Inputs!$B$2:$N$29,MATCH(C36,Pop_Inputs!$A$2:$A$29,0),G36))*(1-H36)+LN(INDEX(Pop_Inputs!$B$2:$N$29,MATCH(C36,Pop_Inputs!$A$2:$A$29,0),G36+1))*H36)</f>
        <v>1831941.56124625</v>
      </c>
      <c r="J36" s="20" t="n">
        <f aca="false">I36/F36</f>
        <v>915970.780623127</v>
      </c>
      <c r="K36" s="21" t="n">
        <f aca="false">D36/(D36+E36)</f>
        <v>0.437956204379562</v>
      </c>
      <c r="L36" s="21" t="n">
        <f aca="false">AVERAGEIFS($K$2:$K$2705,$B$2:$B$2705,B36)</f>
        <v>0.499525126942228</v>
      </c>
      <c r="M36" s="21" t="n">
        <f aca="false">K36-L36</f>
        <v>-0.0615689225626663</v>
      </c>
      <c r="N36" s="21" t="n">
        <f aca="false">LN(J36)</f>
        <v>13.7277397442644</v>
      </c>
      <c r="O36" s="21" t="n">
        <f aca="false">AVERAGEIFS($N$2:$N$2705,$B$2:$B$2705,B36)</f>
        <v>13.1712626913234</v>
      </c>
      <c r="P36" s="21" t="n">
        <f aca="false">N36-O36</f>
        <v>0.556477052941064</v>
      </c>
      <c r="Q36" s="7" t="n">
        <v>0</v>
      </c>
      <c r="R36" s="3" t="n">
        <f aca="false">IF(AND(Q36=1,B36-_xlfn.MINIFS($B$2:$B$2705,$A$2:$A$2705,A36)&lt;10),1,0)</f>
        <v>0</v>
      </c>
      <c r="S36" s="7" t="n">
        <v>0</v>
      </c>
      <c r="T36" s="3" t="n">
        <f aca="false">_xlfn.MINIFS($B$2:$B$2705,$A$2:$A$2705,A36)</f>
        <v>1901</v>
      </c>
      <c r="U36" s="3" t="n">
        <f aca="false">B36-T36</f>
        <v>2</v>
      </c>
      <c r="V36" s="3" t="str">
        <f aca="false">INDEX(Pop_Inputs!$Q$2:$Q$29,MATCH(C36,Pop_Inputs!$A$2:$A$29,0))</f>
        <v>Midwest</v>
      </c>
      <c r="W36" s="30"/>
      <c r="X36" s="3" t="str">
        <f aca="false">IF(W36="","",LN(W36))</f>
        <v/>
      </c>
      <c r="Y36" s="3" t="str">
        <f aca="false">IF(X36="","",X36-AVERAGEIFS($X$2:$X$2705,$B$2:$B$2705,B36))</f>
        <v/>
      </c>
      <c r="Z36" s="21" t="n">
        <f aca="false">P36</f>
        <v>0.556477052941064</v>
      </c>
      <c r="AA36" s="3" t="n">
        <f aca="false">R36</f>
        <v>0</v>
      </c>
      <c r="AB36" s="21" t="n">
        <f aca="false">P36</f>
        <v>0.556477052941064</v>
      </c>
      <c r="AC36" s="3" t="str">
        <f aca="false">Y36</f>
        <v/>
      </c>
      <c r="AD36" s="3" t="n">
        <f aca="false">R36</f>
        <v>0</v>
      </c>
    </row>
    <row r="37" customFormat="false" ht="15" hidden="false" customHeight="true" outlineLevel="0" collapsed="false">
      <c r="A37" s="7" t="s">
        <v>57</v>
      </c>
      <c r="B37" s="7" t="n">
        <v>1903</v>
      </c>
      <c r="C37" s="7" t="s">
        <v>143</v>
      </c>
      <c r="D37" s="7" t="n">
        <v>74</v>
      </c>
      <c r="E37" s="7" t="n">
        <v>65</v>
      </c>
      <c r="F37" s="3" t="n">
        <f aca="false">COUNTIFS($B$2:$B$2705,B37,$C$2:$C$2705,C37)</f>
        <v>1</v>
      </c>
      <c r="G37" s="3" t="n">
        <f aca="false">MIN(INT((MIN(B37,2020)-1900)/10)+1,12)</f>
        <v>1</v>
      </c>
      <c r="H37" s="3" t="n">
        <f aca="false">(MIN(B37,2020)-1900-10*(G37-1))/10</f>
        <v>0.3</v>
      </c>
      <c r="I37" s="20" t="n">
        <f aca="false">EXP(LN(INDEX(Pop_Inputs!$B$2:$N$29,MATCH(C37,Pop_Inputs!$A$2:$A$29,0),G37))*(1-H37)+LN(INDEX(Pop_Inputs!$B$2:$N$29,MATCH(C37,Pop_Inputs!$A$2:$A$29,0),G37+1))*H37)</f>
        <v>336778.885444563</v>
      </c>
      <c r="J37" s="20" t="n">
        <f aca="false">I37/F37</f>
        <v>336778.885444563</v>
      </c>
      <c r="K37" s="21" t="n">
        <f aca="false">D37/(D37+E37)</f>
        <v>0.532374100719425</v>
      </c>
      <c r="L37" s="21" t="n">
        <f aca="false">AVERAGEIFS($K$2:$K$2705,$B$2:$B$2705,B37)</f>
        <v>0.499525126942228</v>
      </c>
      <c r="M37" s="21" t="n">
        <f aca="false">K37-L37</f>
        <v>0.0328489737771961</v>
      </c>
      <c r="N37" s="21" t="n">
        <f aca="false">LN(J37)</f>
        <v>12.7271818677122</v>
      </c>
      <c r="O37" s="21" t="n">
        <f aca="false">AVERAGEIFS($N$2:$N$2705,$B$2:$B$2705,B37)</f>
        <v>13.1712626913234</v>
      </c>
      <c r="P37" s="21" t="n">
        <f aca="false">N37-O37</f>
        <v>-0.444080823611182</v>
      </c>
      <c r="Q37" s="7" t="n">
        <v>0</v>
      </c>
      <c r="R37" s="3" t="n">
        <f aca="false">IF(AND(Q37=1,B37-_xlfn.MINIFS($B$2:$B$2705,$A$2:$A$2705,A37)&lt;10),1,0)</f>
        <v>0</v>
      </c>
      <c r="S37" s="7" t="n">
        <v>0</v>
      </c>
      <c r="T37" s="3" t="n">
        <f aca="false">_xlfn.MINIFS($B$2:$B$2705,$A$2:$A$2705,A37)</f>
        <v>1901</v>
      </c>
      <c r="U37" s="3" t="n">
        <f aca="false">B37-T37</f>
        <v>2</v>
      </c>
      <c r="V37" s="3" t="str">
        <f aca="false">INDEX(Pop_Inputs!$Q$2:$Q$29,MATCH(C37,Pop_Inputs!$A$2:$A$29,0))</f>
        <v>Midwest</v>
      </c>
      <c r="W37" s="30"/>
      <c r="X37" s="3" t="str">
        <f aca="false">IF(W37="","",LN(W37))</f>
        <v/>
      </c>
      <c r="Y37" s="3" t="str">
        <f aca="false">IF(X37="","",X37-AVERAGEIFS($X$2:$X$2705,$B$2:$B$2705,B37))</f>
        <v/>
      </c>
      <c r="Z37" s="21" t="n">
        <f aca="false">P37</f>
        <v>-0.444080823611182</v>
      </c>
      <c r="AA37" s="3" t="n">
        <f aca="false">R37</f>
        <v>0</v>
      </c>
      <c r="AB37" s="21" t="n">
        <f aca="false">P37</f>
        <v>-0.444080823611182</v>
      </c>
      <c r="AC37" s="3" t="str">
        <f aca="false">Y37</f>
        <v/>
      </c>
      <c r="AD37" s="3" t="n">
        <f aca="false">R37</f>
        <v>0</v>
      </c>
    </row>
    <row r="38" customFormat="false" ht="15" hidden="false" customHeight="true" outlineLevel="0" collapsed="false">
      <c r="A38" s="7" t="s">
        <v>66</v>
      </c>
      <c r="B38" s="7" t="n">
        <v>1903</v>
      </c>
      <c r="C38" s="7" t="s">
        <v>151</v>
      </c>
      <c r="D38" s="7" t="n">
        <v>77</v>
      </c>
      <c r="E38" s="7" t="n">
        <v>63</v>
      </c>
      <c r="F38" s="3" t="n">
        <f aca="false">COUNTIFS($B$2:$B$2705,B38,$C$2:$C$2705,C38)</f>
        <v>1</v>
      </c>
      <c r="G38" s="3" t="n">
        <f aca="false">MIN(INT((MIN(B38,2020)-1900)/10)+1,12)</f>
        <v>1</v>
      </c>
      <c r="H38" s="3" t="n">
        <f aca="false">(MIN(B38,2020)-1900-10*(G38-1))/10</f>
        <v>0.3</v>
      </c>
      <c r="I38" s="20" t="n">
        <f aca="false">EXP(LN(INDEX(Pop_Inputs!$B$2:$N$29,MATCH(C38,Pop_Inputs!$A$2:$A$29,0),G38))*(1-H38)+LN(INDEX(Pop_Inputs!$B$2:$N$29,MATCH(C38,Pop_Inputs!$A$2:$A$29,0),G38+1))*H38)</f>
        <v>428420.491296575</v>
      </c>
      <c r="J38" s="20" t="n">
        <f aca="false">I38/F38</f>
        <v>428420.491296575</v>
      </c>
      <c r="K38" s="21" t="n">
        <f aca="false">D38/(D38+E38)</f>
        <v>0.55</v>
      </c>
      <c r="L38" s="21" t="n">
        <f aca="false">AVERAGEIFS($K$2:$K$2705,$B$2:$B$2705,B38)</f>
        <v>0.499525126942228</v>
      </c>
      <c r="M38" s="21" t="n">
        <f aca="false">K38-L38</f>
        <v>0.0504748730577717</v>
      </c>
      <c r="N38" s="21" t="n">
        <f aca="false">LN(J38)</f>
        <v>12.96786044857</v>
      </c>
      <c r="O38" s="21" t="n">
        <f aca="false">AVERAGEIFS($N$2:$N$2705,$B$2:$B$2705,B38)</f>
        <v>13.1712626913234</v>
      </c>
      <c r="P38" s="21" t="n">
        <f aca="false">N38-O38</f>
        <v>-0.203402242753359</v>
      </c>
      <c r="Q38" s="7" t="n">
        <v>0</v>
      </c>
      <c r="R38" s="3" t="n">
        <f aca="false">IF(AND(Q38=1,B38-_xlfn.MINIFS($B$2:$B$2705,$A$2:$A$2705,A38)&lt;10),1,0)</f>
        <v>0</v>
      </c>
      <c r="S38" s="7" t="n">
        <v>0</v>
      </c>
      <c r="T38" s="3" t="n">
        <f aca="false">_xlfn.MINIFS($B$2:$B$2705,$A$2:$A$2705,A38)</f>
        <v>1901</v>
      </c>
      <c r="U38" s="3" t="n">
        <f aca="false">B38-T38</f>
        <v>2</v>
      </c>
      <c r="V38" s="3" t="str">
        <f aca="false">INDEX(Pop_Inputs!$Q$2:$Q$29,MATCH(C38,Pop_Inputs!$A$2:$A$29,0))</f>
        <v>Midwest</v>
      </c>
      <c r="W38" s="30"/>
      <c r="X38" s="3" t="str">
        <f aca="false">IF(W38="","",LN(W38))</f>
        <v/>
      </c>
      <c r="Y38" s="3" t="str">
        <f aca="false">IF(X38="","",X38-AVERAGEIFS($X$2:$X$2705,$B$2:$B$2705,B38))</f>
        <v/>
      </c>
      <c r="Z38" s="21" t="n">
        <f aca="false">P38</f>
        <v>-0.203402242753359</v>
      </c>
      <c r="AA38" s="3" t="n">
        <f aca="false">R38</f>
        <v>0</v>
      </c>
      <c r="AB38" s="21" t="n">
        <f aca="false">P38</f>
        <v>-0.203402242753359</v>
      </c>
      <c r="AC38" s="3" t="str">
        <f aca="false">Y38</f>
        <v/>
      </c>
      <c r="AD38" s="3" t="n">
        <f aca="false">R38</f>
        <v>0</v>
      </c>
    </row>
    <row r="39" customFormat="false" ht="15" hidden="false" customHeight="true" outlineLevel="0" collapsed="false">
      <c r="A39" s="7" t="s">
        <v>67</v>
      </c>
      <c r="B39" s="7" t="n">
        <v>1903</v>
      </c>
      <c r="C39" s="7" t="s">
        <v>152</v>
      </c>
      <c r="D39" s="7" t="n">
        <v>65</v>
      </c>
      <c r="E39" s="7" t="n">
        <v>71</v>
      </c>
      <c r="F39" s="3" t="n">
        <f aca="false">COUNTIFS($B$2:$B$2705,B39,$C$2:$C$2705,C39)</f>
        <v>1</v>
      </c>
      <c r="G39" s="3" t="n">
        <f aca="false">MIN(INT((MIN(B39,2020)-1900)/10)+1,12)</f>
        <v>1</v>
      </c>
      <c r="H39" s="3" t="n">
        <f aca="false">(MIN(B39,2020)-1900-10*(G39-1))/10</f>
        <v>0.3</v>
      </c>
      <c r="I39" s="20" t="n">
        <f aca="false">EXP(LN(INDEX(Pop_Inputs!$B$2:$N$29,MATCH(C39,Pop_Inputs!$A$2:$A$29,0),G39))*(1-H39)+LN(INDEX(Pop_Inputs!$B$2:$N$29,MATCH(C39,Pop_Inputs!$A$2:$A$29,0),G39+1))*H39)</f>
        <v>330820.001554416</v>
      </c>
      <c r="J39" s="20" t="n">
        <f aca="false">I39/F39</f>
        <v>330820.001554416</v>
      </c>
      <c r="K39" s="21" t="n">
        <f aca="false">D39/(D39+E39)</f>
        <v>0.477941176470588</v>
      </c>
      <c r="L39" s="21" t="n">
        <f aca="false">AVERAGEIFS($K$2:$K$2705,$B$2:$B$2705,B39)</f>
        <v>0.499525126942228</v>
      </c>
      <c r="M39" s="21" t="n">
        <f aca="false">K39-L39</f>
        <v>-0.0215839504716401</v>
      </c>
      <c r="N39" s="21" t="n">
        <f aca="false">LN(J39)</f>
        <v>12.7093297044949</v>
      </c>
      <c r="O39" s="21" t="n">
        <f aca="false">AVERAGEIFS($N$2:$N$2705,$B$2:$B$2705,B39)</f>
        <v>13.1712626913234</v>
      </c>
      <c r="P39" s="21" t="n">
        <f aca="false">N39-O39</f>
        <v>-0.461932986828487</v>
      </c>
      <c r="Q39" s="7" t="n">
        <v>0</v>
      </c>
      <c r="R39" s="3" t="n">
        <f aca="false">IF(AND(Q39=1,B39-_xlfn.MINIFS($B$2:$B$2705,$A$2:$A$2705,A39)&lt;10),1,0)</f>
        <v>0</v>
      </c>
      <c r="S39" s="7" t="n">
        <v>0</v>
      </c>
      <c r="T39" s="3" t="n">
        <f aca="false">_xlfn.MINIFS($B$2:$B$2705,$A$2:$A$2705,A39)</f>
        <v>1901</v>
      </c>
      <c r="U39" s="3" t="n">
        <f aca="false">B39-T39</f>
        <v>2</v>
      </c>
      <c r="V39" s="3" t="str">
        <f aca="false">INDEX(Pop_Inputs!$Q$2:$Q$29,MATCH(C39,Pop_Inputs!$A$2:$A$29,0))</f>
        <v>Midwest</v>
      </c>
      <c r="W39" s="30"/>
      <c r="X39" s="3" t="str">
        <f aca="false">IF(W39="","",LN(W39))</f>
        <v/>
      </c>
      <c r="Y39" s="3" t="str">
        <f aca="false">IF(X39="","",X39-AVERAGEIFS($X$2:$X$2705,$B$2:$B$2705,B39))</f>
        <v/>
      </c>
      <c r="Z39" s="21" t="n">
        <f aca="false">P39</f>
        <v>-0.461932986828487</v>
      </c>
      <c r="AA39" s="3" t="n">
        <f aca="false">R39</f>
        <v>0</v>
      </c>
      <c r="AB39" s="21" t="n">
        <f aca="false">P39</f>
        <v>-0.461932986828487</v>
      </c>
      <c r="AC39" s="3" t="str">
        <f aca="false">Y39</f>
        <v/>
      </c>
      <c r="AD39" s="3" t="n">
        <f aca="false">R39</f>
        <v>0</v>
      </c>
    </row>
    <row r="40" customFormat="false" ht="15" hidden="false" customHeight="true" outlineLevel="0" collapsed="false">
      <c r="A40" s="7" t="s">
        <v>62</v>
      </c>
      <c r="B40" s="7" t="n">
        <v>1903</v>
      </c>
      <c r="C40" s="7" t="s">
        <v>154</v>
      </c>
      <c r="D40" s="7" t="n">
        <v>70</v>
      </c>
      <c r="E40" s="7" t="n">
        <v>66</v>
      </c>
      <c r="F40" s="3" t="n">
        <f aca="false">COUNTIFS($B$2:$B$2705,B40,$C$2:$C$2705,C40)</f>
        <v>3</v>
      </c>
      <c r="G40" s="3" t="n">
        <f aca="false">MIN(INT((MIN(B40,2020)-1900)/10)+1,12)</f>
        <v>1</v>
      </c>
      <c r="H40" s="3" t="n">
        <f aca="false">(MIN(B40,2020)-1900-10*(G40-1))/10</f>
        <v>0.3</v>
      </c>
      <c r="I40" s="20" t="n">
        <f aca="false">EXP(LN(INDEX(Pop_Inputs!$B$2:$N$29,MATCH(C40,Pop_Inputs!$A$2:$A$29,0),G40))*(1-H40)+LN(INDEX(Pop_Inputs!$B$2:$N$29,MATCH(C40,Pop_Inputs!$A$2:$A$29,0),G40+1))*H40)</f>
        <v>3791524.67639128</v>
      </c>
      <c r="J40" s="20" t="n">
        <f aca="false">I40/F40</f>
        <v>1263841.55879709</v>
      </c>
      <c r="K40" s="21" t="n">
        <f aca="false">D40/(D40+E40)</f>
        <v>0.514705882352941</v>
      </c>
      <c r="L40" s="21" t="n">
        <f aca="false">AVERAGEIFS($K$2:$K$2705,$B$2:$B$2705,B40)</f>
        <v>0.499525126942228</v>
      </c>
      <c r="M40" s="21" t="n">
        <f aca="false">K40-L40</f>
        <v>0.0151807554107127</v>
      </c>
      <c r="N40" s="21" t="n">
        <f aca="false">LN(J40)</f>
        <v>14.0496664967792</v>
      </c>
      <c r="O40" s="21" t="n">
        <f aca="false">AVERAGEIFS($N$2:$N$2705,$B$2:$B$2705,B40)</f>
        <v>13.1712626913234</v>
      </c>
      <c r="P40" s="21" t="n">
        <f aca="false">N40-O40</f>
        <v>0.878403805455784</v>
      </c>
      <c r="Q40" s="7" t="n">
        <v>0</v>
      </c>
      <c r="R40" s="3" t="n">
        <f aca="false">IF(AND(Q40=1,B40-_xlfn.MINIFS($B$2:$B$2705,$A$2:$A$2705,A40)&lt;10),1,0)</f>
        <v>0</v>
      </c>
      <c r="S40" s="7" t="n">
        <v>0</v>
      </c>
      <c r="T40" s="3" t="n">
        <f aca="false">_xlfn.MINIFS($B$2:$B$2705,$A$2:$A$2705,A40)</f>
        <v>1901</v>
      </c>
      <c r="U40" s="3" t="n">
        <f aca="false">B40-T40</f>
        <v>2</v>
      </c>
      <c r="V40" s="3" t="str">
        <f aca="false">INDEX(Pop_Inputs!$Q$2:$Q$29,MATCH(C40,Pop_Inputs!$A$2:$A$29,0))</f>
        <v>Northeast</v>
      </c>
      <c r="W40" s="30"/>
      <c r="X40" s="3" t="str">
        <f aca="false">IF(W40="","",LN(W40))</f>
        <v/>
      </c>
      <c r="Y40" s="3" t="str">
        <f aca="false">IF(X40="","",X40-AVERAGEIFS($X$2:$X$2705,$B$2:$B$2705,B40))</f>
        <v/>
      </c>
      <c r="Z40" s="21" t="n">
        <f aca="false">P40</f>
        <v>0.878403805455784</v>
      </c>
      <c r="AA40" s="3" t="n">
        <f aca="false">R40</f>
        <v>0</v>
      </c>
      <c r="AB40" s="21" t="n">
        <f aca="false">P40</f>
        <v>0.878403805455784</v>
      </c>
      <c r="AC40" s="3" t="str">
        <f aca="false">Y40</f>
        <v/>
      </c>
      <c r="AD40" s="3" t="n">
        <f aca="false">R40</f>
        <v>0</v>
      </c>
    </row>
    <row r="41" customFormat="false" ht="15" hidden="false" customHeight="true" outlineLevel="0" collapsed="false">
      <c r="A41" s="7" t="s">
        <v>68</v>
      </c>
      <c r="B41" s="7" t="n">
        <v>1903</v>
      </c>
      <c r="C41" s="7" t="s">
        <v>160</v>
      </c>
      <c r="D41" s="7" t="n">
        <v>43</v>
      </c>
      <c r="E41" s="7" t="n">
        <v>94</v>
      </c>
      <c r="F41" s="3" t="n">
        <f aca="false">COUNTIFS($B$2:$B$2705,B41,$C$2:$C$2705,C41)</f>
        <v>1</v>
      </c>
      <c r="G41" s="3" t="n">
        <f aca="false">MIN(INT((MIN(B41,2020)-1900)/10)+1,12)</f>
        <v>1</v>
      </c>
      <c r="H41" s="3" t="n">
        <f aca="false">(MIN(B41,2020)-1900-10*(G41-1))/10</f>
        <v>0.3</v>
      </c>
      <c r="I41" s="20" t="n">
        <f aca="false">EXP(LN(INDEX(Pop_Inputs!$B$2:$N$29,MATCH(C41,Pop_Inputs!$A$2:$A$29,0),G41))*(1-H41)+LN(INDEX(Pop_Inputs!$B$2:$N$29,MATCH(C41,Pop_Inputs!$A$2:$A$29,0),G41+1))*H41)</f>
        <v>293488.485392238</v>
      </c>
      <c r="J41" s="20" t="n">
        <f aca="false">I41/F41</f>
        <v>293488.485392238</v>
      </c>
      <c r="K41" s="21" t="n">
        <f aca="false">D41/(D41+E41)</f>
        <v>0.313868613138686</v>
      </c>
      <c r="L41" s="21" t="n">
        <f aca="false">AVERAGEIFS($K$2:$K$2705,$B$2:$B$2705,B41)</f>
        <v>0.499525126942228</v>
      </c>
      <c r="M41" s="21" t="n">
        <f aca="false">K41-L41</f>
        <v>-0.185656513803542</v>
      </c>
      <c r="N41" s="21" t="n">
        <f aca="false">LN(J41)</f>
        <v>12.589593685427</v>
      </c>
      <c r="O41" s="21" t="n">
        <f aca="false">AVERAGEIFS($N$2:$N$2705,$B$2:$B$2705,B41)</f>
        <v>13.1712626913234</v>
      </c>
      <c r="P41" s="21" t="n">
        <f aca="false">N41-O41</f>
        <v>-0.581669005896387</v>
      </c>
      <c r="Q41" s="7" t="n">
        <v>0</v>
      </c>
      <c r="R41" s="3" t="n">
        <f aca="false">IF(AND(Q41=1,B41-_xlfn.MINIFS($B$2:$B$2705,$A$2:$A$2705,A41)&lt;10),1,0)</f>
        <v>0</v>
      </c>
      <c r="S41" s="7" t="n">
        <v>0</v>
      </c>
      <c r="T41" s="3" t="n">
        <f aca="false">_xlfn.MINIFS($B$2:$B$2705,$A$2:$A$2705,A41)</f>
        <v>1901</v>
      </c>
      <c r="U41" s="3" t="n">
        <f aca="false">B41-T41</f>
        <v>2</v>
      </c>
      <c r="V41" s="3" t="str">
        <f aca="false">INDEX(Pop_Inputs!$Q$2:$Q$29,MATCH(C41,Pop_Inputs!$A$2:$A$29,0))</f>
        <v>South</v>
      </c>
      <c r="W41" s="30"/>
      <c r="X41" s="3" t="str">
        <f aca="false">IF(W41="","",LN(W41))</f>
        <v/>
      </c>
      <c r="Y41" s="3" t="str">
        <f aca="false">IF(X41="","",X41-AVERAGEIFS($X$2:$X$2705,$B$2:$B$2705,B41))</f>
        <v/>
      </c>
      <c r="Z41" s="21" t="n">
        <f aca="false">P41</f>
        <v>-0.581669005896387</v>
      </c>
      <c r="AA41" s="3" t="n">
        <f aca="false">R41</f>
        <v>0</v>
      </c>
      <c r="AB41" s="21" t="n">
        <f aca="false">P41</f>
        <v>-0.581669005896387</v>
      </c>
      <c r="AC41" s="3" t="str">
        <f aca="false">Y41</f>
        <v/>
      </c>
      <c r="AD41" s="3" t="n">
        <f aca="false">R41</f>
        <v>0</v>
      </c>
    </row>
    <row r="42" customFormat="false" ht="15" hidden="false" customHeight="true" outlineLevel="0" collapsed="false">
      <c r="A42" s="7" t="s">
        <v>70</v>
      </c>
      <c r="B42" s="7" t="n">
        <v>1903</v>
      </c>
      <c r="C42" s="7" t="s">
        <v>154</v>
      </c>
      <c r="D42" s="7" t="n">
        <v>72</v>
      </c>
      <c r="E42" s="7" t="n">
        <v>62</v>
      </c>
      <c r="F42" s="3" t="n">
        <f aca="false">COUNTIFS($B$2:$B$2705,B42,$C$2:$C$2705,C42)</f>
        <v>3</v>
      </c>
      <c r="G42" s="3" t="n">
        <f aca="false">MIN(INT((MIN(B42,2020)-1900)/10)+1,12)</f>
        <v>1</v>
      </c>
      <c r="H42" s="3" t="n">
        <f aca="false">(MIN(B42,2020)-1900-10*(G42-1))/10</f>
        <v>0.3</v>
      </c>
      <c r="I42" s="20" t="n">
        <f aca="false">EXP(LN(INDEX(Pop_Inputs!$B$2:$N$29,MATCH(C42,Pop_Inputs!$A$2:$A$29,0),G42))*(1-H42)+LN(INDEX(Pop_Inputs!$B$2:$N$29,MATCH(C42,Pop_Inputs!$A$2:$A$29,0),G42+1))*H42)</f>
        <v>3791524.67639128</v>
      </c>
      <c r="J42" s="20" t="n">
        <f aca="false">I42/F42</f>
        <v>1263841.55879709</v>
      </c>
      <c r="K42" s="21" t="n">
        <f aca="false">D42/(D42+E42)</f>
        <v>0.537313432835821</v>
      </c>
      <c r="L42" s="21" t="n">
        <f aca="false">AVERAGEIFS($K$2:$K$2705,$B$2:$B$2705,B42)</f>
        <v>0.499525126942228</v>
      </c>
      <c r="M42" s="21" t="n">
        <f aca="false">K42-L42</f>
        <v>0.0377883058935925</v>
      </c>
      <c r="N42" s="21" t="n">
        <f aca="false">LN(J42)</f>
        <v>14.0496664967792</v>
      </c>
      <c r="O42" s="21" t="n">
        <f aca="false">AVERAGEIFS($N$2:$N$2705,$B$2:$B$2705,B42)</f>
        <v>13.1712626913234</v>
      </c>
      <c r="P42" s="21" t="n">
        <f aca="false">N42-O42</f>
        <v>0.878403805455784</v>
      </c>
      <c r="Q42" s="7" t="n">
        <v>0</v>
      </c>
      <c r="R42" s="3" t="n">
        <f aca="false">IF(AND(Q42=1,B42-_xlfn.MINIFS($B$2:$B$2705,$A$2:$A$2705,A42)&lt;10),1,0)</f>
        <v>0</v>
      </c>
      <c r="S42" s="7" t="n">
        <v>1</v>
      </c>
      <c r="T42" s="3" t="n">
        <f aca="false">_xlfn.MINIFS($B$2:$B$2705,$A$2:$A$2705,A42)</f>
        <v>1903</v>
      </c>
      <c r="U42" s="3" t="n">
        <f aca="false">B42-T42</f>
        <v>0</v>
      </c>
      <c r="V42" s="3" t="str">
        <f aca="false">INDEX(Pop_Inputs!$Q$2:$Q$29,MATCH(C42,Pop_Inputs!$A$2:$A$29,0))</f>
        <v>Northeast</v>
      </c>
      <c r="W42" s="30"/>
      <c r="X42" s="3" t="str">
        <f aca="false">IF(W42="","",LN(W42))</f>
        <v/>
      </c>
      <c r="Y42" s="3" t="str">
        <f aca="false">IF(X42="","",X42-AVERAGEIFS($X$2:$X$2705,$B$2:$B$2705,B42))</f>
        <v/>
      </c>
      <c r="Z42" s="21" t="n">
        <f aca="false">P42</f>
        <v>0.878403805455784</v>
      </c>
      <c r="AA42" s="3" t="n">
        <f aca="false">R42</f>
        <v>0</v>
      </c>
      <c r="AB42" s="21" t="n">
        <f aca="false">P42</f>
        <v>0.878403805455784</v>
      </c>
      <c r="AC42" s="3" t="str">
        <f aca="false">Y42</f>
        <v/>
      </c>
      <c r="AD42" s="3" t="n">
        <f aca="false">R42</f>
        <v>0</v>
      </c>
    </row>
    <row r="43" customFormat="false" ht="15" hidden="false" customHeight="true" outlineLevel="0" collapsed="false">
      <c r="A43" s="7" t="s">
        <v>69</v>
      </c>
      <c r="B43" s="7" t="n">
        <v>1903</v>
      </c>
      <c r="C43" s="7" t="s">
        <v>146</v>
      </c>
      <c r="D43" s="7" t="n">
        <v>75</v>
      </c>
      <c r="E43" s="7" t="n">
        <v>60</v>
      </c>
      <c r="F43" s="3" t="n">
        <f aca="false">COUNTIFS($B$2:$B$2705,B43,$C$2:$C$2705,C43)</f>
        <v>2</v>
      </c>
      <c r="G43" s="3" t="n">
        <f aca="false">MIN(INT((MIN(B43,2020)-1900)/10)+1,12)</f>
        <v>1</v>
      </c>
      <c r="H43" s="3" t="n">
        <f aca="false">(MIN(B43,2020)-1900-10*(G43-1))/10</f>
        <v>0.3</v>
      </c>
      <c r="I43" s="20" t="n">
        <f aca="false">EXP(LN(INDEX(Pop_Inputs!$B$2:$N$29,MATCH(C43,Pop_Inputs!$A$2:$A$29,0),G43))*(1-H43)+LN(INDEX(Pop_Inputs!$B$2:$N$29,MATCH(C43,Pop_Inputs!$A$2:$A$29,0),G43+1))*H43)</f>
        <v>1365522.61776629</v>
      </c>
      <c r="J43" s="20" t="n">
        <f aca="false">I43/F43</f>
        <v>682761.308883143</v>
      </c>
      <c r="K43" s="21" t="n">
        <f aca="false">D43/(D43+E43)</f>
        <v>0.555555555555556</v>
      </c>
      <c r="L43" s="21" t="n">
        <f aca="false">AVERAGEIFS($K$2:$K$2705,$B$2:$B$2705,B43)</f>
        <v>0.499525126942228</v>
      </c>
      <c r="M43" s="21" t="n">
        <f aca="false">K43-L43</f>
        <v>0.0560304286133272</v>
      </c>
      <c r="N43" s="21" t="n">
        <f aca="false">LN(J43)</f>
        <v>13.4339006029236</v>
      </c>
      <c r="O43" s="21" t="n">
        <f aca="false">AVERAGEIFS($N$2:$N$2705,$B$2:$B$2705,B43)</f>
        <v>13.1712626913234</v>
      </c>
      <c r="P43" s="21" t="n">
        <f aca="false">N43-O43</f>
        <v>0.262637911600253</v>
      </c>
      <c r="Q43" s="7" t="n">
        <v>0</v>
      </c>
      <c r="R43" s="3" t="n">
        <f aca="false">IF(AND(Q43=1,B43-_xlfn.MINIFS($B$2:$B$2705,$A$2:$A$2705,A43)&lt;10),1,0)</f>
        <v>0</v>
      </c>
      <c r="S43" s="7" t="n">
        <v>0</v>
      </c>
      <c r="T43" s="3" t="n">
        <f aca="false">_xlfn.MINIFS($B$2:$B$2705,$A$2:$A$2705,A43)</f>
        <v>1901</v>
      </c>
      <c r="U43" s="3" t="n">
        <f aca="false">B43-T43</f>
        <v>2</v>
      </c>
      <c r="V43" s="3" t="str">
        <f aca="false">INDEX(Pop_Inputs!$Q$2:$Q$29,MATCH(C43,Pop_Inputs!$A$2:$A$29,0))</f>
        <v>Northeast</v>
      </c>
      <c r="W43" s="30"/>
      <c r="X43" s="3" t="str">
        <f aca="false">IF(W43="","",LN(W43))</f>
        <v/>
      </c>
      <c r="Y43" s="3" t="str">
        <f aca="false">IF(X43="","",X43-AVERAGEIFS($X$2:$X$2705,$B$2:$B$2705,B43))</f>
        <v/>
      </c>
      <c r="Z43" s="21" t="n">
        <f aca="false">P43</f>
        <v>0.262637911600253</v>
      </c>
      <c r="AA43" s="3" t="n">
        <f aca="false">R43</f>
        <v>0</v>
      </c>
      <c r="AB43" s="21" t="n">
        <f aca="false">P43</f>
        <v>0.262637911600253</v>
      </c>
      <c r="AC43" s="3" t="str">
        <f aca="false">Y43</f>
        <v/>
      </c>
      <c r="AD43" s="3" t="n">
        <f aca="false">R43</f>
        <v>0</v>
      </c>
    </row>
    <row r="44" customFormat="false" ht="15" hidden="false" customHeight="true" outlineLevel="0" collapsed="false">
      <c r="A44" s="7" t="s">
        <v>60</v>
      </c>
      <c r="B44" s="7" t="n">
        <v>1903</v>
      </c>
      <c r="C44" s="7" t="s">
        <v>146</v>
      </c>
      <c r="D44" s="7" t="n">
        <v>49</v>
      </c>
      <c r="E44" s="7" t="n">
        <v>86</v>
      </c>
      <c r="F44" s="3" t="n">
        <f aca="false">COUNTIFS($B$2:$B$2705,B44,$C$2:$C$2705,C44)</f>
        <v>2</v>
      </c>
      <c r="G44" s="3" t="n">
        <f aca="false">MIN(INT((MIN(B44,2020)-1900)/10)+1,12)</f>
        <v>1</v>
      </c>
      <c r="H44" s="3" t="n">
        <f aca="false">(MIN(B44,2020)-1900-10*(G44-1))/10</f>
        <v>0.3</v>
      </c>
      <c r="I44" s="20" t="n">
        <f aca="false">EXP(LN(INDEX(Pop_Inputs!$B$2:$N$29,MATCH(C44,Pop_Inputs!$A$2:$A$29,0),G44))*(1-H44)+LN(INDEX(Pop_Inputs!$B$2:$N$29,MATCH(C44,Pop_Inputs!$A$2:$A$29,0),G44+1))*H44)</f>
        <v>1365522.61776629</v>
      </c>
      <c r="J44" s="20" t="n">
        <f aca="false">I44/F44</f>
        <v>682761.308883143</v>
      </c>
      <c r="K44" s="21" t="n">
        <f aca="false">D44/(D44+E44)</f>
        <v>0.362962962962963</v>
      </c>
      <c r="L44" s="21" t="n">
        <f aca="false">AVERAGEIFS($K$2:$K$2705,$B$2:$B$2705,B44)</f>
        <v>0.499525126942228</v>
      </c>
      <c r="M44" s="21" t="n">
        <f aca="false">K44-L44</f>
        <v>-0.136562163979265</v>
      </c>
      <c r="N44" s="21" t="n">
        <f aca="false">LN(J44)</f>
        <v>13.4339006029236</v>
      </c>
      <c r="O44" s="21" t="n">
        <f aca="false">AVERAGEIFS($N$2:$N$2705,$B$2:$B$2705,B44)</f>
        <v>13.1712626913234</v>
      </c>
      <c r="P44" s="21" t="n">
        <f aca="false">N44-O44</f>
        <v>0.262637911600253</v>
      </c>
      <c r="Q44" s="7" t="n">
        <v>0</v>
      </c>
      <c r="R44" s="3" t="n">
        <f aca="false">IF(AND(Q44=1,B44-_xlfn.MINIFS($B$2:$B$2705,$A$2:$A$2705,A44)&lt;10),1,0)</f>
        <v>0</v>
      </c>
      <c r="S44" s="7" t="n">
        <v>0</v>
      </c>
      <c r="T44" s="3" t="n">
        <f aca="false">_xlfn.MINIFS($B$2:$B$2705,$A$2:$A$2705,A44)</f>
        <v>1901</v>
      </c>
      <c r="U44" s="3" t="n">
        <f aca="false">B44-T44</f>
        <v>2</v>
      </c>
      <c r="V44" s="3" t="str">
        <f aca="false">INDEX(Pop_Inputs!$Q$2:$Q$29,MATCH(C44,Pop_Inputs!$A$2:$A$29,0))</f>
        <v>Northeast</v>
      </c>
      <c r="W44" s="30"/>
      <c r="X44" s="3" t="str">
        <f aca="false">IF(W44="","",LN(W44))</f>
        <v/>
      </c>
      <c r="Y44" s="3" t="str">
        <f aca="false">IF(X44="","",X44-AVERAGEIFS($X$2:$X$2705,$B$2:$B$2705,B44))</f>
        <v/>
      </c>
      <c r="Z44" s="21" t="n">
        <f aca="false">P44</f>
        <v>0.262637911600253</v>
      </c>
      <c r="AA44" s="3" t="n">
        <f aca="false">R44</f>
        <v>0</v>
      </c>
      <c r="AB44" s="21" t="n">
        <f aca="false">P44</f>
        <v>0.262637911600253</v>
      </c>
      <c r="AC44" s="3" t="str">
        <f aca="false">Y44</f>
        <v/>
      </c>
      <c r="AD44" s="3" t="n">
        <f aca="false">R44</f>
        <v>0</v>
      </c>
    </row>
    <row r="45" customFormat="false" ht="15" hidden="false" customHeight="true" outlineLevel="0" collapsed="false">
      <c r="A45" s="7" t="s">
        <v>58</v>
      </c>
      <c r="B45" s="7" t="n">
        <v>1903</v>
      </c>
      <c r="C45" s="7" t="s">
        <v>144</v>
      </c>
      <c r="D45" s="7" t="n">
        <v>91</v>
      </c>
      <c r="E45" s="7" t="n">
        <v>49</v>
      </c>
      <c r="F45" s="3" t="n">
        <f aca="false">COUNTIFS($B$2:$B$2705,B45,$C$2:$C$2705,C45)</f>
        <v>1</v>
      </c>
      <c r="G45" s="3" t="n">
        <f aca="false">MIN(INT((MIN(B45,2020)-1900)/10)+1,12)</f>
        <v>1</v>
      </c>
      <c r="H45" s="3" t="n">
        <f aca="false">(MIN(B45,2020)-1900-10*(G45-1))/10</f>
        <v>0.3</v>
      </c>
      <c r="I45" s="20" t="n">
        <f aca="false">EXP(LN(INDEX(Pop_Inputs!$B$2:$N$29,MATCH(C45,Pop_Inputs!$A$2:$A$29,0),G45))*(1-H45)+LN(INDEX(Pop_Inputs!$B$2:$N$29,MATCH(C45,Pop_Inputs!$A$2:$A$29,0),G45+1))*H45)</f>
        <v>374434.233955877</v>
      </c>
      <c r="J45" s="20" t="n">
        <f aca="false">I45/F45</f>
        <v>374434.233955877</v>
      </c>
      <c r="K45" s="21" t="n">
        <f aca="false">D45/(D45+E45)</f>
        <v>0.65</v>
      </c>
      <c r="L45" s="21" t="n">
        <f aca="false">AVERAGEIFS($K$2:$K$2705,$B$2:$B$2705,B45)</f>
        <v>0.499525126942228</v>
      </c>
      <c r="M45" s="21" t="n">
        <f aca="false">K45-L45</f>
        <v>0.150474873057772</v>
      </c>
      <c r="N45" s="21" t="n">
        <f aca="false">LN(J45)</f>
        <v>12.8331714562534</v>
      </c>
      <c r="O45" s="21" t="n">
        <f aca="false">AVERAGEIFS($N$2:$N$2705,$B$2:$B$2705,B45)</f>
        <v>13.1712626913234</v>
      </c>
      <c r="P45" s="21" t="n">
        <f aca="false">N45-O45</f>
        <v>-0.338091235069932</v>
      </c>
      <c r="Q45" s="7" t="n">
        <v>0</v>
      </c>
      <c r="R45" s="3" t="n">
        <f aca="false">IF(AND(Q45=1,B45-_xlfn.MINIFS($B$2:$B$2705,$A$2:$A$2705,A45)&lt;10),1,0)</f>
        <v>0</v>
      </c>
      <c r="S45" s="7" t="n">
        <v>0</v>
      </c>
      <c r="T45" s="3" t="n">
        <f aca="false">_xlfn.MINIFS($B$2:$B$2705,$A$2:$A$2705,A45)</f>
        <v>1901</v>
      </c>
      <c r="U45" s="3" t="n">
        <f aca="false">B45-T45</f>
        <v>2</v>
      </c>
      <c r="V45" s="3" t="str">
        <f aca="false">INDEX(Pop_Inputs!$Q$2:$Q$29,MATCH(C45,Pop_Inputs!$A$2:$A$29,0))</f>
        <v>Northeast</v>
      </c>
      <c r="W45" s="30"/>
      <c r="X45" s="3" t="str">
        <f aca="false">IF(W45="","",LN(W45))</f>
        <v/>
      </c>
      <c r="Y45" s="3" t="str">
        <f aca="false">IF(X45="","",X45-AVERAGEIFS($X$2:$X$2705,$B$2:$B$2705,B45))</f>
        <v/>
      </c>
      <c r="Z45" s="21" t="n">
        <f aca="false">P45</f>
        <v>-0.338091235069932</v>
      </c>
      <c r="AA45" s="3" t="n">
        <f aca="false">R45</f>
        <v>0</v>
      </c>
      <c r="AB45" s="21" t="n">
        <f aca="false">P45</f>
        <v>-0.338091235069932</v>
      </c>
      <c r="AC45" s="3" t="str">
        <f aca="false">Y45</f>
        <v/>
      </c>
      <c r="AD45" s="3" t="n">
        <f aca="false">R45</f>
        <v>0</v>
      </c>
    </row>
    <row r="46" customFormat="false" ht="15" hidden="false" customHeight="true" outlineLevel="0" collapsed="false">
      <c r="A46" s="7" t="s">
        <v>61</v>
      </c>
      <c r="B46" s="7" t="n">
        <v>1903</v>
      </c>
      <c r="C46" s="7" t="s">
        <v>154</v>
      </c>
      <c r="D46" s="7" t="n">
        <v>84</v>
      </c>
      <c r="E46" s="7" t="n">
        <v>55</v>
      </c>
      <c r="F46" s="3" t="n">
        <f aca="false">COUNTIFS($B$2:$B$2705,B46,$C$2:$C$2705,C46)</f>
        <v>3</v>
      </c>
      <c r="G46" s="3" t="n">
        <f aca="false">MIN(INT((MIN(B46,2020)-1900)/10)+1,12)</f>
        <v>1</v>
      </c>
      <c r="H46" s="3" t="n">
        <f aca="false">(MIN(B46,2020)-1900-10*(G46-1))/10</f>
        <v>0.3</v>
      </c>
      <c r="I46" s="20" t="n">
        <f aca="false">EXP(LN(INDEX(Pop_Inputs!$B$2:$N$29,MATCH(C46,Pop_Inputs!$A$2:$A$29,0),G46))*(1-H46)+LN(INDEX(Pop_Inputs!$B$2:$N$29,MATCH(C46,Pop_Inputs!$A$2:$A$29,0),G46+1))*H46)</f>
        <v>3791524.67639128</v>
      </c>
      <c r="J46" s="20" t="n">
        <f aca="false">I46/F46</f>
        <v>1263841.55879709</v>
      </c>
      <c r="K46" s="21" t="n">
        <f aca="false">D46/(D46+E46)</f>
        <v>0.60431654676259</v>
      </c>
      <c r="L46" s="21" t="n">
        <f aca="false">AVERAGEIFS($K$2:$K$2705,$B$2:$B$2705,B46)</f>
        <v>0.499525126942228</v>
      </c>
      <c r="M46" s="21" t="n">
        <f aca="false">K46-L46</f>
        <v>0.104791419820362</v>
      </c>
      <c r="N46" s="21" t="n">
        <f aca="false">LN(J46)</f>
        <v>14.0496664967792</v>
      </c>
      <c r="O46" s="21" t="n">
        <f aca="false">AVERAGEIFS($N$2:$N$2705,$B$2:$B$2705,B46)</f>
        <v>13.1712626913234</v>
      </c>
      <c r="P46" s="21" t="n">
        <f aca="false">N46-O46</f>
        <v>0.878403805455784</v>
      </c>
      <c r="Q46" s="7" t="n">
        <v>0</v>
      </c>
      <c r="R46" s="3" t="n">
        <f aca="false">IF(AND(Q46=1,B46-_xlfn.MINIFS($B$2:$B$2705,$A$2:$A$2705,A46)&lt;10),1,0)</f>
        <v>0</v>
      </c>
      <c r="S46" s="7" t="n">
        <v>0</v>
      </c>
      <c r="T46" s="3" t="n">
        <f aca="false">_xlfn.MINIFS($B$2:$B$2705,$A$2:$A$2705,A46)</f>
        <v>1901</v>
      </c>
      <c r="U46" s="3" t="n">
        <f aca="false">B46-T46</f>
        <v>2</v>
      </c>
      <c r="V46" s="3" t="str">
        <f aca="false">INDEX(Pop_Inputs!$Q$2:$Q$29,MATCH(C46,Pop_Inputs!$A$2:$A$29,0))</f>
        <v>Northeast</v>
      </c>
      <c r="W46" s="30"/>
      <c r="X46" s="3" t="str">
        <f aca="false">IF(W46="","",LN(W46))</f>
        <v/>
      </c>
      <c r="Y46" s="3" t="str">
        <f aca="false">IF(X46="","",X46-AVERAGEIFS($X$2:$X$2705,$B$2:$B$2705,B46))</f>
        <v/>
      </c>
      <c r="Z46" s="21" t="n">
        <f aca="false">P46</f>
        <v>0.878403805455784</v>
      </c>
      <c r="AA46" s="3" t="n">
        <f aca="false">R46</f>
        <v>0</v>
      </c>
      <c r="AB46" s="21" t="n">
        <f aca="false">P46</f>
        <v>0.878403805455784</v>
      </c>
      <c r="AC46" s="3" t="str">
        <f aca="false">Y46</f>
        <v/>
      </c>
      <c r="AD46" s="3" t="n">
        <f aca="false">R46</f>
        <v>0</v>
      </c>
    </row>
    <row r="47" customFormat="false" ht="15" hidden="false" customHeight="true" outlineLevel="0" collapsed="false">
      <c r="A47" s="7" t="s">
        <v>59</v>
      </c>
      <c r="B47" s="7" t="n">
        <v>1903</v>
      </c>
      <c r="C47" s="7" t="s">
        <v>145</v>
      </c>
      <c r="D47" s="7" t="n">
        <v>43</v>
      </c>
      <c r="E47" s="7" t="n">
        <v>94</v>
      </c>
      <c r="F47" s="3" t="n">
        <f aca="false">COUNTIFS($B$2:$B$2705,B47,$C$2:$C$2705,C47)</f>
        <v>2</v>
      </c>
      <c r="G47" s="3" t="n">
        <f aca="false">MIN(INT((MIN(B47,2020)-1900)/10)+1,12)</f>
        <v>1</v>
      </c>
      <c r="H47" s="3" t="n">
        <f aca="false">(MIN(B47,2020)-1900-10*(G47-1))/10</f>
        <v>0.3</v>
      </c>
      <c r="I47" s="20" t="n">
        <f aca="false">EXP(LN(INDEX(Pop_Inputs!$B$2:$N$29,MATCH(C47,Pop_Inputs!$A$2:$A$29,0),G47))*(1-H47)+LN(INDEX(Pop_Inputs!$B$2:$N$29,MATCH(C47,Pop_Inputs!$A$2:$A$29,0),G47+1))*H47)</f>
        <v>606716.516994293</v>
      </c>
      <c r="J47" s="20" t="n">
        <f aca="false">I47/F47</f>
        <v>303358.258497147</v>
      </c>
      <c r="K47" s="21" t="n">
        <f aca="false">D47/(D47+E47)</f>
        <v>0.313868613138686</v>
      </c>
      <c r="L47" s="21" t="n">
        <f aca="false">AVERAGEIFS($K$2:$K$2705,$B$2:$B$2705,B47)</f>
        <v>0.499525126942228</v>
      </c>
      <c r="M47" s="21" t="n">
        <f aca="false">K47-L47</f>
        <v>-0.185656513803542</v>
      </c>
      <c r="N47" s="21" t="n">
        <f aca="false">LN(J47)</f>
        <v>12.6226697573188</v>
      </c>
      <c r="O47" s="21" t="n">
        <f aca="false">AVERAGEIFS($N$2:$N$2705,$B$2:$B$2705,B47)</f>
        <v>13.1712626913234</v>
      </c>
      <c r="P47" s="21" t="n">
        <f aca="false">N47-O47</f>
        <v>-0.548592934004578</v>
      </c>
      <c r="Q47" s="7" t="n">
        <v>0</v>
      </c>
      <c r="R47" s="3" t="n">
        <f aca="false">IF(AND(Q47=1,B47-_xlfn.MINIFS($B$2:$B$2705,$A$2:$A$2705,A47)&lt;10),1,0)</f>
        <v>0</v>
      </c>
      <c r="S47" s="7" t="n">
        <v>0</v>
      </c>
      <c r="T47" s="3" t="n">
        <f aca="false">_xlfn.MINIFS($B$2:$B$2705,$A$2:$A$2705,A47)</f>
        <v>1901</v>
      </c>
      <c r="U47" s="3" t="n">
        <f aca="false">B47-T47</f>
        <v>2</v>
      </c>
      <c r="V47" s="3" t="str">
        <f aca="false">INDEX(Pop_Inputs!$Q$2:$Q$29,MATCH(C47,Pop_Inputs!$A$2:$A$29,0))</f>
        <v>Midwest</v>
      </c>
      <c r="W47" s="30"/>
      <c r="X47" s="3" t="str">
        <f aca="false">IF(W47="","",LN(W47))</f>
        <v/>
      </c>
      <c r="Y47" s="3" t="str">
        <f aca="false">IF(X47="","",X47-AVERAGEIFS($X$2:$X$2705,$B$2:$B$2705,B47))</f>
        <v/>
      </c>
      <c r="Z47" s="21" t="n">
        <f aca="false">P47</f>
        <v>-0.548592934004578</v>
      </c>
      <c r="AA47" s="3" t="n">
        <f aca="false">R47</f>
        <v>0</v>
      </c>
      <c r="AB47" s="21" t="n">
        <f aca="false">P47</f>
        <v>-0.548592934004578</v>
      </c>
      <c r="AC47" s="3" t="str">
        <f aca="false">Y47</f>
        <v/>
      </c>
      <c r="AD47" s="3" t="n">
        <f aca="false">R47</f>
        <v>0</v>
      </c>
    </row>
    <row r="48" customFormat="false" ht="15" hidden="false" customHeight="true" outlineLevel="0" collapsed="false">
      <c r="A48" s="7" t="s">
        <v>54</v>
      </c>
      <c r="B48" s="7" t="n">
        <v>1904</v>
      </c>
      <c r="C48" s="7" t="s">
        <v>150</v>
      </c>
      <c r="D48" s="7" t="n">
        <v>55</v>
      </c>
      <c r="E48" s="7" t="n">
        <v>98</v>
      </c>
      <c r="F48" s="3" t="n">
        <f aca="false">COUNTIFS($B$2:$B$2705,B48,$C$2:$C$2705,C48)</f>
        <v>2</v>
      </c>
      <c r="G48" s="3" t="n">
        <f aca="false">MIN(INT((MIN(B48,2020)-1900)/10)+1,12)</f>
        <v>1</v>
      </c>
      <c r="H48" s="3" t="n">
        <f aca="false">(MIN(B48,2020)-1900-10*(G48-1))/10</f>
        <v>0.4</v>
      </c>
      <c r="I48" s="20" t="n">
        <f aca="false">EXP(LN(INDEX(Pop_Inputs!$B$2:$N$29,MATCH(C48,Pop_Inputs!$A$2:$A$29,0),G48))*(1-H48)+LN(INDEX(Pop_Inputs!$B$2:$N$29,MATCH(C48,Pop_Inputs!$A$2:$A$29,0),G48+1))*H48)</f>
        <v>602433.454603314</v>
      </c>
      <c r="J48" s="20" t="n">
        <f aca="false">I48/F48</f>
        <v>301216.727301657</v>
      </c>
      <c r="K48" s="21" t="n">
        <f aca="false">D48/(D48+E48)</f>
        <v>0.359477124183007</v>
      </c>
      <c r="L48" s="21" t="n">
        <f aca="false">AVERAGEIFS($K$2:$K$2705,$B$2:$B$2705,B48)</f>
        <v>0.499766988656686</v>
      </c>
      <c r="M48" s="21" t="n">
        <f aca="false">K48-L48</f>
        <v>-0.140289864473679</v>
      </c>
      <c r="N48" s="21" t="n">
        <f aca="false">LN(J48)</f>
        <v>12.6155853088959</v>
      </c>
      <c r="O48" s="21" t="n">
        <f aca="false">AVERAGEIFS($N$2:$N$2705,$B$2:$B$2705,B48)</f>
        <v>13.1976321889037</v>
      </c>
      <c r="P48" s="21" t="n">
        <f aca="false">N48-O48</f>
        <v>-0.582046880007768</v>
      </c>
      <c r="Q48" s="7" t="n">
        <v>0</v>
      </c>
      <c r="R48" s="3" t="n">
        <f aca="false">IF(AND(Q48=1,B48-_xlfn.MINIFS($B$2:$B$2705,$A$2:$A$2705,A48)&lt;10),1,0)</f>
        <v>0</v>
      </c>
      <c r="S48" s="7" t="n">
        <v>0</v>
      </c>
      <c r="T48" s="3" t="n">
        <f aca="false">_xlfn.MINIFS($B$2:$B$2705,$A$2:$A$2705,A48)</f>
        <v>1901</v>
      </c>
      <c r="U48" s="3" t="n">
        <f aca="false">B48-T48</f>
        <v>3</v>
      </c>
      <c r="V48" s="3" t="str">
        <f aca="false">INDEX(Pop_Inputs!$Q$2:$Q$29,MATCH(C48,Pop_Inputs!$A$2:$A$29,0))</f>
        <v>Northeast</v>
      </c>
      <c r="W48" s="30"/>
      <c r="X48" s="3" t="str">
        <f aca="false">IF(W48="","",LN(W48))</f>
        <v/>
      </c>
      <c r="Y48" s="3" t="str">
        <f aca="false">IF(X48="","",X48-AVERAGEIFS($X$2:$X$2705,$B$2:$B$2705,B48))</f>
        <v/>
      </c>
      <c r="Z48" s="21" t="n">
        <f aca="false">P48</f>
        <v>-0.582046880007768</v>
      </c>
      <c r="AA48" s="3" t="n">
        <f aca="false">R48</f>
        <v>0</v>
      </c>
      <c r="AB48" s="21" t="n">
        <f aca="false">P48</f>
        <v>-0.582046880007768</v>
      </c>
      <c r="AC48" s="3" t="str">
        <f aca="false">Y48</f>
        <v/>
      </c>
      <c r="AD48" s="3" t="n">
        <f aca="false">R48</f>
        <v>0</v>
      </c>
    </row>
    <row r="49" customFormat="false" ht="15" hidden="false" customHeight="true" outlineLevel="0" collapsed="false">
      <c r="A49" s="7" t="s">
        <v>63</v>
      </c>
      <c r="B49" s="7" t="n">
        <v>1904</v>
      </c>
      <c r="C49" s="7" t="s">
        <v>145</v>
      </c>
      <c r="D49" s="7" t="n">
        <v>65</v>
      </c>
      <c r="E49" s="7" t="n">
        <v>87</v>
      </c>
      <c r="F49" s="3" t="n">
        <f aca="false">COUNTIFS($B$2:$B$2705,B49,$C$2:$C$2705,C49)</f>
        <v>2</v>
      </c>
      <c r="G49" s="3" t="n">
        <f aca="false">MIN(INT((MIN(B49,2020)-1900)/10)+1,12)</f>
        <v>1</v>
      </c>
      <c r="H49" s="3" t="n">
        <f aca="false">(MIN(B49,2020)-1900-10*(G49-1))/10</f>
        <v>0.4</v>
      </c>
      <c r="I49" s="20" t="n">
        <f aca="false">EXP(LN(INDEX(Pop_Inputs!$B$2:$N$29,MATCH(C49,Pop_Inputs!$A$2:$A$29,0),G49))*(1-H49)+LN(INDEX(Pop_Inputs!$B$2:$N$29,MATCH(C49,Pop_Inputs!$A$2:$A$29,0),G49+1))*H49)</f>
        <v>617587.601032929</v>
      </c>
      <c r="J49" s="20" t="n">
        <f aca="false">I49/F49</f>
        <v>308793.800516464</v>
      </c>
      <c r="K49" s="21" t="n">
        <f aca="false">D49/(D49+E49)</f>
        <v>0.427631578947368</v>
      </c>
      <c r="L49" s="21" t="n">
        <f aca="false">AVERAGEIFS($K$2:$K$2705,$B$2:$B$2705,B49)</f>
        <v>0.499766988656686</v>
      </c>
      <c r="M49" s="21" t="n">
        <f aca="false">K49-L49</f>
        <v>-0.0721354097093171</v>
      </c>
      <c r="N49" s="21" t="n">
        <f aca="false">LN(J49)</f>
        <v>12.6404290208835</v>
      </c>
      <c r="O49" s="21" t="n">
        <f aca="false">AVERAGEIFS($N$2:$N$2705,$B$2:$B$2705,B49)</f>
        <v>13.1976321889037</v>
      </c>
      <c r="P49" s="21" t="n">
        <f aca="false">N49-O49</f>
        <v>-0.557203168020159</v>
      </c>
      <c r="Q49" s="7" t="n">
        <v>0</v>
      </c>
      <c r="R49" s="3" t="n">
        <f aca="false">IF(AND(Q49=1,B49-_xlfn.MINIFS($B$2:$B$2705,$A$2:$A$2705,A49)&lt;10),1,0)</f>
        <v>0</v>
      </c>
      <c r="S49" s="7" t="n">
        <v>0</v>
      </c>
      <c r="T49" s="3" t="n">
        <f aca="false">_xlfn.MINIFS($B$2:$B$2705,$A$2:$A$2705,A49)</f>
        <v>1901</v>
      </c>
      <c r="U49" s="3" t="n">
        <f aca="false">B49-T49</f>
        <v>3</v>
      </c>
      <c r="V49" s="3" t="str">
        <f aca="false">INDEX(Pop_Inputs!$Q$2:$Q$29,MATCH(C49,Pop_Inputs!$A$2:$A$29,0))</f>
        <v>Midwest</v>
      </c>
      <c r="W49" s="30"/>
      <c r="X49" s="3" t="str">
        <f aca="false">IF(W49="","",LN(W49))</f>
        <v/>
      </c>
      <c r="Y49" s="3" t="str">
        <f aca="false">IF(X49="","",X49-AVERAGEIFS($X$2:$X$2705,$B$2:$B$2705,B49))</f>
        <v/>
      </c>
      <c r="Z49" s="21" t="n">
        <f aca="false">P49</f>
        <v>-0.557203168020159</v>
      </c>
      <c r="AA49" s="3" t="n">
        <f aca="false">R49</f>
        <v>0</v>
      </c>
      <c r="AB49" s="21" t="n">
        <f aca="false">P49</f>
        <v>-0.557203168020159</v>
      </c>
      <c r="AC49" s="3" t="str">
        <f aca="false">Y49</f>
        <v/>
      </c>
      <c r="AD49" s="3" t="n">
        <f aca="false">R49</f>
        <v>0</v>
      </c>
    </row>
    <row r="50" customFormat="false" ht="15" hidden="false" customHeight="true" outlineLevel="0" collapsed="false">
      <c r="A50" s="7" t="s">
        <v>64</v>
      </c>
      <c r="B50" s="7" t="n">
        <v>1904</v>
      </c>
      <c r="C50" s="7" t="s">
        <v>150</v>
      </c>
      <c r="D50" s="7" t="n">
        <v>95</v>
      </c>
      <c r="E50" s="7" t="n">
        <v>59</v>
      </c>
      <c r="F50" s="3" t="n">
        <f aca="false">COUNTIFS($B$2:$B$2705,B50,$C$2:$C$2705,C50)</f>
        <v>2</v>
      </c>
      <c r="G50" s="3" t="n">
        <f aca="false">MIN(INT((MIN(B50,2020)-1900)/10)+1,12)</f>
        <v>1</v>
      </c>
      <c r="H50" s="3" t="n">
        <f aca="false">(MIN(B50,2020)-1900-10*(G50-1))/10</f>
        <v>0.4</v>
      </c>
      <c r="I50" s="20" t="n">
        <f aca="false">EXP(LN(INDEX(Pop_Inputs!$B$2:$N$29,MATCH(C50,Pop_Inputs!$A$2:$A$29,0),G50))*(1-H50)+LN(INDEX(Pop_Inputs!$B$2:$N$29,MATCH(C50,Pop_Inputs!$A$2:$A$29,0),G50+1))*H50)</f>
        <v>602433.454603314</v>
      </c>
      <c r="J50" s="20" t="n">
        <f aca="false">I50/F50</f>
        <v>301216.727301657</v>
      </c>
      <c r="K50" s="21" t="n">
        <f aca="false">D50/(D50+E50)</f>
        <v>0.616883116883117</v>
      </c>
      <c r="L50" s="21" t="n">
        <f aca="false">AVERAGEIFS($K$2:$K$2705,$B$2:$B$2705,B50)</f>
        <v>0.499766988656686</v>
      </c>
      <c r="M50" s="21" t="n">
        <f aca="false">K50-L50</f>
        <v>0.117116128226431</v>
      </c>
      <c r="N50" s="21" t="n">
        <f aca="false">LN(J50)</f>
        <v>12.6155853088959</v>
      </c>
      <c r="O50" s="21" t="n">
        <f aca="false">AVERAGEIFS($N$2:$N$2705,$B$2:$B$2705,B50)</f>
        <v>13.1976321889037</v>
      </c>
      <c r="P50" s="21" t="n">
        <f aca="false">N50-O50</f>
        <v>-0.582046880007768</v>
      </c>
      <c r="Q50" s="7" t="n">
        <v>0</v>
      </c>
      <c r="R50" s="3" t="n">
        <f aca="false">IF(AND(Q50=1,B50-_xlfn.MINIFS($B$2:$B$2705,$A$2:$A$2705,A50)&lt;10),1,0)</f>
        <v>0</v>
      </c>
      <c r="S50" s="7" t="n">
        <v>0</v>
      </c>
      <c r="T50" s="3" t="n">
        <f aca="false">_xlfn.MINIFS($B$2:$B$2705,$A$2:$A$2705,A50)</f>
        <v>1901</v>
      </c>
      <c r="U50" s="3" t="n">
        <f aca="false">B50-T50</f>
        <v>3</v>
      </c>
      <c r="V50" s="3" t="str">
        <f aca="false">INDEX(Pop_Inputs!$Q$2:$Q$29,MATCH(C50,Pop_Inputs!$A$2:$A$29,0))</f>
        <v>Northeast</v>
      </c>
      <c r="W50" s="30"/>
      <c r="X50" s="3" t="str">
        <f aca="false">IF(W50="","",LN(W50))</f>
        <v/>
      </c>
      <c r="Y50" s="3" t="str">
        <f aca="false">IF(X50="","",X50-AVERAGEIFS($X$2:$X$2705,$B$2:$B$2705,B50))</f>
        <v/>
      </c>
      <c r="Z50" s="21" t="n">
        <f aca="false">P50</f>
        <v>-0.582046880007768</v>
      </c>
      <c r="AA50" s="3" t="n">
        <f aca="false">R50</f>
        <v>0</v>
      </c>
      <c r="AB50" s="21" t="n">
        <f aca="false">P50</f>
        <v>-0.582046880007768</v>
      </c>
      <c r="AC50" s="3" t="str">
        <f aca="false">Y50</f>
        <v/>
      </c>
      <c r="AD50" s="3" t="n">
        <f aca="false">R50</f>
        <v>0</v>
      </c>
    </row>
    <row r="51" customFormat="false" ht="15" hidden="false" customHeight="true" outlineLevel="0" collapsed="false">
      <c r="A51" s="7" t="s">
        <v>56</v>
      </c>
      <c r="B51" s="7" t="n">
        <v>1904</v>
      </c>
      <c r="C51" s="7" t="s">
        <v>142</v>
      </c>
      <c r="D51" s="7" t="n">
        <v>93</v>
      </c>
      <c r="E51" s="7" t="n">
        <v>60</v>
      </c>
      <c r="F51" s="3" t="n">
        <f aca="false">COUNTIFS($B$2:$B$2705,B51,$C$2:$C$2705,C51)</f>
        <v>2</v>
      </c>
      <c r="G51" s="3" t="n">
        <f aca="false">MIN(INT((MIN(B51,2020)-1900)/10)+1,12)</f>
        <v>1</v>
      </c>
      <c r="H51" s="3" t="n">
        <f aca="false">(MIN(B51,2020)-1900-10*(G51-1))/10</f>
        <v>0.4</v>
      </c>
      <c r="I51" s="20" t="n">
        <f aca="false">EXP(LN(INDEX(Pop_Inputs!$B$2:$N$29,MATCH(C51,Pop_Inputs!$A$2:$A$29,0),G51))*(1-H51)+LN(INDEX(Pop_Inputs!$B$2:$N$29,MATCH(C51,Pop_Inputs!$A$2:$A$29,0),G51+1))*H51)</f>
        <v>1878684.75648711</v>
      </c>
      <c r="J51" s="20" t="n">
        <f aca="false">I51/F51</f>
        <v>939342.378243557</v>
      </c>
      <c r="K51" s="21" t="n">
        <f aca="false">D51/(D51+E51)</f>
        <v>0.607843137254902</v>
      </c>
      <c r="L51" s="21" t="n">
        <f aca="false">AVERAGEIFS($K$2:$K$2705,$B$2:$B$2705,B51)</f>
        <v>0.499766988656686</v>
      </c>
      <c r="M51" s="21" t="n">
        <f aca="false">K51-L51</f>
        <v>0.108076148598216</v>
      </c>
      <c r="N51" s="21" t="n">
        <f aca="false">LN(J51)</f>
        <v>13.7529353118003</v>
      </c>
      <c r="O51" s="21" t="n">
        <f aca="false">AVERAGEIFS($N$2:$N$2705,$B$2:$B$2705,B51)</f>
        <v>13.1976321889037</v>
      </c>
      <c r="P51" s="21" t="n">
        <f aca="false">N51-O51</f>
        <v>0.555303122896671</v>
      </c>
      <c r="Q51" s="7" t="n">
        <v>0</v>
      </c>
      <c r="R51" s="3" t="n">
        <f aca="false">IF(AND(Q51=1,B51-_xlfn.MINIFS($B$2:$B$2705,$A$2:$A$2705,A51)&lt;10),1,0)</f>
        <v>0</v>
      </c>
      <c r="S51" s="7" t="n">
        <v>0</v>
      </c>
      <c r="T51" s="3" t="n">
        <f aca="false">_xlfn.MINIFS($B$2:$B$2705,$A$2:$A$2705,A51)</f>
        <v>1901</v>
      </c>
      <c r="U51" s="3" t="n">
        <f aca="false">B51-T51</f>
        <v>3</v>
      </c>
      <c r="V51" s="3" t="str">
        <f aca="false">INDEX(Pop_Inputs!$Q$2:$Q$29,MATCH(C51,Pop_Inputs!$A$2:$A$29,0))</f>
        <v>Midwest</v>
      </c>
      <c r="W51" s="30"/>
      <c r="X51" s="3" t="str">
        <f aca="false">IF(W51="","",LN(W51))</f>
        <v/>
      </c>
      <c r="Y51" s="3" t="str">
        <f aca="false">IF(X51="","",X51-AVERAGEIFS($X$2:$X$2705,$B$2:$B$2705,B51))</f>
        <v/>
      </c>
      <c r="Z51" s="21" t="n">
        <f aca="false">P51</f>
        <v>0.555303122896671</v>
      </c>
      <c r="AA51" s="3" t="n">
        <f aca="false">R51</f>
        <v>0</v>
      </c>
      <c r="AB51" s="21" t="n">
        <f aca="false">P51</f>
        <v>0.555303122896671</v>
      </c>
      <c r="AC51" s="3" t="str">
        <f aca="false">Y51</f>
        <v/>
      </c>
      <c r="AD51" s="3" t="n">
        <f aca="false">R51</f>
        <v>0</v>
      </c>
    </row>
    <row r="52" customFormat="false" ht="15" hidden="false" customHeight="true" outlineLevel="0" collapsed="false">
      <c r="A52" s="7" t="s">
        <v>65</v>
      </c>
      <c r="B52" s="7" t="n">
        <v>1904</v>
      </c>
      <c r="C52" s="7" t="s">
        <v>142</v>
      </c>
      <c r="D52" s="7" t="n">
        <v>89</v>
      </c>
      <c r="E52" s="7" t="n">
        <v>65</v>
      </c>
      <c r="F52" s="3" t="n">
        <f aca="false">COUNTIFS($B$2:$B$2705,B52,$C$2:$C$2705,C52)</f>
        <v>2</v>
      </c>
      <c r="G52" s="3" t="n">
        <f aca="false">MIN(INT((MIN(B52,2020)-1900)/10)+1,12)</f>
        <v>1</v>
      </c>
      <c r="H52" s="3" t="n">
        <f aca="false">(MIN(B52,2020)-1900-10*(G52-1))/10</f>
        <v>0.4</v>
      </c>
      <c r="I52" s="20" t="n">
        <f aca="false">EXP(LN(INDEX(Pop_Inputs!$B$2:$N$29,MATCH(C52,Pop_Inputs!$A$2:$A$29,0),G52))*(1-H52)+LN(INDEX(Pop_Inputs!$B$2:$N$29,MATCH(C52,Pop_Inputs!$A$2:$A$29,0),G52+1))*H52)</f>
        <v>1878684.75648711</v>
      </c>
      <c r="J52" s="20" t="n">
        <f aca="false">I52/F52</f>
        <v>939342.378243557</v>
      </c>
      <c r="K52" s="21" t="n">
        <f aca="false">D52/(D52+E52)</f>
        <v>0.577922077922078</v>
      </c>
      <c r="L52" s="21" t="n">
        <f aca="false">AVERAGEIFS($K$2:$K$2705,$B$2:$B$2705,B52)</f>
        <v>0.499766988656686</v>
      </c>
      <c r="M52" s="21" t="n">
        <f aca="false">K52-L52</f>
        <v>0.0781550892653924</v>
      </c>
      <c r="N52" s="21" t="n">
        <f aca="false">LN(J52)</f>
        <v>13.7529353118003</v>
      </c>
      <c r="O52" s="21" t="n">
        <f aca="false">AVERAGEIFS($N$2:$N$2705,$B$2:$B$2705,B52)</f>
        <v>13.1976321889037</v>
      </c>
      <c r="P52" s="21" t="n">
        <f aca="false">N52-O52</f>
        <v>0.555303122896671</v>
      </c>
      <c r="Q52" s="7" t="n">
        <v>0</v>
      </c>
      <c r="R52" s="3" t="n">
        <f aca="false">IF(AND(Q52=1,B52-_xlfn.MINIFS($B$2:$B$2705,$A$2:$A$2705,A52)&lt;10),1,0)</f>
        <v>0</v>
      </c>
      <c r="S52" s="7" t="n">
        <v>0</v>
      </c>
      <c r="T52" s="3" t="n">
        <f aca="false">_xlfn.MINIFS($B$2:$B$2705,$A$2:$A$2705,A52)</f>
        <v>1901</v>
      </c>
      <c r="U52" s="3" t="n">
        <f aca="false">B52-T52</f>
        <v>3</v>
      </c>
      <c r="V52" s="3" t="str">
        <f aca="false">INDEX(Pop_Inputs!$Q$2:$Q$29,MATCH(C52,Pop_Inputs!$A$2:$A$29,0))</f>
        <v>Midwest</v>
      </c>
      <c r="W52" s="30"/>
      <c r="X52" s="3" t="str">
        <f aca="false">IF(W52="","",LN(W52))</f>
        <v/>
      </c>
      <c r="Y52" s="3" t="str">
        <f aca="false">IF(X52="","",X52-AVERAGEIFS($X$2:$X$2705,$B$2:$B$2705,B52))</f>
        <v/>
      </c>
      <c r="Z52" s="21" t="n">
        <f aca="false">P52</f>
        <v>0.555303122896671</v>
      </c>
      <c r="AA52" s="3" t="n">
        <f aca="false">R52</f>
        <v>0</v>
      </c>
      <c r="AB52" s="21" t="n">
        <f aca="false">P52</f>
        <v>0.555303122896671</v>
      </c>
      <c r="AC52" s="3" t="str">
        <f aca="false">Y52</f>
        <v/>
      </c>
      <c r="AD52" s="3" t="n">
        <f aca="false">R52</f>
        <v>0</v>
      </c>
    </row>
    <row r="53" customFormat="false" ht="15" hidden="false" customHeight="true" outlineLevel="0" collapsed="false">
      <c r="A53" s="7" t="s">
        <v>57</v>
      </c>
      <c r="B53" s="7" t="n">
        <v>1904</v>
      </c>
      <c r="C53" s="7" t="s">
        <v>143</v>
      </c>
      <c r="D53" s="7" t="n">
        <v>88</v>
      </c>
      <c r="E53" s="7" t="n">
        <v>65</v>
      </c>
      <c r="F53" s="3" t="n">
        <f aca="false">COUNTIFS($B$2:$B$2705,B53,$C$2:$C$2705,C53)</f>
        <v>1</v>
      </c>
      <c r="G53" s="3" t="n">
        <f aca="false">MIN(INT((MIN(B53,2020)-1900)/10)+1,12)</f>
        <v>1</v>
      </c>
      <c r="H53" s="3" t="n">
        <f aca="false">(MIN(B53,2020)-1900-10*(G53-1))/10</f>
        <v>0.4</v>
      </c>
      <c r="I53" s="20" t="n">
        <f aca="false">EXP(LN(INDEX(Pop_Inputs!$B$2:$N$29,MATCH(C53,Pop_Inputs!$A$2:$A$29,0),G53))*(1-H53)+LN(INDEX(Pop_Inputs!$B$2:$N$29,MATCH(C53,Pop_Inputs!$A$2:$A$29,0),G53+1))*H53)</f>
        <v>340484.593344981</v>
      </c>
      <c r="J53" s="20" t="n">
        <f aca="false">I53/F53</f>
        <v>340484.593344981</v>
      </c>
      <c r="K53" s="21" t="n">
        <f aca="false">D53/(D53+E53)</f>
        <v>0.57516339869281</v>
      </c>
      <c r="L53" s="21" t="n">
        <f aca="false">AVERAGEIFS($K$2:$K$2705,$B$2:$B$2705,B53)</f>
        <v>0.499766988656686</v>
      </c>
      <c r="M53" s="21" t="n">
        <f aca="false">K53-L53</f>
        <v>0.0753964100361249</v>
      </c>
      <c r="N53" s="21" t="n">
        <f aca="false">LN(J53)</f>
        <v>12.7381251563967</v>
      </c>
      <c r="O53" s="21" t="n">
        <f aca="false">AVERAGEIFS($N$2:$N$2705,$B$2:$B$2705,B53)</f>
        <v>13.1976321889037</v>
      </c>
      <c r="P53" s="21" t="n">
        <f aca="false">N53-O53</f>
        <v>-0.459507032506956</v>
      </c>
      <c r="Q53" s="7" t="n">
        <v>0</v>
      </c>
      <c r="R53" s="3" t="n">
        <f aca="false">IF(AND(Q53=1,B53-_xlfn.MINIFS($B$2:$B$2705,$A$2:$A$2705,A53)&lt;10),1,0)</f>
        <v>0</v>
      </c>
      <c r="S53" s="7" t="n">
        <v>0</v>
      </c>
      <c r="T53" s="3" t="n">
        <f aca="false">_xlfn.MINIFS($B$2:$B$2705,$A$2:$A$2705,A53)</f>
        <v>1901</v>
      </c>
      <c r="U53" s="3" t="n">
        <f aca="false">B53-T53</f>
        <v>3</v>
      </c>
      <c r="V53" s="3" t="str">
        <f aca="false">INDEX(Pop_Inputs!$Q$2:$Q$29,MATCH(C53,Pop_Inputs!$A$2:$A$29,0))</f>
        <v>Midwest</v>
      </c>
      <c r="W53" s="30"/>
      <c r="X53" s="3" t="str">
        <f aca="false">IF(W53="","",LN(W53))</f>
        <v/>
      </c>
      <c r="Y53" s="3" t="str">
        <f aca="false">IF(X53="","",X53-AVERAGEIFS($X$2:$X$2705,$B$2:$B$2705,B53))</f>
        <v/>
      </c>
      <c r="Z53" s="21" t="n">
        <f aca="false">P53</f>
        <v>-0.459507032506956</v>
      </c>
      <c r="AA53" s="3" t="n">
        <f aca="false">R53</f>
        <v>0</v>
      </c>
      <c r="AB53" s="21" t="n">
        <f aca="false">P53</f>
        <v>-0.459507032506956</v>
      </c>
      <c r="AC53" s="3" t="str">
        <f aca="false">Y53</f>
        <v/>
      </c>
      <c r="AD53" s="3" t="n">
        <f aca="false">R53</f>
        <v>0</v>
      </c>
    </row>
    <row r="54" customFormat="false" ht="15" hidden="false" customHeight="true" outlineLevel="0" collapsed="false">
      <c r="A54" s="7" t="s">
        <v>66</v>
      </c>
      <c r="B54" s="7" t="n">
        <v>1904</v>
      </c>
      <c r="C54" s="7" t="s">
        <v>151</v>
      </c>
      <c r="D54" s="7" t="n">
        <v>86</v>
      </c>
      <c r="E54" s="7" t="n">
        <v>65</v>
      </c>
      <c r="F54" s="3" t="n">
        <f aca="false">COUNTIFS($B$2:$B$2705,B54,$C$2:$C$2705,C54)</f>
        <v>1</v>
      </c>
      <c r="G54" s="3" t="n">
        <f aca="false">MIN(INT((MIN(B54,2020)-1900)/10)+1,12)</f>
        <v>1</v>
      </c>
      <c r="H54" s="3" t="n">
        <f aca="false">(MIN(B54,2020)-1900-10*(G54-1))/10</f>
        <v>0.4</v>
      </c>
      <c r="I54" s="20" t="n">
        <f aca="false">EXP(LN(INDEX(Pop_Inputs!$B$2:$N$29,MATCH(C54,Pop_Inputs!$A$2:$A$29,0),G54))*(1-H54)+LN(INDEX(Pop_Inputs!$B$2:$N$29,MATCH(C54,Pop_Inputs!$A$2:$A$29,0),G54+1))*H54)</f>
        <v>445205.450154424</v>
      </c>
      <c r="J54" s="20" t="n">
        <f aca="false">I54/F54</f>
        <v>445205.450154424</v>
      </c>
      <c r="K54" s="21" t="n">
        <f aca="false">D54/(D54+E54)</f>
        <v>0.56953642384106</v>
      </c>
      <c r="L54" s="21" t="n">
        <f aca="false">AVERAGEIFS($K$2:$K$2705,$B$2:$B$2705,B54)</f>
        <v>0.499766988656686</v>
      </c>
      <c r="M54" s="21" t="n">
        <f aca="false">K54-L54</f>
        <v>0.0697694351843741</v>
      </c>
      <c r="N54" s="21" t="n">
        <f aca="false">LN(J54)</f>
        <v>13.0062911403446</v>
      </c>
      <c r="O54" s="21" t="n">
        <f aca="false">AVERAGEIFS($N$2:$N$2705,$B$2:$B$2705,B54)</f>
        <v>13.1976321889037</v>
      </c>
      <c r="P54" s="21" t="n">
        <f aca="false">N54-O54</f>
        <v>-0.191341048559085</v>
      </c>
      <c r="Q54" s="7" t="n">
        <v>0</v>
      </c>
      <c r="R54" s="3" t="n">
        <f aca="false">IF(AND(Q54=1,B54-_xlfn.MINIFS($B$2:$B$2705,$A$2:$A$2705,A54)&lt;10),1,0)</f>
        <v>0</v>
      </c>
      <c r="S54" s="7" t="n">
        <v>0</v>
      </c>
      <c r="T54" s="3" t="n">
        <f aca="false">_xlfn.MINIFS($B$2:$B$2705,$A$2:$A$2705,A54)</f>
        <v>1901</v>
      </c>
      <c r="U54" s="3" t="n">
        <f aca="false">B54-T54</f>
        <v>3</v>
      </c>
      <c r="V54" s="3" t="str">
        <f aca="false">INDEX(Pop_Inputs!$Q$2:$Q$29,MATCH(C54,Pop_Inputs!$A$2:$A$29,0))</f>
        <v>Midwest</v>
      </c>
      <c r="W54" s="30"/>
      <c r="X54" s="3" t="str">
        <f aca="false">IF(W54="","",LN(W54))</f>
        <v/>
      </c>
      <c r="Y54" s="3" t="str">
        <f aca="false">IF(X54="","",X54-AVERAGEIFS($X$2:$X$2705,$B$2:$B$2705,B54))</f>
        <v/>
      </c>
      <c r="Z54" s="21" t="n">
        <f aca="false">P54</f>
        <v>-0.191341048559085</v>
      </c>
      <c r="AA54" s="3" t="n">
        <f aca="false">R54</f>
        <v>0</v>
      </c>
      <c r="AB54" s="21" t="n">
        <f aca="false">P54</f>
        <v>-0.191341048559085</v>
      </c>
      <c r="AC54" s="3" t="str">
        <f aca="false">Y54</f>
        <v/>
      </c>
      <c r="AD54" s="3" t="n">
        <f aca="false">R54</f>
        <v>0</v>
      </c>
    </row>
    <row r="55" customFormat="false" ht="15" hidden="false" customHeight="true" outlineLevel="0" collapsed="false">
      <c r="A55" s="7" t="s">
        <v>67</v>
      </c>
      <c r="B55" s="7" t="n">
        <v>1904</v>
      </c>
      <c r="C55" s="7" t="s">
        <v>152</v>
      </c>
      <c r="D55" s="7" t="n">
        <v>62</v>
      </c>
      <c r="E55" s="7" t="n">
        <v>90</v>
      </c>
      <c r="F55" s="3" t="n">
        <f aca="false">COUNTIFS($B$2:$B$2705,B55,$C$2:$C$2705,C55)</f>
        <v>1</v>
      </c>
      <c r="G55" s="3" t="n">
        <f aca="false">MIN(INT((MIN(B55,2020)-1900)/10)+1,12)</f>
        <v>1</v>
      </c>
      <c r="H55" s="3" t="n">
        <f aca="false">(MIN(B55,2020)-1900-10*(G55-1))/10</f>
        <v>0.4</v>
      </c>
      <c r="I55" s="20" t="n">
        <f aca="false">EXP(LN(INDEX(Pop_Inputs!$B$2:$N$29,MATCH(C55,Pop_Inputs!$A$2:$A$29,0),G55))*(1-H55)+LN(INDEX(Pop_Inputs!$B$2:$N$29,MATCH(C55,Pop_Inputs!$A$2:$A$29,0),G55+1))*H55)</f>
        <v>347389.674359081</v>
      </c>
      <c r="J55" s="20" t="n">
        <f aca="false">I55/F55</f>
        <v>347389.674359081</v>
      </c>
      <c r="K55" s="21" t="n">
        <f aca="false">D55/(D55+E55)</f>
        <v>0.407894736842105</v>
      </c>
      <c r="L55" s="21" t="n">
        <f aca="false">AVERAGEIFS($K$2:$K$2705,$B$2:$B$2705,B55)</f>
        <v>0.499766988656686</v>
      </c>
      <c r="M55" s="21" t="n">
        <f aca="false">K55-L55</f>
        <v>-0.0918722518145803</v>
      </c>
      <c r="N55" s="21" t="n">
        <f aca="false">LN(J55)</f>
        <v>12.7582024097196</v>
      </c>
      <c r="O55" s="21" t="n">
        <f aca="false">AVERAGEIFS($N$2:$N$2705,$B$2:$B$2705,B55)</f>
        <v>13.1976321889037</v>
      </c>
      <c r="P55" s="21" t="n">
        <f aca="false">N55-O55</f>
        <v>-0.439429779184117</v>
      </c>
      <c r="Q55" s="7" t="n">
        <v>0</v>
      </c>
      <c r="R55" s="3" t="n">
        <f aca="false">IF(AND(Q55=1,B55-_xlfn.MINIFS($B$2:$B$2705,$A$2:$A$2705,A55)&lt;10),1,0)</f>
        <v>0</v>
      </c>
      <c r="S55" s="7" t="n">
        <v>0</v>
      </c>
      <c r="T55" s="3" t="n">
        <f aca="false">_xlfn.MINIFS($B$2:$B$2705,$A$2:$A$2705,A55)</f>
        <v>1901</v>
      </c>
      <c r="U55" s="3" t="n">
        <f aca="false">B55-T55</f>
        <v>3</v>
      </c>
      <c r="V55" s="3" t="str">
        <f aca="false">INDEX(Pop_Inputs!$Q$2:$Q$29,MATCH(C55,Pop_Inputs!$A$2:$A$29,0))</f>
        <v>Midwest</v>
      </c>
      <c r="W55" s="30"/>
      <c r="X55" s="3" t="str">
        <f aca="false">IF(W55="","",LN(W55))</f>
        <v/>
      </c>
      <c r="Y55" s="3" t="str">
        <f aca="false">IF(X55="","",X55-AVERAGEIFS($X$2:$X$2705,$B$2:$B$2705,B55))</f>
        <v/>
      </c>
      <c r="Z55" s="21" t="n">
        <f aca="false">P55</f>
        <v>-0.439429779184117</v>
      </c>
      <c r="AA55" s="3" t="n">
        <f aca="false">R55</f>
        <v>0</v>
      </c>
      <c r="AB55" s="21" t="n">
        <f aca="false">P55</f>
        <v>-0.439429779184117</v>
      </c>
      <c r="AC55" s="3" t="str">
        <f aca="false">Y55</f>
        <v/>
      </c>
      <c r="AD55" s="3" t="n">
        <f aca="false">R55</f>
        <v>0</v>
      </c>
    </row>
    <row r="56" customFormat="false" ht="15" hidden="false" customHeight="true" outlineLevel="0" collapsed="false">
      <c r="A56" s="7" t="s">
        <v>62</v>
      </c>
      <c r="B56" s="7" t="n">
        <v>1904</v>
      </c>
      <c r="C56" s="7" t="s">
        <v>154</v>
      </c>
      <c r="D56" s="7" t="n">
        <v>56</v>
      </c>
      <c r="E56" s="7" t="n">
        <v>97</v>
      </c>
      <c r="F56" s="3" t="n">
        <f aca="false">COUNTIFS($B$2:$B$2705,B56,$C$2:$C$2705,C56)</f>
        <v>3</v>
      </c>
      <c r="G56" s="3" t="n">
        <f aca="false">MIN(INT((MIN(B56,2020)-1900)/10)+1,12)</f>
        <v>1</v>
      </c>
      <c r="H56" s="3" t="n">
        <f aca="false">(MIN(B56,2020)-1900-10*(G56-1))/10</f>
        <v>0.4</v>
      </c>
      <c r="I56" s="20" t="n">
        <f aca="false">EXP(LN(INDEX(Pop_Inputs!$B$2:$N$29,MATCH(C56,Pop_Inputs!$A$2:$A$29,0),G56))*(1-H56)+LN(INDEX(Pop_Inputs!$B$2:$N$29,MATCH(C56,Pop_Inputs!$A$2:$A$29,0),G56+1))*H56)</f>
        <v>3917570.58858259</v>
      </c>
      <c r="J56" s="20" t="n">
        <f aca="false">I56/F56</f>
        <v>1305856.86286086</v>
      </c>
      <c r="K56" s="21" t="n">
        <f aca="false">D56/(D56+E56)</f>
        <v>0.366013071895425</v>
      </c>
      <c r="L56" s="21" t="n">
        <f aca="false">AVERAGEIFS($K$2:$K$2705,$B$2:$B$2705,B56)</f>
        <v>0.499766988656686</v>
      </c>
      <c r="M56" s="21" t="n">
        <f aca="false">K56-L56</f>
        <v>-0.133753916761261</v>
      </c>
      <c r="N56" s="21" t="n">
        <f aca="false">LN(J56)</f>
        <v>14.0823699831649</v>
      </c>
      <c r="O56" s="21" t="n">
        <f aca="false">AVERAGEIFS($N$2:$N$2705,$B$2:$B$2705,B56)</f>
        <v>13.1976321889037</v>
      </c>
      <c r="P56" s="21" t="n">
        <f aca="false">N56-O56</f>
        <v>0.884737794261243</v>
      </c>
      <c r="Q56" s="7" t="n">
        <v>0</v>
      </c>
      <c r="R56" s="3" t="n">
        <f aca="false">IF(AND(Q56=1,B56-_xlfn.MINIFS($B$2:$B$2705,$A$2:$A$2705,A56)&lt;10),1,0)</f>
        <v>0</v>
      </c>
      <c r="S56" s="7" t="n">
        <v>0</v>
      </c>
      <c r="T56" s="3" t="n">
        <f aca="false">_xlfn.MINIFS($B$2:$B$2705,$A$2:$A$2705,A56)</f>
        <v>1901</v>
      </c>
      <c r="U56" s="3" t="n">
        <f aca="false">B56-T56</f>
        <v>3</v>
      </c>
      <c r="V56" s="3" t="str">
        <f aca="false">INDEX(Pop_Inputs!$Q$2:$Q$29,MATCH(C56,Pop_Inputs!$A$2:$A$29,0))</f>
        <v>Northeast</v>
      </c>
      <c r="W56" s="30"/>
      <c r="X56" s="3" t="str">
        <f aca="false">IF(W56="","",LN(W56))</f>
        <v/>
      </c>
      <c r="Y56" s="3" t="str">
        <f aca="false">IF(X56="","",X56-AVERAGEIFS($X$2:$X$2705,$B$2:$B$2705,B56))</f>
        <v/>
      </c>
      <c r="Z56" s="21" t="n">
        <f aca="false">P56</f>
        <v>0.884737794261243</v>
      </c>
      <c r="AA56" s="3" t="n">
        <f aca="false">R56</f>
        <v>0</v>
      </c>
      <c r="AB56" s="21" t="n">
        <f aca="false">P56</f>
        <v>0.884737794261243</v>
      </c>
      <c r="AC56" s="3" t="str">
        <f aca="false">Y56</f>
        <v/>
      </c>
      <c r="AD56" s="3" t="n">
        <f aca="false">R56</f>
        <v>0</v>
      </c>
    </row>
    <row r="57" customFormat="false" ht="15" hidden="false" customHeight="true" outlineLevel="0" collapsed="false">
      <c r="A57" s="7" t="s">
        <v>68</v>
      </c>
      <c r="B57" s="7" t="n">
        <v>1904</v>
      </c>
      <c r="C57" s="7" t="s">
        <v>160</v>
      </c>
      <c r="D57" s="7" t="n">
        <v>38</v>
      </c>
      <c r="E57" s="7" t="n">
        <v>113</v>
      </c>
      <c r="F57" s="3" t="n">
        <f aca="false">COUNTIFS($B$2:$B$2705,B57,$C$2:$C$2705,C57)</f>
        <v>1</v>
      </c>
      <c r="G57" s="3" t="n">
        <f aca="false">MIN(INT((MIN(B57,2020)-1900)/10)+1,12)</f>
        <v>1</v>
      </c>
      <c r="H57" s="3" t="n">
        <f aca="false">(MIN(B57,2020)-1900-10*(G57-1))/10</f>
        <v>0.4</v>
      </c>
      <c r="I57" s="20" t="n">
        <f aca="false">EXP(LN(INDEX(Pop_Inputs!$B$2:$N$29,MATCH(C57,Pop_Inputs!$A$2:$A$29,0),G57))*(1-H57)+LN(INDEX(Pop_Inputs!$B$2:$N$29,MATCH(C57,Pop_Inputs!$A$2:$A$29,0),G57+1))*H57)</f>
        <v>298583.921070353</v>
      </c>
      <c r="J57" s="20" t="n">
        <f aca="false">I57/F57</f>
        <v>298583.921070353</v>
      </c>
      <c r="K57" s="21" t="n">
        <f aca="false">D57/(D57+E57)</f>
        <v>0.251655629139073</v>
      </c>
      <c r="L57" s="21" t="n">
        <f aca="false">AVERAGEIFS($K$2:$K$2705,$B$2:$B$2705,B57)</f>
        <v>0.499766988656686</v>
      </c>
      <c r="M57" s="21" t="n">
        <f aca="false">K57-L57</f>
        <v>-0.248111359517613</v>
      </c>
      <c r="N57" s="21" t="n">
        <f aca="false">LN(J57)</f>
        <v>12.6068063149159</v>
      </c>
      <c r="O57" s="21" t="n">
        <f aca="false">AVERAGEIFS($N$2:$N$2705,$B$2:$B$2705,B57)</f>
        <v>13.1976321889037</v>
      </c>
      <c r="P57" s="21" t="n">
        <f aca="false">N57-O57</f>
        <v>-0.590825873987811</v>
      </c>
      <c r="Q57" s="7" t="n">
        <v>0</v>
      </c>
      <c r="R57" s="3" t="n">
        <f aca="false">IF(AND(Q57=1,B57-_xlfn.MINIFS($B$2:$B$2705,$A$2:$A$2705,A57)&lt;10),1,0)</f>
        <v>0</v>
      </c>
      <c r="S57" s="7" t="n">
        <v>0</v>
      </c>
      <c r="T57" s="3" t="n">
        <f aca="false">_xlfn.MINIFS($B$2:$B$2705,$A$2:$A$2705,A57)</f>
        <v>1901</v>
      </c>
      <c r="U57" s="3" t="n">
        <f aca="false">B57-T57</f>
        <v>3</v>
      </c>
      <c r="V57" s="3" t="str">
        <f aca="false">INDEX(Pop_Inputs!$Q$2:$Q$29,MATCH(C57,Pop_Inputs!$A$2:$A$29,0))</f>
        <v>South</v>
      </c>
      <c r="W57" s="30"/>
      <c r="X57" s="3" t="str">
        <f aca="false">IF(W57="","",LN(W57))</f>
        <v/>
      </c>
      <c r="Y57" s="3" t="str">
        <f aca="false">IF(X57="","",X57-AVERAGEIFS($X$2:$X$2705,$B$2:$B$2705,B57))</f>
        <v/>
      </c>
      <c r="Z57" s="21" t="n">
        <f aca="false">P57</f>
        <v>-0.590825873987811</v>
      </c>
      <c r="AA57" s="3" t="n">
        <f aca="false">R57</f>
        <v>0</v>
      </c>
      <c r="AB57" s="21" t="n">
        <f aca="false">P57</f>
        <v>-0.590825873987811</v>
      </c>
      <c r="AC57" s="3" t="str">
        <f aca="false">Y57</f>
        <v/>
      </c>
      <c r="AD57" s="3" t="n">
        <f aca="false">R57</f>
        <v>0</v>
      </c>
    </row>
    <row r="58" customFormat="false" ht="15" hidden="false" customHeight="true" outlineLevel="0" collapsed="false">
      <c r="A58" s="7" t="s">
        <v>70</v>
      </c>
      <c r="B58" s="7" t="n">
        <v>1904</v>
      </c>
      <c r="C58" s="7" t="s">
        <v>154</v>
      </c>
      <c r="D58" s="7" t="n">
        <v>92</v>
      </c>
      <c r="E58" s="7" t="n">
        <v>59</v>
      </c>
      <c r="F58" s="3" t="n">
        <f aca="false">COUNTIFS($B$2:$B$2705,B58,$C$2:$C$2705,C58)</f>
        <v>3</v>
      </c>
      <c r="G58" s="3" t="n">
        <f aca="false">MIN(INT((MIN(B58,2020)-1900)/10)+1,12)</f>
        <v>1</v>
      </c>
      <c r="H58" s="3" t="n">
        <f aca="false">(MIN(B58,2020)-1900-10*(G58-1))/10</f>
        <v>0.4</v>
      </c>
      <c r="I58" s="20" t="n">
        <f aca="false">EXP(LN(INDEX(Pop_Inputs!$B$2:$N$29,MATCH(C58,Pop_Inputs!$A$2:$A$29,0),G58))*(1-H58)+LN(INDEX(Pop_Inputs!$B$2:$N$29,MATCH(C58,Pop_Inputs!$A$2:$A$29,0),G58+1))*H58)</f>
        <v>3917570.58858259</v>
      </c>
      <c r="J58" s="20" t="n">
        <f aca="false">I58/F58</f>
        <v>1305856.86286086</v>
      </c>
      <c r="K58" s="21" t="n">
        <f aca="false">D58/(D58+E58)</f>
        <v>0.609271523178808</v>
      </c>
      <c r="L58" s="21" t="n">
        <f aca="false">AVERAGEIFS($K$2:$K$2705,$B$2:$B$2705,B58)</f>
        <v>0.499766988656686</v>
      </c>
      <c r="M58" s="21" t="n">
        <f aca="false">K58-L58</f>
        <v>0.109504534522122</v>
      </c>
      <c r="N58" s="21" t="n">
        <f aca="false">LN(J58)</f>
        <v>14.0823699831649</v>
      </c>
      <c r="O58" s="21" t="n">
        <f aca="false">AVERAGEIFS($N$2:$N$2705,$B$2:$B$2705,B58)</f>
        <v>13.1976321889037</v>
      </c>
      <c r="P58" s="21" t="n">
        <f aca="false">N58-O58</f>
        <v>0.884737794261243</v>
      </c>
      <c r="Q58" s="7" t="n">
        <v>0</v>
      </c>
      <c r="R58" s="3" t="n">
        <f aca="false">IF(AND(Q58=1,B58-_xlfn.MINIFS($B$2:$B$2705,$A$2:$A$2705,A58)&lt;10),1,0)</f>
        <v>0</v>
      </c>
      <c r="S58" s="7" t="n">
        <v>1</v>
      </c>
      <c r="T58" s="3" t="n">
        <f aca="false">_xlfn.MINIFS($B$2:$B$2705,$A$2:$A$2705,A58)</f>
        <v>1903</v>
      </c>
      <c r="U58" s="3" t="n">
        <f aca="false">B58-T58</f>
        <v>1</v>
      </c>
      <c r="V58" s="3" t="str">
        <f aca="false">INDEX(Pop_Inputs!$Q$2:$Q$29,MATCH(C58,Pop_Inputs!$A$2:$A$29,0))</f>
        <v>Northeast</v>
      </c>
      <c r="W58" s="30"/>
      <c r="X58" s="3" t="str">
        <f aca="false">IF(W58="","",LN(W58))</f>
        <v/>
      </c>
      <c r="Y58" s="3" t="str">
        <f aca="false">IF(X58="","",X58-AVERAGEIFS($X$2:$X$2705,$B$2:$B$2705,B58))</f>
        <v/>
      </c>
      <c r="Z58" s="21" t="n">
        <f aca="false">P58</f>
        <v>0.884737794261243</v>
      </c>
      <c r="AA58" s="3" t="n">
        <f aca="false">R58</f>
        <v>0</v>
      </c>
      <c r="AB58" s="21" t="n">
        <f aca="false">P58</f>
        <v>0.884737794261243</v>
      </c>
      <c r="AC58" s="3" t="str">
        <f aca="false">Y58</f>
        <v/>
      </c>
      <c r="AD58" s="3" t="n">
        <f aca="false">R58</f>
        <v>0</v>
      </c>
    </row>
    <row r="59" customFormat="false" ht="15" hidden="false" customHeight="true" outlineLevel="0" collapsed="false">
      <c r="A59" s="7" t="s">
        <v>69</v>
      </c>
      <c r="B59" s="7" t="n">
        <v>1904</v>
      </c>
      <c r="C59" s="7" t="s">
        <v>146</v>
      </c>
      <c r="D59" s="7" t="n">
        <v>81</v>
      </c>
      <c r="E59" s="7" t="n">
        <v>70</v>
      </c>
      <c r="F59" s="3" t="n">
        <f aca="false">COUNTIFS($B$2:$B$2705,B59,$C$2:$C$2705,C59)</f>
        <v>2</v>
      </c>
      <c r="G59" s="3" t="n">
        <f aca="false">MIN(INT((MIN(B59,2020)-1900)/10)+1,12)</f>
        <v>1</v>
      </c>
      <c r="H59" s="3" t="n">
        <f aca="false">(MIN(B59,2020)-1900-10*(G59-1))/10</f>
        <v>0.4</v>
      </c>
      <c r="I59" s="20" t="n">
        <f aca="false">EXP(LN(INDEX(Pop_Inputs!$B$2:$N$29,MATCH(C59,Pop_Inputs!$A$2:$A$29,0),G59))*(1-H59)+LN(INDEX(Pop_Inputs!$B$2:$N$29,MATCH(C59,Pop_Inputs!$A$2:$A$29,0),G59+1))*H59)</f>
        <v>1390339.96590108</v>
      </c>
      <c r="J59" s="20" t="n">
        <f aca="false">I59/F59</f>
        <v>695169.982950539</v>
      </c>
      <c r="K59" s="21" t="n">
        <f aca="false">D59/(D59+E59)</f>
        <v>0.536423841059603</v>
      </c>
      <c r="L59" s="21" t="n">
        <f aca="false">AVERAGEIFS($K$2:$K$2705,$B$2:$B$2705,B59)</f>
        <v>0.499766988656686</v>
      </c>
      <c r="M59" s="21" t="n">
        <f aca="false">K59-L59</f>
        <v>0.0366568524029171</v>
      </c>
      <c r="N59" s="21" t="n">
        <f aca="false">LN(J59)</f>
        <v>13.4519116744271</v>
      </c>
      <c r="O59" s="21" t="n">
        <f aca="false">AVERAGEIFS($N$2:$N$2705,$B$2:$B$2705,B59)</f>
        <v>13.1976321889037</v>
      </c>
      <c r="P59" s="21" t="n">
        <f aca="false">N59-O59</f>
        <v>0.254279485523446</v>
      </c>
      <c r="Q59" s="7" t="n">
        <v>0</v>
      </c>
      <c r="R59" s="3" t="n">
        <f aca="false">IF(AND(Q59=1,B59-_xlfn.MINIFS($B$2:$B$2705,$A$2:$A$2705,A59)&lt;10),1,0)</f>
        <v>0</v>
      </c>
      <c r="S59" s="7" t="n">
        <v>0</v>
      </c>
      <c r="T59" s="3" t="n">
        <f aca="false">_xlfn.MINIFS($B$2:$B$2705,$A$2:$A$2705,A59)</f>
        <v>1901</v>
      </c>
      <c r="U59" s="3" t="n">
        <f aca="false">B59-T59</f>
        <v>3</v>
      </c>
      <c r="V59" s="3" t="str">
        <f aca="false">INDEX(Pop_Inputs!$Q$2:$Q$29,MATCH(C59,Pop_Inputs!$A$2:$A$29,0))</f>
        <v>Northeast</v>
      </c>
      <c r="W59" s="30"/>
      <c r="X59" s="3" t="str">
        <f aca="false">IF(W59="","",LN(W59))</f>
        <v/>
      </c>
      <c r="Y59" s="3" t="str">
        <f aca="false">IF(X59="","",X59-AVERAGEIFS($X$2:$X$2705,$B$2:$B$2705,B59))</f>
        <v/>
      </c>
      <c r="Z59" s="21" t="n">
        <f aca="false">P59</f>
        <v>0.254279485523446</v>
      </c>
      <c r="AA59" s="3" t="n">
        <f aca="false">R59</f>
        <v>0</v>
      </c>
      <c r="AB59" s="21" t="n">
        <f aca="false">P59</f>
        <v>0.254279485523446</v>
      </c>
      <c r="AC59" s="3" t="str">
        <f aca="false">Y59</f>
        <v/>
      </c>
      <c r="AD59" s="3" t="n">
        <f aca="false">R59</f>
        <v>0</v>
      </c>
    </row>
    <row r="60" customFormat="false" ht="15" hidden="false" customHeight="true" outlineLevel="0" collapsed="false">
      <c r="A60" s="7" t="s">
        <v>60</v>
      </c>
      <c r="B60" s="7" t="n">
        <v>1904</v>
      </c>
      <c r="C60" s="7" t="s">
        <v>146</v>
      </c>
      <c r="D60" s="7" t="n">
        <v>52</v>
      </c>
      <c r="E60" s="7" t="n">
        <v>100</v>
      </c>
      <c r="F60" s="3" t="n">
        <f aca="false">COUNTIFS($B$2:$B$2705,B60,$C$2:$C$2705,C60)</f>
        <v>2</v>
      </c>
      <c r="G60" s="3" t="n">
        <f aca="false">MIN(INT((MIN(B60,2020)-1900)/10)+1,12)</f>
        <v>1</v>
      </c>
      <c r="H60" s="3" t="n">
        <f aca="false">(MIN(B60,2020)-1900-10*(G60-1))/10</f>
        <v>0.4</v>
      </c>
      <c r="I60" s="20" t="n">
        <f aca="false">EXP(LN(INDEX(Pop_Inputs!$B$2:$N$29,MATCH(C60,Pop_Inputs!$A$2:$A$29,0),G60))*(1-H60)+LN(INDEX(Pop_Inputs!$B$2:$N$29,MATCH(C60,Pop_Inputs!$A$2:$A$29,0),G60+1))*H60)</f>
        <v>1390339.96590108</v>
      </c>
      <c r="J60" s="20" t="n">
        <f aca="false">I60/F60</f>
        <v>695169.982950539</v>
      </c>
      <c r="K60" s="21" t="n">
        <f aca="false">D60/(D60+E60)</f>
        <v>0.342105263157895</v>
      </c>
      <c r="L60" s="21" t="n">
        <f aca="false">AVERAGEIFS($K$2:$K$2705,$B$2:$B$2705,B60)</f>
        <v>0.499766988656686</v>
      </c>
      <c r="M60" s="21" t="n">
        <f aca="false">K60-L60</f>
        <v>-0.157661725498791</v>
      </c>
      <c r="N60" s="21" t="n">
        <f aca="false">LN(J60)</f>
        <v>13.4519116744271</v>
      </c>
      <c r="O60" s="21" t="n">
        <f aca="false">AVERAGEIFS($N$2:$N$2705,$B$2:$B$2705,B60)</f>
        <v>13.1976321889037</v>
      </c>
      <c r="P60" s="21" t="n">
        <f aca="false">N60-O60</f>
        <v>0.254279485523446</v>
      </c>
      <c r="Q60" s="7" t="n">
        <v>0</v>
      </c>
      <c r="R60" s="3" t="n">
        <f aca="false">IF(AND(Q60=1,B60-_xlfn.MINIFS($B$2:$B$2705,$A$2:$A$2705,A60)&lt;10),1,0)</f>
        <v>0</v>
      </c>
      <c r="S60" s="7" t="n">
        <v>0</v>
      </c>
      <c r="T60" s="3" t="n">
        <f aca="false">_xlfn.MINIFS($B$2:$B$2705,$A$2:$A$2705,A60)</f>
        <v>1901</v>
      </c>
      <c r="U60" s="3" t="n">
        <f aca="false">B60-T60</f>
        <v>3</v>
      </c>
      <c r="V60" s="3" t="str">
        <f aca="false">INDEX(Pop_Inputs!$Q$2:$Q$29,MATCH(C60,Pop_Inputs!$A$2:$A$29,0))</f>
        <v>Northeast</v>
      </c>
      <c r="W60" s="30"/>
      <c r="X60" s="3" t="str">
        <f aca="false">IF(W60="","",LN(W60))</f>
        <v/>
      </c>
      <c r="Y60" s="3" t="str">
        <f aca="false">IF(X60="","",X60-AVERAGEIFS($X$2:$X$2705,$B$2:$B$2705,B60))</f>
        <v/>
      </c>
      <c r="Z60" s="21" t="n">
        <f aca="false">P60</f>
        <v>0.254279485523446</v>
      </c>
      <c r="AA60" s="3" t="n">
        <f aca="false">R60</f>
        <v>0</v>
      </c>
      <c r="AB60" s="21" t="n">
        <f aca="false">P60</f>
        <v>0.254279485523446</v>
      </c>
      <c r="AC60" s="3" t="str">
        <f aca="false">Y60</f>
        <v/>
      </c>
      <c r="AD60" s="3" t="n">
        <f aca="false">R60</f>
        <v>0</v>
      </c>
    </row>
    <row r="61" customFormat="false" ht="15" hidden="false" customHeight="true" outlineLevel="0" collapsed="false">
      <c r="A61" s="7" t="s">
        <v>58</v>
      </c>
      <c r="B61" s="7" t="n">
        <v>1904</v>
      </c>
      <c r="C61" s="7" t="s">
        <v>144</v>
      </c>
      <c r="D61" s="7" t="n">
        <v>87</v>
      </c>
      <c r="E61" s="7" t="n">
        <v>66</v>
      </c>
      <c r="F61" s="3" t="n">
        <f aca="false">COUNTIFS($B$2:$B$2705,B61,$C$2:$C$2705,C61)</f>
        <v>1</v>
      </c>
      <c r="G61" s="3" t="n">
        <f aca="false">MIN(INT((MIN(B61,2020)-1900)/10)+1,12)</f>
        <v>1</v>
      </c>
      <c r="H61" s="3" t="n">
        <f aca="false">(MIN(B61,2020)-1900-10*(G61-1))/10</f>
        <v>0.4</v>
      </c>
      <c r="I61" s="20" t="n">
        <f aca="false">EXP(LN(INDEX(Pop_Inputs!$B$2:$N$29,MATCH(C61,Pop_Inputs!$A$2:$A$29,0),G61))*(1-H61)+LN(INDEX(Pop_Inputs!$B$2:$N$29,MATCH(C61,Pop_Inputs!$A$2:$A$29,0),G61+1))*H61)</f>
        <v>393901.997320128</v>
      </c>
      <c r="J61" s="20" t="n">
        <f aca="false">I61/F61</f>
        <v>393901.997320128</v>
      </c>
      <c r="K61" s="21" t="n">
        <f aca="false">D61/(D61+E61)</f>
        <v>0.568627450980392</v>
      </c>
      <c r="L61" s="21" t="n">
        <f aca="false">AVERAGEIFS($K$2:$K$2705,$B$2:$B$2705,B61)</f>
        <v>0.499766988656686</v>
      </c>
      <c r="M61" s="21" t="n">
        <f aca="false">K61-L61</f>
        <v>0.0688604623237066</v>
      </c>
      <c r="N61" s="21" t="n">
        <f aca="false">LN(J61)</f>
        <v>12.8838574195735</v>
      </c>
      <c r="O61" s="21" t="n">
        <f aca="false">AVERAGEIFS($N$2:$N$2705,$B$2:$B$2705,B61)</f>
        <v>13.1976321889037</v>
      </c>
      <c r="P61" s="21" t="n">
        <f aca="false">N61-O61</f>
        <v>-0.313774769330141</v>
      </c>
      <c r="Q61" s="7" t="n">
        <v>0</v>
      </c>
      <c r="R61" s="3" t="n">
        <f aca="false">IF(AND(Q61=1,B61-_xlfn.MINIFS($B$2:$B$2705,$A$2:$A$2705,A61)&lt;10),1,0)</f>
        <v>0</v>
      </c>
      <c r="S61" s="7" t="n">
        <v>0</v>
      </c>
      <c r="T61" s="3" t="n">
        <f aca="false">_xlfn.MINIFS($B$2:$B$2705,$A$2:$A$2705,A61)</f>
        <v>1901</v>
      </c>
      <c r="U61" s="3" t="n">
        <f aca="false">B61-T61</f>
        <v>3</v>
      </c>
      <c r="V61" s="3" t="str">
        <f aca="false">INDEX(Pop_Inputs!$Q$2:$Q$29,MATCH(C61,Pop_Inputs!$A$2:$A$29,0))</f>
        <v>Northeast</v>
      </c>
      <c r="W61" s="30"/>
      <c r="X61" s="3" t="str">
        <f aca="false">IF(W61="","",LN(W61))</f>
        <v/>
      </c>
      <c r="Y61" s="3" t="str">
        <f aca="false">IF(X61="","",X61-AVERAGEIFS($X$2:$X$2705,$B$2:$B$2705,B61))</f>
        <v/>
      </c>
      <c r="Z61" s="21" t="n">
        <f aca="false">P61</f>
        <v>-0.313774769330141</v>
      </c>
      <c r="AA61" s="3" t="n">
        <f aca="false">R61</f>
        <v>0</v>
      </c>
      <c r="AB61" s="21" t="n">
        <f aca="false">P61</f>
        <v>-0.313774769330141</v>
      </c>
      <c r="AC61" s="3" t="str">
        <f aca="false">Y61</f>
        <v/>
      </c>
      <c r="AD61" s="3" t="n">
        <f aca="false">R61</f>
        <v>0</v>
      </c>
    </row>
    <row r="62" customFormat="false" ht="15" hidden="false" customHeight="true" outlineLevel="0" collapsed="false">
      <c r="A62" s="7" t="s">
        <v>61</v>
      </c>
      <c r="B62" s="7" t="n">
        <v>1904</v>
      </c>
      <c r="C62" s="7" t="s">
        <v>154</v>
      </c>
      <c r="D62" s="7" t="n">
        <v>106</v>
      </c>
      <c r="E62" s="7" t="n">
        <v>47</v>
      </c>
      <c r="F62" s="3" t="n">
        <f aca="false">COUNTIFS($B$2:$B$2705,B62,$C$2:$C$2705,C62)</f>
        <v>3</v>
      </c>
      <c r="G62" s="3" t="n">
        <f aca="false">MIN(INT((MIN(B62,2020)-1900)/10)+1,12)</f>
        <v>1</v>
      </c>
      <c r="H62" s="3" t="n">
        <f aca="false">(MIN(B62,2020)-1900-10*(G62-1))/10</f>
        <v>0.4</v>
      </c>
      <c r="I62" s="20" t="n">
        <f aca="false">EXP(LN(INDEX(Pop_Inputs!$B$2:$N$29,MATCH(C62,Pop_Inputs!$A$2:$A$29,0),G62))*(1-H62)+LN(INDEX(Pop_Inputs!$B$2:$N$29,MATCH(C62,Pop_Inputs!$A$2:$A$29,0),G62+1))*H62)</f>
        <v>3917570.58858259</v>
      </c>
      <c r="J62" s="20" t="n">
        <f aca="false">I62/F62</f>
        <v>1305856.86286086</v>
      </c>
      <c r="K62" s="21" t="n">
        <f aca="false">D62/(D62+E62)</f>
        <v>0.69281045751634</v>
      </c>
      <c r="L62" s="21" t="n">
        <f aca="false">AVERAGEIFS($K$2:$K$2705,$B$2:$B$2705,B62)</f>
        <v>0.499766988656686</v>
      </c>
      <c r="M62" s="21" t="n">
        <f aca="false">K62-L62</f>
        <v>0.193043468859654</v>
      </c>
      <c r="N62" s="21" t="n">
        <f aca="false">LN(J62)</f>
        <v>14.0823699831649</v>
      </c>
      <c r="O62" s="21" t="n">
        <f aca="false">AVERAGEIFS($N$2:$N$2705,$B$2:$B$2705,B62)</f>
        <v>13.1976321889037</v>
      </c>
      <c r="P62" s="21" t="n">
        <f aca="false">N62-O62</f>
        <v>0.884737794261243</v>
      </c>
      <c r="Q62" s="7" t="n">
        <v>0</v>
      </c>
      <c r="R62" s="3" t="n">
        <f aca="false">IF(AND(Q62=1,B62-_xlfn.MINIFS($B$2:$B$2705,$A$2:$A$2705,A62)&lt;10),1,0)</f>
        <v>0</v>
      </c>
      <c r="S62" s="7" t="n">
        <v>0</v>
      </c>
      <c r="T62" s="3" t="n">
        <f aca="false">_xlfn.MINIFS($B$2:$B$2705,$A$2:$A$2705,A62)</f>
        <v>1901</v>
      </c>
      <c r="U62" s="3" t="n">
        <f aca="false">B62-T62</f>
        <v>3</v>
      </c>
      <c r="V62" s="3" t="str">
        <f aca="false">INDEX(Pop_Inputs!$Q$2:$Q$29,MATCH(C62,Pop_Inputs!$A$2:$A$29,0))</f>
        <v>Northeast</v>
      </c>
      <c r="W62" s="30"/>
      <c r="X62" s="3" t="str">
        <f aca="false">IF(W62="","",LN(W62))</f>
        <v/>
      </c>
      <c r="Y62" s="3" t="str">
        <f aca="false">IF(X62="","",X62-AVERAGEIFS($X$2:$X$2705,$B$2:$B$2705,B62))</f>
        <v/>
      </c>
      <c r="Z62" s="21" t="n">
        <f aca="false">P62</f>
        <v>0.884737794261243</v>
      </c>
      <c r="AA62" s="3" t="n">
        <f aca="false">R62</f>
        <v>0</v>
      </c>
      <c r="AB62" s="21" t="n">
        <f aca="false">P62</f>
        <v>0.884737794261243</v>
      </c>
      <c r="AC62" s="3" t="str">
        <f aca="false">Y62</f>
        <v/>
      </c>
      <c r="AD62" s="3" t="n">
        <f aca="false">R62</f>
        <v>0</v>
      </c>
    </row>
    <row r="63" customFormat="false" ht="15" hidden="false" customHeight="true" outlineLevel="0" collapsed="false">
      <c r="A63" s="7" t="s">
        <v>59</v>
      </c>
      <c r="B63" s="7" t="n">
        <v>1904</v>
      </c>
      <c r="C63" s="7" t="s">
        <v>145</v>
      </c>
      <c r="D63" s="7" t="n">
        <v>75</v>
      </c>
      <c r="E63" s="7" t="n">
        <v>79</v>
      </c>
      <c r="F63" s="3" t="n">
        <f aca="false">COUNTIFS($B$2:$B$2705,B63,$C$2:$C$2705,C63)</f>
        <v>2</v>
      </c>
      <c r="G63" s="3" t="n">
        <f aca="false">MIN(INT((MIN(B63,2020)-1900)/10)+1,12)</f>
        <v>1</v>
      </c>
      <c r="H63" s="3" t="n">
        <f aca="false">(MIN(B63,2020)-1900-10*(G63-1))/10</f>
        <v>0.4</v>
      </c>
      <c r="I63" s="20" t="n">
        <f aca="false">EXP(LN(INDEX(Pop_Inputs!$B$2:$N$29,MATCH(C63,Pop_Inputs!$A$2:$A$29,0),G63))*(1-H63)+LN(INDEX(Pop_Inputs!$B$2:$N$29,MATCH(C63,Pop_Inputs!$A$2:$A$29,0),G63+1))*H63)</f>
        <v>617587.601032929</v>
      </c>
      <c r="J63" s="20" t="n">
        <f aca="false">I63/F63</f>
        <v>308793.800516464</v>
      </c>
      <c r="K63" s="21" t="n">
        <f aca="false">D63/(D63+E63)</f>
        <v>0.487012987012987</v>
      </c>
      <c r="L63" s="21" t="n">
        <f aca="false">AVERAGEIFS($K$2:$K$2705,$B$2:$B$2705,B63)</f>
        <v>0.499766988656686</v>
      </c>
      <c r="M63" s="21" t="n">
        <f aca="false">K63-L63</f>
        <v>-0.0127540016436986</v>
      </c>
      <c r="N63" s="21" t="n">
        <f aca="false">LN(J63)</f>
        <v>12.6404290208835</v>
      </c>
      <c r="O63" s="21" t="n">
        <f aca="false">AVERAGEIFS($N$2:$N$2705,$B$2:$B$2705,B63)</f>
        <v>13.1976321889037</v>
      </c>
      <c r="P63" s="21" t="n">
        <f aca="false">N63-O63</f>
        <v>-0.557203168020159</v>
      </c>
      <c r="Q63" s="7" t="n">
        <v>0</v>
      </c>
      <c r="R63" s="3" t="n">
        <f aca="false">IF(AND(Q63=1,B63-_xlfn.MINIFS($B$2:$B$2705,$A$2:$A$2705,A63)&lt;10),1,0)</f>
        <v>0</v>
      </c>
      <c r="S63" s="7" t="n">
        <v>0</v>
      </c>
      <c r="T63" s="3" t="n">
        <f aca="false">_xlfn.MINIFS($B$2:$B$2705,$A$2:$A$2705,A63)</f>
        <v>1901</v>
      </c>
      <c r="U63" s="3" t="n">
        <f aca="false">B63-T63</f>
        <v>3</v>
      </c>
      <c r="V63" s="3" t="str">
        <f aca="false">INDEX(Pop_Inputs!$Q$2:$Q$29,MATCH(C63,Pop_Inputs!$A$2:$A$29,0))</f>
        <v>Midwest</v>
      </c>
      <c r="W63" s="30"/>
      <c r="X63" s="3" t="str">
        <f aca="false">IF(W63="","",LN(W63))</f>
        <v/>
      </c>
      <c r="Y63" s="3" t="str">
        <f aca="false">IF(X63="","",X63-AVERAGEIFS($X$2:$X$2705,$B$2:$B$2705,B63))</f>
        <v/>
      </c>
      <c r="Z63" s="21" t="n">
        <f aca="false">P63</f>
        <v>-0.557203168020159</v>
      </c>
      <c r="AA63" s="3" t="n">
        <f aca="false">R63</f>
        <v>0</v>
      </c>
      <c r="AB63" s="21" t="n">
        <f aca="false">P63</f>
        <v>-0.557203168020159</v>
      </c>
      <c r="AC63" s="3" t="str">
        <f aca="false">Y63</f>
        <v/>
      </c>
      <c r="AD63" s="3" t="n">
        <f aca="false">R63</f>
        <v>0</v>
      </c>
    </row>
    <row r="64" customFormat="false" ht="15" hidden="false" customHeight="true" outlineLevel="0" collapsed="false">
      <c r="A64" s="7" t="s">
        <v>54</v>
      </c>
      <c r="B64" s="7" t="n">
        <v>1905</v>
      </c>
      <c r="C64" s="7" t="s">
        <v>150</v>
      </c>
      <c r="D64" s="7" t="n">
        <v>51</v>
      </c>
      <c r="E64" s="7" t="n">
        <v>103</v>
      </c>
      <c r="F64" s="3" t="n">
        <f aca="false">COUNTIFS($B$2:$B$2705,B64,$C$2:$C$2705,C64)</f>
        <v>2</v>
      </c>
      <c r="G64" s="3" t="n">
        <f aca="false">MIN(INT((MIN(B64,2020)-1900)/10)+1,12)</f>
        <v>1</v>
      </c>
      <c r="H64" s="3" t="n">
        <f aca="false">(MIN(B64,2020)-1900-10*(G64-1))/10</f>
        <v>0.5</v>
      </c>
      <c r="I64" s="20" t="n">
        <f aca="false">EXP(LN(INDEX(Pop_Inputs!$B$2:$N$29,MATCH(C64,Pop_Inputs!$A$2:$A$29,0),G64))*(1-H64)+LN(INDEX(Pop_Inputs!$B$2:$N$29,MATCH(C64,Pop_Inputs!$A$2:$A$29,0),G64+1))*H64)</f>
        <v>613290.927553963</v>
      </c>
      <c r="J64" s="20" t="n">
        <f aca="false">I64/F64</f>
        <v>306645.463776981</v>
      </c>
      <c r="K64" s="21" t="n">
        <f aca="false">D64/(D64+E64)</f>
        <v>0.331168831168831</v>
      </c>
      <c r="L64" s="21" t="n">
        <f aca="false">AVERAGEIFS($K$2:$K$2705,$B$2:$B$2705,B64)</f>
        <v>0.50026176264394</v>
      </c>
      <c r="M64" s="21" t="n">
        <f aca="false">K64-L64</f>
        <v>-0.169092931475109</v>
      </c>
      <c r="N64" s="21" t="n">
        <f aca="false">LN(J64)</f>
        <v>12.6334475181092</v>
      </c>
      <c r="O64" s="21" t="n">
        <f aca="false">AVERAGEIFS($N$2:$N$2705,$B$2:$B$2705,B64)</f>
        <v>13.224001686484</v>
      </c>
      <c r="P64" s="21" t="n">
        <f aca="false">N64-O64</f>
        <v>-0.590554168374796</v>
      </c>
      <c r="Q64" s="7" t="n">
        <v>0</v>
      </c>
      <c r="R64" s="3" t="n">
        <f aca="false">IF(AND(Q64=1,B64-_xlfn.MINIFS($B$2:$B$2705,$A$2:$A$2705,A64)&lt;10),1,0)</f>
        <v>0</v>
      </c>
      <c r="S64" s="7" t="n">
        <v>0</v>
      </c>
      <c r="T64" s="3" t="n">
        <f aca="false">_xlfn.MINIFS($B$2:$B$2705,$A$2:$A$2705,A64)</f>
        <v>1901</v>
      </c>
      <c r="U64" s="3" t="n">
        <f aca="false">B64-T64</f>
        <v>4</v>
      </c>
      <c r="V64" s="3" t="str">
        <f aca="false">INDEX(Pop_Inputs!$Q$2:$Q$29,MATCH(C64,Pop_Inputs!$A$2:$A$29,0))</f>
        <v>Northeast</v>
      </c>
      <c r="W64" s="30"/>
      <c r="X64" s="3" t="str">
        <f aca="false">IF(W64="","",LN(W64))</f>
        <v/>
      </c>
      <c r="Y64" s="3" t="str">
        <f aca="false">IF(X64="","",X64-AVERAGEIFS($X$2:$X$2705,$B$2:$B$2705,B64))</f>
        <v/>
      </c>
      <c r="Z64" s="21" t="n">
        <f aca="false">P64</f>
        <v>-0.590554168374796</v>
      </c>
      <c r="AA64" s="3" t="n">
        <f aca="false">R64</f>
        <v>0</v>
      </c>
      <c r="AB64" s="21" t="n">
        <f aca="false">P64</f>
        <v>-0.590554168374796</v>
      </c>
      <c r="AC64" s="3" t="str">
        <f aca="false">Y64</f>
        <v/>
      </c>
      <c r="AD64" s="3" t="n">
        <f aca="false">R64</f>
        <v>0</v>
      </c>
    </row>
    <row r="65" customFormat="false" ht="15" hidden="false" customHeight="true" outlineLevel="0" collapsed="false">
      <c r="A65" s="7" t="s">
        <v>63</v>
      </c>
      <c r="B65" s="7" t="n">
        <v>1905</v>
      </c>
      <c r="C65" s="7" t="s">
        <v>145</v>
      </c>
      <c r="D65" s="7" t="n">
        <v>54</v>
      </c>
      <c r="E65" s="7" t="n">
        <v>99</v>
      </c>
      <c r="F65" s="3" t="n">
        <f aca="false">COUNTIFS($B$2:$B$2705,B65,$C$2:$C$2705,C65)</f>
        <v>2</v>
      </c>
      <c r="G65" s="3" t="n">
        <f aca="false">MIN(INT((MIN(B65,2020)-1900)/10)+1,12)</f>
        <v>1</v>
      </c>
      <c r="H65" s="3" t="n">
        <f aca="false">(MIN(B65,2020)-1900-10*(G65-1))/10</f>
        <v>0.5</v>
      </c>
      <c r="I65" s="20" t="n">
        <f aca="false">EXP(LN(INDEX(Pop_Inputs!$B$2:$N$29,MATCH(C65,Pop_Inputs!$A$2:$A$29,0),G65))*(1-H65)+LN(INDEX(Pop_Inputs!$B$2:$N$29,MATCH(C65,Pop_Inputs!$A$2:$A$29,0),G65+1))*H65)</f>
        <v>628653.47203527</v>
      </c>
      <c r="J65" s="20" t="n">
        <f aca="false">I65/F65</f>
        <v>314326.736017635</v>
      </c>
      <c r="K65" s="21" t="n">
        <f aca="false">D65/(D65+E65)</f>
        <v>0.352941176470588</v>
      </c>
      <c r="L65" s="21" t="n">
        <f aca="false">AVERAGEIFS($K$2:$K$2705,$B$2:$B$2705,B65)</f>
        <v>0.50026176264394</v>
      </c>
      <c r="M65" s="21" t="n">
        <f aca="false">K65-L65</f>
        <v>-0.147320586173352</v>
      </c>
      <c r="N65" s="21" t="n">
        <f aca="false">LN(J65)</f>
        <v>12.6581882844482</v>
      </c>
      <c r="O65" s="21" t="n">
        <f aca="false">AVERAGEIFS($N$2:$N$2705,$B$2:$B$2705,B65)</f>
        <v>13.224001686484</v>
      </c>
      <c r="P65" s="21" t="n">
        <f aca="false">N65-O65</f>
        <v>-0.56581340203574</v>
      </c>
      <c r="Q65" s="7" t="n">
        <v>0</v>
      </c>
      <c r="R65" s="3" t="n">
        <f aca="false">IF(AND(Q65=1,B65-_xlfn.MINIFS($B$2:$B$2705,$A$2:$A$2705,A65)&lt;10),1,0)</f>
        <v>0</v>
      </c>
      <c r="S65" s="7" t="n">
        <v>0</v>
      </c>
      <c r="T65" s="3" t="n">
        <f aca="false">_xlfn.MINIFS($B$2:$B$2705,$A$2:$A$2705,A65)</f>
        <v>1901</v>
      </c>
      <c r="U65" s="3" t="n">
        <f aca="false">B65-T65</f>
        <v>4</v>
      </c>
      <c r="V65" s="3" t="str">
        <f aca="false">INDEX(Pop_Inputs!$Q$2:$Q$29,MATCH(C65,Pop_Inputs!$A$2:$A$29,0))</f>
        <v>Midwest</v>
      </c>
      <c r="W65" s="30"/>
      <c r="X65" s="3" t="str">
        <f aca="false">IF(W65="","",LN(W65))</f>
        <v/>
      </c>
      <c r="Y65" s="3" t="str">
        <f aca="false">IF(X65="","",X65-AVERAGEIFS($X$2:$X$2705,$B$2:$B$2705,B65))</f>
        <v/>
      </c>
      <c r="Z65" s="21" t="n">
        <f aca="false">P65</f>
        <v>-0.56581340203574</v>
      </c>
      <c r="AA65" s="3" t="n">
        <f aca="false">R65</f>
        <v>0</v>
      </c>
      <c r="AB65" s="21" t="n">
        <f aca="false">P65</f>
        <v>-0.56581340203574</v>
      </c>
      <c r="AC65" s="3" t="str">
        <f aca="false">Y65</f>
        <v/>
      </c>
      <c r="AD65" s="3" t="n">
        <f aca="false">R65</f>
        <v>0</v>
      </c>
    </row>
    <row r="66" customFormat="false" ht="15" hidden="false" customHeight="true" outlineLevel="0" collapsed="false">
      <c r="A66" s="7" t="s">
        <v>64</v>
      </c>
      <c r="B66" s="7" t="n">
        <v>1905</v>
      </c>
      <c r="C66" s="7" t="s">
        <v>150</v>
      </c>
      <c r="D66" s="7" t="n">
        <v>78</v>
      </c>
      <c r="E66" s="7" t="n">
        <v>74</v>
      </c>
      <c r="F66" s="3" t="n">
        <f aca="false">COUNTIFS($B$2:$B$2705,B66,$C$2:$C$2705,C66)</f>
        <v>2</v>
      </c>
      <c r="G66" s="3" t="n">
        <f aca="false">MIN(INT((MIN(B66,2020)-1900)/10)+1,12)</f>
        <v>1</v>
      </c>
      <c r="H66" s="3" t="n">
        <f aca="false">(MIN(B66,2020)-1900-10*(G66-1))/10</f>
        <v>0.5</v>
      </c>
      <c r="I66" s="20" t="n">
        <f aca="false">EXP(LN(INDEX(Pop_Inputs!$B$2:$N$29,MATCH(C66,Pop_Inputs!$A$2:$A$29,0),G66))*(1-H66)+LN(INDEX(Pop_Inputs!$B$2:$N$29,MATCH(C66,Pop_Inputs!$A$2:$A$29,0),G66+1))*H66)</f>
        <v>613290.927553963</v>
      </c>
      <c r="J66" s="20" t="n">
        <f aca="false">I66/F66</f>
        <v>306645.463776981</v>
      </c>
      <c r="K66" s="21" t="n">
        <f aca="false">D66/(D66+E66)</f>
        <v>0.513157894736842</v>
      </c>
      <c r="L66" s="21" t="n">
        <f aca="false">AVERAGEIFS($K$2:$K$2705,$B$2:$B$2705,B66)</f>
        <v>0.50026176264394</v>
      </c>
      <c r="M66" s="21" t="n">
        <f aca="false">K66-L66</f>
        <v>0.0128961320929019</v>
      </c>
      <c r="N66" s="21" t="n">
        <f aca="false">LN(J66)</f>
        <v>12.6334475181092</v>
      </c>
      <c r="O66" s="21" t="n">
        <f aca="false">AVERAGEIFS($N$2:$N$2705,$B$2:$B$2705,B66)</f>
        <v>13.224001686484</v>
      </c>
      <c r="P66" s="21" t="n">
        <f aca="false">N66-O66</f>
        <v>-0.590554168374796</v>
      </c>
      <c r="Q66" s="7" t="n">
        <v>0</v>
      </c>
      <c r="R66" s="3" t="n">
        <f aca="false">IF(AND(Q66=1,B66-_xlfn.MINIFS($B$2:$B$2705,$A$2:$A$2705,A66)&lt;10),1,0)</f>
        <v>0</v>
      </c>
      <c r="S66" s="7" t="n">
        <v>0</v>
      </c>
      <c r="T66" s="3" t="n">
        <f aca="false">_xlfn.MINIFS($B$2:$B$2705,$A$2:$A$2705,A66)</f>
        <v>1901</v>
      </c>
      <c r="U66" s="3" t="n">
        <f aca="false">B66-T66</f>
        <v>4</v>
      </c>
      <c r="V66" s="3" t="str">
        <f aca="false">INDEX(Pop_Inputs!$Q$2:$Q$29,MATCH(C66,Pop_Inputs!$A$2:$A$29,0))</f>
        <v>Northeast</v>
      </c>
      <c r="W66" s="30"/>
      <c r="X66" s="3" t="str">
        <f aca="false">IF(W66="","",LN(W66))</f>
        <v/>
      </c>
      <c r="Y66" s="3" t="str">
        <f aca="false">IF(X66="","",X66-AVERAGEIFS($X$2:$X$2705,$B$2:$B$2705,B66))</f>
        <v/>
      </c>
      <c r="Z66" s="21" t="n">
        <f aca="false">P66</f>
        <v>-0.590554168374796</v>
      </c>
      <c r="AA66" s="3" t="n">
        <f aca="false">R66</f>
        <v>0</v>
      </c>
      <c r="AB66" s="21" t="n">
        <f aca="false">P66</f>
        <v>-0.590554168374796</v>
      </c>
      <c r="AC66" s="3" t="str">
        <f aca="false">Y66</f>
        <v/>
      </c>
      <c r="AD66" s="3" t="n">
        <f aca="false">R66</f>
        <v>0</v>
      </c>
    </row>
    <row r="67" customFormat="false" ht="15" hidden="false" customHeight="true" outlineLevel="0" collapsed="false">
      <c r="A67" s="7" t="s">
        <v>56</v>
      </c>
      <c r="B67" s="7" t="n">
        <v>1905</v>
      </c>
      <c r="C67" s="7" t="s">
        <v>142</v>
      </c>
      <c r="D67" s="7" t="n">
        <v>92</v>
      </c>
      <c r="E67" s="7" t="n">
        <v>61</v>
      </c>
      <c r="F67" s="3" t="n">
        <f aca="false">COUNTIFS($B$2:$B$2705,B67,$C$2:$C$2705,C67)</f>
        <v>2</v>
      </c>
      <c r="G67" s="3" t="n">
        <f aca="false">MIN(INT((MIN(B67,2020)-1900)/10)+1,12)</f>
        <v>1</v>
      </c>
      <c r="H67" s="3" t="n">
        <f aca="false">(MIN(B67,2020)-1900-10*(G67-1))/10</f>
        <v>0.5</v>
      </c>
      <c r="I67" s="20" t="n">
        <f aca="false">EXP(LN(INDEX(Pop_Inputs!$B$2:$N$29,MATCH(C67,Pop_Inputs!$A$2:$A$29,0),G67))*(1-H67)+LN(INDEX(Pop_Inputs!$B$2:$N$29,MATCH(C67,Pop_Inputs!$A$2:$A$29,0),G67+1))*H67)</f>
        <v>1926620.63513422</v>
      </c>
      <c r="J67" s="20" t="n">
        <f aca="false">I67/F67</f>
        <v>963310.317567112</v>
      </c>
      <c r="K67" s="21" t="n">
        <f aca="false">D67/(D67+E67)</f>
        <v>0.601307189542484</v>
      </c>
      <c r="L67" s="21" t="n">
        <f aca="false">AVERAGEIFS($K$2:$K$2705,$B$2:$B$2705,B67)</f>
        <v>0.50026176264394</v>
      </c>
      <c r="M67" s="21" t="n">
        <f aca="false">K67-L67</f>
        <v>0.101045426898543</v>
      </c>
      <c r="N67" s="21" t="n">
        <f aca="false">LN(J67)</f>
        <v>13.7781308793362</v>
      </c>
      <c r="O67" s="21" t="n">
        <f aca="false">AVERAGEIFS($N$2:$N$2705,$B$2:$B$2705,B67)</f>
        <v>13.224001686484</v>
      </c>
      <c r="P67" s="21" t="n">
        <f aca="false">N67-O67</f>
        <v>0.554129192852276</v>
      </c>
      <c r="Q67" s="7" t="n">
        <v>0</v>
      </c>
      <c r="R67" s="3" t="n">
        <f aca="false">IF(AND(Q67=1,B67-_xlfn.MINIFS($B$2:$B$2705,$A$2:$A$2705,A67)&lt;10),1,0)</f>
        <v>0</v>
      </c>
      <c r="S67" s="7" t="n">
        <v>0</v>
      </c>
      <c r="T67" s="3" t="n">
        <f aca="false">_xlfn.MINIFS($B$2:$B$2705,$A$2:$A$2705,A67)</f>
        <v>1901</v>
      </c>
      <c r="U67" s="3" t="n">
        <f aca="false">B67-T67</f>
        <v>4</v>
      </c>
      <c r="V67" s="3" t="str">
        <f aca="false">INDEX(Pop_Inputs!$Q$2:$Q$29,MATCH(C67,Pop_Inputs!$A$2:$A$29,0))</f>
        <v>Midwest</v>
      </c>
      <c r="W67" s="30"/>
      <c r="X67" s="3" t="str">
        <f aca="false">IF(W67="","",LN(W67))</f>
        <v/>
      </c>
      <c r="Y67" s="3" t="str">
        <f aca="false">IF(X67="","",X67-AVERAGEIFS($X$2:$X$2705,$B$2:$B$2705,B67))</f>
        <v/>
      </c>
      <c r="Z67" s="21" t="n">
        <f aca="false">P67</f>
        <v>0.554129192852276</v>
      </c>
      <c r="AA67" s="3" t="n">
        <f aca="false">R67</f>
        <v>0</v>
      </c>
      <c r="AB67" s="21" t="n">
        <f aca="false">P67</f>
        <v>0.554129192852276</v>
      </c>
      <c r="AC67" s="3" t="str">
        <f aca="false">Y67</f>
        <v/>
      </c>
      <c r="AD67" s="3" t="n">
        <f aca="false">R67</f>
        <v>0</v>
      </c>
    </row>
    <row r="68" customFormat="false" ht="15" hidden="false" customHeight="true" outlineLevel="0" collapsed="false">
      <c r="A68" s="7" t="s">
        <v>65</v>
      </c>
      <c r="B68" s="7" t="n">
        <v>1905</v>
      </c>
      <c r="C68" s="7" t="s">
        <v>142</v>
      </c>
      <c r="D68" s="7" t="n">
        <v>92</v>
      </c>
      <c r="E68" s="7" t="n">
        <v>60</v>
      </c>
      <c r="F68" s="3" t="n">
        <f aca="false">COUNTIFS($B$2:$B$2705,B68,$C$2:$C$2705,C68)</f>
        <v>2</v>
      </c>
      <c r="G68" s="3" t="n">
        <f aca="false">MIN(INT((MIN(B68,2020)-1900)/10)+1,12)</f>
        <v>1</v>
      </c>
      <c r="H68" s="3" t="n">
        <f aca="false">(MIN(B68,2020)-1900-10*(G68-1))/10</f>
        <v>0.5</v>
      </c>
      <c r="I68" s="20" t="n">
        <f aca="false">EXP(LN(INDEX(Pop_Inputs!$B$2:$N$29,MATCH(C68,Pop_Inputs!$A$2:$A$29,0),G68))*(1-H68)+LN(INDEX(Pop_Inputs!$B$2:$N$29,MATCH(C68,Pop_Inputs!$A$2:$A$29,0),G68+1))*H68)</f>
        <v>1926620.63513422</v>
      </c>
      <c r="J68" s="20" t="n">
        <f aca="false">I68/F68</f>
        <v>963310.317567112</v>
      </c>
      <c r="K68" s="21" t="n">
        <f aca="false">D68/(D68+E68)</f>
        <v>0.605263157894737</v>
      </c>
      <c r="L68" s="21" t="n">
        <f aca="false">AVERAGEIFS($K$2:$K$2705,$B$2:$B$2705,B68)</f>
        <v>0.50026176264394</v>
      </c>
      <c r="M68" s="21" t="n">
        <f aca="false">K68-L68</f>
        <v>0.105001395250797</v>
      </c>
      <c r="N68" s="21" t="n">
        <f aca="false">LN(J68)</f>
        <v>13.7781308793362</v>
      </c>
      <c r="O68" s="21" t="n">
        <f aca="false">AVERAGEIFS($N$2:$N$2705,$B$2:$B$2705,B68)</f>
        <v>13.224001686484</v>
      </c>
      <c r="P68" s="21" t="n">
        <f aca="false">N68-O68</f>
        <v>0.554129192852276</v>
      </c>
      <c r="Q68" s="7" t="n">
        <v>0</v>
      </c>
      <c r="R68" s="3" t="n">
        <f aca="false">IF(AND(Q68=1,B68-_xlfn.MINIFS($B$2:$B$2705,$A$2:$A$2705,A68)&lt;10),1,0)</f>
        <v>0</v>
      </c>
      <c r="S68" s="7" t="n">
        <v>0</v>
      </c>
      <c r="T68" s="3" t="n">
        <f aca="false">_xlfn.MINIFS($B$2:$B$2705,$A$2:$A$2705,A68)</f>
        <v>1901</v>
      </c>
      <c r="U68" s="3" t="n">
        <f aca="false">B68-T68</f>
        <v>4</v>
      </c>
      <c r="V68" s="3" t="str">
        <f aca="false">INDEX(Pop_Inputs!$Q$2:$Q$29,MATCH(C68,Pop_Inputs!$A$2:$A$29,0))</f>
        <v>Midwest</v>
      </c>
      <c r="W68" s="30"/>
      <c r="X68" s="3" t="str">
        <f aca="false">IF(W68="","",LN(W68))</f>
        <v/>
      </c>
      <c r="Y68" s="3" t="str">
        <f aca="false">IF(X68="","",X68-AVERAGEIFS($X$2:$X$2705,$B$2:$B$2705,B68))</f>
        <v/>
      </c>
      <c r="Z68" s="21" t="n">
        <f aca="false">P68</f>
        <v>0.554129192852276</v>
      </c>
      <c r="AA68" s="3" t="n">
        <f aca="false">R68</f>
        <v>0</v>
      </c>
      <c r="AB68" s="21" t="n">
        <f aca="false">P68</f>
        <v>0.554129192852276</v>
      </c>
      <c r="AC68" s="3" t="str">
        <f aca="false">Y68</f>
        <v/>
      </c>
      <c r="AD68" s="3" t="n">
        <f aca="false">R68</f>
        <v>0</v>
      </c>
    </row>
    <row r="69" customFormat="false" ht="15" hidden="false" customHeight="true" outlineLevel="0" collapsed="false">
      <c r="A69" s="7" t="s">
        <v>57</v>
      </c>
      <c r="B69" s="7" t="n">
        <v>1905</v>
      </c>
      <c r="C69" s="7" t="s">
        <v>143</v>
      </c>
      <c r="D69" s="7" t="n">
        <v>79</v>
      </c>
      <c r="E69" s="7" t="n">
        <v>74</v>
      </c>
      <c r="F69" s="3" t="n">
        <f aca="false">COUNTIFS($B$2:$B$2705,B69,$C$2:$C$2705,C69)</f>
        <v>1</v>
      </c>
      <c r="G69" s="3" t="n">
        <f aca="false">MIN(INT((MIN(B69,2020)-1900)/10)+1,12)</f>
        <v>1</v>
      </c>
      <c r="H69" s="3" t="n">
        <f aca="false">(MIN(B69,2020)-1900-10*(G69-1))/10</f>
        <v>0.5</v>
      </c>
      <c r="I69" s="20" t="n">
        <f aca="false">EXP(LN(INDEX(Pop_Inputs!$B$2:$N$29,MATCH(C69,Pop_Inputs!$A$2:$A$29,0),G69))*(1-H69)+LN(INDEX(Pop_Inputs!$B$2:$N$29,MATCH(C69,Pop_Inputs!$A$2:$A$29,0),G69+1))*H69)</f>
        <v>344231.076577929</v>
      </c>
      <c r="J69" s="20" t="n">
        <f aca="false">I69/F69</f>
        <v>344231.076577929</v>
      </c>
      <c r="K69" s="21" t="n">
        <f aca="false">D69/(D69+E69)</f>
        <v>0.516339869281046</v>
      </c>
      <c r="L69" s="21" t="n">
        <f aca="false">AVERAGEIFS($K$2:$K$2705,$B$2:$B$2705,B69)</f>
        <v>0.50026176264394</v>
      </c>
      <c r="M69" s="21" t="n">
        <f aca="false">K69-L69</f>
        <v>0.0160781066371055</v>
      </c>
      <c r="N69" s="21" t="n">
        <f aca="false">LN(J69)</f>
        <v>12.7490684450812</v>
      </c>
      <c r="O69" s="21" t="n">
        <f aca="false">AVERAGEIFS($N$2:$N$2705,$B$2:$B$2705,B69)</f>
        <v>13.224001686484</v>
      </c>
      <c r="P69" s="21" t="n">
        <f aca="false">N69-O69</f>
        <v>-0.474933241402727</v>
      </c>
      <c r="Q69" s="7" t="n">
        <v>0</v>
      </c>
      <c r="R69" s="3" t="n">
        <f aca="false">IF(AND(Q69=1,B69-_xlfn.MINIFS($B$2:$B$2705,$A$2:$A$2705,A69)&lt;10),1,0)</f>
        <v>0</v>
      </c>
      <c r="S69" s="7" t="n">
        <v>0</v>
      </c>
      <c r="T69" s="3" t="n">
        <f aca="false">_xlfn.MINIFS($B$2:$B$2705,$A$2:$A$2705,A69)</f>
        <v>1901</v>
      </c>
      <c r="U69" s="3" t="n">
        <f aca="false">B69-T69</f>
        <v>4</v>
      </c>
      <c r="V69" s="3" t="str">
        <f aca="false">INDEX(Pop_Inputs!$Q$2:$Q$29,MATCH(C69,Pop_Inputs!$A$2:$A$29,0))</f>
        <v>Midwest</v>
      </c>
      <c r="W69" s="30"/>
      <c r="X69" s="3" t="str">
        <f aca="false">IF(W69="","",LN(W69))</f>
        <v/>
      </c>
      <c r="Y69" s="3" t="str">
        <f aca="false">IF(X69="","",X69-AVERAGEIFS($X$2:$X$2705,$B$2:$B$2705,B69))</f>
        <v/>
      </c>
      <c r="Z69" s="21" t="n">
        <f aca="false">P69</f>
        <v>-0.474933241402727</v>
      </c>
      <c r="AA69" s="3" t="n">
        <f aca="false">R69</f>
        <v>0</v>
      </c>
      <c r="AB69" s="21" t="n">
        <f aca="false">P69</f>
        <v>-0.474933241402727</v>
      </c>
      <c r="AC69" s="3" t="str">
        <f aca="false">Y69</f>
        <v/>
      </c>
      <c r="AD69" s="3" t="n">
        <f aca="false">R69</f>
        <v>0</v>
      </c>
    </row>
    <row r="70" customFormat="false" ht="15" hidden="false" customHeight="true" outlineLevel="0" collapsed="false">
      <c r="A70" s="7" t="s">
        <v>66</v>
      </c>
      <c r="B70" s="7" t="n">
        <v>1905</v>
      </c>
      <c r="C70" s="7" t="s">
        <v>151</v>
      </c>
      <c r="D70" s="7" t="n">
        <v>76</v>
      </c>
      <c r="E70" s="7" t="n">
        <v>78</v>
      </c>
      <c r="F70" s="3" t="n">
        <f aca="false">COUNTIFS($B$2:$B$2705,B70,$C$2:$C$2705,C70)</f>
        <v>1</v>
      </c>
      <c r="G70" s="3" t="n">
        <f aca="false">MIN(INT((MIN(B70,2020)-1900)/10)+1,12)</f>
        <v>1</v>
      </c>
      <c r="H70" s="3" t="n">
        <f aca="false">(MIN(B70,2020)-1900-10*(G70-1))/10</f>
        <v>0.5</v>
      </c>
      <c r="I70" s="20" t="n">
        <f aca="false">EXP(LN(INDEX(Pop_Inputs!$B$2:$N$29,MATCH(C70,Pop_Inputs!$A$2:$A$29,0),G70))*(1-H70)+LN(INDEX(Pop_Inputs!$B$2:$N$29,MATCH(C70,Pop_Inputs!$A$2:$A$29,0),G70+1))*H70)</f>
        <v>462648.02191731</v>
      </c>
      <c r="J70" s="20" t="n">
        <f aca="false">I70/F70</f>
        <v>462648.02191731</v>
      </c>
      <c r="K70" s="21" t="n">
        <f aca="false">D70/(D70+E70)</f>
        <v>0.493506493506494</v>
      </c>
      <c r="L70" s="21" t="n">
        <f aca="false">AVERAGEIFS($K$2:$K$2705,$B$2:$B$2705,B70)</f>
        <v>0.50026176264394</v>
      </c>
      <c r="M70" s="21" t="n">
        <f aca="false">K70-L70</f>
        <v>-0.00675526913744678</v>
      </c>
      <c r="N70" s="21" t="n">
        <f aca="false">LN(J70)</f>
        <v>13.0447218321192</v>
      </c>
      <c r="O70" s="21" t="n">
        <f aca="false">AVERAGEIFS($N$2:$N$2705,$B$2:$B$2705,B70)</f>
        <v>13.224001686484</v>
      </c>
      <c r="P70" s="21" t="n">
        <f aca="false">N70-O70</f>
        <v>-0.179279854364815</v>
      </c>
      <c r="Q70" s="7" t="n">
        <v>0</v>
      </c>
      <c r="R70" s="3" t="n">
        <f aca="false">IF(AND(Q70=1,B70-_xlfn.MINIFS($B$2:$B$2705,$A$2:$A$2705,A70)&lt;10),1,0)</f>
        <v>0</v>
      </c>
      <c r="S70" s="7" t="n">
        <v>0</v>
      </c>
      <c r="T70" s="3" t="n">
        <f aca="false">_xlfn.MINIFS($B$2:$B$2705,$A$2:$A$2705,A70)</f>
        <v>1901</v>
      </c>
      <c r="U70" s="3" t="n">
        <f aca="false">B70-T70</f>
        <v>4</v>
      </c>
      <c r="V70" s="3" t="str">
        <f aca="false">INDEX(Pop_Inputs!$Q$2:$Q$29,MATCH(C70,Pop_Inputs!$A$2:$A$29,0))</f>
        <v>Midwest</v>
      </c>
      <c r="W70" s="30"/>
      <c r="X70" s="3" t="str">
        <f aca="false">IF(W70="","",LN(W70))</f>
        <v/>
      </c>
      <c r="Y70" s="3" t="str">
        <f aca="false">IF(X70="","",X70-AVERAGEIFS($X$2:$X$2705,$B$2:$B$2705,B70))</f>
        <v/>
      </c>
      <c r="Z70" s="21" t="n">
        <f aca="false">P70</f>
        <v>-0.179279854364815</v>
      </c>
      <c r="AA70" s="3" t="n">
        <f aca="false">R70</f>
        <v>0</v>
      </c>
      <c r="AB70" s="21" t="n">
        <f aca="false">P70</f>
        <v>-0.179279854364815</v>
      </c>
      <c r="AC70" s="3" t="str">
        <f aca="false">Y70</f>
        <v/>
      </c>
      <c r="AD70" s="3" t="n">
        <f aca="false">R70</f>
        <v>0</v>
      </c>
    </row>
    <row r="71" customFormat="false" ht="15" hidden="false" customHeight="true" outlineLevel="0" collapsed="false">
      <c r="A71" s="7" t="s">
        <v>67</v>
      </c>
      <c r="B71" s="7" t="n">
        <v>1905</v>
      </c>
      <c r="C71" s="7" t="s">
        <v>152</v>
      </c>
      <c r="D71" s="7" t="n">
        <v>79</v>
      </c>
      <c r="E71" s="7" t="n">
        <v>74</v>
      </c>
      <c r="F71" s="3" t="n">
        <f aca="false">COUNTIFS($B$2:$B$2705,B71,$C$2:$C$2705,C71)</f>
        <v>1</v>
      </c>
      <c r="G71" s="3" t="n">
        <f aca="false">MIN(INT((MIN(B71,2020)-1900)/10)+1,12)</f>
        <v>1</v>
      </c>
      <c r="H71" s="3" t="n">
        <f aca="false">(MIN(B71,2020)-1900-10*(G71-1))/10</f>
        <v>0.5</v>
      </c>
      <c r="I71" s="20" t="n">
        <f aca="false">EXP(LN(INDEX(Pop_Inputs!$B$2:$N$29,MATCH(C71,Pop_Inputs!$A$2:$A$29,0),G71))*(1-H71)+LN(INDEX(Pop_Inputs!$B$2:$N$29,MATCH(C71,Pop_Inputs!$A$2:$A$29,0),G71+1))*H71)</f>
        <v>364789.26692544</v>
      </c>
      <c r="J71" s="20" t="n">
        <f aca="false">I71/F71</f>
        <v>364789.26692544</v>
      </c>
      <c r="K71" s="21" t="n">
        <f aca="false">D71/(D71+E71)</f>
        <v>0.516339869281046</v>
      </c>
      <c r="L71" s="21" t="n">
        <f aca="false">AVERAGEIFS($K$2:$K$2705,$B$2:$B$2705,B71)</f>
        <v>0.50026176264394</v>
      </c>
      <c r="M71" s="21" t="n">
        <f aca="false">K71-L71</f>
        <v>0.0160781066371055</v>
      </c>
      <c r="N71" s="21" t="n">
        <f aca="false">LN(J71)</f>
        <v>12.8070751149442</v>
      </c>
      <c r="O71" s="21" t="n">
        <f aca="false">AVERAGEIFS($N$2:$N$2705,$B$2:$B$2705,B71)</f>
        <v>13.224001686484</v>
      </c>
      <c r="P71" s="21" t="n">
        <f aca="false">N71-O71</f>
        <v>-0.416926571539749</v>
      </c>
      <c r="Q71" s="7" t="n">
        <v>0</v>
      </c>
      <c r="R71" s="3" t="n">
        <f aca="false">IF(AND(Q71=1,B71-_xlfn.MINIFS($B$2:$B$2705,$A$2:$A$2705,A71)&lt;10),1,0)</f>
        <v>0</v>
      </c>
      <c r="S71" s="7" t="n">
        <v>0</v>
      </c>
      <c r="T71" s="3" t="n">
        <f aca="false">_xlfn.MINIFS($B$2:$B$2705,$A$2:$A$2705,A71)</f>
        <v>1901</v>
      </c>
      <c r="U71" s="3" t="n">
        <f aca="false">B71-T71</f>
        <v>4</v>
      </c>
      <c r="V71" s="3" t="str">
        <f aca="false">INDEX(Pop_Inputs!$Q$2:$Q$29,MATCH(C71,Pop_Inputs!$A$2:$A$29,0))</f>
        <v>Midwest</v>
      </c>
      <c r="W71" s="30"/>
      <c r="X71" s="3" t="str">
        <f aca="false">IF(W71="","",LN(W71))</f>
        <v/>
      </c>
      <c r="Y71" s="3" t="str">
        <f aca="false">IF(X71="","",X71-AVERAGEIFS($X$2:$X$2705,$B$2:$B$2705,B71))</f>
        <v/>
      </c>
      <c r="Z71" s="21" t="n">
        <f aca="false">P71</f>
        <v>-0.416926571539749</v>
      </c>
      <c r="AA71" s="3" t="n">
        <f aca="false">R71</f>
        <v>0</v>
      </c>
      <c r="AB71" s="21" t="n">
        <f aca="false">P71</f>
        <v>-0.416926571539749</v>
      </c>
      <c r="AC71" s="3" t="str">
        <f aca="false">Y71</f>
        <v/>
      </c>
      <c r="AD71" s="3" t="n">
        <f aca="false">R71</f>
        <v>0</v>
      </c>
    </row>
    <row r="72" customFormat="false" ht="15" hidden="false" customHeight="true" outlineLevel="0" collapsed="false">
      <c r="A72" s="7" t="s">
        <v>62</v>
      </c>
      <c r="B72" s="7" t="n">
        <v>1905</v>
      </c>
      <c r="C72" s="7" t="s">
        <v>154</v>
      </c>
      <c r="D72" s="7" t="n">
        <v>48</v>
      </c>
      <c r="E72" s="7" t="n">
        <v>104</v>
      </c>
      <c r="F72" s="3" t="n">
        <f aca="false">COUNTIFS($B$2:$B$2705,B72,$C$2:$C$2705,C72)</f>
        <v>3</v>
      </c>
      <c r="G72" s="3" t="n">
        <f aca="false">MIN(INT((MIN(B72,2020)-1900)/10)+1,12)</f>
        <v>1</v>
      </c>
      <c r="H72" s="3" t="n">
        <f aca="false">(MIN(B72,2020)-1900-10*(G72-1))/10</f>
        <v>0.5</v>
      </c>
      <c r="I72" s="20" t="n">
        <f aca="false">EXP(LN(INDEX(Pop_Inputs!$B$2:$N$29,MATCH(C72,Pop_Inputs!$A$2:$A$29,0),G72))*(1-H72)+LN(INDEX(Pop_Inputs!$B$2:$N$29,MATCH(C72,Pop_Inputs!$A$2:$A$29,0),G72+1))*H72)</f>
        <v>4047806.78656554</v>
      </c>
      <c r="J72" s="20" t="n">
        <f aca="false">I72/F72</f>
        <v>1349268.92885518</v>
      </c>
      <c r="K72" s="21" t="n">
        <f aca="false">D72/(D72+E72)</f>
        <v>0.315789473684211</v>
      </c>
      <c r="L72" s="21" t="n">
        <f aca="false">AVERAGEIFS($K$2:$K$2705,$B$2:$B$2705,B72)</f>
        <v>0.50026176264394</v>
      </c>
      <c r="M72" s="21" t="n">
        <f aca="false">K72-L72</f>
        <v>-0.18447228895973</v>
      </c>
      <c r="N72" s="21" t="n">
        <f aca="false">LN(J72)</f>
        <v>14.1150734695507</v>
      </c>
      <c r="O72" s="21" t="n">
        <f aca="false">AVERAGEIFS($N$2:$N$2705,$B$2:$B$2705,B72)</f>
        <v>13.224001686484</v>
      </c>
      <c r="P72" s="21" t="n">
        <f aca="false">N72-O72</f>
        <v>0.891071783066701</v>
      </c>
      <c r="Q72" s="7" t="n">
        <v>0</v>
      </c>
      <c r="R72" s="3" t="n">
        <f aca="false">IF(AND(Q72=1,B72-_xlfn.MINIFS($B$2:$B$2705,$A$2:$A$2705,A72)&lt;10),1,0)</f>
        <v>0</v>
      </c>
      <c r="S72" s="7" t="n">
        <v>0</v>
      </c>
      <c r="T72" s="3" t="n">
        <f aca="false">_xlfn.MINIFS($B$2:$B$2705,$A$2:$A$2705,A72)</f>
        <v>1901</v>
      </c>
      <c r="U72" s="3" t="n">
        <f aca="false">B72-T72</f>
        <v>4</v>
      </c>
      <c r="V72" s="3" t="str">
        <f aca="false">INDEX(Pop_Inputs!$Q$2:$Q$29,MATCH(C72,Pop_Inputs!$A$2:$A$29,0))</f>
        <v>Northeast</v>
      </c>
      <c r="W72" s="30"/>
      <c r="X72" s="3" t="str">
        <f aca="false">IF(W72="","",LN(W72))</f>
        <v/>
      </c>
      <c r="Y72" s="3" t="str">
        <f aca="false">IF(X72="","",X72-AVERAGEIFS($X$2:$X$2705,$B$2:$B$2705,B72))</f>
        <v/>
      </c>
      <c r="Z72" s="21" t="n">
        <f aca="false">P72</f>
        <v>0.891071783066701</v>
      </c>
      <c r="AA72" s="3" t="n">
        <f aca="false">R72</f>
        <v>0</v>
      </c>
      <c r="AB72" s="21" t="n">
        <f aca="false">P72</f>
        <v>0.891071783066701</v>
      </c>
      <c r="AC72" s="3" t="str">
        <f aca="false">Y72</f>
        <v/>
      </c>
      <c r="AD72" s="3" t="n">
        <f aca="false">R72</f>
        <v>0</v>
      </c>
    </row>
    <row r="73" customFormat="false" ht="15" hidden="false" customHeight="true" outlineLevel="0" collapsed="false">
      <c r="A73" s="7" t="s">
        <v>68</v>
      </c>
      <c r="B73" s="7" t="n">
        <v>1905</v>
      </c>
      <c r="C73" s="7" t="s">
        <v>160</v>
      </c>
      <c r="D73" s="7" t="n">
        <v>64</v>
      </c>
      <c r="E73" s="7" t="n">
        <v>87</v>
      </c>
      <c r="F73" s="3" t="n">
        <f aca="false">COUNTIFS($B$2:$B$2705,B73,$C$2:$C$2705,C73)</f>
        <v>1</v>
      </c>
      <c r="G73" s="3" t="n">
        <f aca="false">MIN(INT((MIN(B73,2020)-1900)/10)+1,12)</f>
        <v>1</v>
      </c>
      <c r="H73" s="3" t="n">
        <f aca="false">(MIN(B73,2020)-1900-10*(G73-1))/10</f>
        <v>0.5</v>
      </c>
      <c r="I73" s="20" t="n">
        <f aca="false">EXP(LN(INDEX(Pop_Inputs!$B$2:$N$29,MATCH(C73,Pop_Inputs!$A$2:$A$29,0),G73))*(1-H73)+LN(INDEX(Pop_Inputs!$B$2:$N$29,MATCH(C73,Pop_Inputs!$A$2:$A$29,0),G73+1))*H73)</f>
        <v>303767.821768535</v>
      </c>
      <c r="J73" s="20" t="n">
        <f aca="false">I73/F73</f>
        <v>303767.821768535</v>
      </c>
      <c r="K73" s="21" t="n">
        <f aca="false">D73/(D73+E73)</f>
        <v>0.423841059602649</v>
      </c>
      <c r="L73" s="21" t="n">
        <f aca="false">AVERAGEIFS($K$2:$K$2705,$B$2:$B$2705,B73)</f>
        <v>0.50026176264394</v>
      </c>
      <c r="M73" s="21" t="n">
        <f aca="false">K73-L73</f>
        <v>-0.0764207030412913</v>
      </c>
      <c r="N73" s="21" t="n">
        <f aca="false">LN(J73)</f>
        <v>12.6240189444047</v>
      </c>
      <c r="O73" s="21" t="n">
        <f aca="false">AVERAGEIFS($N$2:$N$2705,$B$2:$B$2705,B73)</f>
        <v>13.224001686484</v>
      </c>
      <c r="P73" s="21" t="n">
        <f aca="false">N73-O73</f>
        <v>-0.599982742079234</v>
      </c>
      <c r="Q73" s="7" t="n">
        <v>0</v>
      </c>
      <c r="R73" s="3" t="n">
        <f aca="false">IF(AND(Q73=1,B73-_xlfn.MINIFS($B$2:$B$2705,$A$2:$A$2705,A73)&lt;10),1,0)</f>
        <v>0</v>
      </c>
      <c r="S73" s="7" t="n">
        <v>0</v>
      </c>
      <c r="T73" s="3" t="n">
        <f aca="false">_xlfn.MINIFS($B$2:$B$2705,$A$2:$A$2705,A73)</f>
        <v>1901</v>
      </c>
      <c r="U73" s="3" t="n">
        <f aca="false">B73-T73</f>
        <v>4</v>
      </c>
      <c r="V73" s="3" t="str">
        <f aca="false">INDEX(Pop_Inputs!$Q$2:$Q$29,MATCH(C73,Pop_Inputs!$A$2:$A$29,0))</f>
        <v>South</v>
      </c>
      <c r="W73" s="30"/>
      <c r="X73" s="3" t="str">
        <f aca="false">IF(W73="","",LN(W73))</f>
        <v/>
      </c>
      <c r="Y73" s="3" t="str">
        <f aca="false">IF(X73="","",X73-AVERAGEIFS($X$2:$X$2705,$B$2:$B$2705,B73))</f>
        <v/>
      </c>
      <c r="Z73" s="21" t="n">
        <f aca="false">P73</f>
        <v>-0.599982742079234</v>
      </c>
      <c r="AA73" s="3" t="n">
        <f aca="false">R73</f>
        <v>0</v>
      </c>
      <c r="AB73" s="21" t="n">
        <f aca="false">P73</f>
        <v>-0.599982742079234</v>
      </c>
      <c r="AC73" s="3" t="str">
        <f aca="false">Y73</f>
        <v/>
      </c>
      <c r="AD73" s="3" t="n">
        <f aca="false">R73</f>
        <v>0</v>
      </c>
    </row>
    <row r="74" customFormat="false" ht="15" hidden="false" customHeight="true" outlineLevel="0" collapsed="false">
      <c r="A74" s="7" t="s">
        <v>70</v>
      </c>
      <c r="B74" s="7" t="n">
        <v>1905</v>
      </c>
      <c r="C74" s="7" t="s">
        <v>154</v>
      </c>
      <c r="D74" s="7" t="n">
        <v>71</v>
      </c>
      <c r="E74" s="7" t="n">
        <v>78</v>
      </c>
      <c r="F74" s="3" t="n">
        <f aca="false">COUNTIFS($B$2:$B$2705,B74,$C$2:$C$2705,C74)</f>
        <v>3</v>
      </c>
      <c r="G74" s="3" t="n">
        <f aca="false">MIN(INT((MIN(B74,2020)-1900)/10)+1,12)</f>
        <v>1</v>
      </c>
      <c r="H74" s="3" t="n">
        <f aca="false">(MIN(B74,2020)-1900-10*(G74-1))/10</f>
        <v>0.5</v>
      </c>
      <c r="I74" s="20" t="n">
        <f aca="false">EXP(LN(INDEX(Pop_Inputs!$B$2:$N$29,MATCH(C74,Pop_Inputs!$A$2:$A$29,0),G74))*(1-H74)+LN(INDEX(Pop_Inputs!$B$2:$N$29,MATCH(C74,Pop_Inputs!$A$2:$A$29,0),G74+1))*H74)</f>
        <v>4047806.78656554</v>
      </c>
      <c r="J74" s="20" t="n">
        <f aca="false">I74/F74</f>
        <v>1349268.92885518</v>
      </c>
      <c r="K74" s="21" t="n">
        <f aca="false">D74/(D74+E74)</f>
        <v>0.476510067114094</v>
      </c>
      <c r="L74" s="21" t="n">
        <f aca="false">AVERAGEIFS($K$2:$K$2705,$B$2:$B$2705,B74)</f>
        <v>0.50026176264394</v>
      </c>
      <c r="M74" s="21" t="n">
        <f aca="false">K74-L74</f>
        <v>-0.0237516955298464</v>
      </c>
      <c r="N74" s="21" t="n">
        <f aca="false">LN(J74)</f>
        <v>14.1150734695507</v>
      </c>
      <c r="O74" s="21" t="n">
        <f aca="false">AVERAGEIFS($N$2:$N$2705,$B$2:$B$2705,B74)</f>
        <v>13.224001686484</v>
      </c>
      <c r="P74" s="21" t="n">
        <f aca="false">N74-O74</f>
        <v>0.891071783066701</v>
      </c>
      <c r="Q74" s="7" t="n">
        <v>0</v>
      </c>
      <c r="R74" s="3" t="n">
        <f aca="false">IF(AND(Q74=1,B74-_xlfn.MINIFS($B$2:$B$2705,$A$2:$A$2705,A74)&lt;10),1,0)</f>
        <v>0</v>
      </c>
      <c r="S74" s="7" t="n">
        <v>1</v>
      </c>
      <c r="T74" s="3" t="n">
        <f aca="false">_xlfn.MINIFS($B$2:$B$2705,$A$2:$A$2705,A74)</f>
        <v>1903</v>
      </c>
      <c r="U74" s="3" t="n">
        <f aca="false">B74-T74</f>
        <v>2</v>
      </c>
      <c r="V74" s="3" t="str">
        <f aca="false">INDEX(Pop_Inputs!$Q$2:$Q$29,MATCH(C74,Pop_Inputs!$A$2:$A$29,0))</f>
        <v>Northeast</v>
      </c>
      <c r="W74" s="30"/>
      <c r="X74" s="3" t="str">
        <f aca="false">IF(W74="","",LN(W74))</f>
        <v/>
      </c>
      <c r="Y74" s="3" t="str">
        <f aca="false">IF(X74="","",X74-AVERAGEIFS($X$2:$X$2705,$B$2:$B$2705,B74))</f>
        <v/>
      </c>
      <c r="Z74" s="21" t="n">
        <f aca="false">P74</f>
        <v>0.891071783066701</v>
      </c>
      <c r="AA74" s="3" t="n">
        <f aca="false">R74</f>
        <v>0</v>
      </c>
      <c r="AB74" s="21" t="n">
        <f aca="false">P74</f>
        <v>0.891071783066701</v>
      </c>
      <c r="AC74" s="3" t="str">
        <f aca="false">Y74</f>
        <v/>
      </c>
      <c r="AD74" s="3" t="n">
        <f aca="false">R74</f>
        <v>0</v>
      </c>
    </row>
    <row r="75" customFormat="false" ht="15" hidden="false" customHeight="true" outlineLevel="0" collapsed="false">
      <c r="A75" s="7" t="s">
        <v>69</v>
      </c>
      <c r="B75" s="7" t="n">
        <v>1905</v>
      </c>
      <c r="C75" s="7" t="s">
        <v>146</v>
      </c>
      <c r="D75" s="7" t="n">
        <v>92</v>
      </c>
      <c r="E75" s="7" t="n">
        <v>56</v>
      </c>
      <c r="F75" s="3" t="n">
        <f aca="false">COUNTIFS($B$2:$B$2705,B75,$C$2:$C$2705,C75)</f>
        <v>2</v>
      </c>
      <c r="G75" s="3" t="n">
        <f aca="false">MIN(INT((MIN(B75,2020)-1900)/10)+1,12)</f>
        <v>1</v>
      </c>
      <c r="H75" s="3" t="n">
        <f aca="false">(MIN(B75,2020)-1900-10*(G75-1))/10</f>
        <v>0.5</v>
      </c>
      <c r="I75" s="20" t="n">
        <f aca="false">EXP(LN(INDEX(Pop_Inputs!$B$2:$N$29,MATCH(C75,Pop_Inputs!$A$2:$A$29,0),G75))*(1-H75)+LN(INDEX(Pop_Inputs!$B$2:$N$29,MATCH(C75,Pop_Inputs!$A$2:$A$29,0),G75+1))*H75)</f>
        <v>1415608.35070156</v>
      </c>
      <c r="J75" s="20" t="n">
        <f aca="false">I75/F75</f>
        <v>707804.175350781</v>
      </c>
      <c r="K75" s="21" t="n">
        <f aca="false">D75/(D75+E75)</f>
        <v>0.621621621621622</v>
      </c>
      <c r="L75" s="21" t="n">
        <f aca="false">AVERAGEIFS($K$2:$K$2705,$B$2:$B$2705,B75)</f>
        <v>0.50026176264394</v>
      </c>
      <c r="M75" s="21" t="n">
        <f aca="false">K75-L75</f>
        <v>0.121359858977681</v>
      </c>
      <c r="N75" s="21" t="n">
        <f aca="false">LN(J75)</f>
        <v>13.4699227459306</v>
      </c>
      <c r="O75" s="21" t="n">
        <f aca="false">AVERAGEIFS($N$2:$N$2705,$B$2:$B$2705,B75)</f>
        <v>13.224001686484</v>
      </c>
      <c r="P75" s="21" t="n">
        <f aca="false">N75-O75</f>
        <v>0.245921059446639</v>
      </c>
      <c r="Q75" s="7" t="n">
        <v>0</v>
      </c>
      <c r="R75" s="3" t="n">
        <f aca="false">IF(AND(Q75=1,B75-_xlfn.MINIFS($B$2:$B$2705,$A$2:$A$2705,A75)&lt;10),1,0)</f>
        <v>0</v>
      </c>
      <c r="S75" s="7" t="n">
        <v>0</v>
      </c>
      <c r="T75" s="3" t="n">
        <f aca="false">_xlfn.MINIFS($B$2:$B$2705,$A$2:$A$2705,A75)</f>
        <v>1901</v>
      </c>
      <c r="U75" s="3" t="n">
        <f aca="false">B75-T75</f>
        <v>4</v>
      </c>
      <c r="V75" s="3" t="str">
        <f aca="false">INDEX(Pop_Inputs!$Q$2:$Q$29,MATCH(C75,Pop_Inputs!$A$2:$A$29,0))</f>
        <v>Northeast</v>
      </c>
      <c r="W75" s="30"/>
      <c r="X75" s="3" t="str">
        <f aca="false">IF(W75="","",LN(W75))</f>
        <v/>
      </c>
      <c r="Y75" s="3" t="str">
        <f aca="false">IF(X75="","",X75-AVERAGEIFS($X$2:$X$2705,$B$2:$B$2705,B75))</f>
        <v/>
      </c>
      <c r="Z75" s="21" t="n">
        <f aca="false">P75</f>
        <v>0.245921059446639</v>
      </c>
      <c r="AA75" s="3" t="n">
        <f aca="false">R75</f>
        <v>0</v>
      </c>
      <c r="AB75" s="21" t="n">
        <f aca="false">P75</f>
        <v>0.245921059446639</v>
      </c>
      <c r="AC75" s="3" t="str">
        <f aca="false">Y75</f>
        <v/>
      </c>
      <c r="AD75" s="3" t="n">
        <f aca="false">R75</f>
        <v>0</v>
      </c>
    </row>
    <row r="76" customFormat="false" ht="15" hidden="false" customHeight="true" outlineLevel="0" collapsed="false">
      <c r="A76" s="7" t="s">
        <v>60</v>
      </c>
      <c r="B76" s="7" t="n">
        <v>1905</v>
      </c>
      <c r="C76" s="7" t="s">
        <v>146</v>
      </c>
      <c r="D76" s="7" t="n">
        <v>83</v>
      </c>
      <c r="E76" s="7" t="n">
        <v>69</v>
      </c>
      <c r="F76" s="3" t="n">
        <f aca="false">COUNTIFS($B$2:$B$2705,B76,$C$2:$C$2705,C76)</f>
        <v>2</v>
      </c>
      <c r="G76" s="3" t="n">
        <f aca="false">MIN(INT((MIN(B76,2020)-1900)/10)+1,12)</f>
        <v>1</v>
      </c>
      <c r="H76" s="3" t="n">
        <f aca="false">(MIN(B76,2020)-1900-10*(G76-1))/10</f>
        <v>0.5</v>
      </c>
      <c r="I76" s="20" t="n">
        <f aca="false">EXP(LN(INDEX(Pop_Inputs!$B$2:$N$29,MATCH(C76,Pop_Inputs!$A$2:$A$29,0),G76))*(1-H76)+LN(INDEX(Pop_Inputs!$B$2:$N$29,MATCH(C76,Pop_Inputs!$A$2:$A$29,0),G76+1))*H76)</f>
        <v>1415608.35070156</v>
      </c>
      <c r="J76" s="20" t="n">
        <f aca="false">I76/F76</f>
        <v>707804.175350781</v>
      </c>
      <c r="K76" s="21" t="n">
        <f aca="false">D76/(D76+E76)</f>
        <v>0.546052631578947</v>
      </c>
      <c r="L76" s="21" t="n">
        <f aca="false">AVERAGEIFS($K$2:$K$2705,$B$2:$B$2705,B76)</f>
        <v>0.50026176264394</v>
      </c>
      <c r="M76" s="21" t="n">
        <f aca="false">K76-L76</f>
        <v>0.0457908689350071</v>
      </c>
      <c r="N76" s="21" t="n">
        <f aca="false">LN(J76)</f>
        <v>13.4699227459306</v>
      </c>
      <c r="O76" s="21" t="n">
        <f aca="false">AVERAGEIFS($N$2:$N$2705,$B$2:$B$2705,B76)</f>
        <v>13.224001686484</v>
      </c>
      <c r="P76" s="21" t="n">
        <f aca="false">N76-O76</f>
        <v>0.245921059446639</v>
      </c>
      <c r="Q76" s="7" t="n">
        <v>0</v>
      </c>
      <c r="R76" s="3" t="n">
        <f aca="false">IF(AND(Q76=1,B76-_xlfn.MINIFS($B$2:$B$2705,$A$2:$A$2705,A76)&lt;10),1,0)</f>
        <v>0</v>
      </c>
      <c r="S76" s="7" t="n">
        <v>0</v>
      </c>
      <c r="T76" s="3" t="n">
        <f aca="false">_xlfn.MINIFS($B$2:$B$2705,$A$2:$A$2705,A76)</f>
        <v>1901</v>
      </c>
      <c r="U76" s="3" t="n">
        <f aca="false">B76-T76</f>
        <v>4</v>
      </c>
      <c r="V76" s="3" t="str">
        <f aca="false">INDEX(Pop_Inputs!$Q$2:$Q$29,MATCH(C76,Pop_Inputs!$A$2:$A$29,0))</f>
        <v>Northeast</v>
      </c>
      <c r="W76" s="30"/>
      <c r="X76" s="3" t="str">
        <f aca="false">IF(W76="","",LN(W76))</f>
        <v/>
      </c>
      <c r="Y76" s="3" t="str">
        <f aca="false">IF(X76="","",X76-AVERAGEIFS($X$2:$X$2705,$B$2:$B$2705,B76))</f>
        <v/>
      </c>
      <c r="Z76" s="21" t="n">
        <f aca="false">P76</f>
        <v>0.245921059446639</v>
      </c>
      <c r="AA76" s="3" t="n">
        <f aca="false">R76</f>
        <v>0</v>
      </c>
      <c r="AB76" s="21" t="n">
        <f aca="false">P76</f>
        <v>0.245921059446639</v>
      </c>
      <c r="AC76" s="3" t="str">
        <f aca="false">Y76</f>
        <v/>
      </c>
      <c r="AD76" s="3" t="n">
        <f aca="false">R76</f>
        <v>0</v>
      </c>
    </row>
    <row r="77" customFormat="false" ht="15" hidden="false" customHeight="true" outlineLevel="0" collapsed="false">
      <c r="A77" s="7" t="s">
        <v>58</v>
      </c>
      <c r="B77" s="7" t="n">
        <v>1905</v>
      </c>
      <c r="C77" s="7" t="s">
        <v>144</v>
      </c>
      <c r="D77" s="7" t="n">
        <v>96</v>
      </c>
      <c r="E77" s="7" t="n">
        <v>57</v>
      </c>
      <c r="F77" s="3" t="n">
        <f aca="false">COUNTIFS($B$2:$B$2705,B77,$C$2:$C$2705,C77)</f>
        <v>1</v>
      </c>
      <c r="G77" s="3" t="n">
        <f aca="false">MIN(INT((MIN(B77,2020)-1900)/10)+1,12)</f>
        <v>1</v>
      </c>
      <c r="H77" s="3" t="n">
        <f aca="false">(MIN(B77,2020)-1900-10*(G77-1))/10</f>
        <v>0.5</v>
      </c>
      <c r="I77" s="20" t="n">
        <f aca="false">EXP(LN(INDEX(Pop_Inputs!$B$2:$N$29,MATCH(C77,Pop_Inputs!$A$2:$A$29,0),G77))*(1-H77)+LN(INDEX(Pop_Inputs!$B$2:$N$29,MATCH(C77,Pop_Inputs!$A$2:$A$29,0),G77+1))*H77)</f>
        <v>414381.937926836</v>
      </c>
      <c r="J77" s="20" t="n">
        <f aca="false">I77/F77</f>
        <v>414381.937926836</v>
      </c>
      <c r="K77" s="21" t="n">
        <f aca="false">D77/(D77+E77)</f>
        <v>0.627450980392157</v>
      </c>
      <c r="L77" s="21" t="n">
        <f aca="false">AVERAGEIFS($K$2:$K$2705,$B$2:$B$2705,B77)</f>
        <v>0.50026176264394</v>
      </c>
      <c r="M77" s="21" t="n">
        <f aca="false">K77-L77</f>
        <v>0.127189217748217</v>
      </c>
      <c r="N77" s="21" t="n">
        <f aca="false">LN(J77)</f>
        <v>12.9345433828936</v>
      </c>
      <c r="O77" s="21" t="n">
        <f aca="false">AVERAGEIFS($N$2:$N$2705,$B$2:$B$2705,B77)</f>
        <v>13.224001686484</v>
      </c>
      <c r="P77" s="21" t="n">
        <f aca="false">N77-O77</f>
        <v>-0.289458303590351</v>
      </c>
      <c r="Q77" s="7" t="n">
        <v>0</v>
      </c>
      <c r="R77" s="3" t="n">
        <f aca="false">IF(AND(Q77=1,B77-_xlfn.MINIFS($B$2:$B$2705,$A$2:$A$2705,A77)&lt;10),1,0)</f>
        <v>0</v>
      </c>
      <c r="S77" s="7" t="n">
        <v>0</v>
      </c>
      <c r="T77" s="3" t="n">
        <f aca="false">_xlfn.MINIFS($B$2:$B$2705,$A$2:$A$2705,A77)</f>
        <v>1901</v>
      </c>
      <c r="U77" s="3" t="n">
        <f aca="false">B77-T77</f>
        <v>4</v>
      </c>
      <c r="V77" s="3" t="str">
        <f aca="false">INDEX(Pop_Inputs!$Q$2:$Q$29,MATCH(C77,Pop_Inputs!$A$2:$A$29,0))</f>
        <v>Northeast</v>
      </c>
      <c r="W77" s="30"/>
      <c r="X77" s="3" t="str">
        <f aca="false">IF(W77="","",LN(W77))</f>
        <v/>
      </c>
      <c r="Y77" s="3" t="str">
        <f aca="false">IF(X77="","",X77-AVERAGEIFS($X$2:$X$2705,$B$2:$B$2705,B77))</f>
        <v/>
      </c>
      <c r="Z77" s="21" t="n">
        <f aca="false">P77</f>
        <v>-0.289458303590351</v>
      </c>
      <c r="AA77" s="3" t="n">
        <f aca="false">R77</f>
        <v>0</v>
      </c>
      <c r="AB77" s="21" t="n">
        <f aca="false">P77</f>
        <v>-0.289458303590351</v>
      </c>
      <c r="AC77" s="3" t="str">
        <f aca="false">Y77</f>
        <v/>
      </c>
      <c r="AD77" s="3" t="n">
        <f aca="false">R77</f>
        <v>0</v>
      </c>
    </row>
    <row r="78" customFormat="false" ht="15" hidden="false" customHeight="true" outlineLevel="0" collapsed="false">
      <c r="A78" s="7" t="s">
        <v>61</v>
      </c>
      <c r="B78" s="7" t="n">
        <v>1905</v>
      </c>
      <c r="C78" s="7" t="s">
        <v>154</v>
      </c>
      <c r="D78" s="7" t="n">
        <v>105</v>
      </c>
      <c r="E78" s="7" t="n">
        <v>48</v>
      </c>
      <c r="F78" s="3" t="n">
        <f aca="false">COUNTIFS($B$2:$B$2705,B78,$C$2:$C$2705,C78)</f>
        <v>3</v>
      </c>
      <c r="G78" s="3" t="n">
        <f aca="false">MIN(INT((MIN(B78,2020)-1900)/10)+1,12)</f>
        <v>1</v>
      </c>
      <c r="H78" s="3" t="n">
        <f aca="false">(MIN(B78,2020)-1900-10*(G78-1))/10</f>
        <v>0.5</v>
      </c>
      <c r="I78" s="20" t="n">
        <f aca="false">EXP(LN(INDEX(Pop_Inputs!$B$2:$N$29,MATCH(C78,Pop_Inputs!$A$2:$A$29,0),G78))*(1-H78)+LN(INDEX(Pop_Inputs!$B$2:$N$29,MATCH(C78,Pop_Inputs!$A$2:$A$29,0),G78+1))*H78)</f>
        <v>4047806.78656554</v>
      </c>
      <c r="J78" s="20" t="n">
        <f aca="false">I78/F78</f>
        <v>1349268.92885518</v>
      </c>
      <c r="K78" s="21" t="n">
        <f aca="false">D78/(D78+E78)</f>
        <v>0.686274509803922</v>
      </c>
      <c r="L78" s="21" t="n">
        <f aca="false">AVERAGEIFS($K$2:$K$2705,$B$2:$B$2705,B78)</f>
        <v>0.50026176264394</v>
      </c>
      <c r="M78" s="21" t="n">
        <f aca="false">K78-L78</f>
        <v>0.186012747159981</v>
      </c>
      <c r="N78" s="21" t="n">
        <f aca="false">LN(J78)</f>
        <v>14.1150734695507</v>
      </c>
      <c r="O78" s="21" t="n">
        <f aca="false">AVERAGEIFS($N$2:$N$2705,$B$2:$B$2705,B78)</f>
        <v>13.224001686484</v>
      </c>
      <c r="P78" s="21" t="n">
        <f aca="false">N78-O78</f>
        <v>0.891071783066701</v>
      </c>
      <c r="Q78" s="7" t="n">
        <v>0</v>
      </c>
      <c r="R78" s="3" t="n">
        <f aca="false">IF(AND(Q78=1,B78-_xlfn.MINIFS($B$2:$B$2705,$A$2:$A$2705,A78)&lt;10),1,0)</f>
        <v>0</v>
      </c>
      <c r="S78" s="7" t="n">
        <v>0</v>
      </c>
      <c r="T78" s="3" t="n">
        <f aca="false">_xlfn.MINIFS($B$2:$B$2705,$A$2:$A$2705,A78)</f>
        <v>1901</v>
      </c>
      <c r="U78" s="3" t="n">
        <f aca="false">B78-T78</f>
        <v>4</v>
      </c>
      <c r="V78" s="3" t="str">
        <f aca="false">INDEX(Pop_Inputs!$Q$2:$Q$29,MATCH(C78,Pop_Inputs!$A$2:$A$29,0))</f>
        <v>Northeast</v>
      </c>
      <c r="W78" s="30"/>
      <c r="X78" s="3" t="str">
        <f aca="false">IF(W78="","",LN(W78))</f>
        <v/>
      </c>
      <c r="Y78" s="3" t="str">
        <f aca="false">IF(X78="","",X78-AVERAGEIFS($X$2:$X$2705,$B$2:$B$2705,B78))</f>
        <v/>
      </c>
      <c r="Z78" s="21" t="n">
        <f aca="false">P78</f>
        <v>0.891071783066701</v>
      </c>
      <c r="AA78" s="3" t="n">
        <f aca="false">R78</f>
        <v>0</v>
      </c>
      <c r="AB78" s="21" t="n">
        <f aca="false">P78</f>
        <v>0.891071783066701</v>
      </c>
      <c r="AC78" s="3" t="str">
        <f aca="false">Y78</f>
        <v/>
      </c>
      <c r="AD78" s="3" t="n">
        <f aca="false">R78</f>
        <v>0</v>
      </c>
    </row>
    <row r="79" customFormat="false" ht="15" hidden="false" customHeight="true" outlineLevel="0" collapsed="false">
      <c r="A79" s="7" t="s">
        <v>59</v>
      </c>
      <c r="B79" s="7" t="n">
        <v>1905</v>
      </c>
      <c r="C79" s="7" t="s">
        <v>145</v>
      </c>
      <c r="D79" s="7" t="n">
        <v>58</v>
      </c>
      <c r="E79" s="7" t="n">
        <v>96</v>
      </c>
      <c r="F79" s="3" t="n">
        <f aca="false">COUNTIFS($B$2:$B$2705,B79,$C$2:$C$2705,C79)</f>
        <v>2</v>
      </c>
      <c r="G79" s="3" t="n">
        <f aca="false">MIN(INT((MIN(B79,2020)-1900)/10)+1,12)</f>
        <v>1</v>
      </c>
      <c r="H79" s="3" t="n">
        <f aca="false">(MIN(B79,2020)-1900-10*(G79-1))/10</f>
        <v>0.5</v>
      </c>
      <c r="I79" s="20" t="n">
        <f aca="false">EXP(LN(INDEX(Pop_Inputs!$B$2:$N$29,MATCH(C79,Pop_Inputs!$A$2:$A$29,0),G79))*(1-H79)+LN(INDEX(Pop_Inputs!$B$2:$N$29,MATCH(C79,Pop_Inputs!$A$2:$A$29,0),G79+1))*H79)</f>
        <v>628653.47203527</v>
      </c>
      <c r="J79" s="20" t="n">
        <f aca="false">I79/F79</f>
        <v>314326.736017635</v>
      </c>
      <c r="K79" s="21" t="n">
        <f aca="false">D79/(D79+E79)</f>
        <v>0.376623376623377</v>
      </c>
      <c r="L79" s="21" t="n">
        <f aca="false">AVERAGEIFS($K$2:$K$2705,$B$2:$B$2705,B79)</f>
        <v>0.50026176264394</v>
      </c>
      <c r="M79" s="21" t="n">
        <f aca="false">K79-L79</f>
        <v>-0.123638386020564</v>
      </c>
      <c r="N79" s="21" t="n">
        <f aca="false">LN(J79)</f>
        <v>12.6581882844482</v>
      </c>
      <c r="O79" s="21" t="n">
        <f aca="false">AVERAGEIFS($N$2:$N$2705,$B$2:$B$2705,B79)</f>
        <v>13.224001686484</v>
      </c>
      <c r="P79" s="21" t="n">
        <f aca="false">N79-O79</f>
        <v>-0.56581340203574</v>
      </c>
      <c r="Q79" s="7" t="n">
        <v>0</v>
      </c>
      <c r="R79" s="3" t="n">
        <f aca="false">IF(AND(Q79=1,B79-_xlfn.MINIFS($B$2:$B$2705,$A$2:$A$2705,A79)&lt;10),1,0)</f>
        <v>0</v>
      </c>
      <c r="S79" s="7" t="n">
        <v>0</v>
      </c>
      <c r="T79" s="3" t="n">
        <f aca="false">_xlfn.MINIFS($B$2:$B$2705,$A$2:$A$2705,A79)</f>
        <v>1901</v>
      </c>
      <c r="U79" s="3" t="n">
        <f aca="false">B79-T79</f>
        <v>4</v>
      </c>
      <c r="V79" s="3" t="str">
        <f aca="false">INDEX(Pop_Inputs!$Q$2:$Q$29,MATCH(C79,Pop_Inputs!$A$2:$A$29,0))</f>
        <v>Midwest</v>
      </c>
      <c r="W79" s="30"/>
      <c r="X79" s="3" t="str">
        <f aca="false">IF(W79="","",LN(W79))</f>
        <v/>
      </c>
      <c r="Y79" s="3" t="str">
        <f aca="false">IF(X79="","",X79-AVERAGEIFS($X$2:$X$2705,$B$2:$B$2705,B79))</f>
        <v/>
      </c>
      <c r="Z79" s="21" t="n">
        <f aca="false">P79</f>
        <v>-0.56581340203574</v>
      </c>
      <c r="AA79" s="3" t="n">
        <f aca="false">R79</f>
        <v>0</v>
      </c>
      <c r="AB79" s="21" t="n">
        <f aca="false">P79</f>
        <v>-0.56581340203574</v>
      </c>
      <c r="AC79" s="3" t="str">
        <f aca="false">Y79</f>
        <v/>
      </c>
      <c r="AD79" s="3" t="n">
        <f aca="false">R79</f>
        <v>0</v>
      </c>
    </row>
    <row r="80" customFormat="false" ht="15" hidden="false" customHeight="true" outlineLevel="0" collapsed="false">
      <c r="A80" s="7" t="s">
        <v>54</v>
      </c>
      <c r="B80" s="7" t="n">
        <v>1906</v>
      </c>
      <c r="C80" s="7" t="s">
        <v>150</v>
      </c>
      <c r="D80" s="7" t="n">
        <v>49</v>
      </c>
      <c r="E80" s="7" t="n">
        <v>102</v>
      </c>
      <c r="F80" s="3" t="n">
        <f aca="false">COUNTIFS($B$2:$B$2705,B80,$C$2:$C$2705,C80)</f>
        <v>2</v>
      </c>
      <c r="G80" s="3" t="n">
        <f aca="false">MIN(INT((MIN(B80,2020)-1900)/10)+1,12)</f>
        <v>1</v>
      </c>
      <c r="H80" s="3" t="n">
        <f aca="false">(MIN(B80,2020)-1900-10*(G80-1))/10</f>
        <v>0.6</v>
      </c>
      <c r="I80" s="20" t="n">
        <f aca="false">EXP(LN(INDEX(Pop_Inputs!$B$2:$N$29,MATCH(C80,Pop_Inputs!$A$2:$A$29,0),G80))*(1-H80)+LN(INDEX(Pop_Inputs!$B$2:$N$29,MATCH(C80,Pop_Inputs!$A$2:$A$29,0),G80+1))*H80)</f>
        <v>624344.081401769</v>
      </c>
      <c r="J80" s="20" t="n">
        <f aca="false">I80/F80</f>
        <v>312172.040700884</v>
      </c>
      <c r="K80" s="21" t="n">
        <f aca="false">D80/(D80+E80)</f>
        <v>0.324503311258278</v>
      </c>
      <c r="L80" s="21" t="n">
        <f aca="false">AVERAGEIFS($K$2:$K$2705,$B$2:$B$2705,B80)</f>
        <v>0.499926900470694</v>
      </c>
      <c r="M80" s="21" t="n">
        <f aca="false">K80-L80</f>
        <v>-0.175423589212416</v>
      </c>
      <c r="N80" s="21" t="n">
        <f aca="false">LN(J80)</f>
        <v>12.6513097273224</v>
      </c>
      <c r="O80" s="21" t="n">
        <f aca="false">AVERAGEIFS($N$2:$N$2705,$B$2:$B$2705,B80)</f>
        <v>13.2503711840643</v>
      </c>
      <c r="P80" s="21" t="n">
        <f aca="false">N80-O80</f>
        <v>-0.599061456741822</v>
      </c>
      <c r="Q80" s="7" t="n">
        <v>0</v>
      </c>
      <c r="R80" s="3" t="n">
        <f aca="false">IF(AND(Q80=1,B80-_xlfn.MINIFS($B$2:$B$2705,$A$2:$A$2705,A80)&lt;10),1,0)</f>
        <v>0</v>
      </c>
      <c r="S80" s="7" t="n">
        <v>0</v>
      </c>
      <c r="T80" s="3" t="n">
        <f aca="false">_xlfn.MINIFS($B$2:$B$2705,$A$2:$A$2705,A80)</f>
        <v>1901</v>
      </c>
      <c r="U80" s="3" t="n">
        <f aca="false">B80-T80</f>
        <v>5</v>
      </c>
      <c r="V80" s="3" t="str">
        <f aca="false">INDEX(Pop_Inputs!$Q$2:$Q$29,MATCH(C80,Pop_Inputs!$A$2:$A$29,0))</f>
        <v>Northeast</v>
      </c>
      <c r="W80" s="30"/>
      <c r="X80" s="3" t="str">
        <f aca="false">IF(W80="","",LN(W80))</f>
        <v/>
      </c>
      <c r="Y80" s="3" t="str">
        <f aca="false">IF(X80="","",X80-AVERAGEIFS($X$2:$X$2705,$B$2:$B$2705,B80))</f>
        <v/>
      </c>
      <c r="Z80" s="21" t="n">
        <f aca="false">P80</f>
        <v>-0.599061456741822</v>
      </c>
      <c r="AA80" s="3" t="n">
        <f aca="false">R80</f>
        <v>0</v>
      </c>
      <c r="AB80" s="21" t="n">
        <f aca="false">P80</f>
        <v>-0.599061456741822</v>
      </c>
      <c r="AC80" s="3" t="str">
        <f aca="false">Y80</f>
        <v/>
      </c>
      <c r="AD80" s="3" t="n">
        <f aca="false">R80</f>
        <v>0</v>
      </c>
    </row>
    <row r="81" customFormat="false" ht="15" hidden="false" customHeight="true" outlineLevel="0" collapsed="false">
      <c r="A81" s="7" t="s">
        <v>63</v>
      </c>
      <c r="B81" s="7" t="n">
        <v>1906</v>
      </c>
      <c r="C81" s="7" t="s">
        <v>145</v>
      </c>
      <c r="D81" s="7" t="n">
        <v>76</v>
      </c>
      <c r="E81" s="7" t="n">
        <v>73</v>
      </c>
      <c r="F81" s="3" t="n">
        <f aca="false">COUNTIFS($B$2:$B$2705,B81,$C$2:$C$2705,C81)</f>
        <v>2</v>
      </c>
      <c r="G81" s="3" t="n">
        <f aca="false">MIN(INT((MIN(B81,2020)-1900)/10)+1,12)</f>
        <v>1</v>
      </c>
      <c r="H81" s="3" t="n">
        <f aca="false">(MIN(B81,2020)-1900-10*(G81-1))/10</f>
        <v>0.6</v>
      </c>
      <c r="I81" s="20" t="n">
        <f aca="false">EXP(LN(INDEX(Pop_Inputs!$B$2:$N$29,MATCH(C81,Pop_Inputs!$A$2:$A$29,0),G81))*(1-H81)+LN(INDEX(Pop_Inputs!$B$2:$N$29,MATCH(C81,Pop_Inputs!$A$2:$A$29,0),G81+1))*H81)</f>
        <v>639917.620174063</v>
      </c>
      <c r="J81" s="20" t="n">
        <f aca="false">I81/F81</f>
        <v>319958.810087031</v>
      </c>
      <c r="K81" s="21" t="n">
        <f aca="false">D81/(D81+E81)</f>
        <v>0.51006711409396</v>
      </c>
      <c r="L81" s="21" t="n">
        <f aca="false">AVERAGEIFS($K$2:$K$2705,$B$2:$B$2705,B81)</f>
        <v>0.499926900470694</v>
      </c>
      <c r="M81" s="21" t="n">
        <f aca="false">K81-L81</f>
        <v>0.0101402136232661</v>
      </c>
      <c r="N81" s="21" t="n">
        <f aca="false">LN(J81)</f>
        <v>12.6759475480129</v>
      </c>
      <c r="O81" s="21" t="n">
        <f aca="false">AVERAGEIFS($N$2:$N$2705,$B$2:$B$2705,B81)</f>
        <v>13.2503711840643</v>
      </c>
      <c r="P81" s="21" t="n">
        <f aca="false">N81-O81</f>
        <v>-0.574423636051318</v>
      </c>
      <c r="Q81" s="7" t="n">
        <v>0</v>
      </c>
      <c r="R81" s="3" t="n">
        <f aca="false">IF(AND(Q81=1,B81-_xlfn.MINIFS($B$2:$B$2705,$A$2:$A$2705,A81)&lt;10),1,0)</f>
        <v>0</v>
      </c>
      <c r="S81" s="7" t="n">
        <v>0</v>
      </c>
      <c r="T81" s="3" t="n">
        <f aca="false">_xlfn.MINIFS($B$2:$B$2705,$A$2:$A$2705,A81)</f>
        <v>1901</v>
      </c>
      <c r="U81" s="3" t="n">
        <f aca="false">B81-T81</f>
        <v>5</v>
      </c>
      <c r="V81" s="3" t="str">
        <f aca="false">INDEX(Pop_Inputs!$Q$2:$Q$29,MATCH(C81,Pop_Inputs!$A$2:$A$29,0))</f>
        <v>Midwest</v>
      </c>
      <c r="W81" s="30"/>
      <c r="X81" s="3" t="str">
        <f aca="false">IF(W81="","",LN(W81))</f>
        <v/>
      </c>
      <c r="Y81" s="3" t="str">
        <f aca="false">IF(X81="","",X81-AVERAGEIFS($X$2:$X$2705,$B$2:$B$2705,B81))</f>
        <v/>
      </c>
      <c r="Z81" s="21" t="n">
        <f aca="false">P81</f>
        <v>-0.574423636051318</v>
      </c>
      <c r="AA81" s="3" t="n">
        <f aca="false">R81</f>
        <v>0</v>
      </c>
      <c r="AB81" s="21" t="n">
        <f aca="false">P81</f>
        <v>-0.574423636051318</v>
      </c>
      <c r="AC81" s="3" t="str">
        <f aca="false">Y81</f>
        <v/>
      </c>
      <c r="AD81" s="3" t="n">
        <f aca="false">R81</f>
        <v>0</v>
      </c>
    </row>
    <row r="82" customFormat="false" ht="15" hidden="false" customHeight="true" outlineLevel="0" collapsed="false">
      <c r="A82" s="7" t="s">
        <v>64</v>
      </c>
      <c r="B82" s="7" t="n">
        <v>1906</v>
      </c>
      <c r="C82" s="7" t="s">
        <v>150</v>
      </c>
      <c r="D82" s="7" t="n">
        <v>49</v>
      </c>
      <c r="E82" s="7" t="n">
        <v>105</v>
      </c>
      <c r="F82" s="3" t="n">
        <f aca="false">COUNTIFS($B$2:$B$2705,B82,$C$2:$C$2705,C82)</f>
        <v>2</v>
      </c>
      <c r="G82" s="3" t="n">
        <f aca="false">MIN(INT((MIN(B82,2020)-1900)/10)+1,12)</f>
        <v>1</v>
      </c>
      <c r="H82" s="3" t="n">
        <f aca="false">(MIN(B82,2020)-1900-10*(G82-1))/10</f>
        <v>0.6</v>
      </c>
      <c r="I82" s="20" t="n">
        <f aca="false">EXP(LN(INDEX(Pop_Inputs!$B$2:$N$29,MATCH(C82,Pop_Inputs!$A$2:$A$29,0),G82))*(1-H82)+LN(INDEX(Pop_Inputs!$B$2:$N$29,MATCH(C82,Pop_Inputs!$A$2:$A$29,0),G82+1))*H82)</f>
        <v>624344.081401769</v>
      </c>
      <c r="J82" s="20" t="n">
        <f aca="false">I82/F82</f>
        <v>312172.040700884</v>
      </c>
      <c r="K82" s="21" t="n">
        <f aca="false">D82/(D82+E82)</f>
        <v>0.318181818181818</v>
      </c>
      <c r="L82" s="21" t="n">
        <f aca="false">AVERAGEIFS($K$2:$K$2705,$B$2:$B$2705,B82)</f>
        <v>0.499926900470694</v>
      </c>
      <c r="M82" s="21" t="n">
        <f aca="false">K82-L82</f>
        <v>-0.181745082288875</v>
      </c>
      <c r="N82" s="21" t="n">
        <f aca="false">LN(J82)</f>
        <v>12.6513097273224</v>
      </c>
      <c r="O82" s="21" t="n">
        <f aca="false">AVERAGEIFS($N$2:$N$2705,$B$2:$B$2705,B82)</f>
        <v>13.2503711840643</v>
      </c>
      <c r="P82" s="21" t="n">
        <f aca="false">N82-O82</f>
        <v>-0.599061456741822</v>
      </c>
      <c r="Q82" s="7" t="n">
        <v>0</v>
      </c>
      <c r="R82" s="3" t="n">
        <f aca="false">IF(AND(Q82=1,B82-_xlfn.MINIFS($B$2:$B$2705,$A$2:$A$2705,A82)&lt;10),1,0)</f>
        <v>0</v>
      </c>
      <c r="S82" s="7" t="n">
        <v>0</v>
      </c>
      <c r="T82" s="3" t="n">
        <f aca="false">_xlfn.MINIFS($B$2:$B$2705,$A$2:$A$2705,A82)</f>
        <v>1901</v>
      </c>
      <c r="U82" s="3" t="n">
        <f aca="false">B82-T82</f>
        <v>5</v>
      </c>
      <c r="V82" s="3" t="str">
        <f aca="false">INDEX(Pop_Inputs!$Q$2:$Q$29,MATCH(C82,Pop_Inputs!$A$2:$A$29,0))</f>
        <v>Northeast</v>
      </c>
      <c r="W82" s="30"/>
      <c r="X82" s="3" t="str">
        <f aca="false">IF(W82="","",LN(W82))</f>
        <v/>
      </c>
      <c r="Y82" s="3" t="str">
        <f aca="false">IF(X82="","",X82-AVERAGEIFS($X$2:$X$2705,$B$2:$B$2705,B82))</f>
        <v/>
      </c>
      <c r="Z82" s="21" t="n">
        <f aca="false">P82</f>
        <v>-0.599061456741822</v>
      </c>
      <c r="AA82" s="3" t="n">
        <f aca="false">R82</f>
        <v>0</v>
      </c>
      <c r="AB82" s="21" t="n">
        <f aca="false">P82</f>
        <v>-0.599061456741822</v>
      </c>
      <c r="AC82" s="3" t="str">
        <f aca="false">Y82</f>
        <v/>
      </c>
      <c r="AD82" s="3" t="n">
        <f aca="false">R82</f>
        <v>0</v>
      </c>
    </row>
    <row r="83" customFormat="false" ht="15" hidden="false" customHeight="true" outlineLevel="0" collapsed="false">
      <c r="A83" s="7" t="s">
        <v>56</v>
      </c>
      <c r="B83" s="7" t="n">
        <v>1906</v>
      </c>
      <c r="C83" s="7" t="s">
        <v>142</v>
      </c>
      <c r="D83" s="7" t="n">
        <v>116</v>
      </c>
      <c r="E83" s="7" t="n">
        <v>36</v>
      </c>
      <c r="F83" s="3" t="n">
        <f aca="false">COUNTIFS($B$2:$B$2705,B83,$C$2:$C$2705,C83)</f>
        <v>2</v>
      </c>
      <c r="G83" s="3" t="n">
        <f aca="false">MIN(INT((MIN(B83,2020)-1900)/10)+1,12)</f>
        <v>1</v>
      </c>
      <c r="H83" s="3" t="n">
        <f aca="false">(MIN(B83,2020)-1900-10*(G83-1))/10</f>
        <v>0.6</v>
      </c>
      <c r="I83" s="20" t="n">
        <f aca="false">EXP(LN(INDEX(Pop_Inputs!$B$2:$N$29,MATCH(C83,Pop_Inputs!$A$2:$A$29,0),G83))*(1-H83)+LN(INDEX(Pop_Inputs!$B$2:$N$29,MATCH(C83,Pop_Inputs!$A$2:$A$29,0),G83+1))*H83)</f>
        <v>1975779.62929006</v>
      </c>
      <c r="J83" s="20" t="n">
        <f aca="false">I83/F83</f>
        <v>987889.814645032</v>
      </c>
      <c r="K83" s="21" t="n">
        <f aca="false">D83/(D83+E83)</f>
        <v>0.763157894736842</v>
      </c>
      <c r="L83" s="21" t="n">
        <f aca="false">AVERAGEIFS($K$2:$K$2705,$B$2:$B$2705,B83)</f>
        <v>0.499926900470694</v>
      </c>
      <c r="M83" s="21" t="n">
        <f aca="false">K83-L83</f>
        <v>0.263230994266149</v>
      </c>
      <c r="N83" s="21" t="n">
        <f aca="false">LN(J83)</f>
        <v>13.8033264468722</v>
      </c>
      <c r="O83" s="21" t="n">
        <f aca="false">AVERAGEIFS($N$2:$N$2705,$B$2:$B$2705,B83)</f>
        <v>13.2503711840643</v>
      </c>
      <c r="P83" s="21" t="n">
        <f aca="false">N83-O83</f>
        <v>0.552955262807885</v>
      </c>
      <c r="Q83" s="7" t="n">
        <v>0</v>
      </c>
      <c r="R83" s="3" t="n">
        <f aca="false">IF(AND(Q83=1,B83-_xlfn.MINIFS($B$2:$B$2705,$A$2:$A$2705,A83)&lt;10),1,0)</f>
        <v>0</v>
      </c>
      <c r="S83" s="7" t="n">
        <v>0</v>
      </c>
      <c r="T83" s="3" t="n">
        <f aca="false">_xlfn.MINIFS($B$2:$B$2705,$A$2:$A$2705,A83)</f>
        <v>1901</v>
      </c>
      <c r="U83" s="3" t="n">
        <f aca="false">B83-T83</f>
        <v>5</v>
      </c>
      <c r="V83" s="3" t="str">
        <f aca="false">INDEX(Pop_Inputs!$Q$2:$Q$29,MATCH(C83,Pop_Inputs!$A$2:$A$29,0))</f>
        <v>Midwest</v>
      </c>
      <c r="W83" s="30"/>
      <c r="X83" s="3" t="str">
        <f aca="false">IF(W83="","",LN(W83))</f>
        <v/>
      </c>
      <c r="Y83" s="3" t="str">
        <f aca="false">IF(X83="","",X83-AVERAGEIFS($X$2:$X$2705,$B$2:$B$2705,B83))</f>
        <v/>
      </c>
      <c r="Z83" s="21" t="n">
        <f aca="false">P83</f>
        <v>0.552955262807885</v>
      </c>
      <c r="AA83" s="3" t="n">
        <f aca="false">R83</f>
        <v>0</v>
      </c>
      <c r="AB83" s="21" t="n">
        <f aca="false">P83</f>
        <v>0.552955262807885</v>
      </c>
      <c r="AC83" s="3" t="str">
        <f aca="false">Y83</f>
        <v/>
      </c>
      <c r="AD83" s="3" t="n">
        <f aca="false">R83</f>
        <v>0</v>
      </c>
    </row>
    <row r="84" customFormat="false" ht="15" hidden="false" customHeight="true" outlineLevel="0" collapsed="false">
      <c r="A84" s="7" t="s">
        <v>65</v>
      </c>
      <c r="B84" s="7" t="n">
        <v>1906</v>
      </c>
      <c r="C84" s="7" t="s">
        <v>142</v>
      </c>
      <c r="D84" s="7" t="n">
        <v>93</v>
      </c>
      <c r="E84" s="7" t="n">
        <v>58</v>
      </c>
      <c r="F84" s="3" t="n">
        <f aca="false">COUNTIFS($B$2:$B$2705,B84,$C$2:$C$2705,C84)</f>
        <v>2</v>
      </c>
      <c r="G84" s="3" t="n">
        <f aca="false">MIN(INT((MIN(B84,2020)-1900)/10)+1,12)</f>
        <v>1</v>
      </c>
      <c r="H84" s="3" t="n">
        <f aca="false">(MIN(B84,2020)-1900-10*(G84-1))/10</f>
        <v>0.6</v>
      </c>
      <c r="I84" s="20" t="n">
        <f aca="false">EXP(LN(INDEX(Pop_Inputs!$B$2:$N$29,MATCH(C84,Pop_Inputs!$A$2:$A$29,0),G84))*(1-H84)+LN(INDEX(Pop_Inputs!$B$2:$N$29,MATCH(C84,Pop_Inputs!$A$2:$A$29,0),G84+1))*H84)</f>
        <v>1975779.62929006</v>
      </c>
      <c r="J84" s="20" t="n">
        <f aca="false">I84/F84</f>
        <v>987889.814645032</v>
      </c>
      <c r="K84" s="21" t="n">
        <f aca="false">D84/(D84+E84)</f>
        <v>0.615894039735099</v>
      </c>
      <c r="L84" s="21" t="n">
        <f aca="false">AVERAGEIFS($K$2:$K$2705,$B$2:$B$2705,B84)</f>
        <v>0.499926900470694</v>
      </c>
      <c r="M84" s="21" t="n">
        <f aca="false">K84-L84</f>
        <v>0.115967139264406</v>
      </c>
      <c r="N84" s="21" t="n">
        <f aca="false">LN(J84)</f>
        <v>13.8033264468722</v>
      </c>
      <c r="O84" s="21" t="n">
        <f aca="false">AVERAGEIFS($N$2:$N$2705,$B$2:$B$2705,B84)</f>
        <v>13.2503711840643</v>
      </c>
      <c r="P84" s="21" t="n">
        <f aca="false">N84-O84</f>
        <v>0.552955262807885</v>
      </c>
      <c r="Q84" s="7" t="n">
        <v>0</v>
      </c>
      <c r="R84" s="3" t="n">
        <f aca="false">IF(AND(Q84=1,B84-_xlfn.MINIFS($B$2:$B$2705,$A$2:$A$2705,A84)&lt;10),1,0)</f>
        <v>0</v>
      </c>
      <c r="S84" s="7" t="n">
        <v>0</v>
      </c>
      <c r="T84" s="3" t="n">
        <f aca="false">_xlfn.MINIFS($B$2:$B$2705,$A$2:$A$2705,A84)</f>
        <v>1901</v>
      </c>
      <c r="U84" s="3" t="n">
        <f aca="false">B84-T84</f>
        <v>5</v>
      </c>
      <c r="V84" s="3" t="str">
        <f aca="false">INDEX(Pop_Inputs!$Q$2:$Q$29,MATCH(C84,Pop_Inputs!$A$2:$A$29,0))</f>
        <v>Midwest</v>
      </c>
      <c r="W84" s="30"/>
      <c r="X84" s="3" t="str">
        <f aca="false">IF(W84="","",LN(W84))</f>
        <v/>
      </c>
      <c r="Y84" s="3" t="str">
        <f aca="false">IF(X84="","",X84-AVERAGEIFS($X$2:$X$2705,$B$2:$B$2705,B84))</f>
        <v/>
      </c>
      <c r="Z84" s="21" t="n">
        <f aca="false">P84</f>
        <v>0.552955262807885</v>
      </c>
      <c r="AA84" s="3" t="n">
        <f aca="false">R84</f>
        <v>0</v>
      </c>
      <c r="AB84" s="21" t="n">
        <f aca="false">P84</f>
        <v>0.552955262807885</v>
      </c>
      <c r="AC84" s="3" t="str">
        <f aca="false">Y84</f>
        <v/>
      </c>
      <c r="AD84" s="3" t="n">
        <f aca="false">R84</f>
        <v>0</v>
      </c>
    </row>
    <row r="85" customFormat="false" ht="15" hidden="false" customHeight="true" outlineLevel="0" collapsed="false">
      <c r="A85" s="7" t="s">
        <v>57</v>
      </c>
      <c r="B85" s="7" t="n">
        <v>1906</v>
      </c>
      <c r="C85" s="7" t="s">
        <v>143</v>
      </c>
      <c r="D85" s="7" t="n">
        <v>64</v>
      </c>
      <c r="E85" s="7" t="n">
        <v>87</v>
      </c>
      <c r="F85" s="3" t="n">
        <f aca="false">COUNTIFS($B$2:$B$2705,B85,$C$2:$C$2705,C85)</f>
        <v>1</v>
      </c>
      <c r="G85" s="3" t="n">
        <f aca="false">MIN(INT((MIN(B85,2020)-1900)/10)+1,12)</f>
        <v>1</v>
      </c>
      <c r="H85" s="3" t="n">
        <f aca="false">(MIN(B85,2020)-1900-10*(G85-1))/10</f>
        <v>0.6</v>
      </c>
      <c r="I85" s="20" t="n">
        <f aca="false">EXP(LN(INDEX(Pop_Inputs!$B$2:$N$29,MATCH(C85,Pop_Inputs!$A$2:$A$29,0),G85))*(1-H85)+LN(INDEX(Pop_Inputs!$B$2:$N$29,MATCH(C85,Pop_Inputs!$A$2:$A$29,0),G85+1))*H85)</f>
        <v>348018.78381011</v>
      </c>
      <c r="J85" s="20" t="n">
        <f aca="false">I85/F85</f>
        <v>348018.78381011</v>
      </c>
      <c r="K85" s="21" t="n">
        <f aca="false">D85/(D85+E85)</f>
        <v>0.423841059602649</v>
      </c>
      <c r="L85" s="21" t="n">
        <f aca="false">AVERAGEIFS($K$2:$K$2705,$B$2:$B$2705,B85)</f>
        <v>0.499926900470694</v>
      </c>
      <c r="M85" s="21" t="n">
        <f aca="false">K85-L85</f>
        <v>-0.0760858408680447</v>
      </c>
      <c r="N85" s="21" t="n">
        <f aca="false">LN(J85)</f>
        <v>12.7600117337658</v>
      </c>
      <c r="O85" s="21" t="n">
        <f aca="false">AVERAGEIFS($N$2:$N$2705,$B$2:$B$2705,B85)</f>
        <v>13.2503711840643</v>
      </c>
      <c r="P85" s="21" t="n">
        <f aca="false">N85-O85</f>
        <v>-0.490359450298499</v>
      </c>
      <c r="Q85" s="7" t="n">
        <v>0</v>
      </c>
      <c r="R85" s="3" t="n">
        <f aca="false">IF(AND(Q85=1,B85-_xlfn.MINIFS($B$2:$B$2705,$A$2:$A$2705,A85)&lt;10),1,0)</f>
        <v>0</v>
      </c>
      <c r="S85" s="7" t="n">
        <v>0</v>
      </c>
      <c r="T85" s="3" t="n">
        <f aca="false">_xlfn.MINIFS($B$2:$B$2705,$A$2:$A$2705,A85)</f>
        <v>1901</v>
      </c>
      <c r="U85" s="3" t="n">
        <f aca="false">B85-T85</f>
        <v>5</v>
      </c>
      <c r="V85" s="3" t="str">
        <f aca="false">INDEX(Pop_Inputs!$Q$2:$Q$29,MATCH(C85,Pop_Inputs!$A$2:$A$29,0))</f>
        <v>Midwest</v>
      </c>
      <c r="W85" s="30"/>
      <c r="X85" s="3" t="str">
        <f aca="false">IF(W85="","",LN(W85))</f>
        <v/>
      </c>
      <c r="Y85" s="3" t="str">
        <f aca="false">IF(X85="","",X85-AVERAGEIFS($X$2:$X$2705,$B$2:$B$2705,B85))</f>
        <v/>
      </c>
      <c r="Z85" s="21" t="n">
        <f aca="false">P85</f>
        <v>-0.490359450298499</v>
      </c>
      <c r="AA85" s="3" t="n">
        <f aca="false">R85</f>
        <v>0</v>
      </c>
      <c r="AB85" s="21" t="n">
        <f aca="false">P85</f>
        <v>-0.490359450298499</v>
      </c>
      <c r="AC85" s="3" t="str">
        <f aca="false">Y85</f>
        <v/>
      </c>
      <c r="AD85" s="3" t="n">
        <f aca="false">R85</f>
        <v>0</v>
      </c>
    </row>
    <row r="86" customFormat="false" ht="15" hidden="false" customHeight="true" outlineLevel="0" collapsed="false">
      <c r="A86" s="7" t="s">
        <v>66</v>
      </c>
      <c r="B86" s="7" t="n">
        <v>1906</v>
      </c>
      <c r="C86" s="7" t="s">
        <v>151</v>
      </c>
      <c r="D86" s="7" t="n">
        <v>89</v>
      </c>
      <c r="E86" s="7" t="n">
        <v>64</v>
      </c>
      <c r="F86" s="3" t="n">
        <f aca="false">COUNTIFS($B$2:$B$2705,B86,$C$2:$C$2705,C86)</f>
        <v>1</v>
      </c>
      <c r="G86" s="3" t="n">
        <f aca="false">MIN(INT((MIN(B86,2020)-1900)/10)+1,12)</f>
        <v>1</v>
      </c>
      <c r="H86" s="3" t="n">
        <f aca="false">(MIN(B86,2020)-1900-10*(G86-1))/10</f>
        <v>0.6</v>
      </c>
      <c r="I86" s="20" t="n">
        <f aca="false">EXP(LN(INDEX(Pop_Inputs!$B$2:$N$29,MATCH(C86,Pop_Inputs!$A$2:$A$29,0),G86))*(1-H86)+LN(INDEX(Pop_Inputs!$B$2:$N$29,MATCH(C86,Pop_Inputs!$A$2:$A$29,0),G86+1))*H86)</f>
        <v>480773.971005426</v>
      </c>
      <c r="J86" s="20" t="n">
        <f aca="false">I86/F86</f>
        <v>480773.971005426</v>
      </c>
      <c r="K86" s="21" t="n">
        <f aca="false">D86/(D86+E86)</f>
        <v>0.581699346405229</v>
      </c>
      <c r="L86" s="21" t="n">
        <f aca="false">AVERAGEIFS($K$2:$K$2705,$B$2:$B$2705,B86)</f>
        <v>0.499926900470694</v>
      </c>
      <c r="M86" s="21" t="n">
        <f aca="false">K86-L86</f>
        <v>0.0817724459345351</v>
      </c>
      <c r="N86" s="21" t="n">
        <f aca="false">LN(J86)</f>
        <v>13.0831525238937</v>
      </c>
      <c r="O86" s="21" t="n">
        <f aca="false">AVERAGEIFS($N$2:$N$2705,$B$2:$B$2705,B86)</f>
        <v>13.2503711840643</v>
      </c>
      <c r="P86" s="21" t="n">
        <f aca="false">N86-O86</f>
        <v>-0.167218660170539</v>
      </c>
      <c r="Q86" s="7" t="n">
        <v>0</v>
      </c>
      <c r="R86" s="3" t="n">
        <f aca="false">IF(AND(Q86=1,B86-_xlfn.MINIFS($B$2:$B$2705,$A$2:$A$2705,A86)&lt;10),1,0)</f>
        <v>0</v>
      </c>
      <c r="S86" s="7" t="n">
        <v>0</v>
      </c>
      <c r="T86" s="3" t="n">
        <f aca="false">_xlfn.MINIFS($B$2:$B$2705,$A$2:$A$2705,A86)</f>
        <v>1901</v>
      </c>
      <c r="U86" s="3" t="n">
        <f aca="false">B86-T86</f>
        <v>5</v>
      </c>
      <c r="V86" s="3" t="str">
        <f aca="false">INDEX(Pop_Inputs!$Q$2:$Q$29,MATCH(C86,Pop_Inputs!$A$2:$A$29,0))</f>
        <v>Midwest</v>
      </c>
      <c r="W86" s="30"/>
      <c r="X86" s="3" t="str">
        <f aca="false">IF(W86="","",LN(W86))</f>
        <v/>
      </c>
      <c r="Y86" s="3" t="str">
        <f aca="false">IF(X86="","",X86-AVERAGEIFS($X$2:$X$2705,$B$2:$B$2705,B86))</f>
        <v/>
      </c>
      <c r="Z86" s="21" t="n">
        <f aca="false">P86</f>
        <v>-0.167218660170539</v>
      </c>
      <c r="AA86" s="3" t="n">
        <f aca="false">R86</f>
        <v>0</v>
      </c>
      <c r="AB86" s="21" t="n">
        <f aca="false">P86</f>
        <v>-0.167218660170539</v>
      </c>
      <c r="AC86" s="3" t="str">
        <f aca="false">Y86</f>
        <v/>
      </c>
      <c r="AD86" s="3" t="n">
        <f aca="false">R86</f>
        <v>0</v>
      </c>
    </row>
    <row r="87" customFormat="false" ht="15" hidden="false" customHeight="true" outlineLevel="0" collapsed="false">
      <c r="A87" s="7" t="s">
        <v>67</v>
      </c>
      <c r="B87" s="7" t="n">
        <v>1906</v>
      </c>
      <c r="C87" s="7" t="s">
        <v>152</v>
      </c>
      <c r="D87" s="7" t="n">
        <v>71</v>
      </c>
      <c r="E87" s="7" t="n">
        <v>78</v>
      </c>
      <c r="F87" s="3" t="n">
        <f aca="false">COUNTIFS($B$2:$B$2705,B87,$C$2:$C$2705,C87)</f>
        <v>1</v>
      </c>
      <c r="G87" s="3" t="n">
        <f aca="false">MIN(INT((MIN(B87,2020)-1900)/10)+1,12)</f>
        <v>1</v>
      </c>
      <c r="H87" s="3" t="n">
        <f aca="false">(MIN(B87,2020)-1900-10*(G87-1))/10</f>
        <v>0.6</v>
      </c>
      <c r="I87" s="20" t="n">
        <f aca="false">EXP(LN(INDEX(Pop_Inputs!$B$2:$N$29,MATCH(C87,Pop_Inputs!$A$2:$A$29,0),G87))*(1-H87)+LN(INDEX(Pop_Inputs!$B$2:$N$29,MATCH(C87,Pop_Inputs!$A$2:$A$29,0),G87+1))*H87)</f>
        <v>383060.347172122</v>
      </c>
      <c r="J87" s="20" t="n">
        <f aca="false">I87/F87</f>
        <v>383060.347172122</v>
      </c>
      <c r="K87" s="21" t="n">
        <f aca="false">D87/(D87+E87)</f>
        <v>0.476510067114094</v>
      </c>
      <c r="L87" s="21" t="n">
        <f aca="false">AVERAGEIFS($K$2:$K$2705,$B$2:$B$2705,B87)</f>
        <v>0.499926900470694</v>
      </c>
      <c r="M87" s="21" t="n">
        <f aca="false">K87-L87</f>
        <v>-0.0234168333565997</v>
      </c>
      <c r="N87" s="21" t="n">
        <f aca="false">LN(J87)</f>
        <v>12.8559478201689</v>
      </c>
      <c r="O87" s="21" t="n">
        <f aca="false">AVERAGEIFS($N$2:$N$2705,$B$2:$B$2705,B87)</f>
        <v>13.2503711840643</v>
      </c>
      <c r="P87" s="21" t="n">
        <f aca="false">N87-O87</f>
        <v>-0.394423363895379</v>
      </c>
      <c r="Q87" s="7" t="n">
        <v>0</v>
      </c>
      <c r="R87" s="3" t="n">
        <f aca="false">IF(AND(Q87=1,B87-_xlfn.MINIFS($B$2:$B$2705,$A$2:$A$2705,A87)&lt;10),1,0)</f>
        <v>0</v>
      </c>
      <c r="S87" s="7" t="n">
        <v>0</v>
      </c>
      <c r="T87" s="3" t="n">
        <f aca="false">_xlfn.MINIFS($B$2:$B$2705,$A$2:$A$2705,A87)</f>
        <v>1901</v>
      </c>
      <c r="U87" s="3" t="n">
        <f aca="false">B87-T87</f>
        <v>5</v>
      </c>
      <c r="V87" s="3" t="str">
        <f aca="false">INDEX(Pop_Inputs!$Q$2:$Q$29,MATCH(C87,Pop_Inputs!$A$2:$A$29,0))</f>
        <v>Midwest</v>
      </c>
      <c r="W87" s="30"/>
      <c r="X87" s="3" t="str">
        <f aca="false">IF(W87="","",LN(W87))</f>
        <v/>
      </c>
      <c r="Y87" s="3" t="str">
        <f aca="false">IF(X87="","",X87-AVERAGEIFS($X$2:$X$2705,$B$2:$B$2705,B87))</f>
        <v/>
      </c>
      <c r="Z87" s="21" t="n">
        <f aca="false">P87</f>
        <v>-0.394423363895379</v>
      </c>
      <c r="AA87" s="3" t="n">
        <f aca="false">R87</f>
        <v>0</v>
      </c>
      <c r="AB87" s="21" t="n">
        <f aca="false">P87</f>
        <v>-0.394423363895379</v>
      </c>
      <c r="AC87" s="3" t="str">
        <f aca="false">Y87</f>
        <v/>
      </c>
      <c r="AD87" s="3" t="n">
        <f aca="false">R87</f>
        <v>0</v>
      </c>
    </row>
    <row r="88" customFormat="false" ht="15" hidden="false" customHeight="true" outlineLevel="0" collapsed="false">
      <c r="A88" s="7" t="s">
        <v>62</v>
      </c>
      <c r="B88" s="7" t="n">
        <v>1906</v>
      </c>
      <c r="C88" s="7" t="s">
        <v>154</v>
      </c>
      <c r="D88" s="7" t="n">
        <v>66</v>
      </c>
      <c r="E88" s="7" t="n">
        <v>86</v>
      </c>
      <c r="F88" s="3" t="n">
        <f aca="false">COUNTIFS($B$2:$B$2705,B88,$C$2:$C$2705,C88)</f>
        <v>3</v>
      </c>
      <c r="G88" s="3" t="n">
        <f aca="false">MIN(INT((MIN(B88,2020)-1900)/10)+1,12)</f>
        <v>1</v>
      </c>
      <c r="H88" s="3" t="n">
        <f aca="false">(MIN(B88,2020)-1900-10*(G88-1))/10</f>
        <v>0.6</v>
      </c>
      <c r="I88" s="20" t="n">
        <f aca="false">EXP(LN(INDEX(Pop_Inputs!$B$2:$N$29,MATCH(C88,Pop_Inputs!$A$2:$A$29,0),G88))*(1-H88)+LN(INDEX(Pop_Inputs!$B$2:$N$29,MATCH(C88,Pop_Inputs!$A$2:$A$29,0),G88+1))*H88)</f>
        <v>4182372.57271582</v>
      </c>
      <c r="J88" s="20" t="n">
        <f aca="false">I88/F88</f>
        <v>1394124.19090527</v>
      </c>
      <c r="K88" s="21" t="n">
        <f aca="false">D88/(D88+E88)</f>
        <v>0.43421052631579</v>
      </c>
      <c r="L88" s="21" t="n">
        <f aca="false">AVERAGEIFS($K$2:$K$2705,$B$2:$B$2705,B88)</f>
        <v>0.499926900470694</v>
      </c>
      <c r="M88" s="21" t="n">
        <f aca="false">K88-L88</f>
        <v>-0.0657163741549042</v>
      </c>
      <c r="N88" s="21" t="n">
        <f aca="false">LN(J88)</f>
        <v>14.1477769559364</v>
      </c>
      <c r="O88" s="21" t="n">
        <f aca="false">AVERAGEIFS($N$2:$N$2705,$B$2:$B$2705,B88)</f>
        <v>13.2503711840643</v>
      </c>
      <c r="P88" s="21" t="n">
        <f aca="false">N88-O88</f>
        <v>0.89740577187216</v>
      </c>
      <c r="Q88" s="7" t="n">
        <v>0</v>
      </c>
      <c r="R88" s="3" t="n">
        <f aca="false">IF(AND(Q88=1,B88-_xlfn.MINIFS($B$2:$B$2705,$A$2:$A$2705,A88)&lt;10),1,0)</f>
        <v>0</v>
      </c>
      <c r="S88" s="7" t="n">
        <v>0</v>
      </c>
      <c r="T88" s="3" t="n">
        <f aca="false">_xlfn.MINIFS($B$2:$B$2705,$A$2:$A$2705,A88)</f>
        <v>1901</v>
      </c>
      <c r="U88" s="3" t="n">
        <f aca="false">B88-T88</f>
        <v>5</v>
      </c>
      <c r="V88" s="3" t="str">
        <f aca="false">INDEX(Pop_Inputs!$Q$2:$Q$29,MATCH(C88,Pop_Inputs!$A$2:$A$29,0))</f>
        <v>Northeast</v>
      </c>
      <c r="W88" s="30"/>
      <c r="X88" s="3" t="str">
        <f aca="false">IF(W88="","",LN(W88))</f>
        <v/>
      </c>
      <c r="Y88" s="3" t="str">
        <f aca="false">IF(X88="","",X88-AVERAGEIFS($X$2:$X$2705,$B$2:$B$2705,B88))</f>
        <v/>
      </c>
      <c r="Z88" s="21" t="n">
        <f aca="false">P88</f>
        <v>0.89740577187216</v>
      </c>
      <c r="AA88" s="3" t="n">
        <f aca="false">R88</f>
        <v>0</v>
      </c>
      <c r="AB88" s="21" t="n">
        <f aca="false">P88</f>
        <v>0.89740577187216</v>
      </c>
      <c r="AC88" s="3" t="str">
        <f aca="false">Y88</f>
        <v/>
      </c>
      <c r="AD88" s="3" t="n">
        <f aca="false">R88</f>
        <v>0</v>
      </c>
    </row>
    <row r="89" customFormat="false" ht="15" hidden="false" customHeight="true" outlineLevel="0" collapsed="false">
      <c r="A89" s="7" t="s">
        <v>68</v>
      </c>
      <c r="B89" s="7" t="n">
        <v>1906</v>
      </c>
      <c r="C89" s="7" t="s">
        <v>160</v>
      </c>
      <c r="D89" s="7" t="n">
        <v>55</v>
      </c>
      <c r="E89" s="7" t="n">
        <v>95</v>
      </c>
      <c r="F89" s="3" t="n">
        <f aca="false">COUNTIFS($B$2:$B$2705,B89,$C$2:$C$2705,C89)</f>
        <v>1</v>
      </c>
      <c r="G89" s="3" t="n">
        <f aca="false">MIN(INT((MIN(B89,2020)-1900)/10)+1,12)</f>
        <v>1</v>
      </c>
      <c r="H89" s="3" t="n">
        <f aca="false">(MIN(B89,2020)-1900-10*(G89-1))/10</f>
        <v>0.6</v>
      </c>
      <c r="I89" s="20" t="n">
        <f aca="false">EXP(LN(INDEX(Pop_Inputs!$B$2:$N$29,MATCH(C89,Pop_Inputs!$A$2:$A$29,0),G89))*(1-H89)+LN(INDEX(Pop_Inputs!$B$2:$N$29,MATCH(C89,Pop_Inputs!$A$2:$A$29,0),G89+1))*H89)</f>
        <v>309041.723382882</v>
      </c>
      <c r="J89" s="20" t="n">
        <f aca="false">I89/F89</f>
        <v>309041.723382882</v>
      </c>
      <c r="K89" s="21" t="n">
        <f aca="false">D89/(D89+E89)</f>
        <v>0.366666666666667</v>
      </c>
      <c r="L89" s="21" t="n">
        <f aca="false">AVERAGEIFS($K$2:$K$2705,$B$2:$B$2705,B89)</f>
        <v>0.499926900470694</v>
      </c>
      <c r="M89" s="21" t="n">
        <f aca="false">K89-L89</f>
        <v>-0.133260233804027</v>
      </c>
      <c r="N89" s="21" t="n">
        <f aca="false">LN(J89)</f>
        <v>12.6412315738936</v>
      </c>
      <c r="O89" s="21" t="n">
        <f aca="false">AVERAGEIFS($N$2:$N$2705,$B$2:$B$2705,B89)</f>
        <v>13.2503711840643</v>
      </c>
      <c r="P89" s="21" t="n">
        <f aca="false">N89-O89</f>
        <v>-0.609139610170658</v>
      </c>
      <c r="Q89" s="7" t="n">
        <v>0</v>
      </c>
      <c r="R89" s="3" t="n">
        <f aca="false">IF(AND(Q89=1,B89-_xlfn.MINIFS($B$2:$B$2705,$A$2:$A$2705,A89)&lt;10),1,0)</f>
        <v>0</v>
      </c>
      <c r="S89" s="7" t="n">
        <v>0</v>
      </c>
      <c r="T89" s="3" t="n">
        <f aca="false">_xlfn.MINIFS($B$2:$B$2705,$A$2:$A$2705,A89)</f>
        <v>1901</v>
      </c>
      <c r="U89" s="3" t="n">
        <f aca="false">B89-T89</f>
        <v>5</v>
      </c>
      <c r="V89" s="3" t="str">
        <f aca="false">INDEX(Pop_Inputs!$Q$2:$Q$29,MATCH(C89,Pop_Inputs!$A$2:$A$29,0))</f>
        <v>South</v>
      </c>
      <c r="W89" s="30"/>
      <c r="X89" s="3" t="str">
        <f aca="false">IF(W89="","",LN(W89))</f>
        <v/>
      </c>
      <c r="Y89" s="3" t="str">
        <f aca="false">IF(X89="","",X89-AVERAGEIFS($X$2:$X$2705,$B$2:$B$2705,B89))</f>
        <v/>
      </c>
      <c r="Z89" s="21" t="n">
        <f aca="false">P89</f>
        <v>-0.609139610170658</v>
      </c>
      <c r="AA89" s="3" t="n">
        <f aca="false">R89</f>
        <v>0</v>
      </c>
      <c r="AB89" s="21" t="n">
        <f aca="false">P89</f>
        <v>-0.609139610170658</v>
      </c>
      <c r="AC89" s="3" t="str">
        <f aca="false">Y89</f>
        <v/>
      </c>
      <c r="AD89" s="3" t="n">
        <f aca="false">R89</f>
        <v>0</v>
      </c>
    </row>
    <row r="90" customFormat="false" ht="15" hidden="false" customHeight="true" outlineLevel="0" collapsed="false">
      <c r="A90" s="7" t="s">
        <v>70</v>
      </c>
      <c r="B90" s="7" t="n">
        <v>1906</v>
      </c>
      <c r="C90" s="7" t="s">
        <v>154</v>
      </c>
      <c r="D90" s="7" t="n">
        <v>90</v>
      </c>
      <c r="E90" s="7" t="n">
        <v>61</v>
      </c>
      <c r="F90" s="3" t="n">
        <f aca="false">COUNTIFS($B$2:$B$2705,B90,$C$2:$C$2705,C90)</f>
        <v>3</v>
      </c>
      <c r="G90" s="3" t="n">
        <f aca="false">MIN(INT((MIN(B90,2020)-1900)/10)+1,12)</f>
        <v>1</v>
      </c>
      <c r="H90" s="3" t="n">
        <f aca="false">(MIN(B90,2020)-1900-10*(G90-1))/10</f>
        <v>0.6</v>
      </c>
      <c r="I90" s="20" t="n">
        <f aca="false">EXP(LN(INDEX(Pop_Inputs!$B$2:$N$29,MATCH(C90,Pop_Inputs!$A$2:$A$29,0),G90))*(1-H90)+LN(INDEX(Pop_Inputs!$B$2:$N$29,MATCH(C90,Pop_Inputs!$A$2:$A$29,0),G90+1))*H90)</f>
        <v>4182372.57271582</v>
      </c>
      <c r="J90" s="20" t="n">
        <f aca="false">I90/F90</f>
        <v>1394124.19090527</v>
      </c>
      <c r="K90" s="21" t="n">
        <f aca="false">D90/(D90+E90)</f>
        <v>0.596026490066225</v>
      </c>
      <c r="L90" s="21" t="n">
        <f aca="false">AVERAGEIFS($K$2:$K$2705,$B$2:$B$2705,B90)</f>
        <v>0.499926900470694</v>
      </c>
      <c r="M90" s="21" t="n">
        <f aca="false">K90-L90</f>
        <v>0.0960995895955316</v>
      </c>
      <c r="N90" s="21" t="n">
        <f aca="false">LN(J90)</f>
        <v>14.1477769559364</v>
      </c>
      <c r="O90" s="21" t="n">
        <f aca="false">AVERAGEIFS($N$2:$N$2705,$B$2:$B$2705,B90)</f>
        <v>13.2503711840643</v>
      </c>
      <c r="P90" s="21" t="n">
        <f aca="false">N90-O90</f>
        <v>0.89740577187216</v>
      </c>
      <c r="Q90" s="7" t="n">
        <v>0</v>
      </c>
      <c r="R90" s="3" t="n">
        <f aca="false">IF(AND(Q90=1,B90-_xlfn.MINIFS($B$2:$B$2705,$A$2:$A$2705,A90)&lt;10),1,0)</f>
        <v>0</v>
      </c>
      <c r="S90" s="7" t="n">
        <v>1</v>
      </c>
      <c r="T90" s="3" t="n">
        <f aca="false">_xlfn.MINIFS($B$2:$B$2705,$A$2:$A$2705,A90)</f>
        <v>1903</v>
      </c>
      <c r="U90" s="3" t="n">
        <f aca="false">B90-T90</f>
        <v>3</v>
      </c>
      <c r="V90" s="3" t="str">
        <f aca="false">INDEX(Pop_Inputs!$Q$2:$Q$29,MATCH(C90,Pop_Inputs!$A$2:$A$29,0))</f>
        <v>Northeast</v>
      </c>
      <c r="W90" s="30"/>
      <c r="X90" s="3" t="str">
        <f aca="false">IF(W90="","",LN(W90))</f>
        <v/>
      </c>
      <c r="Y90" s="3" t="str">
        <f aca="false">IF(X90="","",X90-AVERAGEIFS($X$2:$X$2705,$B$2:$B$2705,B90))</f>
        <v/>
      </c>
      <c r="Z90" s="21" t="n">
        <f aca="false">P90</f>
        <v>0.89740577187216</v>
      </c>
      <c r="AA90" s="3" t="n">
        <f aca="false">R90</f>
        <v>0</v>
      </c>
      <c r="AB90" s="21" t="n">
        <f aca="false">P90</f>
        <v>0.89740577187216</v>
      </c>
      <c r="AC90" s="3" t="str">
        <f aca="false">Y90</f>
        <v/>
      </c>
      <c r="AD90" s="3" t="n">
        <f aca="false">R90</f>
        <v>0</v>
      </c>
    </row>
    <row r="91" customFormat="false" ht="15" hidden="false" customHeight="true" outlineLevel="0" collapsed="false">
      <c r="A91" s="7" t="s">
        <v>69</v>
      </c>
      <c r="B91" s="7" t="n">
        <v>1906</v>
      </c>
      <c r="C91" s="7" t="s">
        <v>146</v>
      </c>
      <c r="D91" s="7" t="n">
        <v>78</v>
      </c>
      <c r="E91" s="7" t="n">
        <v>67</v>
      </c>
      <c r="F91" s="3" t="n">
        <f aca="false">COUNTIFS($B$2:$B$2705,B91,$C$2:$C$2705,C91)</f>
        <v>2</v>
      </c>
      <c r="G91" s="3" t="n">
        <f aca="false">MIN(INT((MIN(B91,2020)-1900)/10)+1,12)</f>
        <v>1</v>
      </c>
      <c r="H91" s="3" t="n">
        <f aca="false">(MIN(B91,2020)-1900-10*(G91-1))/10</f>
        <v>0.6</v>
      </c>
      <c r="I91" s="20" t="n">
        <f aca="false">EXP(LN(INDEX(Pop_Inputs!$B$2:$N$29,MATCH(C91,Pop_Inputs!$A$2:$A$29,0),G91))*(1-H91)+LN(INDEX(Pop_Inputs!$B$2:$N$29,MATCH(C91,Pop_Inputs!$A$2:$A$29,0),G91+1))*H91)</f>
        <v>1441335.96942043</v>
      </c>
      <c r="J91" s="20" t="n">
        <f aca="false">I91/F91</f>
        <v>720667.984710214</v>
      </c>
      <c r="K91" s="21" t="n">
        <f aca="false">D91/(D91+E91)</f>
        <v>0.537931034482759</v>
      </c>
      <c r="L91" s="21" t="n">
        <f aca="false">AVERAGEIFS($K$2:$K$2705,$B$2:$B$2705,B91)</f>
        <v>0.499926900470694</v>
      </c>
      <c r="M91" s="21" t="n">
        <f aca="false">K91-L91</f>
        <v>0.0380041340120649</v>
      </c>
      <c r="N91" s="21" t="n">
        <f aca="false">LN(J91)</f>
        <v>13.4879338174341</v>
      </c>
      <c r="O91" s="21" t="n">
        <f aca="false">AVERAGEIFS($N$2:$N$2705,$B$2:$B$2705,B91)</f>
        <v>13.2503711840643</v>
      </c>
      <c r="P91" s="21" t="n">
        <f aca="false">N91-O91</f>
        <v>0.237562633369834</v>
      </c>
      <c r="Q91" s="7" t="n">
        <v>0</v>
      </c>
      <c r="R91" s="3" t="n">
        <f aca="false">IF(AND(Q91=1,B91-_xlfn.MINIFS($B$2:$B$2705,$A$2:$A$2705,A91)&lt;10),1,0)</f>
        <v>0</v>
      </c>
      <c r="S91" s="7" t="n">
        <v>0</v>
      </c>
      <c r="T91" s="3" t="n">
        <f aca="false">_xlfn.MINIFS($B$2:$B$2705,$A$2:$A$2705,A91)</f>
        <v>1901</v>
      </c>
      <c r="U91" s="3" t="n">
        <f aca="false">B91-T91</f>
        <v>5</v>
      </c>
      <c r="V91" s="3" t="str">
        <f aca="false">INDEX(Pop_Inputs!$Q$2:$Q$29,MATCH(C91,Pop_Inputs!$A$2:$A$29,0))</f>
        <v>Northeast</v>
      </c>
      <c r="W91" s="30"/>
      <c r="X91" s="3" t="str">
        <f aca="false">IF(W91="","",LN(W91))</f>
        <v/>
      </c>
      <c r="Y91" s="3" t="str">
        <f aca="false">IF(X91="","",X91-AVERAGEIFS($X$2:$X$2705,$B$2:$B$2705,B91))</f>
        <v/>
      </c>
      <c r="Z91" s="21" t="n">
        <f aca="false">P91</f>
        <v>0.237562633369834</v>
      </c>
      <c r="AA91" s="3" t="n">
        <f aca="false">R91</f>
        <v>0</v>
      </c>
      <c r="AB91" s="21" t="n">
        <f aca="false">P91</f>
        <v>0.237562633369834</v>
      </c>
      <c r="AC91" s="3" t="str">
        <f aca="false">Y91</f>
        <v/>
      </c>
      <c r="AD91" s="3" t="n">
        <f aca="false">R91</f>
        <v>0</v>
      </c>
    </row>
    <row r="92" customFormat="false" ht="15" hidden="false" customHeight="true" outlineLevel="0" collapsed="false">
      <c r="A92" s="7" t="s">
        <v>60</v>
      </c>
      <c r="B92" s="7" t="n">
        <v>1906</v>
      </c>
      <c r="C92" s="7" t="s">
        <v>146</v>
      </c>
      <c r="D92" s="7" t="n">
        <v>71</v>
      </c>
      <c r="E92" s="7" t="n">
        <v>82</v>
      </c>
      <c r="F92" s="3" t="n">
        <f aca="false">COUNTIFS($B$2:$B$2705,B92,$C$2:$C$2705,C92)</f>
        <v>2</v>
      </c>
      <c r="G92" s="3" t="n">
        <f aca="false">MIN(INT((MIN(B92,2020)-1900)/10)+1,12)</f>
        <v>1</v>
      </c>
      <c r="H92" s="3" t="n">
        <f aca="false">(MIN(B92,2020)-1900-10*(G92-1))/10</f>
        <v>0.6</v>
      </c>
      <c r="I92" s="20" t="n">
        <f aca="false">EXP(LN(INDEX(Pop_Inputs!$B$2:$N$29,MATCH(C92,Pop_Inputs!$A$2:$A$29,0),G92))*(1-H92)+LN(INDEX(Pop_Inputs!$B$2:$N$29,MATCH(C92,Pop_Inputs!$A$2:$A$29,0),G92+1))*H92)</f>
        <v>1441335.96942043</v>
      </c>
      <c r="J92" s="20" t="n">
        <f aca="false">I92/F92</f>
        <v>720667.984710214</v>
      </c>
      <c r="K92" s="21" t="n">
        <f aca="false">D92/(D92+E92)</f>
        <v>0.464052287581699</v>
      </c>
      <c r="L92" s="21" t="n">
        <f aca="false">AVERAGEIFS($K$2:$K$2705,$B$2:$B$2705,B92)</f>
        <v>0.499926900470694</v>
      </c>
      <c r="M92" s="21" t="n">
        <f aca="false">K92-L92</f>
        <v>-0.0358746128889943</v>
      </c>
      <c r="N92" s="21" t="n">
        <f aca="false">LN(J92)</f>
        <v>13.4879338174341</v>
      </c>
      <c r="O92" s="21" t="n">
        <f aca="false">AVERAGEIFS($N$2:$N$2705,$B$2:$B$2705,B92)</f>
        <v>13.2503711840643</v>
      </c>
      <c r="P92" s="21" t="n">
        <f aca="false">N92-O92</f>
        <v>0.237562633369834</v>
      </c>
      <c r="Q92" s="7" t="n">
        <v>0</v>
      </c>
      <c r="R92" s="3" t="n">
        <f aca="false">IF(AND(Q92=1,B92-_xlfn.MINIFS($B$2:$B$2705,$A$2:$A$2705,A92)&lt;10),1,0)</f>
        <v>0</v>
      </c>
      <c r="S92" s="7" t="n">
        <v>0</v>
      </c>
      <c r="T92" s="3" t="n">
        <f aca="false">_xlfn.MINIFS($B$2:$B$2705,$A$2:$A$2705,A92)</f>
        <v>1901</v>
      </c>
      <c r="U92" s="3" t="n">
        <f aca="false">B92-T92</f>
        <v>5</v>
      </c>
      <c r="V92" s="3" t="str">
        <f aca="false">INDEX(Pop_Inputs!$Q$2:$Q$29,MATCH(C92,Pop_Inputs!$A$2:$A$29,0))</f>
        <v>Northeast</v>
      </c>
      <c r="W92" s="30"/>
      <c r="X92" s="3" t="str">
        <f aca="false">IF(W92="","",LN(W92))</f>
        <v/>
      </c>
      <c r="Y92" s="3" t="str">
        <f aca="false">IF(X92="","",X92-AVERAGEIFS($X$2:$X$2705,$B$2:$B$2705,B92))</f>
        <v/>
      </c>
      <c r="Z92" s="21" t="n">
        <f aca="false">P92</f>
        <v>0.237562633369834</v>
      </c>
      <c r="AA92" s="3" t="n">
        <f aca="false">R92</f>
        <v>0</v>
      </c>
      <c r="AB92" s="21" t="n">
        <f aca="false">P92</f>
        <v>0.237562633369834</v>
      </c>
      <c r="AC92" s="3" t="str">
        <f aca="false">Y92</f>
        <v/>
      </c>
      <c r="AD92" s="3" t="n">
        <f aca="false">R92</f>
        <v>0</v>
      </c>
    </row>
    <row r="93" customFormat="false" ht="15" hidden="false" customHeight="true" outlineLevel="0" collapsed="false">
      <c r="A93" s="7" t="s">
        <v>58</v>
      </c>
      <c r="B93" s="7" t="n">
        <v>1906</v>
      </c>
      <c r="C93" s="7" t="s">
        <v>144</v>
      </c>
      <c r="D93" s="7" t="n">
        <v>93</v>
      </c>
      <c r="E93" s="7" t="n">
        <v>60</v>
      </c>
      <c r="F93" s="3" t="n">
        <f aca="false">COUNTIFS($B$2:$B$2705,B93,$C$2:$C$2705,C93)</f>
        <v>1</v>
      </c>
      <c r="G93" s="3" t="n">
        <f aca="false">MIN(INT((MIN(B93,2020)-1900)/10)+1,12)</f>
        <v>1</v>
      </c>
      <c r="H93" s="3" t="n">
        <f aca="false">(MIN(B93,2020)-1900-10*(G93-1))/10</f>
        <v>0.6</v>
      </c>
      <c r="I93" s="20" t="n">
        <f aca="false">EXP(LN(INDEX(Pop_Inputs!$B$2:$N$29,MATCH(C93,Pop_Inputs!$A$2:$A$29,0),G93))*(1-H93)+LN(INDEX(Pop_Inputs!$B$2:$N$29,MATCH(C93,Pop_Inputs!$A$2:$A$29,0),G93+1))*H93)</f>
        <v>435926.681378179</v>
      </c>
      <c r="J93" s="20" t="n">
        <f aca="false">I93/F93</f>
        <v>435926.681378179</v>
      </c>
      <c r="K93" s="21" t="n">
        <f aca="false">D93/(D93+E93)</f>
        <v>0.607843137254902</v>
      </c>
      <c r="L93" s="21" t="n">
        <f aca="false">AVERAGEIFS($K$2:$K$2705,$B$2:$B$2705,B93)</f>
        <v>0.499926900470694</v>
      </c>
      <c r="M93" s="21" t="n">
        <f aca="false">K93-L93</f>
        <v>0.107916236784208</v>
      </c>
      <c r="N93" s="21" t="n">
        <f aca="false">LN(J93)</f>
        <v>12.9852293462137</v>
      </c>
      <c r="O93" s="21" t="n">
        <f aca="false">AVERAGEIFS($N$2:$N$2705,$B$2:$B$2705,B93)</f>
        <v>13.2503711840643</v>
      </c>
      <c r="P93" s="21" t="n">
        <f aca="false">N93-O93</f>
        <v>-0.265141837850559</v>
      </c>
      <c r="Q93" s="7" t="n">
        <v>0</v>
      </c>
      <c r="R93" s="3" t="n">
        <f aca="false">IF(AND(Q93=1,B93-_xlfn.MINIFS($B$2:$B$2705,$A$2:$A$2705,A93)&lt;10),1,0)</f>
        <v>0</v>
      </c>
      <c r="S93" s="7" t="n">
        <v>0</v>
      </c>
      <c r="T93" s="3" t="n">
        <f aca="false">_xlfn.MINIFS($B$2:$B$2705,$A$2:$A$2705,A93)</f>
        <v>1901</v>
      </c>
      <c r="U93" s="3" t="n">
        <f aca="false">B93-T93</f>
        <v>5</v>
      </c>
      <c r="V93" s="3" t="str">
        <f aca="false">INDEX(Pop_Inputs!$Q$2:$Q$29,MATCH(C93,Pop_Inputs!$A$2:$A$29,0))</f>
        <v>Northeast</v>
      </c>
      <c r="W93" s="30"/>
      <c r="X93" s="3" t="str">
        <f aca="false">IF(W93="","",LN(W93))</f>
        <v/>
      </c>
      <c r="Y93" s="3" t="str">
        <f aca="false">IF(X93="","",X93-AVERAGEIFS($X$2:$X$2705,$B$2:$B$2705,B93))</f>
        <v/>
      </c>
      <c r="Z93" s="21" t="n">
        <f aca="false">P93</f>
        <v>-0.265141837850559</v>
      </c>
      <c r="AA93" s="3" t="n">
        <f aca="false">R93</f>
        <v>0</v>
      </c>
      <c r="AB93" s="21" t="n">
        <f aca="false">P93</f>
        <v>-0.265141837850559</v>
      </c>
      <c r="AC93" s="3" t="str">
        <f aca="false">Y93</f>
        <v/>
      </c>
      <c r="AD93" s="3" t="n">
        <f aca="false">R93</f>
        <v>0</v>
      </c>
    </row>
    <row r="94" customFormat="false" ht="15" hidden="false" customHeight="true" outlineLevel="0" collapsed="false">
      <c r="A94" s="7" t="s">
        <v>61</v>
      </c>
      <c r="B94" s="7" t="n">
        <v>1906</v>
      </c>
      <c r="C94" s="7" t="s">
        <v>154</v>
      </c>
      <c r="D94" s="7" t="n">
        <v>96</v>
      </c>
      <c r="E94" s="7" t="n">
        <v>56</v>
      </c>
      <c r="F94" s="3" t="n">
        <f aca="false">COUNTIFS($B$2:$B$2705,B94,$C$2:$C$2705,C94)</f>
        <v>3</v>
      </c>
      <c r="G94" s="3" t="n">
        <f aca="false">MIN(INT((MIN(B94,2020)-1900)/10)+1,12)</f>
        <v>1</v>
      </c>
      <c r="H94" s="3" t="n">
        <f aca="false">(MIN(B94,2020)-1900-10*(G94-1))/10</f>
        <v>0.6</v>
      </c>
      <c r="I94" s="20" t="n">
        <f aca="false">EXP(LN(INDEX(Pop_Inputs!$B$2:$N$29,MATCH(C94,Pop_Inputs!$A$2:$A$29,0),G94))*(1-H94)+LN(INDEX(Pop_Inputs!$B$2:$N$29,MATCH(C94,Pop_Inputs!$A$2:$A$29,0),G94+1))*H94)</f>
        <v>4182372.57271582</v>
      </c>
      <c r="J94" s="20" t="n">
        <f aca="false">I94/F94</f>
        <v>1394124.19090527</v>
      </c>
      <c r="K94" s="21" t="n">
        <f aca="false">D94/(D94+E94)</f>
        <v>0.631578947368421</v>
      </c>
      <c r="L94" s="21" t="n">
        <f aca="false">AVERAGEIFS($K$2:$K$2705,$B$2:$B$2705,B94)</f>
        <v>0.499926900470694</v>
      </c>
      <c r="M94" s="21" t="n">
        <f aca="false">K94-L94</f>
        <v>0.131652046897727</v>
      </c>
      <c r="N94" s="21" t="n">
        <f aca="false">LN(J94)</f>
        <v>14.1477769559364</v>
      </c>
      <c r="O94" s="21" t="n">
        <f aca="false">AVERAGEIFS($N$2:$N$2705,$B$2:$B$2705,B94)</f>
        <v>13.2503711840643</v>
      </c>
      <c r="P94" s="21" t="n">
        <f aca="false">N94-O94</f>
        <v>0.89740577187216</v>
      </c>
      <c r="Q94" s="7" t="n">
        <v>0</v>
      </c>
      <c r="R94" s="3" t="n">
        <f aca="false">IF(AND(Q94=1,B94-_xlfn.MINIFS($B$2:$B$2705,$A$2:$A$2705,A94)&lt;10),1,0)</f>
        <v>0</v>
      </c>
      <c r="S94" s="7" t="n">
        <v>0</v>
      </c>
      <c r="T94" s="3" t="n">
        <f aca="false">_xlfn.MINIFS($B$2:$B$2705,$A$2:$A$2705,A94)</f>
        <v>1901</v>
      </c>
      <c r="U94" s="3" t="n">
        <f aca="false">B94-T94</f>
        <v>5</v>
      </c>
      <c r="V94" s="3" t="str">
        <f aca="false">INDEX(Pop_Inputs!$Q$2:$Q$29,MATCH(C94,Pop_Inputs!$A$2:$A$29,0))</f>
        <v>Northeast</v>
      </c>
      <c r="W94" s="30"/>
      <c r="X94" s="3" t="str">
        <f aca="false">IF(W94="","",LN(W94))</f>
        <v/>
      </c>
      <c r="Y94" s="3" t="str">
        <f aca="false">IF(X94="","",X94-AVERAGEIFS($X$2:$X$2705,$B$2:$B$2705,B94))</f>
        <v/>
      </c>
      <c r="Z94" s="21" t="n">
        <f aca="false">P94</f>
        <v>0.89740577187216</v>
      </c>
      <c r="AA94" s="3" t="n">
        <f aca="false">R94</f>
        <v>0</v>
      </c>
      <c r="AB94" s="21" t="n">
        <f aca="false">P94</f>
        <v>0.89740577187216</v>
      </c>
      <c r="AC94" s="3" t="str">
        <f aca="false">Y94</f>
        <v/>
      </c>
      <c r="AD94" s="3" t="n">
        <f aca="false">R94</f>
        <v>0</v>
      </c>
    </row>
    <row r="95" customFormat="false" ht="15" hidden="false" customHeight="true" outlineLevel="0" collapsed="false">
      <c r="A95" s="7" t="s">
        <v>59</v>
      </c>
      <c r="B95" s="7" t="n">
        <v>1906</v>
      </c>
      <c r="C95" s="7" t="s">
        <v>145</v>
      </c>
      <c r="D95" s="7" t="n">
        <v>52</v>
      </c>
      <c r="E95" s="7" t="n">
        <v>98</v>
      </c>
      <c r="F95" s="3" t="n">
        <f aca="false">COUNTIFS($B$2:$B$2705,B95,$C$2:$C$2705,C95)</f>
        <v>2</v>
      </c>
      <c r="G95" s="3" t="n">
        <f aca="false">MIN(INT((MIN(B95,2020)-1900)/10)+1,12)</f>
        <v>1</v>
      </c>
      <c r="H95" s="3" t="n">
        <f aca="false">(MIN(B95,2020)-1900-10*(G95-1))/10</f>
        <v>0.6</v>
      </c>
      <c r="I95" s="20" t="n">
        <f aca="false">EXP(LN(INDEX(Pop_Inputs!$B$2:$N$29,MATCH(C95,Pop_Inputs!$A$2:$A$29,0),G95))*(1-H95)+LN(INDEX(Pop_Inputs!$B$2:$N$29,MATCH(C95,Pop_Inputs!$A$2:$A$29,0),G95+1))*H95)</f>
        <v>639917.620174063</v>
      </c>
      <c r="J95" s="20" t="n">
        <f aca="false">I95/F95</f>
        <v>319958.810087031</v>
      </c>
      <c r="K95" s="21" t="n">
        <f aca="false">D95/(D95+E95)</f>
        <v>0.346666666666667</v>
      </c>
      <c r="L95" s="21" t="n">
        <f aca="false">AVERAGEIFS($K$2:$K$2705,$B$2:$B$2705,B95)</f>
        <v>0.499926900470694</v>
      </c>
      <c r="M95" s="21" t="n">
        <f aca="false">K95-L95</f>
        <v>-0.153260233804027</v>
      </c>
      <c r="N95" s="21" t="n">
        <f aca="false">LN(J95)</f>
        <v>12.6759475480129</v>
      </c>
      <c r="O95" s="21" t="n">
        <f aca="false">AVERAGEIFS($N$2:$N$2705,$B$2:$B$2705,B95)</f>
        <v>13.2503711840643</v>
      </c>
      <c r="P95" s="21" t="n">
        <f aca="false">N95-O95</f>
        <v>-0.574423636051318</v>
      </c>
      <c r="Q95" s="7" t="n">
        <v>0</v>
      </c>
      <c r="R95" s="3" t="n">
        <f aca="false">IF(AND(Q95=1,B95-_xlfn.MINIFS($B$2:$B$2705,$A$2:$A$2705,A95)&lt;10),1,0)</f>
        <v>0</v>
      </c>
      <c r="S95" s="7" t="n">
        <v>0</v>
      </c>
      <c r="T95" s="3" t="n">
        <f aca="false">_xlfn.MINIFS($B$2:$B$2705,$A$2:$A$2705,A95)</f>
        <v>1901</v>
      </c>
      <c r="U95" s="3" t="n">
        <f aca="false">B95-T95</f>
        <v>5</v>
      </c>
      <c r="V95" s="3" t="str">
        <f aca="false">INDEX(Pop_Inputs!$Q$2:$Q$29,MATCH(C95,Pop_Inputs!$A$2:$A$29,0))</f>
        <v>Midwest</v>
      </c>
      <c r="W95" s="30"/>
      <c r="X95" s="3" t="str">
        <f aca="false">IF(W95="","",LN(W95))</f>
        <v/>
      </c>
      <c r="Y95" s="3" t="str">
        <f aca="false">IF(X95="","",X95-AVERAGEIFS($X$2:$X$2705,$B$2:$B$2705,B95))</f>
        <v/>
      </c>
      <c r="Z95" s="21" t="n">
        <f aca="false">P95</f>
        <v>-0.574423636051318</v>
      </c>
      <c r="AA95" s="3" t="n">
        <f aca="false">R95</f>
        <v>0</v>
      </c>
      <c r="AB95" s="21" t="n">
        <f aca="false">P95</f>
        <v>-0.574423636051318</v>
      </c>
      <c r="AC95" s="3" t="str">
        <f aca="false">Y95</f>
        <v/>
      </c>
      <c r="AD95" s="3" t="n">
        <f aca="false">R95</f>
        <v>0</v>
      </c>
    </row>
    <row r="96" customFormat="false" ht="15" hidden="false" customHeight="true" outlineLevel="0" collapsed="false">
      <c r="A96" s="7" t="s">
        <v>54</v>
      </c>
      <c r="B96" s="7" t="n">
        <v>1907</v>
      </c>
      <c r="C96" s="7" t="s">
        <v>150</v>
      </c>
      <c r="D96" s="7" t="n">
        <v>58</v>
      </c>
      <c r="E96" s="7" t="n">
        <v>90</v>
      </c>
      <c r="F96" s="3" t="n">
        <f aca="false">COUNTIFS($B$2:$B$2705,B96,$C$2:$C$2705,C96)</f>
        <v>2</v>
      </c>
      <c r="G96" s="3" t="n">
        <f aca="false">MIN(INT((MIN(B96,2020)-1900)/10)+1,12)</f>
        <v>1</v>
      </c>
      <c r="H96" s="3" t="n">
        <f aca="false">(MIN(B96,2020)-1900-10*(G96-1))/10</f>
        <v>0.7</v>
      </c>
      <c r="I96" s="20" t="n">
        <f aca="false">EXP(LN(INDEX(Pop_Inputs!$B$2:$N$29,MATCH(C96,Pop_Inputs!$A$2:$A$29,0),G96))*(1-H96)+LN(INDEX(Pop_Inputs!$B$2:$N$29,MATCH(C96,Pop_Inputs!$A$2:$A$29,0),G96+1))*H96)</f>
        <v>635596.442843385</v>
      </c>
      <c r="J96" s="20" t="n">
        <f aca="false">I96/F96</f>
        <v>317798.221421692</v>
      </c>
      <c r="K96" s="21" t="n">
        <f aca="false">D96/(D96+E96)</f>
        <v>0.391891891891892</v>
      </c>
      <c r="L96" s="21" t="n">
        <f aca="false">AVERAGEIFS($K$2:$K$2705,$B$2:$B$2705,B96)</f>
        <v>0.500046818251272</v>
      </c>
      <c r="M96" s="21" t="n">
        <f aca="false">K96-L96</f>
        <v>-0.10815492635938</v>
      </c>
      <c r="N96" s="21" t="n">
        <f aca="false">LN(J96)</f>
        <v>12.6691719365357</v>
      </c>
      <c r="O96" s="21" t="n">
        <f aca="false">AVERAGEIFS($N$2:$N$2705,$B$2:$B$2705,B96)</f>
        <v>13.2767406816446</v>
      </c>
      <c r="P96" s="21" t="n">
        <f aca="false">N96-O96</f>
        <v>-0.60756874510885</v>
      </c>
      <c r="Q96" s="7" t="n">
        <v>0</v>
      </c>
      <c r="R96" s="3" t="n">
        <f aca="false">IF(AND(Q96=1,B96-_xlfn.MINIFS($B$2:$B$2705,$A$2:$A$2705,A96)&lt;10),1,0)</f>
        <v>0</v>
      </c>
      <c r="S96" s="7" t="n">
        <v>0</v>
      </c>
      <c r="T96" s="3" t="n">
        <f aca="false">_xlfn.MINIFS($B$2:$B$2705,$A$2:$A$2705,A96)</f>
        <v>1901</v>
      </c>
      <c r="U96" s="3" t="n">
        <f aca="false">B96-T96</f>
        <v>6</v>
      </c>
      <c r="V96" s="3" t="str">
        <f aca="false">INDEX(Pop_Inputs!$Q$2:$Q$29,MATCH(C96,Pop_Inputs!$A$2:$A$29,0))</f>
        <v>Northeast</v>
      </c>
      <c r="W96" s="30"/>
      <c r="X96" s="3" t="str">
        <f aca="false">IF(W96="","",LN(W96))</f>
        <v/>
      </c>
      <c r="Y96" s="3" t="str">
        <f aca="false">IF(X96="","",X96-AVERAGEIFS($X$2:$X$2705,$B$2:$B$2705,B96))</f>
        <v/>
      </c>
      <c r="Z96" s="21" t="n">
        <f aca="false">P96</f>
        <v>-0.60756874510885</v>
      </c>
      <c r="AA96" s="3" t="n">
        <f aca="false">R96</f>
        <v>0</v>
      </c>
      <c r="AB96" s="21" t="n">
        <f aca="false">P96</f>
        <v>-0.60756874510885</v>
      </c>
      <c r="AC96" s="3" t="str">
        <f aca="false">Y96</f>
        <v/>
      </c>
      <c r="AD96" s="3" t="n">
        <f aca="false">R96</f>
        <v>0</v>
      </c>
    </row>
    <row r="97" customFormat="false" ht="15" hidden="false" customHeight="true" outlineLevel="0" collapsed="false">
      <c r="A97" s="7" t="s">
        <v>63</v>
      </c>
      <c r="B97" s="7" t="n">
        <v>1907</v>
      </c>
      <c r="C97" s="7" t="s">
        <v>145</v>
      </c>
      <c r="D97" s="7" t="n">
        <v>69</v>
      </c>
      <c r="E97" s="7" t="n">
        <v>83</v>
      </c>
      <c r="F97" s="3" t="n">
        <f aca="false">COUNTIFS($B$2:$B$2705,B97,$C$2:$C$2705,C97)</f>
        <v>2</v>
      </c>
      <c r="G97" s="3" t="n">
        <f aca="false">MIN(INT((MIN(B97,2020)-1900)/10)+1,12)</f>
        <v>1</v>
      </c>
      <c r="H97" s="3" t="n">
        <f aca="false">(MIN(B97,2020)-1900-10*(G97-1))/10</f>
        <v>0.7</v>
      </c>
      <c r="I97" s="20" t="n">
        <f aca="false">EXP(LN(INDEX(Pop_Inputs!$B$2:$N$29,MATCH(C97,Pop_Inputs!$A$2:$A$29,0),G97))*(1-H97)+LN(INDEX(Pop_Inputs!$B$2:$N$29,MATCH(C97,Pop_Inputs!$A$2:$A$29,0),G97+1))*H97)</f>
        <v>651383.598158606</v>
      </c>
      <c r="J97" s="20" t="n">
        <f aca="false">I97/F97</f>
        <v>325691.799079303</v>
      </c>
      <c r="K97" s="21" t="n">
        <f aca="false">D97/(D97+E97)</f>
        <v>0.453947368421053</v>
      </c>
      <c r="L97" s="21" t="n">
        <f aca="false">AVERAGEIFS($K$2:$K$2705,$B$2:$B$2705,B97)</f>
        <v>0.500046818251272</v>
      </c>
      <c r="M97" s="21" t="n">
        <f aca="false">K97-L97</f>
        <v>-0.0460994498302194</v>
      </c>
      <c r="N97" s="21" t="n">
        <f aca="false">LN(J97)</f>
        <v>12.6937068115777</v>
      </c>
      <c r="O97" s="21" t="n">
        <f aca="false">AVERAGEIFS($N$2:$N$2705,$B$2:$B$2705,B97)</f>
        <v>13.2767406816446</v>
      </c>
      <c r="P97" s="21" t="n">
        <f aca="false">N97-O97</f>
        <v>-0.583033870066901</v>
      </c>
      <c r="Q97" s="7" t="n">
        <v>0</v>
      </c>
      <c r="R97" s="3" t="n">
        <f aca="false">IF(AND(Q97=1,B97-_xlfn.MINIFS($B$2:$B$2705,$A$2:$A$2705,A97)&lt;10),1,0)</f>
        <v>0</v>
      </c>
      <c r="S97" s="7" t="n">
        <v>0</v>
      </c>
      <c r="T97" s="3" t="n">
        <f aca="false">_xlfn.MINIFS($B$2:$B$2705,$A$2:$A$2705,A97)</f>
        <v>1901</v>
      </c>
      <c r="U97" s="3" t="n">
        <f aca="false">B97-T97</f>
        <v>6</v>
      </c>
      <c r="V97" s="3" t="str">
        <f aca="false">INDEX(Pop_Inputs!$Q$2:$Q$29,MATCH(C97,Pop_Inputs!$A$2:$A$29,0))</f>
        <v>Midwest</v>
      </c>
      <c r="W97" s="30"/>
      <c r="X97" s="3" t="str">
        <f aca="false">IF(W97="","",LN(W97))</f>
        <v/>
      </c>
      <c r="Y97" s="3" t="str">
        <f aca="false">IF(X97="","",X97-AVERAGEIFS($X$2:$X$2705,$B$2:$B$2705,B97))</f>
        <v/>
      </c>
      <c r="Z97" s="21" t="n">
        <f aca="false">P97</f>
        <v>-0.583033870066901</v>
      </c>
      <c r="AA97" s="3" t="n">
        <f aca="false">R97</f>
        <v>0</v>
      </c>
      <c r="AB97" s="21" t="n">
        <f aca="false">P97</f>
        <v>-0.583033870066901</v>
      </c>
      <c r="AC97" s="3" t="str">
        <f aca="false">Y97</f>
        <v/>
      </c>
      <c r="AD97" s="3" t="n">
        <f aca="false">R97</f>
        <v>0</v>
      </c>
    </row>
    <row r="98" customFormat="false" ht="15" hidden="false" customHeight="true" outlineLevel="0" collapsed="false">
      <c r="A98" s="7" t="s">
        <v>64</v>
      </c>
      <c r="B98" s="7" t="n">
        <v>1907</v>
      </c>
      <c r="C98" s="7" t="s">
        <v>150</v>
      </c>
      <c r="D98" s="7" t="n">
        <v>59</v>
      </c>
      <c r="E98" s="7" t="n">
        <v>90</v>
      </c>
      <c r="F98" s="3" t="n">
        <f aca="false">COUNTIFS($B$2:$B$2705,B98,$C$2:$C$2705,C98)</f>
        <v>2</v>
      </c>
      <c r="G98" s="3" t="n">
        <f aca="false">MIN(INT((MIN(B98,2020)-1900)/10)+1,12)</f>
        <v>1</v>
      </c>
      <c r="H98" s="3" t="n">
        <f aca="false">(MIN(B98,2020)-1900-10*(G98-1))/10</f>
        <v>0.7</v>
      </c>
      <c r="I98" s="20" t="n">
        <f aca="false">EXP(LN(INDEX(Pop_Inputs!$B$2:$N$29,MATCH(C98,Pop_Inputs!$A$2:$A$29,0),G98))*(1-H98)+LN(INDEX(Pop_Inputs!$B$2:$N$29,MATCH(C98,Pop_Inputs!$A$2:$A$29,0),G98+1))*H98)</f>
        <v>635596.442843385</v>
      </c>
      <c r="J98" s="20" t="n">
        <f aca="false">I98/F98</f>
        <v>317798.221421692</v>
      </c>
      <c r="K98" s="21" t="n">
        <f aca="false">D98/(D98+E98)</f>
        <v>0.395973154362416</v>
      </c>
      <c r="L98" s="21" t="n">
        <f aca="false">AVERAGEIFS($K$2:$K$2705,$B$2:$B$2705,B98)</f>
        <v>0.500046818251272</v>
      </c>
      <c r="M98" s="21" t="n">
        <f aca="false">K98-L98</f>
        <v>-0.104073663888856</v>
      </c>
      <c r="N98" s="21" t="n">
        <f aca="false">LN(J98)</f>
        <v>12.6691719365357</v>
      </c>
      <c r="O98" s="21" t="n">
        <f aca="false">AVERAGEIFS($N$2:$N$2705,$B$2:$B$2705,B98)</f>
        <v>13.2767406816446</v>
      </c>
      <c r="P98" s="21" t="n">
        <f aca="false">N98-O98</f>
        <v>-0.60756874510885</v>
      </c>
      <c r="Q98" s="7" t="n">
        <v>0</v>
      </c>
      <c r="R98" s="3" t="n">
        <f aca="false">IF(AND(Q98=1,B98-_xlfn.MINIFS($B$2:$B$2705,$A$2:$A$2705,A98)&lt;10),1,0)</f>
        <v>0</v>
      </c>
      <c r="S98" s="7" t="n">
        <v>0</v>
      </c>
      <c r="T98" s="3" t="n">
        <f aca="false">_xlfn.MINIFS($B$2:$B$2705,$A$2:$A$2705,A98)</f>
        <v>1901</v>
      </c>
      <c r="U98" s="3" t="n">
        <f aca="false">B98-T98</f>
        <v>6</v>
      </c>
      <c r="V98" s="3" t="str">
        <f aca="false">INDEX(Pop_Inputs!$Q$2:$Q$29,MATCH(C98,Pop_Inputs!$A$2:$A$29,0))</f>
        <v>Northeast</v>
      </c>
      <c r="W98" s="30"/>
      <c r="X98" s="3" t="str">
        <f aca="false">IF(W98="","",LN(W98))</f>
        <v/>
      </c>
      <c r="Y98" s="3" t="str">
        <f aca="false">IF(X98="","",X98-AVERAGEIFS($X$2:$X$2705,$B$2:$B$2705,B98))</f>
        <v/>
      </c>
      <c r="Z98" s="21" t="n">
        <f aca="false">P98</f>
        <v>-0.60756874510885</v>
      </c>
      <c r="AA98" s="3" t="n">
        <f aca="false">R98</f>
        <v>0</v>
      </c>
      <c r="AB98" s="21" t="n">
        <f aca="false">P98</f>
        <v>-0.60756874510885</v>
      </c>
      <c r="AC98" s="3" t="str">
        <f aca="false">Y98</f>
        <v/>
      </c>
      <c r="AD98" s="3" t="n">
        <f aca="false">R98</f>
        <v>0</v>
      </c>
    </row>
    <row r="99" customFormat="false" ht="15" hidden="false" customHeight="true" outlineLevel="0" collapsed="false">
      <c r="A99" s="7" t="s">
        <v>56</v>
      </c>
      <c r="B99" s="7" t="n">
        <v>1907</v>
      </c>
      <c r="C99" s="7" t="s">
        <v>142</v>
      </c>
      <c r="D99" s="7" t="n">
        <v>107</v>
      </c>
      <c r="E99" s="7" t="n">
        <v>45</v>
      </c>
      <c r="F99" s="3" t="n">
        <f aca="false">COUNTIFS($B$2:$B$2705,B99,$C$2:$C$2705,C99)</f>
        <v>2</v>
      </c>
      <c r="G99" s="3" t="n">
        <f aca="false">MIN(INT((MIN(B99,2020)-1900)/10)+1,12)</f>
        <v>1</v>
      </c>
      <c r="H99" s="3" t="n">
        <f aca="false">(MIN(B99,2020)-1900-10*(G99-1))/10</f>
        <v>0.7</v>
      </c>
      <c r="I99" s="20" t="n">
        <f aca="false">EXP(LN(INDEX(Pop_Inputs!$B$2:$N$29,MATCH(C99,Pop_Inputs!$A$2:$A$29,0),G99))*(1-H99)+LN(INDEX(Pop_Inputs!$B$2:$N$29,MATCH(C99,Pop_Inputs!$A$2:$A$29,0),G99+1))*H99)</f>
        <v>2026192.94755224</v>
      </c>
      <c r="J99" s="20" t="n">
        <f aca="false">I99/F99</f>
        <v>1013096.47377612</v>
      </c>
      <c r="K99" s="21" t="n">
        <f aca="false">D99/(D99+E99)</f>
        <v>0.703947368421053</v>
      </c>
      <c r="L99" s="21" t="n">
        <f aca="false">AVERAGEIFS($K$2:$K$2705,$B$2:$B$2705,B99)</f>
        <v>0.500046818251272</v>
      </c>
      <c r="M99" s="21" t="n">
        <f aca="false">K99-L99</f>
        <v>0.203900550169781</v>
      </c>
      <c r="N99" s="21" t="n">
        <f aca="false">LN(J99)</f>
        <v>13.8285220144081</v>
      </c>
      <c r="O99" s="21" t="n">
        <f aca="false">AVERAGEIFS($N$2:$N$2705,$B$2:$B$2705,B99)</f>
        <v>13.2767406816446</v>
      </c>
      <c r="P99" s="21" t="n">
        <f aca="false">N99-O99</f>
        <v>0.55178133276349</v>
      </c>
      <c r="Q99" s="7" t="n">
        <v>0</v>
      </c>
      <c r="R99" s="3" t="n">
        <f aca="false">IF(AND(Q99=1,B99-_xlfn.MINIFS($B$2:$B$2705,$A$2:$A$2705,A99)&lt;10),1,0)</f>
        <v>0</v>
      </c>
      <c r="S99" s="7" t="n">
        <v>0</v>
      </c>
      <c r="T99" s="3" t="n">
        <f aca="false">_xlfn.MINIFS($B$2:$B$2705,$A$2:$A$2705,A99)</f>
        <v>1901</v>
      </c>
      <c r="U99" s="3" t="n">
        <f aca="false">B99-T99</f>
        <v>6</v>
      </c>
      <c r="V99" s="3" t="str">
        <f aca="false">INDEX(Pop_Inputs!$Q$2:$Q$29,MATCH(C99,Pop_Inputs!$A$2:$A$29,0))</f>
        <v>Midwest</v>
      </c>
      <c r="W99" s="30"/>
      <c r="X99" s="3" t="str">
        <f aca="false">IF(W99="","",LN(W99))</f>
        <v/>
      </c>
      <c r="Y99" s="3" t="str">
        <f aca="false">IF(X99="","",X99-AVERAGEIFS($X$2:$X$2705,$B$2:$B$2705,B99))</f>
        <v/>
      </c>
      <c r="Z99" s="21" t="n">
        <f aca="false">P99</f>
        <v>0.55178133276349</v>
      </c>
      <c r="AA99" s="3" t="n">
        <f aca="false">R99</f>
        <v>0</v>
      </c>
      <c r="AB99" s="21" t="n">
        <f aca="false">P99</f>
        <v>0.55178133276349</v>
      </c>
      <c r="AC99" s="3" t="str">
        <f aca="false">Y99</f>
        <v/>
      </c>
      <c r="AD99" s="3" t="n">
        <f aca="false">R99</f>
        <v>0</v>
      </c>
    </row>
    <row r="100" customFormat="false" ht="15" hidden="false" customHeight="true" outlineLevel="0" collapsed="false">
      <c r="A100" s="7" t="s">
        <v>65</v>
      </c>
      <c r="B100" s="7" t="n">
        <v>1907</v>
      </c>
      <c r="C100" s="7" t="s">
        <v>142</v>
      </c>
      <c r="D100" s="7" t="n">
        <v>87</v>
      </c>
      <c r="E100" s="7" t="n">
        <v>64</v>
      </c>
      <c r="F100" s="3" t="n">
        <f aca="false">COUNTIFS($B$2:$B$2705,B100,$C$2:$C$2705,C100)</f>
        <v>2</v>
      </c>
      <c r="G100" s="3" t="n">
        <f aca="false">MIN(INT((MIN(B100,2020)-1900)/10)+1,12)</f>
        <v>1</v>
      </c>
      <c r="H100" s="3" t="n">
        <f aca="false">(MIN(B100,2020)-1900-10*(G100-1))/10</f>
        <v>0.7</v>
      </c>
      <c r="I100" s="20" t="n">
        <f aca="false">EXP(LN(INDEX(Pop_Inputs!$B$2:$N$29,MATCH(C100,Pop_Inputs!$A$2:$A$29,0),G100))*(1-H100)+LN(INDEX(Pop_Inputs!$B$2:$N$29,MATCH(C100,Pop_Inputs!$A$2:$A$29,0),G100+1))*H100)</f>
        <v>2026192.94755224</v>
      </c>
      <c r="J100" s="20" t="n">
        <f aca="false">I100/F100</f>
        <v>1013096.47377612</v>
      </c>
      <c r="K100" s="21" t="n">
        <f aca="false">D100/(D100+E100)</f>
        <v>0.576158940397351</v>
      </c>
      <c r="L100" s="21" t="n">
        <f aca="false">AVERAGEIFS($K$2:$K$2705,$B$2:$B$2705,B100)</f>
        <v>0.500046818251272</v>
      </c>
      <c r="M100" s="21" t="n">
        <f aca="false">K100-L100</f>
        <v>0.0761121221460789</v>
      </c>
      <c r="N100" s="21" t="n">
        <f aca="false">LN(J100)</f>
        <v>13.8285220144081</v>
      </c>
      <c r="O100" s="21" t="n">
        <f aca="false">AVERAGEIFS($N$2:$N$2705,$B$2:$B$2705,B100)</f>
        <v>13.2767406816446</v>
      </c>
      <c r="P100" s="21" t="n">
        <f aca="false">N100-O100</f>
        <v>0.55178133276349</v>
      </c>
      <c r="Q100" s="7" t="n">
        <v>0</v>
      </c>
      <c r="R100" s="3" t="n">
        <f aca="false">IF(AND(Q100=1,B100-_xlfn.MINIFS($B$2:$B$2705,$A$2:$A$2705,A100)&lt;10),1,0)</f>
        <v>0</v>
      </c>
      <c r="S100" s="7" t="n">
        <v>0</v>
      </c>
      <c r="T100" s="3" t="n">
        <f aca="false">_xlfn.MINIFS($B$2:$B$2705,$A$2:$A$2705,A100)</f>
        <v>1901</v>
      </c>
      <c r="U100" s="3" t="n">
        <f aca="false">B100-T100</f>
        <v>6</v>
      </c>
      <c r="V100" s="3" t="str">
        <f aca="false">INDEX(Pop_Inputs!$Q$2:$Q$29,MATCH(C100,Pop_Inputs!$A$2:$A$29,0))</f>
        <v>Midwest</v>
      </c>
      <c r="W100" s="30"/>
      <c r="X100" s="3" t="str">
        <f aca="false">IF(W100="","",LN(W100))</f>
        <v/>
      </c>
      <c r="Y100" s="3" t="str">
        <f aca="false">IF(X100="","",X100-AVERAGEIFS($X$2:$X$2705,$B$2:$B$2705,B100))</f>
        <v/>
      </c>
      <c r="Z100" s="21" t="n">
        <f aca="false">P100</f>
        <v>0.55178133276349</v>
      </c>
      <c r="AA100" s="3" t="n">
        <f aca="false">R100</f>
        <v>0</v>
      </c>
      <c r="AB100" s="21" t="n">
        <f aca="false">P100</f>
        <v>0.55178133276349</v>
      </c>
      <c r="AC100" s="3" t="str">
        <f aca="false">Y100</f>
        <v/>
      </c>
      <c r="AD100" s="3" t="n">
        <f aca="false">R100</f>
        <v>0</v>
      </c>
    </row>
    <row r="101" customFormat="false" ht="15" hidden="false" customHeight="true" outlineLevel="0" collapsed="false">
      <c r="A101" s="7" t="s">
        <v>57</v>
      </c>
      <c r="B101" s="7" t="n">
        <v>1907</v>
      </c>
      <c r="C101" s="7" t="s">
        <v>143</v>
      </c>
      <c r="D101" s="7" t="n">
        <v>66</v>
      </c>
      <c r="E101" s="7" t="n">
        <v>87</v>
      </c>
      <c r="F101" s="3" t="n">
        <f aca="false">COUNTIFS($B$2:$B$2705,B101,$C$2:$C$2705,C101)</f>
        <v>1</v>
      </c>
      <c r="G101" s="3" t="n">
        <f aca="false">MIN(INT((MIN(B101,2020)-1900)/10)+1,12)</f>
        <v>1</v>
      </c>
      <c r="H101" s="3" t="n">
        <f aca="false">(MIN(B101,2020)-1900-10*(G101-1))/10</f>
        <v>0.7</v>
      </c>
      <c r="I101" s="20" t="n">
        <f aca="false">EXP(LN(INDEX(Pop_Inputs!$B$2:$N$29,MATCH(C101,Pop_Inputs!$A$2:$A$29,0),G101))*(1-H101)+LN(INDEX(Pop_Inputs!$B$2:$N$29,MATCH(C101,Pop_Inputs!$A$2:$A$29,0),G101+1))*H101)</f>
        <v>351848.168645078</v>
      </c>
      <c r="J101" s="20" t="n">
        <f aca="false">I101/F101</f>
        <v>351848.168645078</v>
      </c>
      <c r="K101" s="21" t="n">
        <f aca="false">D101/(D101+E101)</f>
        <v>0.431372549019608</v>
      </c>
      <c r="L101" s="21" t="n">
        <f aca="false">AVERAGEIFS($K$2:$K$2705,$B$2:$B$2705,B101)</f>
        <v>0.500046818251272</v>
      </c>
      <c r="M101" s="21" t="n">
        <f aca="false">K101-L101</f>
        <v>-0.0686742692316642</v>
      </c>
      <c r="N101" s="21" t="n">
        <f aca="false">LN(J101)</f>
        <v>12.7709550224503</v>
      </c>
      <c r="O101" s="21" t="n">
        <f aca="false">AVERAGEIFS($N$2:$N$2705,$B$2:$B$2705,B101)</f>
        <v>13.2767406816446</v>
      </c>
      <c r="P101" s="21" t="n">
        <f aca="false">N101-O101</f>
        <v>-0.505785659194272</v>
      </c>
      <c r="Q101" s="7" t="n">
        <v>0</v>
      </c>
      <c r="R101" s="3" t="n">
        <f aca="false">IF(AND(Q101=1,B101-_xlfn.MINIFS($B$2:$B$2705,$A$2:$A$2705,A101)&lt;10),1,0)</f>
        <v>0</v>
      </c>
      <c r="S101" s="7" t="n">
        <v>0</v>
      </c>
      <c r="T101" s="3" t="n">
        <f aca="false">_xlfn.MINIFS($B$2:$B$2705,$A$2:$A$2705,A101)</f>
        <v>1901</v>
      </c>
      <c r="U101" s="3" t="n">
        <f aca="false">B101-T101</f>
        <v>6</v>
      </c>
      <c r="V101" s="3" t="str">
        <f aca="false">INDEX(Pop_Inputs!$Q$2:$Q$29,MATCH(C101,Pop_Inputs!$A$2:$A$29,0))</f>
        <v>Midwest</v>
      </c>
      <c r="W101" s="30"/>
      <c r="X101" s="3" t="str">
        <f aca="false">IF(W101="","",LN(W101))</f>
        <v/>
      </c>
      <c r="Y101" s="3" t="str">
        <f aca="false">IF(X101="","",X101-AVERAGEIFS($X$2:$X$2705,$B$2:$B$2705,B101))</f>
        <v/>
      </c>
      <c r="Z101" s="21" t="n">
        <f aca="false">P101</f>
        <v>-0.505785659194272</v>
      </c>
      <c r="AA101" s="3" t="n">
        <f aca="false">R101</f>
        <v>0</v>
      </c>
      <c r="AB101" s="21" t="n">
        <f aca="false">P101</f>
        <v>-0.505785659194272</v>
      </c>
      <c r="AC101" s="3" t="str">
        <f aca="false">Y101</f>
        <v/>
      </c>
      <c r="AD101" s="3" t="n">
        <f aca="false">R101</f>
        <v>0</v>
      </c>
    </row>
    <row r="102" customFormat="false" ht="15" hidden="false" customHeight="true" outlineLevel="0" collapsed="false">
      <c r="A102" s="7" t="s">
        <v>66</v>
      </c>
      <c r="B102" s="7" t="n">
        <v>1907</v>
      </c>
      <c r="C102" s="7" t="s">
        <v>151</v>
      </c>
      <c r="D102" s="7" t="n">
        <v>85</v>
      </c>
      <c r="E102" s="7" t="n">
        <v>67</v>
      </c>
      <c r="F102" s="3" t="n">
        <f aca="false">COUNTIFS($B$2:$B$2705,B102,$C$2:$C$2705,C102)</f>
        <v>1</v>
      </c>
      <c r="G102" s="3" t="n">
        <f aca="false">MIN(INT((MIN(B102,2020)-1900)/10)+1,12)</f>
        <v>1</v>
      </c>
      <c r="H102" s="3" t="n">
        <f aca="false">(MIN(B102,2020)-1900-10*(G102-1))/10</f>
        <v>0.7</v>
      </c>
      <c r="I102" s="20" t="n">
        <f aca="false">EXP(LN(INDEX(Pop_Inputs!$B$2:$N$29,MATCH(C102,Pop_Inputs!$A$2:$A$29,0),G102))*(1-H102)+LN(INDEX(Pop_Inputs!$B$2:$N$29,MATCH(C102,Pop_Inputs!$A$2:$A$29,0),G102+1))*H102)</f>
        <v>499610.071255504</v>
      </c>
      <c r="J102" s="20" t="n">
        <f aca="false">I102/F102</f>
        <v>499610.071255504</v>
      </c>
      <c r="K102" s="21" t="n">
        <f aca="false">D102/(D102+E102)</f>
        <v>0.55921052631579</v>
      </c>
      <c r="L102" s="21" t="n">
        <f aca="false">AVERAGEIFS($K$2:$K$2705,$B$2:$B$2705,B102)</f>
        <v>0.500046818251272</v>
      </c>
      <c r="M102" s="21" t="n">
        <f aca="false">K102-L102</f>
        <v>0.0591637080645174</v>
      </c>
      <c r="N102" s="21" t="n">
        <f aca="false">LN(J102)</f>
        <v>13.1215832156683</v>
      </c>
      <c r="O102" s="21" t="n">
        <f aca="false">AVERAGEIFS($N$2:$N$2705,$B$2:$B$2705,B102)</f>
        <v>13.2767406816446</v>
      </c>
      <c r="P102" s="21" t="n">
        <f aca="false">N102-O102</f>
        <v>-0.155157465976268</v>
      </c>
      <c r="Q102" s="7" t="n">
        <v>0</v>
      </c>
      <c r="R102" s="3" t="n">
        <f aca="false">IF(AND(Q102=1,B102-_xlfn.MINIFS($B$2:$B$2705,$A$2:$A$2705,A102)&lt;10),1,0)</f>
        <v>0</v>
      </c>
      <c r="S102" s="7" t="n">
        <v>0</v>
      </c>
      <c r="T102" s="3" t="n">
        <f aca="false">_xlfn.MINIFS($B$2:$B$2705,$A$2:$A$2705,A102)</f>
        <v>1901</v>
      </c>
      <c r="U102" s="3" t="n">
        <f aca="false">B102-T102</f>
        <v>6</v>
      </c>
      <c r="V102" s="3" t="str">
        <f aca="false">INDEX(Pop_Inputs!$Q$2:$Q$29,MATCH(C102,Pop_Inputs!$A$2:$A$29,0))</f>
        <v>Midwest</v>
      </c>
      <c r="W102" s="30"/>
      <c r="X102" s="3" t="str">
        <f aca="false">IF(W102="","",LN(W102))</f>
        <v/>
      </c>
      <c r="Y102" s="3" t="str">
        <f aca="false">IF(X102="","",X102-AVERAGEIFS($X$2:$X$2705,$B$2:$B$2705,B102))</f>
        <v/>
      </c>
      <c r="Z102" s="21" t="n">
        <f aca="false">P102</f>
        <v>-0.155157465976268</v>
      </c>
      <c r="AA102" s="3" t="n">
        <f aca="false">R102</f>
        <v>0</v>
      </c>
      <c r="AB102" s="21" t="n">
        <f aca="false">P102</f>
        <v>-0.155157465976268</v>
      </c>
      <c r="AC102" s="3" t="str">
        <f aca="false">Y102</f>
        <v/>
      </c>
      <c r="AD102" s="3" t="n">
        <f aca="false">R102</f>
        <v>0</v>
      </c>
    </row>
    <row r="103" customFormat="false" ht="15" hidden="false" customHeight="true" outlineLevel="0" collapsed="false">
      <c r="A103" s="7" t="s">
        <v>67</v>
      </c>
      <c r="B103" s="7" t="n">
        <v>1907</v>
      </c>
      <c r="C103" s="7" t="s">
        <v>152</v>
      </c>
      <c r="D103" s="7" t="n">
        <v>92</v>
      </c>
      <c r="E103" s="7" t="n">
        <v>58</v>
      </c>
      <c r="F103" s="3" t="n">
        <f aca="false">COUNTIFS($B$2:$B$2705,B103,$C$2:$C$2705,C103)</f>
        <v>1</v>
      </c>
      <c r="G103" s="3" t="n">
        <f aca="false">MIN(INT((MIN(B103,2020)-1900)/10)+1,12)</f>
        <v>1</v>
      </c>
      <c r="H103" s="3" t="n">
        <f aca="false">(MIN(B103,2020)-1900-10*(G103-1))/10</f>
        <v>0.7</v>
      </c>
      <c r="I103" s="20" t="n">
        <f aca="false">EXP(LN(INDEX(Pop_Inputs!$B$2:$N$29,MATCH(C103,Pop_Inputs!$A$2:$A$29,0),G103))*(1-H103)+LN(INDEX(Pop_Inputs!$B$2:$N$29,MATCH(C103,Pop_Inputs!$A$2:$A$29,0),G103+1))*H103)</f>
        <v>402246.565016449</v>
      </c>
      <c r="J103" s="20" t="n">
        <f aca="false">I103/F103</f>
        <v>402246.565016449</v>
      </c>
      <c r="K103" s="21" t="n">
        <f aca="false">D103/(D103+E103)</f>
        <v>0.613333333333333</v>
      </c>
      <c r="L103" s="21" t="n">
        <f aca="false">AVERAGEIFS($K$2:$K$2705,$B$2:$B$2705,B103)</f>
        <v>0.500046818251272</v>
      </c>
      <c r="M103" s="21" t="n">
        <f aca="false">K103-L103</f>
        <v>0.113286515082061</v>
      </c>
      <c r="N103" s="21" t="n">
        <f aca="false">LN(J103)</f>
        <v>12.9048205253936</v>
      </c>
      <c r="O103" s="21" t="n">
        <f aca="false">AVERAGEIFS($N$2:$N$2705,$B$2:$B$2705,B103)</f>
        <v>13.2767406816446</v>
      </c>
      <c r="P103" s="21" t="n">
        <f aca="false">N103-O103</f>
        <v>-0.37192015625101</v>
      </c>
      <c r="Q103" s="7" t="n">
        <v>0</v>
      </c>
      <c r="R103" s="3" t="n">
        <f aca="false">IF(AND(Q103=1,B103-_xlfn.MINIFS($B$2:$B$2705,$A$2:$A$2705,A103)&lt;10),1,0)</f>
        <v>0</v>
      </c>
      <c r="S103" s="7" t="n">
        <v>0</v>
      </c>
      <c r="T103" s="3" t="n">
        <f aca="false">_xlfn.MINIFS($B$2:$B$2705,$A$2:$A$2705,A103)</f>
        <v>1901</v>
      </c>
      <c r="U103" s="3" t="n">
        <f aca="false">B103-T103</f>
        <v>6</v>
      </c>
      <c r="V103" s="3" t="str">
        <f aca="false">INDEX(Pop_Inputs!$Q$2:$Q$29,MATCH(C103,Pop_Inputs!$A$2:$A$29,0))</f>
        <v>Midwest</v>
      </c>
      <c r="W103" s="30"/>
      <c r="X103" s="3" t="str">
        <f aca="false">IF(W103="","",LN(W103))</f>
        <v/>
      </c>
      <c r="Y103" s="3" t="str">
        <f aca="false">IF(X103="","",X103-AVERAGEIFS($X$2:$X$2705,$B$2:$B$2705,B103))</f>
        <v/>
      </c>
      <c r="Z103" s="21" t="n">
        <f aca="false">P103</f>
        <v>-0.37192015625101</v>
      </c>
      <c r="AA103" s="3" t="n">
        <f aca="false">R103</f>
        <v>0</v>
      </c>
      <c r="AB103" s="21" t="n">
        <f aca="false">P103</f>
        <v>-0.37192015625101</v>
      </c>
      <c r="AC103" s="3" t="str">
        <f aca="false">Y103</f>
        <v/>
      </c>
      <c r="AD103" s="3" t="n">
        <f aca="false">R103</f>
        <v>0</v>
      </c>
    </row>
    <row r="104" customFormat="false" ht="15" hidden="false" customHeight="true" outlineLevel="0" collapsed="false">
      <c r="A104" s="7" t="s">
        <v>62</v>
      </c>
      <c r="B104" s="7" t="n">
        <v>1907</v>
      </c>
      <c r="C104" s="7" t="s">
        <v>154</v>
      </c>
      <c r="D104" s="7" t="n">
        <v>65</v>
      </c>
      <c r="E104" s="7" t="n">
        <v>83</v>
      </c>
      <c r="F104" s="3" t="n">
        <f aca="false">COUNTIFS($B$2:$B$2705,B104,$C$2:$C$2705,C104)</f>
        <v>3</v>
      </c>
      <c r="G104" s="3" t="n">
        <f aca="false">MIN(INT((MIN(B104,2020)-1900)/10)+1,12)</f>
        <v>1</v>
      </c>
      <c r="H104" s="3" t="n">
        <f aca="false">(MIN(B104,2020)-1900-10*(G104-1))/10</f>
        <v>0.7</v>
      </c>
      <c r="I104" s="20" t="n">
        <f aca="false">EXP(LN(INDEX(Pop_Inputs!$B$2:$N$29,MATCH(C104,Pop_Inputs!$A$2:$A$29,0),G104))*(1-H104)+LN(INDEX(Pop_Inputs!$B$2:$N$29,MATCH(C104,Pop_Inputs!$A$2:$A$29,0),G104+1))*H104)</f>
        <v>4321411.88039446</v>
      </c>
      <c r="J104" s="20" t="n">
        <f aca="false">I104/F104</f>
        <v>1440470.62679815</v>
      </c>
      <c r="K104" s="21" t="n">
        <f aca="false">D104/(D104+E104)</f>
        <v>0.439189189189189</v>
      </c>
      <c r="L104" s="21" t="n">
        <f aca="false">AVERAGEIFS($K$2:$K$2705,$B$2:$B$2705,B104)</f>
        <v>0.500046818251272</v>
      </c>
      <c r="M104" s="21" t="n">
        <f aca="false">K104-L104</f>
        <v>-0.0608576290620829</v>
      </c>
      <c r="N104" s="21" t="n">
        <f aca="false">LN(J104)</f>
        <v>14.1804804423222</v>
      </c>
      <c r="O104" s="21" t="n">
        <f aca="false">AVERAGEIFS($N$2:$N$2705,$B$2:$B$2705,B104)</f>
        <v>13.2767406816446</v>
      </c>
      <c r="P104" s="21" t="n">
        <f aca="false">N104-O104</f>
        <v>0.90373976067762</v>
      </c>
      <c r="Q104" s="7" t="n">
        <v>0</v>
      </c>
      <c r="R104" s="3" t="n">
        <f aca="false">IF(AND(Q104=1,B104-_xlfn.MINIFS($B$2:$B$2705,$A$2:$A$2705,A104)&lt;10),1,0)</f>
        <v>0</v>
      </c>
      <c r="S104" s="7" t="n">
        <v>0</v>
      </c>
      <c r="T104" s="3" t="n">
        <f aca="false">_xlfn.MINIFS($B$2:$B$2705,$A$2:$A$2705,A104)</f>
        <v>1901</v>
      </c>
      <c r="U104" s="3" t="n">
        <f aca="false">B104-T104</f>
        <v>6</v>
      </c>
      <c r="V104" s="3" t="str">
        <f aca="false">INDEX(Pop_Inputs!$Q$2:$Q$29,MATCH(C104,Pop_Inputs!$A$2:$A$29,0))</f>
        <v>Northeast</v>
      </c>
      <c r="W104" s="30"/>
      <c r="X104" s="3" t="str">
        <f aca="false">IF(W104="","",LN(W104))</f>
        <v/>
      </c>
      <c r="Y104" s="3" t="str">
        <f aca="false">IF(X104="","",X104-AVERAGEIFS($X$2:$X$2705,$B$2:$B$2705,B104))</f>
        <v/>
      </c>
      <c r="Z104" s="21" t="n">
        <f aca="false">P104</f>
        <v>0.90373976067762</v>
      </c>
      <c r="AA104" s="3" t="n">
        <f aca="false">R104</f>
        <v>0</v>
      </c>
      <c r="AB104" s="21" t="n">
        <f aca="false">P104</f>
        <v>0.90373976067762</v>
      </c>
      <c r="AC104" s="3" t="str">
        <f aca="false">Y104</f>
        <v/>
      </c>
      <c r="AD104" s="3" t="n">
        <f aca="false">R104</f>
        <v>0</v>
      </c>
    </row>
    <row r="105" customFormat="false" ht="15" hidden="false" customHeight="true" outlineLevel="0" collapsed="false">
      <c r="A105" s="7" t="s">
        <v>68</v>
      </c>
      <c r="B105" s="7" t="n">
        <v>1907</v>
      </c>
      <c r="C105" s="7" t="s">
        <v>160</v>
      </c>
      <c r="D105" s="7" t="n">
        <v>49</v>
      </c>
      <c r="E105" s="7" t="n">
        <v>102</v>
      </c>
      <c r="F105" s="3" t="n">
        <f aca="false">COUNTIFS($B$2:$B$2705,B105,$C$2:$C$2705,C105)</f>
        <v>1</v>
      </c>
      <c r="G105" s="3" t="n">
        <f aca="false">MIN(INT((MIN(B105,2020)-1900)/10)+1,12)</f>
        <v>1</v>
      </c>
      <c r="H105" s="3" t="n">
        <f aca="false">(MIN(B105,2020)-1900-10*(G105-1))/10</f>
        <v>0.7</v>
      </c>
      <c r="I105" s="20" t="n">
        <f aca="false">EXP(LN(INDEX(Pop_Inputs!$B$2:$N$29,MATCH(C105,Pop_Inputs!$A$2:$A$29,0),G105))*(1-H105)+LN(INDEX(Pop_Inputs!$B$2:$N$29,MATCH(C105,Pop_Inputs!$A$2:$A$29,0),G105+1))*H105)</f>
        <v>314407.188475137</v>
      </c>
      <c r="J105" s="20" t="n">
        <f aca="false">I105/F105</f>
        <v>314407.188475137</v>
      </c>
      <c r="K105" s="21" t="n">
        <f aca="false">D105/(D105+E105)</f>
        <v>0.324503311258278</v>
      </c>
      <c r="L105" s="21" t="n">
        <f aca="false">AVERAGEIFS($K$2:$K$2705,$B$2:$B$2705,B105)</f>
        <v>0.500046818251272</v>
      </c>
      <c r="M105" s="21" t="n">
        <f aca="false">K105-L105</f>
        <v>-0.175543506992994</v>
      </c>
      <c r="N105" s="21" t="n">
        <f aca="false">LN(J105)</f>
        <v>12.6584442033825</v>
      </c>
      <c r="O105" s="21" t="n">
        <f aca="false">AVERAGEIFS($N$2:$N$2705,$B$2:$B$2705,B105)</f>
        <v>13.2767406816446</v>
      </c>
      <c r="P105" s="21" t="n">
        <f aca="false">N105-O105</f>
        <v>-0.618296478262083</v>
      </c>
      <c r="Q105" s="7" t="n">
        <v>0</v>
      </c>
      <c r="R105" s="3" t="n">
        <f aca="false">IF(AND(Q105=1,B105-_xlfn.MINIFS($B$2:$B$2705,$A$2:$A$2705,A105)&lt;10),1,0)</f>
        <v>0</v>
      </c>
      <c r="S105" s="7" t="n">
        <v>0</v>
      </c>
      <c r="T105" s="3" t="n">
        <f aca="false">_xlfn.MINIFS($B$2:$B$2705,$A$2:$A$2705,A105)</f>
        <v>1901</v>
      </c>
      <c r="U105" s="3" t="n">
        <f aca="false">B105-T105</f>
        <v>6</v>
      </c>
      <c r="V105" s="3" t="str">
        <f aca="false">INDEX(Pop_Inputs!$Q$2:$Q$29,MATCH(C105,Pop_Inputs!$A$2:$A$29,0))</f>
        <v>South</v>
      </c>
      <c r="W105" s="30"/>
      <c r="X105" s="3" t="str">
        <f aca="false">IF(W105="","",LN(W105))</f>
        <v/>
      </c>
      <c r="Y105" s="3" t="str">
        <f aca="false">IF(X105="","",X105-AVERAGEIFS($X$2:$X$2705,$B$2:$B$2705,B105))</f>
        <v/>
      </c>
      <c r="Z105" s="21" t="n">
        <f aca="false">P105</f>
        <v>-0.618296478262083</v>
      </c>
      <c r="AA105" s="3" t="n">
        <f aca="false">R105</f>
        <v>0</v>
      </c>
      <c r="AB105" s="21" t="n">
        <f aca="false">P105</f>
        <v>-0.618296478262083</v>
      </c>
      <c r="AC105" s="3" t="str">
        <f aca="false">Y105</f>
        <v/>
      </c>
      <c r="AD105" s="3" t="n">
        <f aca="false">R105</f>
        <v>0</v>
      </c>
    </row>
    <row r="106" customFormat="false" ht="15" hidden="false" customHeight="true" outlineLevel="0" collapsed="false">
      <c r="A106" s="7" t="s">
        <v>70</v>
      </c>
      <c r="B106" s="7" t="n">
        <v>1907</v>
      </c>
      <c r="C106" s="7" t="s">
        <v>154</v>
      </c>
      <c r="D106" s="7" t="n">
        <v>70</v>
      </c>
      <c r="E106" s="7" t="n">
        <v>78</v>
      </c>
      <c r="F106" s="3" t="n">
        <f aca="false">COUNTIFS($B$2:$B$2705,B106,$C$2:$C$2705,C106)</f>
        <v>3</v>
      </c>
      <c r="G106" s="3" t="n">
        <f aca="false">MIN(INT((MIN(B106,2020)-1900)/10)+1,12)</f>
        <v>1</v>
      </c>
      <c r="H106" s="3" t="n">
        <f aca="false">(MIN(B106,2020)-1900-10*(G106-1))/10</f>
        <v>0.7</v>
      </c>
      <c r="I106" s="20" t="n">
        <f aca="false">EXP(LN(INDEX(Pop_Inputs!$B$2:$N$29,MATCH(C106,Pop_Inputs!$A$2:$A$29,0),G106))*(1-H106)+LN(INDEX(Pop_Inputs!$B$2:$N$29,MATCH(C106,Pop_Inputs!$A$2:$A$29,0),G106+1))*H106)</f>
        <v>4321411.88039446</v>
      </c>
      <c r="J106" s="20" t="n">
        <f aca="false">I106/F106</f>
        <v>1440470.62679815</v>
      </c>
      <c r="K106" s="21" t="n">
        <f aca="false">D106/(D106+E106)</f>
        <v>0.472972972972973</v>
      </c>
      <c r="L106" s="21" t="n">
        <f aca="false">AVERAGEIFS($K$2:$K$2705,$B$2:$B$2705,B106)</f>
        <v>0.500046818251272</v>
      </c>
      <c r="M106" s="21" t="n">
        <f aca="false">K106-L106</f>
        <v>-0.0270738452782991</v>
      </c>
      <c r="N106" s="21" t="n">
        <f aca="false">LN(J106)</f>
        <v>14.1804804423222</v>
      </c>
      <c r="O106" s="21" t="n">
        <f aca="false">AVERAGEIFS($N$2:$N$2705,$B$2:$B$2705,B106)</f>
        <v>13.2767406816446</v>
      </c>
      <c r="P106" s="21" t="n">
        <f aca="false">N106-O106</f>
        <v>0.90373976067762</v>
      </c>
      <c r="Q106" s="7" t="n">
        <v>0</v>
      </c>
      <c r="R106" s="3" t="n">
        <f aca="false">IF(AND(Q106=1,B106-_xlfn.MINIFS($B$2:$B$2705,$A$2:$A$2705,A106)&lt;10),1,0)</f>
        <v>0</v>
      </c>
      <c r="S106" s="7" t="n">
        <v>1</v>
      </c>
      <c r="T106" s="3" t="n">
        <f aca="false">_xlfn.MINIFS($B$2:$B$2705,$A$2:$A$2705,A106)</f>
        <v>1903</v>
      </c>
      <c r="U106" s="3" t="n">
        <f aca="false">B106-T106</f>
        <v>4</v>
      </c>
      <c r="V106" s="3" t="str">
        <f aca="false">INDEX(Pop_Inputs!$Q$2:$Q$29,MATCH(C106,Pop_Inputs!$A$2:$A$29,0))</f>
        <v>Northeast</v>
      </c>
      <c r="W106" s="30"/>
      <c r="X106" s="3" t="str">
        <f aca="false">IF(W106="","",LN(W106))</f>
        <v/>
      </c>
      <c r="Y106" s="3" t="str">
        <f aca="false">IF(X106="","",X106-AVERAGEIFS($X$2:$X$2705,$B$2:$B$2705,B106))</f>
        <v/>
      </c>
      <c r="Z106" s="21" t="n">
        <f aca="false">P106</f>
        <v>0.90373976067762</v>
      </c>
      <c r="AA106" s="3" t="n">
        <f aca="false">R106</f>
        <v>0</v>
      </c>
      <c r="AB106" s="21" t="n">
        <f aca="false">P106</f>
        <v>0.90373976067762</v>
      </c>
      <c r="AC106" s="3" t="str">
        <f aca="false">Y106</f>
        <v/>
      </c>
      <c r="AD106" s="3" t="n">
        <f aca="false">R106</f>
        <v>0</v>
      </c>
    </row>
    <row r="107" customFormat="false" ht="15" hidden="false" customHeight="true" outlineLevel="0" collapsed="false">
      <c r="A107" s="7" t="s">
        <v>69</v>
      </c>
      <c r="B107" s="7" t="n">
        <v>1907</v>
      </c>
      <c r="C107" s="7" t="s">
        <v>146</v>
      </c>
      <c r="D107" s="7" t="n">
        <v>88</v>
      </c>
      <c r="E107" s="7" t="n">
        <v>57</v>
      </c>
      <c r="F107" s="3" t="n">
        <f aca="false">COUNTIFS($B$2:$B$2705,B107,$C$2:$C$2705,C107)</f>
        <v>2</v>
      </c>
      <c r="G107" s="3" t="n">
        <f aca="false">MIN(INT((MIN(B107,2020)-1900)/10)+1,12)</f>
        <v>1</v>
      </c>
      <c r="H107" s="3" t="n">
        <f aca="false">(MIN(B107,2020)-1900-10*(G107-1))/10</f>
        <v>0.7</v>
      </c>
      <c r="I107" s="20" t="n">
        <f aca="false">EXP(LN(INDEX(Pop_Inputs!$B$2:$N$29,MATCH(C107,Pop_Inputs!$A$2:$A$29,0),G107))*(1-H107)+LN(INDEX(Pop_Inputs!$B$2:$N$29,MATCH(C107,Pop_Inputs!$A$2:$A$29,0),G107+1))*H107)</f>
        <v>1467531.16828928</v>
      </c>
      <c r="J107" s="20" t="n">
        <f aca="false">I107/F107</f>
        <v>733765.58414464</v>
      </c>
      <c r="K107" s="21" t="n">
        <f aca="false">D107/(D107+E107)</f>
        <v>0.606896551724138</v>
      </c>
      <c r="L107" s="21" t="n">
        <f aca="false">AVERAGEIFS($K$2:$K$2705,$B$2:$B$2705,B107)</f>
        <v>0.500046818251272</v>
      </c>
      <c r="M107" s="21" t="n">
        <f aca="false">K107-L107</f>
        <v>0.106849733472866</v>
      </c>
      <c r="N107" s="21" t="n">
        <f aca="false">LN(J107)</f>
        <v>13.5059448889376</v>
      </c>
      <c r="O107" s="21" t="n">
        <f aca="false">AVERAGEIFS($N$2:$N$2705,$B$2:$B$2705,B107)</f>
        <v>13.2767406816446</v>
      </c>
      <c r="P107" s="21" t="n">
        <f aca="false">N107-O107</f>
        <v>0.229204207293026</v>
      </c>
      <c r="Q107" s="7" t="n">
        <v>0</v>
      </c>
      <c r="R107" s="3" t="n">
        <f aca="false">IF(AND(Q107=1,B107-_xlfn.MINIFS($B$2:$B$2705,$A$2:$A$2705,A107)&lt;10),1,0)</f>
        <v>0</v>
      </c>
      <c r="S107" s="7" t="n">
        <v>0</v>
      </c>
      <c r="T107" s="3" t="n">
        <f aca="false">_xlfn.MINIFS($B$2:$B$2705,$A$2:$A$2705,A107)</f>
        <v>1901</v>
      </c>
      <c r="U107" s="3" t="n">
        <f aca="false">B107-T107</f>
        <v>6</v>
      </c>
      <c r="V107" s="3" t="str">
        <f aca="false">INDEX(Pop_Inputs!$Q$2:$Q$29,MATCH(C107,Pop_Inputs!$A$2:$A$29,0))</f>
        <v>Northeast</v>
      </c>
      <c r="W107" s="30"/>
      <c r="X107" s="3" t="str">
        <f aca="false">IF(W107="","",LN(W107))</f>
        <v/>
      </c>
      <c r="Y107" s="3" t="str">
        <f aca="false">IF(X107="","",X107-AVERAGEIFS($X$2:$X$2705,$B$2:$B$2705,B107))</f>
        <v/>
      </c>
      <c r="Z107" s="21" t="n">
        <f aca="false">P107</f>
        <v>0.229204207293026</v>
      </c>
      <c r="AA107" s="3" t="n">
        <f aca="false">R107</f>
        <v>0</v>
      </c>
      <c r="AB107" s="21" t="n">
        <f aca="false">P107</f>
        <v>0.229204207293026</v>
      </c>
      <c r="AC107" s="3" t="str">
        <f aca="false">Y107</f>
        <v/>
      </c>
      <c r="AD107" s="3" t="n">
        <f aca="false">R107</f>
        <v>0</v>
      </c>
    </row>
    <row r="108" customFormat="false" ht="15" hidden="false" customHeight="true" outlineLevel="0" collapsed="false">
      <c r="A108" s="7" t="s">
        <v>60</v>
      </c>
      <c r="B108" s="7" t="n">
        <v>1907</v>
      </c>
      <c r="C108" s="7" t="s">
        <v>146</v>
      </c>
      <c r="D108" s="7" t="n">
        <v>83</v>
      </c>
      <c r="E108" s="7" t="n">
        <v>64</v>
      </c>
      <c r="F108" s="3" t="n">
        <f aca="false">COUNTIFS($B$2:$B$2705,B108,$C$2:$C$2705,C108)</f>
        <v>2</v>
      </c>
      <c r="G108" s="3" t="n">
        <f aca="false">MIN(INT((MIN(B108,2020)-1900)/10)+1,12)</f>
        <v>1</v>
      </c>
      <c r="H108" s="3" t="n">
        <f aca="false">(MIN(B108,2020)-1900-10*(G108-1))/10</f>
        <v>0.7</v>
      </c>
      <c r="I108" s="20" t="n">
        <f aca="false">EXP(LN(INDEX(Pop_Inputs!$B$2:$N$29,MATCH(C108,Pop_Inputs!$A$2:$A$29,0),G108))*(1-H108)+LN(INDEX(Pop_Inputs!$B$2:$N$29,MATCH(C108,Pop_Inputs!$A$2:$A$29,0),G108+1))*H108)</f>
        <v>1467531.16828928</v>
      </c>
      <c r="J108" s="20" t="n">
        <f aca="false">I108/F108</f>
        <v>733765.58414464</v>
      </c>
      <c r="K108" s="21" t="n">
        <f aca="false">D108/(D108+E108)</f>
        <v>0.564625850340136</v>
      </c>
      <c r="L108" s="21" t="n">
        <f aca="false">AVERAGEIFS($K$2:$K$2705,$B$2:$B$2705,B108)</f>
        <v>0.500046818251272</v>
      </c>
      <c r="M108" s="21" t="n">
        <f aca="false">K108-L108</f>
        <v>0.064579032088864</v>
      </c>
      <c r="N108" s="21" t="n">
        <f aca="false">LN(J108)</f>
        <v>13.5059448889376</v>
      </c>
      <c r="O108" s="21" t="n">
        <f aca="false">AVERAGEIFS($N$2:$N$2705,$B$2:$B$2705,B108)</f>
        <v>13.2767406816446</v>
      </c>
      <c r="P108" s="21" t="n">
        <f aca="false">N108-O108</f>
        <v>0.229204207293026</v>
      </c>
      <c r="Q108" s="7" t="n">
        <v>0</v>
      </c>
      <c r="R108" s="3" t="n">
        <f aca="false">IF(AND(Q108=1,B108-_xlfn.MINIFS($B$2:$B$2705,$A$2:$A$2705,A108)&lt;10),1,0)</f>
        <v>0</v>
      </c>
      <c r="S108" s="7" t="n">
        <v>0</v>
      </c>
      <c r="T108" s="3" t="n">
        <f aca="false">_xlfn.MINIFS($B$2:$B$2705,$A$2:$A$2705,A108)</f>
        <v>1901</v>
      </c>
      <c r="U108" s="3" t="n">
        <f aca="false">B108-T108</f>
        <v>6</v>
      </c>
      <c r="V108" s="3" t="str">
        <f aca="false">INDEX(Pop_Inputs!$Q$2:$Q$29,MATCH(C108,Pop_Inputs!$A$2:$A$29,0))</f>
        <v>Northeast</v>
      </c>
      <c r="W108" s="30"/>
      <c r="X108" s="3" t="str">
        <f aca="false">IF(W108="","",LN(W108))</f>
        <v/>
      </c>
      <c r="Y108" s="3" t="str">
        <f aca="false">IF(X108="","",X108-AVERAGEIFS($X$2:$X$2705,$B$2:$B$2705,B108))</f>
        <v/>
      </c>
      <c r="Z108" s="21" t="n">
        <f aca="false">P108</f>
        <v>0.229204207293026</v>
      </c>
      <c r="AA108" s="3" t="n">
        <f aca="false">R108</f>
        <v>0</v>
      </c>
      <c r="AB108" s="21" t="n">
        <f aca="false">P108</f>
        <v>0.229204207293026</v>
      </c>
      <c r="AC108" s="3" t="str">
        <f aca="false">Y108</f>
        <v/>
      </c>
      <c r="AD108" s="3" t="n">
        <f aca="false">R108</f>
        <v>0</v>
      </c>
    </row>
    <row r="109" customFormat="false" ht="15" hidden="false" customHeight="true" outlineLevel="0" collapsed="false">
      <c r="A109" s="7" t="s">
        <v>58</v>
      </c>
      <c r="B109" s="7" t="n">
        <v>1907</v>
      </c>
      <c r="C109" s="7" t="s">
        <v>144</v>
      </c>
      <c r="D109" s="7" t="n">
        <v>91</v>
      </c>
      <c r="E109" s="7" t="n">
        <v>63</v>
      </c>
      <c r="F109" s="3" t="n">
        <f aca="false">COUNTIFS($B$2:$B$2705,B109,$C$2:$C$2705,C109)</f>
        <v>1</v>
      </c>
      <c r="G109" s="3" t="n">
        <f aca="false">MIN(INT((MIN(B109,2020)-1900)/10)+1,12)</f>
        <v>1</v>
      </c>
      <c r="H109" s="3" t="n">
        <f aca="false">(MIN(B109,2020)-1900-10*(G109-1))/10</f>
        <v>0.7</v>
      </c>
      <c r="I109" s="20" t="n">
        <f aca="false">EXP(LN(INDEX(Pop_Inputs!$B$2:$N$29,MATCH(C109,Pop_Inputs!$A$2:$A$29,0),G109))*(1-H109)+LN(INDEX(Pop_Inputs!$B$2:$N$29,MATCH(C109,Pop_Inputs!$A$2:$A$29,0),G109+1))*H109)</f>
        <v>458591.589411759</v>
      </c>
      <c r="J109" s="20" t="n">
        <f aca="false">I109/F109</f>
        <v>458591.589411759</v>
      </c>
      <c r="K109" s="21" t="n">
        <f aca="false">D109/(D109+E109)</f>
        <v>0.590909090909091</v>
      </c>
      <c r="L109" s="21" t="n">
        <f aca="false">AVERAGEIFS($K$2:$K$2705,$B$2:$B$2705,B109)</f>
        <v>0.500046818251272</v>
      </c>
      <c r="M109" s="21" t="n">
        <f aca="false">K109-L109</f>
        <v>0.0908622726578189</v>
      </c>
      <c r="N109" s="21" t="n">
        <f aca="false">LN(J109)</f>
        <v>13.0359153095338</v>
      </c>
      <c r="O109" s="21" t="n">
        <f aca="false">AVERAGEIFS($N$2:$N$2705,$B$2:$B$2705,B109)</f>
        <v>13.2767406816446</v>
      </c>
      <c r="P109" s="21" t="n">
        <f aca="false">N109-O109</f>
        <v>-0.240825372110768</v>
      </c>
      <c r="Q109" s="7" t="n">
        <v>0</v>
      </c>
      <c r="R109" s="3" t="n">
        <f aca="false">IF(AND(Q109=1,B109-_xlfn.MINIFS($B$2:$B$2705,$A$2:$A$2705,A109)&lt;10),1,0)</f>
        <v>0</v>
      </c>
      <c r="S109" s="7" t="n">
        <v>0</v>
      </c>
      <c r="T109" s="3" t="n">
        <f aca="false">_xlfn.MINIFS($B$2:$B$2705,$A$2:$A$2705,A109)</f>
        <v>1901</v>
      </c>
      <c r="U109" s="3" t="n">
        <f aca="false">B109-T109</f>
        <v>6</v>
      </c>
      <c r="V109" s="3" t="str">
        <f aca="false">INDEX(Pop_Inputs!$Q$2:$Q$29,MATCH(C109,Pop_Inputs!$A$2:$A$29,0))</f>
        <v>Northeast</v>
      </c>
      <c r="W109" s="30"/>
      <c r="X109" s="3" t="str">
        <f aca="false">IF(W109="","",LN(W109))</f>
        <v/>
      </c>
      <c r="Y109" s="3" t="str">
        <f aca="false">IF(X109="","",X109-AVERAGEIFS($X$2:$X$2705,$B$2:$B$2705,B109))</f>
        <v/>
      </c>
      <c r="Z109" s="21" t="n">
        <f aca="false">P109</f>
        <v>-0.240825372110768</v>
      </c>
      <c r="AA109" s="3" t="n">
        <f aca="false">R109</f>
        <v>0</v>
      </c>
      <c r="AB109" s="21" t="n">
        <f aca="false">P109</f>
        <v>-0.240825372110768</v>
      </c>
      <c r="AC109" s="3" t="str">
        <f aca="false">Y109</f>
        <v/>
      </c>
      <c r="AD109" s="3" t="n">
        <f aca="false">R109</f>
        <v>0</v>
      </c>
    </row>
    <row r="110" customFormat="false" ht="15" hidden="false" customHeight="true" outlineLevel="0" collapsed="false">
      <c r="A110" s="7" t="s">
        <v>61</v>
      </c>
      <c r="B110" s="7" t="n">
        <v>1907</v>
      </c>
      <c r="C110" s="7" t="s">
        <v>154</v>
      </c>
      <c r="D110" s="7" t="n">
        <v>82</v>
      </c>
      <c r="E110" s="7" t="n">
        <v>71</v>
      </c>
      <c r="F110" s="3" t="n">
        <f aca="false">COUNTIFS($B$2:$B$2705,B110,$C$2:$C$2705,C110)</f>
        <v>3</v>
      </c>
      <c r="G110" s="3" t="n">
        <f aca="false">MIN(INT((MIN(B110,2020)-1900)/10)+1,12)</f>
        <v>1</v>
      </c>
      <c r="H110" s="3" t="n">
        <f aca="false">(MIN(B110,2020)-1900-10*(G110-1))/10</f>
        <v>0.7</v>
      </c>
      <c r="I110" s="20" t="n">
        <f aca="false">EXP(LN(INDEX(Pop_Inputs!$B$2:$N$29,MATCH(C110,Pop_Inputs!$A$2:$A$29,0),G110))*(1-H110)+LN(INDEX(Pop_Inputs!$B$2:$N$29,MATCH(C110,Pop_Inputs!$A$2:$A$29,0),G110+1))*H110)</f>
        <v>4321411.88039446</v>
      </c>
      <c r="J110" s="20" t="n">
        <f aca="false">I110/F110</f>
        <v>1440470.62679815</v>
      </c>
      <c r="K110" s="21" t="n">
        <f aca="false">D110/(D110+E110)</f>
        <v>0.535947712418301</v>
      </c>
      <c r="L110" s="21" t="n">
        <f aca="false">AVERAGEIFS($K$2:$K$2705,$B$2:$B$2705,B110)</f>
        <v>0.500046818251272</v>
      </c>
      <c r="M110" s="21" t="n">
        <f aca="false">K110-L110</f>
        <v>0.0359008941670286</v>
      </c>
      <c r="N110" s="21" t="n">
        <f aca="false">LN(J110)</f>
        <v>14.1804804423222</v>
      </c>
      <c r="O110" s="21" t="n">
        <f aca="false">AVERAGEIFS($N$2:$N$2705,$B$2:$B$2705,B110)</f>
        <v>13.2767406816446</v>
      </c>
      <c r="P110" s="21" t="n">
        <f aca="false">N110-O110</f>
        <v>0.90373976067762</v>
      </c>
      <c r="Q110" s="7" t="n">
        <v>0</v>
      </c>
      <c r="R110" s="3" t="n">
        <f aca="false">IF(AND(Q110=1,B110-_xlfn.MINIFS($B$2:$B$2705,$A$2:$A$2705,A110)&lt;10),1,0)</f>
        <v>0</v>
      </c>
      <c r="S110" s="7" t="n">
        <v>0</v>
      </c>
      <c r="T110" s="3" t="n">
        <f aca="false">_xlfn.MINIFS($B$2:$B$2705,$A$2:$A$2705,A110)</f>
        <v>1901</v>
      </c>
      <c r="U110" s="3" t="n">
        <f aca="false">B110-T110</f>
        <v>6</v>
      </c>
      <c r="V110" s="3" t="str">
        <f aca="false">INDEX(Pop_Inputs!$Q$2:$Q$29,MATCH(C110,Pop_Inputs!$A$2:$A$29,0))</f>
        <v>Northeast</v>
      </c>
      <c r="W110" s="30"/>
      <c r="X110" s="3" t="str">
        <f aca="false">IF(W110="","",LN(W110))</f>
        <v/>
      </c>
      <c r="Y110" s="3" t="str">
        <f aca="false">IF(X110="","",X110-AVERAGEIFS($X$2:$X$2705,$B$2:$B$2705,B110))</f>
        <v/>
      </c>
      <c r="Z110" s="21" t="n">
        <f aca="false">P110</f>
        <v>0.90373976067762</v>
      </c>
      <c r="AA110" s="3" t="n">
        <f aca="false">R110</f>
        <v>0</v>
      </c>
      <c r="AB110" s="21" t="n">
        <f aca="false">P110</f>
        <v>0.90373976067762</v>
      </c>
      <c r="AC110" s="3" t="str">
        <f aca="false">Y110</f>
        <v/>
      </c>
      <c r="AD110" s="3" t="n">
        <f aca="false">R110</f>
        <v>0</v>
      </c>
    </row>
    <row r="111" customFormat="false" ht="15" hidden="false" customHeight="true" outlineLevel="0" collapsed="false">
      <c r="A111" s="7" t="s">
        <v>59</v>
      </c>
      <c r="B111" s="7" t="n">
        <v>1907</v>
      </c>
      <c r="C111" s="7" t="s">
        <v>145</v>
      </c>
      <c r="D111" s="7" t="n">
        <v>52</v>
      </c>
      <c r="E111" s="7" t="n">
        <v>101</v>
      </c>
      <c r="F111" s="3" t="n">
        <f aca="false">COUNTIFS($B$2:$B$2705,B111,$C$2:$C$2705,C111)</f>
        <v>2</v>
      </c>
      <c r="G111" s="3" t="n">
        <f aca="false">MIN(INT((MIN(B111,2020)-1900)/10)+1,12)</f>
        <v>1</v>
      </c>
      <c r="H111" s="3" t="n">
        <f aca="false">(MIN(B111,2020)-1900-10*(G111-1))/10</f>
        <v>0.7</v>
      </c>
      <c r="I111" s="20" t="n">
        <f aca="false">EXP(LN(INDEX(Pop_Inputs!$B$2:$N$29,MATCH(C111,Pop_Inputs!$A$2:$A$29,0),G111))*(1-H111)+LN(INDEX(Pop_Inputs!$B$2:$N$29,MATCH(C111,Pop_Inputs!$A$2:$A$29,0),G111+1))*H111)</f>
        <v>651383.598158606</v>
      </c>
      <c r="J111" s="20" t="n">
        <f aca="false">I111/F111</f>
        <v>325691.799079303</v>
      </c>
      <c r="K111" s="21" t="n">
        <f aca="false">D111/(D111+E111)</f>
        <v>0.339869281045752</v>
      </c>
      <c r="L111" s="21" t="n">
        <f aca="false">AVERAGEIFS($K$2:$K$2705,$B$2:$B$2705,B111)</f>
        <v>0.500046818251272</v>
      </c>
      <c r="M111" s="21" t="n">
        <f aca="false">K111-L111</f>
        <v>-0.16017753720552</v>
      </c>
      <c r="N111" s="21" t="n">
        <f aca="false">LN(J111)</f>
        <v>12.6937068115777</v>
      </c>
      <c r="O111" s="21" t="n">
        <f aca="false">AVERAGEIFS($N$2:$N$2705,$B$2:$B$2705,B111)</f>
        <v>13.2767406816446</v>
      </c>
      <c r="P111" s="21" t="n">
        <f aca="false">N111-O111</f>
        <v>-0.583033870066901</v>
      </c>
      <c r="Q111" s="7" t="n">
        <v>0</v>
      </c>
      <c r="R111" s="3" t="n">
        <f aca="false">IF(AND(Q111=1,B111-_xlfn.MINIFS($B$2:$B$2705,$A$2:$A$2705,A111)&lt;10),1,0)</f>
        <v>0</v>
      </c>
      <c r="S111" s="7" t="n">
        <v>0</v>
      </c>
      <c r="T111" s="3" t="n">
        <f aca="false">_xlfn.MINIFS($B$2:$B$2705,$A$2:$A$2705,A111)</f>
        <v>1901</v>
      </c>
      <c r="U111" s="3" t="n">
        <f aca="false">B111-T111</f>
        <v>6</v>
      </c>
      <c r="V111" s="3" t="str">
        <f aca="false">INDEX(Pop_Inputs!$Q$2:$Q$29,MATCH(C111,Pop_Inputs!$A$2:$A$29,0))</f>
        <v>Midwest</v>
      </c>
      <c r="W111" s="30"/>
      <c r="X111" s="3" t="str">
        <f aca="false">IF(W111="","",LN(W111))</f>
        <v/>
      </c>
      <c r="Y111" s="3" t="str">
        <f aca="false">IF(X111="","",X111-AVERAGEIFS($X$2:$X$2705,$B$2:$B$2705,B111))</f>
        <v/>
      </c>
      <c r="Z111" s="21" t="n">
        <f aca="false">P111</f>
        <v>-0.583033870066901</v>
      </c>
      <c r="AA111" s="3" t="n">
        <f aca="false">R111</f>
        <v>0</v>
      </c>
      <c r="AB111" s="21" t="n">
        <f aca="false">P111</f>
        <v>-0.583033870066901</v>
      </c>
      <c r="AC111" s="3" t="str">
        <f aca="false">Y111</f>
        <v/>
      </c>
      <c r="AD111" s="3" t="n">
        <f aca="false">R111</f>
        <v>0</v>
      </c>
    </row>
    <row r="112" customFormat="false" ht="15" hidden="false" customHeight="true" outlineLevel="0" collapsed="false">
      <c r="A112" s="7" t="s">
        <v>54</v>
      </c>
      <c r="B112" s="7" t="n">
        <v>1908</v>
      </c>
      <c r="C112" s="7" t="s">
        <v>150</v>
      </c>
      <c r="D112" s="7" t="n">
        <v>63</v>
      </c>
      <c r="E112" s="7" t="n">
        <v>91</v>
      </c>
      <c r="F112" s="3" t="n">
        <f aca="false">COUNTIFS($B$2:$B$2705,B112,$C$2:$C$2705,C112)</f>
        <v>2</v>
      </c>
      <c r="G112" s="3" t="n">
        <f aca="false">MIN(INT((MIN(B112,2020)-1900)/10)+1,12)</f>
        <v>1</v>
      </c>
      <c r="H112" s="3" t="n">
        <f aca="false">(MIN(B112,2020)-1900-10*(G112-1))/10</f>
        <v>0.8</v>
      </c>
      <c r="I112" s="20" t="n">
        <f aca="false">EXP(LN(INDEX(Pop_Inputs!$B$2:$N$29,MATCH(C112,Pop_Inputs!$A$2:$A$29,0),G112))*(1-H112)+LN(INDEX(Pop_Inputs!$B$2:$N$29,MATCH(C112,Pop_Inputs!$A$2:$A$29,0),G112+1))*H112)</f>
        <v>647051.602136032</v>
      </c>
      <c r="J112" s="20" t="n">
        <f aca="false">I112/F112</f>
        <v>323525.801068016</v>
      </c>
      <c r="K112" s="21" t="n">
        <f aca="false">D112/(D112+E112)</f>
        <v>0.409090909090909</v>
      </c>
      <c r="L112" s="21" t="n">
        <f aca="false">AVERAGEIFS($K$2:$K$2705,$B$2:$B$2705,B112)</f>
        <v>0.500066663427732</v>
      </c>
      <c r="M112" s="21" t="n">
        <f aca="false">K112-L112</f>
        <v>-0.0909757543368224</v>
      </c>
      <c r="N112" s="21" t="n">
        <f aca="false">LN(J112)</f>
        <v>12.687034145749</v>
      </c>
      <c r="O112" s="21" t="n">
        <f aca="false">AVERAGEIFS($N$2:$N$2705,$B$2:$B$2705,B112)</f>
        <v>13.3031101792249</v>
      </c>
      <c r="P112" s="21" t="n">
        <f aca="false">N112-O112</f>
        <v>-0.616076033475876</v>
      </c>
      <c r="Q112" s="7" t="n">
        <v>0</v>
      </c>
      <c r="R112" s="3" t="n">
        <f aca="false">IF(AND(Q112=1,B112-_xlfn.MINIFS($B$2:$B$2705,$A$2:$A$2705,A112)&lt;10),1,0)</f>
        <v>0</v>
      </c>
      <c r="S112" s="7" t="n">
        <v>0</v>
      </c>
      <c r="T112" s="3" t="n">
        <f aca="false">_xlfn.MINIFS($B$2:$B$2705,$A$2:$A$2705,A112)</f>
        <v>1901</v>
      </c>
      <c r="U112" s="3" t="n">
        <f aca="false">B112-T112</f>
        <v>7</v>
      </c>
      <c r="V112" s="3" t="str">
        <f aca="false">INDEX(Pop_Inputs!$Q$2:$Q$29,MATCH(C112,Pop_Inputs!$A$2:$A$29,0))</f>
        <v>Northeast</v>
      </c>
      <c r="W112" s="30"/>
      <c r="X112" s="3" t="str">
        <f aca="false">IF(W112="","",LN(W112))</f>
        <v/>
      </c>
      <c r="Y112" s="3" t="str">
        <f aca="false">IF(X112="","",X112-AVERAGEIFS($X$2:$X$2705,$B$2:$B$2705,B112))</f>
        <v/>
      </c>
      <c r="Z112" s="21" t="n">
        <f aca="false">P112</f>
        <v>-0.616076033475876</v>
      </c>
      <c r="AA112" s="3" t="n">
        <f aca="false">R112</f>
        <v>0</v>
      </c>
      <c r="AB112" s="21" t="n">
        <f aca="false">P112</f>
        <v>-0.616076033475876</v>
      </c>
      <c r="AC112" s="3" t="str">
        <f aca="false">Y112</f>
        <v/>
      </c>
      <c r="AD112" s="3" t="n">
        <f aca="false">R112</f>
        <v>0</v>
      </c>
    </row>
    <row r="113" customFormat="false" ht="15" hidden="false" customHeight="true" outlineLevel="0" collapsed="false">
      <c r="A113" s="7" t="s">
        <v>63</v>
      </c>
      <c r="B113" s="7" t="n">
        <v>1908</v>
      </c>
      <c r="C113" s="7" t="s">
        <v>145</v>
      </c>
      <c r="D113" s="7" t="n">
        <v>83</v>
      </c>
      <c r="E113" s="7" t="n">
        <v>69</v>
      </c>
      <c r="F113" s="3" t="n">
        <f aca="false">COUNTIFS($B$2:$B$2705,B113,$C$2:$C$2705,C113)</f>
        <v>2</v>
      </c>
      <c r="G113" s="3" t="n">
        <f aca="false">MIN(INT((MIN(B113,2020)-1900)/10)+1,12)</f>
        <v>1</v>
      </c>
      <c r="H113" s="3" t="n">
        <f aca="false">(MIN(B113,2020)-1900-10*(G113-1))/10</f>
        <v>0.8</v>
      </c>
      <c r="I113" s="20" t="n">
        <f aca="false">EXP(LN(INDEX(Pop_Inputs!$B$2:$N$29,MATCH(C113,Pop_Inputs!$A$2:$A$29,0),G113))*(1-H113)+LN(INDEX(Pop_Inputs!$B$2:$N$29,MATCH(C113,Pop_Inputs!$A$2:$A$29,0),G113+1))*H113)</f>
        <v>663055.022355283</v>
      </c>
      <c r="J113" s="20" t="n">
        <f aca="false">I113/F113</f>
        <v>331527.511177642</v>
      </c>
      <c r="K113" s="21" t="n">
        <f aca="false">D113/(D113+E113)</f>
        <v>0.546052631578947</v>
      </c>
      <c r="L113" s="21" t="n">
        <f aca="false">AVERAGEIFS($K$2:$K$2705,$B$2:$B$2705,B113)</f>
        <v>0.500066663427732</v>
      </c>
      <c r="M113" s="21" t="n">
        <f aca="false">K113-L113</f>
        <v>0.0459859681512158</v>
      </c>
      <c r="N113" s="21" t="n">
        <f aca="false">LN(J113)</f>
        <v>12.7114660751424</v>
      </c>
      <c r="O113" s="21" t="n">
        <f aca="false">AVERAGEIFS($N$2:$N$2705,$B$2:$B$2705,B113)</f>
        <v>13.3031101792249</v>
      </c>
      <c r="P113" s="21" t="n">
        <f aca="false">N113-O113</f>
        <v>-0.59164410408248</v>
      </c>
      <c r="Q113" s="7" t="n">
        <v>0</v>
      </c>
      <c r="R113" s="3" t="n">
        <f aca="false">IF(AND(Q113=1,B113-_xlfn.MINIFS($B$2:$B$2705,$A$2:$A$2705,A113)&lt;10),1,0)</f>
        <v>0</v>
      </c>
      <c r="S113" s="7" t="n">
        <v>0</v>
      </c>
      <c r="T113" s="3" t="n">
        <f aca="false">_xlfn.MINIFS($B$2:$B$2705,$A$2:$A$2705,A113)</f>
        <v>1901</v>
      </c>
      <c r="U113" s="3" t="n">
        <f aca="false">B113-T113</f>
        <v>7</v>
      </c>
      <c r="V113" s="3" t="str">
        <f aca="false">INDEX(Pop_Inputs!$Q$2:$Q$29,MATCH(C113,Pop_Inputs!$A$2:$A$29,0))</f>
        <v>Midwest</v>
      </c>
      <c r="W113" s="30"/>
      <c r="X113" s="3" t="str">
        <f aca="false">IF(W113="","",LN(W113))</f>
        <v/>
      </c>
      <c r="Y113" s="3" t="str">
        <f aca="false">IF(X113="","",X113-AVERAGEIFS($X$2:$X$2705,$B$2:$B$2705,B113))</f>
        <v/>
      </c>
      <c r="Z113" s="21" t="n">
        <f aca="false">P113</f>
        <v>-0.59164410408248</v>
      </c>
      <c r="AA113" s="3" t="n">
        <f aca="false">R113</f>
        <v>0</v>
      </c>
      <c r="AB113" s="21" t="n">
        <f aca="false">P113</f>
        <v>-0.59164410408248</v>
      </c>
      <c r="AC113" s="3" t="str">
        <f aca="false">Y113</f>
        <v/>
      </c>
      <c r="AD113" s="3" t="n">
        <f aca="false">R113</f>
        <v>0</v>
      </c>
    </row>
    <row r="114" customFormat="false" ht="15" hidden="false" customHeight="true" outlineLevel="0" collapsed="false">
      <c r="A114" s="7" t="s">
        <v>64</v>
      </c>
      <c r="B114" s="7" t="n">
        <v>1908</v>
      </c>
      <c r="C114" s="7" t="s">
        <v>150</v>
      </c>
      <c r="D114" s="7" t="n">
        <v>75</v>
      </c>
      <c r="E114" s="7" t="n">
        <v>79</v>
      </c>
      <c r="F114" s="3" t="n">
        <f aca="false">COUNTIFS($B$2:$B$2705,B114,$C$2:$C$2705,C114)</f>
        <v>2</v>
      </c>
      <c r="G114" s="3" t="n">
        <f aca="false">MIN(INT((MIN(B114,2020)-1900)/10)+1,12)</f>
        <v>1</v>
      </c>
      <c r="H114" s="3" t="n">
        <f aca="false">(MIN(B114,2020)-1900-10*(G114-1))/10</f>
        <v>0.8</v>
      </c>
      <c r="I114" s="20" t="n">
        <f aca="false">EXP(LN(INDEX(Pop_Inputs!$B$2:$N$29,MATCH(C114,Pop_Inputs!$A$2:$A$29,0),G114))*(1-H114)+LN(INDEX(Pop_Inputs!$B$2:$N$29,MATCH(C114,Pop_Inputs!$A$2:$A$29,0),G114+1))*H114)</f>
        <v>647051.602136032</v>
      </c>
      <c r="J114" s="20" t="n">
        <f aca="false">I114/F114</f>
        <v>323525.801068016</v>
      </c>
      <c r="K114" s="21" t="n">
        <f aca="false">D114/(D114+E114)</f>
        <v>0.487012987012987</v>
      </c>
      <c r="L114" s="21" t="n">
        <f aca="false">AVERAGEIFS($K$2:$K$2705,$B$2:$B$2705,B114)</f>
        <v>0.500066663427732</v>
      </c>
      <c r="M114" s="21" t="n">
        <f aca="false">K114-L114</f>
        <v>-0.0130536764147445</v>
      </c>
      <c r="N114" s="21" t="n">
        <f aca="false">LN(J114)</f>
        <v>12.687034145749</v>
      </c>
      <c r="O114" s="21" t="n">
        <f aca="false">AVERAGEIFS($N$2:$N$2705,$B$2:$B$2705,B114)</f>
        <v>13.3031101792249</v>
      </c>
      <c r="P114" s="21" t="n">
        <f aca="false">N114-O114</f>
        <v>-0.616076033475876</v>
      </c>
      <c r="Q114" s="7" t="n">
        <v>0</v>
      </c>
      <c r="R114" s="3" t="n">
        <f aca="false">IF(AND(Q114=1,B114-_xlfn.MINIFS($B$2:$B$2705,$A$2:$A$2705,A114)&lt;10),1,0)</f>
        <v>0</v>
      </c>
      <c r="S114" s="7" t="n">
        <v>0</v>
      </c>
      <c r="T114" s="3" t="n">
        <f aca="false">_xlfn.MINIFS($B$2:$B$2705,$A$2:$A$2705,A114)</f>
        <v>1901</v>
      </c>
      <c r="U114" s="3" t="n">
        <f aca="false">B114-T114</f>
        <v>7</v>
      </c>
      <c r="V114" s="3" t="str">
        <f aca="false">INDEX(Pop_Inputs!$Q$2:$Q$29,MATCH(C114,Pop_Inputs!$A$2:$A$29,0))</f>
        <v>Northeast</v>
      </c>
      <c r="W114" s="30"/>
      <c r="X114" s="3" t="str">
        <f aca="false">IF(W114="","",LN(W114))</f>
        <v/>
      </c>
      <c r="Y114" s="3" t="str">
        <f aca="false">IF(X114="","",X114-AVERAGEIFS($X$2:$X$2705,$B$2:$B$2705,B114))</f>
        <v/>
      </c>
      <c r="Z114" s="21" t="n">
        <f aca="false">P114</f>
        <v>-0.616076033475876</v>
      </c>
      <c r="AA114" s="3" t="n">
        <f aca="false">R114</f>
        <v>0</v>
      </c>
      <c r="AB114" s="21" t="n">
        <f aca="false">P114</f>
        <v>-0.616076033475876</v>
      </c>
      <c r="AC114" s="3" t="str">
        <f aca="false">Y114</f>
        <v/>
      </c>
      <c r="AD114" s="3" t="n">
        <f aca="false">R114</f>
        <v>0</v>
      </c>
    </row>
    <row r="115" customFormat="false" ht="15" hidden="false" customHeight="true" outlineLevel="0" collapsed="false">
      <c r="A115" s="7" t="s">
        <v>56</v>
      </c>
      <c r="B115" s="7" t="n">
        <v>1908</v>
      </c>
      <c r="C115" s="7" t="s">
        <v>142</v>
      </c>
      <c r="D115" s="7" t="n">
        <v>99</v>
      </c>
      <c r="E115" s="7" t="n">
        <v>55</v>
      </c>
      <c r="F115" s="3" t="n">
        <f aca="false">COUNTIFS($B$2:$B$2705,B115,$C$2:$C$2705,C115)</f>
        <v>2</v>
      </c>
      <c r="G115" s="3" t="n">
        <f aca="false">MIN(INT((MIN(B115,2020)-1900)/10)+1,12)</f>
        <v>1</v>
      </c>
      <c r="H115" s="3" t="n">
        <f aca="false">(MIN(B115,2020)-1900-10*(G115-1))/10</f>
        <v>0.8</v>
      </c>
      <c r="I115" s="20" t="n">
        <f aca="false">EXP(LN(INDEX(Pop_Inputs!$B$2:$N$29,MATCH(C115,Pop_Inputs!$A$2:$A$29,0),G115))*(1-H115)+LN(INDEX(Pop_Inputs!$B$2:$N$29,MATCH(C115,Pop_Inputs!$A$2:$A$29,0),G115+1))*H115)</f>
        <v>2077892.59482628</v>
      </c>
      <c r="J115" s="20" t="n">
        <f aca="false">I115/F115</f>
        <v>1038946.29741314</v>
      </c>
      <c r="K115" s="21" t="n">
        <f aca="false">D115/(D115+E115)</f>
        <v>0.642857142857143</v>
      </c>
      <c r="L115" s="21" t="n">
        <f aca="false">AVERAGEIFS($K$2:$K$2705,$B$2:$B$2705,B115)</f>
        <v>0.500066663427732</v>
      </c>
      <c r="M115" s="21" t="n">
        <f aca="false">K115-L115</f>
        <v>0.142790479429411</v>
      </c>
      <c r="N115" s="21" t="n">
        <f aca="false">LN(J115)</f>
        <v>13.853717581944</v>
      </c>
      <c r="O115" s="21" t="n">
        <f aca="false">AVERAGEIFS($N$2:$N$2705,$B$2:$B$2705,B115)</f>
        <v>13.3031101792249</v>
      </c>
      <c r="P115" s="21" t="n">
        <f aca="false">N115-O115</f>
        <v>0.550607402719097</v>
      </c>
      <c r="Q115" s="7" t="n">
        <v>0</v>
      </c>
      <c r="R115" s="3" t="n">
        <f aca="false">IF(AND(Q115=1,B115-_xlfn.MINIFS($B$2:$B$2705,$A$2:$A$2705,A115)&lt;10),1,0)</f>
        <v>0</v>
      </c>
      <c r="S115" s="7" t="n">
        <v>0</v>
      </c>
      <c r="T115" s="3" t="n">
        <f aca="false">_xlfn.MINIFS($B$2:$B$2705,$A$2:$A$2705,A115)</f>
        <v>1901</v>
      </c>
      <c r="U115" s="3" t="n">
        <f aca="false">B115-T115</f>
        <v>7</v>
      </c>
      <c r="V115" s="3" t="str">
        <f aca="false">INDEX(Pop_Inputs!$Q$2:$Q$29,MATCH(C115,Pop_Inputs!$A$2:$A$29,0))</f>
        <v>Midwest</v>
      </c>
      <c r="W115" s="30"/>
      <c r="X115" s="3" t="str">
        <f aca="false">IF(W115="","",LN(W115))</f>
        <v/>
      </c>
      <c r="Y115" s="3" t="str">
        <f aca="false">IF(X115="","",X115-AVERAGEIFS($X$2:$X$2705,$B$2:$B$2705,B115))</f>
        <v/>
      </c>
      <c r="Z115" s="21" t="n">
        <f aca="false">P115</f>
        <v>0.550607402719097</v>
      </c>
      <c r="AA115" s="3" t="n">
        <f aca="false">R115</f>
        <v>0</v>
      </c>
      <c r="AB115" s="21" t="n">
        <f aca="false">P115</f>
        <v>0.550607402719097</v>
      </c>
      <c r="AC115" s="3" t="str">
        <f aca="false">Y115</f>
        <v/>
      </c>
      <c r="AD115" s="3" t="n">
        <f aca="false">R115</f>
        <v>0</v>
      </c>
    </row>
    <row r="116" customFormat="false" ht="15" hidden="false" customHeight="true" outlineLevel="0" collapsed="false">
      <c r="A116" s="7" t="s">
        <v>65</v>
      </c>
      <c r="B116" s="7" t="n">
        <v>1908</v>
      </c>
      <c r="C116" s="7" t="s">
        <v>142</v>
      </c>
      <c r="D116" s="7" t="n">
        <v>88</v>
      </c>
      <c r="E116" s="7" t="n">
        <v>64</v>
      </c>
      <c r="F116" s="3" t="n">
        <f aca="false">COUNTIFS($B$2:$B$2705,B116,$C$2:$C$2705,C116)</f>
        <v>2</v>
      </c>
      <c r="G116" s="3" t="n">
        <f aca="false">MIN(INT((MIN(B116,2020)-1900)/10)+1,12)</f>
        <v>1</v>
      </c>
      <c r="H116" s="3" t="n">
        <f aca="false">(MIN(B116,2020)-1900-10*(G116-1))/10</f>
        <v>0.8</v>
      </c>
      <c r="I116" s="20" t="n">
        <f aca="false">EXP(LN(INDEX(Pop_Inputs!$B$2:$N$29,MATCH(C116,Pop_Inputs!$A$2:$A$29,0),G116))*(1-H116)+LN(INDEX(Pop_Inputs!$B$2:$N$29,MATCH(C116,Pop_Inputs!$A$2:$A$29,0),G116+1))*H116)</f>
        <v>2077892.59482628</v>
      </c>
      <c r="J116" s="20" t="n">
        <f aca="false">I116/F116</f>
        <v>1038946.29741314</v>
      </c>
      <c r="K116" s="21" t="n">
        <f aca="false">D116/(D116+E116)</f>
        <v>0.578947368421053</v>
      </c>
      <c r="L116" s="21" t="n">
        <f aca="false">AVERAGEIFS($K$2:$K$2705,$B$2:$B$2705,B116)</f>
        <v>0.500066663427732</v>
      </c>
      <c r="M116" s="21" t="n">
        <f aca="false">K116-L116</f>
        <v>0.0788807049933211</v>
      </c>
      <c r="N116" s="21" t="n">
        <f aca="false">LN(J116)</f>
        <v>13.853717581944</v>
      </c>
      <c r="O116" s="21" t="n">
        <f aca="false">AVERAGEIFS($N$2:$N$2705,$B$2:$B$2705,B116)</f>
        <v>13.3031101792249</v>
      </c>
      <c r="P116" s="21" t="n">
        <f aca="false">N116-O116</f>
        <v>0.550607402719097</v>
      </c>
      <c r="Q116" s="7" t="n">
        <v>0</v>
      </c>
      <c r="R116" s="3" t="n">
        <f aca="false">IF(AND(Q116=1,B116-_xlfn.MINIFS($B$2:$B$2705,$A$2:$A$2705,A116)&lt;10),1,0)</f>
        <v>0</v>
      </c>
      <c r="S116" s="7" t="n">
        <v>0</v>
      </c>
      <c r="T116" s="3" t="n">
        <f aca="false">_xlfn.MINIFS($B$2:$B$2705,$A$2:$A$2705,A116)</f>
        <v>1901</v>
      </c>
      <c r="U116" s="3" t="n">
        <f aca="false">B116-T116</f>
        <v>7</v>
      </c>
      <c r="V116" s="3" t="str">
        <f aca="false">INDEX(Pop_Inputs!$Q$2:$Q$29,MATCH(C116,Pop_Inputs!$A$2:$A$29,0))</f>
        <v>Midwest</v>
      </c>
      <c r="W116" s="30"/>
      <c r="X116" s="3" t="str">
        <f aca="false">IF(W116="","",LN(W116))</f>
        <v/>
      </c>
      <c r="Y116" s="3" t="str">
        <f aca="false">IF(X116="","",X116-AVERAGEIFS($X$2:$X$2705,$B$2:$B$2705,B116))</f>
        <v/>
      </c>
      <c r="Z116" s="21" t="n">
        <f aca="false">P116</f>
        <v>0.550607402719097</v>
      </c>
      <c r="AA116" s="3" t="n">
        <f aca="false">R116</f>
        <v>0</v>
      </c>
      <c r="AB116" s="21" t="n">
        <f aca="false">P116</f>
        <v>0.550607402719097</v>
      </c>
      <c r="AC116" s="3" t="str">
        <f aca="false">Y116</f>
        <v/>
      </c>
      <c r="AD116" s="3" t="n">
        <f aca="false">R116</f>
        <v>0</v>
      </c>
    </row>
    <row r="117" customFormat="false" ht="15" hidden="false" customHeight="true" outlineLevel="0" collapsed="false">
      <c r="A117" s="7" t="s">
        <v>57</v>
      </c>
      <c r="B117" s="7" t="n">
        <v>1908</v>
      </c>
      <c r="C117" s="7" t="s">
        <v>143</v>
      </c>
      <c r="D117" s="7" t="n">
        <v>73</v>
      </c>
      <c r="E117" s="7" t="n">
        <v>81</v>
      </c>
      <c r="F117" s="3" t="n">
        <f aca="false">COUNTIFS($B$2:$B$2705,B117,$C$2:$C$2705,C117)</f>
        <v>1</v>
      </c>
      <c r="G117" s="3" t="n">
        <f aca="false">MIN(INT((MIN(B117,2020)-1900)/10)+1,12)</f>
        <v>1</v>
      </c>
      <c r="H117" s="3" t="n">
        <f aca="false">(MIN(B117,2020)-1900-10*(G117-1))/10</f>
        <v>0.8</v>
      </c>
      <c r="I117" s="20" t="n">
        <f aca="false">EXP(LN(INDEX(Pop_Inputs!$B$2:$N$29,MATCH(C117,Pop_Inputs!$A$2:$A$29,0),G117))*(1-H117)+LN(INDEX(Pop_Inputs!$B$2:$N$29,MATCH(C117,Pop_Inputs!$A$2:$A$29,0),G117+1))*H117)</f>
        <v>355719.689677563</v>
      </c>
      <c r="J117" s="20" t="n">
        <f aca="false">I117/F117</f>
        <v>355719.689677563</v>
      </c>
      <c r="K117" s="21" t="n">
        <f aca="false">D117/(D117+E117)</f>
        <v>0.474025974025974</v>
      </c>
      <c r="L117" s="21" t="n">
        <f aca="false">AVERAGEIFS($K$2:$K$2705,$B$2:$B$2705,B117)</f>
        <v>0.500066663427732</v>
      </c>
      <c r="M117" s="21" t="n">
        <f aca="false">K117-L117</f>
        <v>-0.0260406894017575</v>
      </c>
      <c r="N117" s="21" t="n">
        <f aca="false">LN(J117)</f>
        <v>12.7818983111348</v>
      </c>
      <c r="O117" s="21" t="n">
        <f aca="false">AVERAGEIFS($N$2:$N$2705,$B$2:$B$2705,B117)</f>
        <v>13.3031101792249</v>
      </c>
      <c r="P117" s="21" t="n">
        <f aca="false">N117-O117</f>
        <v>-0.521211868090044</v>
      </c>
      <c r="Q117" s="7" t="n">
        <v>0</v>
      </c>
      <c r="R117" s="3" t="n">
        <f aca="false">IF(AND(Q117=1,B117-_xlfn.MINIFS($B$2:$B$2705,$A$2:$A$2705,A117)&lt;10),1,0)</f>
        <v>0</v>
      </c>
      <c r="S117" s="7" t="n">
        <v>0</v>
      </c>
      <c r="T117" s="3" t="n">
        <f aca="false">_xlfn.MINIFS($B$2:$B$2705,$A$2:$A$2705,A117)</f>
        <v>1901</v>
      </c>
      <c r="U117" s="3" t="n">
        <f aca="false">B117-T117</f>
        <v>7</v>
      </c>
      <c r="V117" s="3" t="str">
        <f aca="false">INDEX(Pop_Inputs!$Q$2:$Q$29,MATCH(C117,Pop_Inputs!$A$2:$A$29,0))</f>
        <v>Midwest</v>
      </c>
      <c r="W117" s="30"/>
      <c r="X117" s="3" t="str">
        <f aca="false">IF(W117="","",LN(W117))</f>
        <v/>
      </c>
      <c r="Y117" s="3" t="str">
        <f aca="false">IF(X117="","",X117-AVERAGEIFS($X$2:$X$2705,$B$2:$B$2705,B117))</f>
        <v/>
      </c>
      <c r="Z117" s="21" t="n">
        <f aca="false">P117</f>
        <v>-0.521211868090044</v>
      </c>
      <c r="AA117" s="3" t="n">
        <f aca="false">R117</f>
        <v>0</v>
      </c>
      <c r="AB117" s="21" t="n">
        <f aca="false">P117</f>
        <v>-0.521211868090044</v>
      </c>
      <c r="AC117" s="3" t="str">
        <f aca="false">Y117</f>
        <v/>
      </c>
      <c r="AD117" s="3" t="n">
        <f aca="false">R117</f>
        <v>0</v>
      </c>
    </row>
    <row r="118" customFormat="false" ht="15" hidden="false" customHeight="true" outlineLevel="0" collapsed="false">
      <c r="A118" s="7" t="s">
        <v>66</v>
      </c>
      <c r="B118" s="7" t="n">
        <v>1908</v>
      </c>
      <c r="C118" s="7" t="s">
        <v>151</v>
      </c>
      <c r="D118" s="7" t="n">
        <v>90</v>
      </c>
      <c r="E118" s="7" t="n">
        <v>64</v>
      </c>
      <c r="F118" s="3" t="n">
        <f aca="false">COUNTIFS($B$2:$B$2705,B118,$C$2:$C$2705,C118)</f>
        <v>1</v>
      </c>
      <c r="G118" s="3" t="n">
        <f aca="false">MIN(INT((MIN(B118,2020)-1900)/10)+1,12)</f>
        <v>1</v>
      </c>
      <c r="H118" s="3" t="n">
        <f aca="false">(MIN(B118,2020)-1900-10*(G118-1))/10</f>
        <v>0.8</v>
      </c>
      <c r="I118" s="20" t="n">
        <f aca="false">EXP(LN(INDEX(Pop_Inputs!$B$2:$N$29,MATCH(C118,Pop_Inputs!$A$2:$A$29,0),G118))*(1-H118)+LN(INDEX(Pop_Inputs!$B$2:$N$29,MATCH(C118,Pop_Inputs!$A$2:$A$29,0),G118+1))*H118)</f>
        <v>519184.14546846</v>
      </c>
      <c r="J118" s="20" t="n">
        <f aca="false">I118/F118</f>
        <v>519184.14546846</v>
      </c>
      <c r="K118" s="21" t="n">
        <f aca="false">D118/(D118+E118)</f>
        <v>0.584415584415584</v>
      </c>
      <c r="L118" s="21" t="n">
        <f aca="false">AVERAGEIFS($K$2:$K$2705,$B$2:$B$2705,B118)</f>
        <v>0.500066663427732</v>
      </c>
      <c r="M118" s="21" t="n">
        <f aca="false">K118-L118</f>
        <v>0.0843489209878529</v>
      </c>
      <c r="N118" s="21" t="n">
        <f aca="false">LN(J118)</f>
        <v>13.1600139074429</v>
      </c>
      <c r="O118" s="21" t="n">
        <f aca="false">AVERAGEIFS($N$2:$N$2705,$B$2:$B$2705,B118)</f>
        <v>13.3031101792249</v>
      </c>
      <c r="P118" s="21" t="n">
        <f aca="false">N118-O118</f>
        <v>-0.143096271781994</v>
      </c>
      <c r="Q118" s="7" t="n">
        <v>0</v>
      </c>
      <c r="R118" s="3" t="n">
        <f aca="false">IF(AND(Q118=1,B118-_xlfn.MINIFS($B$2:$B$2705,$A$2:$A$2705,A118)&lt;10),1,0)</f>
        <v>0</v>
      </c>
      <c r="S118" s="7" t="n">
        <v>0</v>
      </c>
      <c r="T118" s="3" t="n">
        <f aca="false">_xlfn.MINIFS($B$2:$B$2705,$A$2:$A$2705,A118)</f>
        <v>1901</v>
      </c>
      <c r="U118" s="3" t="n">
        <f aca="false">B118-T118</f>
        <v>7</v>
      </c>
      <c r="V118" s="3" t="str">
        <f aca="false">INDEX(Pop_Inputs!$Q$2:$Q$29,MATCH(C118,Pop_Inputs!$A$2:$A$29,0))</f>
        <v>Midwest</v>
      </c>
      <c r="W118" s="30"/>
      <c r="X118" s="3" t="str">
        <f aca="false">IF(W118="","",LN(W118))</f>
        <v/>
      </c>
      <c r="Y118" s="3" t="str">
        <f aca="false">IF(X118="","",X118-AVERAGEIFS($X$2:$X$2705,$B$2:$B$2705,B118))</f>
        <v/>
      </c>
      <c r="Z118" s="21" t="n">
        <f aca="false">P118</f>
        <v>-0.143096271781994</v>
      </c>
      <c r="AA118" s="3" t="n">
        <f aca="false">R118</f>
        <v>0</v>
      </c>
      <c r="AB118" s="21" t="n">
        <f aca="false">P118</f>
        <v>-0.143096271781994</v>
      </c>
      <c r="AC118" s="3" t="str">
        <f aca="false">Y118</f>
        <v/>
      </c>
      <c r="AD118" s="3" t="n">
        <f aca="false">R118</f>
        <v>0</v>
      </c>
    </row>
    <row r="119" customFormat="false" ht="15" hidden="false" customHeight="true" outlineLevel="0" collapsed="false">
      <c r="A119" s="7" t="s">
        <v>67</v>
      </c>
      <c r="B119" s="7" t="n">
        <v>1908</v>
      </c>
      <c r="C119" s="7" t="s">
        <v>152</v>
      </c>
      <c r="D119" s="7" t="n">
        <v>90</v>
      </c>
      <c r="E119" s="7" t="n">
        <v>63</v>
      </c>
      <c r="F119" s="3" t="n">
        <f aca="false">COUNTIFS($B$2:$B$2705,B119,$C$2:$C$2705,C119)</f>
        <v>1</v>
      </c>
      <c r="G119" s="3" t="n">
        <f aca="false">MIN(INT((MIN(B119,2020)-1900)/10)+1,12)</f>
        <v>1</v>
      </c>
      <c r="H119" s="3" t="n">
        <f aca="false">(MIN(B119,2020)-1900-10*(G119-1))/10</f>
        <v>0.8</v>
      </c>
      <c r="I119" s="20" t="n">
        <f aca="false">EXP(LN(INDEX(Pop_Inputs!$B$2:$N$29,MATCH(C119,Pop_Inputs!$A$2:$A$29,0),G119))*(1-H119)+LN(INDEX(Pop_Inputs!$B$2:$N$29,MATCH(C119,Pop_Inputs!$A$2:$A$29,0),G119+1))*H119)</f>
        <v>422393.756654819</v>
      </c>
      <c r="J119" s="20" t="n">
        <f aca="false">I119/F119</f>
        <v>422393.756654819</v>
      </c>
      <c r="K119" s="21" t="n">
        <f aca="false">D119/(D119+E119)</f>
        <v>0.588235294117647</v>
      </c>
      <c r="L119" s="21" t="n">
        <f aca="false">AVERAGEIFS($K$2:$K$2705,$B$2:$B$2705,B119)</f>
        <v>0.500066663427732</v>
      </c>
      <c r="M119" s="21" t="n">
        <f aca="false">K119-L119</f>
        <v>0.0881686306899155</v>
      </c>
      <c r="N119" s="21" t="n">
        <f aca="false">LN(J119)</f>
        <v>12.9536932306182</v>
      </c>
      <c r="O119" s="21" t="n">
        <f aca="false">AVERAGEIFS($N$2:$N$2705,$B$2:$B$2705,B119)</f>
        <v>13.3031101792249</v>
      </c>
      <c r="P119" s="21" t="n">
        <f aca="false">N119-O119</f>
        <v>-0.34941694860664</v>
      </c>
      <c r="Q119" s="7" t="n">
        <v>0</v>
      </c>
      <c r="R119" s="3" t="n">
        <f aca="false">IF(AND(Q119=1,B119-_xlfn.MINIFS($B$2:$B$2705,$A$2:$A$2705,A119)&lt;10),1,0)</f>
        <v>0</v>
      </c>
      <c r="S119" s="7" t="n">
        <v>0</v>
      </c>
      <c r="T119" s="3" t="n">
        <f aca="false">_xlfn.MINIFS($B$2:$B$2705,$A$2:$A$2705,A119)</f>
        <v>1901</v>
      </c>
      <c r="U119" s="3" t="n">
        <f aca="false">B119-T119</f>
        <v>7</v>
      </c>
      <c r="V119" s="3" t="str">
        <f aca="false">INDEX(Pop_Inputs!$Q$2:$Q$29,MATCH(C119,Pop_Inputs!$A$2:$A$29,0))</f>
        <v>Midwest</v>
      </c>
      <c r="W119" s="30"/>
      <c r="X119" s="3" t="str">
        <f aca="false">IF(W119="","",LN(W119))</f>
        <v/>
      </c>
      <c r="Y119" s="3" t="str">
        <f aca="false">IF(X119="","",X119-AVERAGEIFS($X$2:$X$2705,$B$2:$B$2705,B119))</f>
        <v/>
      </c>
      <c r="Z119" s="21" t="n">
        <f aca="false">P119</f>
        <v>-0.34941694860664</v>
      </c>
      <c r="AA119" s="3" t="n">
        <f aca="false">R119</f>
        <v>0</v>
      </c>
      <c r="AB119" s="21" t="n">
        <f aca="false">P119</f>
        <v>-0.34941694860664</v>
      </c>
      <c r="AC119" s="3" t="str">
        <f aca="false">Y119</f>
        <v/>
      </c>
      <c r="AD119" s="3" t="n">
        <f aca="false">R119</f>
        <v>0</v>
      </c>
    </row>
    <row r="120" customFormat="false" ht="15" hidden="false" customHeight="true" outlineLevel="0" collapsed="false">
      <c r="A120" s="7" t="s">
        <v>62</v>
      </c>
      <c r="B120" s="7" t="n">
        <v>1908</v>
      </c>
      <c r="C120" s="7" t="s">
        <v>154</v>
      </c>
      <c r="D120" s="7" t="n">
        <v>53</v>
      </c>
      <c r="E120" s="7" t="n">
        <v>101</v>
      </c>
      <c r="F120" s="3" t="n">
        <f aca="false">COUNTIFS($B$2:$B$2705,B120,$C$2:$C$2705,C120)</f>
        <v>3</v>
      </c>
      <c r="G120" s="3" t="n">
        <f aca="false">MIN(INT((MIN(B120,2020)-1900)/10)+1,12)</f>
        <v>1</v>
      </c>
      <c r="H120" s="3" t="n">
        <f aca="false">(MIN(B120,2020)-1900-10*(G120-1))/10</f>
        <v>0.8</v>
      </c>
      <c r="I120" s="20" t="n">
        <f aca="false">EXP(LN(INDEX(Pop_Inputs!$B$2:$N$29,MATCH(C120,Pop_Inputs!$A$2:$A$29,0),G120))*(1-H120)+LN(INDEX(Pop_Inputs!$B$2:$N$29,MATCH(C120,Pop_Inputs!$A$2:$A$29,0),G120+1))*H120)</f>
        <v>4465073.42790075</v>
      </c>
      <c r="J120" s="20" t="n">
        <f aca="false">I120/F120</f>
        <v>1488357.80930025</v>
      </c>
      <c r="K120" s="21" t="n">
        <f aca="false">D120/(D120+E120)</f>
        <v>0.344155844155844</v>
      </c>
      <c r="L120" s="21" t="n">
        <f aca="false">AVERAGEIFS($K$2:$K$2705,$B$2:$B$2705,B120)</f>
        <v>0.500066663427732</v>
      </c>
      <c r="M120" s="21" t="n">
        <f aca="false">K120-L120</f>
        <v>-0.155910819271887</v>
      </c>
      <c r="N120" s="21" t="n">
        <f aca="false">LN(J120)</f>
        <v>14.2131839287079</v>
      </c>
      <c r="O120" s="21" t="n">
        <f aca="false">AVERAGEIFS($N$2:$N$2705,$B$2:$B$2705,B120)</f>
        <v>13.3031101792249</v>
      </c>
      <c r="P120" s="21" t="n">
        <f aca="false">N120-O120</f>
        <v>0.910073749483081</v>
      </c>
      <c r="Q120" s="7" t="n">
        <v>0</v>
      </c>
      <c r="R120" s="3" t="n">
        <f aca="false">IF(AND(Q120=1,B120-_xlfn.MINIFS($B$2:$B$2705,$A$2:$A$2705,A120)&lt;10),1,0)</f>
        <v>0</v>
      </c>
      <c r="S120" s="7" t="n">
        <v>0</v>
      </c>
      <c r="T120" s="3" t="n">
        <f aca="false">_xlfn.MINIFS($B$2:$B$2705,$A$2:$A$2705,A120)</f>
        <v>1901</v>
      </c>
      <c r="U120" s="3" t="n">
        <f aca="false">B120-T120</f>
        <v>7</v>
      </c>
      <c r="V120" s="3" t="str">
        <f aca="false">INDEX(Pop_Inputs!$Q$2:$Q$29,MATCH(C120,Pop_Inputs!$A$2:$A$29,0))</f>
        <v>Northeast</v>
      </c>
      <c r="W120" s="30"/>
      <c r="X120" s="3" t="str">
        <f aca="false">IF(W120="","",LN(W120))</f>
        <v/>
      </c>
      <c r="Y120" s="3" t="str">
        <f aca="false">IF(X120="","",X120-AVERAGEIFS($X$2:$X$2705,$B$2:$B$2705,B120))</f>
        <v/>
      </c>
      <c r="Z120" s="21" t="n">
        <f aca="false">P120</f>
        <v>0.910073749483081</v>
      </c>
      <c r="AA120" s="3" t="n">
        <f aca="false">R120</f>
        <v>0</v>
      </c>
      <c r="AB120" s="21" t="n">
        <f aca="false">P120</f>
        <v>0.910073749483081</v>
      </c>
      <c r="AC120" s="3" t="str">
        <f aca="false">Y120</f>
        <v/>
      </c>
      <c r="AD120" s="3" t="n">
        <f aca="false">R120</f>
        <v>0</v>
      </c>
    </row>
    <row r="121" customFormat="false" ht="15" hidden="false" customHeight="true" outlineLevel="0" collapsed="false">
      <c r="A121" s="7" t="s">
        <v>68</v>
      </c>
      <c r="B121" s="7" t="n">
        <v>1908</v>
      </c>
      <c r="C121" s="7" t="s">
        <v>160</v>
      </c>
      <c r="D121" s="7" t="n">
        <v>67</v>
      </c>
      <c r="E121" s="7" t="n">
        <v>85</v>
      </c>
      <c r="F121" s="3" t="n">
        <f aca="false">COUNTIFS($B$2:$B$2705,B121,$C$2:$C$2705,C121)</f>
        <v>1</v>
      </c>
      <c r="G121" s="3" t="n">
        <f aca="false">MIN(INT((MIN(B121,2020)-1900)/10)+1,12)</f>
        <v>1</v>
      </c>
      <c r="H121" s="3" t="n">
        <f aca="false">(MIN(B121,2020)-1900-10*(G121-1))/10</f>
        <v>0.8</v>
      </c>
      <c r="I121" s="20" t="n">
        <f aca="false">EXP(LN(INDEX(Pop_Inputs!$B$2:$N$29,MATCH(C121,Pop_Inputs!$A$2:$A$29,0),G121))*(1-H121)+LN(INDEX(Pop_Inputs!$B$2:$N$29,MATCH(C121,Pop_Inputs!$A$2:$A$29,0),G121+1))*H121)</f>
        <v>319865.806735649</v>
      </c>
      <c r="J121" s="20" t="n">
        <f aca="false">I121/F121</f>
        <v>319865.806735649</v>
      </c>
      <c r="K121" s="21" t="n">
        <f aca="false">D121/(D121+E121)</f>
        <v>0.440789473684211</v>
      </c>
      <c r="L121" s="21" t="n">
        <f aca="false">AVERAGEIFS($K$2:$K$2705,$B$2:$B$2705,B121)</f>
        <v>0.500066663427732</v>
      </c>
      <c r="M121" s="21" t="n">
        <f aca="false">K121-L121</f>
        <v>-0.059277189743521</v>
      </c>
      <c r="N121" s="21" t="n">
        <f aca="false">LN(J121)</f>
        <v>12.6756568328714</v>
      </c>
      <c r="O121" s="21" t="n">
        <f aca="false">AVERAGEIFS($N$2:$N$2705,$B$2:$B$2705,B121)</f>
        <v>13.3031101792249</v>
      </c>
      <c r="P121" s="21" t="n">
        <f aca="false">N121-O121</f>
        <v>-0.627453346353505</v>
      </c>
      <c r="Q121" s="7" t="n">
        <v>0</v>
      </c>
      <c r="R121" s="3" t="n">
        <f aca="false">IF(AND(Q121=1,B121-_xlfn.MINIFS($B$2:$B$2705,$A$2:$A$2705,A121)&lt;10),1,0)</f>
        <v>0</v>
      </c>
      <c r="S121" s="7" t="n">
        <v>0</v>
      </c>
      <c r="T121" s="3" t="n">
        <f aca="false">_xlfn.MINIFS($B$2:$B$2705,$A$2:$A$2705,A121)</f>
        <v>1901</v>
      </c>
      <c r="U121" s="3" t="n">
        <f aca="false">B121-T121</f>
        <v>7</v>
      </c>
      <c r="V121" s="3" t="str">
        <f aca="false">INDEX(Pop_Inputs!$Q$2:$Q$29,MATCH(C121,Pop_Inputs!$A$2:$A$29,0))</f>
        <v>South</v>
      </c>
      <c r="W121" s="30"/>
      <c r="X121" s="3" t="str">
        <f aca="false">IF(W121="","",LN(W121))</f>
        <v/>
      </c>
      <c r="Y121" s="3" t="str">
        <f aca="false">IF(X121="","",X121-AVERAGEIFS($X$2:$X$2705,$B$2:$B$2705,B121))</f>
        <v/>
      </c>
      <c r="Z121" s="21" t="n">
        <f aca="false">P121</f>
        <v>-0.627453346353505</v>
      </c>
      <c r="AA121" s="3" t="n">
        <f aca="false">R121</f>
        <v>0</v>
      </c>
      <c r="AB121" s="21" t="n">
        <f aca="false">P121</f>
        <v>-0.627453346353505</v>
      </c>
      <c r="AC121" s="3" t="str">
        <f aca="false">Y121</f>
        <v/>
      </c>
      <c r="AD121" s="3" t="n">
        <f aca="false">R121</f>
        <v>0</v>
      </c>
    </row>
    <row r="122" customFormat="false" ht="15" hidden="false" customHeight="true" outlineLevel="0" collapsed="false">
      <c r="A122" s="7" t="s">
        <v>70</v>
      </c>
      <c r="B122" s="7" t="n">
        <v>1908</v>
      </c>
      <c r="C122" s="7" t="s">
        <v>154</v>
      </c>
      <c r="D122" s="7" t="n">
        <v>51</v>
      </c>
      <c r="E122" s="7" t="n">
        <v>103</v>
      </c>
      <c r="F122" s="3" t="n">
        <f aca="false">COUNTIFS($B$2:$B$2705,B122,$C$2:$C$2705,C122)</f>
        <v>3</v>
      </c>
      <c r="G122" s="3" t="n">
        <f aca="false">MIN(INT((MIN(B122,2020)-1900)/10)+1,12)</f>
        <v>1</v>
      </c>
      <c r="H122" s="3" t="n">
        <f aca="false">(MIN(B122,2020)-1900-10*(G122-1))/10</f>
        <v>0.8</v>
      </c>
      <c r="I122" s="20" t="n">
        <f aca="false">EXP(LN(INDEX(Pop_Inputs!$B$2:$N$29,MATCH(C122,Pop_Inputs!$A$2:$A$29,0),G122))*(1-H122)+LN(INDEX(Pop_Inputs!$B$2:$N$29,MATCH(C122,Pop_Inputs!$A$2:$A$29,0),G122+1))*H122)</f>
        <v>4465073.42790075</v>
      </c>
      <c r="J122" s="20" t="n">
        <f aca="false">I122/F122</f>
        <v>1488357.80930025</v>
      </c>
      <c r="K122" s="21" t="n">
        <f aca="false">D122/(D122+E122)</f>
        <v>0.331168831168831</v>
      </c>
      <c r="L122" s="21" t="n">
        <f aca="false">AVERAGEIFS($K$2:$K$2705,$B$2:$B$2705,B122)</f>
        <v>0.500066663427732</v>
      </c>
      <c r="M122" s="21" t="n">
        <f aca="false">K122-L122</f>
        <v>-0.1688978322589</v>
      </c>
      <c r="N122" s="21" t="n">
        <f aca="false">LN(J122)</f>
        <v>14.2131839287079</v>
      </c>
      <c r="O122" s="21" t="n">
        <f aca="false">AVERAGEIFS($N$2:$N$2705,$B$2:$B$2705,B122)</f>
        <v>13.3031101792249</v>
      </c>
      <c r="P122" s="21" t="n">
        <f aca="false">N122-O122</f>
        <v>0.910073749483081</v>
      </c>
      <c r="Q122" s="7" t="n">
        <v>0</v>
      </c>
      <c r="R122" s="3" t="n">
        <f aca="false">IF(AND(Q122=1,B122-_xlfn.MINIFS($B$2:$B$2705,$A$2:$A$2705,A122)&lt;10),1,0)</f>
        <v>0</v>
      </c>
      <c r="S122" s="7" t="n">
        <v>1</v>
      </c>
      <c r="T122" s="3" t="n">
        <f aca="false">_xlfn.MINIFS($B$2:$B$2705,$A$2:$A$2705,A122)</f>
        <v>1903</v>
      </c>
      <c r="U122" s="3" t="n">
        <f aca="false">B122-T122</f>
        <v>5</v>
      </c>
      <c r="V122" s="3" t="str">
        <f aca="false">INDEX(Pop_Inputs!$Q$2:$Q$29,MATCH(C122,Pop_Inputs!$A$2:$A$29,0))</f>
        <v>Northeast</v>
      </c>
      <c r="W122" s="30"/>
      <c r="X122" s="3" t="str">
        <f aca="false">IF(W122="","",LN(W122))</f>
        <v/>
      </c>
      <c r="Y122" s="3" t="str">
        <f aca="false">IF(X122="","",X122-AVERAGEIFS($X$2:$X$2705,$B$2:$B$2705,B122))</f>
        <v/>
      </c>
      <c r="Z122" s="21" t="n">
        <f aca="false">P122</f>
        <v>0.910073749483081</v>
      </c>
      <c r="AA122" s="3" t="n">
        <f aca="false">R122</f>
        <v>0</v>
      </c>
      <c r="AB122" s="21" t="n">
        <f aca="false">P122</f>
        <v>0.910073749483081</v>
      </c>
      <c r="AC122" s="3" t="str">
        <f aca="false">Y122</f>
        <v/>
      </c>
      <c r="AD122" s="3" t="n">
        <f aca="false">R122</f>
        <v>0</v>
      </c>
    </row>
    <row r="123" customFormat="false" ht="15" hidden="false" customHeight="true" outlineLevel="0" collapsed="false">
      <c r="A123" s="7" t="s">
        <v>69</v>
      </c>
      <c r="B123" s="7" t="n">
        <v>1908</v>
      </c>
      <c r="C123" s="7" t="s">
        <v>146</v>
      </c>
      <c r="D123" s="7" t="n">
        <v>68</v>
      </c>
      <c r="E123" s="7" t="n">
        <v>85</v>
      </c>
      <c r="F123" s="3" t="n">
        <f aca="false">COUNTIFS($B$2:$B$2705,B123,$C$2:$C$2705,C123)</f>
        <v>2</v>
      </c>
      <c r="G123" s="3" t="n">
        <f aca="false">MIN(INT((MIN(B123,2020)-1900)/10)+1,12)</f>
        <v>1</v>
      </c>
      <c r="H123" s="3" t="n">
        <f aca="false">(MIN(B123,2020)-1900-10*(G123-1))/10</f>
        <v>0.8</v>
      </c>
      <c r="I123" s="20" t="n">
        <f aca="false">EXP(LN(INDEX(Pop_Inputs!$B$2:$N$29,MATCH(C123,Pop_Inputs!$A$2:$A$29,0),G123))*(1-H123)+LN(INDEX(Pop_Inputs!$B$2:$N$29,MATCH(C123,Pop_Inputs!$A$2:$A$29,0),G123+1))*H123)</f>
        <v>1494202.44522621</v>
      </c>
      <c r="J123" s="20" t="n">
        <f aca="false">I123/F123</f>
        <v>747101.222613107</v>
      </c>
      <c r="K123" s="21" t="n">
        <f aca="false">D123/(D123+E123)</f>
        <v>0.444444444444444</v>
      </c>
      <c r="L123" s="21" t="n">
        <f aca="false">AVERAGEIFS($K$2:$K$2705,$B$2:$B$2705,B123)</f>
        <v>0.500066663427732</v>
      </c>
      <c r="M123" s="21" t="n">
        <f aca="false">K123-L123</f>
        <v>-0.0556222189832871</v>
      </c>
      <c r="N123" s="21" t="n">
        <f aca="false">LN(J123)</f>
        <v>13.5239559604411</v>
      </c>
      <c r="O123" s="21" t="n">
        <f aca="false">AVERAGEIFS($N$2:$N$2705,$B$2:$B$2705,B123)</f>
        <v>13.3031101792249</v>
      </c>
      <c r="P123" s="21" t="n">
        <f aca="false">N123-O123</f>
        <v>0.220845781216221</v>
      </c>
      <c r="Q123" s="7" t="n">
        <v>0</v>
      </c>
      <c r="R123" s="3" t="n">
        <f aca="false">IF(AND(Q123=1,B123-_xlfn.MINIFS($B$2:$B$2705,$A$2:$A$2705,A123)&lt;10),1,0)</f>
        <v>0</v>
      </c>
      <c r="S123" s="7" t="n">
        <v>0</v>
      </c>
      <c r="T123" s="3" t="n">
        <f aca="false">_xlfn.MINIFS($B$2:$B$2705,$A$2:$A$2705,A123)</f>
        <v>1901</v>
      </c>
      <c r="U123" s="3" t="n">
        <f aca="false">B123-T123</f>
        <v>7</v>
      </c>
      <c r="V123" s="3" t="str">
        <f aca="false">INDEX(Pop_Inputs!$Q$2:$Q$29,MATCH(C123,Pop_Inputs!$A$2:$A$29,0))</f>
        <v>Northeast</v>
      </c>
      <c r="W123" s="30"/>
      <c r="X123" s="3" t="str">
        <f aca="false">IF(W123="","",LN(W123))</f>
        <v/>
      </c>
      <c r="Y123" s="3" t="str">
        <f aca="false">IF(X123="","",X123-AVERAGEIFS($X$2:$X$2705,$B$2:$B$2705,B123))</f>
        <v/>
      </c>
      <c r="Z123" s="21" t="n">
        <f aca="false">P123</f>
        <v>0.220845781216221</v>
      </c>
      <c r="AA123" s="3" t="n">
        <f aca="false">R123</f>
        <v>0</v>
      </c>
      <c r="AB123" s="21" t="n">
        <f aca="false">P123</f>
        <v>0.220845781216221</v>
      </c>
      <c r="AC123" s="3" t="str">
        <f aca="false">Y123</f>
        <v/>
      </c>
      <c r="AD123" s="3" t="n">
        <f aca="false">R123</f>
        <v>0</v>
      </c>
    </row>
    <row r="124" customFormat="false" ht="15" hidden="false" customHeight="true" outlineLevel="0" collapsed="false">
      <c r="A124" s="7" t="s">
        <v>60</v>
      </c>
      <c r="B124" s="7" t="n">
        <v>1908</v>
      </c>
      <c r="C124" s="7" t="s">
        <v>146</v>
      </c>
      <c r="D124" s="7" t="n">
        <v>83</v>
      </c>
      <c r="E124" s="7" t="n">
        <v>71</v>
      </c>
      <c r="F124" s="3" t="n">
        <f aca="false">COUNTIFS($B$2:$B$2705,B124,$C$2:$C$2705,C124)</f>
        <v>2</v>
      </c>
      <c r="G124" s="3" t="n">
        <f aca="false">MIN(INT((MIN(B124,2020)-1900)/10)+1,12)</f>
        <v>1</v>
      </c>
      <c r="H124" s="3" t="n">
        <f aca="false">(MIN(B124,2020)-1900-10*(G124-1))/10</f>
        <v>0.8</v>
      </c>
      <c r="I124" s="20" t="n">
        <f aca="false">EXP(LN(INDEX(Pop_Inputs!$B$2:$N$29,MATCH(C124,Pop_Inputs!$A$2:$A$29,0),G124))*(1-H124)+LN(INDEX(Pop_Inputs!$B$2:$N$29,MATCH(C124,Pop_Inputs!$A$2:$A$29,0),G124+1))*H124)</f>
        <v>1494202.44522621</v>
      </c>
      <c r="J124" s="20" t="n">
        <f aca="false">I124/F124</f>
        <v>747101.222613107</v>
      </c>
      <c r="K124" s="21" t="n">
        <f aca="false">D124/(D124+E124)</f>
        <v>0.538961038961039</v>
      </c>
      <c r="L124" s="21" t="n">
        <f aca="false">AVERAGEIFS($K$2:$K$2705,$B$2:$B$2705,B124)</f>
        <v>0.500066663427732</v>
      </c>
      <c r="M124" s="21" t="n">
        <f aca="false">K124-L124</f>
        <v>0.0388943755333074</v>
      </c>
      <c r="N124" s="21" t="n">
        <f aca="false">LN(J124)</f>
        <v>13.5239559604411</v>
      </c>
      <c r="O124" s="21" t="n">
        <f aca="false">AVERAGEIFS($N$2:$N$2705,$B$2:$B$2705,B124)</f>
        <v>13.3031101792249</v>
      </c>
      <c r="P124" s="21" t="n">
        <f aca="false">N124-O124</f>
        <v>0.220845781216221</v>
      </c>
      <c r="Q124" s="7" t="n">
        <v>0</v>
      </c>
      <c r="R124" s="3" t="n">
        <f aca="false">IF(AND(Q124=1,B124-_xlfn.MINIFS($B$2:$B$2705,$A$2:$A$2705,A124)&lt;10),1,0)</f>
        <v>0</v>
      </c>
      <c r="S124" s="7" t="n">
        <v>0</v>
      </c>
      <c r="T124" s="3" t="n">
        <f aca="false">_xlfn.MINIFS($B$2:$B$2705,$A$2:$A$2705,A124)</f>
        <v>1901</v>
      </c>
      <c r="U124" s="3" t="n">
        <f aca="false">B124-T124</f>
        <v>7</v>
      </c>
      <c r="V124" s="3" t="str">
        <f aca="false">INDEX(Pop_Inputs!$Q$2:$Q$29,MATCH(C124,Pop_Inputs!$A$2:$A$29,0))</f>
        <v>Northeast</v>
      </c>
      <c r="W124" s="30"/>
      <c r="X124" s="3" t="str">
        <f aca="false">IF(W124="","",LN(W124))</f>
        <v/>
      </c>
      <c r="Y124" s="3" t="str">
        <f aca="false">IF(X124="","",X124-AVERAGEIFS($X$2:$X$2705,$B$2:$B$2705,B124))</f>
        <v/>
      </c>
      <c r="Z124" s="21" t="n">
        <f aca="false">P124</f>
        <v>0.220845781216221</v>
      </c>
      <c r="AA124" s="3" t="n">
        <f aca="false">R124</f>
        <v>0</v>
      </c>
      <c r="AB124" s="21" t="n">
        <f aca="false">P124</f>
        <v>0.220845781216221</v>
      </c>
      <c r="AC124" s="3" t="str">
        <f aca="false">Y124</f>
        <v/>
      </c>
      <c r="AD124" s="3" t="n">
        <f aca="false">R124</f>
        <v>0</v>
      </c>
    </row>
    <row r="125" customFormat="false" ht="15" hidden="false" customHeight="true" outlineLevel="0" collapsed="false">
      <c r="A125" s="7" t="s">
        <v>58</v>
      </c>
      <c r="B125" s="7" t="n">
        <v>1908</v>
      </c>
      <c r="C125" s="7" t="s">
        <v>144</v>
      </c>
      <c r="D125" s="7" t="n">
        <v>98</v>
      </c>
      <c r="E125" s="7" t="n">
        <v>56</v>
      </c>
      <c r="F125" s="3" t="n">
        <f aca="false">COUNTIFS($B$2:$B$2705,B125,$C$2:$C$2705,C125)</f>
        <v>1</v>
      </c>
      <c r="G125" s="3" t="n">
        <f aca="false">MIN(INT((MIN(B125,2020)-1900)/10)+1,12)</f>
        <v>1</v>
      </c>
      <c r="H125" s="3" t="n">
        <f aca="false">(MIN(B125,2020)-1900-10*(G125-1))/10</f>
        <v>0.8</v>
      </c>
      <c r="I125" s="20" t="n">
        <f aca="false">EXP(LN(INDEX(Pop_Inputs!$B$2:$N$29,MATCH(C125,Pop_Inputs!$A$2:$A$29,0),G125))*(1-H125)+LN(INDEX(Pop_Inputs!$B$2:$N$29,MATCH(C125,Pop_Inputs!$A$2:$A$29,0),G125+1))*H125)</f>
        <v>482434.902159055</v>
      </c>
      <c r="J125" s="20" t="n">
        <f aca="false">I125/F125</f>
        <v>482434.902159055</v>
      </c>
      <c r="K125" s="21" t="n">
        <f aca="false">D125/(D125+E125)</f>
        <v>0.636363636363636</v>
      </c>
      <c r="L125" s="21" t="n">
        <f aca="false">AVERAGEIFS($K$2:$K$2705,$B$2:$B$2705,B125)</f>
        <v>0.500066663427732</v>
      </c>
      <c r="M125" s="21" t="n">
        <f aca="false">K125-L125</f>
        <v>0.136296972935905</v>
      </c>
      <c r="N125" s="21" t="n">
        <f aca="false">LN(J125)</f>
        <v>13.0866012728539</v>
      </c>
      <c r="O125" s="21" t="n">
        <f aca="false">AVERAGEIFS($N$2:$N$2705,$B$2:$B$2705,B125)</f>
        <v>13.3031101792249</v>
      </c>
      <c r="P125" s="21" t="n">
        <f aca="false">N125-O125</f>
        <v>-0.216508906370976</v>
      </c>
      <c r="Q125" s="7" t="n">
        <v>0</v>
      </c>
      <c r="R125" s="3" t="n">
        <f aca="false">IF(AND(Q125=1,B125-_xlfn.MINIFS($B$2:$B$2705,$A$2:$A$2705,A125)&lt;10),1,0)</f>
        <v>0</v>
      </c>
      <c r="S125" s="7" t="n">
        <v>0</v>
      </c>
      <c r="T125" s="3" t="n">
        <f aca="false">_xlfn.MINIFS($B$2:$B$2705,$A$2:$A$2705,A125)</f>
        <v>1901</v>
      </c>
      <c r="U125" s="3" t="n">
        <f aca="false">B125-T125</f>
        <v>7</v>
      </c>
      <c r="V125" s="3" t="str">
        <f aca="false">INDEX(Pop_Inputs!$Q$2:$Q$29,MATCH(C125,Pop_Inputs!$A$2:$A$29,0))</f>
        <v>Northeast</v>
      </c>
      <c r="W125" s="30"/>
      <c r="X125" s="3" t="str">
        <f aca="false">IF(W125="","",LN(W125))</f>
        <v/>
      </c>
      <c r="Y125" s="3" t="str">
        <f aca="false">IF(X125="","",X125-AVERAGEIFS($X$2:$X$2705,$B$2:$B$2705,B125))</f>
        <v/>
      </c>
      <c r="Z125" s="21" t="n">
        <f aca="false">P125</f>
        <v>-0.216508906370976</v>
      </c>
      <c r="AA125" s="3" t="n">
        <f aca="false">R125</f>
        <v>0</v>
      </c>
      <c r="AB125" s="21" t="n">
        <f aca="false">P125</f>
        <v>-0.216508906370976</v>
      </c>
      <c r="AC125" s="3" t="str">
        <f aca="false">Y125</f>
        <v/>
      </c>
      <c r="AD125" s="3" t="n">
        <f aca="false">R125</f>
        <v>0</v>
      </c>
    </row>
    <row r="126" customFormat="false" ht="15" hidden="false" customHeight="true" outlineLevel="0" collapsed="false">
      <c r="A126" s="7" t="s">
        <v>61</v>
      </c>
      <c r="B126" s="7" t="n">
        <v>1908</v>
      </c>
      <c r="C126" s="7" t="s">
        <v>154</v>
      </c>
      <c r="D126" s="7" t="n">
        <v>98</v>
      </c>
      <c r="E126" s="7" t="n">
        <v>56</v>
      </c>
      <c r="F126" s="3" t="n">
        <f aca="false">COUNTIFS($B$2:$B$2705,B126,$C$2:$C$2705,C126)</f>
        <v>3</v>
      </c>
      <c r="G126" s="3" t="n">
        <f aca="false">MIN(INT((MIN(B126,2020)-1900)/10)+1,12)</f>
        <v>1</v>
      </c>
      <c r="H126" s="3" t="n">
        <f aca="false">(MIN(B126,2020)-1900-10*(G126-1))/10</f>
        <v>0.8</v>
      </c>
      <c r="I126" s="20" t="n">
        <f aca="false">EXP(LN(INDEX(Pop_Inputs!$B$2:$N$29,MATCH(C126,Pop_Inputs!$A$2:$A$29,0),G126))*(1-H126)+LN(INDEX(Pop_Inputs!$B$2:$N$29,MATCH(C126,Pop_Inputs!$A$2:$A$29,0),G126+1))*H126)</f>
        <v>4465073.42790075</v>
      </c>
      <c r="J126" s="20" t="n">
        <f aca="false">I126/F126</f>
        <v>1488357.80930025</v>
      </c>
      <c r="K126" s="21" t="n">
        <f aca="false">D126/(D126+E126)</f>
        <v>0.636363636363636</v>
      </c>
      <c r="L126" s="21" t="n">
        <f aca="false">AVERAGEIFS($K$2:$K$2705,$B$2:$B$2705,B126)</f>
        <v>0.500066663427732</v>
      </c>
      <c r="M126" s="21" t="n">
        <f aca="false">K126-L126</f>
        <v>0.136296972935905</v>
      </c>
      <c r="N126" s="21" t="n">
        <f aca="false">LN(J126)</f>
        <v>14.2131839287079</v>
      </c>
      <c r="O126" s="21" t="n">
        <f aca="false">AVERAGEIFS($N$2:$N$2705,$B$2:$B$2705,B126)</f>
        <v>13.3031101792249</v>
      </c>
      <c r="P126" s="21" t="n">
        <f aca="false">N126-O126</f>
        <v>0.910073749483081</v>
      </c>
      <c r="Q126" s="7" t="n">
        <v>0</v>
      </c>
      <c r="R126" s="3" t="n">
        <f aca="false">IF(AND(Q126=1,B126-_xlfn.MINIFS($B$2:$B$2705,$A$2:$A$2705,A126)&lt;10),1,0)</f>
        <v>0</v>
      </c>
      <c r="S126" s="7" t="n">
        <v>0</v>
      </c>
      <c r="T126" s="3" t="n">
        <f aca="false">_xlfn.MINIFS($B$2:$B$2705,$A$2:$A$2705,A126)</f>
        <v>1901</v>
      </c>
      <c r="U126" s="3" t="n">
        <f aca="false">B126-T126</f>
        <v>7</v>
      </c>
      <c r="V126" s="3" t="str">
        <f aca="false">INDEX(Pop_Inputs!$Q$2:$Q$29,MATCH(C126,Pop_Inputs!$A$2:$A$29,0))</f>
        <v>Northeast</v>
      </c>
      <c r="W126" s="30"/>
      <c r="X126" s="3" t="str">
        <f aca="false">IF(W126="","",LN(W126))</f>
        <v/>
      </c>
      <c r="Y126" s="3" t="str">
        <f aca="false">IF(X126="","",X126-AVERAGEIFS($X$2:$X$2705,$B$2:$B$2705,B126))</f>
        <v/>
      </c>
      <c r="Z126" s="21" t="n">
        <f aca="false">P126</f>
        <v>0.910073749483081</v>
      </c>
      <c r="AA126" s="3" t="n">
        <f aca="false">R126</f>
        <v>0</v>
      </c>
      <c r="AB126" s="21" t="n">
        <f aca="false">P126</f>
        <v>0.910073749483081</v>
      </c>
      <c r="AC126" s="3" t="str">
        <f aca="false">Y126</f>
        <v/>
      </c>
      <c r="AD126" s="3" t="n">
        <f aca="false">R126</f>
        <v>0</v>
      </c>
    </row>
    <row r="127" customFormat="false" ht="15" hidden="false" customHeight="true" outlineLevel="0" collapsed="false">
      <c r="A127" s="7" t="s">
        <v>59</v>
      </c>
      <c r="B127" s="7" t="n">
        <v>1908</v>
      </c>
      <c r="C127" s="7" t="s">
        <v>145</v>
      </c>
      <c r="D127" s="7" t="n">
        <v>49</v>
      </c>
      <c r="E127" s="7" t="n">
        <v>105</v>
      </c>
      <c r="F127" s="3" t="n">
        <f aca="false">COUNTIFS($B$2:$B$2705,B127,$C$2:$C$2705,C127)</f>
        <v>2</v>
      </c>
      <c r="G127" s="3" t="n">
        <f aca="false">MIN(INT((MIN(B127,2020)-1900)/10)+1,12)</f>
        <v>1</v>
      </c>
      <c r="H127" s="3" t="n">
        <f aca="false">(MIN(B127,2020)-1900-10*(G127-1))/10</f>
        <v>0.8</v>
      </c>
      <c r="I127" s="20" t="n">
        <f aca="false">EXP(LN(INDEX(Pop_Inputs!$B$2:$N$29,MATCH(C127,Pop_Inputs!$A$2:$A$29,0),G127))*(1-H127)+LN(INDEX(Pop_Inputs!$B$2:$N$29,MATCH(C127,Pop_Inputs!$A$2:$A$29,0),G127+1))*H127)</f>
        <v>663055.022355283</v>
      </c>
      <c r="J127" s="20" t="n">
        <f aca="false">I127/F127</f>
        <v>331527.511177642</v>
      </c>
      <c r="K127" s="21" t="n">
        <f aca="false">D127/(D127+E127)</f>
        <v>0.318181818181818</v>
      </c>
      <c r="L127" s="21" t="n">
        <f aca="false">AVERAGEIFS($K$2:$K$2705,$B$2:$B$2705,B127)</f>
        <v>0.500066663427732</v>
      </c>
      <c r="M127" s="21" t="n">
        <f aca="false">K127-L127</f>
        <v>-0.181884845245913</v>
      </c>
      <c r="N127" s="21" t="n">
        <f aca="false">LN(J127)</f>
        <v>12.7114660751424</v>
      </c>
      <c r="O127" s="21" t="n">
        <f aca="false">AVERAGEIFS($N$2:$N$2705,$B$2:$B$2705,B127)</f>
        <v>13.3031101792249</v>
      </c>
      <c r="P127" s="21" t="n">
        <f aca="false">N127-O127</f>
        <v>-0.59164410408248</v>
      </c>
      <c r="Q127" s="7" t="n">
        <v>0</v>
      </c>
      <c r="R127" s="3" t="n">
        <f aca="false">IF(AND(Q127=1,B127-_xlfn.MINIFS($B$2:$B$2705,$A$2:$A$2705,A127)&lt;10),1,0)</f>
        <v>0</v>
      </c>
      <c r="S127" s="7" t="n">
        <v>0</v>
      </c>
      <c r="T127" s="3" t="n">
        <f aca="false">_xlfn.MINIFS($B$2:$B$2705,$A$2:$A$2705,A127)</f>
        <v>1901</v>
      </c>
      <c r="U127" s="3" t="n">
        <f aca="false">B127-T127</f>
        <v>7</v>
      </c>
      <c r="V127" s="3" t="str">
        <f aca="false">INDEX(Pop_Inputs!$Q$2:$Q$29,MATCH(C127,Pop_Inputs!$A$2:$A$29,0))</f>
        <v>Midwest</v>
      </c>
      <c r="W127" s="30"/>
      <c r="X127" s="3" t="str">
        <f aca="false">IF(W127="","",LN(W127))</f>
        <v/>
      </c>
      <c r="Y127" s="3" t="str">
        <f aca="false">IF(X127="","",X127-AVERAGEIFS($X$2:$X$2705,$B$2:$B$2705,B127))</f>
        <v/>
      </c>
      <c r="Z127" s="21" t="n">
        <f aca="false">P127</f>
        <v>-0.59164410408248</v>
      </c>
      <c r="AA127" s="3" t="n">
        <f aca="false">R127</f>
        <v>0</v>
      </c>
      <c r="AB127" s="21" t="n">
        <f aca="false">P127</f>
        <v>-0.59164410408248</v>
      </c>
      <c r="AC127" s="3" t="str">
        <f aca="false">Y127</f>
        <v/>
      </c>
      <c r="AD127" s="3" t="n">
        <f aca="false">R127</f>
        <v>0</v>
      </c>
    </row>
    <row r="128" customFormat="false" ht="15" hidden="false" customHeight="true" outlineLevel="0" collapsed="false">
      <c r="A128" s="7" t="s">
        <v>54</v>
      </c>
      <c r="B128" s="7" t="n">
        <v>1909</v>
      </c>
      <c r="C128" s="7" t="s">
        <v>150</v>
      </c>
      <c r="D128" s="7" t="n">
        <v>45</v>
      </c>
      <c r="E128" s="7" t="n">
        <v>108</v>
      </c>
      <c r="F128" s="3" t="n">
        <f aca="false">COUNTIFS($B$2:$B$2705,B128,$C$2:$C$2705,C128)</f>
        <v>2</v>
      </c>
      <c r="G128" s="3" t="n">
        <f aca="false">MIN(INT((MIN(B128,2020)-1900)/10)+1,12)</f>
        <v>1</v>
      </c>
      <c r="H128" s="3" t="n">
        <f aca="false">(MIN(B128,2020)-1900-10*(G128-1))/10</f>
        <v>0.9</v>
      </c>
      <c r="I128" s="20" t="n">
        <f aca="false">EXP(LN(INDEX(Pop_Inputs!$B$2:$N$29,MATCH(C128,Pop_Inputs!$A$2:$A$29,0),G128))*(1-H128)+LN(INDEX(Pop_Inputs!$B$2:$N$29,MATCH(C128,Pop_Inputs!$A$2:$A$29,0),G128+1))*H128)</f>
        <v>658713.214243035</v>
      </c>
      <c r="J128" s="20" t="n">
        <f aca="false">I128/F128</f>
        <v>329356.607121518</v>
      </c>
      <c r="K128" s="21" t="n">
        <f aca="false">D128/(D128+E128)</f>
        <v>0.294117647058824</v>
      </c>
      <c r="L128" s="21" t="n">
        <f aca="false">AVERAGEIFS($K$2:$K$2705,$B$2:$B$2705,B128)</f>
        <v>0.499950511952196</v>
      </c>
      <c r="M128" s="21" t="n">
        <f aca="false">K128-L128</f>
        <v>-0.205832864893372</v>
      </c>
      <c r="N128" s="21" t="n">
        <f aca="false">LN(J128)</f>
        <v>12.7048963549623</v>
      </c>
      <c r="O128" s="21" t="n">
        <f aca="false">AVERAGEIFS($N$2:$N$2705,$B$2:$B$2705,B128)</f>
        <v>13.3294796768052</v>
      </c>
      <c r="P128" s="21" t="n">
        <f aca="false">N128-O128</f>
        <v>-0.624583321842904</v>
      </c>
      <c r="Q128" s="7" t="n">
        <v>0</v>
      </c>
      <c r="R128" s="3" t="n">
        <f aca="false">IF(AND(Q128=1,B128-_xlfn.MINIFS($B$2:$B$2705,$A$2:$A$2705,A128)&lt;10),1,0)</f>
        <v>0</v>
      </c>
      <c r="S128" s="7" t="n">
        <v>0</v>
      </c>
      <c r="T128" s="3" t="n">
        <f aca="false">_xlfn.MINIFS($B$2:$B$2705,$A$2:$A$2705,A128)</f>
        <v>1901</v>
      </c>
      <c r="U128" s="3" t="n">
        <f aca="false">B128-T128</f>
        <v>8</v>
      </c>
      <c r="V128" s="3" t="str">
        <f aca="false">INDEX(Pop_Inputs!$Q$2:$Q$29,MATCH(C128,Pop_Inputs!$A$2:$A$29,0))</f>
        <v>Northeast</v>
      </c>
      <c r="W128" s="30"/>
      <c r="X128" s="3" t="str">
        <f aca="false">IF(W128="","",LN(W128))</f>
        <v/>
      </c>
      <c r="Y128" s="3" t="str">
        <f aca="false">IF(X128="","",X128-AVERAGEIFS($X$2:$X$2705,$B$2:$B$2705,B128))</f>
        <v/>
      </c>
      <c r="Z128" s="21" t="n">
        <f aca="false">P128</f>
        <v>-0.624583321842904</v>
      </c>
      <c r="AA128" s="3" t="n">
        <f aca="false">R128</f>
        <v>0</v>
      </c>
      <c r="AB128" s="21" t="n">
        <f aca="false">P128</f>
        <v>-0.624583321842904</v>
      </c>
      <c r="AC128" s="3" t="str">
        <f aca="false">Y128</f>
        <v/>
      </c>
      <c r="AD128" s="3" t="n">
        <f aca="false">R128</f>
        <v>0</v>
      </c>
    </row>
    <row r="129" customFormat="false" ht="15" hidden="false" customHeight="true" outlineLevel="0" collapsed="false">
      <c r="A129" s="7" t="s">
        <v>63</v>
      </c>
      <c r="B129" s="7" t="n">
        <v>1909</v>
      </c>
      <c r="C129" s="7" t="s">
        <v>145</v>
      </c>
      <c r="D129" s="7" t="n">
        <v>61</v>
      </c>
      <c r="E129" s="7" t="n">
        <v>89</v>
      </c>
      <c r="F129" s="3" t="n">
        <f aca="false">COUNTIFS($B$2:$B$2705,B129,$C$2:$C$2705,C129)</f>
        <v>2</v>
      </c>
      <c r="G129" s="3" t="n">
        <f aca="false">MIN(INT((MIN(B129,2020)-1900)/10)+1,12)</f>
        <v>1</v>
      </c>
      <c r="H129" s="3" t="n">
        <f aca="false">(MIN(B129,2020)-1900-10*(G129-1))/10</f>
        <v>0.9</v>
      </c>
      <c r="I129" s="20" t="n">
        <f aca="false">EXP(LN(INDEX(Pop_Inputs!$B$2:$N$29,MATCH(C129,Pop_Inputs!$A$2:$A$29,0),G129))*(1-H129)+LN(INDEX(Pop_Inputs!$B$2:$N$29,MATCH(C129,Pop_Inputs!$A$2:$A$29,0),G129+1))*H129)</f>
        <v>674935.573928155</v>
      </c>
      <c r="J129" s="20" t="n">
        <f aca="false">I129/F129</f>
        <v>337467.786964077</v>
      </c>
      <c r="K129" s="21" t="n">
        <f aca="false">D129/(D129+E129)</f>
        <v>0.406666666666667</v>
      </c>
      <c r="L129" s="21" t="n">
        <f aca="false">AVERAGEIFS($K$2:$K$2705,$B$2:$B$2705,B129)</f>
        <v>0.499950511952196</v>
      </c>
      <c r="M129" s="21" t="n">
        <f aca="false">K129-L129</f>
        <v>-0.0932838452855291</v>
      </c>
      <c r="N129" s="21" t="n">
        <f aca="false">LN(J129)</f>
        <v>12.7292253387071</v>
      </c>
      <c r="O129" s="21" t="n">
        <f aca="false">AVERAGEIFS($N$2:$N$2705,$B$2:$B$2705,B129)</f>
        <v>13.3294796768052</v>
      </c>
      <c r="P129" s="21" t="n">
        <f aca="false">N129-O129</f>
        <v>-0.600254338098059</v>
      </c>
      <c r="Q129" s="7" t="n">
        <v>0</v>
      </c>
      <c r="R129" s="3" t="n">
        <f aca="false">IF(AND(Q129=1,B129-_xlfn.MINIFS($B$2:$B$2705,$A$2:$A$2705,A129)&lt;10),1,0)</f>
        <v>0</v>
      </c>
      <c r="S129" s="7" t="n">
        <v>0</v>
      </c>
      <c r="T129" s="3" t="n">
        <f aca="false">_xlfn.MINIFS($B$2:$B$2705,$A$2:$A$2705,A129)</f>
        <v>1901</v>
      </c>
      <c r="U129" s="3" t="n">
        <f aca="false">B129-T129</f>
        <v>8</v>
      </c>
      <c r="V129" s="3" t="str">
        <f aca="false">INDEX(Pop_Inputs!$Q$2:$Q$29,MATCH(C129,Pop_Inputs!$A$2:$A$29,0))</f>
        <v>Midwest</v>
      </c>
      <c r="W129" s="30"/>
      <c r="X129" s="3" t="str">
        <f aca="false">IF(W129="","",LN(W129))</f>
        <v/>
      </c>
      <c r="Y129" s="3" t="str">
        <f aca="false">IF(X129="","",X129-AVERAGEIFS($X$2:$X$2705,$B$2:$B$2705,B129))</f>
        <v/>
      </c>
      <c r="Z129" s="21" t="n">
        <f aca="false">P129</f>
        <v>-0.600254338098059</v>
      </c>
      <c r="AA129" s="3" t="n">
        <f aca="false">R129</f>
        <v>0</v>
      </c>
      <c r="AB129" s="21" t="n">
        <f aca="false">P129</f>
        <v>-0.600254338098059</v>
      </c>
      <c r="AC129" s="3" t="str">
        <f aca="false">Y129</f>
        <v/>
      </c>
      <c r="AD129" s="3" t="n">
        <f aca="false">R129</f>
        <v>0</v>
      </c>
    </row>
    <row r="130" customFormat="false" ht="15" hidden="false" customHeight="true" outlineLevel="0" collapsed="false">
      <c r="A130" s="7" t="s">
        <v>64</v>
      </c>
      <c r="B130" s="7" t="n">
        <v>1909</v>
      </c>
      <c r="C130" s="7" t="s">
        <v>150</v>
      </c>
      <c r="D130" s="7" t="n">
        <v>88</v>
      </c>
      <c r="E130" s="7" t="n">
        <v>63</v>
      </c>
      <c r="F130" s="3" t="n">
        <f aca="false">COUNTIFS($B$2:$B$2705,B130,$C$2:$C$2705,C130)</f>
        <v>2</v>
      </c>
      <c r="G130" s="3" t="n">
        <f aca="false">MIN(INT((MIN(B130,2020)-1900)/10)+1,12)</f>
        <v>1</v>
      </c>
      <c r="H130" s="3" t="n">
        <f aca="false">(MIN(B130,2020)-1900-10*(G130-1))/10</f>
        <v>0.9</v>
      </c>
      <c r="I130" s="20" t="n">
        <f aca="false">EXP(LN(INDEX(Pop_Inputs!$B$2:$N$29,MATCH(C130,Pop_Inputs!$A$2:$A$29,0),G130))*(1-H130)+LN(INDEX(Pop_Inputs!$B$2:$N$29,MATCH(C130,Pop_Inputs!$A$2:$A$29,0),G130+1))*H130)</f>
        <v>658713.214243035</v>
      </c>
      <c r="J130" s="20" t="n">
        <f aca="false">I130/F130</f>
        <v>329356.607121518</v>
      </c>
      <c r="K130" s="21" t="n">
        <f aca="false">D130/(D130+E130)</f>
        <v>0.582781456953642</v>
      </c>
      <c r="L130" s="21" t="n">
        <f aca="false">AVERAGEIFS($K$2:$K$2705,$B$2:$B$2705,B130)</f>
        <v>0.499950511952196</v>
      </c>
      <c r="M130" s="21" t="n">
        <f aca="false">K130-L130</f>
        <v>0.0828309450014466</v>
      </c>
      <c r="N130" s="21" t="n">
        <f aca="false">LN(J130)</f>
        <v>12.7048963549623</v>
      </c>
      <c r="O130" s="21" t="n">
        <f aca="false">AVERAGEIFS($N$2:$N$2705,$B$2:$B$2705,B130)</f>
        <v>13.3294796768052</v>
      </c>
      <c r="P130" s="21" t="n">
        <f aca="false">N130-O130</f>
        <v>-0.624583321842904</v>
      </c>
      <c r="Q130" s="7" t="n">
        <v>0</v>
      </c>
      <c r="R130" s="3" t="n">
        <f aca="false">IF(AND(Q130=1,B130-_xlfn.MINIFS($B$2:$B$2705,$A$2:$A$2705,A130)&lt;10),1,0)</f>
        <v>0</v>
      </c>
      <c r="S130" s="7" t="n">
        <v>0</v>
      </c>
      <c r="T130" s="3" t="n">
        <f aca="false">_xlfn.MINIFS($B$2:$B$2705,$A$2:$A$2705,A130)</f>
        <v>1901</v>
      </c>
      <c r="U130" s="3" t="n">
        <f aca="false">B130-T130</f>
        <v>8</v>
      </c>
      <c r="V130" s="3" t="str">
        <f aca="false">INDEX(Pop_Inputs!$Q$2:$Q$29,MATCH(C130,Pop_Inputs!$A$2:$A$29,0))</f>
        <v>Northeast</v>
      </c>
      <c r="W130" s="30"/>
      <c r="X130" s="3" t="str">
        <f aca="false">IF(W130="","",LN(W130))</f>
        <v/>
      </c>
      <c r="Y130" s="3" t="str">
        <f aca="false">IF(X130="","",X130-AVERAGEIFS($X$2:$X$2705,$B$2:$B$2705,B130))</f>
        <v/>
      </c>
      <c r="Z130" s="21" t="n">
        <f aca="false">P130</f>
        <v>-0.624583321842904</v>
      </c>
      <c r="AA130" s="3" t="n">
        <f aca="false">R130</f>
        <v>0</v>
      </c>
      <c r="AB130" s="21" t="n">
        <f aca="false">P130</f>
        <v>-0.624583321842904</v>
      </c>
      <c r="AC130" s="3" t="str">
        <f aca="false">Y130</f>
        <v/>
      </c>
      <c r="AD130" s="3" t="n">
        <f aca="false">R130</f>
        <v>0</v>
      </c>
    </row>
    <row r="131" customFormat="false" ht="15" hidden="false" customHeight="true" outlineLevel="0" collapsed="false">
      <c r="A131" s="7" t="s">
        <v>56</v>
      </c>
      <c r="B131" s="7" t="n">
        <v>1909</v>
      </c>
      <c r="C131" s="7" t="s">
        <v>142</v>
      </c>
      <c r="D131" s="7" t="n">
        <v>104</v>
      </c>
      <c r="E131" s="7" t="n">
        <v>49</v>
      </c>
      <c r="F131" s="3" t="n">
        <f aca="false">COUNTIFS($B$2:$B$2705,B131,$C$2:$C$2705,C131)</f>
        <v>2</v>
      </c>
      <c r="G131" s="3" t="n">
        <f aca="false">MIN(INT((MIN(B131,2020)-1900)/10)+1,12)</f>
        <v>1</v>
      </c>
      <c r="H131" s="3" t="n">
        <f aca="false">(MIN(B131,2020)-1900-10*(G131-1))/10</f>
        <v>0.9</v>
      </c>
      <c r="I131" s="20" t="n">
        <f aca="false">EXP(LN(INDEX(Pop_Inputs!$B$2:$N$29,MATCH(C131,Pop_Inputs!$A$2:$A$29,0),G131))*(1-H131)+LN(INDEX(Pop_Inputs!$B$2:$N$29,MATCH(C131,Pop_Inputs!$A$2:$A$29,0),G131+1))*H131)</f>
        <v>2130911.39264394</v>
      </c>
      <c r="J131" s="20" t="n">
        <f aca="false">I131/F131</f>
        <v>1065455.69632197</v>
      </c>
      <c r="K131" s="21" t="n">
        <f aca="false">D131/(D131+E131)</f>
        <v>0.679738562091503</v>
      </c>
      <c r="L131" s="21" t="n">
        <f aca="false">AVERAGEIFS($K$2:$K$2705,$B$2:$B$2705,B131)</f>
        <v>0.499950511952196</v>
      </c>
      <c r="M131" s="21" t="n">
        <f aca="false">K131-L131</f>
        <v>0.179788050139308</v>
      </c>
      <c r="N131" s="21" t="n">
        <f aca="false">LN(J131)</f>
        <v>13.8789131494799</v>
      </c>
      <c r="O131" s="21" t="n">
        <f aca="false">AVERAGEIFS($N$2:$N$2705,$B$2:$B$2705,B131)</f>
        <v>13.3294796768052</v>
      </c>
      <c r="P131" s="21" t="n">
        <f aca="false">N131-O131</f>
        <v>0.549433472674703</v>
      </c>
      <c r="Q131" s="7" t="n">
        <v>0</v>
      </c>
      <c r="R131" s="3" t="n">
        <f aca="false">IF(AND(Q131=1,B131-_xlfn.MINIFS($B$2:$B$2705,$A$2:$A$2705,A131)&lt;10),1,0)</f>
        <v>0</v>
      </c>
      <c r="S131" s="7" t="n">
        <v>0</v>
      </c>
      <c r="T131" s="3" t="n">
        <f aca="false">_xlfn.MINIFS($B$2:$B$2705,$A$2:$A$2705,A131)</f>
        <v>1901</v>
      </c>
      <c r="U131" s="3" t="n">
        <f aca="false">B131-T131</f>
        <v>8</v>
      </c>
      <c r="V131" s="3" t="str">
        <f aca="false">INDEX(Pop_Inputs!$Q$2:$Q$29,MATCH(C131,Pop_Inputs!$A$2:$A$29,0))</f>
        <v>Midwest</v>
      </c>
      <c r="W131" s="30"/>
      <c r="X131" s="3" t="str">
        <f aca="false">IF(W131="","",LN(W131))</f>
        <v/>
      </c>
      <c r="Y131" s="3" t="str">
        <f aca="false">IF(X131="","",X131-AVERAGEIFS($X$2:$X$2705,$B$2:$B$2705,B131))</f>
        <v/>
      </c>
      <c r="Z131" s="21" t="n">
        <f aca="false">P131</f>
        <v>0.549433472674703</v>
      </c>
      <c r="AA131" s="3" t="n">
        <f aca="false">R131</f>
        <v>0</v>
      </c>
      <c r="AB131" s="21" t="n">
        <f aca="false">P131</f>
        <v>0.549433472674703</v>
      </c>
      <c r="AC131" s="3" t="str">
        <f aca="false">Y131</f>
        <v/>
      </c>
      <c r="AD131" s="3" t="n">
        <f aca="false">R131</f>
        <v>0</v>
      </c>
    </row>
    <row r="132" customFormat="false" ht="15" hidden="false" customHeight="true" outlineLevel="0" collapsed="false">
      <c r="A132" s="7" t="s">
        <v>65</v>
      </c>
      <c r="B132" s="7" t="n">
        <v>1909</v>
      </c>
      <c r="C132" s="7" t="s">
        <v>142</v>
      </c>
      <c r="D132" s="7" t="n">
        <v>78</v>
      </c>
      <c r="E132" s="7" t="n">
        <v>74</v>
      </c>
      <c r="F132" s="3" t="n">
        <f aca="false">COUNTIFS($B$2:$B$2705,B132,$C$2:$C$2705,C132)</f>
        <v>2</v>
      </c>
      <c r="G132" s="3" t="n">
        <f aca="false">MIN(INT((MIN(B132,2020)-1900)/10)+1,12)</f>
        <v>1</v>
      </c>
      <c r="H132" s="3" t="n">
        <f aca="false">(MIN(B132,2020)-1900-10*(G132-1))/10</f>
        <v>0.9</v>
      </c>
      <c r="I132" s="20" t="n">
        <f aca="false">EXP(LN(INDEX(Pop_Inputs!$B$2:$N$29,MATCH(C132,Pop_Inputs!$A$2:$A$29,0),G132))*(1-H132)+LN(INDEX(Pop_Inputs!$B$2:$N$29,MATCH(C132,Pop_Inputs!$A$2:$A$29,0),G132+1))*H132)</f>
        <v>2130911.39264394</v>
      </c>
      <c r="J132" s="20" t="n">
        <f aca="false">I132/F132</f>
        <v>1065455.69632197</v>
      </c>
      <c r="K132" s="21" t="n">
        <f aca="false">D132/(D132+E132)</f>
        <v>0.513157894736842</v>
      </c>
      <c r="L132" s="21" t="n">
        <f aca="false">AVERAGEIFS($K$2:$K$2705,$B$2:$B$2705,B132)</f>
        <v>0.499950511952196</v>
      </c>
      <c r="M132" s="21" t="n">
        <f aca="false">K132-L132</f>
        <v>0.0132073827846464</v>
      </c>
      <c r="N132" s="21" t="n">
        <f aca="false">LN(J132)</f>
        <v>13.8789131494799</v>
      </c>
      <c r="O132" s="21" t="n">
        <f aca="false">AVERAGEIFS($N$2:$N$2705,$B$2:$B$2705,B132)</f>
        <v>13.3294796768052</v>
      </c>
      <c r="P132" s="21" t="n">
        <f aca="false">N132-O132</f>
        <v>0.549433472674703</v>
      </c>
      <c r="Q132" s="7" t="n">
        <v>0</v>
      </c>
      <c r="R132" s="3" t="n">
        <f aca="false">IF(AND(Q132=1,B132-_xlfn.MINIFS($B$2:$B$2705,$A$2:$A$2705,A132)&lt;10),1,0)</f>
        <v>0</v>
      </c>
      <c r="S132" s="7" t="n">
        <v>0</v>
      </c>
      <c r="T132" s="3" t="n">
        <f aca="false">_xlfn.MINIFS($B$2:$B$2705,$A$2:$A$2705,A132)</f>
        <v>1901</v>
      </c>
      <c r="U132" s="3" t="n">
        <f aca="false">B132-T132</f>
        <v>8</v>
      </c>
      <c r="V132" s="3" t="str">
        <f aca="false">INDEX(Pop_Inputs!$Q$2:$Q$29,MATCH(C132,Pop_Inputs!$A$2:$A$29,0))</f>
        <v>Midwest</v>
      </c>
      <c r="W132" s="30"/>
      <c r="X132" s="3" t="str">
        <f aca="false">IF(W132="","",LN(W132))</f>
        <v/>
      </c>
      <c r="Y132" s="3" t="str">
        <f aca="false">IF(X132="","",X132-AVERAGEIFS($X$2:$X$2705,$B$2:$B$2705,B132))</f>
        <v/>
      </c>
      <c r="Z132" s="21" t="n">
        <f aca="false">P132</f>
        <v>0.549433472674703</v>
      </c>
      <c r="AA132" s="3" t="n">
        <f aca="false">R132</f>
        <v>0</v>
      </c>
      <c r="AB132" s="21" t="n">
        <f aca="false">P132</f>
        <v>0.549433472674703</v>
      </c>
      <c r="AC132" s="3" t="str">
        <f aca="false">Y132</f>
        <v/>
      </c>
      <c r="AD132" s="3" t="n">
        <f aca="false">R132</f>
        <v>0</v>
      </c>
    </row>
    <row r="133" customFormat="false" ht="15" hidden="false" customHeight="true" outlineLevel="0" collapsed="false">
      <c r="A133" s="7" t="s">
        <v>57</v>
      </c>
      <c r="B133" s="7" t="n">
        <v>1909</v>
      </c>
      <c r="C133" s="7" t="s">
        <v>143</v>
      </c>
      <c r="D133" s="7" t="n">
        <v>77</v>
      </c>
      <c r="E133" s="7" t="n">
        <v>76</v>
      </c>
      <c r="F133" s="3" t="n">
        <f aca="false">COUNTIFS($B$2:$B$2705,B133,$C$2:$C$2705,C133)</f>
        <v>1</v>
      </c>
      <c r="G133" s="3" t="n">
        <f aca="false">MIN(INT((MIN(B133,2020)-1900)/10)+1,12)</f>
        <v>1</v>
      </c>
      <c r="H133" s="3" t="n">
        <f aca="false">(MIN(B133,2020)-1900-10*(G133-1))/10</f>
        <v>0.9</v>
      </c>
      <c r="I133" s="20" t="n">
        <f aca="false">EXP(LN(INDEX(Pop_Inputs!$B$2:$N$29,MATCH(C133,Pop_Inputs!$A$2:$A$29,0),G133))*(1-H133)+LN(INDEX(Pop_Inputs!$B$2:$N$29,MATCH(C133,Pop_Inputs!$A$2:$A$29,0),G133+1))*H133)</f>
        <v>359633.810548389</v>
      </c>
      <c r="J133" s="20" t="n">
        <f aca="false">I133/F133</f>
        <v>359633.810548389</v>
      </c>
      <c r="K133" s="21" t="n">
        <f aca="false">D133/(D133+E133)</f>
        <v>0.503267973856209</v>
      </c>
      <c r="L133" s="21" t="n">
        <f aca="false">AVERAGEIFS($K$2:$K$2705,$B$2:$B$2705,B133)</f>
        <v>0.499950511952196</v>
      </c>
      <c r="M133" s="21" t="n">
        <f aca="false">K133-L133</f>
        <v>0.00331746190401339</v>
      </c>
      <c r="N133" s="21" t="n">
        <f aca="false">LN(J133)</f>
        <v>12.7928415998193</v>
      </c>
      <c r="O133" s="21" t="n">
        <f aca="false">AVERAGEIFS($N$2:$N$2705,$B$2:$B$2705,B133)</f>
        <v>13.3294796768052</v>
      </c>
      <c r="P133" s="21" t="n">
        <f aca="false">N133-O133</f>
        <v>-0.536638076985815</v>
      </c>
      <c r="Q133" s="7" t="n">
        <v>0</v>
      </c>
      <c r="R133" s="3" t="n">
        <f aca="false">IF(AND(Q133=1,B133-_xlfn.MINIFS($B$2:$B$2705,$A$2:$A$2705,A133)&lt;10),1,0)</f>
        <v>0</v>
      </c>
      <c r="S133" s="7" t="n">
        <v>0</v>
      </c>
      <c r="T133" s="3" t="n">
        <f aca="false">_xlfn.MINIFS($B$2:$B$2705,$A$2:$A$2705,A133)</f>
        <v>1901</v>
      </c>
      <c r="U133" s="3" t="n">
        <f aca="false">B133-T133</f>
        <v>8</v>
      </c>
      <c r="V133" s="3" t="str">
        <f aca="false">INDEX(Pop_Inputs!$Q$2:$Q$29,MATCH(C133,Pop_Inputs!$A$2:$A$29,0))</f>
        <v>Midwest</v>
      </c>
      <c r="W133" s="30"/>
      <c r="X133" s="3" t="str">
        <f aca="false">IF(W133="","",LN(W133))</f>
        <v/>
      </c>
      <c r="Y133" s="3" t="str">
        <f aca="false">IF(X133="","",X133-AVERAGEIFS($X$2:$X$2705,$B$2:$B$2705,B133))</f>
        <v/>
      </c>
      <c r="Z133" s="21" t="n">
        <f aca="false">P133</f>
        <v>-0.536638076985815</v>
      </c>
      <c r="AA133" s="3" t="n">
        <f aca="false">R133</f>
        <v>0</v>
      </c>
      <c r="AB133" s="21" t="n">
        <f aca="false">P133</f>
        <v>-0.536638076985815</v>
      </c>
      <c r="AC133" s="3" t="str">
        <f aca="false">Y133</f>
        <v/>
      </c>
      <c r="AD133" s="3" t="n">
        <f aca="false">R133</f>
        <v>0</v>
      </c>
    </row>
    <row r="134" customFormat="false" ht="15" hidden="false" customHeight="true" outlineLevel="0" collapsed="false">
      <c r="A134" s="7" t="s">
        <v>66</v>
      </c>
      <c r="B134" s="7" t="n">
        <v>1909</v>
      </c>
      <c r="C134" s="7" t="s">
        <v>151</v>
      </c>
      <c r="D134" s="7" t="n">
        <v>71</v>
      </c>
      <c r="E134" s="7" t="n">
        <v>82</v>
      </c>
      <c r="F134" s="3" t="n">
        <f aca="false">COUNTIFS($B$2:$B$2705,B134,$C$2:$C$2705,C134)</f>
        <v>1</v>
      </c>
      <c r="G134" s="3" t="n">
        <f aca="false">MIN(INT((MIN(B134,2020)-1900)/10)+1,12)</f>
        <v>1</v>
      </c>
      <c r="H134" s="3" t="n">
        <f aca="false">(MIN(B134,2020)-1900-10*(G134-1))/10</f>
        <v>0.9</v>
      </c>
      <c r="I134" s="20" t="n">
        <f aca="false">EXP(LN(INDEX(Pop_Inputs!$B$2:$N$29,MATCH(C134,Pop_Inputs!$A$2:$A$29,0),G134))*(1-H134)+LN(INDEX(Pop_Inputs!$B$2:$N$29,MATCH(C134,Pop_Inputs!$A$2:$A$29,0),G134+1))*H134)</f>
        <v>539525.106506438</v>
      </c>
      <c r="J134" s="20" t="n">
        <f aca="false">I134/F134</f>
        <v>539525.106506438</v>
      </c>
      <c r="K134" s="21" t="n">
        <f aca="false">D134/(D134+E134)</f>
        <v>0.464052287581699</v>
      </c>
      <c r="L134" s="21" t="n">
        <f aca="false">AVERAGEIFS($K$2:$K$2705,$B$2:$B$2705,B134)</f>
        <v>0.499950511952196</v>
      </c>
      <c r="M134" s="21" t="n">
        <f aca="false">K134-L134</f>
        <v>-0.0358982243704964</v>
      </c>
      <c r="N134" s="21" t="n">
        <f aca="false">LN(J134)</f>
        <v>13.1984445992174</v>
      </c>
      <c r="O134" s="21" t="n">
        <f aca="false">AVERAGEIFS($N$2:$N$2705,$B$2:$B$2705,B134)</f>
        <v>13.3294796768052</v>
      </c>
      <c r="P134" s="21" t="n">
        <f aca="false">N134-O134</f>
        <v>-0.13103507758772</v>
      </c>
      <c r="Q134" s="7" t="n">
        <v>0</v>
      </c>
      <c r="R134" s="3" t="n">
        <f aca="false">IF(AND(Q134=1,B134-_xlfn.MINIFS($B$2:$B$2705,$A$2:$A$2705,A134)&lt;10),1,0)</f>
        <v>0</v>
      </c>
      <c r="S134" s="7" t="n">
        <v>0</v>
      </c>
      <c r="T134" s="3" t="n">
        <f aca="false">_xlfn.MINIFS($B$2:$B$2705,$A$2:$A$2705,A134)</f>
        <v>1901</v>
      </c>
      <c r="U134" s="3" t="n">
        <f aca="false">B134-T134</f>
        <v>8</v>
      </c>
      <c r="V134" s="3" t="str">
        <f aca="false">INDEX(Pop_Inputs!$Q$2:$Q$29,MATCH(C134,Pop_Inputs!$A$2:$A$29,0))</f>
        <v>Midwest</v>
      </c>
      <c r="W134" s="30"/>
      <c r="X134" s="3" t="str">
        <f aca="false">IF(W134="","",LN(W134))</f>
        <v/>
      </c>
      <c r="Y134" s="3" t="str">
        <f aca="false">IF(X134="","",X134-AVERAGEIFS($X$2:$X$2705,$B$2:$B$2705,B134))</f>
        <v/>
      </c>
      <c r="Z134" s="21" t="n">
        <f aca="false">P134</f>
        <v>-0.13103507758772</v>
      </c>
      <c r="AA134" s="3" t="n">
        <f aca="false">R134</f>
        <v>0</v>
      </c>
      <c r="AB134" s="21" t="n">
        <f aca="false">P134</f>
        <v>-0.13103507758772</v>
      </c>
      <c r="AC134" s="3" t="str">
        <f aca="false">Y134</f>
        <v/>
      </c>
      <c r="AD134" s="3" t="n">
        <f aca="false">R134</f>
        <v>0</v>
      </c>
    </row>
    <row r="135" customFormat="false" ht="15" hidden="false" customHeight="true" outlineLevel="0" collapsed="false">
      <c r="A135" s="7" t="s">
        <v>67</v>
      </c>
      <c r="B135" s="7" t="n">
        <v>1909</v>
      </c>
      <c r="C135" s="7" t="s">
        <v>152</v>
      </c>
      <c r="D135" s="7" t="n">
        <v>98</v>
      </c>
      <c r="E135" s="7" t="n">
        <v>54</v>
      </c>
      <c r="F135" s="3" t="n">
        <f aca="false">COUNTIFS($B$2:$B$2705,B135,$C$2:$C$2705,C135)</f>
        <v>1</v>
      </c>
      <c r="G135" s="3" t="n">
        <f aca="false">MIN(INT((MIN(B135,2020)-1900)/10)+1,12)</f>
        <v>1</v>
      </c>
      <c r="H135" s="3" t="n">
        <f aca="false">(MIN(B135,2020)-1900-10*(G135-1))/10</f>
        <v>0.9</v>
      </c>
      <c r="I135" s="20" t="n">
        <f aca="false">EXP(LN(INDEX(Pop_Inputs!$B$2:$N$29,MATCH(C135,Pop_Inputs!$A$2:$A$29,0),G135))*(1-H135)+LN(INDEX(Pop_Inputs!$B$2:$N$29,MATCH(C135,Pop_Inputs!$A$2:$A$29,0),G135+1))*H135)</f>
        <v>443550.054066154</v>
      </c>
      <c r="J135" s="20" t="n">
        <f aca="false">I135/F135</f>
        <v>443550.054066154</v>
      </c>
      <c r="K135" s="21" t="n">
        <f aca="false">D135/(D135+E135)</f>
        <v>0.644736842105263</v>
      </c>
      <c r="L135" s="21" t="n">
        <f aca="false">AVERAGEIFS($K$2:$K$2705,$B$2:$B$2705,B135)</f>
        <v>0.499950511952196</v>
      </c>
      <c r="M135" s="21" t="n">
        <f aca="false">K135-L135</f>
        <v>0.144786330153067</v>
      </c>
      <c r="N135" s="21" t="n">
        <f aca="false">LN(J135)</f>
        <v>13.0025659358429</v>
      </c>
      <c r="O135" s="21" t="n">
        <f aca="false">AVERAGEIFS($N$2:$N$2705,$B$2:$B$2705,B135)</f>
        <v>13.3294796768052</v>
      </c>
      <c r="P135" s="21" t="n">
        <f aca="false">N135-O135</f>
        <v>-0.32691374096227</v>
      </c>
      <c r="Q135" s="7" t="n">
        <v>0</v>
      </c>
      <c r="R135" s="3" t="n">
        <f aca="false">IF(AND(Q135=1,B135-_xlfn.MINIFS($B$2:$B$2705,$A$2:$A$2705,A135)&lt;10),1,0)</f>
        <v>0</v>
      </c>
      <c r="S135" s="7" t="n">
        <v>0</v>
      </c>
      <c r="T135" s="3" t="n">
        <f aca="false">_xlfn.MINIFS($B$2:$B$2705,$A$2:$A$2705,A135)</f>
        <v>1901</v>
      </c>
      <c r="U135" s="3" t="n">
        <f aca="false">B135-T135</f>
        <v>8</v>
      </c>
      <c r="V135" s="3" t="str">
        <f aca="false">INDEX(Pop_Inputs!$Q$2:$Q$29,MATCH(C135,Pop_Inputs!$A$2:$A$29,0))</f>
        <v>Midwest</v>
      </c>
      <c r="W135" s="30"/>
      <c r="X135" s="3" t="str">
        <f aca="false">IF(W135="","",LN(W135))</f>
        <v/>
      </c>
      <c r="Y135" s="3" t="str">
        <f aca="false">IF(X135="","",X135-AVERAGEIFS($X$2:$X$2705,$B$2:$B$2705,B135))</f>
        <v/>
      </c>
      <c r="Z135" s="21" t="n">
        <f aca="false">P135</f>
        <v>-0.32691374096227</v>
      </c>
      <c r="AA135" s="3" t="n">
        <f aca="false">R135</f>
        <v>0</v>
      </c>
      <c r="AB135" s="21" t="n">
        <f aca="false">P135</f>
        <v>-0.32691374096227</v>
      </c>
      <c r="AC135" s="3" t="str">
        <f aca="false">Y135</f>
        <v/>
      </c>
      <c r="AD135" s="3" t="n">
        <f aca="false">R135</f>
        <v>0</v>
      </c>
    </row>
    <row r="136" customFormat="false" ht="15" hidden="false" customHeight="true" outlineLevel="0" collapsed="false">
      <c r="A136" s="7" t="s">
        <v>62</v>
      </c>
      <c r="B136" s="7" t="n">
        <v>1909</v>
      </c>
      <c r="C136" s="7" t="s">
        <v>154</v>
      </c>
      <c r="D136" s="7" t="n">
        <v>55</v>
      </c>
      <c r="E136" s="7" t="n">
        <v>98</v>
      </c>
      <c r="F136" s="3" t="n">
        <f aca="false">COUNTIFS($B$2:$B$2705,B136,$C$2:$C$2705,C136)</f>
        <v>3</v>
      </c>
      <c r="G136" s="3" t="n">
        <f aca="false">MIN(INT((MIN(B136,2020)-1900)/10)+1,12)</f>
        <v>1</v>
      </c>
      <c r="H136" s="3" t="n">
        <f aca="false">(MIN(B136,2020)-1900-10*(G136-1))/10</f>
        <v>0.9</v>
      </c>
      <c r="I136" s="20" t="n">
        <f aca="false">EXP(LN(INDEX(Pop_Inputs!$B$2:$N$29,MATCH(C136,Pop_Inputs!$A$2:$A$29,0),G136))*(1-H136)+LN(INDEX(Pop_Inputs!$B$2:$N$29,MATCH(C136,Pop_Inputs!$A$2:$A$29,0),G136+1))*H136)</f>
        <v>4613510.87754345</v>
      </c>
      <c r="J136" s="20" t="n">
        <f aca="false">I136/F136</f>
        <v>1537836.95918115</v>
      </c>
      <c r="K136" s="21" t="n">
        <f aca="false">D136/(D136+E136)</f>
        <v>0.359477124183007</v>
      </c>
      <c r="L136" s="21" t="n">
        <f aca="false">AVERAGEIFS($K$2:$K$2705,$B$2:$B$2705,B136)</f>
        <v>0.499950511952196</v>
      </c>
      <c r="M136" s="21" t="n">
        <f aca="false">K136-L136</f>
        <v>-0.140473387769189</v>
      </c>
      <c r="N136" s="21" t="n">
        <f aca="false">LN(J136)</f>
        <v>14.2458874150937</v>
      </c>
      <c r="O136" s="21" t="n">
        <f aca="false">AVERAGEIFS($N$2:$N$2705,$B$2:$B$2705,B136)</f>
        <v>13.3294796768052</v>
      </c>
      <c r="P136" s="21" t="n">
        <f aca="false">N136-O136</f>
        <v>0.916407738288539</v>
      </c>
      <c r="Q136" s="7" t="n">
        <v>0</v>
      </c>
      <c r="R136" s="3" t="n">
        <f aca="false">IF(AND(Q136=1,B136-_xlfn.MINIFS($B$2:$B$2705,$A$2:$A$2705,A136)&lt;10),1,0)</f>
        <v>0</v>
      </c>
      <c r="S136" s="7" t="n">
        <v>0</v>
      </c>
      <c r="T136" s="3" t="n">
        <f aca="false">_xlfn.MINIFS($B$2:$B$2705,$A$2:$A$2705,A136)</f>
        <v>1901</v>
      </c>
      <c r="U136" s="3" t="n">
        <f aca="false">B136-T136</f>
        <v>8</v>
      </c>
      <c r="V136" s="3" t="str">
        <f aca="false">INDEX(Pop_Inputs!$Q$2:$Q$29,MATCH(C136,Pop_Inputs!$A$2:$A$29,0))</f>
        <v>Northeast</v>
      </c>
      <c r="W136" s="30"/>
      <c r="X136" s="3" t="str">
        <f aca="false">IF(W136="","",LN(W136))</f>
        <v/>
      </c>
      <c r="Y136" s="3" t="str">
        <f aca="false">IF(X136="","",X136-AVERAGEIFS($X$2:$X$2705,$B$2:$B$2705,B136))</f>
        <v/>
      </c>
      <c r="Z136" s="21" t="n">
        <f aca="false">P136</f>
        <v>0.916407738288539</v>
      </c>
      <c r="AA136" s="3" t="n">
        <f aca="false">R136</f>
        <v>0</v>
      </c>
      <c r="AB136" s="21" t="n">
        <f aca="false">P136</f>
        <v>0.916407738288539</v>
      </c>
      <c r="AC136" s="3" t="str">
        <f aca="false">Y136</f>
        <v/>
      </c>
      <c r="AD136" s="3" t="n">
        <f aca="false">R136</f>
        <v>0</v>
      </c>
    </row>
    <row r="137" customFormat="false" ht="15" hidden="false" customHeight="true" outlineLevel="0" collapsed="false">
      <c r="A137" s="7" t="s">
        <v>68</v>
      </c>
      <c r="B137" s="7" t="n">
        <v>1909</v>
      </c>
      <c r="C137" s="7" t="s">
        <v>160</v>
      </c>
      <c r="D137" s="7" t="n">
        <v>42</v>
      </c>
      <c r="E137" s="7" t="n">
        <v>110</v>
      </c>
      <c r="F137" s="3" t="n">
        <f aca="false">COUNTIFS($B$2:$B$2705,B137,$C$2:$C$2705,C137)</f>
        <v>1</v>
      </c>
      <c r="G137" s="3" t="n">
        <f aca="false">MIN(INT((MIN(B137,2020)-1900)/10)+1,12)</f>
        <v>1</v>
      </c>
      <c r="H137" s="3" t="n">
        <f aca="false">(MIN(B137,2020)-1900-10*(G137-1))/10</f>
        <v>0.9</v>
      </c>
      <c r="I137" s="20" t="n">
        <f aca="false">EXP(LN(INDEX(Pop_Inputs!$B$2:$N$29,MATCH(C137,Pop_Inputs!$A$2:$A$29,0),G137))*(1-H137)+LN(INDEX(Pop_Inputs!$B$2:$N$29,MATCH(C137,Pop_Inputs!$A$2:$A$29,0),G137+1))*H137)</f>
        <v>325419.195454363</v>
      </c>
      <c r="J137" s="20" t="n">
        <f aca="false">I137/F137</f>
        <v>325419.195454363</v>
      </c>
      <c r="K137" s="21" t="n">
        <f aca="false">D137/(D137+E137)</f>
        <v>0.276315789473684</v>
      </c>
      <c r="L137" s="21" t="n">
        <f aca="false">AVERAGEIFS($K$2:$K$2705,$B$2:$B$2705,B137)</f>
        <v>0.499950511952196</v>
      </c>
      <c r="M137" s="21" t="n">
        <f aca="false">K137-L137</f>
        <v>-0.223634722478512</v>
      </c>
      <c r="N137" s="21" t="n">
        <f aca="false">LN(J137)</f>
        <v>12.6928694623602</v>
      </c>
      <c r="O137" s="21" t="n">
        <f aca="false">AVERAGEIFS($N$2:$N$2705,$B$2:$B$2705,B137)</f>
        <v>13.3294796768052</v>
      </c>
      <c r="P137" s="21" t="n">
        <f aca="false">N137-O137</f>
        <v>-0.636610214444929</v>
      </c>
      <c r="Q137" s="7" t="n">
        <v>0</v>
      </c>
      <c r="R137" s="3" t="n">
        <f aca="false">IF(AND(Q137=1,B137-_xlfn.MINIFS($B$2:$B$2705,$A$2:$A$2705,A137)&lt;10),1,0)</f>
        <v>0</v>
      </c>
      <c r="S137" s="7" t="n">
        <v>0</v>
      </c>
      <c r="T137" s="3" t="n">
        <f aca="false">_xlfn.MINIFS($B$2:$B$2705,$A$2:$A$2705,A137)</f>
        <v>1901</v>
      </c>
      <c r="U137" s="3" t="n">
        <f aca="false">B137-T137</f>
        <v>8</v>
      </c>
      <c r="V137" s="3" t="str">
        <f aca="false">INDEX(Pop_Inputs!$Q$2:$Q$29,MATCH(C137,Pop_Inputs!$A$2:$A$29,0))</f>
        <v>South</v>
      </c>
      <c r="W137" s="30"/>
      <c r="X137" s="3" t="str">
        <f aca="false">IF(W137="","",LN(W137))</f>
        <v/>
      </c>
      <c r="Y137" s="3" t="str">
        <f aca="false">IF(X137="","",X137-AVERAGEIFS($X$2:$X$2705,$B$2:$B$2705,B137))</f>
        <v/>
      </c>
      <c r="Z137" s="21" t="n">
        <f aca="false">P137</f>
        <v>-0.636610214444929</v>
      </c>
      <c r="AA137" s="3" t="n">
        <f aca="false">R137</f>
        <v>0</v>
      </c>
      <c r="AB137" s="21" t="n">
        <f aca="false">P137</f>
        <v>-0.636610214444929</v>
      </c>
      <c r="AC137" s="3" t="str">
        <f aca="false">Y137</f>
        <v/>
      </c>
      <c r="AD137" s="3" t="n">
        <f aca="false">R137</f>
        <v>0</v>
      </c>
    </row>
    <row r="138" customFormat="false" ht="15" hidden="false" customHeight="true" outlineLevel="0" collapsed="false">
      <c r="A138" s="7" t="s">
        <v>70</v>
      </c>
      <c r="B138" s="7" t="n">
        <v>1909</v>
      </c>
      <c r="C138" s="7" t="s">
        <v>154</v>
      </c>
      <c r="D138" s="7" t="n">
        <v>74</v>
      </c>
      <c r="E138" s="7" t="n">
        <v>77</v>
      </c>
      <c r="F138" s="3" t="n">
        <f aca="false">COUNTIFS($B$2:$B$2705,B138,$C$2:$C$2705,C138)</f>
        <v>3</v>
      </c>
      <c r="G138" s="3" t="n">
        <f aca="false">MIN(INT((MIN(B138,2020)-1900)/10)+1,12)</f>
        <v>1</v>
      </c>
      <c r="H138" s="3" t="n">
        <f aca="false">(MIN(B138,2020)-1900-10*(G138-1))/10</f>
        <v>0.9</v>
      </c>
      <c r="I138" s="20" t="n">
        <f aca="false">EXP(LN(INDEX(Pop_Inputs!$B$2:$N$29,MATCH(C138,Pop_Inputs!$A$2:$A$29,0),G138))*(1-H138)+LN(INDEX(Pop_Inputs!$B$2:$N$29,MATCH(C138,Pop_Inputs!$A$2:$A$29,0),G138+1))*H138)</f>
        <v>4613510.87754345</v>
      </c>
      <c r="J138" s="20" t="n">
        <f aca="false">I138/F138</f>
        <v>1537836.95918115</v>
      </c>
      <c r="K138" s="21" t="n">
        <f aca="false">D138/(D138+E138)</f>
        <v>0.490066225165563</v>
      </c>
      <c r="L138" s="21" t="n">
        <f aca="false">AVERAGEIFS($K$2:$K$2705,$B$2:$B$2705,B138)</f>
        <v>0.499950511952196</v>
      </c>
      <c r="M138" s="21" t="n">
        <f aca="false">K138-L138</f>
        <v>-0.00988428678663283</v>
      </c>
      <c r="N138" s="21" t="n">
        <f aca="false">LN(J138)</f>
        <v>14.2458874150937</v>
      </c>
      <c r="O138" s="21" t="n">
        <f aca="false">AVERAGEIFS($N$2:$N$2705,$B$2:$B$2705,B138)</f>
        <v>13.3294796768052</v>
      </c>
      <c r="P138" s="21" t="n">
        <f aca="false">N138-O138</f>
        <v>0.916407738288539</v>
      </c>
      <c r="Q138" s="7" t="n">
        <v>0</v>
      </c>
      <c r="R138" s="3" t="n">
        <f aca="false">IF(AND(Q138=1,B138-_xlfn.MINIFS($B$2:$B$2705,$A$2:$A$2705,A138)&lt;10),1,0)</f>
        <v>0</v>
      </c>
      <c r="S138" s="7" t="n">
        <v>1</v>
      </c>
      <c r="T138" s="3" t="n">
        <f aca="false">_xlfn.MINIFS($B$2:$B$2705,$A$2:$A$2705,A138)</f>
        <v>1903</v>
      </c>
      <c r="U138" s="3" t="n">
        <f aca="false">B138-T138</f>
        <v>6</v>
      </c>
      <c r="V138" s="3" t="str">
        <f aca="false">INDEX(Pop_Inputs!$Q$2:$Q$29,MATCH(C138,Pop_Inputs!$A$2:$A$29,0))</f>
        <v>Northeast</v>
      </c>
      <c r="W138" s="30"/>
      <c r="X138" s="3" t="str">
        <f aca="false">IF(W138="","",LN(W138))</f>
        <v/>
      </c>
      <c r="Y138" s="3" t="str">
        <f aca="false">IF(X138="","",X138-AVERAGEIFS($X$2:$X$2705,$B$2:$B$2705,B138))</f>
        <v/>
      </c>
      <c r="Z138" s="21" t="n">
        <f aca="false">P138</f>
        <v>0.916407738288539</v>
      </c>
      <c r="AA138" s="3" t="n">
        <f aca="false">R138</f>
        <v>0</v>
      </c>
      <c r="AB138" s="21" t="n">
        <f aca="false">P138</f>
        <v>0.916407738288539</v>
      </c>
      <c r="AC138" s="3" t="str">
        <f aca="false">Y138</f>
        <v/>
      </c>
      <c r="AD138" s="3" t="n">
        <f aca="false">R138</f>
        <v>0</v>
      </c>
    </row>
    <row r="139" customFormat="false" ht="15" hidden="false" customHeight="true" outlineLevel="0" collapsed="false">
      <c r="A139" s="7" t="s">
        <v>69</v>
      </c>
      <c r="B139" s="7" t="n">
        <v>1909</v>
      </c>
      <c r="C139" s="7" t="s">
        <v>146</v>
      </c>
      <c r="D139" s="7" t="n">
        <v>95</v>
      </c>
      <c r="E139" s="7" t="n">
        <v>58</v>
      </c>
      <c r="F139" s="3" t="n">
        <f aca="false">COUNTIFS($B$2:$B$2705,B139,$C$2:$C$2705,C139)</f>
        <v>2</v>
      </c>
      <c r="G139" s="3" t="n">
        <f aca="false">MIN(INT((MIN(B139,2020)-1900)/10)+1,12)</f>
        <v>1</v>
      </c>
      <c r="H139" s="3" t="n">
        <f aca="false">(MIN(B139,2020)-1900-10*(G139-1))/10</f>
        <v>0.9</v>
      </c>
      <c r="I139" s="20" t="n">
        <f aca="false">EXP(LN(INDEX(Pop_Inputs!$B$2:$N$29,MATCH(C139,Pop_Inputs!$A$2:$A$29,0),G139))*(1-H139)+LN(INDEX(Pop_Inputs!$B$2:$N$29,MATCH(C139,Pop_Inputs!$A$2:$A$29,0),G139+1))*H139)</f>
        <v>1521358.4525926</v>
      </c>
      <c r="J139" s="20" t="n">
        <f aca="false">I139/F139</f>
        <v>760679.226296302</v>
      </c>
      <c r="K139" s="21" t="n">
        <f aca="false">D139/(D139+E139)</f>
        <v>0.620915032679739</v>
      </c>
      <c r="L139" s="21" t="n">
        <f aca="false">AVERAGEIFS($K$2:$K$2705,$B$2:$B$2705,B139)</f>
        <v>0.499950511952196</v>
      </c>
      <c r="M139" s="21" t="n">
        <f aca="false">K139-L139</f>
        <v>0.120964520727543</v>
      </c>
      <c r="N139" s="21" t="n">
        <f aca="false">LN(J139)</f>
        <v>13.5419670319446</v>
      </c>
      <c r="O139" s="21" t="n">
        <f aca="false">AVERAGEIFS($N$2:$N$2705,$B$2:$B$2705,B139)</f>
        <v>13.3294796768052</v>
      </c>
      <c r="P139" s="21" t="n">
        <f aca="false">N139-O139</f>
        <v>0.212487355139414</v>
      </c>
      <c r="Q139" s="7" t="n">
        <v>0</v>
      </c>
      <c r="R139" s="3" t="n">
        <f aca="false">IF(AND(Q139=1,B139-_xlfn.MINIFS($B$2:$B$2705,$A$2:$A$2705,A139)&lt;10),1,0)</f>
        <v>0</v>
      </c>
      <c r="S139" s="7" t="n">
        <v>0</v>
      </c>
      <c r="T139" s="3" t="n">
        <f aca="false">_xlfn.MINIFS($B$2:$B$2705,$A$2:$A$2705,A139)</f>
        <v>1901</v>
      </c>
      <c r="U139" s="3" t="n">
        <f aca="false">B139-T139</f>
        <v>8</v>
      </c>
      <c r="V139" s="3" t="str">
        <f aca="false">INDEX(Pop_Inputs!$Q$2:$Q$29,MATCH(C139,Pop_Inputs!$A$2:$A$29,0))</f>
        <v>Northeast</v>
      </c>
      <c r="W139" s="30"/>
      <c r="X139" s="3" t="str">
        <f aca="false">IF(W139="","",LN(W139))</f>
        <v/>
      </c>
      <c r="Y139" s="3" t="str">
        <f aca="false">IF(X139="","",X139-AVERAGEIFS($X$2:$X$2705,$B$2:$B$2705,B139))</f>
        <v/>
      </c>
      <c r="Z139" s="21" t="n">
        <f aca="false">P139</f>
        <v>0.212487355139414</v>
      </c>
      <c r="AA139" s="3" t="n">
        <f aca="false">R139</f>
        <v>0</v>
      </c>
      <c r="AB139" s="21" t="n">
        <f aca="false">P139</f>
        <v>0.212487355139414</v>
      </c>
      <c r="AC139" s="3" t="str">
        <f aca="false">Y139</f>
        <v/>
      </c>
      <c r="AD139" s="3" t="n">
        <f aca="false">R139</f>
        <v>0</v>
      </c>
    </row>
    <row r="140" customFormat="false" ht="15" hidden="false" customHeight="true" outlineLevel="0" collapsed="false">
      <c r="A140" s="7" t="s">
        <v>60</v>
      </c>
      <c r="B140" s="7" t="n">
        <v>1909</v>
      </c>
      <c r="C140" s="7" t="s">
        <v>146</v>
      </c>
      <c r="D140" s="7" t="n">
        <v>74</v>
      </c>
      <c r="E140" s="7" t="n">
        <v>79</v>
      </c>
      <c r="F140" s="3" t="n">
        <f aca="false">COUNTIFS($B$2:$B$2705,B140,$C$2:$C$2705,C140)</f>
        <v>2</v>
      </c>
      <c r="G140" s="3" t="n">
        <f aca="false">MIN(INT((MIN(B140,2020)-1900)/10)+1,12)</f>
        <v>1</v>
      </c>
      <c r="H140" s="3" t="n">
        <f aca="false">(MIN(B140,2020)-1900-10*(G140-1))/10</f>
        <v>0.9</v>
      </c>
      <c r="I140" s="20" t="n">
        <f aca="false">EXP(LN(INDEX(Pop_Inputs!$B$2:$N$29,MATCH(C140,Pop_Inputs!$A$2:$A$29,0),G140))*(1-H140)+LN(INDEX(Pop_Inputs!$B$2:$N$29,MATCH(C140,Pop_Inputs!$A$2:$A$29,0),G140+1))*H140)</f>
        <v>1521358.4525926</v>
      </c>
      <c r="J140" s="20" t="n">
        <f aca="false">I140/F140</f>
        <v>760679.226296302</v>
      </c>
      <c r="K140" s="21" t="n">
        <f aca="false">D140/(D140+E140)</f>
        <v>0.483660130718954</v>
      </c>
      <c r="L140" s="21" t="n">
        <f aca="false">AVERAGEIFS($K$2:$K$2705,$B$2:$B$2705,B140)</f>
        <v>0.499950511952196</v>
      </c>
      <c r="M140" s="21" t="n">
        <f aca="false">K140-L140</f>
        <v>-0.0162903812332415</v>
      </c>
      <c r="N140" s="21" t="n">
        <f aca="false">LN(J140)</f>
        <v>13.5419670319446</v>
      </c>
      <c r="O140" s="21" t="n">
        <f aca="false">AVERAGEIFS($N$2:$N$2705,$B$2:$B$2705,B140)</f>
        <v>13.3294796768052</v>
      </c>
      <c r="P140" s="21" t="n">
        <f aca="false">N140-O140</f>
        <v>0.212487355139414</v>
      </c>
      <c r="Q140" s="7" t="n">
        <v>0</v>
      </c>
      <c r="R140" s="3" t="n">
        <f aca="false">IF(AND(Q140=1,B140-_xlfn.MINIFS($B$2:$B$2705,$A$2:$A$2705,A140)&lt;10),1,0)</f>
        <v>0</v>
      </c>
      <c r="S140" s="7" t="n">
        <v>0</v>
      </c>
      <c r="T140" s="3" t="n">
        <f aca="false">_xlfn.MINIFS($B$2:$B$2705,$A$2:$A$2705,A140)</f>
        <v>1901</v>
      </c>
      <c r="U140" s="3" t="n">
        <f aca="false">B140-T140</f>
        <v>8</v>
      </c>
      <c r="V140" s="3" t="str">
        <f aca="false">INDEX(Pop_Inputs!$Q$2:$Q$29,MATCH(C140,Pop_Inputs!$A$2:$A$29,0))</f>
        <v>Northeast</v>
      </c>
      <c r="W140" s="30"/>
      <c r="X140" s="3" t="str">
        <f aca="false">IF(W140="","",LN(W140))</f>
        <v/>
      </c>
      <c r="Y140" s="3" t="str">
        <f aca="false">IF(X140="","",X140-AVERAGEIFS($X$2:$X$2705,$B$2:$B$2705,B140))</f>
        <v/>
      </c>
      <c r="Z140" s="21" t="n">
        <f aca="false">P140</f>
        <v>0.212487355139414</v>
      </c>
      <c r="AA140" s="3" t="n">
        <f aca="false">R140</f>
        <v>0</v>
      </c>
      <c r="AB140" s="21" t="n">
        <f aca="false">P140</f>
        <v>0.212487355139414</v>
      </c>
      <c r="AC140" s="3" t="str">
        <f aca="false">Y140</f>
        <v/>
      </c>
      <c r="AD140" s="3" t="n">
        <f aca="false">R140</f>
        <v>0</v>
      </c>
    </row>
    <row r="141" customFormat="false" ht="15" hidden="false" customHeight="true" outlineLevel="0" collapsed="false">
      <c r="A141" s="7" t="s">
        <v>58</v>
      </c>
      <c r="B141" s="7" t="n">
        <v>1909</v>
      </c>
      <c r="C141" s="7" t="s">
        <v>144</v>
      </c>
      <c r="D141" s="7" t="n">
        <v>110</v>
      </c>
      <c r="E141" s="7" t="n">
        <v>42</v>
      </c>
      <c r="F141" s="3" t="n">
        <f aca="false">COUNTIFS($B$2:$B$2705,B141,$C$2:$C$2705,C141)</f>
        <v>1</v>
      </c>
      <c r="G141" s="3" t="n">
        <f aca="false">MIN(INT((MIN(B141,2020)-1900)/10)+1,12)</f>
        <v>1</v>
      </c>
      <c r="H141" s="3" t="n">
        <f aca="false">(MIN(B141,2020)-1900-10*(G141-1))/10</f>
        <v>0.9</v>
      </c>
      <c r="I141" s="20" t="n">
        <f aca="false">EXP(LN(INDEX(Pop_Inputs!$B$2:$N$29,MATCH(C141,Pop_Inputs!$A$2:$A$29,0),G141))*(1-H141)+LN(INDEX(Pop_Inputs!$B$2:$N$29,MATCH(C141,Pop_Inputs!$A$2:$A$29,0),G141+1))*H141)</f>
        <v>507517.887800253</v>
      </c>
      <c r="J141" s="20" t="n">
        <f aca="false">I141/F141</f>
        <v>507517.887800253</v>
      </c>
      <c r="K141" s="21" t="n">
        <f aca="false">D141/(D141+E141)</f>
        <v>0.723684210526316</v>
      </c>
      <c r="L141" s="21" t="n">
        <f aca="false">AVERAGEIFS($K$2:$K$2705,$B$2:$B$2705,B141)</f>
        <v>0.499950511952196</v>
      </c>
      <c r="M141" s="21" t="n">
        <f aca="false">K141-L141</f>
        <v>0.22373369857412</v>
      </c>
      <c r="N141" s="21" t="n">
        <f aca="false">LN(J141)</f>
        <v>13.137287236174</v>
      </c>
      <c r="O141" s="21" t="n">
        <f aca="false">AVERAGEIFS($N$2:$N$2705,$B$2:$B$2705,B141)</f>
        <v>13.3294796768052</v>
      </c>
      <c r="P141" s="21" t="n">
        <f aca="false">N141-O141</f>
        <v>-0.192192440631183</v>
      </c>
      <c r="Q141" s="7" t="n">
        <v>0</v>
      </c>
      <c r="R141" s="3" t="n">
        <f aca="false">IF(AND(Q141=1,B141-_xlfn.MINIFS($B$2:$B$2705,$A$2:$A$2705,A141)&lt;10),1,0)</f>
        <v>0</v>
      </c>
      <c r="S141" s="7" t="n">
        <v>0</v>
      </c>
      <c r="T141" s="3" t="n">
        <f aca="false">_xlfn.MINIFS($B$2:$B$2705,$A$2:$A$2705,A141)</f>
        <v>1901</v>
      </c>
      <c r="U141" s="3" t="n">
        <f aca="false">B141-T141</f>
        <v>8</v>
      </c>
      <c r="V141" s="3" t="str">
        <f aca="false">INDEX(Pop_Inputs!$Q$2:$Q$29,MATCH(C141,Pop_Inputs!$A$2:$A$29,0))</f>
        <v>Northeast</v>
      </c>
      <c r="W141" s="30"/>
      <c r="X141" s="3" t="str">
        <f aca="false">IF(W141="","",LN(W141))</f>
        <v/>
      </c>
      <c r="Y141" s="3" t="str">
        <f aca="false">IF(X141="","",X141-AVERAGEIFS($X$2:$X$2705,$B$2:$B$2705,B141))</f>
        <v/>
      </c>
      <c r="Z141" s="21" t="n">
        <f aca="false">P141</f>
        <v>-0.192192440631183</v>
      </c>
      <c r="AA141" s="3" t="n">
        <f aca="false">R141</f>
        <v>0</v>
      </c>
      <c r="AB141" s="21" t="n">
        <f aca="false">P141</f>
        <v>-0.192192440631183</v>
      </c>
      <c r="AC141" s="3" t="str">
        <f aca="false">Y141</f>
        <v/>
      </c>
      <c r="AD141" s="3" t="n">
        <f aca="false">R141</f>
        <v>0</v>
      </c>
    </row>
    <row r="142" customFormat="false" ht="15" hidden="false" customHeight="true" outlineLevel="0" collapsed="false">
      <c r="A142" s="7" t="s">
        <v>61</v>
      </c>
      <c r="B142" s="7" t="n">
        <v>1909</v>
      </c>
      <c r="C142" s="7" t="s">
        <v>154</v>
      </c>
      <c r="D142" s="7" t="n">
        <v>92</v>
      </c>
      <c r="E142" s="7" t="n">
        <v>61</v>
      </c>
      <c r="F142" s="3" t="n">
        <f aca="false">COUNTIFS($B$2:$B$2705,B142,$C$2:$C$2705,C142)</f>
        <v>3</v>
      </c>
      <c r="G142" s="3" t="n">
        <f aca="false">MIN(INT((MIN(B142,2020)-1900)/10)+1,12)</f>
        <v>1</v>
      </c>
      <c r="H142" s="3" t="n">
        <f aca="false">(MIN(B142,2020)-1900-10*(G142-1))/10</f>
        <v>0.9</v>
      </c>
      <c r="I142" s="20" t="n">
        <f aca="false">EXP(LN(INDEX(Pop_Inputs!$B$2:$N$29,MATCH(C142,Pop_Inputs!$A$2:$A$29,0),G142))*(1-H142)+LN(INDEX(Pop_Inputs!$B$2:$N$29,MATCH(C142,Pop_Inputs!$A$2:$A$29,0),G142+1))*H142)</f>
        <v>4613510.87754345</v>
      </c>
      <c r="J142" s="20" t="n">
        <f aca="false">I142/F142</f>
        <v>1537836.95918115</v>
      </c>
      <c r="K142" s="21" t="n">
        <f aca="false">D142/(D142+E142)</f>
        <v>0.601307189542484</v>
      </c>
      <c r="L142" s="21" t="n">
        <f aca="false">AVERAGEIFS($K$2:$K$2705,$B$2:$B$2705,B142)</f>
        <v>0.499950511952196</v>
      </c>
      <c r="M142" s="21" t="n">
        <f aca="false">K142-L142</f>
        <v>0.101356677590288</v>
      </c>
      <c r="N142" s="21" t="n">
        <f aca="false">LN(J142)</f>
        <v>14.2458874150937</v>
      </c>
      <c r="O142" s="21" t="n">
        <f aca="false">AVERAGEIFS($N$2:$N$2705,$B$2:$B$2705,B142)</f>
        <v>13.3294796768052</v>
      </c>
      <c r="P142" s="21" t="n">
        <f aca="false">N142-O142</f>
        <v>0.916407738288539</v>
      </c>
      <c r="Q142" s="7" t="n">
        <v>0</v>
      </c>
      <c r="R142" s="3" t="n">
        <f aca="false">IF(AND(Q142=1,B142-_xlfn.MINIFS($B$2:$B$2705,$A$2:$A$2705,A142)&lt;10),1,0)</f>
        <v>0</v>
      </c>
      <c r="S142" s="7" t="n">
        <v>0</v>
      </c>
      <c r="T142" s="3" t="n">
        <f aca="false">_xlfn.MINIFS($B$2:$B$2705,$A$2:$A$2705,A142)</f>
        <v>1901</v>
      </c>
      <c r="U142" s="3" t="n">
        <f aca="false">B142-T142</f>
        <v>8</v>
      </c>
      <c r="V142" s="3" t="str">
        <f aca="false">INDEX(Pop_Inputs!$Q$2:$Q$29,MATCH(C142,Pop_Inputs!$A$2:$A$29,0))</f>
        <v>Northeast</v>
      </c>
      <c r="W142" s="30"/>
      <c r="X142" s="3" t="str">
        <f aca="false">IF(W142="","",LN(W142))</f>
        <v/>
      </c>
      <c r="Y142" s="3" t="str">
        <f aca="false">IF(X142="","",X142-AVERAGEIFS($X$2:$X$2705,$B$2:$B$2705,B142))</f>
        <v/>
      </c>
      <c r="Z142" s="21" t="n">
        <f aca="false">P142</f>
        <v>0.916407738288539</v>
      </c>
      <c r="AA142" s="3" t="n">
        <f aca="false">R142</f>
        <v>0</v>
      </c>
      <c r="AB142" s="21" t="n">
        <f aca="false">P142</f>
        <v>0.916407738288539</v>
      </c>
      <c r="AC142" s="3" t="str">
        <f aca="false">Y142</f>
        <v/>
      </c>
      <c r="AD142" s="3" t="n">
        <f aca="false">R142</f>
        <v>0</v>
      </c>
    </row>
    <row r="143" customFormat="false" ht="15" hidden="false" customHeight="true" outlineLevel="0" collapsed="false">
      <c r="A143" s="7" t="s">
        <v>59</v>
      </c>
      <c r="B143" s="7" t="n">
        <v>1909</v>
      </c>
      <c r="C143" s="7" t="s">
        <v>145</v>
      </c>
      <c r="D143" s="7" t="n">
        <v>54</v>
      </c>
      <c r="E143" s="7" t="n">
        <v>98</v>
      </c>
      <c r="F143" s="3" t="n">
        <f aca="false">COUNTIFS($B$2:$B$2705,B143,$C$2:$C$2705,C143)</f>
        <v>2</v>
      </c>
      <c r="G143" s="3" t="n">
        <f aca="false">MIN(INT((MIN(B143,2020)-1900)/10)+1,12)</f>
        <v>1</v>
      </c>
      <c r="H143" s="3" t="n">
        <f aca="false">(MIN(B143,2020)-1900-10*(G143-1))/10</f>
        <v>0.9</v>
      </c>
      <c r="I143" s="20" t="n">
        <f aca="false">EXP(LN(INDEX(Pop_Inputs!$B$2:$N$29,MATCH(C143,Pop_Inputs!$A$2:$A$29,0),G143))*(1-H143)+LN(INDEX(Pop_Inputs!$B$2:$N$29,MATCH(C143,Pop_Inputs!$A$2:$A$29,0),G143+1))*H143)</f>
        <v>674935.573928155</v>
      </c>
      <c r="J143" s="20" t="n">
        <f aca="false">I143/F143</f>
        <v>337467.786964077</v>
      </c>
      <c r="K143" s="21" t="n">
        <f aca="false">D143/(D143+E143)</f>
        <v>0.355263157894737</v>
      </c>
      <c r="L143" s="21" t="n">
        <f aca="false">AVERAGEIFS($K$2:$K$2705,$B$2:$B$2705,B143)</f>
        <v>0.499950511952196</v>
      </c>
      <c r="M143" s="21" t="n">
        <f aca="false">K143-L143</f>
        <v>-0.144687354057459</v>
      </c>
      <c r="N143" s="21" t="n">
        <f aca="false">LN(J143)</f>
        <v>12.7292253387071</v>
      </c>
      <c r="O143" s="21" t="n">
        <f aca="false">AVERAGEIFS($N$2:$N$2705,$B$2:$B$2705,B143)</f>
        <v>13.3294796768052</v>
      </c>
      <c r="P143" s="21" t="n">
        <f aca="false">N143-O143</f>
        <v>-0.600254338098059</v>
      </c>
      <c r="Q143" s="7" t="n">
        <v>0</v>
      </c>
      <c r="R143" s="3" t="n">
        <f aca="false">IF(AND(Q143=1,B143-_xlfn.MINIFS($B$2:$B$2705,$A$2:$A$2705,A143)&lt;10),1,0)</f>
        <v>0</v>
      </c>
      <c r="S143" s="7" t="n">
        <v>0</v>
      </c>
      <c r="T143" s="3" t="n">
        <f aca="false">_xlfn.MINIFS($B$2:$B$2705,$A$2:$A$2705,A143)</f>
        <v>1901</v>
      </c>
      <c r="U143" s="3" t="n">
        <f aca="false">B143-T143</f>
        <v>8</v>
      </c>
      <c r="V143" s="3" t="str">
        <f aca="false">INDEX(Pop_Inputs!$Q$2:$Q$29,MATCH(C143,Pop_Inputs!$A$2:$A$29,0))</f>
        <v>Midwest</v>
      </c>
      <c r="W143" s="30"/>
      <c r="X143" s="3" t="str">
        <f aca="false">IF(W143="","",LN(W143))</f>
        <v/>
      </c>
      <c r="Y143" s="3" t="str">
        <f aca="false">IF(X143="","",X143-AVERAGEIFS($X$2:$X$2705,$B$2:$B$2705,B143))</f>
        <v/>
      </c>
      <c r="Z143" s="21" t="n">
        <f aca="false">P143</f>
        <v>-0.600254338098059</v>
      </c>
      <c r="AA143" s="3" t="n">
        <f aca="false">R143</f>
        <v>0</v>
      </c>
      <c r="AB143" s="21" t="n">
        <f aca="false">P143</f>
        <v>-0.600254338098059</v>
      </c>
      <c r="AC143" s="3" t="str">
        <f aca="false">Y143</f>
        <v/>
      </c>
      <c r="AD143" s="3" t="n">
        <f aca="false">R143</f>
        <v>0</v>
      </c>
    </row>
    <row r="144" customFormat="false" ht="15" hidden="false" customHeight="true" outlineLevel="0" collapsed="false">
      <c r="A144" s="7" t="s">
        <v>54</v>
      </c>
      <c r="B144" s="7" t="n">
        <v>1910</v>
      </c>
      <c r="C144" s="7" t="s">
        <v>150</v>
      </c>
      <c r="D144" s="7" t="n">
        <v>53</v>
      </c>
      <c r="E144" s="7" t="n">
        <v>100</v>
      </c>
      <c r="F144" s="3" t="n">
        <f aca="false">COUNTIFS($B$2:$B$2705,B144,$C$2:$C$2705,C144)</f>
        <v>2</v>
      </c>
      <c r="G144" s="3" t="n">
        <f aca="false">MIN(INT((MIN(B144,2020)-1900)/10)+1,12)</f>
        <v>2</v>
      </c>
      <c r="H144" s="3" t="n">
        <f aca="false">(MIN(B144,2020)-1900-10*(G144-1))/10</f>
        <v>0</v>
      </c>
      <c r="I144" s="20" t="n">
        <f aca="false">EXP(LN(INDEX(Pop_Inputs!$B$2:$N$29,MATCH(C144,Pop_Inputs!$A$2:$A$29,0),G144))*(1-H144)+LN(INDEX(Pop_Inputs!$B$2:$N$29,MATCH(C144,Pop_Inputs!$A$2:$A$29,0),G144+1))*H144)</f>
        <v>670585</v>
      </c>
      <c r="J144" s="20" t="n">
        <f aca="false">I144/F144</f>
        <v>335292.5</v>
      </c>
      <c r="K144" s="21" t="n">
        <f aca="false">D144/(D144+E144)</f>
        <v>0.34640522875817</v>
      </c>
      <c r="L144" s="21" t="n">
        <f aca="false">AVERAGEIFS($K$2:$K$2705,$B$2:$B$2705,B144)</f>
        <v>0.50021011962011</v>
      </c>
      <c r="M144" s="21" t="n">
        <f aca="false">K144-L144</f>
        <v>-0.15380489086194</v>
      </c>
      <c r="N144" s="21" t="n">
        <f aca="false">LN(J144)</f>
        <v>12.7227585641755</v>
      </c>
      <c r="O144" s="21" t="n">
        <f aca="false">AVERAGEIFS($N$2:$N$2705,$B$2:$B$2705,B144)</f>
        <v>13.3558491743855</v>
      </c>
      <c r="P144" s="21" t="n">
        <f aca="false">N144-O144</f>
        <v>-0.633090610209932</v>
      </c>
      <c r="Q144" s="7" t="n">
        <v>0</v>
      </c>
      <c r="R144" s="3" t="n">
        <f aca="false">IF(AND(Q144=1,B144-_xlfn.MINIFS($B$2:$B$2705,$A$2:$A$2705,A144)&lt;10),1,0)</f>
        <v>0</v>
      </c>
      <c r="S144" s="7" t="n">
        <v>0</v>
      </c>
      <c r="T144" s="3" t="n">
        <f aca="false">_xlfn.MINIFS($B$2:$B$2705,$A$2:$A$2705,A144)</f>
        <v>1901</v>
      </c>
      <c r="U144" s="3" t="n">
        <f aca="false">B144-T144</f>
        <v>9</v>
      </c>
      <c r="V144" s="3" t="str">
        <f aca="false">INDEX(Pop_Inputs!$Q$2:$Q$29,MATCH(C144,Pop_Inputs!$A$2:$A$29,0))</f>
        <v>Northeast</v>
      </c>
      <c r="W144" s="30"/>
      <c r="X144" s="3" t="str">
        <f aca="false">IF(W144="","",LN(W144))</f>
        <v/>
      </c>
      <c r="Y144" s="3" t="str">
        <f aca="false">IF(X144="","",X144-AVERAGEIFS($X$2:$X$2705,$B$2:$B$2705,B144))</f>
        <v/>
      </c>
      <c r="Z144" s="21" t="n">
        <f aca="false">P144</f>
        <v>-0.633090610209932</v>
      </c>
      <c r="AA144" s="3" t="n">
        <f aca="false">R144</f>
        <v>0</v>
      </c>
      <c r="AB144" s="21" t="n">
        <f aca="false">P144</f>
        <v>-0.633090610209932</v>
      </c>
      <c r="AC144" s="3" t="str">
        <f aca="false">Y144</f>
        <v/>
      </c>
      <c r="AD144" s="3" t="n">
        <f aca="false">R144</f>
        <v>0</v>
      </c>
    </row>
    <row r="145" customFormat="false" ht="15" hidden="false" customHeight="true" outlineLevel="0" collapsed="false">
      <c r="A145" s="7" t="s">
        <v>63</v>
      </c>
      <c r="B145" s="7" t="n">
        <v>1910</v>
      </c>
      <c r="C145" s="7" t="s">
        <v>145</v>
      </c>
      <c r="D145" s="7" t="n">
        <v>47</v>
      </c>
      <c r="E145" s="7" t="n">
        <v>107</v>
      </c>
      <c r="F145" s="3" t="n">
        <f aca="false">COUNTIFS($B$2:$B$2705,B145,$C$2:$C$2705,C145)</f>
        <v>2</v>
      </c>
      <c r="G145" s="3" t="n">
        <f aca="false">MIN(INT((MIN(B145,2020)-1900)/10)+1,12)</f>
        <v>2</v>
      </c>
      <c r="H145" s="3" t="n">
        <f aca="false">(MIN(B145,2020)-1900-10*(G145-1))/10</f>
        <v>0</v>
      </c>
      <c r="I145" s="20" t="n">
        <f aca="false">EXP(LN(INDEX(Pop_Inputs!$B$2:$N$29,MATCH(C145,Pop_Inputs!$A$2:$A$29,0),G145))*(1-H145)+LN(INDEX(Pop_Inputs!$B$2:$N$29,MATCH(C145,Pop_Inputs!$A$2:$A$29,0),G145+1))*H145)</f>
        <v>687029</v>
      </c>
      <c r="J145" s="20" t="n">
        <f aca="false">I145/F145</f>
        <v>343514.5</v>
      </c>
      <c r="K145" s="21" t="n">
        <f aca="false">D145/(D145+E145)</f>
        <v>0.305194805194805</v>
      </c>
      <c r="L145" s="21" t="n">
        <f aca="false">AVERAGEIFS($K$2:$K$2705,$B$2:$B$2705,B145)</f>
        <v>0.50021011962011</v>
      </c>
      <c r="M145" s="21" t="n">
        <f aca="false">K145-L145</f>
        <v>-0.195015314425304</v>
      </c>
      <c r="N145" s="21" t="n">
        <f aca="false">LN(J145)</f>
        <v>12.7469846022718</v>
      </c>
      <c r="O145" s="21" t="n">
        <f aca="false">AVERAGEIFS($N$2:$N$2705,$B$2:$B$2705,B145)</f>
        <v>13.3558491743855</v>
      </c>
      <c r="P145" s="21" t="n">
        <f aca="false">N145-O145</f>
        <v>-0.608864572113641</v>
      </c>
      <c r="Q145" s="7" t="n">
        <v>0</v>
      </c>
      <c r="R145" s="3" t="n">
        <f aca="false">IF(AND(Q145=1,B145-_xlfn.MINIFS($B$2:$B$2705,$A$2:$A$2705,A145)&lt;10),1,0)</f>
        <v>0</v>
      </c>
      <c r="S145" s="7" t="n">
        <v>0</v>
      </c>
      <c r="T145" s="3" t="n">
        <f aca="false">_xlfn.MINIFS($B$2:$B$2705,$A$2:$A$2705,A145)</f>
        <v>1901</v>
      </c>
      <c r="U145" s="3" t="n">
        <f aca="false">B145-T145</f>
        <v>9</v>
      </c>
      <c r="V145" s="3" t="str">
        <f aca="false">INDEX(Pop_Inputs!$Q$2:$Q$29,MATCH(C145,Pop_Inputs!$A$2:$A$29,0))</f>
        <v>Midwest</v>
      </c>
      <c r="W145" s="30"/>
      <c r="X145" s="3" t="str">
        <f aca="false">IF(W145="","",LN(W145))</f>
        <v/>
      </c>
      <c r="Y145" s="3" t="str">
        <f aca="false">IF(X145="","",X145-AVERAGEIFS($X$2:$X$2705,$B$2:$B$2705,B145))</f>
        <v/>
      </c>
      <c r="Z145" s="21" t="n">
        <f aca="false">P145</f>
        <v>-0.608864572113641</v>
      </c>
      <c r="AA145" s="3" t="n">
        <f aca="false">R145</f>
        <v>0</v>
      </c>
      <c r="AB145" s="21" t="n">
        <f aca="false">P145</f>
        <v>-0.608864572113641</v>
      </c>
      <c r="AC145" s="3" t="str">
        <f aca="false">Y145</f>
        <v/>
      </c>
      <c r="AD145" s="3" t="n">
        <f aca="false">R145</f>
        <v>0</v>
      </c>
    </row>
    <row r="146" customFormat="false" ht="15" hidden="false" customHeight="true" outlineLevel="0" collapsed="false">
      <c r="A146" s="7" t="s">
        <v>64</v>
      </c>
      <c r="B146" s="7" t="n">
        <v>1910</v>
      </c>
      <c r="C146" s="7" t="s">
        <v>150</v>
      </c>
      <c r="D146" s="7" t="n">
        <v>81</v>
      </c>
      <c r="E146" s="7" t="n">
        <v>72</v>
      </c>
      <c r="F146" s="3" t="n">
        <f aca="false">COUNTIFS($B$2:$B$2705,B146,$C$2:$C$2705,C146)</f>
        <v>2</v>
      </c>
      <c r="G146" s="3" t="n">
        <f aca="false">MIN(INT((MIN(B146,2020)-1900)/10)+1,12)</f>
        <v>2</v>
      </c>
      <c r="H146" s="3" t="n">
        <f aca="false">(MIN(B146,2020)-1900-10*(G146-1))/10</f>
        <v>0</v>
      </c>
      <c r="I146" s="20" t="n">
        <f aca="false">EXP(LN(INDEX(Pop_Inputs!$B$2:$N$29,MATCH(C146,Pop_Inputs!$A$2:$A$29,0),G146))*(1-H146)+LN(INDEX(Pop_Inputs!$B$2:$N$29,MATCH(C146,Pop_Inputs!$A$2:$A$29,0),G146+1))*H146)</f>
        <v>670585</v>
      </c>
      <c r="J146" s="20" t="n">
        <f aca="false">I146/F146</f>
        <v>335292.5</v>
      </c>
      <c r="K146" s="21" t="n">
        <f aca="false">D146/(D146+E146)</f>
        <v>0.529411764705882</v>
      </c>
      <c r="L146" s="21" t="n">
        <f aca="false">AVERAGEIFS($K$2:$K$2705,$B$2:$B$2705,B146)</f>
        <v>0.50021011962011</v>
      </c>
      <c r="M146" s="21" t="n">
        <f aca="false">K146-L146</f>
        <v>0.0292016450857728</v>
      </c>
      <c r="N146" s="21" t="n">
        <f aca="false">LN(J146)</f>
        <v>12.7227585641755</v>
      </c>
      <c r="O146" s="21" t="n">
        <f aca="false">AVERAGEIFS($N$2:$N$2705,$B$2:$B$2705,B146)</f>
        <v>13.3558491743855</v>
      </c>
      <c r="P146" s="21" t="n">
        <f aca="false">N146-O146</f>
        <v>-0.633090610209932</v>
      </c>
      <c r="Q146" s="7" t="n">
        <v>0</v>
      </c>
      <c r="R146" s="3" t="n">
        <f aca="false">IF(AND(Q146=1,B146-_xlfn.MINIFS($B$2:$B$2705,$A$2:$A$2705,A146)&lt;10),1,0)</f>
        <v>0</v>
      </c>
      <c r="S146" s="7" t="n">
        <v>0</v>
      </c>
      <c r="T146" s="3" t="n">
        <f aca="false">_xlfn.MINIFS($B$2:$B$2705,$A$2:$A$2705,A146)</f>
        <v>1901</v>
      </c>
      <c r="U146" s="3" t="n">
        <f aca="false">B146-T146</f>
        <v>9</v>
      </c>
      <c r="V146" s="3" t="str">
        <f aca="false">INDEX(Pop_Inputs!$Q$2:$Q$29,MATCH(C146,Pop_Inputs!$A$2:$A$29,0))</f>
        <v>Northeast</v>
      </c>
      <c r="W146" s="30"/>
      <c r="X146" s="3" t="str">
        <f aca="false">IF(W146="","",LN(W146))</f>
        <v/>
      </c>
      <c r="Y146" s="3" t="str">
        <f aca="false">IF(X146="","",X146-AVERAGEIFS($X$2:$X$2705,$B$2:$B$2705,B146))</f>
        <v/>
      </c>
      <c r="Z146" s="21" t="n">
        <f aca="false">P146</f>
        <v>-0.633090610209932</v>
      </c>
      <c r="AA146" s="3" t="n">
        <f aca="false">R146</f>
        <v>0</v>
      </c>
      <c r="AB146" s="21" t="n">
        <f aca="false">P146</f>
        <v>-0.633090610209932</v>
      </c>
      <c r="AC146" s="3" t="str">
        <f aca="false">Y146</f>
        <v/>
      </c>
      <c r="AD146" s="3" t="n">
        <f aca="false">R146</f>
        <v>0</v>
      </c>
    </row>
    <row r="147" customFormat="false" ht="15" hidden="false" customHeight="true" outlineLevel="0" collapsed="false">
      <c r="A147" s="7" t="s">
        <v>56</v>
      </c>
      <c r="B147" s="7" t="n">
        <v>1910</v>
      </c>
      <c r="C147" s="7" t="s">
        <v>142</v>
      </c>
      <c r="D147" s="7" t="n">
        <v>104</v>
      </c>
      <c r="E147" s="7" t="n">
        <v>50</v>
      </c>
      <c r="F147" s="3" t="n">
        <f aca="false">COUNTIFS($B$2:$B$2705,B147,$C$2:$C$2705,C147)</f>
        <v>2</v>
      </c>
      <c r="G147" s="3" t="n">
        <f aca="false">MIN(INT((MIN(B147,2020)-1900)/10)+1,12)</f>
        <v>2</v>
      </c>
      <c r="H147" s="3" t="n">
        <f aca="false">(MIN(B147,2020)-1900-10*(G147-1))/10</f>
        <v>0</v>
      </c>
      <c r="I147" s="20" t="n">
        <f aca="false">EXP(LN(INDEX(Pop_Inputs!$B$2:$N$29,MATCH(C147,Pop_Inputs!$A$2:$A$29,0),G147))*(1-H147)+LN(INDEX(Pop_Inputs!$B$2:$N$29,MATCH(C147,Pop_Inputs!$A$2:$A$29,0),G147+1))*H147)</f>
        <v>2185283</v>
      </c>
      <c r="J147" s="20" t="n">
        <f aca="false">I147/F147</f>
        <v>1092641.5</v>
      </c>
      <c r="K147" s="21" t="n">
        <f aca="false">D147/(D147+E147)</f>
        <v>0.675324675324675</v>
      </c>
      <c r="L147" s="21" t="n">
        <f aca="false">AVERAGEIFS($K$2:$K$2705,$B$2:$B$2705,B147)</f>
        <v>0.50021011962011</v>
      </c>
      <c r="M147" s="21" t="n">
        <f aca="false">K147-L147</f>
        <v>0.175114555704566</v>
      </c>
      <c r="N147" s="21" t="n">
        <f aca="false">LN(J147)</f>
        <v>13.9041087170158</v>
      </c>
      <c r="O147" s="21" t="n">
        <f aca="false">AVERAGEIFS($N$2:$N$2705,$B$2:$B$2705,B147)</f>
        <v>13.3558491743855</v>
      </c>
      <c r="P147" s="21" t="n">
        <f aca="false">N147-O147</f>
        <v>0.54825954263031</v>
      </c>
      <c r="Q147" s="7" t="n">
        <v>0</v>
      </c>
      <c r="R147" s="3" t="n">
        <f aca="false">IF(AND(Q147=1,B147-_xlfn.MINIFS($B$2:$B$2705,$A$2:$A$2705,A147)&lt;10),1,0)</f>
        <v>0</v>
      </c>
      <c r="S147" s="7" t="n">
        <v>0</v>
      </c>
      <c r="T147" s="3" t="n">
        <f aca="false">_xlfn.MINIFS($B$2:$B$2705,$A$2:$A$2705,A147)</f>
        <v>1901</v>
      </c>
      <c r="U147" s="3" t="n">
        <f aca="false">B147-T147</f>
        <v>9</v>
      </c>
      <c r="V147" s="3" t="str">
        <f aca="false">INDEX(Pop_Inputs!$Q$2:$Q$29,MATCH(C147,Pop_Inputs!$A$2:$A$29,0))</f>
        <v>Midwest</v>
      </c>
      <c r="W147" s="30"/>
      <c r="X147" s="3" t="str">
        <f aca="false">IF(W147="","",LN(W147))</f>
        <v/>
      </c>
      <c r="Y147" s="3" t="str">
        <f aca="false">IF(X147="","",X147-AVERAGEIFS($X$2:$X$2705,$B$2:$B$2705,B147))</f>
        <v/>
      </c>
      <c r="Z147" s="21" t="n">
        <f aca="false">P147</f>
        <v>0.54825954263031</v>
      </c>
      <c r="AA147" s="3" t="n">
        <f aca="false">R147</f>
        <v>0</v>
      </c>
      <c r="AB147" s="21" t="n">
        <f aca="false">P147</f>
        <v>0.54825954263031</v>
      </c>
      <c r="AC147" s="3" t="str">
        <f aca="false">Y147</f>
        <v/>
      </c>
      <c r="AD147" s="3" t="n">
        <f aca="false">R147</f>
        <v>0</v>
      </c>
    </row>
    <row r="148" customFormat="false" ht="15" hidden="false" customHeight="true" outlineLevel="0" collapsed="false">
      <c r="A148" s="7" t="s">
        <v>65</v>
      </c>
      <c r="B148" s="7" t="n">
        <v>1910</v>
      </c>
      <c r="C148" s="7" t="s">
        <v>142</v>
      </c>
      <c r="D148" s="7" t="n">
        <v>68</v>
      </c>
      <c r="E148" s="7" t="n">
        <v>85</v>
      </c>
      <c r="F148" s="3" t="n">
        <f aca="false">COUNTIFS($B$2:$B$2705,B148,$C$2:$C$2705,C148)</f>
        <v>2</v>
      </c>
      <c r="G148" s="3" t="n">
        <f aca="false">MIN(INT((MIN(B148,2020)-1900)/10)+1,12)</f>
        <v>2</v>
      </c>
      <c r="H148" s="3" t="n">
        <f aca="false">(MIN(B148,2020)-1900-10*(G148-1))/10</f>
        <v>0</v>
      </c>
      <c r="I148" s="20" t="n">
        <f aca="false">EXP(LN(INDEX(Pop_Inputs!$B$2:$N$29,MATCH(C148,Pop_Inputs!$A$2:$A$29,0),G148))*(1-H148)+LN(INDEX(Pop_Inputs!$B$2:$N$29,MATCH(C148,Pop_Inputs!$A$2:$A$29,0),G148+1))*H148)</f>
        <v>2185283</v>
      </c>
      <c r="J148" s="20" t="n">
        <f aca="false">I148/F148</f>
        <v>1092641.5</v>
      </c>
      <c r="K148" s="21" t="n">
        <f aca="false">D148/(D148+E148)</f>
        <v>0.444444444444444</v>
      </c>
      <c r="L148" s="21" t="n">
        <f aca="false">AVERAGEIFS($K$2:$K$2705,$B$2:$B$2705,B148)</f>
        <v>0.50021011962011</v>
      </c>
      <c r="M148" s="21" t="n">
        <f aca="false">K148-L148</f>
        <v>-0.0557656751756651</v>
      </c>
      <c r="N148" s="21" t="n">
        <f aca="false">LN(J148)</f>
        <v>13.9041087170158</v>
      </c>
      <c r="O148" s="21" t="n">
        <f aca="false">AVERAGEIFS($N$2:$N$2705,$B$2:$B$2705,B148)</f>
        <v>13.3558491743855</v>
      </c>
      <c r="P148" s="21" t="n">
        <f aca="false">N148-O148</f>
        <v>0.54825954263031</v>
      </c>
      <c r="Q148" s="7" t="n">
        <v>0</v>
      </c>
      <c r="R148" s="3" t="n">
        <f aca="false">IF(AND(Q148=1,B148-_xlfn.MINIFS($B$2:$B$2705,$A$2:$A$2705,A148)&lt;10),1,0)</f>
        <v>0</v>
      </c>
      <c r="S148" s="7" t="n">
        <v>0</v>
      </c>
      <c r="T148" s="3" t="n">
        <f aca="false">_xlfn.MINIFS($B$2:$B$2705,$A$2:$A$2705,A148)</f>
        <v>1901</v>
      </c>
      <c r="U148" s="3" t="n">
        <f aca="false">B148-T148</f>
        <v>9</v>
      </c>
      <c r="V148" s="3" t="str">
        <f aca="false">INDEX(Pop_Inputs!$Q$2:$Q$29,MATCH(C148,Pop_Inputs!$A$2:$A$29,0))</f>
        <v>Midwest</v>
      </c>
      <c r="W148" s="30"/>
      <c r="X148" s="3" t="str">
        <f aca="false">IF(W148="","",LN(W148))</f>
        <v/>
      </c>
      <c r="Y148" s="3" t="str">
        <f aca="false">IF(X148="","",X148-AVERAGEIFS($X$2:$X$2705,$B$2:$B$2705,B148))</f>
        <v/>
      </c>
      <c r="Z148" s="21" t="n">
        <f aca="false">P148</f>
        <v>0.54825954263031</v>
      </c>
      <c r="AA148" s="3" t="n">
        <f aca="false">R148</f>
        <v>0</v>
      </c>
      <c r="AB148" s="21" t="n">
        <f aca="false">P148</f>
        <v>0.54825954263031</v>
      </c>
      <c r="AC148" s="3" t="str">
        <f aca="false">Y148</f>
        <v/>
      </c>
      <c r="AD148" s="3" t="n">
        <f aca="false">R148</f>
        <v>0</v>
      </c>
    </row>
    <row r="149" customFormat="false" ht="15" hidden="false" customHeight="true" outlineLevel="0" collapsed="false">
      <c r="A149" s="7" t="s">
        <v>57</v>
      </c>
      <c r="B149" s="7" t="n">
        <v>1910</v>
      </c>
      <c r="C149" s="7" t="s">
        <v>143</v>
      </c>
      <c r="D149" s="7" t="n">
        <v>75</v>
      </c>
      <c r="E149" s="7" t="n">
        <v>79</v>
      </c>
      <c r="F149" s="3" t="n">
        <f aca="false">COUNTIFS($B$2:$B$2705,B149,$C$2:$C$2705,C149)</f>
        <v>1</v>
      </c>
      <c r="G149" s="3" t="n">
        <f aca="false">MIN(INT((MIN(B149,2020)-1900)/10)+1,12)</f>
        <v>2</v>
      </c>
      <c r="H149" s="3" t="n">
        <f aca="false">(MIN(B149,2020)-1900-10*(G149-1))/10</f>
        <v>0</v>
      </c>
      <c r="I149" s="20" t="n">
        <f aca="false">EXP(LN(INDEX(Pop_Inputs!$B$2:$N$29,MATCH(C149,Pop_Inputs!$A$2:$A$29,0),G149))*(1-H149)+LN(INDEX(Pop_Inputs!$B$2:$N$29,MATCH(C149,Pop_Inputs!$A$2:$A$29,0),G149+1))*H149)</f>
        <v>363591</v>
      </c>
      <c r="J149" s="20" t="n">
        <f aca="false">I149/F149</f>
        <v>363591</v>
      </c>
      <c r="K149" s="21" t="n">
        <f aca="false">D149/(D149+E149)</f>
        <v>0.487012987012987</v>
      </c>
      <c r="L149" s="21" t="n">
        <f aca="false">AVERAGEIFS($K$2:$K$2705,$B$2:$B$2705,B149)</f>
        <v>0.50021011962011</v>
      </c>
      <c r="M149" s="21" t="n">
        <f aca="false">K149-L149</f>
        <v>-0.0131971326071225</v>
      </c>
      <c r="N149" s="21" t="n">
        <f aca="false">LN(J149)</f>
        <v>12.8037848885039</v>
      </c>
      <c r="O149" s="21" t="n">
        <f aca="false">AVERAGEIFS($N$2:$N$2705,$B$2:$B$2705,B149)</f>
        <v>13.3558491743855</v>
      </c>
      <c r="P149" s="21" t="n">
        <f aca="false">N149-O149</f>
        <v>-0.552064285881587</v>
      </c>
      <c r="Q149" s="7" t="n">
        <v>0</v>
      </c>
      <c r="R149" s="3" t="n">
        <f aca="false">IF(AND(Q149=1,B149-_xlfn.MINIFS($B$2:$B$2705,$A$2:$A$2705,A149)&lt;10),1,0)</f>
        <v>0</v>
      </c>
      <c r="S149" s="7" t="n">
        <v>0</v>
      </c>
      <c r="T149" s="3" t="n">
        <f aca="false">_xlfn.MINIFS($B$2:$B$2705,$A$2:$A$2705,A149)</f>
        <v>1901</v>
      </c>
      <c r="U149" s="3" t="n">
        <f aca="false">B149-T149</f>
        <v>9</v>
      </c>
      <c r="V149" s="3" t="str">
        <f aca="false">INDEX(Pop_Inputs!$Q$2:$Q$29,MATCH(C149,Pop_Inputs!$A$2:$A$29,0))</f>
        <v>Midwest</v>
      </c>
      <c r="W149" s="30"/>
      <c r="X149" s="3" t="str">
        <f aca="false">IF(W149="","",LN(W149))</f>
        <v/>
      </c>
      <c r="Y149" s="3" t="str">
        <f aca="false">IF(X149="","",X149-AVERAGEIFS($X$2:$X$2705,$B$2:$B$2705,B149))</f>
        <v/>
      </c>
      <c r="Z149" s="21" t="n">
        <f aca="false">P149</f>
        <v>-0.552064285881587</v>
      </c>
      <c r="AA149" s="3" t="n">
        <f aca="false">R149</f>
        <v>0</v>
      </c>
      <c r="AB149" s="21" t="n">
        <f aca="false">P149</f>
        <v>-0.552064285881587</v>
      </c>
      <c r="AC149" s="3" t="str">
        <f aca="false">Y149</f>
        <v/>
      </c>
      <c r="AD149" s="3" t="n">
        <f aca="false">R149</f>
        <v>0</v>
      </c>
    </row>
    <row r="150" customFormat="false" ht="15" hidden="false" customHeight="true" outlineLevel="0" collapsed="false">
      <c r="A150" s="7" t="s">
        <v>66</v>
      </c>
      <c r="B150" s="7" t="n">
        <v>1910</v>
      </c>
      <c r="C150" s="7" t="s">
        <v>151</v>
      </c>
      <c r="D150" s="7" t="n">
        <v>71</v>
      </c>
      <c r="E150" s="7" t="n">
        <v>81</v>
      </c>
      <c r="F150" s="3" t="n">
        <f aca="false">COUNTIFS($B$2:$B$2705,B150,$C$2:$C$2705,C150)</f>
        <v>1</v>
      </c>
      <c r="G150" s="3" t="n">
        <f aca="false">MIN(INT((MIN(B150,2020)-1900)/10)+1,12)</f>
        <v>2</v>
      </c>
      <c r="H150" s="3" t="n">
        <f aca="false">(MIN(B150,2020)-1900-10*(G150-1))/10</f>
        <v>0</v>
      </c>
      <c r="I150" s="20" t="n">
        <f aca="false">EXP(LN(INDEX(Pop_Inputs!$B$2:$N$29,MATCH(C150,Pop_Inputs!$A$2:$A$29,0),G150))*(1-H150)+LN(INDEX(Pop_Inputs!$B$2:$N$29,MATCH(C150,Pop_Inputs!$A$2:$A$29,0),G150+1))*H150)</f>
        <v>560663</v>
      </c>
      <c r="J150" s="20" t="n">
        <f aca="false">I150/F150</f>
        <v>560663</v>
      </c>
      <c r="K150" s="21" t="n">
        <f aca="false">D150/(D150+E150)</f>
        <v>0.467105263157895</v>
      </c>
      <c r="L150" s="21" t="n">
        <f aca="false">AVERAGEIFS($K$2:$K$2705,$B$2:$B$2705,B150)</f>
        <v>0.50021011962011</v>
      </c>
      <c r="M150" s="21" t="n">
        <f aca="false">K150-L150</f>
        <v>-0.0331048564622148</v>
      </c>
      <c r="N150" s="21" t="n">
        <f aca="false">LN(J150)</f>
        <v>13.236875290992</v>
      </c>
      <c r="O150" s="21" t="n">
        <f aca="false">AVERAGEIFS($N$2:$N$2705,$B$2:$B$2705,B150)</f>
        <v>13.3558491743855</v>
      </c>
      <c r="P150" s="21" t="n">
        <f aca="false">N150-O150</f>
        <v>-0.118973883393448</v>
      </c>
      <c r="Q150" s="7" t="n">
        <v>0</v>
      </c>
      <c r="R150" s="3" t="n">
        <f aca="false">IF(AND(Q150=1,B150-_xlfn.MINIFS($B$2:$B$2705,$A$2:$A$2705,A150)&lt;10),1,0)</f>
        <v>0</v>
      </c>
      <c r="S150" s="7" t="n">
        <v>0</v>
      </c>
      <c r="T150" s="3" t="n">
        <f aca="false">_xlfn.MINIFS($B$2:$B$2705,$A$2:$A$2705,A150)</f>
        <v>1901</v>
      </c>
      <c r="U150" s="3" t="n">
        <f aca="false">B150-T150</f>
        <v>9</v>
      </c>
      <c r="V150" s="3" t="str">
        <f aca="false">INDEX(Pop_Inputs!$Q$2:$Q$29,MATCH(C150,Pop_Inputs!$A$2:$A$29,0))</f>
        <v>Midwest</v>
      </c>
      <c r="W150" s="30"/>
      <c r="X150" s="3" t="str">
        <f aca="false">IF(W150="","",LN(W150))</f>
        <v/>
      </c>
      <c r="Y150" s="3" t="str">
        <f aca="false">IF(X150="","",X150-AVERAGEIFS($X$2:$X$2705,$B$2:$B$2705,B150))</f>
        <v/>
      </c>
      <c r="Z150" s="21" t="n">
        <f aca="false">P150</f>
        <v>-0.118973883393448</v>
      </c>
      <c r="AA150" s="3" t="n">
        <f aca="false">R150</f>
        <v>0</v>
      </c>
      <c r="AB150" s="21" t="n">
        <f aca="false">P150</f>
        <v>-0.118973883393448</v>
      </c>
      <c r="AC150" s="3" t="str">
        <f aca="false">Y150</f>
        <v/>
      </c>
      <c r="AD150" s="3" t="n">
        <f aca="false">R150</f>
        <v>0</v>
      </c>
    </row>
    <row r="151" customFormat="false" ht="15" hidden="false" customHeight="true" outlineLevel="0" collapsed="false">
      <c r="A151" s="7" t="s">
        <v>67</v>
      </c>
      <c r="B151" s="7" t="n">
        <v>1910</v>
      </c>
      <c r="C151" s="7" t="s">
        <v>152</v>
      </c>
      <c r="D151" s="7" t="n">
        <v>86</v>
      </c>
      <c r="E151" s="7" t="n">
        <v>68</v>
      </c>
      <c r="F151" s="3" t="n">
        <f aca="false">COUNTIFS($B$2:$B$2705,B151,$C$2:$C$2705,C151)</f>
        <v>1</v>
      </c>
      <c r="G151" s="3" t="n">
        <f aca="false">MIN(INT((MIN(B151,2020)-1900)/10)+1,12)</f>
        <v>2</v>
      </c>
      <c r="H151" s="3" t="n">
        <f aca="false">(MIN(B151,2020)-1900-10*(G151-1))/10</f>
        <v>0</v>
      </c>
      <c r="I151" s="20" t="n">
        <f aca="false">EXP(LN(INDEX(Pop_Inputs!$B$2:$N$29,MATCH(C151,Pop_Inputs!$A$2:$A$29,0),G151))*(1-H151)+LN(INDEX(Pop_Inputs!$B$2:$N$29,MATCH(C151,Pop_Inputs!$A$2:$A$29,0),G151+1))*H151)</f>
        <v>465766</v>
      </c>
      <c r="J151" s="20" t="n">
        <f aca="false">I151/F151</f>
        <v>465766</v>
      </c>
      <c r="K151" s="21" t="n">
        <f aca="false">D151/(D151+E151)</f>
        <v>0.558441558441558</v>
      </c>
      <c r="L151" s="21" t="n">
        <f aca="false">AVERAGEIFS($K$2:$K$2705,$B$2:$B$2705,B151)</f>
        <v>0.50021011962011</v>
      </c>
      <c r="M151" s="21" t="n">
        <f aca="false">K151-L151</f>
        <v>0.0582314388214489</v>
      </c>
      <c r="N151" s="21" t="n">
        <f aca="false">LN(J151)</f>
        <v>13.0514386410676</v>
      </c>
      <c r="O151" s="21" t="n">
        <f aca="false">AVERAGEIFS($N$2:$N$2705,$B$2:$B$2705,B151)</f>
        <v>13.3558491743855</v>
      </c>
      <c r="P151" s="21" t="n">
        <f aca="false">N151-O151</f>
        <v>-0.304410533317903</v>
      </c>
      <c r="Q151" s="7" t="n">
        <v>0</v>
      </c>
      <c r="R151" s="3" t="n">
        <f aca="false">IF(AND(Q151=1,B151-_xlfn.MINIFS($B$2:$B$2705,$A$2:$A$2705,A151)&lt;10),1,0)</f>
        <v>0</v>
      </c>
      <c r="S151" s="7" t="n">
        <v>0</v>
      </c>
      <c r="T151" s="3" t="n">
        <f aca="false">_xlfn.MINIFS($B$2:$B$2705,$A$2:$A$2705,A151)</f>
        <v>1901</v>
      </c>
      <c r="U151" s="3" t="n">
        <f aca="false">B151-T151</f>
        <v>9</v>
      </c>
      <c r="V151" s="3" t="str">
        <f aca="false">INDEX(Pop_Inputs!$Q$2:$Q$29,MATCH(C151,Pop_Inputs!$A$2:$A$29,0))</f>
        <v>Midwest</v>
      </c>
      <c r="W151" s="30"/>
      <c r="X151" s="3" t="str">
        <f aca="false">IF(W151="","",LN(W151))</f>
        <v/>
      </c>
      <c r="Y151" s="3" t="str">
        <f aca="false">IF(X151="","",X151-AVERAGEIFS($X$2:$X$2705,$B$2:$B$2705,B151))</f>
        <v/>
      </c>
      <c r="Z151" s="21" t="n">
        <f aca="false">P151</f>
        <v>-0.304410533317903</v>
      </c>
      <c r="AA151" s="3" t="n">
        <f aca="false">R151</f>
        <v>0</v>
      </c>
      <c r="AB151" s="21" t="n">
        <f aca="false">P151</f>
        <v>-0.304410533317903</v>
      </c>
      <c r="AC151" s="3" t="str">
        <f aca="false">Y151</f>
        <v/>
      </c>
      <c r="AD151" s="3" t="n">
        <f aca="false">R151</f>
        <v>0</v>
      </c>
    </row>
    <row r="152" customFormat="false" ht="15" hidden="false" customHeight="true" outlineLevel="0" collapsed="false">
      <c r="A152" s="7" t="s">
        <v>62</v>
      </c>
      <c r="B152" s="7" t="n">
        <v>1910</v>
      </c>
      <c r="C152" s="7" t="s">
        <v>154</v>
      </c>
      <c r="D152" s="7" t="n">
        <v>64</v>
      </c>
      <c r="E152" s="7" t="n">
        <v>90</v>
      </c>
      <c r="F152" s="3" t="n">
        <f aca="false">COUNTIFS($B$2:$B$2705,B152,$C$2:$C$2705,C152)</f>
        <v>3</v>
      </c>
      <c r="G152" s="3" t="n">
        <f aca="false">MIN(INT((MIN(B152,2020)-1900)/10)+1,12)</f>
        <v>2</v>
      </c>
      <c r="H152" s="3" t="n">
        <f aca="false">(MIN(B152,2020)-1900-10*(G152-1))/10</f>
        <v>0</v>
      </c>
      <c r="I152" s="20" t="n">
        <f aca="false">EXP(LN(INDEX(Pop_Inputs!$B$2:$N$29,MATCH(C152,Pop_Inputs!$A$2:$A$29,0),G152))*(1-H152)+LN(INDEX(Pop_Inputs!$B$2:$N$29,MATCH(C152,Pop_Inputs!$A$2:$A$29,0),G152+1))*H152)</f>
        <v>4766883</v>
      </c>
      <c r="J152" s="20" t="n">
        <f aca="false">I152/F152</f>
        <v>1588961</v>
      </c>
      <c r="K152" s="21" t="n">
        <f aca="false">D152/(D152+E152)</f>
        <v>0.415584415584416</v>
      </c>
      <c r="L152" s="21" t="n">
        <f aca="false">AVERAGEIFS($K$2:$K$2705,$B$2:$B$2705,B152)</f>
        <v>0.50021011962011</v>
      </c>
      <c r="M152" s="21" t="n">
        <f aca="false">K152-L152</f>
        <v>-0.0846257040356939</v>
      </c>
      <c r="N152" s="21" t="n">
        <f aca="false">LN(J152)</f>
        <v>14.2785909014795</v>
      </c>
      <c r="O152" s="21" t="n">
        <f aca="false">AVERAGEIFS($N$2:$N$2705,$B$2:$B$2705,B152)</f>
        <v>13.3558491743855</v>
      </c>
      <c r="P152" s="21" t="n">
        <f aca="false">N152-O152</f>
        <v>0.922741727093998</v>
      </c>
      <c r="Q152" s="7" t="n">
        <v>0</v>
      </c>
      <c r="R152" s="3" t="n">
        <f aca="false">IF(AND(Q152=1,B152-_xlfn.MINIFS($B$2:$B$2705,$A$2:$A$2705,A152)&lt;10),1,0)</f>
        <v>0</v>
      </c>
      <c r="S152" s="7" t="n">
        <v>0</v>
      </c>
      <c r="T152" s="3" t="n">
        <f aca="false">_xlfn.MINIFS($B$2:$B$2705,$A$2:$A$2705,A152)</f>
        <v>1901</v>
      </c>
      <c r="U152" s="3" t="n">
        <f aca="false">B152-T152</f>
        <v>9</v>
      </c>
      <c r="V152" s="3" t="str">
        <f aca="false">INDEX(Pop_Inputs!$Q$2:$Q$29,MATCH(C152,Pop_Inputs!$A$2:$A$29,0))</f>
        <v>Northeast</v>
      </c>
      <c r="W152" s="30"/>
      <c r="X152" s="3" t="str">
        <f aca="false">IF(W152="","",LN(W152))</f>
        <v/>
      </c>
      <c r="Y152" s="3" t="str">
        <f aca="false">IF(X152="","",X152-AVERAGEIFS($X$2:$X$2705,$B$2:$B$2705,B152))</f>
        <v/>
      </c>
      <c r="Z152" s="21" t="n">
        <f aca="false">P152</f>
        <v>0.922741727093998</v>
      </c>
      <c r="AA152" s="3" t="n">
        <f aca="false">R152</f>
        <v>0</v>
      </c>
      <c r="AB152" s="21" t="n">
        <f aca="false">P152</f>
        <v>0.922741727093998</v>
      </c>
      <c r="AC152" s="3" t="str">
        <f aca="false">Y152</f>
        <v/>
      </c>
      <c r="AD152" s="3" t="n">
        <f aca="false">R152</f>
        <v>0</v>
      </c>
    </row>
    <row r="153" customFormat="false" ht="15" hidden="false" customHeight="true" outlineLevel="0" collapsed="false">
      <c r="A153" s="7" t="s">
        <v>68</v>
      </c>
      <c r="B153" s="7" t="n">
        <v>1910</v>
      </c>
      <c r="C153" s="7" t="s">
        <v>160</v>
      </c>
      <c r="D153" s="7" t="n">
        <v>66</v>
      </c>
      <c r="E153" s="7" t="n">
        <v>85</v>
      </c>
      <c r="F153" s="3" t="n">
        <f aca="false">COUNTIFS($B$2:$B$2705,B153,$C$2:$C$2705,C153)</f>
        <v>1</v>
      </c>
      <c r="G153" s="3" t="n">
        <f aca="false">MIN(INT((MIN(B153,2020)-1900)/10)+1,12)</f>
        <v>2</v>
      </c>
      <c r="H153" s="3" t="n">
        <f aca="false">(MIN(B153,2020)-1900-10*(G153-1))/10</f>
        <v>0</v>
      </c>
      <c r="I153" s="20" t="n">
        <f aca="false">EXP(LN(INDEX(Pop_Inputs!$B$2:$N$29,MATCH(C153,Pop_Inputs!$A$2:$A$29,0),G153))*(1-H153)+LN(INDEX(Pop_Inputs!$B$2:$N$29,MATCH(C153,Pop_Inputs!$A$2:$A$29,0),G153+1))*H153)</f>
        <v>331069</v>
      </c>
      <c r="J153" s="20" t="n">
        <f aca="false">I153/F153</f>
        <v>331069</v>
      </c>
      <c r="K153" s="21" t="n">
        <f aca="false">D153/(D153+E153)</f>
        <v>0.437086092715232</v>
      </c>
      <c r="L153" s="21" t="n">
        <f aca="false">AVERAGEIFS($K$2:$K$2705,$B$2:$B$2705,B153)</f>
        <v>0.50021011962011</v>
      </c>
      <c r="M153" s="21" t="n">
        <f aca="false">K153-L153</f>
        <v>-0.0631240269048777</v>
      </c>
      <c r="N153" s="21" t="n">
        <f aca="false">LN(J153)</f>
        <v>12.7100820918491</v>
      </c>
      <c r="O153" s="21" t="n">
        <f aca="false">AVERAGEIFS($N$2:$N$2705,$B$2:$B$2705,B153)</f>
        <v>13.3558491743855</v>
      </c>
      <c r="P153" s="21" t="n">
        <f aca="false">N153-O153</f>
        <v>-0.645767082536354</v>
      </c>
      <c r="Q153" s="7" t="n">
        <v>0</v>
      </c>
      <c r="R153" s="3" t="n">
        <f aca="false">IF(AND(Q153=1,B153-_xlfn.MINIFS($B$2:$B$2705,$A$2:$A$2705,A153)&lt;10),1,0)</f>
        <v>0</v>
      </c>
      <c r="S153" s="7" t="n">
        <v>0</v>
      </c>
      <c r="T153" s="3" t="n">
        <f aca="false">_xlfn.MINIFS($B$2:$B$2705,$A$2:$A$2705,A153)</f>
        <v>1901</v>
      </c>
      <c r="U153" s="3" t="n">
        <f aca="false">B153-T153</f>
        <v>9</v>
      </c>
      <c r="V153" s="3" t="str">
        <f aca="false">INDEX(Pop_Inputs!$Q$2:$Q$29,MATCH(C153,Pop_Inputs!$A$2:$A$29,0))</f>
        <v>South</v>
      </c>
      <c r="W153" s="30"/>
      <c r="X153" s="3" t="str">
        <f aca="false">IF(W153="","",LN(W153))</f>
        <v/>
      </c>
      <c r="Y153" s="3" t="str">
        <f aca="false">IF(X153="","",X153-AVERAGEIFS($X$2:$X$2705,$B$2:$B$2705,B153))</f>
        <v/>
      </c>
      <c r="Z153" s="21" t="n">
        <f aca="false">P153</f>
        <v>-0.645767082536354</v>
      </c>
      <c r="AA153" s="3" t="n">
        <f aca="false">R153</f>
        <v>0</v>
      </c>
      <c r="AB153" s="21" t="n">
        <f aca="false">P153</f>
        <v>-0.645767082536354</v>
      </c>
      <c r="AC153" s="3" t="str">
        <f aca="false">Y153</f>
        <v/>
      </c>
      <c r="AD153" s="3" t="n">
        <f aca="false">R153</f>
        <v>0</v>
      </c>
    </row>
    <row r="154" customFormat="false" ht="15" hidden="false" customHeight="true" outlineLevel="0" collapsed="false">
      <c r="A154" s="7" t="s">
        <v>70</v>
      </c>
      <c r="B154" s="7" t="n">
        <v>1910</v>
      </c>
      <c r="C154" s="7" t="s">
        <v>154</v>
      </c>
      <c r="D154" s="7" t="n">
        <v>88</v>
      </c>
      <c r="E154" s="7" t="n">
        <v>63</v>
      </c>
      <c r="F154" s="3" t="n">
        <f aca="false">COUNTIFS($B$2:$B$2705,B154,$C$2:$C$2705,C154)</f>
        <v>3</v>
      </c>
      <c r="G154" s="3" t="n">
        <f aca="false">MIN(INT((MIN(B154,2020)-1900)/10)+1,12)</f>
        <v>2</v>
      </c>
      <c r="H154" s="3" t="n">
        <f aca="false">(MIN(B154,2020)-1900-10*(G154-1))/10</f>
        <v>0</v>
      </c>
      <c r="I154" s="20" t="n">
        <f aca="false">EXP(LN(INDEX(Pop_Inputs!$B$2:$N$29,MATCH(C154,Pop_Inputs!$A$2:$A$29,0),G154))*(1-H154)+LN(INDEX(Pop_Inputs!$B$2:$N$29,MATCH(C154,Pop_Inputs!$A$2:$A$29,0),G154+1))*H154)</f>
        <v>4766883</v>
      </c>
      <c r="J154" s="20" t="n">
        <f aca="false">I154/F154</f>
        <v>1588961</v>
      </c>
      <c r="K154" s="21" t="n">
        <f aca="false">D154/(D154+E154)</f>
        <v>0.582781456953642</v>
      </c>
      <c r="L154" s="21" t="n">
        <f aca="false">AVERAGEIFS($K$2:$K$2705,$B$2:$B$2705,B154)</f>
        <v>0.50021011962011</v>
      </c>
      <c r="M154" s="21" t="n">
        <f aca="false">K154-L154</f>
        <v>0.0825713373335328</v>
      </c>
      <c r="N154" s="21" t="n">
        <f aca="false">LN(J154)</f>
        <v>14.2785909014795</v>
      </c>
      <c r="O154" s="21" t="n">
        <f aca="false">AVERAGEIFS($N$2:$N$2705,$B$2:$B$2705,B154)</f>
        <v>13.3558491743855</v>
      </c>
      <c r="P154" s="21" t="n">
        <f aca="false">N154-O154</f>
        <v>0.922741727093998</v>
      </c>
      <c r="Q154" s="7" t="n">
        <v>0</v>
      </c>
      <c r="R154" s="3" t="n">
        <f aca="false">IF(AND(Q154=1,B154-_xlfn.MINIFS($B$2:$B$2705,$A$2:$A$2705,A154)&lt;10),1,0)</f>
        <v>0</v>
      </c>
      <c r="S154" s="7" t="n">
        <v>1</v>
      </c>
      <c r="T154" s="3" t="n">
        <f aca="false">_xlfn.MINIFS($B$2:$B$2705,$A$2:$A$2705,A154)</f>
        <v>1903</v>
      </c>
      <c r="U154" s="3" t="n">
        <f aca="false">B154-T154</f>
        <v>7</v>
      </c>
      <c r="V154" s="3" t="str">
        <f aca="false">INDEX(Pop_Inputs!$Q$2:$Q$29,MATCH(C154,Pop_Inputs!$A$2:$A$29,0))</f>
        <v>Northeast</v>
      </c>
      <c r="W154" s="30"/>
      <c r="X154" s="3" t="str">
        <f aca="false">IF(W154="","",LN(W154))</f>
        <v/>
      </c>
      <c r="Y154" s="3" t="str">
        <f aca="false">IF(X154="","",X154-AVERAGEIFS($X$2:$X$2705,$B$2:$B$2705,B154))</f>
        <v/>
      </c>
      <c r="Z154" s="21" t="n">
        <f aca="false">P154</f>
        <v>0.922741727093998</v>
      </c>
      <c r="AA154" s="3" t="n">
        <f aca="false">R154</f>
        <v>0</v>
      </c>
      <c r="AB154" s="21" t="n">
        <f aca="false">P154</f>
        <v>0.922741727093998</v>
      </c>
      <c r="AC154" s="3" t="str">
        <f aca="false">Y154</f>
        <v/>
      </c>
      <c r="AD154" s="3" t="n">
        <f aca="false">R154</f>
        <v>0</v>
      </c>
    </row>
    <row r="155" customFormat="false" ht="15" hidden="false" customHeight="true" outlineLevel="0" collapsed="false">
      <c r="A155" s="7" t="s">
        <v>69</v>
      </c>
      <c r="B155" s="7" t="n">
        <v>1910</v>
      </c>
      <c r="C155" s="7" t="s">
        <v>146</v>
      </c>
      <c r="D155" s="7" t="n">
        <v>102</v>
      </c>
      <c r="E155" s="7" t="n">
        <v>48</v>
      </c>
      <c r="F155" s="3" t="n">
        <f aca="false">COUNTIFS($B$2:$B$2705,B155,$C$2:$C$2705,C155)</f>
        <v>2</v>
      </c>
      <c r="G155" s="3" t="n">
        <f aca="false">MIN(INT((MIN(B155,2020)-1900)/10)+1,12)</f>
        <v>2</v>
      </c>
      <c r="H155" s="3" t="n">
        <f aca="false">(MIN(B155,2020)-1900-10*(G155-1))/10</f>
        <v>0</v>
      </c>
      <c r="I155" s="20" t="n">
        <f aca="false">EXP(LN(INDEX(Pop_Inputs!$B$2:$N$29,MATCH(C155,Pop_Inputs!$A$2:$A$29,0),G155))*(1-H155)+LN(INDEX(Pop_Inputs!$B$2:$N$29,MATCH(C155,Pop_Inputs!$A$2:$A$29,0),G155+1))*H155)</f>
        <v>1549008</v>
      </c>
      <c r="J155" s="20" t="n">
        <f aca="false">I155/F155</f>
        <v>774503.999999999</v>
      </c>
      <c r="K155" s="21" t="n">
        <f aca="false">D155/(D155+E155)</f>
        <v>0.68</v>
      </c>
      <c r="L155" s="21" t="n">
        <f aca="false">AVERAGEIFS($K$2:$K$2705,$B$2:$B$2705,B155)</f>
        <v>0.50021011962011</v>
      </c>
      <c r="M155" s="21" t="n">
        <f aca="false">K155-L155</f>
        <v>0.179789880379891</v>
      </c>
      <c r="N155" s="21" t="n">
        <f aca="false">LN(J155)</f>
        <v>13.5599781034481</v>
      </c>
      <c r="O155" s="21" t="n">
        <f aca="false">AVERAGEIFS($N$2:$N$2705,$B$2:$B$2705,B155)</f>
        <v>13.3558491743855</v>
      </c>
      <c r="P155" s="21" t="n">
        <f aca="false">N155-O155</f>
        <v>0.204128929062607</v>
      </c>
      <c r="Q155" s="7" t="n">
        <v>0</v>
      </c>
      <c r="R155" s="3" t="n">
        <f aca="false">IF(AND(Q155=1,B155-_xlfn.MINIFS($B$2:$B$2705,$A$2:$A$2705,A155)&lt;10),1,0)</f>
        <v>0</v>
      </c>
      <c r="S155" s="7" t="n">
        <v>0</v>
      </c>
      <c r="T155" s="3" t="n">
        <f aca="false">_xlfn.MINIFS($B$2:$B$2705,$A$2:$A$2705,A155)</f>
        <v>1901</v>
      </c>
      <c r="U155" s="3" t="n">
        <f aca="false">B155-T155</f>
        <v>9</v>
      </c>
      <c r="V155" s="3" t="str">
        <f aca="false">INDEX(Pop_Inputs!$Q$2:$Q$29,MATCH(C155,Pop_Inputs!$A$2:$A$29,0))</f>
        <v>Northeast</v>
      </c>
      <c r="W155" s="30"/>
      <c r="X155" s="3" t="str">
        <f aca="false">IF(W155="","",LN(W155))</f>
        <v/>
      </c>
      <c r="Y155" s="3" t="str">
        <f aca="false">IF(X155="","",X155-AVERAGEIFS($X$2:$X$2705,$B$2:$B$2705,B155))</f>
        <v/>
      </c>
      <c r="Z155" s="21" t="n">
        <f aca="false">P155</f>
        <v>0.204128929062607</v>
      </c>
      <c r="AA155" s="3" t="n">
        <f aca="false">R155</f>
        <v>0</v>
      </c>
      <c r="AB155" s="21" t="n">
        <f aca="false">P155</f>
        <v>0.204128929062607</v>
      </c>
      <c r="AC155" s="3" t="str">
        <f aca="false">Y155</f>
        <v/>
      </c>
      <c r="AD155" s="3" t="n">
        <f aca="false">R155</f>
        <v>0</v>
      </c>
    </row>
    <row r="156" customFormat="false" ht="15" hidden="false" customHeight="true" outlineLevel="0" collapsed="false">
      <c r="A156" s="7" t="s">
        <v>60</v>
      </c>
      <c r="B156" s="7" t="n">
        <v>1910</v>
      </c>
      <c r="C156" s="7" t="s">
        <v>146</v>
      </c>
      <c r="D156" s="7" t="n">
        <v>78</v>
      </c>
      <c r="E156" s="7" t="n">
        <v>75</v>
      </c>
      <c r="F156" s="3" t="n">
        <f aca="false">COUNTIFS($B$2:$B$2705,B156,$C$2:$C$2705,C156)</f>
        <v>2</v>
      </c>
      <c r="G156" s="3" t="n">
        <f aca="false">MIN(INT((MIN(B156,2020)-1900)/10)+1,12)</f>
        <v>2</v>
      </c>
      <c r="H156" s="3" t="n">
        <f aca="false">(MIN(B156,2020)-1900-10*(G156-1))/10</f>
        <v>0</v>
      </c>
      <c r="I156" s="20" t="n">
        <f aca="false">EXP(LN(INDEX(Pop_Inputs!$B$2:$N$29,MATCH(C156,Pop_Inputs!$A$2:$A$29,0),G156))*(1-H156)+LN(INDEX(Pop_Inputs!$B$2:$N$29,MATCH(C156,Pop_Inputs!$A$2:$A$29,0),G156+1))*H156)</f>
        <v>1549008</v>
      </c>
      <c r="J156" s="20" t="n">
        <f aca="false">I156/F156</f>
        <v>774503.999999999</v>
      </c>
      <c r="K156" s="21" t="n">
        <f aca="false">D156/(D156+E156)</f>
        <v>0.509803921568627</v>
      </c>
      <c r="L156" s="21" t="n">
        <f aca="false">AVERAGEIFS($K$2:$K$2705,$B$2:$B$2705,B156)</f>
        <v>0.50021011962011</v>
      </c>
      <c r="M156" s="21" t="n">
        <f aca="false">K156-L156</f>
        <v>0.00959380194851789</v>
      </c>
      <c r="N156" s="21" t="n">
        <f aca="false">LN(J156)</f>
        <v>13.5599781034481</v>
      </c>
      <c r="O156" s="21" t="n">
        <f aca="false">AVERAGEIFS($N$2:$N$2705,$B$2:$B$2705,B156)</f>
        <v>13.3558491743855</v>
      </c>
      <c r="P156" s="21" t="n">
        <f aca="false">N156-O156</f>
        <v>0.204128929062607</v>
      </c>
      <c r="Q156" s="7" t="n">
        <v>0</v>
      </c>
      <c r="R156" s="3" t="n">
        <f aca="false">IF(AND(Q156=1,B156-_xlfn.MINIFS($B$2:$B$2705,$A$2:$A$2705,A156)&lt;10),1,0)</f>
        <v>0</v>
      </c>
      <c r="S156" s="7" t="n">
        <v>0</v>
      </c>
      <c r="T156" s="3" t="n">
        <f aca="false">_xlfn.MINIFS($B$2:$B$2705,$A$2:$A$2705,A156)</f>
        <v>1901</v>
      </c>
      <c r="U156" s="3" t="n">
        <f aca="false">B156-T156</f>
        <v>9</v>
      </c>
      <c r="V156" s="3" t="str">
        <f aca="false">INDEX(Pop_Inputs!$Q$2:$Q$29,MATCH(C156,Pop_Inputs!$A$2:$A$29,0))</f>
        <v>Northeast</v>
      </c>
      <c r="W156" s="30"/>
      <c r="X156" s="3" t="str">
        <f aca="false">IF(W156="","",LN(W156))</f>
        <v/>
      </c>
      <c r="Y156" s="3" t="str">
        <f aca="false">IF(X156="","",X156-AVERAGEIFS($X$2:$X$2705,$B$2:$B$2705,B156))</f>
        <v/>
      </c>
      <c r="Z156" s="21" t="n">
        <f aca="false">P156</f>
        <v>0.204128929062607</v>
      </c>
      <c r="AA156" s="3" t="n">
        <f aca="false">R156</f>
        <v>0</v>
      </c>
      <c r="AB156" s="21" t="n">
        <f aca="false">P156</f>
        <v>0.204128929062607</v>
      </c>
      <c r="AC156" s="3" t="str">
        <f aca="false">Y156</f>
        <v/>
      </c>
      <c r="AD156" s="3" t="n">
        <f aca="false">R156</f>
        <v>0</v>
      </c>
    </row>
    <row r="157" customFormat="false" ht="15" hidden="false" customHeight="true" outlineLevel="0" collapsed="false">
      <c r="A157" s="7" t="s">
        <v>58</v>
      </c>
      <c r="B157" s="7" t="n">
        <v>1910</v>
      </c>
      <c r="C157" s="7" t="s">
        <v>144</v>
      </c>
      <c r="D157" s="7" t="n">
        <v>86</v>
      </c>
      <c r="E157" s="7" t="n">
        <v>67</v>
      </c>
      <c r="F157" s="3" t="n">
        <f aca="false">COUNTIFS($B$2:$B$2705,B157,$C$2:$C$2705,C157)</f>
        <v>1</v>
      </c>
      <c r="G157" s="3" t="n">
        <f aca="false">MIN(INT((MIN(B157,2020)-1900)/10)+1,12)</f>
        <v>2</v>
      </c>
      <c r="H157" s="3" t="n">
        <f aca="false">(MIN(B157,2020)-1900-10*(G157-1))/10</f>
        <v>0</v>
      </c>
      <c r="I157" s="20" t="n">
        <f aca="false">EXP(LN(INDEX(Pop_Inputs!$B$2:$N$29,MATCH(C157,Pop_Inputs!$A$2:$A$29,0),G157))*(1-H157)+LN(INDEX(Pop_Inputs!$B$2:$N$29,MATCH(C157,Pop_Inputs!$A$2:$A$29,0),G157+1))*H157)</f>
        <v>533905</v>
      </c>
      <c r="J157" s="20" t="n">
        <f aca="false">I157/F157</f>
        <v>533905</v>
      </c>
      <c r="K157" s="21" t="n">
        <f aca="false">D157/(D157+E157)</f>
        <v>0.562091503267974</v>
      </c>
      <c r="L157" s="21" t="n">
        <f aca="false">AVERAGEIFS($K$2:$K$2705,$B$2:$B$2705,B157)</f>
        <v>0.50021011962011</v>
      </c>
      <c r="M157" s="21" t="n">
        <f aca="false">K157-L157</f>
        <v>0.0618813836478643</v>
      </c>
      <c r="N157" s="21" t="n">
        <f aca="false">LN(J157)</f>
        <v>13.1879731994941</v>
      </c>
      <c r="O157" s="21" t="n">
        <f aca="false">AVERAGEIFS($N$2:$N$2705,$B$2:$B$2705,B157)</f>
        <v>13.3558491743855</v>
      </c>
      <c r="P157" s="21" t="n">
        <f aca="false">N157-O157</f>
        <v>-0.167875974891393</v>
      </c>
      <c r="Q157" s="7" t="n">
        <v>0</v>
      </c>
      <c r="R157" s="3" t="n">
        <f aca="false">IF(AND(Q157=1,B157-_xlfn.MINIFS($B$2:$B$2705,$A$2:$A$2705,A157)&lt;10),1,0)</f>
        <v>0</v>
      </c>
      <c r="S157" s="7" t="n">
        <v>0</v>
      </c>
      <c r="T157" s="3" t="n">
        <f aca="false">_xlfn.MINIFS($B$2:$B$2705,$A$2:$A$2705,A157)</f>
        <v>1901</v>
      </c>
      <c r="U157" s="3" t="n">
        <f aca="false">B157-T157</f>
        <v>9</v>
      </c>
      <c r="V157" s="3" t="str">
        <f aca="false">INDEX(Pop_Inputs!$Q$2:$Q$29,MATCH(C157,Pop_Inputs!$A$2:$A$29,0))</f>
        <v>Northeast</v>
      </c>
      <c r="W157" s="30"/>
      <c r="X157" s="3" t="str">
        <f aca="false">IF(W157="","",LN(W157))</f>
        <v/>
      </c>
      <c r="Y157" s="3" t="str">
        <f aca="false">IF(X157="","",X157-AVERAGEIFS($X$2:$X$2705,$B$2:$B$2705,B157))</f>
        <v/>
      </c>
      <c r="Z157" s="21" t="n">
        <f aca="false">P157</f>
        <v>-0.167875974891393</v>
      </c>
      <c r="AA157" s="3" t="n">
        <f aca="false">R157</f>
        <v>0</v>
      </c>
      <c r="AB157" s="21" t="n">
        <f aca="false">P157</f>
        <v>-0.167875974891393</v>
      </c>
      <c r="AC157" s="3" t="str">
        <f aca="false">Y157</f>
        <v/>
      </c>
      <c r="AD157" s="3" t="n">
        <f aca="false">R157</f>
        <v>0</v>
      </c>
    </row>
    <row r="158" customFormat="false" ht="15" hidden="false" customHeight="true" outlineLevel="0" collapsed="false">
      <c r="A158" s="7" t="s">
        <v>61</v>
      </c>
      <c r="B158" s="7" t="n">
        <v>1910</v>
      </c>
      <c r="C158" s="7" t="s">
        <v>154</v>
      </c>
      <c r="D158" s="7" t="n">
        <v>91</v>
      </c>
      <c r="E158" s="7" t="n">
        <v>63</v>
      </c>
      <c r="F158" s="3" t="n">
        <f aca="false">COUNTIFS($B$2:$B$2705,B158,$C$2:$C$2705,C158)</f>
        <v>3</v>
      </c>
      <c r="G158" s="3" t="n">
        <f aca="false">MIN(INT((MIN(B158,2020)-1900)/10)+1,12)</f>
        <v>2</v>
      </c>
      <c r="H158" s="3" t="n">
        <f aca="false">(MIN(B158,2020)-1900-10*(G158-1))/10</f>
        <v>0</v>
      </c>
      <c r="I158" s="20" t="n">
        <f aca="false">EXP(LN(INDEX(Pop_Inputs!$B$2:$N$29,MATCH(C158,Pop_Inputs!$A$2:$A$29,0),G158))*(1-H158)+LN(INDEX(Pop_Inputs!$B$2:$N$29,MATCH(C158,Pop_Inputs!$A$2:$A$29,0),G158+1))*H158)</f>
        <v>4766883</v>
      </c>
      <c r="J158" s="20" t="n">
        <f aca="false">I158/F158</f>
        <v>1588961</v>
      </c>
      <c r="K158" s="21" t="n">
        <f aca="false">D158/(D158+E158)</f>
        <v>0.590909090909091</v>
      </c>
      <c r="L158" s="21" t="n">
        <f aca="false">AVERAGEIFS($K$2:$K$2705,$B$2:$B$2705,B158)</f>
        <v>0.50021011962011</v>
      </c>
      <c r="M158" s="21" t="n">
        <f aca="false">K158-L158</f>
        <v>0.0906989712889814</v>
      </c>
      <c r="N158" s="21" t="n">
        <f aca="false">LN(J158)</f>
        <v>14.2785909014795</v>
      </c>
      <c r="O158" s="21" t="n">
        <f aca="false">AVERAGEIFS($N$2:$N$2705,$B$2:$B$2705,B158)</f>
        <v>13.3558491743855</v>
      </c>
      <c r="P158" s="21" t="n">
        <f aca="false">N158-O158</f>
        <v>0.922741727093998</v>
      </c>
      <c r="Q158" s="7" t="n">
        <v>0</v>
      </c>
      <c r="R158" s="3" t="n">
        <f aca="false">IF(AND(Q158=1,B158-_xlfn.MINIFS($B$2:$B$2705,$A$2:$A$2705,A158)&lt;10),1,0)</f>
        <v>0</v>
      </c>
      <c r="S158" s="7" t="n">
        <v>0</v>
      </c>
      <c r="T158" s="3" t="n">
        <f aca="false">_xlfn.MINIFS($B$2:$B$2705,$A$2:$A$2705,A158)</f>
        <v>1901</v>
      </c>
      <c r="U158" s="3" t="n">
        <f aca="false">B158-T158</f>
        <v>9</v>
      </c>
      <c r="V158" s="3" t="str">
        <f aca="false">INDEX(Pop_Inputs!$Q$2:$Q$29,MATCH(C158,Pop_Inputs!$A$2:$A$29,0))</f>
        <v>Northeast</v>
      </c>
      <c r="W158" s="30"/>
      <c r="X158" s="3" t="str">
        <f aca="false">IF(W158="","",LN(W158))</f>
        <v/>
      </c>
      <c r="Y158" s="3" t="str">
        <f aca="false">IF(X158="","",X158-AVERAGEIFS($X$2:$X$2705,$B$2:$B$2705,B158))</f>
        <v/>
      </c>
      <c r="Z158" s="21" t="n">
        <f aca="false">P158</f>
        <v>0.922741727093998</v>
      </c>
      <c r="AA158" s="3" t="n">
        <f aca="false">R158</f>
        <v>0</v>
      </c>
      <c r="AB158" s="21" t="n">
        <f aca="false">P158</f>
        <v>0.922741727093998</v>
      </c>
      <c r="AC158" s="3" t="str">
        <f aca="false">Y158</f>
        <v/>
      </c>
      <c r="AD158" s="3" t="n">
        <f aca="false">R158</f>
        <v>0</v>
      </c>
    </row>
    <row r="159" customFormat="false" ht="15" hidden="false" customHeight="true" outlineLevel="0" collapsed="false">
      <c r="A159" s="7" t="s">
        <v>59</v>
      </c>
      <c r="B159" s="7" t="n">
        <v>1910</v>
      </c>
      <c r="C159" s="7" t="s">
        <v>145</v>
      </c>
      <c r="D159" s="7" t="n">
        <v>63</v>
      </c>
      <c r="E159" s="7" t="n">
        <v>90</v>
      </c>
      <c r="F159" s="3" t="n">
        <f aca="false">COUNTIFS($B$2:$B$2705,B159,$C$2:$C$2705,C159)</f>
        <v>2</v>
      </c>
      <c r="G159" s="3" t="n">
        <f aca="false">MIN(INT((MIN(B159,2020)-1900)/10)+1,12)</f>
        <v>2</v>
      </c>
      <c r="H159" s="3" t="n">
        <f aca="false">(MIN(B159,2020)-1900-10*(G159-1))/10</f>
        <v>0</v>
      </c>
      <c r="I159" s="20" t="n">
        <f aca="false">EXP(LN(INDEX(Pop_Inputs!$B$2:$N$29,MATCH(C159,Pop_Inputs!$A$2:$A$29,0),G159))*(1-H159)+LN(INDEX(Pop_Inputs!$B$2:$N$29,MATCH(C159,Pop_Inputs!$A$2:$A$29,0),G159+1))*H159)</f>
        <v>687029</v>
      </c>
      <c r="J159" s="20" t="n">
        <f aca="false">I159/F159</f>
        <v>343514.5</v>
      </c>
      <c r="K159" s="21" t="n">
        <f aca="false">D159/(D159+E159)</f>
        <v>0.411764705882353</v>
      </c>
      <c r="L159" s="21" t="n">
        <f aca="false">AVERAGEIFS($K$2:$K$2705,$B$2:$B$2705,B159)</f>
        <v>0.50021011962011</v>
      </c>
      <c r="M159" s="21" t="n">
        <f aca="false">K159-L159</f>
        <v>-0.0884454137377566</v>
      </c>
      <c r="N159" s="21" t="n">
        <f aca="false">LN(J159)</f>
        <v>12.7469846022718</v>
      </c>
      <c r="O159" s="21" t="n">
        <f aca="false">AVERAGEIFS($N$2:$N$2705,$B$2:$B$2705,B159)</f>
        <v>13.3558491743855</v>
      </c>
      <c r="P159" s="21" t="n">
        <f aca="false">N159-O159</f>
        <v>-0.608864572113641</v>
      </c>
      <c r="Q159" s="7" t="n">
        <v>0</v>
      </c>
      <c r="R159" s="3" t="n">
        <f aca="false">IF(AND(Q159=1,B159-_xlfn.MINIFS($B$2:$B$2705,$A$2:$A$2705,A159)&lt;10),1,0)</f>
        <v>0</v>
      </c>
      <c r="S159" s="7" t="n">
        <v>0</v>
      </c>
      <c r="T159" s="3" t="n">
        <f aca="false">_xlfn.MINIFS($B$2:$B$2705,$A$2:$A$2705,A159)</f>
        <v>1901</v>
      </c>
      <c r="U159" s="3" t="n">
        <f aca="false">B159-T159</f>
        <v>9</v>
      </c>
      <c r="V159" s="3" t="str">
        <f aca="false">INDEX(Pop_Inputs!$Q$2:$Q$29,MATCH(C159,Pop_Inputs!$A$2:$A$29,0))</f>
        <v>Midwest</v>
      </c>
      <c r="W159" s="30"/>
      <c r="X159" s="3" t="str">
        <f aca="false">IF(W159="","",LN(W159))</f>
        <v/>
      </c>
      <c r="Y159" s="3" t="str">
        <f aca="false">IF(X159="","",X159-AVERAGEIFS($X$2:$X$2705,$B$2:$B$2705,B159))</f>
        <v/>
      </c>
      <c r="Z159" s="21" t="n">
        <f aca="false">P159</f>
        <v>-0.608864572113641</v>
      </c>
      <c r="AA159" s="3" t="n">
        <f aca="false">R159</f>
        <v>0</v>
      </c>
      <c r="AB159" s="21" t="n">
        <f aca="false">P159</f>
        <v>-0.608864572113641</v>
      </c>
      <c r="AC159" s="3" t="str">
        <f aca="false">Y159</f>
        <v/>
      </c>
      <c r="AD159" s="3" t="n">
        <f aca="false">R159</f>
        <v>0</v>
      </c>
    </row>
    <row r="160" customFormat="false" ht="15" hidden="false" customHeight="true" outlineLevel="0" collapsed="false">
      <c r="A160" s="7" t="s">
        <v>54</v>
      </c>
      <c r="B160" s="7" t="n">
        <v>1911</v>
      </c>
      <c r="C160" s="7" t="s">
        <v>150</v>
      </c>
      <c r="D160" s="7" t="n">
        <v>44</v>
      </c>
      <c r="E160" s="7" t="n">
        <v>107</v>
      </c>
      <c r="F160" s="3" t="n">
        <f aca="false">COUNTIFS($B$2:$B$2705,B160,$C$2:$C$2705,C160)</f>
        <v>2</v>
      </c>
      <c r="G160" s="3" t="n">
        <f aca="false">MIN(INT((MIN(B160,2020)-1900)/10)+1,12)</f>
        <v>2</v>
      </c>
      <c r="H160" s="3" t="n">
        <f aca="false">(MIN(B160,2020)-1900-10*(G160-1))/10</f>
        <v>0.1</v>
      </c>
      <c r="I160" s="20" t="n">
        <f aca="false">EXP(LN(INDEX(Pop_Inputs!$B$2:$N$29,MATCH(C160,Pop_Inputs!$A$2:$A$29,0),G160))*(1-H160)+LN(INDEX(Pop_Inputs!$B$2:$N$29,MATCH(C160,Pop_Inputs!$A$2:$A$29,0),G160+1))*H160)</f>
        <v>677956.91453938</v>
      </c>
      <c r="J160" s="20" t="n">
        <f aca="false">I160/F160</f>
        <v>338978.45726969</v>
      </c>
      <c r="K160" s="21" t="n">
        <f aca="false">D160/(D160+E160)</f>
        <v>0.291390728476821</v>
      </c>
      <c r="L160" s="21" t="n">
        <f aca="false">AVERAGEIFS($K$2:$K$2705,$B$2:$B$2705,B160)</f>
        <v>0.499757660335218</v>
      </c>
      <c r="M160" s="21" t="n">
        <f aca="false">K160-L160</f>
        <v>-0.208366931858396</v>
      </c>
      <c r="N160" s="21" t="n">
        <f aca="false">LN(J160)</f>
        <v>12.7336918364663</v>
      </c>
      <c r="O160" s="21" t="n">
        <f aca="false">AVERAGEIFS($N$2:$N$2705,$B$2:$B$2705,B160)</f>
        <v>13.3763668687973</v>
      </c>
      <c r="P160" s="21" t="n">
        <f aca="false">N160-O160</f>
        <v>-0.642675032330988</v>
      </c>
      <c r="Q160" s="7" t="n">
        <v>0</v>
      </c>
      <c r="R160" s="3" t="n">
        <f aca="false">IF(AND(Q160=1,B160-_xlfn.MINIFS($B$2:$B$2705,$A$2:$A$2705,A160)&lt;10),1,0)</f>
        <v>0</v>
      </c>
      <c r="S160" s="7" t="n">
        <v>0</v>
      </c>
      <c r="T160" s="3" t="n">
        <f aca="false">_xlfn.MINIFS($B$2:$B$2705,$A$2:$A$2705,A160)</f>
        <v>1901</v>
      </c>
      <c r="U160" s="3" t="n">
        <f aca="false">B160-T160</f>
        <v>10</v>
      </c>
      <c r="V160" s="3" t="str">
        <f aca="false">INDEX(Pop_Inputs!$Q$2:$Q$29,MATCH(C160,Pop_Inputs!$A$2:$A$29,0))</f>
        <v>Northeast</v>
      </c>
      <c r="W160" s="30"/>
      <c r="X160" s="3" t="str">
        <f aca="false">IF(W160="","",LN(W160))</f>
        <v/>
      </c>
      <c r="Y160" s="3" t="str">
        <f aca="false">IF(X160="","",X160-AVERAGEIFS($X$2:$X$2705,$B$2:$B$2705,B160))</f>
        <v/>
      </c>
      <c r="Z160" s="21" t="n">
        <f aca="false">P160</f>
        <v>-0.642675032330988</v>
      </c>
      <c r="AA160" s="3" t="n">
        <f aca="false">R160</f>
        <v>0</v>
      </c>
      <c r="AB160" s="21" t="n">
        <f aca="false">P160</f>
        <v>-0.642675032330988</v>
      </c>
      <c r="AC160" s="3" t="str">
        <f aca="false">Y160</f>
        <v/>
      </c>
      <c r="AD160" s="3" t="n">
        <f aca="false">R160</f>
        <v>0</v>
      </c>
    </row>
    <row r="161" customFormat="false" ht="15" hidden="false" customHeight="true" outlineLevel="0" collapsed="false">
      <c r="A161" s="7" t="s">
        <v>63</v>
      </c>
      <c r="B161" s="7" t="n">
        <v>1911</v>
      </c>
      <c r="C161" s="7" t="s">
        <v>145</v>
      </c>
      <c r="D161" s="7" t="n">
        <v>45</v>
      </c>
      <c r="E161" s="7" t="n">
        <v>107</v>
      </c>
      <c r="F161" s="3" t="n">
        <f aca="false">COUNTIFS($B$2:$B$2705,B161,$C$2:$C$2705,C161)</f>
        <v>2</v>
      </c>
      <c r="G161" s="3" t="n">
        <f aca="false">MIN(INT((MIN(B161,2020)-1900)/10)+1,12)</f>
        <v>2</v>
      </c>
      <c r="H161" s="3" t="n">
        <f aca="false">(MIN(B161,2020)-1900-10*(G161-1))/10</f>
        <v>0.1</v>
      </c>
      <c r="I161" s="20" t="n">
        <f aca="false">EXP(LN(INDEX(Pop_Inputs!$B$2:$N$29,MATCH(C161,Pop_Inputs!$A$2:$A$29,0),G161))*(1-H161)+LN(INDEX(Pop_Inputs!$B$2:$N$29,MATCH(C161,Pop_Inputs!$A$2:$A$29,0),G161+1))*H161)</f>
        <v>695167.923360744</v>
      </c>
      <c r="J161" s="20" t="n">
        <f aca="false">I161/F161</f>
        <v>347583.961680372</v>
      </c>
      <c r="K161" s="21" t="n">
        <f aca="false">D161/(D161+E161)</f>
        <v>0.296052631578947</v>
      </c>
      <c r="L161" s="21" t="n">
        <f aca="false">AVERAGEIFS($K$2:$K$2705,$B$2:$B$2705,B161)</f>
        <v>0.499757660335218</v>
      </c>
      <c r="M161" s="21" t="n">
        <f aca="false">K161-L161</f>
        <v>-0.20370502875627</v>
      </c>
      <c r="N161" s="21" t="n">
        <f aca="false">LN(J161)</f>
        <v>12.7587615311489</v>
      </c>
      <c r="O161" s="21" t="n">
        <f aca="false">AVERAGEIFS($N$2:$N$2705,$B$2:$B$2705,B161)</f>
        <v>13.3763668687973</v>
      </c>
      <c r="P161" s="21" t="n">
        <f aca="false">N161-O161</f>
        <v>-0.617605337648454</v>
      </c>
      <c r="Q161" s="7" t="n">
        <v>0</v>
      </c>
      <c r="R161" s="3" t="n">
        <f aca="false">IF(AND(Q161=1,B161-_xlfn.MINIFS($B$2:$B$2705,$A$2:$A$2705,A161)&lt;10),1,0)</f>
        <v>0</v>
      </c>
      <c r="S161" s="7" t="n">
        <v>0</v>
      </c>
      <c r="T161" s="3" t="n">
        <f aca="false">_xlfn.MINIFS($B$2:$B$2705,$A$2:$A$2705,A161)</f>
        <v>1901</v>
      </c>
      <c r="U161" s="3" t="n">
        <f aca="false">B161-T161</f>
        <v>10</v>
      </c>
      <c r="V161" s="3" t="str">
        <f aca="false">INDEX(Pop_Inputs!$Q$2:$Q$29,MATCH(C161,Pop_Inputs!$A$2:$A$29,0))</f>
        <v>Midwest</v>
      </c>
      <c r="W161" s="30"/>
      <c r="X161" s="3" t="str">
        <f aca="false">IF(W161="","",LN(W161))</f>
        <v/>
      </c>
      <c r="Y161" s="3" t="str">
        <f aca="false">IF(X161="","",X161-AVERAGEIFS($X$2:$X$2705,$B$2:$B$2705,B161))</f>
        <v/>
      </c>
      <c r="Z161" s="21" t="n">
        <f aca="false">P161</f>
        <v>-0.617605337648454</v>
      </c>
      <c r="AA161" s="3" t="n">
        <f aca="false">R161</f>
        <v>0</v>
      </c>
      <c r="AB161" s="21" t="n">
        <f aca="false">P161</f>
        <v>-0.617605337648454</v>
      </c>
      <c r="AC161" s="3" t="str">
        <f aca="false">Y161</f>
        <v/>
      </c>
      <c r="AD161" s="3" t="n">
        <f aca="false">R161</f>
        <v>0</v>
      </c>
    </row>
    <row r="162" customFormat="false" ht="15" hidden="false" customHeight="true" outlineLevel="0" collapsed="false">
      <c r="A162" s="7" t="s">
        <v>64</v>
      </c>
      <c r="B162" s="7" t="n">
        <v>1911</v>
      </c>
      <c r="C162" s="7" t="s">
        <v>150</v>
      </c>
      <c r="D162" s="7" t="n">
        <v>78</v>
      </c>
      <c r="E162" s="7" t="n">
        <v>75</v>
      </c>
      <c r="F162" s="3" t="n">
        <f aca="false">COUNTIFS($B$2:$B$2705,B162,$C$2:$C$2705,C162)</f>
        <v>2</v>
      </c>
      <c r="G162" s="3" t="n">
        <f aca="false">MIN(INT((MIN(B162,2020)-1900)/10)+1,12)</f>
        <v>2</v>
      </c>
      <c r="H162" s="3" t="n">
        <f aca="false">(MIN(B162,2020)-1900-10*(G162-1))/10</f>
        <v>0.1</v>
      </c>
      <c r="I162" s="20" t="n">
        <f aca="false">EXP(LN(INDEX(Pop_Inputs!$B$2:$N$29,MATCH(C162,Pop_Inputs!$A$2:$A$29,0),G162))*(1-H162)+LN(INDEX(Pop_Inputs!$B$2:$N$29,MATCH(C162,Pop_Inputs!$A$2:$A$29,0),G162+1))*H162)</f>
        <v>677956.91453938</v>
      </c>
      <c r="J162" s="20" t="n">
        <f aca="false">I162/F162</f>
        <v>338978.45726969</v>
      </c>
      <c r="K162" s="21" t="n">
        <f aca="false">D162/(D162+E162)</f>
        <v>0.509803921568627</v>
      </c>
      <c r="L162" s="21" t="n">
        <f aca="false">AVERAGEIFS($K$2:$K$2705,$B$2:$B$2705,B162)</f>
        <v>0.499757660335218</v>
      </c>
      <c r="M162" s="21" t="n">
        <f aca="false">K162-L162</f>
        <v>0.0100462612334099</v>
      </c>
      <c r="N162" s="21" t="n">
        <f aca="false">LN(J162)</f>
        <v>12.7336918364663</v>
      </c>
      <c r="O162" s="21" t="n">
        <f aca="false">AVERAGEIFS($N$2:$N$2705,$B$2:$B$2705,B162)</f>
        <v>13.3763668687973</v>
      </c>
      <c r="P162" s="21" t="n">
        <f aca="false">N162-O162</f>
        <v>-0.642675032330988</v>
      </c>
      <c r="Q162" s="7" t="n">
        <v>0</v>
      </c>
      <c r="R162" s="3" t="n">
        <f aca="false">IF(AND(Q162=1,B162-_xlfn.MINIFS($B$2:$B$2705,$A$2:$A$2705,A162)&lt;10),1,0)</f>
        <v>0</v>
      </c>
      <c r="S162" s="7" t="n">
        <v>0</v>
      </c>
      <c r="T162" s="3" t="n">
        <f aca="false">_xlfn.MINIFS($B$2:$B$2705,$A$2:$A$2705,A162)</f>
        <v>1901</v>
      </c>
      <c r="U162" s="3" t="n">
        <f aca="false">B162-T162</f>
        <v>10</v>
      </c>
      <c r="V162" s="3" t="str">
        <f aca="false">INDEX(Pop_Inputs!$Q$2:$Q$29,MATCH(C162,Pop_Inputs!$A$2:$A$29,0))</f>
        <v>Northeast</v>
      </c>
      <c r="W162" s="30"/>
      <c r="X162" s="3" t="str">
        <f aca="false">IF(W162="","",LN(W162))</f>
        <v/>
      </c>
      <c r="Y162" s="3" t="str">
        <f aca="false">IF(X162="","",X162-AVERAGEIFS($X$2:$X$2705,$B$2:$B$2705,B162))</f>
        <v/>
      </c>
      <c r="Z162" s="21" t="n">
        <f aca="false">P162</f>
        <v>-0.642675032330988</v>
      </c>
      <c r="AA162" s="3" t="n">
        <f aca="false">R162</f>
        <v>0</v>
      </c>
      <c r="AB162" s="21" t="n">
        <f aca="false">P162</f>
        <v>-0.642675032330988</v>
      </c>
      <c r="AC162" s="3" t="str">
        <f aca="false">Y162</f>
        <v/>
      </c>
      <c r="AD162" s="3" t="n">
        <f aca="false">R162</f>
        <v>0</v>
      </c>
    </row>
    <row r="163" customFormat="false" ht="15" hidden="false" customHeight="true" outlineLevel="0" collapsed="false">
      <c r="A163" s="7" t="s">
        <v>56</v>
      </c>
      <c r="B163" s="7" t="n">
        <v>1911</v>
      </c>
      <c r="C163" s="7" t="s">
        <v>142</v>
      </c>
      <c r="D163" s="7" t="n">
        <v>92</v>
      </c>
      <c r="E163" s="7" t="n">
        <v>62</v>
      </c>
      <c r="F163" s="3" t="n">
        <f aca="false">COUNTIFS($B$2:$B$2705,B163,$C$2:$C$2705,C163)</f>
        <v>2</v>
      </c>
      <c r="G163" s="3" t="n">
        <f aca="false">MIN(INT((MIN(B163,2020)-1900)/10)+1,12)</f>
        <v>2</v>
      </c>
      <c r="H163" s="3" t="n">
        <f aca="false">(MIN(B163,2020)-1900-10*(G163-1))/10</f>
        <v>0.1</v>
      </c>
      <c r="I163" s="20" t="n">
        <f aca="false">EXP(LN(INDEX(Pop_Inputs!$B$2:$N$29,MATCH(C163,Pop_Inputs!$A$2:$A$29,0),G163))*(1-H163)+LN(INDEX(Pop_Inputs!$B$2:$N$29,MATCH(C163,Pop_Inputs!$A$2:$A$29,0),G163+1))*H163)</f>
        <v>2232136.30492538</v>
      </c>
      <c r="J163" s="20" t="n">
        <f aca="false">I163/F163</f>
        <v>1116068.15246269</v>
      </c>
      <c r="K163" s="21" t="n">
        <f aca="false">D163/(D163+E163)</f>
        <v>0.597402597402597</v>
      </c>
      <c r="L163" s="21" t="n">
        <f aca="false">AVERAGEIFS($K$2:$K$2705,$B$2:$B$2705,B163)</f>
        <v>0.499757660335218</v>
      </c>
      <c r="M163" s="21" t="n">
        <f aca="false">K163-L163</f>
        <v>0.0976449370673799</v>
      </c>
      <c r="N163" s="21" t="n">
        <f aca="false">LN(J163)</f>
        <v>13.9253224885737</v>
      </c>
      <c r="O163" s="21" t="n">
        <f aca="false">AVERAGEIFS($N$2:$N$2705,$B$2:$B$2705,B163)</f>
        <v>13.3763668687973</v>
      </c>
      <c r="P163" s="21" t="n">
        <f aca="false">N163-O163</f>
        <v>0.548955619776439</v>
      </c>
      <c r="Q163" s="7" t="n">
        <v>0</v>
      </c>
      <c r="R163" s="3" t="n">
        <f aca="false">IF(AND(Q163=1,B163-_xlfn.MINIFS($B$2:$B$2705,$A$2:$A$2705,A163)&lt;10),1,0)</f>
        <v>0</v>
      </c>
      <c r="S163" s="7" t="n">
        <v>0</v>
      </c>
      <c r="T163" s="3" t="n">
        <f aca="false">_xlfn.MINIFS($B$2:$B$2705,$A$2:$A$2705,A163)</f>
        <v>1901</v>
      </c>
      <c r="U163" s="3" t="n">
        <f aca="false">B163-T163</f>
        <v>10</v>
      </c>
      <c r="V163" s="3" t="str">
        <f aca="false">INDEX(Pop_Inputs!$Q$2:$Q$29,MATCH(C163,Pop_Inputs!$A$2:$A$29,0))</f>
        <v>Midwest</v>
      </c>
      <c r="W163" s="30"/>
      <c r="X163" s="3" t="str">
        <f aca="false">IF(W163="","",LN(W163))</f>
        <v/>
      </c>
      <c r="Y163" s="3" t="str">
        <f aca="false">IF(X163="","",X163-AVERAGEIFS($X$2:$X$2705,$B$2:$B$2705,B163))</f>
        <v/>
      </c>
      <c r="Z163" s="21" t="n">
        <f aca="false">P163</f>
        <v>0.548955619776439</v>
      </c>
      <c r="AA163" s="3" t="n">
        <f aca="false">R163</f>
        <v>0</v>
      </c>
      <c r="AB163" s="21" t="n">
        <f aca="false">P163</f>
        <v>0.548955619776439</v>
      </c>
      <c r="AC163" s="3" t="str">
        <f aca="false">Y163</f>
        <v/>
      </c>
      <c r="AD163" s="3" t="n">
        <f aca="false">R163</f>
        <v>0</v>
      </c>
    </row>
    <row r="164" customFormat="false" ht="15" hidden="false" customHeight="true" outlineLevel="0" collapsed="false">
      <c r="A164" s="7" t="s">
        <v>65</v>
      </c>
      <c r="B164" s="7" t="n">
        <v>1911</v>
      </c>
      <c r="C164" s="7" t="s">
        <v>142</v>
      </c>
      <c r="D164" s="7" t="n">
        <v>77</v>
      </c>
      <c r="E164" s="7" t="n">
        <v>74</v>
      </c>
      <c r="F164" s="3" t="n">
        <f aca="false">COUNTIFS($B$2:$B$2705,B164,$C$2:$C$2705,C164)</f>
        <v>2</v>
      </c>
      <c r="G164" s="3" t="n">
        <f aca="false">MIN(INT((MIN(B164,2020)-1900)/10)+1,12)</f>
        <v>2</v>
      </c>
      <c r="H164" s="3" t="n">
        <f aca="false">(MIN(B164,2020)-1900-10*(G164-1))/10</f>
        <v>0.1</v>
      </c>
      <c r="I164" s="20" t="n">
        <f aca="false">EXP(LN(INDEX(Pop_Inputs!$B$2:$N$29,MATCH(C164,Pop_Inputs!$A$2:$A$29,0),G164))*(1-H164)+LN(INDEX(Pop_Inputs!$B$2:$N$29,MATCH(C164,Pop_Inputs!$A$2:$A$29,0),G164+1))*H164)</f>
        <v>2232136.30492538</v>
      </c>
      <c r="J164" s="20" t="n">
        <f aca="false">I164/F164</f>
        <v>1116068.15246269</v>
      </c>
      <c r="K164" s="21" t="n">
        <f aca="false">D164/(D164+E164)</f>
        <v>0.509933774834437</v>
      </c>
      <c r="L164" s="21" t="n">
        <f aca="false">AVERAGEIFS($K$2:$K$2705,$B$2:$B$2705,B164)</f>
        <v>0.499757660335218</v>
      </c>
      <c r="M164" s="21" t="n">
        <f aca="false">K164-L164</f>
        <v>0.0101761144992196</v>
      </c>
      <c r="N164" s="21" t="n">
        <f aca="false">LN(J164)</f>
        <v>13.9253224885737</v>
      </c>
      <c r="O164" s="21" t="n">
        <f aca="false">AVERAGEIFS($N$2:$N$2705,$B$2:$B$2705,B164)</f>
        <v>13.3763668687973</v>
      </c>
      <c r="P164" s="21" t="n">
        <f aca="false">N164-O164</f>
        <v>0.548955619776439</v>
      </c>
      <c r="Q164" s="7" t="n">
        <v>0</v>
      </c>
      <c r="R164" s="3" t="n">
        <f aca="false">IF(AND(Q164=1,B164-_xlfn.MINIFS($B$2:$B$2705,$A$2:$A$2705,A164)&lt;10),1,0)</f>
        <v>0</v>
      </c>
      <c r="S164" s="7" t="n">
        <v>0</v>
      </c>
      <c r="T164" s="3" t="n">
        <f aca="false">_xlfn.MINIFS($B$2:$B$2705,$A$2:$A$2705,A164)</f>
        <v>1901</v>
      </c>
      <c r="U164" s="3" t="n">
        <f aca="false">B164-T164</f>
        <v>10</v>
      </c>
      <c r="V164" s="3" t="str">
        <f aca="false">INDEX(Pop_Inputs!$Q$2:$Q$29,MATCH(C164,Pop_Inputs!$A$2:$A$29,0))</f>
        <v>Midwest</v>
      </c>
      <c r="W164" s="30"/>
      <c r="X164" s="3" t="str">
        <f aca="false">IF(W164="","",LN(W164))</f>
        <v/>
      </c>
      <c r="Y164" s="3" t="str">
        <f aca="false">IF(X164="","",X164-AVERAGEIFS($X$2:$X$2705,$B$2:$B$2705,B164))</f>
        <v/>
      </c>
      <c r="Z164" s="21" t="n">
        <f aca="false">P164</f>
        <v>0.548955619776439</v>
      </c>
      <c r="AA164" s="3" t="n">
        <f aca="false">R164</f>
        <v>0</v>
      </c>
      <c r="AB164" s="21" t="n">
        <f aca="false">P164</f>
        <v>0.548955619776439</v>
      </c>
      <c r="AC164" s="3" t="str">
        <f aca="false">Y164</f>
        <v/>
      </c>
      <c r="AD164" s="3" t="n">
        <f aca="false">R164</f>
        <v>0</v>
      </c>
    </row>
    <row r="165" customFormat="false" ht="15" hidden="false" customHeight="true" outlineLevel="0" collapsed="false">
      <c r="A165" s="7" t="s">
        <v>57</v>
      </c>
      <c r="B165" s="7" t="n">
        <v>1911</v>
      </c>
      <c r="C165" s="7" t="s">
        <v>143</v>
      </c>
      <c r="D165" s="7" t="n">
        <v>70</v>
      </c>
      <c r="E165" s="7" t="n">
        <v>83</v>
      </c>
      <c r="F165" s="3" t="n">
        <f aca="false">COUNTIFS($B$2:$B$2705,B165,$C$2:$C$2705,C165)</f>
        <v>1</v>
      </c>
      <c r="G165" s="3" t="n">
        <f aca="false">MIN(INT((MIN(B165,2020)-1900)/10)+1,12)</f>
        <v>2</v>
      </c>
      <c r="H165" s="3" t="n">
        <f aca="false">(MIN(B165,2020)-1900-10*(G165-1))/10</f>
        <v>0.1</v>
      </c>
      <c r="I165" s="20" t="n">
        <f aca="false">EXP(LN(INDEX(Pop_Inputs!$B$2:$N$29,MATCH(C165,Pop_Inputs!$A$2:$A$29,0),G165))*(1-H165)+LN(INDEX(Pop_Inputs!$B$2:$N$29,MATCH(C165,Pop_Inputs!$A$2:$A$29,0),G165+1))*H165)</f>
        <v>367191.815056819</v>
      </c>
      <c r="J165" s="20" t="n">
        <f aca="false">I165/F165</f>
        <v>367191.815056819</v>
      </c>
      <c r="K165" s="21" t="n">
        <f aca="false">D165/(D165+E165)</f>
        <v>0.457516339869281</v>
      </c>
      <c r="L165" s="21" t="n">
        <f aca="false">AVERAGEIFS($K$2:$K$2705,$B$2:$B$2705,B165)</f>
        <v>0.499757660335218</v>
      </c>
      <c r="M165" s="21" t="n">
        <f aca="false">K165-L165</f>
        <v>-0.0422413204659365</v>
      </c>
      <c r="N165" s="21" t="n">
        <f aca="false">LN(J165)</f>
        <v>12.8136396473298</v>
      </c>
      <c r="O165" s="21" t="n">
        <f aca="false">AVERAGEIFS($N$2:$N$2705,$B$2:$B$2705,B165)</f>
        <v>13.3763668687973</v>
      </c>
      <c r="P165" s="21" t="n">
        <f aca="false">N165-O165</f>
        <v>-0.562727221467535</v>
      </c>
      <c r="Q165" s="7" t="n">
        <v>0</v>
      </c>
      <c r="R165" s="3" t="n">
        <f aca="false">IF(AND(Q165=1,B165-_xlfn.MINIFS($B$2:$B$2705,$A$2:$A$2705,A165)&lt;10),1,0)</f>
        <v>0</v>
      </c>
      <c r="S165" s="7" t="n">
        <v>0</v>
      </c>
      <c r="T165" s="3" t="n">
        <f aca="false">_xlfn.MINIFS($B$2:$B$2705,$A$2:$A$2705,A165)</f>
        <v>1901</v>
      </c>
      <c r="U165" s="3" t="n">
        <f aca="false">B165-T165</f>
        <v>10</v>
      </c>
      <c r="V165" s="3" t="str">
        <f aca="false">INDEX(Pop_Inputs!$Q$2:$Q$29,MATCH(C165,Pop_Inputs!$A$2:$A$29,0))</f>
        <v>Midwest</v>
      </c>
      <c r="W165" s="30"/>
      <c r="X165" s="3" t="str">
        <f aca="false">IF(W165="","",LN(W165))</f>
        <v/>
      </c>
      <c r="Y165" s="3" t="str">
        <f aca="false">IF(X165="","",X165-AVERAGEIFS($X$2:$X$2705,$B$2:$B$2705,B165))</f>
        <v/>
      </c>
      <c r="Z165" s="21" t="n">
        <f aca="false">P165</f>
        <v>-0.562727221467535</v>
      </c>
      <c r="AA165" s="3" t="n">
        <f aca="false">R165</f>
        <v>0</v>
      </c>
      <c r="AB165" s="21" t="n">
        <f aca="false">P165</f>
        <v>-0.562727221467535</v>
      </c>
      <c r="AC165" s="3" t="str">
        <f aca="false">Y165</f>
        <v/>
      </c>
      <c r="AD165" s="3" t="n">
        <f aca="false">R165</f>
        <v>0</v>
      </c>
    </row>
    <row r="166" customFormat="false" ht="15" hidden="false" customHeight="true" outlineLevel="0" collapsed="false">
      <c r="A166" s="7" t="s">
        <v>66</v>
      </c>
      <c r="B166" s="7" t="n">
        <v>1911</v>
      </c>
      <c r="C166" s="7" t="s">
        <v>151</v>
      </c>
      <c r="D166" s="7" t="n">
        <v>80</v>
      </c>
      <c r="E166" s="7" t="n">
        <v>73</v>
      </c>
      <c r="F166" s="3" t="n">
        <f aca="false">COUNTIFS($B$2:$B$2705,B166,$C$2:$C$2705,C166)</f>
        <v>1</v>
      </c>
      <c r="G166" s="3" t="n">
        <f aca="false">MIN(INT((MIN(B166,2020)-1900)/10)+1,12)</f>
        <v>2</v>
      </c>
      <c r="H166" s="3" t="n">
        <f aca="false">(MIN(B166,2020)-1900-10*(G166-1))/10</f>
        <v>0.1</v>
      </c>
      <c r="I166" s="20" t="n">
        <f aca="false">EXP(LN(INDEX(Pop_Inputs!$B$2:$N$29,MATCH(C166,Pop_Inputs!$A$2:$A$29,0),G166))*(1-H166)+LN(INDEX(Pop_Inputs!$B$2:$N$29,MATCH(C166,Pop_Inputs!$A$2:$A$29,0),G166+1))*H166)</f>
        <v>580722.795540129</v>
      </c>
      <c r="J166" s="20" t="n">
        <f aca="false">I166/F166</f>
        <v>580722.795540129</v>
      </c>
      <c r="K166" s="21" t="n">
        <f aca="false">D166/(D166+E166)</f>
        <v>0.522875816993464</v>
      </c>
      <c r="L166" s="21" t="n">
        <f aca="false">AVERAGEIFS($K$2:$K$2705,$B$2:$B$2705,B166)</f>
        <v>0.499757660335218</v>
      </c>
      <c r="M166" s="21" t="n">
        <f aca="false">K166-L166</f>
        <v>0.0231181566582466</v>
      </c>
      <c r="N166" s="21" t="n">
        <f aca="false">LN(J166)</f>
        <v>13.272028805868</v>
      </c>
      <c r="O166" s="21" t="n">
        <f aca="false">AVERAGEIFS($N$2:$N$2705,$B$2:$B$2705,B166)</f>
        <v>13.3763668687973</v>
      </c>
      <c r="P166" s="21" t="n">
        <f aca="false">N166-O166</f>
        <v>-0.104338062929296</v>
      </c>
      <c r="Q166" s="7" t="n">
        <v>0</v>
      </c>
      <c r="R166" s="3" t="n">
        <f aca="false">IF(AND(Q166=1,B166-_xlfn.MINIFS($B$2:$B$2705,$A$2:$A$2705,A166)&lt;10),1,0)</f>
        <v>0</v>
      </c>
      <c r="S166" s="7" t="n">
        <v>0</v>
      </c>
      <c r="T166" s="3" t="n">
        <f aca="false">_xlfn.MINIFS($B$2:$B$2705,$A$2:$A$2705,A166)</f>
        <v>1901</v>
      </c>
      <c r="U166" s="3" t="n">
        <f aca="false">B166-T166</f>
        <v>10</v>
      </c>
      <c r="V166" s="3" t="str">
        <f aca="false">INDEX(Pop_Inputs!$Q$2:$Q$29,MATCH(C166,Pop_Inputs!$A$2:$A$29,0))</f>
        <v>Midwest</v>
      </c>
      <c r="W166" s="30"/>
      <c r="X166" s="3" t="str">
        <f aca="false">IF(W166="","",LN(W166))</f>
        <v/>
      </c>
      <c r="Y166" s="3" t="str">
        <f aca="false">IF(X166="","",X166-AVERAGEIFS($X$2:$X$2705,$B$2:$B$2705,B166))</f>
        <v/>
      </c>
      <c r="Z166" s="21" t="n">
        <f aca="false">P166</f>
        <v>-0.104338062929296</v>
      </c>
      <c r="AA166" s="3" t="n">
        <f aca="false">R166</f>
        <v>0</v>
      </c>
      <c r="AB166" s="21" t="n">
        <f aca="false">P166</f>
        <v>-0.104338062929296</v>
      </c>
      <c r="AC166" s="3" t="str">
        <f aca="false">Y166</f>
        <v/>
      </c>
      <c r="AD166" s="3" t="n">
        <f aca="false">R166</f>
        <v>0</v>
      </c>
    </row>
    <row r="167" customFormat="false" ht="15" hidden="false" customHeight="true" outlineLevel="0" collapsed="false">
      <c r="A167" s="7" t="s">
        <v>67</v>
      </c>
      <c r="B167" s="7" t="n">
        <v>1911</v>
      </c>
      <c r="C167" s="7" t="s">
        <v>152</v>
      </c>
      <c r="D167" s="7" t="n">
        <v>89</v>
      </c>
      <c r="E167" s="7" t="n">
        <v>65</v>
      </c>
      <c r="F167" s="3" t="n">
        <f aca="false">COUNTIFS($B$2:$B$2705,B167,$C$2:$C$2705,C167)</f>
        <v>1</v>
      </c>
      <c r="G167" s="3" t="n">
        <f aca="false">MIN(INT((MIN(B167,2020)-1900)/10)+1,12)</f>
        <v>2</v>
      </c>
      <c r="H167" s="3" t="n">
        <f aca="false">(MIN(B167,2020)-1900-10*(G167-1))/10</f>
        <v>0.1</v>
      </c>
      <c r="I167" s="20" t="n">
        <f aca="false">EXP(LN(INDEX(Pop_Inputs!$B$2:$N$29,MATCH(C167,Pop_Inputs!$A$2:$A$29,0),G167))*(1-H167)+LN(INDEX(Pop_Inputs!$B$2:$N$29,MATCH(C167,Pop_Inputs!$A$2:$A$29,0),G167+1))*H167)</f>
        <v>502430.010139646</v>
      </c>
      <c r="J167" s="20" t="n">
        <f aca="false">I167/F167</f>
        <v>502430.010139646</v>
      </c>
      <c r="K167" s="21" t="n">
        <f aca="false">D167/(D167+E167)</f>
        <v>0.577922077922078</v>
      </c>
      <c r="L167" s="21" t="n">
        <f aca="false">AVERAGEIFS($K$2:$K$2705,$B$2:$B$2705,B167)</f>
        <v>0.499757660335218</v>
      </c>
      <c r="M167" s="21" t="n">
        <f aca="false">K167-L167</f>
        <v>0.0781644175868604</v>
      </c>
      <c r="N167" s="21" t="n">
        <f aca="false">LN(J167)</f>
        <v>13.1272116259104</v>
      </c>
      <c r="O167" s="21" t="n">
        <f aca="false">AVERAGEIFS($N$2:$N$2705,$B$2:$B$2705,B167)</f>
        <v>13.3763668687973</v>
      </c>
      <c r="P167" s="21" t="n">
        <f aca="false">N167-O167</f>
        <v>-0.249155242886943</v>
      </c>
      <c r="Q167" s="7" t="n">
        <v>0</v>
      </c>
      <c r="R167" s="3" t="n">
        <f aca="false">IF(AND(Q167=1,B167-_xlfn.MINIFS($B$2:$B$2705,$A$2:$A$2705,A167)&lt;10),1,0)</f>
        <v>0</v>
      </c>
      <c r="S167" s="7" t="n">
        <v>0</v>
      </c>
      <c r="T167" s="3" t="n">
        <f aca="false">_xlfn.MINIFS($B$2:$B$2705,$A$2:$A$2705,A167)</f>
        <v>1901</v>
      </c>
      <c r="U167" s="3" t="n">
        <f aca="false">B167-T167</f>
        <v>10</v>
      </c>
      <c r="V167" s="3" t="str">
        <f aca="false">INDEX(Pop_Inputs!$Q$2:$Q$29,MATCH(C167,Pop_Inputs!$A$2:$A$29,0))</f>
        <v>Midwest</v>
      </c>
      <c r="W167" s="30"/>
      <c r="X167" s="3" t="str">
        <f aca="false">IF(W167="","",LN(W167))</f>
        <v/>
      </c>
      <c r="Y167" s="3" t="str">
        <f aca="false">IF(X167="","",X167-AVERAGEIFS($X$2:$X$2705,$B$2:$B$2705,B167))</f>
        <v/>
      </c>
      <c r="Z167" s="21" t="n">
        <f aca="false">P167</f>
        <v>-0.249155242886943</v>
      </c>
      <c r="AA167" s="3" t="n">
        <f aca="false">R167</f>
        <v>0</v>
      </c>
      <c r="AB167" s="21" t="n">
        <f aca="false">P167</f>
        <v>-0.249155242886943</v>
      </c>
      <c r="AC167" s="3" t="str">
        <f aca="false">Y167</f>
        <v/>
      </c>
      <c r="AD167" s="3" t="n">
        <f aca="false">R167</f>
        <v>0</v>
      </c>
    </row>
    <row r="168" customFormat="false" ht="15" hidden="false" customHeight="true" outlineLevel="0" collapsed="false">
      <c r="A168" s="7" t="s">
        <v>62</v>
      </c>
      <c r="B168" s="7" t="n">
        <v>1911</v>
      </c>
      <c r="C168" s="7" t="s">
        <v>154</v>
      </c>
      <c r="D168" s="7" t="n">
        <v>64</v>
      </c>
      <c r="E168" s="7" t="n">
        <v>86</v>
      </c>
      <c r="F168" s="3" t="n">
        <f aca="false">COUNTIFS($B$2:$B$2705,B168,$C$2:$C$2705,C168)</f>
        <v>3</v>
      </c>
      <c r="G168" s="3" t="n">
        <f aca="false">MIN(INT((MIN(B168,2020)-1900)/10)+1,12)</f>
        <v>2</v>
      </c>
      <c r="H168" s="3" t="n">
        <f aca="false">(MIN(B168,2020)-1900-10*(G168-1))/10</f>
        <v>0.1</v>
      </c>
      <c r="I168" s="20" t="n">
        <f aca="false">EXP(LN(INDEX(Pop_Inputs!$B$2:$N$29,MATCH(C168,Pop_Inputs!$A$2:$A$29,0),G168))*(1-H168)+LN(INDEX(Pop_Inputs!$B$2:$N$29,MATCH(C168,Pop_Inputs!$A$2:$A$29,0),G168+1))*H168)</f>
        <v>4846018.25515898</v>
      </c>
      <c r="J168" s="20" t="n">
        <f aca="false">I168/F168</f>
        <v>1615339.41838633</v>
      </c>
      <c r="K168" s="21" t="n">
        <f aca="false">D168/(D168+E168)</f>
        <v>0.426666666666667</v>
      </c>
      <c r="L168" s="21" t="n">
        <f aca="false">AVERAGEIFS($K$2:$K$2705,$B$2:$B$2705,B168)</f>
        <v>0.499757660335218</v>
      </c>
      <c r="M168" s="21" t="n">
        <f aca="false">K168-L168</f>
        <v>-0.0730909936685508</v>
      </c>
      <c r="N168" s="21" t="n">
        <f aca="false">LN(J168)</f>
        <v>14.2950556587406</v>
      </c>
      <c r="O168" s="21" t="n">
        <f aca="false">AVERAGEIFS($N$2:$N$2705,$B$2:$B$2705,B168)</f>
        <v>13.3763668687973</v>
      </c>
      <c r="P168" s="21" t="n">
        <f aca="false">N168-O168</f>
        <v>0.918688789943257</v>
      </c>
      <c r="Q168" s="7" t="n">
        <v>0</v>
      </c>
      <c r="R168" s="3" t="n">
        <f aca="false">IF(AND(Q168=1,B168-_xlfn.MINIFS($B$2:$B$2705,$A$2:$A$2705,A168)&lt;10),1,0)</f>
        <v>0</v>
      </c>
      <c r="S168" s="7" t="n">
        <v>0</v>
      </c>
      <c r="T168" s="3" t="n">
        <f aca="false">_xlfn.MINIFS($B$2:$B$2705,$A$2:$A$2705,A168)</f>
        <v>1901</v>
      </c>
      <c r="U168" s="3" t="n">
        <f aca="false">B168-T168</f>
        <v>10</v>
      </c>
      <c r="V168" s="3" t="str">
        <f aca="false">INDEX(Pop_Inputs!$Q$2:$Q$29,MATCH(C168,Pop_Inputs!$A$2:$A$29,0))</f>
        <v>Northeast</v>
      </c>
      <c r="W168" s="30"/>
      <c r="X168" s="3" t="str">
        <f aca="false">IF(W168="","",LN(W168))</f>
        <v/>
      </c>
      <c r="Y168" s="3" t="str">
        <f aca="false">IF(X168="","",X168-AVERAGEIFS($X$2:$X$2705,$B$2:$B$2705,B168))</f>
        <v/>
      </c>
      <c r="Z168" s="21" t="n">
        <f aca="false">P168</f>
        <v>0.918688789943257</v>
      </c>
      <c r="AA168" s="3" t="n">
        <f aca="false">R168</f>
        <v>0</v>
      </c>
      <c r="AB168" s="21" t="n">
        <f aca="false">P168</f>
        <v>0.918688789943257</v>
      </c>
      <c r="AC168" s="3" t="str">
        <f aca="false">Y168</f>
        <v/>
      </c>
      <c r="AD168" s="3" t="n">
        <f aca="false">R168</f>
        <v>0</v>
      </c>
    </row>
    <row r="169" customFormat="false" ht="15" hidden="false" customHeight="true" outlineLevel="0" collapsed="false">
      <c r="A169" s="7" t="s">
        <v>68</v>
      </c>
      <c r="B169" s="7" t="n">
        <v>1911</v>
      </c>
      <c r="C169" s="7" t="s">
        <v>160</v>
      </c>
      <c r="D169" s="7" t="n">
        <v>64</v>
      </c>
      <c r="E169" s="7" t="n">
        <v>90</v>
      </c>
      <c r="F169" s="3" t="n">
        <f aca="false">COUNTIFS($B$2:$B$2705,B169,$C$2:$C$2705,C169)</f>
        <v>1</v>
      </c>
      <c r="G169" s="3" t="n">
        <f aca="false">MIN(INT((MIN(B169,2020)-1900)/10)+1,12)</f>
        <v>2</v>
      </c>
      <c r="H169" s="3" t="n">
        <f aca="false">(MIN(B169,2020)-1900-10*(G169-1))/10</f>
        <v>0.1</v>
      </c>
      <c r="I169" s="20" t="n">
        <f aca="false">EXP(LN(INDEX(Pop_Inputs!$B$2:$N$29,MATCH(C169,Pop_Inputs!$A$2:$A$29,0),G169))*(1-H169)+LN(INDEX(Pop_Inputs!$B$2:$N$29,MATCH(C169,Pop_Inputs!$A$2:$A$29,0),G169+1))*H169)</f>
        <v>340432.895365733</v>
      </c>
      <c r="J169" s="20" t="n">
        <f aca="false">I169/F169</f>
        <v>340432.895365733</v>
      </c>
      <c r="K169" s="21" t="n">
        <f aca="false">D169/(D169+E169)</f>
        <v>0.415584415584416</v>
      </c>
      <c r="L169" s="21" t="n">
        <f aca="false">AVERAGEIFS($K$2:$K$2705,$B$2:$B$2705,B169)</f>
        <v>0.499757660335218</v>
      </c>
      <c r="M169" s="21" t="n">
        <f aca="false">K169-L169</f>
        <v>-0.0841732447508019</v>
      </c>
      <c r="N169" s="21" t="n">
        <f aca="false">LN(J169)</f>
        <v>12.7379733083969</v>
      </c>
      <c r="O169" s="21" t="n">
        <f aca="false">AVERAGEIFS($N$2:$N$2705,$B$2:$B$2705,B169)</f>
        <v>13.3763668687973</v>
      </c>
      <c r="P169" s="21" t="n">
        <f aca="false">N169-O169</f>
        <v>-0.638393560400395</v>
      </c>
      <c r="Q169" s="7" t="n">
        <v>0</v>
      </c>
      <c r="R169" s="3" t="n">
        <f aca="false">IF(AND(Q169=1,B169-_xlfn.MINIFS($B$2:$B$2705,$A$2:$A$2705,A169)&lt;10),1,0)</f>
        <v>0</v>
      </c>
      <c r="S169" s="7" t="n">
        <v>0</v>
      </c>
      <c r="T169" s="3" t="n">
        <f aca="false">_xlfn.MINIFS($B$2:$B$2705,$A$2:$A$2705,A169)</f>
        <v>1901</v>
      </c>
      <c r="U169" s="3" t="n">
        <f aca="false">B169-T169</f>
        <v>10</v>
      </c>
      <c r="V169" s="3" t="str">
        <f aca="false">INDEX(Pop_Inputs!$Q$2:$Q$29,MATCH(C169,Pop_Inputs!$A$2:$A$29,0))</f>
        <v>South</v>
      </c>
      <c r="W169" s="30"/>
      <c r="X169" s="3" t="str">
        <f aca="false">IF(W169="","",LN(W169))</f>
        <v/>
      </c>
      <c r="Y169" s="3" t="str">
        <f aca="false">IF(X169="","",X169-AVERAGEIFS($X$2:$X$2705,$B$2:$B$2705,B169))</f>
        <v/>
      </c>
      <c r="Z169" s="21" t="n">
        <f aca="false">P169</f>
        <v>-0.638393560400395</v>
      </c>
      <c r="AA169" s="3" t="n">
        <f aca="false">R169</f>
        <v>0</v>
      </c>
      <c r="AB169" s="21" t="n">
        <f aca="false">P169</f>
        <v>-0.638393560400395</v>
      </c>
      <c r="AC169" s="3" t="str">
        <f aca="false">Y169</f>
        <v/>
      </c>
      <c r="AD169" s="3" t="n">
        <f aca="false">R169</f>
        <v>0</v>
      </c>
    </row>
    <row r="170" customFormat="false" ht="15" hidden="false" customHeight="true" outlineLevel="0" collapsed="false">
      <c r="A170" s="7" t="s">
        <v>70</v>
      </c>
      <c r="B170" s="7" t="n">
        <v>1911</v>
      </c>
      <c r="C170" s="7" t="s">
        <v>154</v>
      </c>
      <c r="D170" s="7" t="n">
        <v>76</v>
      </c>
      <c r="E170" s="7" t="n">
        <v>76</v>
      </c>
      <c r="F170" s="3" t="n">
        <f aca="false">COUNTIFS($B$2:$B$2705,B170,$C$2:$C$2705,C170)</f>
        <v>3</v>
      </c>
      <c r="G170" s="3" t="n">
        <f aca="false">MIN(INT((MIN(B170,2020)-1900)/10)+1,12)</f>
        <v>2</v>
      </c>
      <c r="H170" s="3" t="n">
        <f aca="false">(MIN(B170,2020)-1900-10*(G170-1))/10</f>
        <v>0.1</v>
      </c>
      <c r="I170" s="20" t="n">
        <f aca="false">EXP(LN(INDEX(Pop_Inputs!$B$2:$N$29,MATCH(C170,Pop_Inputs!$A$2:$A$29,0),G170))*(1-H170)+LN(INDEX(Pop_Inputs!$B$2:$N$29,MATCH(C170,Pop_Inputs!$A$2:$A$29,0),G170+1))*H170)</f>
        <v>4846018.25515898</v>
      </c>
      <c r="J170" s="20" t="n">
        <f aca="false">I170/F170</f>
        <v>1615339.41838633</v>
      </c>
      <c r="K170" s="21" t="n">
        <f aca="false">D170/(D170+E170)</f>
        <v>0.5</v>
      </c>
      <c r="L170" s="21" t="n">
        <f aca="false">AVERAGEIFS($K$2:$K$2705,$B$2:$B$2705,B170)</f>
        <v>0.499757660335218</v>
      </c>
      <c r="M170" s="21" t="n">
        <f aca="false">K170-L170</f>
        <v>0.000242339664782487</v>
      </c>
      <c r="N170" s="21" t="n">
        <f aca="false">LN(J170)</f>
        <v>14.2950556587406</v>
      </c>
      <c r="O170" s="21" t="n">
        <f aca="false">AVERAGEIFS($N$2:$N$2705,$B$2:$B$2705,B170)</f>
        <v>13.3763668687973</v>
      </c>
      <c r="P170" s="21" t="n">
        <f aca="false">N170-O170</f>
        <v>0.918688789943257</v>
      </c>
      <c r="Q170" s="7" t="n">
        <v>0</v>
      </c>
      <c r="R170" s="3" t="n">
        <f aca="false">IF(AND(Q170=1,B170-_xlfn.MINIFS($B$2:$B$2705,$A$2:$A$2705,A170)&lt;10),1,0)</f>
        <v>0</v>
      </c>
      <c r="S170" s="7" t="n">
        <v>1</v>
      </c>
      <c r="T170" s="3" t="n">
        <f aca="false">_xlfn.MINIFS($B$2:$B$2705,$A$2:$A$2705,A170)</f>
        <v>1903</v>
      </c>
      <c r="U170" s="3" t="n">
        <f aca="false">B170-T170</f>
        <v>8</v>
      </c>
      <c r="V170" s="3" t="str">
        <f aca="false">INDEX(Pop_Inputs!$Q$2:$Q$29,MATCH(C170,Pop_Inputs!$A$2:$A$29,0))</f>
        <v>Northeast</v>
      </c>
      <c r="W170" s="30"/>
      <c r="X170" s="3" t="str">
        <f aca="false">IF(W170="","",LN(W170))</f>
        <v/>
      </c>
      <c r="Y170" s="3" t="str">
        <f aca="false">IF(X170="","",X170-AVERAGEIFS($X$2:$X$2705,$B$2:$B$2705,B170))</f>
        <v/>
      </c>
      <c r="Z170" s="21" t="n">
        <f aca="false">P170</f>
        <v>0.918688789943257</v>
      </c>
      <c r="AA170" s="3" t="n">
        <f aca="false">R170</f>
        <v>0</v>
      </c>
      <c r="AB170" s="21" t="n">
        <f aca="false">P170</f>
        <v>0.918688789943257</v>
      </c>
      <c r="AC170" s="3" t="str">
        <f aca="false">Y170</f>
        <v/>
      </c>
      <c r="AD170" s="3" t="n">
        <f aca="false">R170</f>
        <v>0</v>
      </c>
    </row>
    <row r="171" customFormat="false" ht="15" hidden="false" customHeight="true" outlineLevel="0" collapsed="false">
      <c r="A171" s="7" t="s">
        <v>69</v>
      </c>
      <c r="B171" s="7" t="n">
        <v>1911</v>
      </c>
      <c r="C171" s="7" t="s">
        <v>146</v>
      </c>
      <c r="D171" s="7" t="n">
        <v>101</v>
      </c>
      <c r="E171" s="7" t="n">
        <v>50</v>
      </c>
      <c r="F171" s="3" t="n">
        <f aca="false">COUNTIFS($B$2:$B$2705,B171,$C$2:$C$2705,C171)</f>
        <v>2</v>
      </c>
      <c r="G171" s="3" t="n">
        <f aca="false">MIN(INT((MIN(B171,2020)-1900)/10)+1,12)</f>
        <v>2</v>
      </c>
      <c r="H171" s="3" t="n">
        <f aca="false">(MIN(B171,2020)-1900-10*(G171-1))/10</f>
        <v>0.1</v>
      </c>
      <c r="I171" s="20" t="n">
        <f aca="false">EXP(LN(INDEX(Pop_Inputs!$B$2:$N$29,MATCH(C171,Pop_Inputs!$A$2:$A$29,0),G171))*(1-H171)+LN(INDEX(Pop_Inputs!$B$2:$N$29,MATCH(C171,Pop_Inputs!$A$2:$A$29,0),G171+1))*H171)</f>
        <v>1574510.33518337</v>
      </c>
      <c r="J171" s="20" t="n">
        <f aca="false">I171/F171</f>
        <v>787255.167591684</v>
      </c>
      <c r="K171" s="21" t="n">
        <f aca="false">D171/(D171+E171)</f>
        <v>0.66887417218543</v>
      </c>
      <c r="L171" s="21" t="n">
        <f aca="false">AVERAGEIFS($K$2:$K$2705,$B$2:$B$2705,B171)</f>
        <v>0.499757660335218</v>
      </c>
      <c r="M171" s="21" t="n">
        <f aca="false">K171-L171</f>
        <v>0.169116511850213</v>
      </c>
      <c r="N171" s="21" t="n">
        <f aca="false">LN(J171)</f>
        <v>13.5763077030468</v>
      </c>
      <c r="O171" s="21" t="n">
        <f aca="false">AVERAGEIFS($N$2:$N$2705,$B$2:$B$2705,B171)</f>
        <v>13.3763668687973</v>
      </c>
      <c r="P171" s="21" t="n">
        <f aca="false">N171-O171</f>
        <v>0.199940834249453</v>
      </c>
      <c r="Q171" s="7" t="n">
        <v>0</v>
      </c>
      <c r="R171" s="3" t="n">
        <f aca="false">IF(AND(Q171=1,B171-_xlfn.MINIFS($B$2:$B$2705,$A$2:$A$2705,A171)&lt;10),1,0)</f>
        <v>0</v>
      </c>
      <c r="S171" s="7" t="n">
        <v>0</v>
      </c>
      <c r="T171" s="3" t="n">
        <f aca="false">_xlfn.MINIFS($B$2:$B$2705,$A$2:$A$2705,A171)</f>
        <v>1901</v>
      </c>
      <c r="U171" s="3" t="n">
        <f aca="false">B171-T171</f>
        <v>10</v>
      </c>
      <c r="V171" s="3" t="str">
        <f aca="false">INDEX(Pop_Inputs!$Q$2:$Q$29,MATCH(C171,Pop_Inputs!$A$2:$A$29,0))</f>
        <v>Northeast</v>
      </c>
      <c r="W171" s="30"/>
      <c r="X171" s="3" t="str">
        <f aca="false">IF(W171="","",LN(W171))</f>
        <v/>
      </c>
      <c r="Y171" s="3" t="str">
        <f aca="false">IF(X171="","",X171-AVERAGEIFS($X$2:$X$2705,$B$2:$B$2705,B171))</f>
        <v/>
      </c>
      <c r="Z171" s="21" t="n">
        <f aca="false">P171</f>
        <v>0.199940834249453</v>
      </c>
      <c r="AA171" s="3" t="n">
        <f aca="false">R171</f>
        <v>0</v>
      </c>
      <c r="AB171" s="21" t="n">
        <f aca="false">P171</f>
        <v>0.199940834249453</v>
      </c>
      <c r="AC171" s="3" t="str">
        <f aca="false">Y171</f>
        <v/>
      </c>
      <c r="AD171" s="3" t="n">
        <f aca="false">R171</f>
        <v>0</v>
      </c>
    </row>
    <row r="172" customFormat="false" ht="15" hidden="false" customHeight="true" outlineLevel="0" collapsed="false">
      <c r="A172" s="7" t="s">
        <v>60</v>
      </c>
      <c r="B172" s="7" t="n">
        <v>1911</v>
      </c>
      <c r="C172" s="7" t="s">
        <v>146</v>
      </c>
      <c r="D172" s="7" t="n">
        <v>79</v>
      </c>
      <c r="E172" s="7" t="n">
        <v>73</v>
      </c>
      <c r="F172" s="3" t="n">
        <f aca="false">COUNTIFS($B$2:$B$2705,B172,$C$2:$C$2705,C172)</f>
        <v>2</v>
      </c>
      <c r="G172" s="3" t="n">
        <f aca="false">MIN(INT((MIN(B172,2020)-1900)/10)+1,12)</f>
        <v>2</v>
      </c>
      <c r="H172" s="3" t="n">
        <f aca="false">(MIN(B172,2020)-1900-10*(G172-1))/10</f>
        <v>0.1</v>
      </c>
      <c r="I172" s="20" t="n">
        <f aca="false">EXP(LN(INDEX(Pop_Inputs!$B$2:$N$29,MATCH(C172,Pop_Inputs!$A$2:$A$29,0),G172))*(1-H172)+LN(INDEX(Pop_Inputs!$B$2:$N$29,MATCH(C172,Pop_Inputs!$A$2:$A$29,0),G172+1))*H172)</f>
        <v>1574510.33518337</v>
      </c>
      <c r="J172" s="20" t="n">
        <f aca="false">I172/F172</f>
        <v>787255.167591684</v>
      </c>
      <c r="K172" s="21" t="n">
        <f aca="false">D172/(D172+E172)</f>
        <v>0.519736842105263</v>
      </c>
      <c r="L172" s="21" t="n">
        <f aca="false">AVERAGEIFS($K$2:$K$2705,$B$2:$B$2705,B172)</f>
        <v>0.499757660335218</v>
      </c>
      <c r="M172" s="21" t="n">
        <f aca="false">K172-L172</f>
        <v>0.0199791817700457</v>
      </c>
      <c r="N172" s="21" t="n">
        <f aca="false">LN(J172)</f>
        <v>13.5763077030468</v>
      </c>
      <c r="O172" s="21" t="n">
        <f aca="false">AVERAGEIFS($N$2:$N$2705,$B$2:$B$2705,B172)</f>
        <v>13.3763668687973</v>
      </c>
      <c r="P172" s="21" t="n">
        <f aca="false">N172-O172</f>
        <v>0.199940834249453</v>
      </c>
      <c r="Q172" s="7" t="n">
        <v>0</v>
      </c>
      <c r="R172" s="3" t="n">
        <f aca="false">IF(AND(Q172=1,B172-_xlfn.MINIFS($B$2:$B$2705,$A$2:$A$2705,A172)&lt;10),1,0)</f>
        <v>0</v>
      </c>
      <c r="S172" s="7" t="n">
        <v>0</v>
      </c>
      <c r="T172" s="3" t="n">
        <f aca="false">_xlfn.MINIFS($B$2:$B$2705,$A$2:$A$2705,A172)</f>
        <v>1901</v>
      </c>
      <c r="U172" s="3" t="n">
        <f aca="false">B172-T172</f>
        <v>10</v>
      </c>
      <c r="V172" s="3" t="str">
        <f aca="false">INDEX(Pop_Inputs!$Q$2:$Q$29,MATCH(C172,Pop_Inputs!$A$2:$A$29,0))</f>
        <v>Northeast</v>
      </c>
      <c r="W172" s="30"/>
      <c r="X172" s="3" t="str">
        <f aca="false">IF(W172="","",LN(W172))</f>
        <v/>
      </c>
      <c r="Y172" s="3" t="str">
        <f aca="false">IF(X172="","",X172-AVERAGEIFS($X$2:$X$2705,$B$2:$B$2705,B172))</f>
        <v/>
      </c>
      <c r="Z172" s="21" t="n">
        <f aca="false">P172</f>
        <v>0.199940834249453</v>
      </c>
      <c r="AA172" s="3" t="n">
        <f aca="false">R172</f>
        <v>0</v>
      </c>
      <c r="AB172" s="21" t="n">
        <f aca="false">P172</f>
        <v>0.199940834249453</v>
      </c>
      <c r="AC172" s="3" t="str">
        <f aca="false">Y172</f>
        <v/>
      </c>
      <c r="AD172" s="3" t="n">
        <f aca="false">R172</f>
        <v>0</v>
      </c>
    </row>
    <row r="173" customFormat="false" ht="15" hidden="false" customHeight="true" outlineLevel="0" collapsed="false">
      <c r="A173" s="7" t="s">
        <v>58</v>
      </c>
      <c r="B173" s="7" t="n">
        <v>1911</v>
      </c>
      <c r="C173" s="7" t="s">
        <v>144</v>
      </c>
      <c r="D173" s="7" t="n">
        <v>85</v>
      </c>
      <c r="E173" s="7" t="n">
        <v>69</v>
      </c>
      <c r="F173" s="3" t="n">
        <f aca="false">COUNTIFS($B$2:$B$2705,B173,$C$2:$C$2705,C173)</f>
        <v>1</v>
      </c>
      <c r="G173" s="3" t="n">
        <f aca="false">MIN(INT((MIN(B173,2020)-1900)/10)+1,12)</f>
        <v>2</v>
      </c>
      <c r="H173" s="3" t="n">
        <f aca="false">(MIN(B173,2020)-1900-10*(G173-1))/10</f>
        <v>0.1</v>
      </c>
      <c r="I173" s="20" t="n">
        <f aca="false">EXP(LN(INDEX(Pop_Inputs!$B$2:$N$29,MATCH(C173,Pop_Inputs!$A$2:$A$29,0),G173))*(1-H173)+LN(INDEX(Pop_Inputs!$B$2:$N$29,MATCH(C173,Pop_Inputs!$A$2:$A$29,0),G173+1))*H173)</f>
        <v>539114.047575887</v>
      </c>
      <c r="J173" s="20" t="n">
        <f aca="false">I173/F173</f>
        <v>539114.047575887</v>
      </c>
      <c r="K173" s="21" t="n">
        <f aca="false">D173/(D173+E173)</f>
        <v>0.551948051948052</v>
      </c>
      <c r="L173" s="21" t="n">
        <f aca="false">AVERAGEIFS($K$2:$K$2705,$B$2:$B$2705,B173)</f>
        <v>0.499757660335218</v>
      </c>
      <c r="M173" s="21" t="n">
        <f aca="false">K173-L173</f>
        <v>0.0521903916128345</v>
      </c>
      <c r="N173" s="21" t="n">
        <f aca="false">LN(J173)</f>
        <v>13.1976824185588</v>
      </c>
      <c r="O173" s="21" t="n">
        <f aca="false">AVERAGEIFS($N$2:$N$2705,$B$2:$B$2705,B173)</f>
        <v>13.3763668687973</v>
      </c>
      <c r="P173" s="21" t="n">
        <f aca="false">N173-O173</f>
        <v>-0.178684450238515</v>
      </c>
      <c r="Q173" s="7" t="n">
        <v>0</v>
      </c>
      <c r="R173" s="3" t="n">
        <f aca="false">IF(AND(Q173=1,B173-_xlfn.MINIFS($B$2:$B$2705,$A$2:$A$2705,A173)&lt;10),1,0)</f>
        <v>0</v>
      </c>
      <c r="S173" s="7" t="n">
        <v>0</v>
      </c>
      <c r="T173" s="3" t="n">
        <f aca="false">_xlfn.MINIFS($B$2:$B$2705,$A$2:$A$2705,A173)</f>
        <v>1901</v>
      </c>
      <c r="U173" s="3" t="n">
        <f aca="false">B173-T173</f>
        <v>10</v>
      </c>
      <c r="V173" s="3" t="str">
        <f aca="false">INDEX(Pop_Inputs!$Q$2:$Q$29,MATCH(C173,Pop_Inputs!$A$2:$A$29,0))</f>
        <v>Northeast</v>
      </c>
      <c r="W173" s="30"/>
      <c r="X173" s="3" t="str">
        <f aca="false">IF(W173="","",LN(W173))</f>
        <v/>
      </c>
      <c r="Y173" s="3" t="str">
        <f aca="false">IF(X173="","",X173-AVERAGEIFS($X$2:$X$2705,$B$2:$B$2705,B173))</f>
        <v/>
      </c>
      <c r="Z173" s="21" t="n">
        <f aca="false">P173</f>
        <v>-0.178684450238515</v>
      </c>
      <c r="AA173" s="3" t="n">
        <f aca="false">R173</f>
        <v>0</v>
      </c>
      <c r="AB173" s="21" t="n">
        <f aca="false">P173</f>
        <v>-0.178684450238515</v>
      </c>
      <c r="AC173" s="3" t="str">
        <f aca="false">Y173</f>
        <v/>
      </c>
      <c r="AD173" s="3" t="n">
        <f aca="false">R173</f>
        <v>0</v>
      </c>
    </row>
    <row r="174" customFormat="false" ht="15" hidden="false" customHeight="true" outlineLevel="0" collapsed="false">
      <c r="A174" s="7" t="s">
        <v>61</v>
      </c>
      <c r="B174" s="7" t="n">
        <v>1911</v>
      </c>
      <c r="C174" s="7" t="s">
        <v>154</v>
      </c>
      <c r="D174" s="7" t="n">
        <v>99</v>
      </c>
      <c r="E174" s="7" t="n">
        <v>54</v>
      </c>
      <c r="F174" s="3" t="n">
        <f aca="false">COUNTIFS($B$2:$B$2705,B174,$C$2:$C$2705,C174)</f>
        <v>3</v>
      </c>
      <c r="G174" s="3" t="n">
        <f aca="false">MIN(INT((MIN(B174,2020)-1900)/10)+1,12)</f>
        <v>2</v>
      </c>
      <c r="H174" s="3" t="n">
        <f aca="false">(MIN(B174,2020)-1900-10*(G174-1))/10</f>
        <v>0.1</v>
      </c>
      <c r="I174" s="20" t="n">
        <f aca="false">EXP(LN(INDEX(Pop_Inputs!$B$2:$N$29,MATCH(C174,Pop_Inputs!$A$2:$A$29,0),G174))*(1-H174)+LN(INDEX(Pop_Inputs!$B$2:$N$29,MATCH(C174,Pop_Inputs!$A$2:$A$29,0),G174+1))*H174)</f>
        <v>4846018.25515898</v>
      </c>
      <c r="J174" s="20" t="n">
        <f aca="false">I174/F174</f>
        <v>1615339.41838633</v>
      </c>
      <c r="K174" s="21" t="n">
        <f aca="false">D174/(D174+E174)</f>
        <v>0.647058823529412</v>
      </c>
      <c r="L174" s="21" t="n">
        <f aca="false">AVERAGEIFS($K$2:$K$2705,$B$2:$B$2705,B174)</f>
        <v>0.499757660335218</v>
      </c>
      <c r="M174" s="21" t="n">
        <f aca="false">K174-L174</f>
        <v>0.147301163194194</v>
      </c>
      <c r="N174" s="21" t="n">
        <f aca="false">LN(J174)</f>
        <v>14.2950556587406</v>
      </c>
      <c r="O174" s="21" t="n">
        <f aca="false">AVERAGEIFS($N$2:$N$2705,$B$2:$B$2705,B174)</f>
        <v>13.3763668687973</v>
      </c>
      <c r="P174" s="21" t="n">
        <f aca="false">N174-O174</f>
        <v>0.918688789943257</v>
      </c>
      <c r="Q174" s="7" t="n">
        <v>0</v>
      </c>
      <c r="R174" s="3" t="n">
        <f aca="false">IF(AND(Q174=1,B174-_xlfn.MINIFS($B$2:$B$2705,$A$2:$A$2705,A174)&lt;10),1,0)</f>
        <v>0</v>
      </c>
      <c r="S174" s="7" t="n">
        <v>0</v>
      </c>
      <c r="T174" s="3" t="n">
        <f aca="false">_xlfn.MINIFS($B$2:$B$2705,$A$2:$A$2705,A174)</f>
        <v>1901</v>
      </c>
      <c r="U174" s="3" t="n">
        <f aca="false">B174-T174</f>
        <v>10</v>
      </c>
      <c r="V174" s="3" t="str">
        <f aca="false">INDEX(Pop_Inputs!$Q$2:$Q$29,MATCH(C174,Pop_Inputs!$A$2:$A$29,0))</f>
        <v>Northeast</v>
      </c>
      <c r="W174" s="30"/>
      <c r="X174" s="3" t="str">
        <f aca="false">IF(W174="","",LN(W174))</f>
        <v/>
      </c>
      <c r="Y174" s="3" t="str">
        <f aca="false">IF(X174="","",X174-AVERAGEIFS($X$2:$X$2705,$B$2:$B$2705,B174))</f>
        <v/>
      </c>
      <c r="Z174" s="21" t="n">
        <f aca="false">P174</f>
        <v>0.918688789943257</v>
      </c>
      <c r="AA174" s="3" t="n">
        <f aca="false">R174</f>
        <v>0</v>
      </c>
      <c r="AB174" s="21" t="n">
        <f aca="false">P174</f>
        <v>0.918688789943257</v>
      </c>
      <c r="AC174" s="3" t="str">
        <f aca="false">Y174</f>
        <v/>
      </c>
      <c r="AD174" s="3" t="n">
        <f aca="false">R174</f>
        <v>0</v>
      </c>
    </row>
    <row r="175" customFormat="false" ht="15" hidden="false" customHeight="true" outlineLevel="0" collapsed="false">
      <c r="A175" s="7" t="s">
        <v>59</v>
      </c>
      <c r="B175" s="7" t="n">
        <v>1911</v>
      </c>
      <c r="C175" s="7" t="s">
        <v>145</v>
      </c>
      <c r="D175" s="7" t="n">
        <v>75</v>
      </c>
      <c r="E175" s="7" t="n">
        <v>74</v>
      </c>
      <c r="F175" s="3" t="n">
        <f aca="false">COUNTIFS($B$2:$B$2705,B175,$C$2:$C$2705,C175)</f>
        <v>2</v>
      </c>
      <c r="G175" s="3" t="n">
        <f aca="false">MIN(INT((MIN(B175,2020)-1900)/10)+1,12)</f>
        <v>2</v>
      </c>
      <c r="H175" s="3" t="n">
        <f aca="false">(MIN(B175,2020)-1900-10*(G175-1))/10</f>
        <v>0.1</v>
      </c>
      <c r="I175" s="20" t="n">
        <f aca="false">EXP(LN(INDEX(Pop_Inputs!$B$2:$N$29,MATCH(C175,Pop_Inputs!$A$2:$A$29,0),G175))*(1-H175)+LN(INDEX(Pop_Inputs!$B$2:$N$29,MATCH(C175,Pop_Inputs!$A$2:$A$29,0),G175+1))*H175)</f>
        <v>695167.923360744</v>
      </c>
      <c r="J175" s="20" t="n">
        <f aca="false">I175/F175</f>
        <v>347583.961680372</v>
      </c>
      <c r="K175" s="21" t="n">
        <f aca="false">D175/(D175+E175)</f>
        <v>0.503355704697987</v>
      </c>
      <c r="L175" s="21" t="n">
        <f aca="false">AVERAGEIFS($K$2:$K$2705,$B$2:$B$2705,B175)</f>
        <v>0.499757660335218</v>
      </c>
      <c r="M175" s="21" t="n">
        <f aca="false">K175-L175</f>
        <v>0.00359804436276912</v>
      </c>
      <c r="N175" s="21" t="n">
        <f aca="false">LN(J175)</f>
        <v>12.7587615311489</v>
      </c>
      <c r="O175" s="21" t="n">
        <f aca="false">AVERAGEIFS($N$2:$N$2705,$B$2:$B$2705,B175)</f>
        <v>13.3763668687973</v>
      </c>
      <c r="P175" s="21" t="n">
        <f aca="false">N175-O175</f>
        <v>-0.617605337648454</v>
      </c>
      <c r="Q175" s="7" t="n">
        <v>0</v>
      </c>
      <c r="R175" s="3" t="n">
        <f aca="false">IF(AND(Q175=1,B175-_xlfn.MINIFS($B$2:$B$2705,$A$2:$A$2705,A175)&lt;10),1,0)</f>
        <v>0</v>
      </c>
      <c r="S175" s="7" t="n">
        <v>0</v>
      </c>
      <c r="T175" s="3" t="n">
        <f aca="false">_xlfn.MINIFS($B$2:$B$2705,$A$2:$A$2705,A175)</f>
        <v>1901</v>
      </c>
      <c r="U175" s="3" t="n">
        <f aca="false">B175-T175</f>
        <v>10</v>
      </c>
      <c r="V175" s="3" t="str">
        <f aca="false">INDEX(Pop_Inputs!$Q$2:$Q$29,MATCH(C175,Pop_Inputs!$A$2:$A$29,0))</f>
        <v>Midwest</v>
      </c>
      <c r="W175" s="30"/>
      <c r="X175" s="3" t="str">
        <f aca="false">IF(W175="","",LN(W175))</f>
        <v/>
      </c>
      <c r="Y175" s="3" t="str">
        <f aca="false">IF(X175="","",X175-AVERAGEIFS($X$2:$X$2705,$B$2:$B$2705,B175))</f>
        <v/>
      </c>
      <c r="Z175" s="21" t="n">
        <f aca="false">P175</f>
        <v>-0.617605337648454</v>
      </c>
      <c r="AA175" s="3" t="n">
        <f aca="false">R175</f>
        <v>0</v>
      </c>
      <c r="AB175" s="21" t="n">
        <f aca="false">P175</f>
        <v>-0.617605337648454</v>
      </c>
      <c r="AC175" s="3" t="str">
        <f aca="false">Y175</f>
        <v/>
      </c>
      <c r="AD175" s="3" t="n">
        <f aca="false">R175</f>
        <v>0</v>
      </c>
    </row>
    <row r="176" customFormat="false" ht="15" hidden="false" customHeight="true" outlineLevel="0" collapsed="false">
      <c r="A176" s="7" t="s">
        <v>54</v>
      </c>
      <c r="B176" s="7" t="n">
        <v>1912</v>
      </c>
      <c r="C176" s="7" t="s">
        <v>150</v>
      </c>
      <c r="D176" s="7" t="n">
        <v>52</v>
      </c>
      <c r="E176" s="7" t="n">
        <v>101</v>
      </c>
      <c r="F176" s="3" t="n">
        <f aca="false">COUNTIFS($B$2:$B$2705,B176,$C$2:$C$2705,C176)</f>
        <v>2</v>
      </c>
      <c r="G176" s="3" t="n">
        <f aca="false">MIN(INT((MIN(B176,2020)-1900)/10)+1,12)</f>
        <v>2</v>
      </c>
      <c r="H176" s="3" t="n">
        <f aca="false">(MIN(B176,2020)-1900-10*(G176-1))/10</f>
        <v>0.2</v>
      </c>
      <c r="I176" s="20" t="n">
        <f aca="false">EXP(LN(INDEX(Pop_Inputs!$B$2:$N$29,MATCH(C176,Pop_Inputs!$A$2:$A$29,0),G176))*(1-H176)+LN(INDEX(Pop_Inputs!$B$2:$N$29,MATCH(C176,Pop_Inputs!$A$2:$A$29,0),G176+1))*H176)</f>
        <v>685409.870444098</v>
      </c>
      <c r="J176" s="20" t="n">
        <f aca="false">I176/F176</f>
        <v>342704.935222049</v>
      </c>
      <c r="K176" s="21" t="n">
        <f aca="false">D176/(D176+E176)</f>
        <v>0.339869281045752</v>
      </c>
      <c r="L176" s="21" t="n">
        <f aca="false">AVERAGEIFS($K$2:$K$2705,$B$2:$B$2705,B176)</f>
        <v>0.500513139956332</v>
      </c>
      <c r="M176" s="21" t="n">
        <f aca="false">K176-L176</f>
        <v>-0.160643858910581</v>
      </c>
      <c r="N176" s="21" t="n">
        <f aca="false">LN(J176)</f>
        <v>12.7446251087571</v>
      </c>
      <c r="O176" s="21" t="n">
        <f aca="false">AVERAGEIFS($N$2:$N$2705,$B$2:$B$2705,B176)</f>
        <v>13.3968845632092</v>
      </c>
      <c r="P176" s="21" t="n">
        <f aca="false">N176-O176</f>
        <v>-0.652259454452045</v>
      </c>
      <c r="Q176" s="7" t="n">
        <v>0</v>
      </c>
      <c r="R176" s="3" t="n">
        <f aca="false">IF(AND(Q176=1,B176-_xlfn.MINIFS($B$2:$B$2705,$A$2:$A$2705,A176)&lt;10),1,0)</f>
        <v>0</v>
      </c>
      <c r="S176" s="7" t="n">
        <v>0</v>
      </c>
      <c r="T176" s="3" t="n">
        <f aca="false">_xlfn.MINIFS($B$2:$B$2705,$A$2:$A$2705,A176)</f>
        <v>1901</v>
      </c>
      <c r="U176" s="3" t="n">
        <f aca="false">B176-T176</f>
        <v>11</v>
      </c>
      <c r="V176" s="3" t="str">
        <f aca="false">INDEX(Pop_Inputs!$Q$2:$Q$29,MATCH(C176,Pop_Inputs!$A$2:$A$29,0))</f>
        <v>Northeast</v>
      </c>
      <c r="W176" s="30"/>
      <c r="X176" s="3" t="str">
        <f aca="false">IF(W176="","",LN(W176))</f>
        <v/>
      </c>
      <c r="Y176" s="3" t="str">
        <f aca="false">IF(X176="","",X176-AVERAGEIFS($X$2:$X$2705,$B$2:$B$2705,B176))</f>
        <v/>
      </c>
      <c r="Z176" s="21" t="n">
        <f aca="false">P176</f>
        <v>-0.652259454452045</v>
      </c>
      <c r="AA176" s="3" t="n">
        <f aca="false">R176</f>
        <v>0</v>
      </c>
      <c r="AB176" s="21" t="n">
        <f aca="false">P176</f>
        <v>-0.652259454452045</v>
      </c>
      <c r="AC176" s="3" t="str">
        <f aca="false">Y176</f>
        <v/>
      </c>
      <c r="AD176" s="3" t="n">
        <f aca="false">R176</f>
        <v>0</v>
      </c>
    </row>
    <row r="177" customFormat="false" ht="15" hidden="false" customHeight="true" outlineLevel="0" collapsed="false">
      <c r="A177" s="7" t="s">
        <v>63</v>
      </c>
      <c r="B177" s="7" t="n">
        <v>1912</v>
      </c>
      <c r="C177" s="7" t="s">
        <v>145</v>
      </c>
      <c r="D177" s="7" t="n">
        <v>53</v>
      </c>
      <c r="E177" s="7" t="n">
        <v>101</v>
      </c>
      <c r="F177" s="3" t="n">
        <f aca="false">COUNTIFS($B$2:$B$2705,B177,$C$2:$C$2705,C177)</f>
        <v>2</v>
      </c>
      <c r="G177" s="3" t="n">
        <f aca="false">MIN(INT((MIN(B177,2020)-1900)/10)+1,12)</f>
        <v>2</v>
      </c>
      <c r="H177" s="3" t="n">
        <f aca="false">(MIN(B177,2020)-1900-10*(G177-1))/10</f>
        <v>0.2</v>
      </c>
      <c r="I177" s="20" t="n">
        <f aca="false">EXP(LN(INDEX(Pop_Inputs!$B$2:$N$29,MATCH(C177,Pop_Inputs!$A$2:$A$29,0),G177))*(1-H177)+LN(INDEX(Pop_Inputs!$B$2:$N$29,MATCH(C177,Pop_Inputs!$A$2:$A$29,0),G177+1))*H177)</f>
        <v>703403.264883561</v>
      </c>
      <c r="J177" s="20" t="n">
        <f aca="false">I177/F177</f>
        <v>351701.632441781</v>
      </c>
      <c r="K177" s="21" t="n">
        <f aca="false">D177/(D177+E177)</f>
        <v>0.344155844155844</v>
      </c>
      <c r="L177" s="21" t="n">
        <f aca="false">AVERAGEIFS($K$2:$K$2705,$B$2:$B$2705,B177)</f>
        <v>0.500513139956332</v>
      </c>
      <c r="M177" s="21" t="n">
        <f aca="false">K177-L177</f>
        <v>-0.156357295800488</v>
      </c>
      <c r="N177" s="21" t="n">
        <f aca="false">LN(J177)</f>
        <v>12.7705384600259</v>
      </c>
      <c r="O177" s="21" t="n">
        <f aca="false">AVERAGEIFS($N$2:$N$2705,$B$2:$B$2705,B177)</f>
        <v>13.3968845632092</v>
      </c>
      <c r="P177" s="21" t="n">
        <f aca="false">N177-O177</f>
        <v>-0.626346103183268</v>
      </c>
      <c r="Q177" s="7" t="n">
        <v>0</v>
      </c>
      <c r="R177" s="3" t="n">
        <f aca="false">IF(AND(Q177=1,B177-_xlfn.MINIFS($B$2:$B$2705,$A$2:$A$2705,A177)&lt;10),1,0)</f>
        <v>0</v>
      </c>
      <c r="S177" s="7" t="n">
        <v>0</v>
      </c>
      <c r="T177" s="3" t="n">
        <f aca="false">_xlfn.MINIFS($B$2:$B$2705,$A$2:$A$2705,A177)</f>
        <v>1901</v>
      </c>
      <c r="U177" s="3" t="n">
        <f aca="false">B177-T177</f>
        <v>11</v>
      </c>
      <c r="V177" s="3" t="str">
        <f aca="false">INDEX(Pop_Inputs!$Q$2:$Q$29,MATCH(C177,Pop_Inputs!$A$2:$A$29,0))</f>
        <v>Midwest</v>
      </c>
      <c r="W177" s="30"/>
      <c r="X177" s="3" t="str">
        <f aca="false">IF(W177="","",LN(W177))</f>
        <v/>
      </c>
      <c r="Y177" s="3" t="str">
        <f aca="false">IF(X177="","",X177-AVERAGEIFS($X$2:$X$2705,$B$2:$B$2705,B177))</f>
        <v/>
      </c>
      <c r="Z177" s="21" t="n">
        <f aca="false">P177</f>
        <v>-0.626346103183268</v>
      </c>
      <c r="AA177" s="3" t="n">
        <f aca="false">R177</f>
        <v>0</v>
      </c>
      <c r="AB177" s="21" t="n">
        <f aca="false">P177</f>
        <v>-0.626346103183268</v>
      </c>
      <c r="AC177" s="3" t="str">
        <f aca="false">Y177</f>
        <v/>
      </c>
      <c r="AD177" s="3" t="n">
        <f aca="false">R177</f>
        <v>0</v>
      </c>
    </row>
    <row r="178" customFormat="false" ht="15" hidden="false" customHeight="true" outlineLevel="0" collapsed="false">
      <c r="A178" s="7" t="s">
        <v>64</v>
      </c>
      <c r="B178" s="7" t="n">
        <v>1912</v>
      </c>
      <c r="C178" s="7" t="s">
        <v>150</v>
      </c>
      <c r="D178" s="7" t="n">
        <v>105</v>
      </c>
      <c r="E178" s="7" t="n">
        <v>47</v>
      </c>
      <c r="F178" s="3" t="n">
        <f aca="false">COUNTIFS($B$2:$B$2705,B178,$C$2:$C$2705,C178)</f>
        <v>2</v>
      </c>
      <c r="G178" s="3" t="n">
        <f aca="false">MIN(INT((MIN(B178,2020)-1900)/10)+1,12)</f>
        <v>2</v>
      </c>
      <c r="H178" s="3" t="n">
        <f aca="false">(MIN(B178,2020)-1900-10*(G178-1))/10</f>
        <v>0.2</v>
      </c>
      <c r="I178" s="20" t="n">
        <f aca="false">EXP(LN(INDEX(Pop_Inputs!$B$2:$N$29,MATCH(C178,Pop_Inputs!$A$2:$A$29,0),G178))*(1-H178)+LN(INDEX(Pop_Inputs!$B$2:$N$29,MATCH(C178,Pop_Inputs!$A$2:$A$29,0),G178+1))*H178)</f>
        <v>685409.870444098</v>
      </c>
      <c r="J178" s="20" t="n">
        <f aca="false">I178/F178</f>
        <v>342704.935222049</v>
      </c>
      <c r="K178" s="21" t="n">
        <f aca="false">D178/(D178+E178)</f>
        <v>0.690789473684211</v>
      </c>
      <c r="L178" s="21" t="n">
        <f aca="false">AVERAGEIFS($K$2:$K$2705,$B$2:$B$2705,B178)</f>
        <v>0.500513139956332</v>
      </c>
      <c r="M178" s="21" t="n">
        <f aca="false">K178-L178</f>
        <v>0.190276333727878</v>
      </c>
      <c r="N178" s="21" t="n">
        <f aca="false">LN(J178)</f>
        <v>12.7446251087571</v>
      </c>
      <c r="O178" s="21" t="n">
        <f aca="false">AVERAGEIFS($N$2:$N$2705,$B$2:$B$2705,B178)</f>
        <v>13.3968845632092</v>
      </c>
      <c r="P178" s="21" t="n">
        <f aca="false">N178-O178</f>
        <v>-0.652259454452045</v>
      </c>
      <c r="Q178" s="7" t="n">
        <v>0</v>
      </c>
      <c r="R178" s="3" t="n">
        <f aca="false">IF(AND(Q178=1,B178-_xlfn.MINIFS($B$2:$B$2705,$A$2:$A$2705,A178)&lt;10),1,0)</f>
        <v>0</v>
      </c>
      <c r="S178" s="7" t="n">
        <v>0</v>
      </c>
      <c r="T178" s="3" t="n">
        <f aca="false">_xlfn.MINIFS($B$2:$B$2705,$A$2:$A$2705,A178)</f>
        <v>1901</v>
      </c>
      <c r="U178" s="3" t="n">
        <f aca="false">B178-T178</f>
        <v>11</v>
      </c>
      <c r="V178" s="3" t="str">
        <f aca="false">INDEX(Pop_Inputs!$Q$2:$Q$29,MATCH(C178,Pop_Inputs!$A$2:$A$29,0))</f>
        <v>Northeast</v>
      </c>
      <c r="W178" s="30"/>
      <c r="X178" s="3" t="str">
        <f aca="false">IF(W178="","",LN(W178))</f>
        <v/>
      </c>
      <c r="Y178" s="3" t="str">
        <f aca="false">IF(X178="","",X178-AVERAGEIFS($X$2:$X$2705,$B$2:$B$2705,B178))</f>
        <v/>
      </c>
      <c r="Z178" s="21" t="n">
        <f aca="false">P178</f>
        <v>-0.652259454452045</v>
      </c>
      <c r="AA178" s="3" t="n">
        <f aca="false">R178</f>
        <v>0</v>
      </c>
      <c r="AB178" s="21" t="n">
        <f aca="false">P178</f>
        <v>-0.652259454452045</v>
      </c>
      <c r="AC178" s="3" t="str">
        <f aca="false">Y178</f>
        <v/>
      </c>
      <c r="AD178" s="3" t="n">
        <f aca="false">R178</f>
        <v>0</v>
      </c>
    </row>
    <row r="179" customFormat="false" ht="15" hidden="false" customHeight="true" outlineLevel="0" collapsed="false">
      <c r="A179" s="7" t="s">
        <v>56</v>
      </c>
      <c r="B179" s="7" t="n">
        <v>1912</v>
      </c>
      <c r="C179" s="7" t="s">
        <v>142</v>
      </c>
      <c r="D179" s="7" t="n">
        <v>91</v>
      </c>
      <c r="E179" s="7" t="n">
        <v>59</v>
      </c>
      <c r="F179" s="3" t="n">
        <f aca="false">COUNTIFS($B$2:$B$2705,B179,$C$2:$C$2705,C179)</f>
        <v>2</v>
      </c>
      <c r="G179" s="3" t="n">
        <f aca="false">MIN(INT((MIN(B179,2020)-1900)/10)+1,12)</f>
        <v>2</v>
      </c>
      <c r="H179" s="3" t="n">
        <f aca="false">(MIN(B179,2020)-1900-10*(G179-1))/10</f>
        <v>0.2</v>
      </c>
      <c r="I179" s="20" t="n">
        <f aca="false">EXP(LN(INDEX(Pop_Inputs!$B$2:$N$29,MATCH(C179,Pop_Inputs!$A$2:$A$29,0),G179))*(1-H179)+LN(INDEX(Pop_Inputs!$B$2:$N$29,MATCH(C179,Pop_Inputs!$A$2:$A$29,0),G179+1))*H179)</f>
        <v>2279994.16266266</v>
      </c>
      <c r="J179" s="20" t="n">
        <f aca="false">I179/F179</f>
        <v>1139997.08133133</v>
      </c>
      <c r="K179" s="21" t="n">
        <f aca="false">D179/(D179+E179)</f>
        <v>0.606666666666667</v>
      </c>
      <c r="L179" s="21" t="n">
        <f aca="false">AVERAGEIFS($K$2:$K$2705,$B$2:$B$2705,B179)</f>
        <v>0.500513139956332</v>
      </c>
      <c r="M179" s="21" t="n">
        <f aca="false">K179-L179</f>
        <v>0.106153526710335</v>
      </c>
      <c r="N179" s="21" t="n">
        <f aca="false">LN(J179)</f>
        <v>13.9465362601317</v>
      </c>
      <c r="O179" s="21" t="n">
        <f aca="false">AVERAGEIFS($N$2:$N$2705,$B$2:$B$2705,B179)</f>
        <v>13.3968845632092</v>
      </c>
      <c r="P179" s="21" t="n">
        <f aca="false">N179-O179</f>
        <v>0.549651696922572</v>
      </c>
      <c r="Q179" s="7" t="n">
        <v>0</v>
      </c>
      <c r="R179" s="3" t="n">
        <f aca="false">IF(AND(Q179=1,B179-_xlfn.MINIFS($B$2:$B$2705,$A$2:$A$2705,A179)&lt;10),1,0)</f>
        <v>0</v>
      </c>
      <c r="S179" s="7" t="n">
        <v>0</v>
      </c>
      <c r="T179" s="3" t="n">
        <f aca="false">_xlfn.MINIFS($B$2:$B$2705,$A$2:$A$2705,A179)</f>
        <v>1901</v>
      </c>
      <c r="U179" s="3" t="n">
        <f aca="false">B179-T179</f>
        <v>11</v>
      </c>
      <c r="V179" s="3" t="str">
        <f aca="false">INDEX(Pop_Inputs!$Q$2:$Q$29,MATCH(C179,Pop_Inputs!$A$2:$A$29,0))</f>
        <v>Midwest</v>
      </c>
      <c r="W179" s="30"/>
      <c r="X179" s="3" t="str">
        <f aca="false">IF(W179="","",LN(W179))</f>
        <v/>
      </c>
      <c r="Y179" s="3" t="str">
        <f aca="false">IF(X179="","",X179-AVERAGEIFS($X$2:$X$2705,$B$2:$B$2705,B179))</f>
        <v/>
      </c>
      <c r="Z179" s="21" t="n">
        <f aca="false">P179</f>
        <v>0.549651696922572</v>
      </c>
      <c r="AA179" s="3" t="n">
        <f aca="false">R179</f>
        <v>0</v>
      </c>
      <c r="AB179" s="21" t="n">
        <f aca="false">P179</f>
        <v>0.549651696922572</v>
      </c>
      <c r="AC179" s="3" t="str">
        <f aca="false">Y179</f>
        <v/>
      </c>
      <c r="AD179" s="3" t="n">
        <f aca="false">R179</f>
        <v>0</v>
      </c>
    </row>
    <row r="180" customFormat="false" ht="15" hidden="false" customHeight="true" outlineLevel="0" collapsed="false">
      <c r="A180" s="7" t="s">
        <v>65</v>
      </c>
      <c r="B180" s="7" t="n">
        <v>1912</v>
      </c>
      <c r="C180" s="7" t="s">
        <v>142</v>
      </c>
      <c r="D180" s="7" t="n">
        <v>78</v>
      </c>
      <c r="E180" s="7" t="n">
        <v>76</v>
      </c>
      <c r="F180" s="3" t="n">
        <f aca="false">COUNTIFS($B$2:$B$2705,B180,$C$2:$C$2705,C180)</f>
        <v>2</v>
      </c>
      <c r="G180" s="3" t="n">
        <f aca="false">MIN(INT((MIN(B180,2020)-1900)/10)+1,12)</f>
        <v>2</v>
      </c>
      <c r="H180" s="3" t="n">
        <f aca="false">(MIN(B180,2020)-1900-10*(G180-1))/10</f>
        <v>0.2</v>
      </c>
      <c r="I180" s="20" t="n">
        <f aca="false">EXP(LN(INDEX(Pop_Inputs!$B$2:$N$29,MATCH(C180,Pop_Inputs!$A$2:$A$29,0),G180))*(1-H180)+LN(INDEX(Pop_Inputs!$B$2:$N$29,MATCH(C180,Pop_Inputs!$A$2:$A$29,0),G180+1))*H180)</f>
        <v>2279994.16266266</v>
      </c>
      <c r="J180" s="20" t="n">
        <f aca="false">I180/F180</f>
        <v>1139997.08133133</v>
      </c>
      <c r="K180" s="21" t="n">
        <f aca="false">D180/(D180+E180)</f>
        <v>0.506493506493506</v>
      </c>
      <c r="L180" s="21" t="n">
        <f aca="false">AVERAGEIFS($K$2:$K$2705,$B$2:$B$2705,B180)</f>
        <v>0.500513139956332</v>
      </c>
      <c r="M180" s="21" t="n">
        <f aca="false">K180-L180</f>
        <v>0.00598036653717426</v>
      </c>
      <c r="N180" s="21" t="n">
        <f aca="false">LN(J180)</f>
        <v>13.9465362601317</v>
      </c>
      <c r="O180" s="21" t="n">
        <f aca="false">AVERAGEIFS($N$2:$N$2705,$B$2:$B$2705,B180)</f>
        <v>13.3968845632092</v>
      </c>
      <c r="P180" s="21" t="n">
        <f aca="false">N180-O180</f>
        <v>0.549651696922572</v>
      </c>
      <c r="Q180" s="7" t="n">
        <v>0</v>
      </c>
      <c r="R180" s="3" t="n">
        <f aca="false">IF(AND(Q180=1,B180-_xlfn.MINIFS($B$2:$B$2705,$A$2:$A$2705,A180)&lt;10),1,0)</f>
        <v>0</v>
      </c>
      <c r="S180" s="7" t="n">
        <v>0</v>
      </c>
      <c r="T180" s="3" t="n">
        <f aca="false">_xlfn.MINIFS($B$2:$B$2705,$A$2:$A$2705,A180)</f>
        <v>1901</v>
      </c>
      <c r="U180" s="3" t="n">
        <f aca="false">B180-T180</f>
        <v>11</v>
      </c>
      <c r="V180" s="3" t="str">
        <f aca="false">INDEX(Pop_Inputs!$Q$2:$Q$29,MATCH(C180,Pop_Inputs!$A$2:$A$29,0))</f>
        <v>Midwest</v>
      </c>
      <c r="W180" s="30"/>
      <c r="X180" s="3" t="str">
        <f aca="false">IF(W180="","",LN(W180))</f>
        <v/>
      </c>
      <c r="Y180" s="3" t="str">
        <f aca="false">IF(X180="","",X180-AVERAGEIFS($X$2:$X$2705,$B$2:$B$2705,B180))</f>
        <v/>
      </c>
      <c r="Z180" s="21" t="n">
        <f aca="false">P180</f>
        <v>0.549651696922572</v>
      </c>
      <c r="AA180" s="3" t="n">
        <f aca="false">R180</f>
        <v>0</v>
      </c>
      <c r="AB180" s="21" t="n">
        <f aca="false">P180</f>
        <v>0.549651696922572</v>
      </c>
      <c r="AC180" s="3" t="str">
        <f aca="false">Y180</f>
        <v/>
      </c>
      <c r="AD180" s="3" t="n">
        <f aca="false">R180</f>
        <v>0</v>
      </c>
    </row>
    <row r="181" customFormat="false" ht="15" hidden="false" customHeight="true" outlineLevel="0" collapsed="false">
      <c r="A181" s="7" t="s">
        <v>57</v>
      </c>
      <c r="B181" s="7" t="n">
        <v>1912</v>
      </c>
      <c r="C181" s="7" t="s">
        <v>143</v>
      </c>
      <c r="D181" s="7" t="n">
        <v>75</v>
      </c>
      <c r="E181" s="7" t="n">
        <v>78</v>
      </c>
      <c r="F181" s="3" t="n">
        <f aca="false">COUNTIFS($B$2:$B$2705,B181,$C$2:$C$2705,C181)</f>
        <v>1</v>
      </c>
      <c r="G181" s="3" t="n">
        <f aca="false">MIN(INT((MIN(B181,2020)-1900)/10)+1,12)</f>
        <v>2</v>
      </c>
      <c r="H181" s="3" t="n">
        <f aca="false">(MIN(B181,2020)-1900-10*(G181-1))/10</f>
        <v>0.2</v>
      </c>
      <c r="I181" s="20" t="n">
        <f aca="false">EXP(LN(INDEX(Pop_Inputs!$B$2:$N$29,MATCH(C181,Pop_Inputs!$A$2:$A$29,0),G181))*(1-H181)+LN(INDEX(Pop_Inputs!$B$2:$N$29,MATCH(C181,Pop_Inputs!$A$2:$A$29,0),G181+1))*H181)</f>
        <v>370828.290702249</v>
      </c>
      <c r="J181" s="20" t="n">
        <f aca="false">I181/F181</f>
        <v>370828.290702249</v>
      </c>
      <c r="K181" s="21" t="n">
        <f aca="false">D181/(D181+E181)</f>
        <v>0.490196078431373</v>
      </c>
      <c r="L181" s="21" t="n">
        <f aca="false">AVERAGEIFS($K$2:$K$2705,$B$2:$B$2705,B181)</f>
        <v>0.500513139956332</v>
      </c>
      <c r="M181" s="21" t="n">
        <f aca="false">K181-L181</f>
        <v>-0.0103170615249596</v>
      </c>
      <c r="N181" s="21" t="n">
        <f aca="false">LN(J181)</f>
        <v>12.8234944061557</v>
      </c>
      <c r="O181" s="21" t="n">
        <f aca="false">AVERAGEIFS($N$2:$N$2705,$B$2:$B$2705,B181)</f>
        <v>13.3968845632092</v>
      </c>
      <c r="P181" s="21" t="n">
        <f aca="false">N181-O181</f>
        <v>-0.573390157053479</v>
      </c>
      <c r="Q181" s="7" t="n">
        <v>0</v>
      </c>
      <c r="R181" s="3" t="n">
        <f aca="false">IF(AND(Q181=1,B181-_xlfn.MINIFS($B$2:$B$2705,$A$2:$A$2705,A181)&lt;10),1,0)</f>
        <v>0</v>
      </c>
      <c r="S181" s="7" t="n">
        <v>0</v>
      </c>
      <c r="T181" s="3" t="n">
        <f aca="false">_xlfn.MINIFS($B$2:$B$2705,$A$2:$A$2705,A181)</f>
        <v>1901</v>
      </c>
      <c r="U181" s="3" t="n">
        <f aca="false">B181-T181</f>
        <v>11</v>
      </c>
      <c r="V181" s="3" t="str">
        <f aca="false">INDEX(Pop_Inputs!$Q$2:$Q$29,MATCH(C181,Pop_Inputs!$A$2:$A$29,0))</f>
        <v>Midwest</v>
      </c>
      <c r="W181" s="30"/>
      <c r="X181" s="3" t="str">
        <f aca="false">IF(W181="","",LN(W181))</f>
        <v/>
      </c>
      <c r="Y181" s="3" t="str">
        <f aca="false">IF(X181="","",X181-AVERAGEIFS($X$2:$X$2705,$B$2:$B$2705,B181))</f>
        <v/>
      </c>
      <c r="Z181" s="21" t="n">
        <f aca="false">P181</f>
        <v>-0.573390157053479</v>
      </c>
      <c r="AA181" s="3" t="n">
        <f aca="false">R181</f>
        <v>0</v>
      </c>
      <c r="AB181" s="21" t="n">
        <f aca="false">P181</f>
        <v>-0.573390157053479</v>
      </c>
      <c r="AC181" s="3" t="str">
        <f aca="false">Y181</f>
        <v/>
      </c>
      <c r="AD181" s="3" t="n">
        <f aca="false">R181</f>
        <v>0</v>
      </c>
    </row>
    <row r="182" customFormat="false" ht="15" hidden="false" customHeight="true" outlineLevel="0" collapsed="false">
      <c r="A182" s="7" t="s">
        <v>66</v>
      </c>
      <c r="B182" s="7" t="n">
        <v>1912</v>
      </c>
      <c r="C182" s="7" t="s">
        <v>151</v>
      </c>
      <c r="D182" s="7" t="n">
        <v>75</v>
      </c>
      <c r="E182" s="7" t="n">
        <v>78</v>
      </c>
      <c r="F182" s="3" t="n">
        <f aca="false">COUNTIFS($B$2:$B$2705,B182,$C$2:$C$2705,C182)</f>
        <v>1</v>
      </c>
      <c r="G182" s="3" t="n">
        <f aca="false">MIN(INT((MIN(B182,2020)-1900)/10)+1,12)</f>
        <v>2</v>
      </c>
      <c r="H182" s="3" t="n">
        <f aca="false">(MIN(B182,2020)-1900-10*(G182-1))/10</f>
        <v>0.2</v>
      </c>
      <c r="I182" s="20" t="n">
        <f aca="false">EXP(LN(INDEX(Pop_Inputs!$B$2:$N$29,MATCH(C182,Pop_Inputs!$A$2:$A$29,0),G182))*(1-H182)+LN(INDEX(Pop_Inputs!$B$2:$N$29,MATCH(C182,Pop_Inputs!$A$2:$A$29,0),G182+1))*H182)</f>
        <v>601500.304567879</v>
      </c>
      <c r="J182" s="20" t="n">
        <f aca="false">I182/F182</f>
        <v>601500.304567879</v>
      </c>
      <c r="K182" s="21" t="n">
        <f aca="false">D182/(D182+E182)</f>
        <v>0.490196078431373</v>
      </c>
      <c r="L182" s="21" t="n">
        <f aca="false">AVERAGEIFS($K$2:$K$2705,$B$2:$B$2705,B182)</f>
        <v>0.500513139956332</v>
      </c>
      <c r="M182" s="21" t="n">
        <f aca="false">K182-L182</f>
        <v>-0.0103170615249596</v>
      </c>
      <c r="N182" s="21" t="n">
        <f aca="false">LN(J182)</f>
        <v>13.307182320744</v>
      </c>
      <c r="O182" s="21" t="n">
        <f aca="false">AVERAGEIFS($N$2:$N$2705,$B$2:$B$2705,B182)</f>
        <v>13.3968845632092</v>
      </c>
      <c r="P182" s="21" t="n">
        <f aca="false">N182-O182</f>
        <v>-0.0897022424651457</v>
      </c>
      <c r="Q182" s="7" t="n">
        <v>0</v>
      </c>
      <c r="R182" s="3" t="n">
        <f aca="false">IF(AND(Q182=1,B182-_xlfn.MINIFS($B$2:$B$2705,$A$2:$A$2705,A182)&lt;10),1,0)</f>
        <v>0</v>
      </c>
      <c r="S182" s="7" t="n">
        <v>0</v>
      </c>
      <c r="T182" s="3" t="n">
        <f aca="false">_xlfn.MINIFS($B$2:$B$2705,$A$2:$A$2705,A182)</f>
        <v>1901</v>
      </c>
      <c r="U182" s="3" t="n">
        <f aca="false">B182-T182</f>
        <v>11</v>
      </c>
      <c r="V182" s="3" t="str">
        <f aca="false">INDEX(Pop_Inputs!$Q$2:$Q$29,MATCH(C182,Pop_Inputs!$A$2:$A$29,0))</f>
        <v>Midwest</v>
      </c>
      <c r="W182" s="30"/>
      <c r="X182" s="3" t="str">
        <f aca="false">IF(W182="","",LN(W182))</f>
        <v/>
      </c>
      <c r="Y182" s="3" t="str">
        <f aca="false">IF(X182="","",X182-AVERAGEIFS($X$2:$X$2705,$B$2:$B$2705,B182))</f>
        <v/>
      </c>
      <c r="Z182" s="21" t="n">
        <f aca="false">P182</f>
        <v>-0.0897022424651457</v>
      </c>
      <c r="AA182" s="3" t="n">
        <f aca="false">R182</f>
        <v>0</v>
      </c>
      <c r="AB182" s="21" t="n">
        <f aca="false">P182</f>
        <v>-0.0897022424651457</v>
      </c>
      <c r="AC182" s="3" t="str">
        <f aca="false">Y182</f>
        <v/>
      </c>
      <c r="AD182" s="3" t="n">
        <f aca="false">R182</f>
        <v>0</v>
      </c>
    </row>
    <row r="183" customFormat="false" ht="15" hidden="false" customHeight="true" outlineLevel="0" collapsed="false">
      <c r="A183" s="7" t="s">
        <v>67</v>
      </c>
      <c r="B183" s="7" t="n">
        <v>1912</v>
      </c>
      <c r="C183" s="7" t="s">
        <v>152</v>
      </c>
      <c r="D183" s="7" t="n">
        <v>69</v>
      </c>
      <c r="E183" s="7" t="n">
        <v>84</v>
      </c>
      <c r="F183" s="3" t="n">
        <f aca="false">COUNTIFS($B$2:$B$2705,B183,$C$2:$C$2705,C183)</f>
        <v>1</v>
      </c>
      <c r="G183" s="3" t="n">
        <f aca="false">MIN(INT((MIN(B183,2020)-1900)/10)+1,12)</f>
        <v>2</v>
      </c>
      <c r="H183" s="3" t="n">
        <f aca="false">(MIN(B183,2020)-1900-10*(G183-1))/10</f>
        <v>0.2</v>
      </c>
      <c r="I183" s="20" t="n">
        <f aca="false">EXP(LN(INDEX(Pop_Inputs!$B$2:$N$29,MATCH(C183,Pop_Inputs!$A$2:$A$29,0),G183))*(1-H183)+LN(INDEX(Pop_Inputs!$B$2:$N$29,MATCH(C183,Pop_Inputs!$A$2:$A$29,0),G183+1))*H183)</f>
        <v>541980.125404013</v>
      </c>
      <c r="J183" s="20" t="n">
        <f aca="false">I183/F183</f>
        <v>541980.125404013</v>
      </c>
      <c r="K183" s="21" t="n">
        <f aca="false">D183/(D183+E183)</f>
        <v>0.450980392156863</v>
      </c>
      <c r="L183" s="21" t="n">
        <f aca="false">AVERAGEIFS($K$2:$K$2705,$B$2:$B$2705,B183)</f>
        <v>0.500513139956332</v>
      </c>
      <c r="M183" s="21" t="n">
        <f aca="false">K183-L183</f>
        <v>-0.0495327477994694</v>
      </c>
      <c r="N183" s="21" t="n">
        <f aca="false">LN(J183)</f>
        <v>13.2029846107532</v>
      </c>
      <c r="O183" s="21" t="n">
        <f aca="false">AVERAGEIFS($N$2:$N$2705,$B$2:$B$2705,B183)</f>
        <v>13.3968845632092</v>
      </c>
      <c r="P183" s="21" t="n">
        <f aca="false">N183-O183</f>
        <v>-0.193899952455979</v>
      </c>
      <c r="Q183" s="7" t="n">
        <v>0</v>
      </c>
      <c r="R183" s="3" t="n">
        <f aca="false">IF(AND(Q183=1,B183-_xlfn.MINIFS($B$2:$B$2705,$A$2:$A$2705,A183)&lt;10),1,0)</f>
        <v>0</v>
      </c>
      <c r="S183" s="7" t="n">
        <v>0</v>
      </c>
      <c r="T183" s="3" t="n">
        <f aca="false">_xlfn.MINIFS($B$2:$B$2705,$A$2:$A$2705,A183)</f>
        <v>1901</v>
      </c>
      <c r="U183" s="3" t="n">
        <f aca="false">B183-T183</f>
        <v>11</v>
      </c>
      <c r="V183" s="3" t="str">
        <f aca="false">INDEX(Pop_Inputs!$Q$2:$Q$29,MATCH(C183,Pop_Inputs!$A$2:$A$29,0))</f>
        <v>Midwest</v>
      </c>
      <c r="W183" s="30"/>
      <c r="X183" s="3" t="str">
        <f aca="false">IF(W183="","",LN(W183))</f>
        <v/>
      </c>
      <c r="Y183" s="3" t="str">
        <f aca="false">IF(X183="","",X183-AVERAGEIFS($X$2:$X$2705,$B$2:$B$2705,B183))</f>
        <v/>
      </c>
      <c r="Z183" s="21" t="n">
        <f aca="false">P183</f>
        <v>-0.193899952455979</v>
      </c>
      <c r="AA183" s="3" t="n">
        <f aca="false">R183</f>
        <v>0</v>
      </c>
      <c r="AB183" s="21" t="n">
        <f aca="false">P183</f>
        <v>-0.193899952455979</v>
      </c>
      <c r="AC183" s="3" t="str">
        <f aca="false">Y183</f>
        <v/>
      </c>
      <c r="AD183" s="3" t="n">
        <f aca="false">R183</f>
        <v>0</v>
      </c>
    </row>
    <row r="184" customFormat="false" ht="15" hidden="false" customHeight="true" outlineLevel="0" collapsed="false">
      <c r="A184" s="7" t="s">
        <v>62</v>
      </c>
      <c r="B184" s="7" t="n">
        <v>1912</v>
      </c>
      <c r="C184" s="7" t="s">
        <v>154</v>
      </c>
      <c r="D184" s="7" t="n">
        <v>58</v>
      </c>
      <c r="E184" s="7" t="n">
        <v>95</v>
      </c>
      <c r="F184" s="3" t="n">
        <f aca="false">COUNTIFS($B$2:$B$2705,B184,$C$2:$C$2705,C184)</f>
        <v>3</v>
      </c>
      <c r="G184" s="3" t="n">
        <f aca="false">MIN(INT((MIN(B184,2020)-1900)/10)+1,12)</f>
        <v>2</v>
      </c>
      <c r="H184" s="3" t="n">
        <f aca="false">(MIN(B184,2020)-1900-10*(G184-1))/10</f>
        <v>0.2</v>
      </c>
      <c r="I184" s="20" t="n">
        <f aca="false">EXP(LN(INDEX(Pop_Inputs!$B$2:$N$29,MATCH(C184,Pop_Inputs!$A$2:$A$29,0),G184))*(1-H184)+LN(INDEX(Pop_Inputs!$B$2:$N$29,MATCH(C184,Pop_Inputs!$A$2:$A$29,0),G184+1))*H184)</f>
        <v>4926467.23851502</v>
      </c>
      <c r="J184" s="20" t="n">
        <f aca="false">I184/F184</f>
        <v>1642155.74617167</v>
      </c>
      <c r="K184" s="21" t="n">
        <f aca="false">D184/(D184+E184)</f>
        <v>0.379084967320261</v>
      </c>
      <c r="L184" s="21" t="n">
        <f aca="false">AVERAGEIFS($K$2:$K$2705,$B$2:$B$2705,B184)</f>
        <v>0.500513139956332</v>
      </c>
      <c r="M184" s="21" t="n">
        <f aca="false">K184-L184</f>
        <v>-0.121428172636071</v>
      </c>
      <c r="N184" s="21" t="n">
        <f aca="false">LN(J184)</f>
        <v>14.3115204160017</v>
      </c>
      <c r="O184" s="21" t="n">
        <f aca="false">AVERAGEIFS($N$2:$N$2705,$B$2:$B$2705,B184)</f>
        <v>13.3968845632092</v>
      </c>
      <c r="P184" s="21" t="n">
        <f aca="false">N184-O184</f>
        <v>0.914635852792522</v>
      </c>
      <c r="Q184" s="7" t="n">
        <v>0</v>
      </c>
      <c r="R184" s="3" t="n">
        <f aca="false">IF(AND(Q184=1,B184-_xlfn.MINIFS($B$2:$B$2705,$A$2:$A$2705,A184)&lt;10),1,0)</f>
        <v>0</v>
      </c>
      <c r="S184" s="7" t="n">
        <v>0</v>
      </c>
      <c r="T184" s="3" t="n">
        <f aca="false">_xlfn.MINIFS($B$2:$B$2705,$A$2:$A$2705,A184)</f>
        <v>1901</v>
      </c>
      <c r="U184" s="3" t="n">
        <f aca="false">B184-T184</f>
        <v>11</v>
      </c>
      <c r="V184" s="3" t="str">
        <f aca="false">INDEX(Pop_Inputs!$Q$2:$Q$29,MATCH(C184,Pop_Inputs!$A$2:$A$29,0))</f>
        <v>Northeast</v>
      </c>
      <c r="W184" s="30"/>
      <c r="X184" s="3" t="str">
        <f aca="false">IF(W184="","",LN(W184))</f>
        <v/>
      </c>
      <c r="Y184" s="3" t="str">
        <f aca="false">IF(X184="","",X184-AVERAGEIFS($X$2:$X$2705,$B$2:$B$2705,B184))</f>
        <v/>
      </c>
      <c r="Z184" s="21" t="n">
        <f aca="false">P184</f>
        <v>0.914635852792522</v>
      </c>
      <c r="AA184" s="3" t="n">
        <f aca="false">R184</f>
        <v>0</v>
      </c>
      <c r="AB184" s="21" t="n">
        <f aca="false">P184</f>
        <v>0.914635852792522</v>
      </c>
      <c r="AC184" s="3" t="str">
        <f aca="false">Y184</f>
        <v/>
      </c>
      <c r="AD184" s="3" t="n">
        <f aca="false">R184</f>
        <v>0</v>
      </c>
    </row>
    <row r="185" customFormat="false" ht="15" hidden="false" customHeight="true" outlineLevel="0" collapsed="false">
      <c r="A185" s="7" t="s">
        <v>68</v>
      </c>
      <c r="B185" s="7" t="n">
        <v>1912</v>
      </c>
      <c r="C185" s="7" t="s">
        <v>160</v>
      </c>
      <c r="D185" s="7" t="n">
        <v>91</v>
      </c>
      <c r="E185" s="7" t="n">
        <v>61</v>
      </c>
      <c r="F185" s="3" t="n">
        <f aca="false">COUNTIFS($B$2:$B$2705,B185,$C$2:$C$2705,C185)</f>
        <v>1</v>
      </c>
      <c r="G185" s="3" t="n">
        <f aca="false">MIN(INT((MIN(B185,2020)-1900)/10)+1,12)</f>
        <v>2</v>
      </c>
      <c r="H185" s="3" t="n">
        <f aca="false">(MIN(B185,2020)-1900-10*(G185-1))/10</f>
        <v>0.2</v>
      </c>
      <c r="I185" s="20" t="n">
        <f aca="false">EXP(LN(INDEX(Pop_Inputs!$B$2:$N$29,MATCH(C185,Pop_Inputs!$A$2:$A$29,0),G185))*(1-H185)+LN(INDEX(Pop_Inputs!$B$2:$N$29,MATCH(C185,Pop_Inputs!$A$2:$A$29,0),G185+1))*H185)</f>
        <v>350061.637444448</v>
      </c>
      <c r="J185" s="20" t="n">
        <f aca="false">I185/F185</f>
        <v>350061.637444448</v>
      </c>
      <c r="K185" s="21" t="n">
        <f aca="false">D185/(D185+E185)</f>
        <v>0.598684210526316</v>
      </c>
      <c r="L185" s="21" t="n">
        <f aca="false">AVERAGEIFS($K$2:$K$2705,$B$2:$B$2705,B185)</f>
        <v>0.500513139956332</v>
      </c>
      <c r="M185" s="21" t="n">
        <f aca="false">K185-L185</f>
        <v>0.0981710705699836</v>
      </c>
      <c r="N185" s="21" t="n">
        <f aca="false">LN(J185)</f>
        <v>12.7658645249447</v>
      </c>
      <c r="O185" s="21" t="n">
        <f aca="false">AVERAGEIFS($N$2:$N$2705,$B$2:$B$2705,B185)</f>
        <v>13.3968845632092</v>
      </c>
      <c r="P185" s="21" t="n">
        <f aca="false">N185-O185</f>
        <v>-0.631020038264435</v>
      </c>
      <c r="Q185" s="7" t="n">
        <v>0</v>
      </c>
      <c r="R185" s="3" t="n">
        <f aca="false">IF(AND(Q185=1,B185-_xlfn.MINIFS($B$2:$B$2705,$A$2:$A$2705,A185)&lt;10),1,0)</f>
        <v>0</v>
      </c>
      <c r="S185" s="7" t="n">
        <v>0</v>
      </c>
      <c r="T185" s="3" t="n">
        <f aca="false">_xlfn.MINIFS($B$2:$B$2705,$A$2:$A$2705,A185)</f>
        <v>1901</v>
      </c>
      <c r="U185" s="3" t="n">
        <f aca="false">B185-T185</f>
        <v>11</v>
      </c>
      <c r="V185" s="3" t="str">
        <f aca="false">INDEX(Pop_Inputs!$Q$2:$Q$29,MATCH(C185,Pop_Inputs!$A$2:$A$29,0))</f>
        <v>South</v>
      </c>
      <c r="W185" s="30"/>
      <c r="X185" s="3" t="str">
        <f aca="false">IF(W185="","",LN(W185))</f>
        <v/>
      </c>
      <c r="Y185" s="3" t="str">
        <f aca="false">IF(X185="","",X185-AVERAGEIFS($X$2:$X$2705,$B$2:$B$2705,B185))</f>
        <v/>
      </c>
      <c r="Z185" s="21" t="n">
        <f aca="false">P185</f>
        <v>-0.631020038264435</v>
      </c>
      <c r="AA185" s="3" t="n">
        <f aca="false">R185</f>
        <v>0</v>
      </c>
      <c r="AB185" s="21" t="n">
        <f aca="false">P185</f>
        <v>-0.631020038264435</v>
      </c>
      <c r="AC185" s="3" t="str">
        <f aca="false">Y185</f>
        <v/>
      </c>
      <c r="AD185" s="3" t="n">
        <f aca="false">R185</f>
        <v>0</v>
      </c>
    </row>
    <row r="186" customFormat="false" ht="15" hidden="false" customHeight="true" outlineLevel="0" collapsed="false">
      <c r="A186" s="7" t="s">
        <v>70</v>
      </c>
      <c r="B186" s="7" t="n">
        <v>1912</v>
      </c>
      <c r="C186" s="7" t="s">
        <v>154</v>
      </c>
      <c r="D186" s="7" t="n">
        <v>50</v>
      </c>
      <c r="E186" s="7" t="n">
        <v>102</v>
      </c>
      <c r="F186" s="3" t="n">
        <f aca="false">COUNTIFS($B$2:$B$2705,B186,$C$2:$C$2705,C186)</f>
        <v>3</v>
      </c>
      <c r="G186" s="3" t="n">
        <f aca="false">MIN(INT((MIN(B186,2020)-1900)/10)+1,12)</f>
        <v>2</v>
      </c>
      <c r="H186" s="3" t="n">
        <f aca="false">(MIN(B186,2020)-1900-10*(G186-1))/10</f>
        <v>0.2</v>
      </c>
      <c r="I186" s="20" t="n">
        <f aca="false">EXP(LN(INDEX(Pop_Inputs!$B$2:$N$29,MATCH(C186,Pop_Inputs!$A$2:$A$29,0),G186))*(1-H186)+LN(INDEX(Pop_Inputs!$B$2:$N$29,MATCH(C186,Pop_Inputs!$A$2:$A$29,0),G186+1))*H186)</f>
        <v>4926467.23851502</v>
      </c>
      <c r="J186" s="20" t="n">
        <f aca="false">I186/F186</f>
        <v>1642155.74617167</v>
      </c>
      <c r="K186" s="21" t="n">
        <f aca="false">D186/(D186+E186)</f>
        <v>0.328947368421053</v>
      </c>
      <c r="L186" s="21" t="n">
        <f aca="false">AVERAGEIFS($K$2:$K$2705,$B$2:$B$2705,B186)</f>
        <v>0.500513139956332</v>
      </c>
      <c r="M186" s="21" t="n">
        <f aca="false">K186-L186</f>
        <v>-0.17156577153528</v>
      </c>
      <c r="N186" s="21" t="n">
        <f aca="false">LN(J186)</f>
        <v>14.3115204160017</v>
      </c>
      <c r="O186" s="21" t="n">
        <f aca="false">AVERAGEIFS($N$2:$N$2705,$B$2:$B$2705,B186)</f>
        <v>13.3968845632092</v>
      </c>
      <c r="P186" s="21" t="n">
        <f aca="false">N186-O186</f>
        <v>0.914635852792522</v>
      </c>
      <c r="Q186" s="7" t="n">
        <v>0</v>
      </c>
      <c r="R186" s="3" t="n">
        <f aca="false">IF(AND(Q186=1,B186-_xlfn.MINIFS($B$2:$B$2705,$A$2:$A$2705,A186)&lt;10),1,0)</f>
        <v>0</v>
      </c>
      <c r="S186" s="7" t="n">
        <v>1</v>
      </c>
      <c r="T186" s="3" t="n">
        <f aca="false">_xlfn.MINIFS($B$2:$B$2705,$A$2:$A$2705,A186)</f>
        <v>1903</v>
      </c>
      <c r="U186" s="3" t="n">
        <f aca="false">B186-T186</f>
        <v>9</v>
      </c>
      <c r="V186" s="3" t="str">
        <f aca="false">INDEX(Pop_Inputs!$Q$2:$Q$29,MATCH(C186,Pop_Inputs!$A$2:$A$29,0))</f>
        <v>Northeast</v>
      </c>
      <c r="W186" s="30"/>
      <c r="X186" s="3" t="str">
        <f aca="false">IF(W186="","",LN(W186))</f>
        <v/>
      </c>
      <c r="Y186" s="3" t="str">
        <f aca="false">IF(X186="","",X186-AVERAGEIFS($X$2:$X$2705,$B$2:$B$2705,B186))</f>
        <v/>
      </c>
      <c r="Z186" s="21" t="n">
        <f aca="false">P186</f>
        <v>0.914635852792522</v>
      </c>
      <c r="AA186" s="3" t="n">
        <f aca="false">R186</f>
        <v>0</v>
      </c>
      <c r="AB186" s="21" t="n">
        <f aca="false">P186</f>
        <v>0.914635852792522</v>
      </c>
      <c r="AC186" s="3" t="str">
        <f aca="false">Y186</f>
        <v/>
      </c>
      <c r="AD186" s="3" t="n">
        <f aca="false">R186</f>
        <v>0</v>
      </c>
    </row>
    <row r="187" customFormat="false" ht="15" hidden="false" customHeight="true" outlineLevel="0" collapsed="false">
      <c r="A187" s="7" t="s">
        <v>69</v>
      </c>
      <c r="B187" s="7" t="n">
        <v>1912</v>
      </c>
      <c r="C187" s="7" t="s">
        <v>146</v>
      </c>
      <c r="D187" s="7" t="n">
        <v>90</v>
      </c>
      <c r="E187" s="7" t="n">
        <v>62</v>
      </c>
      <c r="F187" s="3" t="n">
        <f aca="false">COUNTIFS($B$2:$B$2705,B187,$C$2:$C$2705,C187)</f>
        <v>2</v>
      </c>
      <c r="G187" s="3" t="n">
        <f aca="false">MIN(INT((MIN(B187,2020)-1900)/10)+1,12)</f>
        <v>2</v>
      </c>
      <c r="H187" s="3" t="n">
        <f aca="false">(MIN(B187,2020)-1900-10*(G187-1))/10</f>
        <v>0.2</v>
      </c>
      <c r="I187" s="20" t="n">
        <f aca="false">EXP(LN(INDEX(Pop_Inputs!$B$2:$N$29,MATCH(C187,Pop_Inputs!$A$2:$A$29,0),G187))*(1-H187)+LN(INDEX(Pop_Inputs!$B$2:$N$29,MATCH(C187,Pop_Inputs!$A$2:$A$29,0),G187+1))*H187)</f>
        <v>1600432.53204583</v>
      </c>
      <c r="J187" s="20" t="n">
        <f aca="false">I187/F187</f>
        <v>800216.266022915</v>
      </c>
      <c r="K187" s="21" t="n">
        <f aca="false">D187/(D187+E187)</f>
        <v>0.592105263157895</v>
      </c>
      <c r="L187" s="21" t="n">
        <f aca="false">AVERAGEIFS($K$2:$K$2705,$B$2:$B$2705,B187)</f>
        <v>0.500513139956332</v>
      </c>
      <c r="M187" s="21" t="n">
        <f aca="false">K187-L187</f>
        <v>0.0915921232015625</v>
      </c>
      <c r="N187" s="21" t="n">
        <f aca="false">LN(J187)</f>
        <v>13.5926373026455</v>
      </c>
      <c r="O187" s="21" t="n">
        <f aca="false">AVERAGEIFS($N$2:$N$2705,$B$2:$B$2705,B187)</f>
        <v>13.3968845632092</v>
      </c>
      <c r="P187" s="21" t="n">
        <f aca="false">N187-O187</f>
        <v>0.195752739436301</v>
      </c>
      <c r="Q187" s="7" t="n">
        <v>0</v>
      </c>
      <c r="R187" s="3" t="n">
        <f aca="false">IF(AND(Q187=1,B187-_xlfn.MINIFS($B$2:$B$2705,$A$2:$A$2705,A187)&lt;10),1,0)</f>
        <v>0</v>
      </c>
      <c r="S187" s="7" t="n">
        <v>0</v>
      </c>
      <c r="T187" s="3" t="n">
        <f aca="false">_xlfn.MINIFS($B$2:$B$2705,$A$2:$A$2705,A187)</f>
        <v>1901</v>
      </c>
      <c r="U187" s="3" t="n">
        <f aca="false">B187-T187</f>
        <v>11</v>
      </c>
      <c r="V187" s="3" t="str">
        <f aca="false">INDEX(Pop_Inputs!$Q$2:$Q$29,MATCH(C187,Pop_Inputs!$A$2:$A$29,0))</f>
        <v>Northeast</v>
      </c>
      <c r="W187" s="30"/>
      <c r="X187" s="3" t="str">
        <f aca="false">IF(W187="","",LN(W187))</f>
        <v/>
      </c>
      <c r="Y187" s="3" t="str">
        <f aca="false">IF(X187="","",X187-AVERAGEIFS($X$2:$X$2705,$B$2:$B$2705,B187))</f>
        <v/>
      </c>
      <c r="Z187" s="21" t="n">
        <f aca="false">P187</f>
        <v>0.195752739436301</v>
      </c>
      <c r="AA187" s="3" t="n">
        <f aca="false">R187</f>
        <v>0</v>
      </c>
      <c r="AB187" s="21" t="n">
        <f aca="false">P187</f>
        <v>0.195752739436301</v>
      </c>
      <c r="AC187" s="3" t="str">
        <f aca="false">Y187</f>
        <v/>
      </c>
      <c r="AD187" s="3" t="n">
        <f aca="false">R187</f>
        <v>0</v>
      </c>
    </row>
    <row r="188" customFormat="false" ht="15" hidden="false" customHeight="true" outlineLevel="0" collapsed="false">
      <c r="A188" s="7" t="s">
        <v>60</v>
      </c>
      <c r="B188" s="7" t="n">
        <v>1912</v>
      </c>
      <c r="C188" s="7" t="s">
        <v>146</v>
      </c>
      <c r="D188" s="7" t="n">
        <v>73</v>
      </c>
      <c r="E188" s="7" t="n">
        <v>79</v>
      </c>
      <c r="F188" s="3" t="n">
        <f aca="false">COUNTIFS($B$2:$B$2705,B188,$C$2:$C$2705,C188)</f>
        <v>2</v>
      </c>
      <c r="G188" s="3" t="n">
        <f aca="false">MIN(INT((MIN(B188,2020)-1900)/10)+1,12)</f>
        <v>2</v>
      </c>
      <c r="H188" s="3" t="n">
        <f aca="false">(MIN(B188,2020)-1900-10*(G188-1))/10</f>
        <v>0.2</v>
      </c>
      <c r="I188" s="20" t="n">
        <f aca="false">EXP(LN(INDEX(Pop_Inputs!$B$2:$N$29,MATCH(C188,Pop_Inputs!$A$2:$A$29,0),G188))*(1-H188)+LN(INDEX(Pop_Inputs!$B$2:$N$29,MATCH(C188,Pop_Inputs!$A$2:$A$29,0),G188+1))*H188)</f>
        <v>1600432.53204583</v>
      </c>
      <c r="J188" s="20" t="n">
        <f aca="false">I188/F188</f>
        <v>800216.266022915</v>
      </c>
      <c r="K188" s="21" t="n">
        <f aca="false">D188/(D188+E188)</f>
        <v>0.480263157894737</v>
      </c>
      <c r="L188" s="21" t="n">
        <f aca="false">AVERAGEIFS($K$2:$K$2705,$B$2:$B$2705,B188)</f>
        <v>0.500513139956332</v>
      </c>
      <c r="M188" s="21" t="n">
        <f aca="false">K188-L188</f>
        <v>-0.0202499820615953</v>
      </c>
      <c r="N188" s="21" t="n">
        <f aca="false">LN(J188)</f>
        <v>13.5926373026455</v>
      </c>
      <c r="O188" s="21" t="n">
        <f aca="false">AVERAGEIFS($N$2:$N$2705,$B$2:$B$2705,B188)</f>
        <v>13.3968845632092</v>
      </c>
      <c r="P188" s="21" t="n">
        <f aca="false">N188-O188</f>
        <v>0.195752739436301</v>
      </c>
      <c r="Q188" s="7" t="n">
        <v>0</v>
      </c>
      <c r="R188" s="3" t="n">
        <f aca="false">IF(AND(Q188=1,B188-_xlfn.MINIFS($B$2:$B$2705,$A$2:$A$2705,A188)&lt;10),1,0)</f>
        <v>0</v>
      </c>
      <c r="S188" s="7" t="n">
        <v>0</v>
      </c>
      <c r="T188" s="3" t="n">
        <f aca="false">_xlfn.MINIFS($B$2:$B$2705,$A$2:$A$2705,A188)</f>
        <v>1901</v>
      </c>
      <c r="U188" s="3" t="n">
        <f aca="false">B188-T188</f>
        <v>11</v>
      </c>
      <c r="V188" s="3" t="str">
        <f aca="false">INDEX(Pop_Inputs!$Q$2:$Q$29,MATCH(C188,Pop_Inputs!$A$2:$A$29,0))</f>
        <v>Northeast</v>
      </c>
      <c r="W188" s="30"/>
      <c r="X188" s="3" t="str">
        <f aca="false">IF(W188="","",LN(W188))</f>
        <v/>
      </c>
      <c r="Y188" s="3" t="str">
        <f aca="false">IF(X188="","",X188-AVERAGEIFS($X$2:$X$2705,$B$2:$B$2705,B188))</f>
        <v/>
      </c>
      <c r="Z188" s="21" t="n">
        <f aca="false">P188</f>
        <v>0.195752739436301</v>
      </c>
      <c r="AA188" s="3" t="n">
        <f aca="false">R188</f>
        <v>0</v>
      </c>
      <c r="AB188" s="21" t="n">
        <f aca="false">P188</f>
        <v>0.195752739436301</v>
      </c>
      <c r="AC188" s="3" t="str">
        <f aca="false">Y188</f>
        <v/>
      </c>
      <c r="AD188" s="3" t="n">
        <f aca="false">R188</f>
        <v>0</v>
      </c>
    </row>
    <row r="189" customFormat="false" ht="15" hidden="false" customHeight="true" outlineLevel="0" collapsed="false">
      <c r="A189" s="7" t="s">
        <v>58</v>
      </c>
      <c r="B189" s="7" t="n">
        <v>1912</v>
      </c>
      <c r="C189" s="7" t="s">
        <v>144</v>
      </c>
      <c r="D189" s="7" t="n">
        <v>93</v>
      </c>
      <c r="E189" s="7" t="n">
        <v>58</v>
      </c>
      <c r="F189" s="3" t="n">
        <f aca="false">COUNTIFS($B$2:$B$2705,B189,$C$2:$C$2705,C189)</f>
        <v>1</v>
      </c>
      <c r="G189" s="3" t="n">
        <f aca="false">MIN(INT((MIN(B189,2020)-1900)/10)+1,12)</f>
        <v>2</v>
      </c>
      <c r="H189" s="3" t="n">
        <f aca="false">(MIN(B189,2020)-1900-10*(G189-1))/10</f>
        <v>0.2</v>
      </c>
      <c r="I189" s="20" t="n">
        <f aca="false">EXP(LN(INDEX(Pop_Inputs!$B$2:$N$29,MATCH(C189,Pop_Inputs!$A$2:$A$29,0),G189))*(1-H189)+LN(INDEX(Pop_Inputs!$B$2:$N$29,MATCH(C189,Pop_Inputs!$A$2:$A$29,0),G189+1))*H189)</f>
        <v>544373.917258045</v>
      </c>
      <c r="J189" s="20" t="n">
        <f aca="false">I189/F189</f>
        <v>544373.917258045</v>
      </c>
      <c r="K189" s="21" t="n">
        <f aca="false">D189/(D189+E189)</f>
        <v>0.615894039735099</v>
      </c>
      <c r="L189" s="21" t="n">
        <f aca="false">AVERAGEIFS($K$2:$K$2705,$B$2:$B$2705,B189)</f>
        <v>0.500513139956332</v>
      </c>
      <c r="M189" s="21" t="n">
        <f aca="false">K189-L189</f>
        <v>0.115380899778767</v>
      </c>
      <c r="N189" s="21" t="n">
        <f aca="false">LN(J189)</f>
        <v>13.2073916376235</v>
      </c>
      <c r="O189" s="21" t="n">
        <f aca="false">AVERAGEIFS($N$2:$N$2705,$B$2:$B$2705,B189)</f>
        <v>13.3968845632092</v>
      </c>
      <c r="P189" s="21" t="n">
        <f aca="false">N189-O189</f>
        <v>-0.189492925585634</v>
      </c>
      <c r="Q189" s="7" t="n">
        <v>0</v>
      </c>
      <c r="R189" s="3" t="n">
        <f aca="false">IF(AND(Q189=1,B189-_xlfn.MINIFS($B$2:$B$2705,$A$2:$A$2705,A189)&lt;10),1,0)</f>
        <v>0</v>
      </c>
      <c r="S189" s="7" t="n">
        <v>0</v>
      </c>
      <c r="T189" s="3" t="n">
        <f aca="false">_xlfn.MINIFS($B$2:$B$2705,$A$2:$A$2705,A189)</f>
        <v>1901</v>
      </c>
      <c r="U189" s="3" t="n">
        <f aca="false">B189-T189</f>
        <v>11</v>
      </c>
      <c r="V189" s="3" t="str">
        <f aca="false">INDEX(Pop_Inputs!$Q$2:$Q$29,MATCH(C189,Pop_Inputs!$A$2:$A$29,0))</f>
        <v>Northeast</v>
      </c>
      <c r="W189" s="30"/>
      <c r="X189" s="3" t="str">
        <f aca="false">IF(W189="","",LN(W189))</f>
        <v/>
      </c>
      <c r="Y189" s="3" t="str">
        <f aca="false">IF(X189="","",X189-AVERAGEIFS($X$2:$X$2705,$B$2:$B$2705,B189))</f>
        <v/>
      </c>
      <c r="Z189" s="21" t="n">
        <f aca="false">P189</f>
        <v>-0.189492925585634</v>
      </c>
      <c r="AA189" s="3" t="n">
        <f aca="false">R189</f>
        <v>0</v>
      </c>
      <c r="AB189" s="21" t="n">
        <f aca="false">P189</f>
        <v>-0.189492925585634</v>
      </c>
      <c r="AC189" s="3" t="str">
        <f aca="false">Y189</f>
        <v/>
      </c>
      <c r="AD189" s="3" t="n">
        <f aca="false">R189</f>
        <v>0</v>
      </c>
    </row>
    <row r="190" customFormat="false" ht="15" hidden="false" customHeight="true" outlineLevel="0" collapsed="false">
      <c r="A190" s="7" t="s">
        <v>61</v>
      </c>
      <c r="B190" s="7" t="n">
        <v>1912</v>
      </c>
      <c r="C190" s="7" t="s">
        <v>154</v>
      </c>
      <c r="D190" s="7" t="n">
        <v>103</v>
      </c>
      <c r="E190" s="7" t="n">
        <v>48</v>
      </c>
      <c r="F190" s="3" t="n">
        <f aca="false">COUNTIFS($B$2:$B$2705,B190,$C$2:$C$2705,C190)</f>
        <v>3</v>
      </c>
      <c r="G190" s="3" t="n">
        <f aca="false">MIN(INT((MIN(B190,2020)-1900)/10)+1,12)</f>
        <v>2</v>
      </c>
      <c r="H190" s="3" t="n">
        <f aca="false">(MIN(B190,2020)-1900-10*(G190-1))/10</f>
        <v>0.2</v>
      </c>
      <c r="I190" s="20" t="n">
        <f aca="false">EXP(LN(INDEX(Pop_Inputs!$B$2:$N$29,MATCH(C190,Pop_Inputs!$A$2:$A$29,0),G190))*(1-H190)+LN(INDEX(Pop_Inputs!$B$2:$N$29,MATCH(C190,Pop_Inputs!$A$2:$A$29,0),G190+1))*H190)</f>
        <v>4926467.23851502</v>
      </c>
      <c r="J190" s="20" t="n">
        <f aca="false">I190/F190</f>
        <v>1642155.74617167</v>
      </c>
      <c r="K190" s="21" t="n">
        <f aca="false">D190/(D190+E190)</f>
        <v>0.682119205298013</v>
      </c>
      <c r="L190" s="21" t="n">
        <f aca="false">AVERAGEIFS($K$2:$K$2705,$B$2:$B$2705,B190)</f>
        <v>0.500513139956332</v>
      </c>
      <c r="M190" s="21" t="n">
        <f aca="false">K190-L190</f>
        <v>0.181606065341681</v>
      </c>
      <c r="N190" s="21" t="n">
        <f aca="false">LN(J190)</f>
        <v>14.3115204160017</v>
      </c>
      <c r="O190" s="21" t="n">
        <f aca="false">AVERAGEIFS($N$2:$N$2705,$B$2:$B$2705,B190)</f>
        <v>13.3968845632092</v>
      </c>
      <c r="P190" s="21" t="n">
        <f aca="false">N190-O190</f>
        <v>0.914635852792522</v>
      </c>
      <c r="Q190" s="7" t="n">
        <v>0</v>
      </c>
      <c r="R190" s="3" t="n">
        <f aca="false">IF(AND(Q190=1,B190-_xlfn.MINIFS($B$2:$B$2705,$A$2:$A$2705,A190)&lt;10),1,0)</f>
        <v>0</v>
      </c>
      <c r="S190" s="7" t="n">
        <v>0</v>
      </c>
      <c r="T190" s="3" t="n">
        <f aca="false">_xlfn.MINIFS($B$2:$B$2705,$A$2:$A$2705,A190)</f>
        <v>1901</v>
      </c>
      <c r="U190" s="3" t="n">
        <f aca="false">B190-T190</f>
        <v>11</v>
      </c>
      <c r="V190" s="3" t="str">
        <f aca="false">INDEX(Pop_Inputs!$Q$2:$Q$29,MATCH(C190,Pop_Inputs!$A$2:$A$29,0))</f>
        <v>Northeast</v>
      </c>
      <c r="W190" s="30"/>
      <c r="X190" s="3" t="str">
        <f aca="false">IF(W190="","",LN(W190))</f>
        <v/>
      </c>
      <c r="Y190" s="3" t="str">
        <f aca="false">IF(X190="","",X190-AVERAGEIFS($X$2:$X$2705,$B$2:$B$2705,B190))</f>
        <v/>
      </c>
      <c r="Z190" s="21" t="n">
        <f aca="false">P190</f>
        <v>0.914635852792522</v>
      </c>
      <c r="AA190" s="3" t="n">
        <f aca="false">R190</f>
        <v>0</v>
      </c>
      <c r="AB190" s="21" t="n">
        <f aca="false">P190</f>
        <v>0.914635852792522</v>
      </c>
      <c r="AC190" s="3" t="str">
        <f aca="false">Y190</f>
        <v/>
      </c>
      <c r="AD190" s="3" t="n">
        <f aca="false">R190</f>
        <v>0</v>
      </c>
    </row>
    <row r="191" customFormat="false" ht="15" hidden="false" customHeight="true" outlineLevel="0" collapsed="false">
      <c r="A191" s="7" t="s">
        <v>59</v>
      </c>
      <c r="B191" s="7" t="n">
        <v>1912</v>
      </c>
      <c r="C191" s="7" t="s">
        <v>145</v>
      </c>
      <c r="D191" s="7" t="n">
        <v>63</v>
      </c>
      <c r="E191" s="7" t="n">
        <v>90</v>
      </c>
      <c r="F191" s="3" t="n">
        <f aca="false">COUNTIFS($B$2:$B$2705,B191,$C$2:$C$2705,C191)</f>
        <v>2</v>
      </c>
      <c r="G191" s="3" t="n">
        <f aca="false">MIN(INT((MIN(B191,2020)-1900)/10)+1,12)</f>
        <v>2</v>
      </c>
      <c r="H191" s="3" t="n">
        <f aca="false">(MIN(B191,2020)-1900-10*(G191-1))/10</f>
        <v>0.2</v>
      </c>
      <c r="I191" s="20" t="n">
        <f aca="false">EXP(LN(INDEX(Pop_Inputs!$B$2:$N$29,MATCH(C191,Pop_Inputs!$A$2:$A$29,0),G191))*(1-H191)+LN(INDEX(Pop_Inputs!$B$2:$N$29,MATCH(C191,Pop_Inputs!$A$2:$A$29,0),G191+1))*H191)</f>
        <v>703403.264883561</v>
      </c>
      <c r="J191" s="20" t="n">
        <f aca="false">I191/F191</f>
        <v>351701.632441781</v>
      </c>
      <c r="K191" s="21" t="n">
        <f aca="false">D191/(D191+E191)</f>
        <v>0.411764705882353</v>
      </c>
      <c r="L191" s="21" t="n">
        <f aca="false">AVERAGEIFS($K$2:$K$2705,$B$2:$B$2705,B191)</f>
        <v>0.500513139956332</v>
      </c>
      <c r="M191" s="21" t="n">
        <f aca="false">K191-L191</f>
        <v>-0.0887484340739793</v>
      </c>
      <c r="N191" s="21" t="n">
        <f aca="false">LN(J191)</f>
        <v>12.7705384600259</v>
      </c>
      <c r="O191" s="21" t="n">
        <f aca="false">AVERAGEIFS($N$2:$N$2705,$B$2:$B$2705,B191)</f>
        <v>13.3968845632092</v>
      </c>
      <c r="P191" s="21" t="n">
        <f aca="false">N191-O191</f>
        <v>-0.626346103183268</v>
      </c>
      <c r="Q191" s="7" t="n">
        <v>0</v>
      </c>
      <c r="R191" s="3" t="n">
        <f aca="false">IF(AND(Q191=1,B191-_xlfn.MINIFS($B$2:$B$2705,$A$2:$A$2705,A191)&lt;10),1,0)</f>
        <v>0</v>
      </c>
      <c r="S191" s="7" t="n">
        <v>0</v>
      </c>
      <c r="T191" s="3" t="n">
        <f aca="false">_xlfn.MINIFS($B$2:$B$2705,$A$2:$A$2705,A191)</f>
        <v>1901</v>
      </c>
      <c r="U191" s="3" t="n">
        <f aca="false">B191-T191</f>
        <v>11</v>
      </c>
      <c r="V191" s="3" t="str">
        <f aca="false">INDEX(Pop_Inputs!$Q$2:$Q$29,MATCH(C191,Pop_Inputs!$A$2:$A$29,0))</f>
        <v>Midwest</v>
      </c>
      <c r="W191" s="30"/>
      <c r="X191" s="3" t="str">
        <f aca="false">IF(W191="","",LN(W191))</f>
        <v/>
      </c>
      <c r="Y191" s="3" t="str">
        <f aca="false">IF(X191="","",X191-AVERAGEIFS($X$2:$X$2705,$B$2:$B$2705,B191))</f>
        <v/>
      </c>
      <c r="Z191" s="21" t="n">
        <f aca="false">P191</f>
        <v>-0.626346103183268</v>
      </c>
      <c r="AA191" s="3" t="n">
        <f aca="false">R191</f>
        <v>0</v>
      </c>
      <c r="AB191" s="21" t="n">
        <f aca="false">P191</f>
        <v>-0.626346103183268</v>
      </c>
      <c r="AC191" s="3" t="str">
        <f aca="false">Y191</f>
        <v/>
      </c>
      <c r="AD191" s="3" t="n">
        <f aca="false">R191</f>
        <v>0</v>
      </c>
    </row>
    <row r="192" customFormat="false" ht="15" hidden="false" customHeight="true" outlineLevel="0" collapsed="false">
      <c r="A192" s="7" t="s">
        <v>54</v>
      </c>
      <c r="B192" s="7" t="n">
        <v>1913</v>
      </c>
      <c r="C192" s="7" t="s">
        <v>150</v>
      </c>
      <c r="D192" s="7" t="n">
        <v>69</v>
      </c>
      <c r="E192" s="7" t="n">
        <v>82</v>
      </c>
      <c r="F192" s="3" t="n">
        <f aca="false">COUNTIFS($B$2:$B$2705,B192,$C$2:$C$2705,C192)</f>
        <v>2</v>
      </c>
      <c r="G192" s="3" t="n">
        <f aca="false">MIN(INT((MIN(B192,2020)-1900)/10)+1,12)</f>
        <v>2</v>
      </c>
      <c r="H192" s="3" t="n">
        <f aca="false">(MIN(B192,2020)-1900-10*(G192-1))/10</f>
        <v>0.3</v>
      </c>
      <c r="I192" s="20" t="n">
        <f aca="false">EXP(LN(INDEX(Pop_Inputs!$B$2:$N$29,MATCH(C192,Pop_Inputs!$A$2:$A$29,0),G192))*(1-H192)+LN(INDEX(Pop_Inputs!$B$2:$N$29,MATCH(C192,Pop_Inputs!$A$2:$A$29,0),G192+1))*H192)</f>
        <v>692944.758622868</v>
      </c>
      <c r="J192" s="20" t="n">
        <f aca="false">I192/F192</f>
        <v>346472.379311434</v>
      </c>
      <c r="K192" s="21" t="n">
        <f aca="false">D192/(D192+E192)</f>
        <v>0.456953642384106</v>
      </c>
      <c r="L192" s="21" t="n">
        <f aca="false">AVERAGEIFS($K$2:$K$2705,$B$2:$B$2705,B192)</f>
        <v>0.499768124480721</v>
      </c>
      <c r="M192" s="21" t="n">
        <f aca="false">K192-L192</f>
        <v>-0.0428144820966152</v>
      </c>
      <c r="N192" s="21" t="n">
        <f aca="false">LN(J192)</f>
        <v>12.7555583810479</v>
      </c>
      <c r="O192" s="21" t="n">
        <f aca="false">AVERAGEIFS($N$2:$N$2705,$B$2:$B$2705,B192)</f>
        <v>13.417402257621</v>
      </c>
      <c r="P192" s="21" t="n">
        <f aca="false">N192-O192</f>
        <v>-0.661843876573101</v>
      </c>
      <c r="Q192" s="7" t="n">
        <v>0</v>
      </c>
      <c r="R192" s="3" t="n">
        <f aca="false">IF(AND(Q192=1,B192-_xlfn.MINIFS($B$2:$B$2705,$A$2:$A$2705,A192)&lt;10),1,0)</f>
        <v>0</v>
      </c>
      <c r="S192" s="7" t="n">
        <v>0</v>
      </c>
      <c r="T192" s="3" t="n">
        <f aca="false">_xlfn.MINIFS($B$2:$B$2705,$A$2:$A$2705,A192)</f>
        <v>1901</v>
      </c>
      <c r="U192" s="3" t="n">
        <f aca="false">B192-T192</f>
        <v>12</v>
      </c>
      <c r="V192" s="3" t="str">
        <f aca="false">INDEX(Pop_Inputs!$Q$2:$Q$29,MATCH(C192,Pop_Inputs!$A$2:$A$29,0))</f>
        <v>Northeast</v>
      </c>
      <c r="W192" s="30"/>
      <c r="X192" s="3" t="str">
        <f aca="false">IF(W192="","",LN(W192))</f>
        <v/>
      </c>
      <c r="Y192" s="3" t="str">
        <f aca="false">IF(X192="","",X192-AVERAGEIFS($X$2:$X$2705,$B$2:$B$2705,B192))</f>
        <v/>
      </c>
      <c r="Z192" s="21" t="n">
        <f aca="false">P192</f>
        <v>-0.661843876573101</v>
      </c>
      <c r="AA192" s="3" t="n">
        <f aca="false">R192</f>
        <v>0</v>
      </c>
      <c r="AB192" s="21" t="n">
        <f aca="false">P192</f>
        <v>-0.661843876573101</v>
      </c>
      <c r="AC192" s="3" t="str">
        <f aca="false">Y192</f>
        <v/>
      </c>
      <c r="AD192" s="3" t="n">
        <f aca="false">R192</f>
        <v>0</v>
      </c>
    </row>
    <row r="193" customFormat="false" ht="15" hidden="false" customHeight="true" outlineLevel="0" collapsed="false">
      <c r="A193" s="7" t="s">
        <v>63</v>
      </c>
      <c r="B193" s="7" t="n">
        <v>1913</v>
      </c>
      <c r="C193" s="7" t="s">
        <v>145</v>
      </c>
      <c r="D193" s="7" t="n">
        <v>57</v>
      </c>
      <c r="E193" s="7" t="n">
        <v>96</v>
      </c>
      <c r="F193" s="3" t="n">
        <f aca="false">COUNTIFS($B$2:$B$2705,B193,$C$2:$C$2705,C193)</f>
        <v>2</v>
      </c>
      <c r="G193" s="3" t="n">
        <f aca="false">MIN(INT((MIN(B193,2020)-1900)/10)+1,12)</f>
        <v>2</v>
      </c>
      <c r="H193" s="3" t="n">
        <f aca="false">(MIN(B193,2020)-1900-10*(G193-1))/10</f>
        <v>0.3</v>
      </c>
      <c r="I193" s="20" t="n">
        <f aca="false">EXP(LN(INDEX(Pop_Inputs!$B$2:$N$29,MATCH(C193,Pop_Inputs!$A$2:$A$29,0),G193))*(1-H193)+LN(INDEX(Pop_Inputs!$B$2:$N$29,MATCH(C193,Pop_Inputs!$A$2:$A$29,0),G193+1))*H193)</f>
        <v>711736.166791025</v>
      </c>
      <c r="J193" s="20" t="n">
        <f aca="false">I193/F193</f>
        <v>355868.083395512</v>
      </c>
      <c r="K193" s="21" t="n">
        <f aca="false">D193/(D193+E193)</f>
        <v>0.372549019607843</v>
      </c>
      <c r="L193" s="21" t="n">
        <f aca="false">AVERAGEIFS($K$2:$K$2705,$B$2:$B$2705,B193)</f>
        <v>0.499768124480721</v>
      </c>
      <c r="M193" s="21" t="n">
        <f aca="false">K193-L193</f>
        <v>-0.127219104872878</v>
      </c>
      <c r="N193" s="21" t="n">
        <f aca="false">LN(J193)</f>
        <v>12.7823153889029</v>
      </c>
      <c r="O193" s="21" t="n">
        <f aca="false">AVERAGEIFS($N$2:$N$2705,$B$2:$B$2705,B193)</f>
        <v>13.417402257621</v>
      </c>
      <c r="P193" s="21" t="n">
        <f aca="false">N193-O193</f>
        <v>-0.635086868718084</v>
      </c>
      <c r="Q193" s="7" t="n">
        <v>0</v>
      </c>
      <c r="R193" s="3" t="n">
        <f aca="false">IF(AND(Q193=1,B193-_xlfn.MINIFS($B$2:$B$2705,$A$2:$A$2705,A193)&lt;10),1,0)</f>
        <v>0</v>
      </c>
      <c r="S193" s="7" t="n">
        <v>0</v>
      </c>
      <c r="T193" s="3" t="n">
        <f aca="false">_xlfn.MINIFS($B$2:$B$2705,$A$2:$A$2705,A193)</f>
        <v>1901</v>
      </c>
      <c r="U193" s="3" t="n">
        <f aca="false">B193-T193</f>
        <v>12</v>
      </c>
      <c r="V193" s="3" t="str">
        <f aca="false">INDEX(Pop_Inputs!$Q$2:$Q$29,MATCH(C193,Pop_Inputs!$A$2:$A$29,0))</f>
        <v>Midwest</v>
      </c>
      <c r="W193" s="30"/>
      <c r="X193" s="3" t="str">
        <f aca="false">IF(W193="","",LN(W193))</f>
        <v/>
      </c>
      <c r="Y193" s="3" t="str">
        <f aca="false">IF(X193="","",X193-AVERAGEIFS($X$2:$X$2705,$B$2:$B$2705,B193))</f>
        <v/>
      </c>
      <c r="Z193" s="21" t="n">
        <f aca="false">P193</f>
        <v>-0.635086868718084</v>
      </c>
      <c r="AA193" s="3" t="n">
        <f aca="false">R193</f>
        <v>0</v>
      </c>
      <c r="AB193" s="21" t="n">
        <f aca="false">P193</f>
        <v>-0.635086868718084</v>
      </c>
      <c r="AC193" s="3" t="str">
        <f aca="false">Y193</f>
        <v/>
      </c>
      <c r="AD193" s="3" t="n">
        <f aca="false">R193</f>
        <v>0</v>
      </c>
    </row>
    <row r="194" customFormat="false" ht="15" hidden="false" customHeight="true" outlineLevel="0" collapsed="false">
      <c r="A194" s="7" t="s">
        <v>64</v>
      </c>
      <c r="B194" s="7" t="n">
        <v>1913</v>
      </c>
      <c r="C194" s="7" t="s">
        <v>150</v>
      </c>
      <c r="D194" s="7" t="n">
        <v>79</v>
      </c>
      <c r="E194" s="7" t="n">
        <v>71</v>
      </c>
      <c r="F194" s="3" t="n">
        <f aca="false">COUNTIFS($B$2:$B$2705,B194,$C$2:$C$2705,C194)</f>
        <v>2</v>
      </c>
      <c r="G194" s="3" t="n">
        <f aca="false">MIN(INT((MIN(B194,2020)-1900)/10)+1,12)</f>
        <v>2</v>
      </c>
      <c r="H194" s="3" t="n">
        <f aca="false">(MIN(B194,2020)-1900-10*(G194-1))/10</f>
        <v>0.3</v>
      </c>
      <c r="I194" s="20" t="n">
        <f aca="false">EXP(LN(INDEX(Pop_Inputs!$B$2:$N$29,MATCH(C194,Pop_Inputs!$A$2:$A$29,0),G194))*(1-H194)+LN(INDEX(Pop_Inputs!$B$2:$N$29,MATCH(C194,Pop_Inputs!$A$2:$A$29,0),G194+1))*H194)</f>
        <v>692944.758622868</v>
      </c>
      <c r="J194" s="20" t="n">
        <f aca="false">I194/F194</f>
        <v>346472.379311434</v>
      </c>
      <c r="K194" s="21" t="n">
        <f aca="false">D194/(D194+E194)</f>
        <v>0.526666666666667</v>
      </c>
      <c r="L194" s="21" t="n">
        <f aca="false">AVERAGEIFS($K$2:$K$2705,$B$2:$B$2705,B194)</f>
        <v>0.499768124480721</v>
      </c>
      <c r="M194" s="21" t="n">
        <f aca="false">K194-L194</f>
        <v>0.0268985421859455</v>
      </c>
      <c r="N194" s="21" t="n">
        <f aca="false">LN(J194)</f>
        <v>12.7555583810479</v>
      </c>
      <c r="O194" s="21" t="n">
        <f aca="false">AVERAGEIFS($N$2:$N$2705,$B$2:$B$2705,B194)</f>
        <v>13.417402257621</v>
      </c>
      <c r="P194" s="21" t="n">
        <f aca="false">N194-O194</f>
        <v>-0.661843876573101</v>
      </c>
      <c r="Q194" s="7" t="n">
        <v>0</v>
      </c>
      <c r="R194" s="3" t="n">
        <f aca="false">IF(AND(Q194=1,B194-_xlfn.MINIFS($B$2:$B$2705,$A$2:$A$2705,A194)&lt;10),1,0)</f>
        <v>0</v>
      </c>
      <c r="S194" s="7" t="n">
        <v>0</v>
      </c>
      <c r="T194" s="3" t="n">
        <f aca="false">_xlfn.MINIFS($B$2:$B$2705,$A$2:$A$2705,A194)</f>
        <v>1901</v>
      </c>
      <c r="U194" s="3" t="n">
        <f aca="false">B194-T194</f>
        <v>12</v>
      </c>
      <c r="V194" s="3" t="str">
        <f aca="false">INDEX(Pop_Inputs!$Q$2:$Q$29,MATCH(C194,Pop_Inputs!$A$2:$A$29,0))</f>
        <v>Northeast</v>
      </c>
      <c r="W194" s="30"/>
      <c r="X194" s="3" t="str">
        <f aca="false">IF(W194="","",LN(W194))</f>
        <v/>
      </c>
      <c r="Y194" s="3" t="str">
        <f aca="false">IF(X194="","",X194-AVERAGEIFS($X$2:$X$2705,$B$2:$B$2705,B194))</f>
        <v/>
      </c>
      <c r="Z194" s="21" t="n">
        <f aca="false">P194</f>
        <v>-0.661843876573101</v>
      </c>
      <c r="AA194" s="3" t="n">
        <f aca="false">R194</f>
        <v>0</v>
      </c>
      <c r="AB194" s="21" t="n">
        <f aca="false">P194</f>
        <v>-0.661843876573101</v>
      </c>
      <c r="AC194" s="3" t="str">
        <f aca="false">Y194</f>
        <v/>
      </c>
      <c r="AD194" s="3" t="n">
        <f aca="false">R194</f>
        <v>0</v>
      </c>
    </row>
    <row r="195" customFormat="false" ht="15" hidden="false" customHeight="true" outlineLevel="0" collapsed="false">
      <c r="A195" s="7" t="s">
        <v>56</v>
      </c>
      <c r="B195" s="7" t="n">
        <v>1913</v>
      </c>
      <c r="C195" s="7" t="s">
        <v>142</v>
      </c>
      <c r="D195" s="7" t="n">
        <v>88</v>
      </c>
      <c r="E195" s="7" t="n">
        <v>65</v>
      </c>
      <c r="F195" s="3" t="n">
        <f aca="false">COUNTIFS($B$2:$B$2705,B195,$C$2:$C$2705,C195)</f>
        <v>2</v>
      </c>
      <c r="G195" s="3" t="n">
        <f aca="false">MIN(INT((MIN(B195,2020)-1900)/10)+1,12)</f>
        <v>2</v>
      </c>
      <c r="H195" s="3" t="n">
        <f aca="false">(MIN(B195,2020)-1900-10*(G195-1))/10</f>
        <v>0.3</v>
      </c>
      <c r="I195" s="20" t="n">
        <f aca="false">EXP(LN(INDEX(Pop_Inputs!$B$2:$N$29,MATCH(C195,Pop_Inputs!$A$2:$A$29,0),G195))*(1-H195)+LN(INDEX(Pop_Inputs!$B$2:$N$29,MATCH(C195,Pop_Inputs!$A$2:$A$29,0),G195+1))*H195)</f>
        <v>2328878.11120905</v>
      </c>
      <c r="J195" s="20" t="n">
        <f aca="false">I195/F195</f>
        <v>1164439.05560453</v>
      </c>
      <c r="K195" s="21" t="n">
        <f aca="false">D195/(D195+E195)</f>
        <v>0.57516339869281</v>
      </c>
      <c r="L195" s="21" t="n">
        <f aca="false">AVERAGEIFS($K$2:$K$2705,$B$2:$B$2705,B195)</f>
        <v>0.499768124480721</v>
      </c>
      <c r="M195" s="21" t="n">
        <f aca="false">K195-L195</f>
        <v>0.0753952742120893</v>
      </c>
      <c r="N195" s="21" t="n">
        <f aca="false">LN(J195)</f>
        <v>13.9677500316897</v>
      </c>
      <c r="O195" s="21" t="n">
        <f aca="false">AVERAGEIFS($N$2:$N$2705,$B$2:$B$2705,B195)</f>
        <v>13.417402257621</v>
      </c>
      <c r="P195" s="21" t="n">
        <f aca="false">N195-O195</f>
        <v>0.550347774068701</v>
      </c>
      <c r="Q195" s="7" t="n">
        <v>0</v>
      </c>
      <c r="R195" s="3" t="n">
        <f aca="false">IF(AND(Q195=1,B195-_xlfn.MINIFS($B$2:$B$2705,$A$2:$A$2705,A195)&lt;10),1,0)</f>
        <v>0</v>
      </c>
      <c r="S195" s="7" t="n">
        <v>0</v>
      </c>
      <c r="T195" s="3" t="n">
        <f aca="false">_xlfn.MINIFS($B$2:$B$2705,$A$2:$A$2705,A195)</f>
        <v>1901</v>
      </c>
      <c r="U195" s="3" t="n">
        <f aca="false">B195-T195</f>
        <v>12</v>
      </c>
      <c r="V195" s="3" t="str">
        <f aca="false">INDEX(Pop_Inputs!$Q$2:$Q$29,MATCH(C195,Pop_Inputs!$A$2:$A$29,0))</f>
        <v>Midwest</v>
      </c>
      <c r="W195" s="30"/>
      <c r="X195" s="3" t="str">
        <f aca="false">IF(W195="","",LN(W195))</f>
        <v/>
      </c>
      <c r="Y195" s="3" t="str">
        <f aca="false">IF(X195="","",X195-AVERAGEIFS($X$2:$X$2705,$B$2:$B$2705,B195))</f>
        <v/>
      </c>
      <c r="Z195" s="21" t="n">
        <f aca="false">P195</f>
        <v>0.550347774068701</v>
      </c>
      <c r="AA195" s="3" t="n">
        <f aca="false">R195</f>
        <v>0</v>
      </c>
      <c r="AB195" s="21" t="n">
        <f aca="false">P195</f>
        <v>0.550347774068701</v>
      </c>
      <c r="AC195" s="3" t="str">
        <f aca="false">Y195</f>
        <v/>
      </c>
      <c r="AD195" s="3" t="n">
        <f aca="false">R195</f>
        <v>0</v>
      </c>
    </row>
    <row r="196" customFormat="false" ht="15" hidden="false" customHeight="true" outlineLevel="0" collapsed="false">
      <c r="A196" s="7" t="s">
        <v>65</v>
      </c>
      <c r="B196" s="7" t="n">
        <v>1913</v>
      </c>
      <c r="C196" s="7" t="s">
        <v>142</v>
      </c>
      <c r="D196" s="7" t="n">
        <v>78</v>
      </c>
      <c r="E196" s="7" t="n">
        <v>74</v>
      </c>
      <c r="F196" s="3" t="n">
        <f aca="false">COUNTIFS($B$2:$B$2705,B196,$C$2:$C$2705,C196)</f>
        <v>2</v>
      </c>
      <c r="G196" s="3" t="n">
        <f aca="false">MIN(INT((MIN(B196,2020)-1900)/10)+1,12)</f>
        <v>2</v>
      </c>
      <c r="H196" s="3" t="n">
        <f aca="false">(MIN(B196,2020)-1900-10*(G196-1))/10</f>
        <v>0.3</v>
      </c>
      <c r="I196" s="20" t="n">
        <f aca="false">EXP(LN(INDEX(Pop_Inputs!$B$2:$N$29,MATCH(C196,Pop_Inputs!$A$2:$A$29,0),G196))*(1-H196)+LN(INDEX(Pop_Inputs!$B$2:$N$29,MATCH(C196,Pop_Inputs!$A$2:$A$29,0),G196+1))*H196)</f>
        <v>2328878.11120905</v>
      </c>
      <c r="J196" s="20" t="n">
        <f aca="false">I196/F196</f>
        <v>1164439.05560453</v>
      </c>
      <c r="K196" s="21" t="n">
        <f aca="false">D196/(D196+E196)</f>
        <v>0.513157894736842</v>
      </c>
      <c r="L196" s="21" t="n">
        <f aca="false">AVERAGEIFS($K$2:$K$2705,$B$2:$B$2705,B196)</f>
        <v>0.499768124480721</v>
      </c>
      <c r="M196" s="21" t="n">
        <f aca="false">K196-L196</f>
        <v>0.013389770256121</v>
      </c>
      <c r="N196" s="21" t="n">
        <f aca="false">LN(J196)</f>
        <v>13.9677500316897</v>
      </c>
      <c r="O196" s="21" t="n">
        <f aca="false">AVERAGEIFS($N$2:$N$2705,$B$2:$B$2705,B196)</f>
        <v>13.417402257621</v>
      </c>
      <c r="P196" s="21" t="n">
        <f aca="false">N196-O196</f>
        <v>0.550347774068701</v>
      </c>
      <c r="Q196" s="7" t="n">
        <v>0</v>
      </c>
      <c r="R196" s="3" t="n">
        <f aca="false">IF(AND(Q196=1,B196-_xlfn.MINIFS($B$2:$B$2705,$A$2:$A$2705,A196)&lt;10),1,0)</f>
        <v>0</v>
      </c>
      <c r="S196" s="7" t="n">
        <v>0</v>
      </c>
      <c r="T196" s="3" t="n">
        <f aca="false">_xlfn.MINIFS($B$2:$B$2705,$A$2:$A$2705,A196)</f>
        <v>1901</v>
      </c>
      <c r="U196" s="3" t="n">
        <f aca="false">B196-T196</f>
        <v>12</v>
      </c>
      <c r="V196" s="3" t="str">
        <f aca="false">INDEX(Pop_Inputs!$Q$2:$Q$29,MATCH(C196,Pop_Inputs!$A$2:$A$29,0))</f>
        <v>Midwest</v>
      </c>
      <c r="W196" s="30"/>
      <c r="X196" s="3" t="str">
        <f aca="false">IF(W196="","",LN(W196))</f>
        <v/>
      </c>
      <c r="Y196" s="3" t="str">
        <f aca="false">IF(X196="","",X196-AVERAGEIFS($X$2:$X$2705,$B$2:$B$2705,B196))</f>
        <v/>
      </c>
      <c r="Z196" s="21" t="n">
        <f aca="false">P196</f>
        <v>0.550347774068701</v>
      </c>
      <c r="AA196" s="3" t="n">
        <f aca="false">R196</f>
        <v>0</v>
      </c>
      <c r="AB196" s="21" t="n">
        <f aca="false">P196</f>
        <v>0.550347774068701</v>
      </c>
      <c r="AC196" s="3" t="str">
        <f aca="false">Y196</f>
        <v/>
      </c>
      <c r="AD196" s="3" t="n">
        <f aca="false">R196</f>
        <v>0</v>
      </c>
    </row>
    <row r="197" customFormat="false" ht="15" hidden="false" customHeight="true" outlineLevel="0" collapsed="false">
      <c r="A197" s="7" t="s">
        <v>57</v>
      </c>
      <c r="B197" s="7" t="n">
        <v>1913</v>
      </c>
      <c r="C197" s="7" t="s">
        <v>143</v>
      </c>
      <c r="D197" s="7" t="n">
        <v>64</v>
      </c>
      <c r="E197" s="7" t="n">
        <v>89</v>
      </c>
      <c r="F197" s="3" t="n">
        <f aca="false">COUNTIFS($B$2:$B$2705,B197,$C$2:$C$2705,C197)</f>
        <v>1</v>
      </c>
      <c r="G197" s="3" t="n">
        <f aca="false">MIN(INT((MIN(B197,2020)-1900)/10)+1,12)</f>
        <v>2</v>
      </c>
      <c r="H197" s="3" t="n">
        <f aca="false">(MIN(B197,2020)-1900-10*(G197-1))/10</f>
        <v>0.3</v>
      </c>
      <c r="I197" s="20" t="n">
        <f aca="false">EXP(LN(INDEX(Pop_Inputs!$B$2:$N$29,MATCH(C197,Pop_Inputs!$A$2:$A$29,0),G197))*(1-H197)+LN(INDEX(Pop_Inputs!$B$2:$N$29,MATCH(C197,Pop_Inputs!$A$2:$A$29,0),G197+1))*H197)</f>
        <v>374500.780100104</v>
      </c>
      <c r="J197" s="20" t="n">
        <f aca="false">I197/F197</f>
        <v>374500.780100104</v>
      </c>
      <c r="K197" s="21" t="n">
        <f aca="false">D197/(D197+E197)</f>
        <v>0.418300653594771</v>
      </c>
      <c r="L197" s="21" t="n">
        <f aca="false">AVERAGEIFS($K$2:$K$2705,$B$2:$B$2705,B197)</f>
        <v>0.499768124480721</v>
      </c>
      <c r="M197" s="21" t="n">
        <f aca="false">K197-L197</f>
        <v>-0.0814674708859499</v>
      </c>
      <c r="N197" s="21" t="n">
        <f aca="false">LN(J197)</f>
        <v>12.8333491649816</v>
      </c>
      <c r="O197" s="21" t="n">
        <f aca="false">AVERAGEIFS($N$2:$N$2705,$B$2:$B$2705,B197)</f>
        <v>13.417402257621</v>
      </c>
      <c r="P197" s="21" t="n">
        <f aca="false">N197-O197</f>
        <v>-0.584053092639424</v>
      </c>
      <c r="Q197" s="7" t="n">
        <v>0</v>
      </c>
      <c r="R197" s="3" t="n">
        <f aca="false">IF(AND(Q197=1,B197-_xlfn.MINIFS($B$2:$B$2705,$A$2:$A$2705,A197)&lt;10),1,0)</f>
        <v>0</v>
      </c>
      <c r="S197" s="7" t="n">
        <v>0</v>
      </c>
      <c r="T197" s="3" t="n">
        <f aca="false">_xlfn.MINIFS($B$2:$B$2705,$A$2:$A$2705,A197)</f>
        <v>1901</v>
      </c>
      <c r="U197" s="3" t="n">
        <f aca="false">B197-T197</f>
        <v>12</v>
      </c>
      <c r="V197" s="3" t="str">
        <f aca="false">INDEX(Pop_Inputs!$Q$2:$Q$29,MATCH(C197,Pop_Inputs!$A$2:$A$29,0))</f>
        <v>Midwest</v>
      </c>
      <c r="W197" s="30"/>
      <c r="X197" s="3" t="str">
        <f aca="false">IF(W197="","",LN(W197))</f>
        <v/>
      </c>
      <c r="Y197" s="3" t="str">
        <f aca="false">IF(X197="","",X197-AVERAGEIFS($X$2:$X$2705,$B$2:$B$2705,B197))</f>
        <v/>
      </c>
      <c r="Z197" s="21" t="n">
        <f aca="false">P197</f>
        <v>-0.584053092639424</v>
      </c>
      <c r="AA197" s="3" t="n">
        <f aca="false">R197</f>
        <v>0</v>
      </c>
      <c r="AB197" s="21" t="n">
        <f aca="false">P197</f>
        <v>-0.584053092639424</v>
      </c>
      <c r="AC197" s="3" t="str">
        <f aca="false">Y197</f>
        <v/>
      </c>
      <c r="AD197" s="3" t="n">
        <f aca="false">R197</f>
        <v>0</v>
      </c>
    </row>
    <row r="198" customFormat="false" ht="15" hidden="false" customHeight="true" outlineLevel="0" collapsed="false">
      <c r="A198" s="7" t="s">
        <v>66</v>
      </c>
      <c r="B198" s="7" t="n">
        <v>1913</v>
      </c>
      <c r="C198" s="7" t="s">
        <v>151</v>
      </c>
      <c r="D198" s="7" t="n">
        <v>86</v>
      </c>
      <c r="E198" s="7" t="n">
        <v>66</v>
      </c>
      <c r="F198" s="3" t="n">
        <f aca="false">COUNTIFS($B$2:$B$2705,B198,$C$2:$C$2705,C198)</f>
        <v>1</v>
      </c>
      <c r="G198" s="3" t="n">
        <f aca="false">MIN(INT((MIN(B198,2020)-1900)/10)+1,12)</f>
        <v>2</v>
      </c>
      <c r="H198" s="3" t="n">
        <f aca="false">(MIN(B198,2020)-1900-10*(G198-1))/10</f>
        <v>0.3</v>
      </c>
      <c r="I198" s="20" t="n">
        <f aca="false">EXP(LN(INDEX(Pop_Inputs!$B$2:$N$29,MATCH(C198,Pop_Inputs!$A$2:$A$29,0),G198))*(1-H198)+LN(INDEX(Pop_Inputs!$B$2:$N$29,MATCH(C198,Pop_Inputs!$A$2:$A$29,0),G198+1))*H198)</f>
        <v>623021.205941709</v>
      </c>
      <c r="J198" s="20" t="n">
        <f aca="false">I198/F198</f>
        <v>623021.205941709</v>
      </c>
      <c r="K198" s="21" t="n">
        <f aca="false">D198/(D198+E198)</f>
        <v>0.565789473684211</v>
      </c>
      <c r="L198" s="21" t="n">
        <f aca="false">AVERAGEIFS($K$2:$K$2705,$B$2:$B$2705,B198)</f>
        <v>0.499768124480721</v>
      </c>
      <c r="M198" s="21" t="n">
        <f aca="false">K198-L198</f>
        <v>0.0660213492034893</v>
      </c>
      <c r="N198" s="21" t="n">
        <f aca="false">LN(J198)</f>
        <v>13.34233583562</v>
      </c>
      <c r="O198" s="21" t="n">
        <f aca="false">AVERAGEIFS($N$2:$N$2705,$B$2:$B$2705,B198)</f>
        <v>13.417402257621</v>
      </c>
      <c r="P198" s="21" t="n">
        <f aca="false">N198-O198</f>
        <v>-0.0750664220009956</v>
      </c>
      <c r="Q198" s="7" t="n">
        <v>0</v>
      </c>
      <c r="R198" s="3" t="n">
        <f aca="false">IF(AND(Q198=1,B198-_xlfn.MINIFS($B$2:$B$2705,$A$2:$A$2705,A198)&lt;10),1,0)</f>
        <v>0</v>
      </c>
      <c r="S198" s="7" t="n">
        <v>0</v>
      </c>
      <c r="T198" s="3" t="n">
        <f aca="false">_xlfn.MINIFS($B$2:$B$2705,$A$2:$A$2705,A198)</f>
        <v>1901</v>
      </c>
      <c r="U198" s="3" t="n">
        <f aca="false">B198-T198</f>
        <v>12</v>
      </c>
      <c r="V198" s="3" t="str">
        <f aca="false">INDEX(Pop_Inputs!$Q$2:$Q$29,MATCH(C198,Pop_Inputs!$A$2:$A$29,0))</f>
        <v>Midwest</v>
      </c>
      <c r="W198" s="30"/>
      <c r="X198" s="3" t="str">
        <f aca="false">IF(W198="","",LN(W198))</f>
        <v/>
      </c>
      <c r="Y198" s="3" t="str">
        <f aca="false">IF(X198="","",X198-AVERAGEIFS($X$2:$X$2705,$B$2:$B$2705,B198))</f>
        <v/>
      </c>
      <c r="Z198" s="21" t="n">
        <f aca="false">P198</f>
        <v>-0.0750664220009956</v>
      </c>
      <c r="AA198" s="3" t="n">
        <f aca="false">R198</f>
        <v>0</v>
      </c>
      <c r="AB198" s="21" t="n">
        <f aca="false">P198</f>
        <v>-0.0750664220009956</v>
      </c>
      <c r="AC198" s="3" t="str">
        <f aca="false">Y198</f>
        <v/>
      </c>
      <c r="AD198" s="3" t="n">
        <f aca="false">R198</f>
        <v>0</v>
      </c>
    </row>
    <row r="199" customFormat="false" ht="15" hidden="false" customHeight="true" outlineLevel="0" collapsed="false">
      <c r="A199" s="7" t="s">
        <v>67</v>
      </c>
      <c r="B199" s="7" t="n">
        <v>1913</v>
      </c>
      <c r="C199" s="7" t="s">
        <v>152</v>
      </c>
      <c r="D199" s="7" t="n">
        <v>66</v>
      </c>
      <c r="E199" s="7" t="n">
        <v>87</v>
      </c>
      <c r="F199" s="3" t="n">
        <f aca="false">COUNTIFS($B$2:$B$2705,B199,$C$2:$C$2705,C199)</f>
        <v>1</v>
      </c>
      <c r="G199" s="3" t="n">
        <f aca="false">MIN(INT((MIN(B199,2020)-1900)/10)+1,12)</f>
        <v>2</v>
      </c>
      <c r="H199" s="3" t="n">
        <f aca="false">(MIN(B199,2020)-1900-10*(G199-1))/10</f>
        <v>0.3</v>
      </c>
      <c r="I199" s="20" t="n">
        <f aca="false">EXP(LN(INDEX(Pop_Inputs!$B$2:$N$29,MATCH(C199,Pop_Inputs!$A$2:$A$29,0),G199))*(1-H199)+LN(INDEX(Pop_Inputs!$B$2:$N$29,MATCH(C199,Pop_Inputs!$A$2:$A$29,0),G199+1))*H199)</f>
        <v>584643.533238201</v>
      </c>
      <c r="J199" s="20" t="n">
        <f aca="false">I199/F199</f>
        <v>584643.533238201</v>
      </c>
      <c r="K199" s="21" t="n">
        <f aca="false">D199/(D199+E199)</f>
        <v>0.431372549019608</v>
      </c>
      <c r="L199" s="21" t="n">
        <f aca="false">AVERAGEIFS($K$2:$K$2705,$B$2:$B$2705,B199)</f>
        <v>0.499768124480721</v>
      </c>
      <c r="M199" s="21" t="n">
        <f aca="false">K199-L199</f>
        <v>-0.0683955754611133</v>
      </c>
      <c r="N199" s="21" t="n">
        <f aca="false">LN(J199)</f>
        <v>13.278757595596</v>
      </c>
      <c r="O199" s="21" t="n">
        <f aca="false">AVERAGEIFS($N$2:$N$2705,$B$2:$B$2705,B199)</f>
        <v>13.417402257621</v>
      </c>
      <c r="P199" s="21" t="n">
        <f aca="false">N199-O199</f>
        <v>-0.138644662025021</v>
      </c>
      <c r="Q199" s="7" t="n">
        <v>0</v>
      </c>
      <c r="R199" s="3" t="n">
        <f aca="false">IF(AND(Q199=1,B199-_xlfn.MINIFS($B$2:$B$2705,$A$2:$A$2705,A199)&lt;10),1,0)</f>
        <v>0</v>
      </c>
      <c r="S199" s="7" t="n">
        <v>0</v>
      </c>
      <c r="T199" s="3" t="n">
        <f aca="false">_xlfn.MINIFS($B$2:$B$2705,$A$2:$A$2705,A199)</f>
        <v>1901</v>
      </c>
      <c r="U199" s="3" t="n">
        <f aca="false">B199-T199</f>
        <v>12</v>
      </c>
      <c r="V199" s="3" t="str">
        <f aca="false">INDEX(Pop_Inputs!$Q$2:$Q$29,MATCH(C199,Pop_Inputs!$A$2:$A$29,0))</f>
        <v>Midwest</v>
      </c>
      <c r="W199" s="30"/>
      <c r="X199" s="3" t="str">
        <f aca="false">IF(W199="","",LN(W199))</f>
        <v/>
      </c>
      <c r="Y199" s="3" t="str">
        <f aca="false">IF(X199="","",X199-AVERAGEIFS($X$2:$X$2705,$B$2:$B$2705,B199))</f>
        <v/>
      </c>
      <c r="Z199" s="21" t="n">
        <f aca="false">P199</f>
        <v>-0.138644662025021</v>
      </c>
      <c r="AA199" s="3" t="n">
        <f aca="false">R199</f>
        <v>0</v>
      </c>
      <c r="AB199" s="21" t="n">
        <f aca="false">P199</f>
        <v>-0.138644662025021</v>
      </c>
      <c r="AC199" s="3" t="str">
        <f aca="false">Y199</f>
        <v/>
      </c>
      <c r="AD199" s="3" t="n">
        <f aca="false">R199</f>
        <v>0</v>
      </c>
    </row>
    <row r="200" customFormat="false" ht="15" hidden="false" customHeight="true" outlineLevel="0" collapsed="false">
      <c r="A200" s="7" t="s">
        <v>62</v>
      </c>
      <c r="B200" s="7" t="n">
        <v>1913</v>
      </c>
      <c r="C200" s="7" t="s">
        <v>154</v>
      </c>
      <c r="D200" s="7" t="n">
        <v>65</v>
      </c>
      <c r="E200" s="7" t="n">
        <v>84</v>
      </c>
      <c r="F200" s="3" t="n">
        <f aca="false">COUNTIFS($B$2:$B$2705,B200,$C$2:$C$2705,C200)</f>
        <v>3</v>
      </c>
      <c r="G200" s="3" t="n">
        <f aca="false">MIN(INT((MIN(B200,2020)-1900)/10)+1,12)</f>
        <v>2</v>
      </c>
      <c r="H200" s="3" t="n">
        <f aca="false">(MIN(B200,2020)-1900-10*(G200-1))/10</f>
        <v>0.3</v>
      </c>
      <c r="I200" s="20" t="n">
        <f aca="false">EXP(LN(INDEX(Pop_Inputs!$B$2:$N$29,MATCH(C200,Pop_Inputs!$A$2:$A$29,0),G200))*(1-H200)+LN(INDEX(Pop_Inputs!$B$2:$N$29,MATCH(C200,Pop_Inputs!$A$2:$A$29,0),G200+1))*H200)</f>
        <v>5008251.75933339</v>
      </c>
      <c r="J200" s="20" t="n">
        <f aca="false">I200/F200</f>
        <v>1669417.25311113</v>
      </c>
      <c r="K200" s="21" t="n">
        <f aca="false">D200/(D200+E200)</f>
        <v>0.436241610738255</v>
      </c>
      <c r="L200" s="21" t="n">
        <f aca="false">AVERAGEIFS($K$2:$K$2705,$B$2:$B$2705,B200)</f>
        <v>0.499768124480721</v>
      </c>
      <c r="M200" s="21" t="n">
        <f aca="false">K200-L200</f>
        <v>-0.0635265137424662</v>
      </c>
      <c r="N200" s="21" t="n">
        <f aca="false">LN(J200)</f>
        <v>14.3279851732628</v>
      </c>
      <c r="O200" s="21" t="n">
        <f aca="false">AVERAGEIFS($N$2:$N$2705,$B$2:$B$2705,B200)</f>
        <v>13.417402257621</v>
      </c>
      <c r="P200" s="21" t="n">
        <f aca="false">N200-O200</f>
        <v>0.910582915641781</v>
      </c>
      <c r="Q200" s="7" t="n">
        <v>0</v>
      </c>
      <c r="R200" s="3" t="n">
        <f aca="false">IF(AND(Q200=1,B200-_xlfn.MINIFS($B$2:$B$2705,$A$2:$A$2705,A200)&lt;10),1,0)</f>
        <v>0</v>
      </c>
      <c r="S200" s="7" t="n">
        <v>0</v>
      </c>
      <c r="T200" s="3" t="n">
        <f aca="false">_xlfn.MINIFS($B$2:$B$2705,$A$2:$A$2705,A200)</f>
        <v>1901</v>
      </c>
      <c r="U200" s="3" t="n">
        <f aca="false">B200-T200</f>
        <v>12</v>
      </c>
      <c r="V200" s="3" t="str">
        <f aca="false">INDEX(Pop_Inputs!$Q$2:$Q$29,MATCH(C200,Pop_Inputs!$A$2:$A$29,0))</f>
        <v>Northeast</v>
      </c>
      <c r="W200" s="30"/>
      <c r="X200" s="3" t="str">
        <f aca="false">IF(W200="","",LN(W200))</f>
        <v/>
      </c>
      <c r="Y200" s="3" t="str">
        <f aca="false">IF(X200="","",X200-AVERAGEIFS($X$2:$X$2705,$B$2:$B$2705,B200))</f>
        <v/>
      </c>
      <c r="Z200" s="21" t="n">
        <f aca="false">P200</f>
        <v>0.910582915641781</v>
      </c>
      <c r="AA200" s="3" t="n">
        <f aca="false">R200</f>
        <v>0</v>
      </c>
      <c r="AB200" s="21" t="n">
        <f aca="false">P200</f>
        <v>0.910582915641781</v>
      </c>
      <c r="AC200" s="3" t="str">
        <f aca="false">Y200</f>
        <v/>
      </c>
      <c r="AD200" s="3" t="n">
        <f aca="false">R200</f>
        <v>0</v>
      </c>
    </row>
    <row r="201" customFormat="false" ht="15" hidden="false" customHeight="true" outlineLevel="0" collapsed="false">
      <c r="A201" s="7" t="s">
        <v>68</v>
      </c>
      <c r="B201" s="7" t="n">
        <v>1913</v>
      </c>
      <c r="C201" s="7" t="s">
        <v>160</v>
      </c>
      <c r="D201" s="7" t="n">
        <v>90</v>
      </c>
      <c r="E201" s="7" t="n">
        <v>64</v>
      </c>
      <c r="F201" s="3" t="n">
        <f aca="false">COUNTIFS($B$2:$B$2705,B201,$C$2:$C$2705,C201)</f>
        <v>1</v>
      </c>
      <c r="G201" s="3" t="n">
        <f aca="false">MIN(INT((MIN(B201,2020)-1900)/10)+1,12)</f>
        <v>2</v>
      </c>
      <c r="H201" s="3" t="n">
        <f aca="false">(MIN(B201,2020)-1900-10*(G201-1))/10</f>
        <v>0.3</v>
      </c>
      <c r="I201" s="20" t="n">
        <f aca="false">EXP(LN(INDEX(Pop_Inputs!$B$2:$N$29,MATCH(C201,Pop_Inputs!$A$2:$A$29,0),G201))*(1-H201)+LN(INDEX(Pop_Inputs!$B$2:$N$29,MATCH(C201,Pop_Inputs!$A$2:$A$29,0),G201+1))*H201)</f>
        <v>359962.717112392</v>
      </c>
      <c r="J201" s="20" t="n">
        <f aca="false">I201/F201</f>
        <v>359962.717112392</v>
      </c>
      <c r="K201" s="21" t="n">
        <f aca="false">D201/(D201+E201)</f>
        <v>0.584415584415584</v>
      </c>
      <c r="L201" s="21" t="n">
        <f aca="false">AVERAGEIFS($K$2:$K$2705,$B$2:$B$2705,B201)</f>
        <v>0.499768124480721</v>
      </c>
      <c r="M201" s="21" t="n">
        <f aca="false">K201-L201</f>
        <v>0.0846474599348632</v>
      </c>
      <c r="N201" s="21" t="n">
        <f aca="false">LN(J201)</f>
        <v>12.7937557414925</v>
      </c>
      <c r="O201" s="21" t="n">
        <f aca="false">AVERAGEIFS($N$2:$N$2705,$B$2:$B$2705,B201)</f>
        <v>13.417402257621</v>
      </c>
      <c r="P201" s="21" t="n">
        <f aca="false">N201-O201</f>
        <v>-0.623646516128476</v>
      </c>
      <c r="Q201" s="7" t="n">
        <v>0</v>
      </c>
      <c r="R201" s="3" t="n">
        <f aca="false">IF(AND(Q201=1,B201-_xlfn.MINIFS($B$2:$B$2705,$A$2:$A$2705,A201)&lt;10),1,0)</f>
        <v>0</v>
      </c>
      <c r="S201" s="7" t="n">
        <v>0</v>
      </c>
      <c r="T201" s="3" t="n">
        <f aca="false">_xlfn.MINIFS($B$2:$B$2705,$A$2:$A$2705,A201)</f>
        <v>1901</v>
      </c>
      <c r="U201" s="3" t="n">
        <f aca="false">B201-T201</f>
        <v>12</v>
      </c>
      <c r="V201" s="3" t="str">
        <f aca="false">INDEX(Pop_Inputs!$Q$2:$Q$29,MATCH(C201,Pop_Inputs!$A$2:$A$29,0))</f>
        <v>South</v>
      </c>
      <c r="W201" s="30"/>
      <c r="X201" s="3" t="str">
        <f aca="false">IF(W201="","",LN(W201))</f>
        <v/>
      </c>
      <c r="Y201" s="3" t="str">
        <f aca="false">IF(X201="","",X201-AVERAGEIFS($X$2:$X$2705,$B$2:$B$2705,B201))</f>
        <v/>
      </c>
      <c r="Z201" s="21" t="n">
        <f aca="false">P201</f>
        <v>-0.623646516128476</v>
      </c>
      <c r="AA201" s="3" t="n">
        <f aca="false">R201</f>
        <v>0</v>
      </c>
      <c r="AB201" s="21" t="n">
        <f aca="false">P201</f>
        <v>-0.623646516128476</v>
      </c>
      <c r="AC201" s="3" t="str">
        <f aca="false">Y201</f>
        <v/>
      </c>
      <c r="AD201" s="3" t="n">
        <f aca="false">R201</f>
        <v>0</v>
      </c>
    </row>
    <row r="202" customFormat="false" ht="15" hidden="false" customHeight="true" outlineLevel="0" collapsed="false">
      <c r="A202" s="7" t="s">
        <v>70</v>
      </c>
      <c r="B202" s="7" t="n">
        <v>1913</v>
      </c>
      <c r="C202" s="7" t="s">
        <v>154</v>
      </c>
      <c r="D202" s="7" t="n">
        <v>57</v>
      </c>
      <c r="E202" s="7" t="n">
        <v>94</v>
      </c>
      <c r="F202" s="3" t="n">
        <f aca="false">COUNTIFS($B$2:$B$2705,B202,$C$2:$C$2705,C202)</f>
        <v>3</v>
      </c>
      <c r="G202" s="3" t="n">
        <f aca="false">MIN(INT((MIN(B202,2020)-1900)/10)+1,12)</f>
        <v>2</v>
      </c>
      <c r="H202" s="3" t="n">
        <f aca="false">(MIN(B202,2020)-1900-10*(G202-1))/10</f>
        <v>0.3</v>
      </c>
      <c r="I202" s="20" t="n">
        <f aca="false">EXP(LN(INDEX(Pop_Inputs!$B$2:$N$29,MATCH(C202,Pop_Inputs!$A$2:$A$29,0),G202))*(1-H202)+LN(INDEX(Pop_Inputs!$B$2:$N$29,MATCH(C202,Pop_Inputs!$A$2:$A$29,0),G202+1))*H202)</f>
        <v>5008251.75933339</v>
      </c>
      <c r="J202" s="20" t="n">
        <f aca="false">I202/F202</f>
        <v>1669417.25311113</v>
      </c>
      <c r="K202" s="21" t="n">
        <f aca="false">D202/(D202+E202)</f>
        <v>0.377483443708609</v>
      </c>
      <c r="L202" s="21" t="n">
        <f aca="false">AVERAGEIFS($K$2:$K$2705,$B$2:$B$2705,B202)</f>
        <v>0.499768124480721</v>
      </c>
      <c r="M202" s="21" t="n">
        <f aca="false">K202-L202</f>
        <v>-0.122284680772112</v>
      </c>
      <c r="N202" s="21" t="n">
        <f aca="false">LN(J202)</f>
        <v>14.3279851732628</v>
      </c>
      <c r="O202" s="21" t="n">
        <f aca="false">AVERAGEIFS($N$2:$N$2705,$B$2:$B$2705,B202)</f>
        <v>13.417402257621</v>
      </c>
      <c r="P202" s="21" t="n">
        <f aca="false">N202-O202</f>
        <v>0.910582915641781</v>
      </c>
      <c r="Q202" s="7" t="n">
        <v>0</v>
      </c>
      <c r="R202" s="3" t="n">
        <f aca="false">IF(AND(Q202=1,B202-_xlfn.MINIFS($B$2:$B$2705,$A$2:$A$2705,A202)&lt;10),1,0)</f>
        <v>0</v>
      </c>
      <c r="S202" s="7" t="n">
        <v>1</v>
      </c>
      <c r="T202" s="3" t="n">
        <f aca="false">_xlfn.MINIFS($B$2:$B$2705,$A$2:$A$2705,A202)</f>
        <v>1903</v>
      </c>
      <c r="U202" s="3" t="n">
        <f aca="false">B202-T202</f>
        <v>10</v>
      </c>
      <c r="V202" s="3" t="str">
        <f aca="false">INDEX(Pop_Inputs!$Q$2:$Q$29,MATCH(C202,Pop_Inputs!$A$2:$A$29,0))</f>
        <v>Northeast</v>
      </c>
      <c r="W202" s="30"/>
      <c r="X202" s="3" t="str">
        <f aca="false">IF(W202="","",LN(W202))</f>
        <v/>
      </c>
      <c r="Y202" s="3" t="str">
        <f aca="false">IF(X202="","",X202-AVERAGEIFS($X$2:$X$2705,$B$2:$B$2705,B202))</f>
        <v/>
      </c>
      <c r="Z202" s="21" t="n">
        <f aca="false">P202</f>
        <v>0.910582915641781</v>
      </c>
      <c r="AA202" s="3" t="n">
        <f aca="false">R202</f>
        <v>0</v>
      </c>
      <c r="AB202" s="21" t="n">
        <f aca="false">P202</f>
        <v>0.910582915641781</v>
      </c>
      <c r="AC202" s="3" t="str">
        <f aca="false">Y202</f>
        <v/>
      </c>
      <c r="AD202" s="3" t="n">
        <f aca="false">R202</f>
        <v>0</v>
      </c>
    </row>
    <row r="203" customFormat="false" ht="15" hidden="false" customHeight="true" outlineLevel="0" collapsed="false">
      <c r="A203" s="7" t="s">
        <v>69</v>
      </c>
      <c r="B203" s="7" t="n">
        <v>1913</v>
      </c>
      <c r="C203" s="7" t="s">
        <v>146</v>
      </c>
      <c r="D203" s="7" t="n">
        <v>96</v>
      </c>
      <c r="E203" s="7" t="n">
        <v>57</v>
      </c>
      <c r="F203" s="3" t="n">
        <f aca="false">COUNTIFS($B$2:$B$2705,B203,$C$2:$C$2705,C203)</f>
        <v>2</v>
      </c>
      <c r="G203" s="3" t="n">
        <f aca="false">MIN(INT((MIN(B203,2020)-1900)/10)+1,12)</f>
        <v>2</v>
      </c>
      <c r="H203" s="3" t="n">
        <f aca="false">(MIN(B203,2020)-1900-10*(G203-1))/10</f>
        <v>0.3</v>
      </c>
      <c r="I203" s="20" t="n">
        <f aca="false">EXP(LN(INDEX(Pop_Inputs!$B$2:$N$29,MATCH(C203,Pop_Inputs!$A$2:$A$29,0),G203))*(1-H203)+LN(INDEX(Pop_Inputs!$B$2:$N$29,MATCH(C203,Pop_Inputs!$A$2:$A$29,0),G203+1))*H203)</f>
        <v>1626781.50304572</v>
      </c>
      <c r="J203" s="20" t="n">
        <f aca="false">I203/F203</f>
        <v>813390.751522858</v>
      </c>
      <c r="K203" s="21" t="n">
        <f aca="false">D203/(D203+E203)</f>
        <v>0.627450980392157</v>
      </c>
      <c r="L203" s="21" t="n">
        <f aca="false">AVERAGEIFS($K$2:$K$2705,$B$2:$B$2705,B203)</f>
        <v>0.499768124480721</v>
      </c>
      <c r="M203" s="21" t="n">
        <f aca="false">K203-L203</f>
        <v>0.127682855911436</v>
      </c>
      <c r="N203" s="21" t="n">
        <f aca="false">LN(J203)</f>
        <v>13.6089669022441</v>
      </c>
      <c r="O203" s="21" t="n">
        <f aca="false">AVERAGEIFS($N$2:$N$2705,$B$2:$B$2705,B203)</f>
        <v>13.417402257621</v>
      </c>
      <c r="P203" s="21" t="n">
        <f aca="false">N203-O203</f>
        <v>0.191564644623146</v>
      </c>
      <c r="Q203" s="7" t="n">
        <v>0</v>
      </c>
      <c r="R203" s="3" t="n">
        <f aca="false">IF(AND(Q203=1,B203-_xlfn.MINIFS($B$2:$B$2705,$A$2:$A$2705,A203)&lt;10),1,0)</f>
        <v>0</v>
      </c>
      <c r="S203" s="7" t="n">
        <v>0</v>
      </c>
      <c r="T203" s="3" t="n">
        <f aca="false">_xlfn.MINIFS($B$2:$B$2705,$A$2:$A$2705,A203)</f>
        <v>1901</v>
      </c>
      <c r="U203" s="3" t="n">
        <f aca="false">B203-T203</f>
        <v>12</v>
      </c>
      <c r="V203" s="3" t="str">
        <f aca="false">INDEX(Pop_Inputs!$Q$2:$Q$29,MATCH(C203,Pop_Inputs!$A$2:$A$29,0))</f>
        <v>Northeast</v>
      </c>
      <c r="W203" s="30"/>
      <c r="X203" s="3" t="str">
        <f aca="false">IF(W203="","",LN(W203))</f>
        <v/>
      </c>
      <c r="Y203" s="3" t="str">
        <f aca="false">IF(X203="","",X203-AVERAGEIFS($X$2:$X$2705,$B$2:$B$2705,B203))</f>
        <v/>
      </c>
      <c r="Z203" s="21" t="n">
        <f aca="false">P203</f>
        <v>0.191564644623146</v>
      </c>
      <c r="AA203" s="3" t="n">
        <f aca="false">R203</f>
        <v>0</v>
      </c>
      <c r="AB203" s="21" t="n">
        <f aca="false">P203</f>
        <v>0.191564644623146</v>
      </c>
      <c r="AC203" s="3" t="str">
        <f aca="false">Y203</f>
        <v/>
      </c>
      <c r="AD203" s="3" t="n">
        <f aca="false">R203</f>
        <v>0</v>
      </c>
    </row>
    <row r="204" customFormat="false" ht="15" hidden="false" customHeight="true" outlineLevel="0" collapsed="false">
      <c r="A204" s="7" t="s">
        <v>60</v>
      </c>
      <c r="B204" s="7" t="n">
        <v>1913</v>
      </c>
      <c r="C204" s="7" t="s">
        <v>146</v>
      </c>
      <c r="D204" s="7" t="n">
        <v>88</v>
      </c>
      <c r="E204" s="7" t="n">
        <v>63</v>
      </c>
      <c r="F204" s="3" t="n">
        <f aca="false">COUNTIFS($B$2:$B$2705,B204,$C$2:$C$2705,C204)</f>
        <v>2</v>
      </c>
      <c r="G204" s="3" t="n">
        <f aca="false">MIN(INT((MIN(B204,2020)-1900)/10)+1,12)</f>
        <v>2</v>
      </c>
      <c r="H204" s="3" t="n">
        <f aca="false">(MIN(B204,2020)-1900-10*(G204-1))/10</f>
        <v>0.3</v>
      </c>
      <c r="I204" s="20" t="n">
        <f aca="false">EXP(LN(INDEX(Pop_Inputs!$B$2:$N$29,MATCH(C204,Pop_Inputs!$A$2:$A$29,0),G204))*(1-H204)+LN(INDEX(Pop_Inputs!$B$2:$N$29,MATCH(C204,Pop_Inputs!$A$2:$A$29,0),G204+1))*H204)</f>
        <v>1626781.50304572</v>
      </c>
      <c r="J204" s="20" t="n">
        <f aca="false">I204/F204</f>
        <v>813390.751522858</v>
      </c>
      <c r="K204" s="21" t="n">
        <f aca="false">D204/(D204+E204)</f>
        <v>0.582781456953642</v>
      </c>
      <c r="L204" s="21" t="n">
        <f aca="false">AVERAGEIFS($K$2:$K$2705,$B$2:$B$2705,B204)</f>
        <v>0.499768124480721</v>
      </c>
      <c r="M204" s="21" t="n">
        <f aca="false">K204-L204</f>
        <v>0.0830133324729212</v>
      </c>
      <c r="N204" s="21" t="n">
        <f aca="false">LN(J204)</f>
        <v>13.6089669022441</v>
      </c>
      <c r="O204" s="21" t="n">
        <f aca="false">AVERAGEIFS($N$2:$N$2705,$B$2:$B$2705,B204)</f>
        <v>13.417402257621</v>
      </c>
      <c r="P204" s="21" t="n">
        <f aca="false">N204-O204</f>
        <v>0.191564644623146</v>
      </c>
      <c r="Q204" s="7" t="n">
        <v>0</v>
      </c>
      <c r="R204" s="3" t="n">
        <f aca="false">IF(AND(Q204=1,B204-_xlfn.MINIFS($B$2:$B$2705,$A$2:$A$2705,A204)&lt;10),1,0)</f>
        <v>0</v>
      </c>
      <c r="S204" s="7" t="n">
        <v>0</v>
      </c>
      <c r="T204" s="3" t="n">
        <f aca="false">_xlfn.MINIFS($B$2:$B$2705,$A$2:$A$2705,A204)</f>
        <v>1901</v>
      </c>
      <c r="U204" s="3" t="n">
        <f aca="false">B204-T204</f>
        <v>12</v>
      </c>
      <c r="V204" s="3" t="str">
        <f aca="false">INDEX(Pop_Inputs!$Q$2:$Q$29,MATCH(C204,Pop_Inputs!$A$2:$A$29,0))</f>
        <v>Northeast</v>
      </c>
      <c r="W204" s="30"/>
      <c r="X204" s="3" t="str">
        <f aca="false">IF(W204="","",LN(W204))</f>
        <v/>
      </c>
      <c r="Y204" s="3" t="str">
        <f aca="false">IF(X204="","",X204-AVERAGEIFS($X$2:$X$2705,$B$2:$B$2705,B204))</f>
        <v/>
      </c>
      <c r="Z204" s="21" t="n">
        <f aca="false">P204</f>
        <v>0.191564644623146</v>
      </c>
      <c r="AA204" s="3" t="n">
        <f aca="false">R204</f>
        <v>0</v>
      </c>
      <c r="AB204" s="21" t="n">
        <f aca="false">P204</f>
        <v>0.191564644623146</v>
      </c>
      <c r="AC204" s="3" t="str">
        <f aca="false">Y204</f>
        <v/>
      </c>
      <c r="AD204" s="3" t="n">
        <f aca="false">R204</f>
        <v>0</v>
      </c>
    </row>
    <row r="205" customFormat="false" ht="15" hidden="false" customHeight="true" outlineLevel="0" collapsed="false">
      <c r="A205" s="7" t="s">
        <v>58</v>
      </c>
      <c r="B205" s="7" t="n">
        <v>1913</v>
      </c>
      <c r="C205" s="7" t="s">
        <v>144</v>
      </c>
      <c r="D205" s="7" t="n">
        <v>78</v>
      </c>
      <c r="E205" s="7" t="n">
        <v>71</v>
      </c>
      <c r="F205" s="3" t="n">
        <f aca="false">COUNTIFS($B$2:$B$2705,B205,$C$2:$C$2705,C205)</f>
        <v>1</v>
      </c>
      <c r="G205" s="3" t="n">
        <f aca="false">MIN(INT((MIN(B205,2020)-1900)/10)+1,12)</f>
        <v>2</v>
      </c>
      <c r="H205" s="3" t="n">
        <f aca="false">(MIN(B205,2020)-1900-10*(G205-1))/10</f>
        <v>0.3</v>
      </c>
      <c r="I205" s="20" t="n">
        <f aca="false">EXP(LN(INDEX(Pop_Inputs!$B$2:$N$29,MATCH(C205,Pop_Inputs!$A$2:$A$29,0),G205))*(1-H205)+LN(INDEX(Pop_Inputs!$B$2:$N$29,MATCH(C205,Pop_Inputs!$A$2:$A$29,0),G205+1))*H205)</f>
        <v>549685.104892678</v>
      </c>
      <c r="J205" s="20" t="n">
        <f aca="false">I205/F205</f>
        <v>549685.104892678</v>
      </c>
      <c r="K205" s="21" t="n">
        <f aca="false">D205/(D205+E205)</f>
        <v>0.523489932885906</v>
      </c>
      <c r="L205" s="21" t="n">
        <f aca="false">AVERAGEIFS($K$2:$K$2705,$B$2:$B$2705,B205)</f>
        <v>0.499768124480721</v>
      </c>
      <c r="M205" s="21" t="n">
        <f aca="false">K205-L205</f>
        <v>0.0237218084051849</v>
      </c>
      <c r="N205" s="21" t="n">
        <f aca="false">LN(J205)</f>
        <v>13.2171008566882</v>
      </c>
      <c r="O205" s="21" t="n">
        <f aca="false">AVERAGEIFS($N$2:$N$2705,$B$2:$B$2705,B205)</f>
        <v>13.417402257621</v>
      </c>
      <c r="P205" s="21" t="n">
        <f aca="false">N205-O205</f>
        <v>-0.200301400932757</v>
      </c>
      <c r="Q205" s="7" t="n">
        <v>0</v>
      </c>
      <c r="R205" s="3" t="n">
        <f aca="false">IF(AND(Q205=1,B205-_xlfn.MINIFS($B$2:$B$2705,$A$2:$A$2705,A205)&lt;10),1,0)</f>
        <v>0</v>
      </c>
      <c r="S205" s="7" t="n">
        <v>0</v>
      </c>
      <c r="T205" s="3" t="n">
        <f aca="false">_xlfn.MINIFS($B$2:$B$2705,$A$2:$A$2705,A205)</f>
        <v>1901</v>
      </c>
      <c r="U205" s="3" t="n">
        <f aca="false">B205-T205</f>
        <v>12</v>
      </c>
      <c r="V205" s="3" t="str">
        <f aca="false">INDEX(Pop_Inputs!$Q$2:$Q$29,MATCH(C205,Pop_Inputs!$A$2:$A$29,0))</f>
        <v>Northeast</v>
      </c>
      <c r="W205" s="30"/>
      <c r="X205" s="3" t="str">
        <f aca="false">IF(W205="","",LN(W205))</f>
        <v/>
      </c>
      <c r="Y205" s="3" t="str">
        <f aca="false">IF(X205="","",X205-AVERAGEIFS($X$2:$X$2705,$B$2:$B$2705,B205))</f>
        <v/>
      </c>
      <c r="Z205" s="21" t="n">
        <f aca="false">P205</f>
        <v>-0.200301400932757</v>
      </c>
      <c r="AA205" s="3" t="n">
        <f aca="false">R205</f>
        <v>0</v>
      </c>
      <c r="AB205" s="21" t="n">
        <f aca="false">P205</f>
        <v>-0.200301400932757</v>
      </c>
      <c r="AC205" s="3" t="str">
        <f aca="false">Y205</f>
        <v/>
      </c>
      <c r="AD205" s="3" t="n">
        <f aca="false">R205</f>
        <v>0</v>
      </c>
    </row>
    <row r="206" customFormat="false" ht="15" hidden="false" customHeight="true" outlineLevel="0" collapsed="false">
      <c r="A206" s="7" t="s">
        <v>61</v>
      </c>
      <c r="B206" s="7" t="n">
        <v>1913</v>
      </c>
      <c r="C206" s="7" t="s">
        <v>154</v>
      </c>
      <c r="D206" s="7" t="n">
        <v>101</v>
      </c>
      <c r="E206" s="7" t="n">
        <v>51</v>
      </c>
      <c r="F206" s="3" t="n">
        <f aca="false">COUNTIFS($B$2:$B$2705,B206,$C$2:$C$2705,C206)</f>
        <v>3</v>
      </c>
      <c r="G206" s="3" t="n">
        <f aca="false">MIN(INT((MIN(B206,2020)-1900)/10)+1,12)</f>
        <v>2</v>
      </c>
      <c r="H206" s="3" t="n">
        <f aca="false">(MIN(B206,2020)-1900-10*(G206-1))/10</f>
        <v>0.3</v>
      </c>
      <c r="I206" s="20" t="n">
        <f aca="false">EXP(LN(INDEX(Pop_Inputs!$B$2:$N$29,MATCH(C206,Pop_Inputs!$A$2:$A$29,0),G206))*(1-H206)+LN(INDEX(Pop_Inputs!$B$2:$N$29,MATCH(C206,Pop_Inputs!$A$2:$A$29,0),G206+1))*H206)</f>
        <v>5008251.75933339</v>
      </c>
      <c r="J206" s="20" t="n">
        <f aca="false">I206/F206</f>
        <v>1669417.25311113</v>
      </c>
      <c r="K206" s="21" t="n">
        <f aca="false">D206/(D206+E206)</f>
        <v>0.664473684210526</v>
      </c>
      <c r="L206" s="21" t="n">
        <f aca="false">AVERAGEIFS($K$2:$K$2705,$B$2:$B$2705,B206)</f>
        <v>0.499768124480721</v>
      </c>
      <c r="M206" s="21" t="n">
        <f aca="false">K206-L206</f>
        <v>0.164705559729805</v>
      </c>
      <c r="N206" s="21" t="n">
        <f aca="false">LN(J206)</f>
        <v>14.3279851732628</v>
      </c>
      <c r="O206" s="21" t="n">
        <f aca="false">AVERAGEIFS($N$2:$N$2705,$B$2:$B$2705,B206)</f>
        <v>13.417402257621</v>
      </c>
      <c r="P206" s="21" t="n">
        <f aca="false">N206-O206</f>
        <v>0.910582915641781</v>
      </c>
      <c r="Q206" s="7" t="n">
        <v>0</v>
      </c>
      <c r="R206" s="3" t="n">
        <f aca="false">IF(AND(Q206=1,B206-_xlfn.MINIFS($B$2:$B$2705,$A$2:$A$2705,A206)&lt;10),1,0)</f>
        <v>0</v>
      </c>
      <c r="S206" s="7" t="n">
        <v>0</v>
      </c>
      <c r="T206" s="3" t="n">
        <f aca="false">_xlfn.MINIFS($B$2:$B$2705,$A$2:$A$2705,A206)</f>
        <v>1901</v>
      </c>
      <c r="U206" s="3" t="n">
        <f aca="false">B206-T206</f>
        <v>12</v>
      </c>
      <c r="V206" s="3" t="str">
        <f aca="false">INDEX(Pop_Inputs!$Q$2:$Q$29,MATCH(C206,Pop_Inputs!$A$2:$A$29,0))</f>
        <v>Northeast</v>
      </c>
      <c r="W206" s="30"/>
      <c r="X206" s="3" t="str">
        <f aca="false">IF(W206="","",LN(W206))</f>
        <v/>
      </c>
      <c r="Y206" s="3" t="str">
        <f aca="false">IF(X206="","",X206-AVERAGEIFS($X$2:$X$2705,$B$2:$B$2705,B206))</f>
        <v/>
      </c>
      <c r="Z206" s="21" t="n">
        <f aca="false">P206</f>
        <v>0.910582915641781</v>
      </c>
      <c r="AA206" s="3" t="n">
        <f aca="false">R206</f>
        <v>0</v>
      </c>
      <c r="AB206" s="21" t="n">
        <f aca="false">P206</f>
        <v>0.910582915641781</v>
      </c>
      <c r="AC206" s="3" t="str">
        <f aca="false">Y206</f>
        <v/>
      </c>
      <c r="AD206" s="3" t="n">
        <f aca="false">R206</f>
        <v>0</v>
      </c>
    </row>
    <row r="207" customFormat="false" ht="15" hidden="false" customHeight="true" outlineLevel="0" collapsed="false">
      <c r="A207" s="7" t="s">
        <v>59</v>
      </c>
      <c r="B207" s="7" t="n">
        <v>1913</v>
      </c>
      <c r="C207" s="7" t="s">
        <v>145</v>
      </c>
      <c r="D207" s="7" t="n">
        <v>51</v>
      </c>
      <c r="E207" s="7" t="n">
        <v>99</v>
      </c>
      <c r="F207" s="3" t="n">
        <f aca="false">COUNTIFS($B$2:$B$2705,B207,$C$2:$C$2705,C207)</f>
        <v>2</v>
      </c>
      <c r="G207" s="3" t="n">
        <f aca="false">MIN(INT((MIN(B207,2020)-1900)/10)+1,12)</f>
        <v>2</v>
      </c>
      <c r="H207" s="3" t="n">
        <f aca="false">(MIN(B207,2020)-1900-10*(G207-1))/10</f>
        <v>0.3</v>
      </c>
      <c r="I207" s="20" t="n">
        <f aca="false">EXP(LN(INDEX(Pop_Inputs!$B$2:$N$29,MATCH(C207,Pop_Inputs!$A$2:$A$29,0),G207))*(1-H207)+LN(INDEX(Pop_Inputs!$B$2:$N$29,MATCH(C207,Pop_Inputs!$A$2:$A$29,0),G207+1))*H207)</f>
        <v>711736.166791025</v>
      </c>
      <c r="J207" s="20" t="n">
        <f aca="false">I207/F207</f>
        <v>355868.083395512</v>
      </c>
      <c r="K207" s="21" t="n">
        <f aca="false">D207/(D207+E207)</f>
        <v>0.34</v>
      </c>
      <c r="L207" s="21" t="n">
        <f aca="false">AVERAGEIFS($K$2:$K$2705,$B$2:$B$2705,B207)</f>
        <v>0.499768124480721</v>
      </c>
      <c r="M207" s="21" t="n">
        <f aca="false">K207-L207</f>
        <v>-0.159768124480721</v>
      </c>
      <c r="N207" s="21" t="n">
        <f aca="false">LN(J207)</f>
        <v>12.7823153889029</v>
      </c>
      <c r="O207" s="21" t="n">
        <f aca="false">AVERAGEIFS($N$2:$N$2705,$B$2:$B$2705,B207)</f>
        <v>13.417402257621</v>
      </c>
      <c r="P207" s="21" t="n">
        <f aca="false">N207-O207</f>
        <v>-0.635086868718084</v>
      </c>
      <c r="Q207" s="7" t="n">
        <v>0</v>
      </c>
      <c r="R207" s="3" t="n">
        <f aca="false">IF(AND(Q207=1,B207-_xlfn.MINIFS($B$2:$B$2705,$A$2:$A$2705,A207)&lt;10),1,0)</f>
        <v>0</v>
      </c>
      <c r="S207" s="7" t="n">
        <v>0</v>
      </c>
      <c r="T207" s="3" t="n">
        <f aca="false">_xlfn.MINIFS($B$2:$B$2705,$A$2:$A$2705,A207)</f>
        <v>1901</v>
      </c>
      <c r="U207" s="3" t="n">
        <f aca="false">B207-T207</f>
        <v>12</v>
      </c>
      <c r="V207" s="3" t="str">
        <f aca="false">INDEX(Pop_Inputs!$Q$2:$Q$29,MATCH(C207,Pop_Inputs!$A$2:$A$29,0))</f>
        <v>Midwest</v>
      </c>
      <c r="W207" s="30"/>
      <c r="X207" s="3" t="str">
        <f aca="false">IF(W207="","",LN(W207))</f>
        <v/>
      </c>
      <c r="Y207" s="3" t="str">
        <f aca="false">IF(X207="","",X207-AVERAGEIFS($X$2:$X$2705,$B$2:$B$2705,B207))</f>
        <v/>
      </c>
      <c r="Z207" s="21" t="n">
        <f aca="false">P207</f>
        <v>-0.635086868718084</v>
      </c>
      <c r="AA207" s="3" t="n">
        <f aca="false">R207</f>
        <v>0</v>
      </c>
      <c r="AB207" s="21" t="n">
        <f aca="false">P207</f>
        <v>-0.635086868718084</v>
      </c>
      <c r="AC207" s="3" t="str">
        <f aca="false">Y207</f>
        <v/>
      </c>
      <c r="AD207" s="3" t="n">
        <f aca="false">R207</f>
        <v>0</v>
      </c>
    </row>
    <row r="208" customFormat="false" ht="15" hidden="false" customHeight="true" outlineLevel="0" collapsed="false">
      <c r="A208" s="7" t="s">
        <v>54</v>
      </c>
      <c r="B208" s="7" t="n">
        <v>1914</v>
      </c>
      <c r="C208" s="7" t="s">
        <v>150</v>
      </c>
      <c r="D208" s="7" t="n">
        <v>94</v>
      </c>
      <c r="E208" s="7" t="n">
        <v>59</v>
      </c>
      <c r="F208" s="3" t="n">
        <f aca="false">COUNTIFS($B$2:$B$2705,B208,$C$2:$C$2705,C208)</f>
        <v>2</v>
      </c>
      <c r="G208" s="3" t="n">
        <f aca="false">MIN(INT((MIN(B208,2020)-1900)/10)+1,12)</f>
        <v>2</v>
      </c>
      <c r="H208" s="3" t="n">
        <f aca="false">(MIN(B208,2020)-1900-10*(G208-1))/10</f>
        <v>0.4</v>
      </c>
      <c r="I208" s="20" t="n">
        <f aca="false">EXP(LN(INDEX(Pop_Inputs!$B$2:$N$29,MATCH(C208,Pop_Inputs!$A$2:$A$29,0),G208))*(1-H208)+LN(INDEX(Pop_Inputs!$B$2:$N$29,MATCH(C208,Pop_Inputs!$A$2:$A$29,0),G208+1))*H208)</f>
        <v>700562.479778394</v>
      </c>
      <c r="J208" s="20" t="n">
        <f aca="false">I208/F208</f>
        <v>350281.239889197</v>
      </c>
      <c r="K208" s="21" t="n">
        <f aca="false">D208/(D208+E208)</f>
        <v>0.61437908496732</v>
      </c>
      <c r="L208" s="21" t="n">
        <f aca="false">AVERAGEIFS($K$2:$K$2705,$B$2:$B$2705,B208)</f>
        <v>0.500146694443328</v>
      </c>
      <c r="M208" s="21" t="n">
        <f aca="false">K208-L208</f>
        <v>0.114232390523993</v>
      </c>
      <c r="N208" s="21" t="n">
        <f aca="false">LN(J208)</f>
        <v>12.7664916533387</v>
      </c>
      <c r="O208" s="21" t="n">
        <f aca="false">AVERAGEIFS($N$2:$N$2705,$B$2:$B$2705,B208)</f>
        <v>13.4379199520329</v>
      </c>
      <c r="P208" s="21" t="n">
        <f aca="false">N208-O208</f>
        <v>-0.67142829869416</v>
      </c>
      <c r="Q208" s="7" t="n">
        <v>0</v>
      </c>
      <c r="R208" s="3" t="n">
        <f aca="false">IF(AND(Q208=1,B208-_xlfn.MINIFS($B$2:$B$2705,$A$2:$A$2705,A208)&lt;10),1,0)</f>
        <v>0</v>
      </c>
      <c r="S208" s="7" t="n">
        <v>0</v>
      </c>
      <c r="T208" s="3" t="n">
        <f aca="false">_xlfn.MINIFS($B$2:$B$2705,$A$2:$A$2705,A208)</f>
        <v>1901</v>
      </c>
      <c r="U208" s="3" t="n">
        <f aca="false">B208-T208</f>
        <v>13</v>
      </c>
      <c r="V208" s="3" t="str">
        <f aca="false">INDEX(Pop_Inputs!$Q$2:$Q$29,MATCH(C208,Pop_Inputs!$A$2:$A$29,0))</f>
        <v>Northeast</v>
      </c>
      <c r="W208" s="30"/>
      <c r="X208" s="3" t="str">
        <f aca="false">IF(W208="","",LN(W208))</f>
        <v/>
      </c>
      <c r="Y208" s="3" t="str">
        <f aca="false">IF(X208="","",X208-AVERAGEIFS($X$2:$X$2705,$B$2:$B$2705,B208))</f>
        <v/>
      </c>
      <c r="Z208" s="21" t="n">
        <f aca="false">P208</f>
        <v>-0.67142829869416</v>
      </c>
      <c r="AA208" s="3" t="n">
        <f aca="false">R208</f>
        <v>0</v>
      </c>
      <c r="AB208" s="21" t="n">
        <f aca="false">P208</f>
        <v>-0.67142829869416</v>
      </c>
      <c r="AC208" s="3" t="str">
        <f aca="false">Y208</f>
        <v/>
      </c>
      <c r="AD208" s="3" t="n">
        <f aca="false">R208</f>
        <v>0</v>
      </c>
    </row>
    <row r="209" customFormat="false" ht="15" hidden="false" customHeight="true" outlineLevel="0" collapsed="false">
      <c r="A209" s="7" t="s">
        <v>63</v>
      </c>
      <c r="B209" s="7" t="n">
        <v>1914</v>
      </c>
      <c r="C209" s="7" t="s">
        <v>145</v>
      </c>
      <c r="D209" s="7" t="n">
        <v>71</v>
      </c>
      <c r="E209" s="7" t="n">
        <v>82</v>
      </c>
      <c r="F209" s="3" t="n">
        <f aca="false">COUNTIFS($B$2:$B$2705,B209,$C$2:$C$2705,C209)</f>
        <v>2</v>
      </c>
      <c r="G209" s="3" t="n">
        <f aca="false">MIN(INT((MIN(B209,2020)-1900)/10)+1,12)</f>
        <v>2</v>
      </c>
      <c r="H209" s="3" t="n">
        <f aca="false">(MIN(B209,2020)-1900-10*(G209-1))/10</f>
        <v>0.4</v>
      </c>
      <c r="I209" s="20" t="n">
        <f aca="false">EXP(LN(INDEX(Pop_Inputs!$B$2:$N$29,MATCH(C209,Pop_Inputs!$A$2:$A$29,0),G209))*(1-H209)+LN(INDEX(Pop_Inputs!$B$2:$N$29,MATCH(C209,Pop_Inputs!$A$2:$A$29,0),G209+1))*H209)</f>
        <v>720167.784837107</v>
      </c>
      <c r="J209" s="20" t="n">
        <f aca="false">I209/F209</f>
        <v>360083.892418554</v>
      </c>
      <c r="K209" s="21" t="n">
        <f aca="false">D209/(D209+E209)</f>
        <v>0.464052287581699</v>
      </c>
      <c r="L209" s="21" t="n">
        <f aca="false">AVERAGEIFS($K$2:$K$2705,$B$2:$B$2705,B209)</f>
        <v>0.500146694443328</v>
      </c>
      <c r="M209" s="21" t="n">
        <f aca="false">K209-L209</f>
        <v>-0.0360944068616282</v>
      </c>
      <c r="N209" s="21" t="n">
        <f aca="false">LN(J209)</f>
        <v>12.79409231778</v>
      </c>
      <c r="O209" s="21" t="n">
        <f aca="false">AVERAGEIFS($N$2:$N$2705,$B$2:$B$2705,B209)</f>
        <v>13.4379199520329</v>
      </c>
      <c r="P209" s="21" t="n">
        <f aca="false">N209-O209</f>
        <v>-0.643827634252897</v>
      </c>
      <c r="Q209" s="7" t="n">
        <v>0</v>
      </c>
      <c r="R209" s="3" t="n">
        <f aca="false">IF(AND(Q209=1,B209-_xlfn.MINIFS($B$2:$B$2705,$A$2:$A$2705,A209)&lt;10),1,0)</f>
        <v>0</v>
      </c>
      <c r="S209" s="7" t="n">
        <v>0</v>
      </c>
      <c r="T209" s="3" t="n">
        <f aca="false">_xlfn.MINIFS($B$2:$B$2705,$A$2:$A$2705,A209)</f>
        <v>1901</v>
      </c>
      <c r="U209" s="3" t="n">
        <f aca="false">B209-T209</f>
        <v>13</v>
      </c>
      <c r="V209" s="3" t="str">
        <f aca="false">INDEX(Pop_Inputs!$Q$2:$Q$29,MATCH(C209,Pop_Inputs!$A$2:$A$29,0))</f>
        <v>Midwest</v>
      </c>
      <c r="W209" s="30"/>
      <c r="X209" s="3" t="str">
        <f aca="false">IF(W209="","",LN(W209))</f>
        <v/>
      </c>
      <c r="Y209" s="3" t="str">
        <f aca="false">IF(X209="","",X209-AVERAGEIFS($X$2:$X$2705,$B$2:$B$2705,B209))</f>
        <v/>
      </c>
      <c r="Z209" s="21" t="n">
        <f aca="false">P209</f>
        <v>-0.643827634252897</v>
      </c>
      <c r="AA209" s="3" t="n">
        <f aca="false">R209</f>
        <v>0</v>
      </c>
      <c r="AB209" s="21" t="n">
        <f aca="false">P209</f>
        <v>-0.643827634252897</v>
      </c>
      <c r="AC209" s="3" t="str">
        <f aca="false">Y209</f>
        <v/>
      </c>
      <c r="AD209" s="3" t="n">
        <f aca="false">R209</f>
        <v>0</v>
      </c>
    </row>
    <row r="210" customFormat="false" ht="15" hidden="false" customHeight="true" outlineLevel="0" collapsed="false">
      <c r="A210" s="7" t="s">
        <v>64</v>
      </c>
      <c r="B210" s="7" t="n">
        <v>1914</v>
      </c>
      <c r="C210" s="7" t="s">
        <v>150</v>
      </c>
      <c r="D210" s="7" t="n">
        <v>91</v>
      </c>
      <c r="E210" s="7" t="n">
        <v>62</v>
      </c>
      <c r="F210" s="3" t="n">
        <f aca="false">COUNTIFS($B$2:$B$2705,B210,$C$2:$C$2705,C210)</f>
        <v>2</v>
      </c>
      <c r="G210" s="3" t="n">
        <f aca="false">MIN(INT((MIN(B210,2020)-1900)/10)+1,12)</f>
        <v>2</v>
      </c>
      <c r="H210" s="3" t="n">
        <f aca="false">(MIN(B210,2020)-1900-10*(G210-1))/10</f>
        <v>0.4</v>
      </c>
      <c r="I210" s="20" t="n">
        <f aca="false">EXP(LN(INDEX(Pop_Inputs!$B$2:$N$29,MATCH(C210,Pop_Inputs!$A$2:$A$29,0),G210))*(1-H210)+LN(INDEX(Pop_Inputs!$B$2:$N$29,MATCH(C210,Pop_Inputs!$A$2:$A$29,0),G210+1))*H210)</f>
        <v>700562.479778394</v>
      </c>
      <c r="J210" s="20" t="n">
        <f aca="false">I210/F210</f>
        <v>350281.239889197</v>
      </c>
      <c r="K210" s="21" t="n">
        <f aca="false">D210/(D210+E210)</f>
        <v>0.594771241830065</v>
      </c>
      <c r="L210" s="21" t="n">
        <f aca="false">AVERAGEIFS($K$2:$K$2705,$B$2:$B$2705,B210)</f>
        <v>0.500146694443328</v>
      </c>
      <c r="M210" s="21" t="n">
        <f aca="false">K210-L210</f>
        <v>0.0946245473867378</v>
      </c>
      <c r="N210" s="21" t="n">
        <f aca="false">LN(J210)</f>
        <v>12.7664916533387</v>
      </c>
      <c r="O210" s="21" t="n">
        <f aca="false">AVERAGEIFS($N$2:$N$2705,$B$2:$B$2705,B210)</f>
        <v>13.4379199520329</v>
      </c>
      <c r="P210" s="21" t="n">
        <f aca="false">N210-O210</f>
        <v>-0.67142829869416</v>
      </c>
      <c r="Q210" s="7" t="n">
        <v>0</v>
      </c>
      <c r="R210" s="3" t="n">
        <f aca="false">IF(AND(Q210=1,B210-_xlfn.MINIFS($B$2:$B$2705,$A$2:$A$2705,A210)&lt;10),1,0)</f>
        <v>0</v>
      </c>
      <c r="S210" s="7" t="n">
        <v>0</v>
      </c>
      <c r="T210" s="3" t="n">
        <f aca="false">_xlfn.MINIFS($B$2:$B$2705,$A$2:$A$2705,A210)</f>
        <v>1901</v>
      </c>
      <c r="U210" s="3" t="n">
        <f aca="false">B210-T210</f>
        <v>13</v>
      </c>
      <c r="V210" s="3" t="str">
        <f aca="false">INDEX(Pop_Inputs!$Q$2:$Q$29,MATCH(C210,Pop_Inputs!$A$2:$A$29,0))</f>
        <v>Northeast</v>
      </c>
      <c r="W210" s="30"/>
      <c r="X210" s="3" t="str">
        <f aca="false">IF(W210="","",LN(W210))</f>
        <v/>
      </c>
      <c r="Y210" s="3" t="str">
        <f aca="false">IF(X210="","",X210-AVERAGEIFS($X$2:$X$2705,$B$2:$B$2705,B210))</f>
        <v/>
      </c>
      <c r="Z210" s="21" t="n">
        <f aca="false">P210</f>
        <v>-0.67142829869416</v>
      </c>
      <c r="AA210" s="3" t="n">
        <f aca="false">R210</f>
        <v>0</v>
      </c>
      <c r="AB210" s="21" t="n">
        <f aca="false">P210</f>
        <v>-0.67142829869416</v>
      </c>
      <c r="AC210" s="3" t="str">
        <f aca="false">Y210</f>
        <v/>
      </c>
      <c r="AD210" s="3" t="n">
        <f aca="false">R210</f>
        <v>0</v>
      </c>
    </row>
    <row r="211" customFormat="false" ht="15" hidden="false" customHeight="true" outlineLevel="0" collapsed="false">
      <c r="A211" s="7" t="s">
        <v>56</v>
      </c>
      <c r="B211" s="7" t="n">
        <v>1914</v>
      </c>
      <c r="C211" s="7" t="s">
        <v>142</v>
      </c>
      <c r="D211" s="7" t="n">
        <v>78</v>
      </c>
      <c r="E211" s="7" t="n">
        <v>76</v>
      </c>
      <c r="F211" s="3" t="n">
        <f aca="false">COUNTIFS($B$2:$B$2705,B211,$C$2:$C$2705,C211)</f>
        <v>2</v>
      </c>
      <c r="G211" s="3" t="n">
        <f aca="false">MIN(INT((MIN(B211,2020)-1900)/10)+1,12)</f>
        <v>2</v>
      </c>
      <c r="H211" s="3" t="n">
        <f aca="false">(MIN(B211,2020)-1900-10*(G211-1))/10</f>
        <v>0.4</v>
      </c>
      <c r="I211" s="20" t="n">
        <f aca="false">EXP(LN(INDEX(Pop_Inputs!$B$2:$N$29,MATCH(C211,Pop_Inputs!$A$2:$A$29,0),G211))*(1-H211)+LN(INDEX(Pop_Inputs!$B$2:$N$29,MATCH(C211,Pop_Inputs!$A$2:$A$29,0),G211+1))*H211)</f>
        <v>2378810.15034473</v>
      </c>
      <c r="J211" s="20" t="n">
        <f aca="false">I211/F211</f>
        <v>1189405.07517237</v>
      </c>
      <c r="K211" s="21" t="n">
        <f aca="false">D211/(D211+E211)</f>
        <v>0.506493506493506</v>
      </c>
      <c r="L211" s="21" t="n">
        <f aca="false">AVERAGEIFS($K$2:$K$2705,$B$2:$B$2705,B211)</f>
        <v>0.500146694443328</v>
      </c>
      <c r="M211" s="21" t="n">
        <f aca="false">K211-L211</f>
        <v>0.00634681205017884</v>
      </c>
      <c r="N211" s="21" t="n">
        <f aca="false">LN(J211)</f>
        <v>13.9889638032477</v>
      </c>
      <c r="O211" s="21" t="n">
        <f aca="false">AVERAGEIFS($N$2:$N$2705,$B$2:$B$2705,B211)</f>
        <v>13.4379199520329</v>
      </c>
      <c r="P211" s="21" t="n">
        <f aca="false">N211-O211</f>
        <v>0.551043851214832</v>
      </c>
      <c r="Q211" s="7" t="n">
        <v>0</v>
      </c>
      <c r="R211" s="3" t="n">
        <f aca="false">IF(AND(Q211=1,B211-_xlfn.MINIFS($B$2:$B$2705,$A$2:$A$2705,A211)&lt;10),1,0)</f>
        <v>0</v>
      </c>
      <c r="S211" s="7" t="n">
        <v>0</v>
      </c>
      <c r="T211" s="3" t="n">
        <f aca="false">_xlfn.MINIFS($B$2:$B$2705,$A$2:$A$2705,A211)</f>
        <v>1901</v>
      </c>
      <c r="U211" s="3" t="n">
        <f aca="false">B211-T211</f>
        <v>13</v>
      </c>
      <c r="V211" s="3" t="str">
        <f aca="false">INDEX(Pop_Inputs!$Q$2:$Q$29,MATCH(C211,Pop_Inputs!$A$2:$A$29,0))</f>
        <v>Midwest</v>
      </c>
      <c r="W211" s="30"/>
      <c r="X211" s="3" t="str">
        <f aca="false">IF(W211="","",LN(W211))</f>
        <v/>
      </c>
      <c r="Y211" s="3" t="str">
        <f aca="false">IF(X211="","",X211-AVERAGEIFS($X$2:$X$2705,$B$2:$B$2705,B211))</f>
        <v/>
      </c>
      <c r="Z211" s="21" t="n">
        <f aca="false">P211</f>
        <v>0.551043851214832</v>
      </c>
      <c r="AA211" s="3" t="n">
        <f aca="false">R211</f>
        <v>0</v>
      </c>
      <c r="AB211" s="21" t="n">
        <f aca="false">P211</f>
        <v>0.551043851214832</v>
      </c>
      <c r="AC211" s="3" t="str">
        <f aca="false">Y211</f>
        <v/>
      </c>
      <c r="AD211" s="3" t="n">
        <f aca="false">R211</f>
        <v>0</v>
      </c>
    </row>
    <row r="212" customFormat="false" ht="15" hidden="false" customHeight="true" outlineLevel="0" collapsed="false">
      <c r="A212" s="7" t="s">
        <v>65</v>
      </c>
      <c r="B212" s="7" t="n">
        <v>1914</v>
      </c>
      <c r="C212" s="7" t="s">
        <v>142</v>
      </c>
      <c r="D212" s="7" t="n">
        <v>70</v>
      </c>
      <c r="E212" s="7" t="n">
        <v>84</v>
      </c>
      <c r="F212" s="3" t="n">
        <f aca="false">COUNTIFS($B$2:$B$2705,B212,$C$2:$C$2705,C212)</f>
        <v>2</v>
      </c>
      <c r="G212" s="3" t="n">
        <f aca="false">MIN(INT((MIN(B212,2020)-1900)/10)+1,12)</f>
        <v>2</v>
      </c>
      <c r="H212" s="3" t="n">
        <f aca="false">(MIN(B212,2020)-1900-10*(G212-1))/10</f>
        <v>0.4</v>
      </c>
      <c r="I212" s="20" t="n">
        <f aca="false">EXP(LN(INDEX(Pop_Inputs!$B$2:$N$29,MATCH(C212,Pop_Inputs!$A$2:$A$29,0),G212))*(1-H212)+LN(INDEX(Pop_Inputs!$B$2:$N$29,MATCH(C212,Pop_Inputs!$A$2:$A$29,0),G212+1))*H212)</f>
        <v>2378810.15034473</v>
      </c>
      <c r="J212" s="20" t="n">
        <f aca="false">I212/F212</f>
        <v>1189405.07517237</v>
      </c>
      <c r="K212" s="21" t="n">
        <f aca="false">D212/(D212+E212)</f>
        <v>0.454545454545455</v>
      </c>
      <c r="L212" s="21" t="n">
        <f aca="false">AVERAGEIFS($K$2:$K$2705,$B$2:$B$2705,B212)</f>
        <v>0.500146694443328</v>
      </c>
      <c r="M212" s="21" t="n">
        <f aca="false">K212-L212</f>
        <v>-0.0456012398978731</v>
      </c>
      <c r="N212" s="21" t="n">
        <f aca="false">LN(J212)</f>
        <v>13.9889638032477</v>
      </c>
      <c r="O212" s="21" t="n">
        <f aca="false">AVERAGEIFS($N$2:$N$2705,$B$2:$B$2705,B212)</f>
        <v>13.4379199520329</v>
      </c>
      <c r="P212" s="21" t="n">
        <f aca="false">N212-O212</f>
        <v>0.551043851214832</v>
      </c>
      <c r="Q212" s="7" t="n">
        <v>0</v>
      </c>
      <c r="R212" s="3" t="n">
        <f aca="false">IF(AND(Q212=1,B212-_xlfn.MINIFS($B$2:$B$2705,$A$2:$A$2705,A212)&lt;10),1,0)</f>
        <v>0</v>
      </c>
      <c r="S212" s="7" t="n">
        <v>0</v>
      </c>
      <c r="T212" s="3" t="n">
        <f aca="false">_xlfn.MINIFS($B$2:$B$2705,$A$2:$A$2705,A212)</f>
        <v>1901</v>
      </c>
      <c r="U212" s="3" t="n">
        <f aca="false">B212-T212</f>
        <v>13</v>
      </c>
      <c r="V212" s="3" t="str">
        <f aca="false">INDEX(Pop_Inputs!$Q$2:$Q$29,MATCH(C212,Pop_Inputs!$A$2:$A$29,0))</f>
        <v>Midwest</v>
      </c>
      <c r="W212" s="30"/>
      <c r="X212" s="3" t="str">
        <f aca="false">IF(W212="","",LN(W212))</f>
        <v/>
      </c>
      <c r="Y212" s="3" t="str">
        <f aca="false">IF(X212="","",X212-AVERAGEIFS($X$2:$X$2705,$B$2:$B$2705,B212))</f>
        <v/>
      </c>
      <c r="Z212" s="21" t="n">
        <f aca="false">P212</f>
        <v>0.551043851214832</v>
      </c>
      <c r="AA212" s="3" t="n">
        <f aca="false">R212</f>
        <v>0</v>
      </c>
      <c r="AB212" s="21" t="n">
        <f aca="false">P212</f>
        <v>0.551043851214832</v>
      </c>
      <c r="AC212" s="3" t="str">
        <f aca="false">Y212</f>
        <v/>
      </c>
      <c r="AD212" s="3" t="n">
        <f aca="false">R212</f>
        <v>0</v>
      </c>
    </row>
    <row r="213" customFormat="false" ht="15" hidden="false" customHeight="true" outlineLevel="0" collapsed="false">
      <c r="A213" s="7" t="s">
        <v>57</v>
      </c>
      <c r="B213" s="7" t="n">
        <v>1914</v>
      </c>
      <c r="C213" s="7" t="s">
        <v>143</v>
      </c>
      <c r="D213" s="7" t="n">
        <v>60</v>
      </c>
      <c r="E213" s="7" t="n">
        <v>94</v>
      </c>
      <c r="F213" s="3" t="n">
        <f aca="false">COUNTIFS($B$2:$B$2705,B213,$C$2:$C$2705,C213)</f>
        <v>1</v>
      </c>
      <c r="G213" s="3" t="n">
        <f aca="false">MIN(INT((MIN(B213,2020)-1900)/10)+1,12)</f>
        <v>2</v>
      </c>
      <c r="H213" s="3" t="n">
        <f aca="false">(MIN(B213,2020)-1900-10*(G213-1))/10</f>
        <v>0.4</v>
      </c>
      <c r="I213" s="20" t="n">
        <f aca="false">EXP(LN(INDEX(Pop_Inputs!$B$2:$N$29,MATCH(C213,Pop_Inputs!$A$2:$A$29,0),G213))*(1-H213)+LN(INDEX(Pop_Inputs!$B$2:$N$29,MATCH(C213,Pop_Inputs!$A$2:$A$29,0),G213+1))*H213)</f>
        <v>378209.639911746</v>
      </c>
      <c r="J213" s="20" t="n">
        <f aca="false">I213/F213</f>
        <v>378209.639911746</v>
      </c>
      <c r="K213" s="21" t="n">
        <f aca="false">D213/(D213+E213)</f>
        <v>0.38961038961039</v>
      </c>
      <c r="L213" s="21" t="n">
        <f aca="false">AVERAGEIFS($K$2:$K$2705,$B$2:$B$2705,B213)</f>
        <v>0.500146694443328</v>
      </c>
      <c r="M213" s="21" t="n">
        <f aca="false">K213-L213</f>
        <v>-0.110536304832938</v>
      </c>
      <c r="N213" s="21" t="n">
        <f aca="false">LN(J213)</f>
        <v>12.8432039238075</v>
      </c>
      <c r="O213" s="21" t="n">
        <f aca="false">AVERAGEIFS($N$2:$N$2705,$B$2:$B$2705,B213)</f>
        <v>13.4379199520329</v>
      </c>
      <c r="P213" s="21" t="n">
        <f aca="false">N213-O213</f>
        <v>-0.594716028225372</v>
      </c>
      <c r="Q213" s="7" t="n">
        <v>0</v>
      </c>
      <c r="R213" s="3" t="n">
        <f aca="false">IF(AND(Q213=1,B213-_xlfn.MINIFS($B$2:$B$2705,$A$2:$A$2705,A213)&lt;10),1,0)</f>
        <v>0</v>
      </c>
      <c r="S213" s="7" t="n">
        <v>0</v>
      </c>
      <c r="T213" s="3" t="n">
        <f aca="false">_xlfn.MINIFS($B$2:$B$2705,$A$2:$A$2705,A213)</f>
        <v>1901</v>
      </c>
      <c r="U213" s="3" t="n">
        <f aca="false">B213-T213</f>
        <v>13</v>
      </c>
      <c r="V213" s="3" t="str">
        <f aca="false">INDEX(Pop_Inputs!$Q$2:$Q$29,MATCH(C213,Pop_Inputs!$A$2:$A$29,0))</f>
        <v>Midwest</v>
      </c>
      <c r="W213" s="30"/>
      <c r="X213" s="3" t="str">
        <f aca="false">IF(W213="","",LN(W213))</f>
        <v/>
      </c>
      <c r="Y213" s="3" t="str">
        <f aca="false">IF(X213="","",X213-AVERAGEIFS($X$2:$X$2705,$B$2:$B$2705,B213))</f>
        <v/>
      </c>
      <c r="Z213" s="21" t="n">
        <f aca="false">P213</f>
        <v>-0.594716028225372</v>
      </c>
      <c r="AA213" s="3" t="n">
        <f aca="false">R213</f>
        <v>0</v>
      </c>
      <c r="AB213" s="21" t="n">
        <f aca="false">P213</f>
        <v>-0.594716028225372</v>
      </c>
      <c r="AC213" s="3" t="str">
        <f aca="false">Y213</f>
        <v/>
      </c>
      <c r="AD213" s="3" t="n">
        <f aca="false">R213</f>
        <v>0</v>
      </c>
    </row>
    <row r="214" customFormat="false" ht="15" hidden="false" customHeight="true" outlineLevel="0" collapsed="false">
      <c r="A214" s="7" t="s">
        <v>66</v>
      </c>
      <c r="B214" s="7" t="n">
        <v>1914</v>
      </c>
      <c r="C214" s="7" t="s">
        <v>151</v>
      </c>
      <c r="D214" s="7" t="n">
        <v>51</v>
      </c>
      <c r="E214" s="7" t="n">
        <v>102</v>
      </c>
      <c r="F214" s="3" t="n">
        <f aca="false">COUNTIFS($B$2:$B$2705,B214,$C$2:$C$2705,C214)</f>
        <v>1</v>
      </c>
      <c r="G214" s="3" t="n">
        <f aca="false">MIN(INT((MIN(B214,2020)-1900)/10)+1,12)</f>
        <v>2</v>
      </c>
      <c r="H214" s="3" t="n">
        <f aca="false">(MIN(B214,2020)-1900-10*(G214-1))/10</f>
        <v>0.4</v>
      </c>
      <c r="I214" s="20" t="n">
        <f aca="false">EXP(LN(INDEX(Pop_Inputs!$B$2:$N$29,MATCH(C214,Pop_Inputs!$A$2:$A$29,0),G214))*(1-H214)+LN(INDEX(Pop_Inputs!$B$2:$N$29,MATCH(C214,Pop_Inputs!$A$2:$A$29,0),G214+1))*H214)</f>
        <v>645312.097276353</v>
      </c>
      <c r="J214" s="20" t="n">
        <f aca="false">I214/F214</f>
        <v>645312.097276353</v>
      </c>
      <c r="K214" s="21" t="n">
        <f aca="false">D214/(D214+E214)</f>
        <v>0.333333333333333</v>
      </c>
      <c r="L214" s="21" t="n">
        <f aca="false">AVERAGEIFS($K$2:$K$2705,$B$2:$B$2705,B214)</f>
        <v>0.500146694443328</v>
      </c>
      <c r="M214" s="21" t="n">
        <f aca="false">K214-L214</f>
        <v>-0.166813361109994</v>
      </c>
      <c r="N214" s="21" t="n">
        <f aca="false">LN(J214)</f>
        <v>13.377489350496</v>
      </c>
      <c r="O214" s="21" t="n">
        <f aca="false">AVERAGEIFS($N$2:$N$2705,$B$2:$B$2705,B214)</f>
        <v>13.4379199520329</v>
      </c>
      <c r="P214" s="21" t="n">
        <f aca="false">N214-O214</f>
        <v>-0.0604306015368419</v>
      </c>
      <c r="Q214" s="7" t="n">
        <v>0</v>
      </c>
      <c r="R214" s="3" t="n">
        <f aca="false">IF(AND(Q214=1,B214-_xlfn.MINIFS($B$2:$B$2705,$A$2:$A$2705,A214)&lt;10),1,0)</f>
        <v>0</v>
      </c>
      <c r="S214" s="7" t="n">
        <v>0</v>
      </c>
      <c r="T214" s="3" t="n">
        <f aca="false">_xlfn.MINIFS($B$2:$B$2705,$A$2:$A$2705,A214)</f>
        <v>1901</v>
      </c>
      <c r="U214" s="3" t="n">
        <f aca="false">B214-T214</f>
        <v>13</v>
      </c>
      <c r="V214" s="3" t="str">
        <f aca="false">INDEX(Pop_Inputs!$Q$2:$Q$29,MATCH(C214,Pop_Inputs!$A$2:$A$29,0))</f>
        <v>Midwest</v>
      </c>
      <c r="W214" s="30"/>
      <c r="X214" s="3" t="str">
        <f aca="false">IF(W214="","",LN(W214))</f>
        <v/>
      </c>
      <c r="Y214" s="3" t="str">
        <f aca="false">IF(X214="","",X214-AVERAGEIFS($X$2:$X$2705,$B$2:$B$2705,B214))</f>
        <v/>
      </c>
      <c r="Z214" s="21" t="n">
        <f aca="false">P214</f>
        <v>-0.0604306015368419</v>
      </c>
      <c r="AA214" s="3" t="n">
        <f aca="false">R214</f>
        <v>0</v>
      </c>
      <c r="AB214" s="21" t="n">
        <f aca="false">P214</f>
        <v>-0.0604306015368419</v>
      </c>
      <c r="AC214" s="3" t="str">
        <f aca="false">Y214</f>
        <v/>
      </c>
      <c r="AD214" s="3" t="n">
        <f aca="false">R214</f>
        <v>0</v>
      </c>
    </row>
    <row r="215" customFormat="false" ht="15" hidden="false" customHeight="true" outlineLevel="0" collapsed="false">
      <c r="A215" s="7" t="s">
        <v>67</v>
      </c>
      <c r="B215" s="7" t="n">
        <v>1914</v>
      </c>
      <c r="C215" s="7" t="s">
        <v>152</v>
      </c>
      <c r="D215" s="7" t="n">
        <v>80</v>
      </c>
      <c r="E215" s="7" t="n">
        <v>73</v>
      </c>
      <c r="F215" s="3" t="n">
        <f aca="false">COUNTIFS($B$2:$B$2705,B215,$C$2:$C$2705,C215)</f>
        <v>1</v>
      </c>
      <c r="G215" s="3" t="n">
        <f aca="false">MIN(INT((MIN(B215,2020)-1900)/10)+1,12)</f>
        <v>2</v>
      </c>
      <c r="H215" s="3" t="n">
        <f aca="false">(MIN(B215,2020)-1900-10*(G215-1))/10</f>
        <v>0.4</v>
      </c>
      <c r="I215" s="20" t="n">
        <f aca="false">EXP(LN(INDEX(Pop_Inputs!$B$2:$N$29,MATCH(C215,Pop_Inputs!$A$2:$A$29,0),G215))*(1-H215)+LN(INDEX(Pop_Inputs!$B$2:$N$29,MATCH(C215,Pop_Inputs!$A$2:$A$29,0),G215+1))*H215)</f>
        <v>630665.304751632</v>
      </c>
      <c r="J215" s="20" t="n">
        <f aca="false">I215/F215</f>
        <v>630665.304751632</v>
      </c>
      <c r="K215" s="21" t="n">
        <f aca="false">D215/(D215+E215)</f>
        <v>0.522875816993464</v>
      </c>
      <c r="L215" s="21" t="n">
        <f aca="false">AVERAGEIFS($K$2:$K$2705,$B$2:$B$2705,B215)</f>
        <v>0.500146694443328</v>
      </c>
      <c r="M215" s="21" t="n">
        <f aca="false">K215-L215</f>
        <v>0.0227291225501365</v>
      </c>
      <c r="N215" s="21" t="n">
        <f aca="false">LN(J215)</f>
        <v>13.3545305804388</v>
      </c>
      <c r="O215" s="21" t="n">
        <f aca="false">AVERAGEIFS($N$2:$N$2705,$B$2:$B$2705,B215)</f>
        <v>13.4379199520329</v>
      </c>
      <c r="P215" s="21" t="n">
        <f aca="false">N215-O215</f>
        <v>-0.083389371594059</v>
      </c>
      <c r="Q215" s="7" t="n">
        <v>0</v>
      </c>
      <c r="R215" s="3" t="n">
        <f aca="false">IF(AND(Q215=1,B215-_xlfn.MINIFS($B$2:$B$2705,$A$2:$A$2705,A215)&lt;10),1,0)</f>
        <v>0</v>
      </c>
      <c r="S215" s="7" t="n">
        <v>0</v>
      </c>
      <c r="T215" s="3" t="n">
        <f aca="false">_xlfn.MINIFS($B$2:$B$2705,$A$2:$A$2705,A215)</f>
        <v>1901</v>
      </c>
      <c r="U215" s="3" t="n">
        <f aca="false">B215-T215</f>
        <v>13</v>
      </c>
      <c r="V215" s="3" t="str">
        <f aca="false">INDEX(Pop_Inputs!$Q$2:$Q$29,MATCH(C215,Pop_Inputs!$A$2:$A$29,0))</f>
        <v>Midwest</v>
      </c>
      <c r="W215" s="30"/>
      <c r="X215" s="3" t="str">
        <f aca="false">IF(W215="","",LN(W215))</f>
        <v/>
      </c>
      <c r="Y215" s="3" t="str">
        <f aca="false">IF(X215="","",X215-AVERAGEIFS($X$2:$X$2705,$B$2:$B$2705,B215))</f>
        <v/>
      </c>
      <c r="Z215" s="21" t="n">
        <f aca="false">P215</f>
        <v>-0.083389371594059</v>
      </c>
      <c r="AA215" s="3" t="n">
        <f aca="false">R215</f>
        <v>0</v>
      </c>
      <c r="AB215" s="21" t="n">
        <f aca="false">P215</f>
        <v>-0.083389371594059</v>
      </c>
      <c r="AC215" s="3" t="str">
        <f aca="false">Y215</f>
        <v/>
      </c>
      <c r="AD215" s="3" t="n">
        <f aca="false">R215</f>
        <v>0</v>
      </c>
    </row>
    <row r="216" customFormat="false" ht="15" hidden="false" customHeight="true" outlineLevel="0" collapsed="false">
      <c r="A216" s="7" t="s">
        <v>62</v>
      </c>
      <c r="B216" s="7" t="n">
        <v>1914</v>
      </c>
      <c r="C216" s="7" t="s">
        <v>154</v>
      </c>
      <c r="D216" s="7" t="n">
        <v>75</v>
      </c>
      <c r="E216" s="7" t="n">
        <v>79</v>
      </c>
      <c r="F216" s="3" t="n">
        <f aca="false">COUNTIFS($B$2:$B$2705,B216,$C$2:$C$2705,C216)</f>
        <v>3</v>
      </c>
      <c r="G216" s="3" t="n">
        <f aca="false">MIN(INT((MIN(B216,2020)-1900)/10)+1,12)</f>
        <v>2</v>
      </c>
      <c r="H216" s="3" t="n">
        <f aca="false">(MIN(B216,2020)-1900-10*(G216-1))/10</f>
        <v>0.4</v>
      </c>
      <c r="I216" s="20" t="n">
        <f aca="false">EXP(LN(INDEX(Pop_Inputs!$B$2:$N$29,MATCH(C216,Pop_Inputs!$A$2:$A$29,0),G216))*(1-H216)+LN(INDEX(Pop_Inputs!$B$2:$N$29,MATCH(C216,Pop_Inputs!$A$2:$A$29,0),G216+1))*H216)</f>
        <v>5091393.98893611</v>
      </c>
      <c r="J216" s="20" t="n">
        <f aca="false">I216/F216</f>
        <v>1697131.32964537</v>
      </c>
      <c r="K216" s="21" t="n">
        <f aca="false">D216/(D216+E216)</f>
        <v>0.487012987012987</v>
      </c>
      <c r="L216" s="21" t="n">
        <f aca="false">AVERAGEIFS($K$2:$K$2705,$B$2:$B$2705,B216)</f>
        <v>0.500146694443328</v>
      </c>
      <c r="M216" s="21" t="n">
        <f aca="false">K216-L216</f>
        <v>-0.0131337074303406</v>
      </c>
      <c r="N216" s="21" t="n">
        <f aca="false">LN(J216)</f>
        <v>14.3444499305239</v>
      </c>
      <c r="O216" s="21" t="n">
        <f aca="false">AVERAGEIFS($N$2:$N$2705,$B$2:$B$2705,B216)</f>
        <v>13.4379199520329</v>
      </c>
      <c r="P216" s="21" t="n">
        <f aca="false">N216-O216</f>
        <v>0.906529978491042</v>
      </c>
      <c r="Q216" s="7" t="n">
        <v>0</v>
      </c>
      <c r="R216" s="3" t="n">
        <f aca="false">IF(AND(Q216=1,B216-_xlfn.MINIFS($B$2:$B$2705,$A$2:$A$2705,A216)&lt;10),1,0)</f>
        <v>0</v>
      </c>
      <c r="S216" s="7" t="n">
        <v>0</v>
      </c>
      <c r="T216" s="3" t="n">
        <f aca="false">_xlfn.MINIFS($B$2:$B$2705,$A$2:$A$2705,A216)</f>
        <v>1901</v>
      </c>
      <c r="U216" s="3" t="n">
        <f aca="false">B216-T216</f>
        <v>13</v>
      </c>
      <c r="V216" s="3" t="str">
        <f aca="false">INDEX(Pop_Inputs!$Q$2:$Q$29,MATCH(C216,Pop_Inputs!$A$2:$A$29,0))</f>
        <v>Northeast</v>
      </c>
      <c r="W216" s="30"/>
      <c r="X216" s="3" t="str">
        <f aca="false">IF(W216="","",LN(W216))</f>
        <v/>
      </c>
      <c r="Y216" s="3" t="str">
        <f aca="false">IF(X216="","",X216-AVERAGEIFS($X$2:$X$2705,$B$2:$B$2705,B216))</f>
        <v/>
      </c>
      <c r="Z216" s="21" t="n">
        <f aca="false">P216</f>
        <v>0.906529978491042</v>
      </c>
      <c r="AA216" s="3" t="n">
        <f aca="false">R216</f>
        <v>0</v>
      </c>
      <c r="AB216" s="21" t="n">
        <f aca="false">P216</f>
        <v>0.906529978491042</v>
      </c>
      <c r="AC216" s="3" t="str">
        <f aca="false">Y216</f>
        <v/>
      </c>
      <c r="AD216" s="3" t="n">
        <f aca="false">R216</f>
        <v>0</v>
      </c>
    </row>
    <row r="217" customFormat="false" ht="15" hidden="false" customHeight="true" outlineLevel="0" collapsed="false">
      <c r="A217" s="7" t="s">
        <v>68</v>
      </c>
      <c r="B217" s="7" t="n">
        <v>1914</v>
      </c>
      <c r="C217" s="7" t="s">
        <v>160</v>
      </c>
      <c r="D217" s="7" t="n">
        <v>81</v>
      </c>
      <c r="E217" s="7" t="n">
        <v>73</v>
      </c>
      <c r="F217" s="3" t="n">
        <f aca="false">COUNTIFS($B$2:$B$2705,B217,$C$2:$C$2705,C217)</f>
        <v>1</v>
      </c>
      <c r="G217" s="3" t="n">
        <f aca="false">MIN(INT((MIN(B217,2020)-1900)/10)+1,12)</f>
        <v>2</v>
      </c>
      <c r="H217" s="3" t="n">
        <f aca="false">(MIN(B217,2020)-1900-10*(G217-1))/10</f>
        <v>0.4</v>
      </c>
      <c r="I217" s="20" t="n">
        <f aca="false">EXP(LN(INDEX(Pop_Inputs!$B$2:$N$29,MATCH(C217,Pop_Inputs!$A$2:$A$29,0),G217))*(1-H217)+LN(INDEX(Pop_Inputs!$B$2:$N$29,MATCH(C217,Pop_Inputs!$A$2:$A$29,0),G217+1))*H217)</f>
        <v>370143.837116395</v>
      </c>
      <c r="J217" s="20" t="n">
        <f aca="false">I217/F217</f>
        <v>370143.837116395</v>
      </c>
      <c r="K217" s="21" t="n">
        <f aca="false">D217/(D217+E217)</f>
        <v>0.525974025974026</v>
      </c>
      <c r="L217" s="21" t="n">
        <f aca="false">AVERAGEIFS($K$2:$K$2705,$B$2:$B$2705,B217)</f>
        <v>0.500146694443328</v>
      </c>
      <c r="M217" s="21" t="n">
        <f aca="false">K217-L217</f>
        <v>0.0258273315306984</v>
      </c>
      <c r="N217" s="21" t="n">
        <f aca="false">LN(J217)</f>
        <v>12.8216469580403</v>
      </c>
      <c r="O217" s="21" t="n">
        <f aca="false">AVERAGEIFS($N$2:$N$2705,$B$2:$B$2705,B217)</f>
        <v>13.4379199520329</v>
      </c>
      <c r="P217" s="21" t="n">
        <f aca="false">N217-O217</f>
        <v>-0.616272993992515</v>
      </c>
      <c r="Q217" s="7" t="n">
        <v>0</v>
      </c>
      <c r="R217" s="3" t="n">
        <f aca="false">IF(AND(Q217=1,B217-_xlfn.MINIFS($B$2:$B$2705,$A$2:$A$2705,A217)&lt;10),1,0)</f>
        <v>0</v>
      </c>
      <c r="S217" s="7" t="n">
        <v>0</v>
      </c>
      <c r="T217" s="3" t="n">
        <f aca="false">_xlfn.MINIFS($B$2:$B$2705,$A$2:$A$2705,A217)</f>
        <v>1901</v>
      </c>
      <c r="U217" s="3" t="n">
        <f aca="false">B217-T217</f>
        <v>13</v>
      </c>
      <c r="V217" s="3" t="str">
        <f aca="false">INDEX(Pop_Inputs!$Q$2:$Q$29,MATCH(C217,Pop_Inputs!$A$2:$A$29,0))</f>
        <v>South</v>
      </c>
      <c r="W217" s="30"/>
      <c r="X217" s="3" t="str">
        <f aca="false">IF(W217="","",LN(W217))</f>
        <v/>
      </c>
      <c r="Y217" s="3" t="str">
        <f aca="false">IF(X217="","",X217-AVERAGEIFS($X$2:$X$2705,$B$2:$B$2705,B217))</f>
        <v/>
      </c>
      <c r="Z217" s="21" t="n">
        <f aca="false">P217</f>
        <v>-0.616272993992515</v>
      </c>
      <c r="AA217" s="3" t="n">
        <f aca="false">R217</f>
        <v>0</v>
      </c>
      <c r="AB217" s="21" t="n">
        <f aca="false">P217</f>
        <v>-0.616272993992515</v>
      </c>
      <c r="AC217" s="3" t="str">
        <f aca="false">Y217</f>
        <v/>
      </c>
      <c r="AD217" s="3" t="n">
        <f aca="false">R217</f>
        <v>0</v>
      </c>
    </row>
    <row r="218" customFormat="false" ht="15" hidden="false" customHeight="true" outlineLevel="0" collapsed="false">
      <c r="A218" s="7" t="s">
        <v>70</v>
      </c>
      <c r="B218" s="7" t="n">
        <v>1914</v>
      </c>
      <c r="C218" s="7" t="s">
        <v>154</v>
      </c>
      <c r="D218" s="7" t="n">
        <v>70</v>
      </c>
      <c r="E218" s="7" t="n">
        <v>84</v>
      </c>
      <c r="F218" s="3" t="n">
        <f aca="false">COUNTIFS($B$2:$B$2705,B218,$C$2:$C$2705,C218)</f>
        <v>3</v>
      </c>
      <c r="G218" s="3" t="n">
        <f aca="false">MIN(INT((MIN(B218,2020)-1900)/10)+1,12)</f>
        <v>2</v>
      </c>
      <c r="H218" s="3" t="n">
        <f aca="false">(MIN(B218,2020)-1900-10*(G218-1))/10</f>
        <v>0.4</v>
      </c>
      <c r="I218" s="20" t="n">
        <f aca="false">EXP(LN(INDEX(Pop_Inputs!$B$2:$N$29,MATCH(C218,Pop_Inputs!$A$2:$A$29,0),G218))*(1-H218)+LN(INDEX(Pop_Inputs!$B$2:$N$29,MATCH(C218,Pop_Inputs!$A$2:$A$29,0),G218+1))*H218)</f>
        <v>5091393.98893611</v>
      </c>
      <c r="J218" s="20" t="n">
        <f aca="false">I218/F218</f>
        <v>1697131.32964537</v>
      </c>
      <c r="K218" s="21" t="n">
        <f aca="false">D218/(D218+E218)</f>
        <v>0.454545454545455</v>
      </c>
      <c r="L218" s="21" t="n">
        <f aca="false">AVERAGEIFS($K$2:$K$2705,$B$2:$B$2705,B218)</f>
        <v>0.500146694443328</v>
      </c>
      <c r="M218" s="21" t="n">
        <f aca="false">K218-L218</f>
        <v>-0.0456012398978731</v>
      </c>
      <c r="N218" s="21" t="n">
        <f aca="false">LN(J218)</f>
        <v>14.3444499305239</v>
      </c>
      <c r="O218" s="21" t="n">
        <f aca="false">AVERAGEIFS($N$2:$N$2705,$B$2:$B$2705,B218)</f>
        <v>13.4379199520329</v>
      </c>
      <c r="P218" s="21" t="n">
        <f aca="false">N218-O218</f>
        <v>0.906529978491042</v>
      </c>
      <c r="Q218" s="7" t="n">
        <v>0</v>
      </c>
      <c r="R218" s="3" t="n">
        <f aca="false">IF(AND(Q218=1,B218-_xlfn.MINIFS($B$2:$B$2705,$A$2:$A$2705,A218)&lt;10),1,0)</f>
        <v>0</v>
      </c>
      <c r="S218" s="7" t="n">
        <v>1</v>
      </c>
      <c r="T218" s="3" t="n">
        <f aca="false">_xlfn.MINIFS($B$2:$B$2705,$A$2:$A$2705,A218)</f>
        <v>1903</v>
      </c>
      <c r="U218" s="3" t="n">
        <f aca="false">B218-T218</f>
        <v>11</v>
      </c>
      <c r="V218" s="3" t="str">
        <f aca="false">INDEX(Pop_Inputs!$Q$2:$Q$29,MATCH(C218,Pop_Inputs!$A$2:$A$29,0))</f>
        <v>Northeast</v>
      </c>
      <c r="W218" s="30"/>
      <c r="X218" s="3" t="str">
        <f aca="false">IF(W218="","",LN(W218))</f>
        <v/>
      </c>
      <c r="Y218" s="3" t="str">
        <f aca="false">IF(X218="","",X218-AVERAGEIFS($X$2:$X$2705,$B$2:$B$2705,B218))</f>
        <v/>
      </c>
      <c r="Z218" s="21" t="n">
        <f aca="false">P218</f>
        <v>0.906529978491042</v>
      </c>
      <c r="AA218" s="3" t="n">
        <f aca="false">R218</f>
        <v>0</v>
      </c>
      <c r="AB218" s="21" t="n">
        <f aca="false">P218</f>
        <v>0.906529978491042</v>
      </c>
      <c r="AC218" s="3" t="str">
        <f aca="false">Y218</f>
        <v/>
      </c>
      <c r="AD218" s="3" t="n">
        <f aca="false">R218</f>
        <v>0</v>
      </c>
    </row>
    <row r="219" customFormat="false" ht="15" hidden="false" customHeight="true" outlineLevel="0" collapsed="false">
      <c r="A219" s="7" t="s">
        <v>69</v>
      </c>
      <c r="B219" s="7" t="n">
        <v>1914</v>
      </c>
      <c r="C219" s="7" t="s">
        <v>146</v>
      </c>
      <c r="D219" s="7" t="n">
        <v>99</v>
      </c>
      <c r="E219" s="7" t="n">
        <v>53</v>
      </c>
      <c r="F219" s="3" t="n">
        <f aca="false">COUNTIFS($B$2:$B$2705,B219,$C$2:$C$2705,C219)</f>
        <v>2</v>
      </c>
      <c r="G219" s="3" t="n">
        <f aca="false">MIN(INT((MIN(B219,2020)-1900)/10)+1,12)</f>
        <v>2</v>
      </c>
      <c r="H219" s="3" t="n">
        <f aca="false">(MIN(B219,2020)-1900-10*(G219-1))/10</f>
        <v>0.4</v>
      </c>
      <c r="I219" s="20" t="n">
        <f aca="false">EXP(LN(INDEX(Pop_Inputs!$B$2:$N$29,MATCH(C219,Pop_Inputs!$A$2:$A$29,0),G219))*(1-H219)+LN(INDEX(Pop_Inputs!$B$2:$N$29,MATCH(C219,Pop_Inputs!$A$2:$A$29,0),G219+1))*H219)</f>
        <v>1653564.27444572</v>
      </c>
      <c r="J219" s="20" t="n">
        <f aca="false">I219/F219</f>
        <v>826782.137222862</v>
      </c>
      <c r="K219" s="21" t="n">
        <f aca="false">D219/(D219+E219)</f>
        <v>0.651315789473684</v>
      </c>
      <c r="L219" s="21" t="n">
        <f aca="false">AVERAGEIFS($K$2:$K$2705,$B$2:$B$2705,B219)</f>
        <v>0.500146694443328</v>
      </c>
      <c r="M219" s="21" t="n">
        <f aca="false">K219-L219</f>
        <v>0.151169095030357</v>
      </c>
      <c r="N219" s="21" t="n">
        <f aca="false">LN(J219)</f>
        <v>13.6252965018428</v>
      </c>
      <c r="O219" s="21" t="n">
        <f aca="false">AVERAGEIFS($N$2:$N$2705,$B$2:$B$2705,B219)</f>
        <v>13.4379199520329</v>
      </c>
      <c r="P219" s="21" t="n">
        <f aca="false">N219-O219</f>
        <v>0.187376549809994</v>
      </c>
      <c r="Q219" s="7" t="n">
        <v>0</v>
      </c>
      <c r="R219" s="3" t="n">
        <f aca="false">IF(AND(Q219=1,B219-_xlfn.MINIFS($B$2:$B$2705,$A$2:$A$2705,A219)&lt;10),1,0)</f>
        <v>0</v>
      </c>
      <c r="S219" s="7" t="n">
        <v>0</v>
      </c>
      <c r="T219" s="3" t="n">
        <f aca="false">_xlfn.MINIFS($B$2:$B$2705,$A$2:$A$2705,A219)</f>
        <v>1901</v>
      </c>
      <c r="U219" s="3" t="n">
        <f aca="false">B219-T219</f>
        <v>13</v>
      </c>
      <c r="V219" s="3" t="str">
        <f aca="false">INDEX(Pop_Inputs!$Q$2:$Q$29,MATCH(C219,Pop_Inputs!$A$2:$A$29,0))</f>
        <v>Northeast</v>
      </c>
      <c r="W219" s="30"/>
      <c r="X219" s="3" t="str">
        <f aca="false">IF(W219="","",LN(W219))</f>
        <v/>
      </c>
      <c r="Y219" s="3" t="str">
        <f aca="false">IF(X219="","",X219-AVERAGEIFS($X$2:$X$2705,$B$2:$B$2705,B219))</f>
        <v/>
      </c>
      <c r="Z219" s="21" t="n">
        <f aca="false">P219</f>
        <v>0.187376549809994</v>
      </c>
      <c r="AA219" s="3" t="n">
        <f aca="false">R219</f>
        <v>0</v>
      </c>
      <c r="AB219" s="21" t="n">
        <f aca="false">P219</f>
        <v>0.187376549809994</v>
      </c>
      <c r="AC219" s="3" t="str">
        <f aca="false">Y219</f>
        <v/>
      </c>
      <c r="AD219" s="3" t="n">
        <f aca="false">R219</f>
        <v>0</v>
      </c>
    </row>
    <row r="220" customFormat="false" ht="15" hidden="false" customHeight="true" outlineLevel="0" collapsed="false">
      <c r="A220" s="7" t="s">
        <v>60</v>
      </c>
      <c r="B220" s="7" t="n">
        <v>1914</v>
      </c>
      <c r="C220" s="7" t="s">
        <v>146</v>
      </c>
      <c r="D220" s="7" t="n">
        <v>74</v>
      </c>
      <c r="E220" s="7" t="n">
        <v>80</v>
      </c>
      <c r="F220" s="3" t="n">
        <f aca="false">COUNTIFS($B$2:$B$2705,B220,$C$2:$C$2705,C220)</f>
        <v>2</v>
      </c>
      <c r="G220" s="3" t="n">
        <f aca="false">MIN(INT((MIN(B220,2020)-1900)/10)+1,12)</f>
        <v>2</v>
      </c>
      <c r="H220" s="3" t="n">
        <f aca="false">(MIN(B220,2020)-1900-10*(G220-1))/10</f>
        <v>0.4</v>
      </c>
      <c r="I220" s="20" t="n">
        <f aca="false">EXP(LN(INDEX(Pop_Inputs!$B$2:$N$29,MATCH(C220,Pop_Inputs!$A$2:$A$29,0),G220))*(1-H220)+LN(INDEX(Pop_Inputs!$B$2:$N$29,MATCH(C220,Pop_Inputs!$A$2:$A$29,0),G220+1))*H220)</f>
        <v>1653564.27444572</v>
      </c>
      <c r="J220" s="20" t="n">
        <f aca="false">I220/F220</f>
        <v>826782.137222862</v>
      </c>
      <c r="K220" s="21" t="n">
        <f aca="false">D220/(D220+E220)</f>
        <v>0.480519480519481</v>
      </c>
      <c r="L220" s="21" t="n">
        <f aca="false">AVERAGEIFS($K$2:$K$2705,$B$2:$B$2705,B220)</f>
        <v>0.500146694443328</v>
      </c>
      <c r="M220" s="21" t="n">
        <f aca="false">K220-L220</f>
        <v>-0.0196272139238471</v>
      </c>
      <c r="N220" s="21" t="n">
        <f aca="false">LN(J220)</f>
        <v>13.6252965018428</v>
      </c>
      <c r="O220" s="21" t="n">
        <f aca="false">AVERAGEIFS($N$2:$N$2705,$B$2:$B$2705,B220)</f>
        <v>13.4379199520329</v>
      </c>
      <c r="P220" s="21" t="n">
        <f aca="false">N220-O220</f>
        <v>0.187376549809994</v>
      </c>
      <c r="Q220" s="7" t="n">
        <v>0</v>
      </c>
      <c r="R220" s="3" t="n">
        <f aca="false">IF(AND(Q220=1,B220-_xlfn.MINIFS($B$2:$B$2705,$A$2:$A$2705,A220)&lt;10),1,0)</f>
        <v>0</v>
      </c>
      <c r="S220" s="7" t="n">
        <v>0</v>
      </c>
      <c r="T220" s="3" t="n">
        <f aca="false">_xlfn.MINIFS($B$2:$B$2705,$A$2:$A$2705,A220)</f>
        <v>1901</v>
      </c>
      <c r="U220" s="3" t="n">
        <f aca="false">B220-T220</f>
        <v>13</v>
      </c>
      <c r="V220" s="3" t="str">
        <f aca="false">INDEX(Pop_Inputs!$Q$2:$Q$29,MATCH(C220,Pop_Inputs!$A$2:$A$29,0))</f>
        <v>Northeast</v>
      </c>
      <c r="W220" s="30"/>
      <c r="X220" s="3" t="str">
        <f aca="false">IF(W220="","",LN(W220))</f>
        <v/>
      </c>
      <c r="Y220" s="3" t="str">
        <f aca="false">IF(X220="","",X220-AVERAGEIFS($X$2:$X$2705,$B$2:$B$2705,B220))</f>
        <v/>
      </c>
      <c r="Z220" s="21" t="n">
        <f aca="false">P220</f>
        <v>0.187376549809994</v>
      </c>
      <c r="AA220" s="3" t="n">
        <f aca="false">R220</f>
        <v>0</v>
      </c>
      <c r="AB220" s="21" t="n">
        <f aca="false">P220</f>
        <v>0.187376549809994</v>
      </c>
      <c r="AC220" s="3" t="str">
        <f aca="false">Y220</f>
        <v/>
      </c>
      <c r="AD220" s="3" t="n">
        <f aca="false">R220</f>
        <v>0</v>
      </c>
    </row>
    <row r="221" customFormat="false" ht="15" hidden="false" customHeight="true" outlineLevel="0" collapsed="false">
      <c r="A221" s="7" t="s">
        <v>58</v>
      </c>
      <c r="B221" s="7" t="n">
        <v>1914</v>
      </c>
      <c r="C221" s="7" t="s">
        <v>144</v>
      </c>
      <c r="D221" s="7" t="n">
        <v>69</v>
      </c>
      <c r="E221" s="7" t="n">
        <v>85</v>
      </c>
      <c r="F221" s="3" t="n">
        <f aca="false">COUNTIFS($B$2:$B$2705,B221,$C$2:$C$2705,C221)</f>
        <v>1</v>
      </c>
      <c r="G221" s="3" t="n">
        <f aca="false">MIN(INT((MIN(B221,2020)-1900)/10)+1,12)</f>
        <v>2</v>
      </c>
      <c r="H221" s="3" t="n">
        <f aca="false">(MIN(B221,2020)-1900-10*(G221-1))/10</f>
        <v>0.4</v>
      </c>
      <c r="I221" s="20" t="n">
        <f aca="false">EXP(LN(INDEX(Pop_Inputs!$B$2:$N$29,MATCH(C221,Pop_Inputs!$A$2:$A$29,0),G221))*(1-H221)+LN(INDEX(Pop_Inputs!$B$2:$N$29,MATCH(C221,Pop_Inputs!$A$2:$A$29,0),G221+1))*H221)</f>
        <v>555048.111163724</v>
      </c>
      <c r="J221" s="20" t="n">
        <f aca="false">I221/F221</f>
        <v>555048.111163724</v>
      </c>
      <c r="K221" s="21" t="n">
        <f aca="false">D221/(D221+E221)</f>
        <v>0.448051948051948</v>
      </c>
      <c r="L221" s="21" t="n">
        <f aca="false">AVERAGEIFS($K$2:$K$2705,$B$2:$B$2705,B221)</f>
        <v>0.500146694443328</v>
      </c>
      <c r="M221" s="21" t="n">
        <f aca="false">K221-L221</f>
        <v>-0.0520947463913796</v>
      </c>
      <c r="N221" s="21" t="n">
        <f aca="false">LN(J221)</f>
        <v>13.226810075753</v>
      </c>
      <c r="O221" s="21" t="n">
        <f aca="false">AVERAGEIFS($N$2:$N$2705,$B$2:$B$2705,B221)</f>
        <v>13.4379199520329</v>
      </c>
      <c r="P221" s="21" t="n">
        <f aca="false">N221-O221</f>
        <v>-0.211109876279878</v>
      </c>
      <c r="Q221" s="7" t="n">
        <v>0</v>
      </c>
      <c r="R221" s="3" t="n">
        <f aca="false">IF(AND(Q221=1,B221-_xlfn.MINIFS($B$2:$B$2705,$A$2:$A$2705,A221)&lt;10),1,0)</f>
        <v>0</v>
      </c>
      <c r="S221" s="7" t="n">
        <v>0</v>
      </c>
      <c r="T221" s="3" t="n">
        <f aca="false">_xlfn.MINIFS($B$2:$B$2705,$A$2:$A$2705,A221)</f>
        <v>1901</v>
      </c>
      <c r="U221" s="3" t="n">
        <f aca="false">B221-T221</f>
        <v>13</v>
      </c>
      <c r="V221" s="3" t="str">
        <f aca="false">INDEX(Pop_Inputs!$Q$2:$Q$29,MATCH(C221,Pop_Inputs!$A$2:$A$29,0))</f>
        <v>Northeast</v>
      </c>
      <c r="W221" s="30"/>
      <c r="X221" s="3" t="str">
        <f aca="false">IF(W221="","",LN(W221))</f>
        <v/>
      </c>
      <c r="Y221" s="3" t="str">
        <f aca="false">IF(X221="","",X221-AVERAGEIFS($X$2:$X$2705,$B$2:$B$2705,B221))</f>
        <v/>
      </c>
      <c r="Z221" s="21" t="n">
        <f aca="false">P221</f>
        <v>-0.211109876279878</v>
      </c>
      <c r="AA221" s="3" t="n">
        <f aca="false">R221</f>
        <v>0</v>
      </c>
      <c r="AB221" s="21" t="n">
        <f aca="false">P221</f>
        <v>-0.211109876279878</v>
      </c>
      <c r="AC221" s="3" t="str">
        <f aca="false">Y221</f>
        <v/>
      </c>
      <c r="AD221" s="3" t="n">
        <f aca="false">R221</f>
        <v>0</v>
      </c>
    </row>
    <row r="222" customFormat="false" ht="15" hidden="false" customHeight="true" outlineLevel="0" collapsed="false">
      <c r="A222" s="7" t="s">
        <v>61</v>
      </c>
      <c r="B222" s="7" t="n">
        <v>1914</v>
      </c>
      <c r="C222" s="7" t="s">
        <v>154</v>
      </c>
      <c r="D222" s="7" t="n">
        <v>84</v>
      </c>
      <c r="E222" s="7" t="n">
        <v>70</v>
      </c>
      <c r="F222" s="3" t="n">
        <f aca="false">COUNTIFS($B$2:$B$2705,B222,$C$2:$C$2705,C222)</f>
        <v>3</v>
      </c>
      <c r="G222" s="3" t="n">
        <f aca="false">MIN(INT((MIN(B222,2020)-1900)/10)+1,12)</f>
        <v>2</v>
      </c>
      <c r="H222" s="3" t="n">
        <f aca="false">(MIN(B222,2020)-1900-10*(G222-1))/10</f>
        <v>0.4</v>
      </c>
      <c r="I222" s="20" t="n">
        <f aca="false">EXP(LN(INDEX(Pop_Inputs!$B$2:$N$29,MATCH(C222,Pop_Inputs!$A$2:$A$29,0),G222))*(1-H222)+LN(INDEX(Pop_Inputs!$B$2:$N$29,MATCH(C222,Pop_Inputs!$A$2:$A$29,0),G222+1))*H222)</f>
        <v>5091393.98893611</v>
      </c>
      <c r="J222" s="20" t="n">
        <f aca="false">I222/F222</f>
        <v>1697131.32964537</v>
      </c>
      <c r="K222" s="21" t="n">
        <f aca="false">D222/(D222+E222)</f>
        <v>0.545454545454545</v>
      </c>
      <c r="L222" s="21" t="n">
        <f aca="false">AVERAGEIFS($K$2:$K$2705,$B$2:$B$2705,B222)</f>
        <v>0.500146694443328</v>
      </c>
      <c r="M222" s="21" t="n">
        <f aca="false">K222-L222</f>
        <v>0.0453078510112178</v>
      </c>
      <c r="N222" s="21" t="n">
        <f aca="false">LN(J222)</f>
        <v>14.3444499305239</v>
      </c>
      <c r="O222" s="21" t="n">
        <f aca="false">AVERAGEIFS($N$2:$N$2705,$B$2:$B$2705,B222)</f>
        <v>13.4379199520329</v>
      </c>
      <c r="P222" s="21" t="n">
        <f aca="false">N222-O222</f>
        <v>0.906529978491042</v>
      </c>
      <c r="Q222" s="7" t="n">
        <v>0</v>
      </c>
      <c r="R222" s="3" t="n">
        <f aca="false">IF(AND(Q222=1,B222-_xlfn.MINIFS($B$2:$B$2705,$A$2:$A$2705,A222)&lt;10),1,0)</f>
        <v>0</v>
      </c>
      <c r="S222" s="7" t="n">
        <v>0</v>
      </c>
      <c r="T222" s="3" t="n">
        <f aca="false">_xlfn.MINIFS($B$2:$B$2705,$A$2:$A$2705,A222)</f>
        <v>1901</v>
      </c>
      <c r="U222" s="3" t="n">
        <f aca="false">B222-T222</f>
        <v>13</v>
      </c>
      <c r="V222" s="3" t="str">
        <f aca="false">INDEX(Pop_Inputs!$Q$2:$Q$29,MATCH(C222,Pop_Inputs!$A$2:$A$29,0))</f>
        <v>Northeast</v>
      </c>
      <c r="W222" s="30"/>
      <c r="X222" s="3" t="str">
        <f aca="false">IF(W222="","",LN(W222))</f>
        <v/>
      </c>
      <c r="Y222" s="3" t="str">
        <f aca="false">IF(X222="","",X222-AVERAGEIFS($X$2:$X$2705,$B$2:$B$2705,B222))</f>
        <v/>
      </c>
      <c r="Z222" s="21" t="n">
        <f aca="false">P222</f>
        <v>0.906529978491042</v>
      </c>
      <c r="AA222" s="3" t="n">
        <f aca="false">R222</f>
        <v>0</v>
      </c>
      <c r="AB222" s="21" t="n">
        <f aca="false">P222</f>
        <v>0.906529978491042</v>
      </c>
      <c r="AC222" s="3" t="str">
        <f aca="false">Y222</f>
        <v/>
      </c>
      <c r="AD222" s="3" t="n">
        <f aca="false">R222</f>
        <v>0</v>
      </c>
    </row>
    <row r="223" customFormat="false" ht="15" hidden="false" customHeight="true" outlineLevel="0" collapsed="false">
      <c r="A223" s="7" t="s">
        <v>59</v>
      </c>
      <c r="B223" s="7" t="n">
        <v>1914</v>
      </c>
      <c r="C223" s="7" t="s">
        <v>145</v>
      </c>
      <c r="D223" s="7" t="n">
        <v>81</v>
      </c>
      <c r="E223" s="7" t="n">
        <v>72</v>
      </c>
      <c r="F223" s="3" t="n">
        <f aca="false">COUNTIFS($B$2:$B$2705,B223,$C$2:$C$2705,C223)</f>
        <v>2</v>
      </c>
      <c r="G223" s="3" t="n">
        <f aca="false">MIN(INT((MIN(B223,2020)-1900)/10)+1,12)</f>
        <v>2</v>
      </c>
      <c r="H223" s="3" t="n">
        <f aca="false">(MIN(B223,2020)-1900-10*(G223-1))/10</f>
        <v>0.4</v>
      </c>
      <c r="I223" s="20" t="n">
        <f aca="false">EXP(LN(INDEX(Pop_Inputs!$B$2:$N$29,MATCH(C223,Pop_Inputs!$A$2:$A$29,0),G223))*(1-H223)+LN(INDEX(Pop_Inputs!$B$2:$N$29,MATCH(C223,Pop_Inputs!$A$2:$A$29,0),G223+1))*H223)</f>
        <v>720167.784837107</v>
      </c>
      <c r="J223" s="20" t="n">
        <f aca="false">I223/F223</f>
        <v>360083.892418554</v>
      </c>
      <c r="K223" s="21" t="n">
        <f aca="false">D223/(D223+E223)</f>
        <v>0.529411764705882</v>
      </c>
      <c r="L223" s="21" t="n">
        <f aca="false">AVERAGEIFS($K$2:$K$2705,$B$2:$B$2705,B223)</f>
        <v>0.500146694443328</v>
      </c>
      <c r="M223" s="21" t="n">
        <f aca="false">K223-L223</f>
        <v>0.0292650702625548</v>
      </c>
      <c r="N223" s="21" t="n">
        <f aca="false">LN(J223)</f>
        <v>12.79409231778</v>
      </c>
      <c r="O223" s="21" t="n">
        <f aca="false">AVERAGEIFS($N$2:$N$2705,$B$2:$B$2705,B223)</f>
        <v>13.4379199520329</v>
      </c>
      <c r="P223" s="21" t="n">
        <f aca="false">N223-O223</f>
        <v>-0.643827634252897</v>
      </c>
      <c r="Q223" s="7" t="n">
        <v>0</v>
      </c>
      <c r="R223" s="3" t="n">
        <f aca="false">IF(AND(Q223=1,B223-_xlfn.MINIFS($B$2:$B$2705,$A$2:$A$2705,A223)&lt;10),1,0)</f>
        <v>0</v>
      </c>
      <c r="S223" s="7" t="n">
        <v>0</v>
      </c>
      <c r="T223" s="3" t="n">
        <f aca="false">_xlfn.MINIFS($B$2:$B$2705,$A$2:$A$2705,A223)</f>
        <v>1901</v>
      </c>
      <c r="U223" s="3" t="n">
        <f aca="false">B223-T223</f>
        <v>13</v>
      </c>
      <c r="V223" s="3" t="str">
        <f aca="false">INDEX(Pop_Inputs!$Q$2:$Q$29,MATCH(C223,Pop_Inputs!$A$2:$A$29,0))</f>
        <v>Midwest</v>
      </c>
      <c r="W223" s="30"/>
      <c r="X223" s="3" t="str">
        <f aca="false">IF(W223="","",LN(W223))</f>
        <v/>
      </c>
      <c r="Y223" s="3" t="str">
        <f aca="false">IF(X223="","",X223-AVERAGEIFS($X$2:$X$2705,$B$2:$B$2705,B223))</f>
        <v/>
      </c>
      <c r="Z223" s="21" t="n">
        <f aca="false">P223</f>
        <v>-0.643827634252897</v>
      </c>
      <c r="AA223" s="3" t="n">
        <f aca="false">R223</f>
        <v>0</v>
      </c>
      <c r="AB223" s="21" t="n">
        <f aca="false">P223</f>
        <v>-0.643827634252897</v>
      </c>
      <c r="AC223" s="3" t="str">
        <f aca="false">Y223</f>
        <v/>
      </c>
      <c r="AD223" s="3" t="n">
        <f aca="false">R223</f>
        <v>0</v>
      </c>
    </row>
    <row r="224" customFormat="false" ht="15" hidden="false" customHeight="true" outlineLevel="0" collapsed="false">
      <c r="A224" s="7" t="s">
        <v>54</v>
      </c>
      <c r="B224" s="7" t="n">
        <v>1915</v>
      </c>
      <c r="C224" s="7" t="s">
        <v>150</v>
      </c>
      <c r="D224" s="7" t="n">
        <v>83</v>
      </c>
      <c r="E224" s="7" t="n">
        <v>69</v>
      </c>
      <c r="F224" s="3" t="n">
        <f aca="false">COUNTIFS($B$2:$B$2705,B224,$C$2:$C$2705,C224)</f>
        <v>2</v>
      </c>
      <c r="G224" s="3" t="n">
        <f aca="false">MIN(INT((MIN(B224,2020)-1900)/10)+1,12)</f>
        <v>2</v>
      </c>
      <c r="H224" s="3" t="n">
        <f aca="false">(MIN(B224,2020)-1900-10*(G224-1))/10</f>
        <v>0.5</v>
      </c>
      <c r="I224" s="20" t="n">
        <f aca="false">EXP(LN(INDEX(Pop_Inputs!$B$2:$N$29,MATCH(C224,Pop_Inputs!$A$2:$A$29,0),G224))*(1-H224)+LN(INDEX(Pop_Inputs!$B$2:$N$29,MATCH(C224,Pop_Inputs!$A$2:$A$29,0),G224+1))*H224)</f>
        <v>708263.944515037</v>
      </c>
      <c r="J224" s="20" t="n">
        <f aca="false">I224/F224</f>
        <v>354131.972257518</v>
      </c>
      <c r="K224" s="21" t="n">
        <f aca="false">D224/(D224+E224)</f>
        <v>0.546052631578947</v>
      </c>
      <c r="L224" s="21" t="n">
        <f aca="false">AVERAGEIFS($K$2:$K$2705,$B$2:$B$2705,B224)</f>
        <v>0.499987993833686</v>
      </c>
      <c r="M224" s="21" t="n">
        <f aca="false">K224-L224</f>
        <v>0.0460646377452615</v>
      </c>
      <c r="N224" s="21" t="n">
        <f aca="false">LN(J224)</f>
        <v>12.7774249256295</v>
      </c>
      <c r="O224" s="21" t="n">
        <f aca="false">AVERAGEIFS($N$2:$N$2705,$B$2:$B$2705,B224)</f>
        <v>13.4584376464447</v>
      </c>
      <c r="P224" s="21" t="n">
        <f aca="false">N224-O224</f>
        <v>-0.681012720815216</v>
      </c>
      <c r="Q224" s="7" t="n">
        <v>0</v>
      </c>
      <c r="R224" s="3" t="n">
        <f aca="false">IF(AND(Q224=1,B224-_xlfn.MINIFS($B$2:$B$2705,$A$2:$A$2705,A224)&lt;10),1,0)</f>
        <v>0</v>
      </c>
      <c r="S224" s="7" t="n">
        <v>0</v>
      </c>
      <c r="T224" s="3" t="n">
        <f aca="false">_xlfn.MINIFS($B$2:$B$2705,$A$2:$A$2705,A224)</f>
        <v>1901</v>
      </c>
      <c r="U224" s="3" t="n">
        <f aca="false">B224-T224</f>
        <v>14</v>
      </c>
      <c r="V224" s="3" t="str">
        <f aca="false">INDEX(Pop_Inputs!$Q$2:$Q$29,MATCH(C224,Pop_Inputs!$A$2:$A$29,0))</f>
        <v>Northeast</v>
      </c>
      <c r="W224" s="30"/>
      <c r="X224" s="3" t="str">
        <f aca="false">IF(W224="","",LN(W224))</f>
        <v/>
      </c>
      <c r="Y224" s="3" t="str">
        <f aca="false">IF(X224="","",X224-AVERAGEIFS($X$2:$X$2705,$B$2:$B$2705,B224))</f>
        <v/>
      </c>
      <c r="Z224" s="21" t="n">
        <f aca="false">P224</f>
        <v>-0.681012720815216</v>
      </c>
      <c r="AA224" s="3" t="n">
        <f aca="false">R224</f>
        <v>0</v>
      </c>
      <c r="AB224" s="21" t="n">
        <f aca="false">P224</f>
        <v>-0.681012720815216</v>
      </c>
      <c r="AC224" s="3" t="str">
        <f aca="false">Y224</f>
        <v/>
      </c>
      <c r="AD224" s="3" t="n">
        <f aca="false">R224</f>
        <v>0</v>
      </c>
    </row>
    <row r="225" customFormat="false" ht="15" hidden="false" customHeight="true" outlineLevel="0" collapsed="false">
      <c r="A225" s="7" t="s">
        <v>63</v>
      </c>
      <c r="B225" s="7" t="n">
        <v>1915</v>
      </c>
      <c r="C225" s="7" t="s">
        <v>145</v>
      </c>
      <c r="D225" s="7" t="n">
        <v>63</v>
      </c>
      <c r="E225" s="7" t="n">
        <v>91</v>
      </c>
      <c r="F225" s="3" t="n">
        <f aca="false">COUNTIFS($B$2:$B$2705,B225,$C$2:$C$2705,C225)</f>
        <v>2</v>
      </c>
      <c r="G225" s="3" t="n">
        <f aca="false">MIN(INT((MIN(B225,2020)-1900)/10)+1,12)</f>
        <v>2</v>
      </c>
      <c r="H225" s="3" t="n">
        <f aca="false">(MIN(B225,2020)-1900-10*(G225-1))/10</f>
        <v>0.5</v>
      </c>
      <c r="I225" s="20" t="n">
        <f aca="false">EXP(LN(INDEX(Pop_Inputs!$B$2:$N$29,MATCH(C225,Pop_Inputs!$A$2:$A$29,0),G225))*(1-H225)+LN(INDEX(Pop_Inputs!$B$2:$N$29,MATCH(C225,Pop_Inputs!$A$2:$A$29,0),G225+1))*H225)</f>
        <v>728699.288467472</v>
      </c>
      <c r="J225" s="20" t="n">
        <f aca="false">I225/F225</f>
        <v>364349.644233736</v>
      </c>
      <c r="K225" s="21" t="n">
        <f aca="false">D225/(D225+E225)</f>
        <v>0.409090909090909</v>
      </c>
      <c r="L225" s="21" t="n">
        <f aca="false">AVERAGEIFS($K$2:$K$2705,$B$2:$B$2705,B225)</f>
        <v>0.499987993833686</v>
      </c>
      <c r="M225" s="21" t="n">
        <f aca="false">K225-L225</f>
        <v>-0.0908970847427768</v>
      </c>
      <c r="N225" s="21" t="n">
        <f aca="false">LN(J225)</f>
        <v>12.805869246657</v>
      </c>
      <c r="O225" s="21" t="n">
        <f aca="false">AVERAGEIFS($N$2:$N$2705,$B$2:$B$2705,B225)</f>
        <v>13.4584376464447</v>
      </c>
      <c r="P225" s="21" t="n">
        <f aca="false">N225-O225</f>
        <v>-0.652568399787709</v>
      </c>
      <c r="Q225" s="7" t="n">
        <v>0</v>
      </c>
      <c r="R225" s="3" t="n">
        <f aca="false">IF(AND(Q225=1,B225-_xlfn.MINIFS($B$2:$B$2705,$A$2:$A$2705,A225)&lt;10),1,0)</f>
        <v>0</v>
      </c>
      <c r="S225" s="7" t="n">
        <v>0</v>
      </c>
      <c r="T225" s="3" t="n">
        <f aca="false">_xlfn.MINIFS($B$2:$B$2705,$A$2:$A$2705,A225)</f>
        <v>1901</v>
      </c>
      <c r="U225" s="3" t="n">
        <f aca="false">B225-T225</f>
        <v>14</v>
      </c>
      <c r="V225" s="3" t="str">
        <f aca="false">INDEX(Pop_Inputs!$Q$2:$Q$29,MATCH(C225,Pop_Inputs!$A$2:$A$29,0))</f>
        <v>Midwest</v>
      </c>
      <c r="W225" s="30"/>
      <c r="X225" s="3" t="str">
        <f aca="false">IF(W225="","",LN(W225))</f>
        <v/>
      </c>
      <c r="Y225" s="3" t="str">
        <f aca="false">IF(X225="","",X225-AVERAGEIFS($X$2:$X$2705,$B$2:$B$2705,B225))</f>
        <v/>
      </c>
      <c r="Z225" s="21" t="n">
        <f aca="false">P225</f>
        <v>-0.652568399787709</v>
      </c>
      <c r="AA225" s="3" t="n">
        <f aca="false">R225</f>
        <v>0</v>
      </c>
      <c r="AB225" s="21" t="n">
        <f aca="false">P225</f>
        <v>-0.652568399787709</v>
      </c>
      <c r="AC225" s="3" t="str">
        <f aca="false">Y225</f>
        <v/>
      </c>
      <c r="AD225" s="3" t="n">
        <f aca="false">R225</f>
        <v>0</v>
      </c>
    </row>
    <row r="226" customFormat="false" ht="15" hidden="false" customHeight="true" outlineLevel="0" collapsed="false">
      <c r="A226" s="7" t="s">
        <v>64</v>
      </c>
      <c r="B226" s="7" t="n">
        <v>1915</v>
      </c>
      <c r="C226" s="7" t="s">
        <v>150</v>
      </c>
      <c r="D226" s="7" t="n">
        <v>101</v>
      </c>
      <c r="E226" s="7" t="n">
        <v>50</v>
      </c>
      <c r="F226" s="3" t="n">
        <f aca="false">COUNTIFS($B$2:$B$2705,B226,$C$2:$C$2705,C226)</f>
        <v>2</v>
      </c>
      <c r="G226" s="3" t="n">
        <f aca="false">MIN(INT((MIN(B226,2020)-1900)/10)+1,12)</f>
        <v>2</v>
      </c>
      <c r="H226" s="3" t="n">
        <f aca="false">(MIN(B226,2020)-1900-10*(G226-1))/10</f>
        <v>0.5</v>
      </c>
      <c r="I226" s="20" t="n">
        <f aca="false">EXP(LN(INDEX(Pop_Inputs!$B$2:$N$29,MATCH(C226,Pop_Inputs!$A$2:$A$29,0),G226))*(1-H226)+LN(INDEX(Pop_Inputs!$B$2:$N$29,MATCH(C226,Pop_Inputs!$A$2:$A$29,0),G226+1))*H226)</f>
        <v>708263.944515037</v>
      </c>
      <c r="J226" s="20" t="n">
        <f aca="false">I226/F226</f>
        <v>354131.972257518</v>
      </c>
      <c r="K226" s="21" t="n">
        <f aca="false">D226/(D226+E226)</f>
        <v>0.66887417218543</v>
      </c>
      <c r="L226" s="21" t="n">
        <f aca="false">AVERAGEIFS($K$2:$K$2705,$B$2:$B$2705,B226)</f>
        <v>0.499987993833686</v>
      </c>
      <c r="M226" s="21" t="n">
        <f aca="false">K226-L226</f>
        <v>0.168886178351745</v>
      </c>
      <c r="N226" s="21" t="n">
        <f aca="false">LN(J226)</f>
        <v>12.7774249256295</v>
      </c>
      <c r="O226" s="21" t="n">
        <f aca="false">AVERAGEIFS($N$2:$N$2705,$B$2:$B$2705,B226)</f>
        <v>13.4584376464447</v>
      </c>
      <c r="P226" s="21" t="n">
        <f aca="false">N226-O226</f>
        <v>-0.681012720815216</v>
      </c>
      <c r="Q226" s="7" t="n">
        <v>0</v>
      </c>
      <c r="R226" s="3" t="n">
        <f aca="false">IF(AND(Q226=1,B226-_xlfn.MINIFS($B$2:$B$2705,$A$2:$A$2705,A226)&lt;10),1,0)</f>
        <v>0</v>
      </c>
      <c r="S226" s="7" t="n">
        <v>0</v>
      </c>
      <c r="T226" s="3" t="n">
        <f aca="false">_xlfn.MINIFS($B$2:$B$2705,$A$2:$A$2705,A226)</f>
        <v>1901</v>
      </c>
      <c r="U226" s="3" t="n">
        <f aca="false">B226-T226</f>
        <v>14</v>
      </c>
      <c r="V226" s="3" t="str">
        <f aca="false">INDEX(Pop_Inputs!$Q$2:$Q$29,MATCH(C226,Pop_Inputs!$A$2:$A$29,0))</f>
        <v>Northeast</v>
      </c>
      <c r="W226" s="30"/>
      <c r="X226" s="3" t="str">
        <f aca="false">IF(W226="","",LN(W226))</f>
        <v/>
      </c>
      <c r="Y226" s="3" t="str">
        <f aca="false">IF(X226="","",X226-AVERAGEIFS($X$2:$X$2705,$B$2:$B$2705,B226))</f>
        <v/>
      </c>
      <c r="Z226" s="21" t="n">
        <f aca="false">P226</f>
        <v>-0.681012720815216</v>
      </c>
      <c r="AA226" s="3" t="n">
        <f aca="false">R226</f>
        <v>0</v>
      </c>
      <c r="AB226" s="21" t="n">
        <f aca="false">P226</f>
        <v>-0.681012720815216</v>
      </c>
      <c r="AC226" s="3" t="str">
        <f aca="false">Y226</f>
        <v/>
      </c>
      <c r="AD226" s="3" t="n">
        <f aca="false">R226</f>
        <v>0</v>
      </c>
    </row>
    <row r="227" customFormat="false" ht="15" hidden="false" customHeight="true" outlineLevel="0" collapsed="false">
      <c r="A227" s="7" t="s">
        <v>56</v>
      </c>
      <c r="B227" s="7" t="n">
        <v>1915</v>
      </c>
      <c r="C227" s="7" t="s">
        <v>142</v>
      </c>
      <c r="D227" s="7" t="n">
        <v>73</v>
      </c>
      <c r="E227" s="7" t="n">
        <v>80</v>
      </c>
      <c r="F227" s="3" t="n">
        <f aca="false">COUNTIFS($B$2:$B$2705,B227,$C$2:$C$2705,C227)</f>
        <v>2</v>
      </c>
      <c r="G227" s="3" t="n">
        <f aca="false">MIN(INT((MIN(B227,2020)-1900)/10)+1,12)</f>
        <v>2</v>
      </c>
      <c r="H227" s="3" t="n">
        <f aca="false">(MIN(B227,2020)-1900-10*(G227-1))/10</f>
        <v>0.5</v>
      </c>
      <c r="I227" s="20" t="n">
        <f aca="false">EXP(LN(INDEX(Pop_Inputs!$B$2:$N$29,MATCH(C227,Pop_Inputs!$A$2:$A$29,0),G227))*(1-H227)+LN(INDEX(Pop_Inputs!$B$2:$N$29,MATCH(C227,Pop_Inputs!$A$2:$A$29,0),G227+1))*H227)</f>
        <v>2429812.75153354</v>
      </c>
      <c r="J227" s="20" t="n">
        <f aca="false">I227/F227</f>
        <v>1214906.37576677</v>
      </c>
      <c r="K227" s="21" t="n">
        <f aca="false">D227/(D227+E227)</f>
        <v>0.477124183006536</v>
      </c>
      <c r="L227" s="21" t="n">
        <f aca="false">AVERAGEIFS($K$2:$K$2705,$B$2:$B$2705,B227)</f>
        <v>0.499987993833686</v>
      </c>
      <c r="M227" s="21" t="n">
        <f aca="false">K227-L227</f>
        <v>-0.0228638108271499</v>
      </c>
      <c r="N227" s="21" t="n">
        <f aca="false">LN(J227)</f>
        <v>14.0101775748057</v>
      </c>
      <c r="O227" s="21" t="n">
        <f aca="false">AVERAGEIFS($N$2:$N$2705,$B$2:$B$2705,B227)</f>
        <v>13.4584376464447</v>
      </c>
      <c r="P227" s="21" t="n">
        <f aca="false">N227-O227</f>
        <v>0.551739928360961</v>
      </c>
      <c r="Q227" s="7" t="n">
        <v>0</v>
      </c>
      <c r="R227" s="3" t="n">
        <f aca="false">IF(AND(Q227=1,B227-_xlfn.MINIFS($B$2:$B$2705,$A$2:$A$2705,A227)&lt;10),1,0)</f>
        <v>0</v>
      </c>
      <c r="S227" s="7" t="n">
        <v>0</v>
      </c>
      <c r="T227" s="3" t="n">
        <f aca="false">_xlfn.MINIFS($B$2:$B$2705,$A$2:$A$2705,A227)</f>
        <v>1901</v>
      </c>
      <c r="U227" s="3" t="n">
        <f aca="false">B227-T227</f>
        <v>14</v>
      </c>
      <c r="V227" s="3" t="str">
        <f aca="false">INDEX(Pop_Inputs!$Q$2:$Q$29,MATCH(C227,Pop_Inputs!$A$2:$A$29,0))</f>
        <v>Midwest</v>
      </c>
      <c r="W227" s="30"/>
      <c r="X227" s="3" t="str">
        <f aca="false">IF(W227="","",LN(W227))</f>
        <v/>
      </c>
      <c r="Y227" s="3" t="str">
        <f aca="false">IF(X227="","",X227-AVERAGEIFS($X$2:$X$2705,$B$2:$B$2705,B227))</f>
        <v/>
      </c>
      <c r="Z227" s="21" t="n">
        <f aca="false">P227</f>
        <v>0.551739928360961</v>
      </c>
      <c r="AA227" s="3" t="n">
        <f aca="false">R227</f>
        <v>0</v>
      </c>
      <c r="AB227" s="21" t="n">
        <f aca="false">P227</f>
        <v>0.551739928360961</v>
      </c>
      <c r="AC227" s="3" t="str">
        <f aca="false">Y227</f>
        <v/>
      </c>
      <c r="AD227" s="3" t="n">
        <f aca="false">R227</f>
        <v>0</v>
      </c>
    </row>
    <row r="228" customFormat="false" ht="15" hidden="false" customHeight="true" outlineLevel="0" collapsed="false">
      <c r="A228" s="7" t="s">
        <v>65</v>
      </c>
      <c r="B228" s="7" t="n">
        <v>1915</v>
      </c>
      <c r="C228" s="7" t="s">
        <v>142</v>
      </c>
      <c r="D228" s="7" t="n">
        <v>93</v>
      </c>
      <c r="E228" s="7" t="n">
        <v>61</v>
      </c>
      <c r="F228" s="3" t="n">
        <f aca="false">COUNTIFS($B$2:$B$2705,B228,$C$2:$C$2705,C228)</f>
        <v>2</v>
      </c>
      <c r="G228" s="3" t="n">
        <f aca="false">MIN(INT((MIN(B228,2020)-1900)/10)+1,12)</f>
        <v>2</v>
      </c>
      <c r="H228" s="3" t="n">
        <f aca="false">(MIN(B228,2020)-1900-10*(G228-1))/10</f>
        <v>0.5</v>
      </c>
      <c r="I228" s="20" t="n">
        <f aca="false">EXP(LN(INDEX(Pop_Inputs!$B$2:$N$29,MATCH(C228,Pop_Inputs!$A$2:$A$29,0),G228))*(1-H228)+LN(INDEX(Pop_Inputs!$B$2:$N$29,MATCH(C228,Pop_Inputs!$A$2:$A$29,0),G228+1))*H228)</f>
        <v>2429812.75153354</v>
      </c>
      <c r="J228" s="20" t="n">
        <f aca="false">I228/F228</f>
        <v>1214906.37576677</v>
      </c>
      <c r="K228" s="21" t="n">
        <f aca="false">D228/(D228+E228)</f>
        <v>0.603896103896104</v>
      </c>
      <c r="L228" s="21" t="n">
        <f aca="false">AVERAGEIFS($K$2:$K$2705,$B$2:$B$2705,B228)</f>
        <v>0.499987993833686</v>
      </c>
      <c r="M228" s="21" t="n">
        <f aca="false">K228-L228</f>
        <v>0.103908110062418</v>
      </c>
      <c r="N228" s="21" t="n">
        <f aca="false">LN(J228)</f>
        <v>14.0101775748057</v>
      </c>
      <c r="O228" s="21" t="n">
        <f aca="false">AVERAGEIFS($N$2:$N$2705,$B$2:$B$2705,B228)</f>
        <v>13.4584376464447</v>
      </c>
      <c r="P228" s="21" t="n">
        <f aca="false">N228-O228</f>
        <v>0.551739928360961</v>
      </c>
      <c r="Q228" s="7" t="n">
        <v>0</v>
      </c>
      <c r="R228" s="3" t="n">
        <f aca="false">IF(AND(Q228=1,B228-_xlfn.MINIFS($B$2:$B$2705,$A$2:$A$2705,A228)&lt;10),1,0)</f>
        <v>0</v>
      </c>
      <c r="S228" s="7" t="n">
        <v>0</v>
      </c>
      <c r="T228" s="3" t="n">
        <f aca="false">_xlfn.MINIFS($B$2:$B$2705,$A$2:$A$2705,A228)</f>
        <v>1901</v>
      </c>
      <c r="U228" s="3" t="n">
        <f aca="false">B228-T228</f>
        <v>14</v>
      </c>
      <c r="V228" s="3" t="str">
        <f aca="false">INDEX(Pop_Inputs!$Q$2:$Q$29,MATCH(C228,Pop_Inputs!$A$2:$A$29,0))</f>
        <v>Midwest</v>
      </c>
      <c r="W228" s="30"/>
      <c r="X228" s="3" t="str">
        <f aca="false">IF(W228="","",LN(W228))</f>
        <v/>
      </c>
      <c r="Y228" s="3" t="str">
        <f aca="false">IF(X228="","",X228-AVERAGEIFS($X$2:$X$2705,$B$2:$B$2705,B228))</f>
        <v/>
      </c>
      <c r="Z228" s="21" t="n">
        <f aca="false">P228</f>
        <v>0.551739928360961</v>
      </c>
      <c r="AA228" s="3" t="n">
        <f aca="false">R228</f>
        <v>0</v>
      </c>
      <c r="AB228" s="21" t="n">
        <f aca="false">P228</f>
        <v>0.551739928360961</v>
      </c>
      <c r="AC228" s="3" t="str">
        <f aca="false">Y228</f>
        <v/>
      </c>
      <c r="AD228" s="3" t="n">
        <f aca="false">R228</f>
        <v>0</v>
      </c>
    </row>
    <row r="229" customFormat="false" ht="15" hidden="false" customHeight="true" outlineLevel="0" collapsed="false">
      <c r="A229" s="7" t="s">
        <v>57</v>
      </c>
      <c r="B229" s="7" t="n">
        <v>1915</v>
      </c>
      <c r="C229" s="7" t="s">
        <v>143</v>
      </c>
      <c r="D229" s="7" t="n">
        <v>71</v>
      </c>
      <c r="E229" s="7" t="n">
        <v>83</v>
      </c>
      <c r="F229" s="3" t="n">
        <f aca="false">COUNTIFS($B$2:$B$2705,B229,$C$2:$C$2705,C229)</f>
        <v>1</v>
      </c>
      <c r="G229" s="3" t="n">
        <f aca="false">MIN(INT((MIN(B229,2020)-1900)/10)+1,12)</f>
        <v>2</v>
      </c>
      <c r="H229" s="3" t="n">
        <f aca="false">(MIN(B229,2020)-1900-10*(G229-1))/10</f>
        <v>0.5</v>
      </c>
      <c r="I229" s="20" t="n">
        <f aca="false">EXP(LN(INDEX(Pop_Inputs!$B$2:$N$29,MATCH(C229,Pop_Inputs!$A$2:$A$29,0),G229))*(1-H229)+LN(INDEX(Pop_Inputs!$B$2:$N$29,MATCH(C229,Pop_Inputs!$A$2:$A$29,0),G229+1))*H229)</f>
        <v>381955.230330729</v>
      </c>
      <c r="J229" s="20" t="n">
        <f aca="false">I229/F229</f>
        <v>381955.230330729</v>
      </c>
      <c r="K229" s="21" t="n">
        <f aca="false">D229/(D229+E229)</f>
        <v>0.461038961038961</v>
      </c>
      <c r="L229" s="21" t="n">
        <f aca="false">AVERAGEIFS($K$2:$K$2705,$B$2:$B$2705,B229)</f>
        <v>0.499987993833686</v>
      </c>
      <c r="M229" s="21" t="n">
        <f aca="false">K229-L229</f>
        <v>-0.0389490327947248</v>
      </c>
      <c r="N229" s="21" t="n">
        <f aca="false">LN(J229)</f>
        <v>12.8530586826334</v>
      </c>
      <c r="O229" s="21" t="n">
        <f aca="false">AVERAGEIFS($N$2:$N$2705,$B$2:$B$2705,B229)</f>
        <v>13.4584376464447</v>
      </c>
      <c r="P229" s="21" t="n">
        <f aca="false">N229-O229</f>
        <v>-0.605378963811319</v>
      </c>
      <c r="Q229" s="7" t="n">
        <v>0</v>
      </c>
      <c r="R229" s="3" t="n">
        <f aca="false">IF(AND(Q229=1,B229-_xlfn.MINIFS($B$2:$B$2705,$A$2:$A$2705,A229)&lt;10),1,0)</f>
        <v>0</v>
      </c>
      <c r="S229" s="7" t="n">
        <v>0</v>
      </c>
      <c r="T229" s="3" t="n">
        <f aca="false">_xlfn.MINIFS($B$2:$B$2705,$A$2:$A$2705,A229)</f>
        <v>1901</v>
      </c>
      <c r="U229" s="3" t="n">
        <f aca="false">B229-T229</f>
        <v>14</v>
      </c>
      <c r="V229" s="3" t="str">
        <f aca="false">INDEX(Pop_Inputs!$Q$2:$Q$29,MATCH(C229,Pop_Inputs!$A$2:$A$29,0))</f>
        <v>Midwest</v>
      </c>
      <c r="W229" s="30"/>
      <c r="X229" s="3" t="str">
        <f aca="false">IF(W229="","",LN(W229))</f>
        <v/>
      </c>
      <c r="Y229" s="3" t="str">
        <f aca="false">IF(X229="","",X229-AVERAGEIFS($X$2:$X$2705,$B$2:$B$2705,B229))</f>
        <v/>
      </c>
      <c r="Z229" s="21" t="n">
        <f aca="false">P229</f>
        <v>-0.605378963811319</v>
      </c>
      <c r="AA229" s="3" t="n">
        <f aca="false">R229</f>
        <v>0</v>
      </c>
      <c r="AB229" s="21" t="n">
        <f aca="false">P229</f>
        <v>-0.605378963811319</v>
      </c>
      <c r="AC229" s="3" t="str">
        <f aca="false">Y229</f>
        <v/>
      </c>
      <c r="AD229" s="3" t="n">
        <f aca="false">R229</f>
        <v>0</v>
      </c>
    </row>
    <row r="230" customFormat="false" ht="15" hidden="false" customHeight="true" outlineLevel="0" collapsed="false">
      <c r="A230" s="7" t="s">
        <v>66</v>
      </c>
      <c r="B230" s="7" t="n">
        <v>1915</v>
      </c>
      <c r="C230" s="7" t="s">
        <v>151</v>
      </c>
      <c r="D230" s="7" t="n">
        <v>57</v>
      </c>
      <c r="E230" s="7" t="n">
        <v>95</v>
      </c>
      <c r="F230" s="3" t="n">
        <f aca="false">COUNTIFS($B$2:$B$2705,B230,$C$2:$C$2705,C230)</f>
        <v>1</v>
      </c>
      <c r="G230" s="3" t="n">
        <f aca="false">MIN(INT((MIN(B230,2020)-1900)/10)+1,12)</f>
        <v>2</v>
      </c>
      <c r="H230" s="3" t="n">
        <f aca="false">(MIN(B230,2020)-1900-10*(G230-1))/10</f>
        <v>0.5</v>
      </c>
      <c r="I230" s="20" t="n">
        <f aca="false">EXP(LN(INDEX(Pop_Inputs!$B$2:$N$29,MATCH(C230,Pop_Inputs!$A$2:$A$29,0),G230))*(1-H230)+LN(INDEX(Pop_Inputs!$B$2:$N$29,MATCH(C230,Pop_Inputs!$A$2:$A$29,0),G230+1))*H230)</f>
        <v>668400.527814724</v>
      </c>
      <c r="J230" s="20" t="n">
        <f aca="false">I230/F230</f>
        <v>668400.527814724</v>
      </c>
      <c r="K230" s="21" t="n">
        <f aca="false">D230/(D230+E230)</f>
        <v>0.375</v>
      </c>
      <c r="L230" s="21" t="n">
        <f aca="false">AVERAGEIFS($K$2:$K$2705,$B$2:$B$2705,B230)</f>
        <v>0.499987993833686</v>
      </c>
      <c r="M230" s="21" t="n">
        <f aca="false">K230-L230</f>
        <v>-0.124987993833686</v>
      </c>
      <c r="N230" s="21" t="n">
        <f aca="false">LN(J230)</f>
        <v>13.412642865372</v>
      </c>
      <c r="O230" s="21" t="n">
        <f aca="false">AVERAGEIFS($N$2:$N$2705,$B$2:$B$2705,B230)</f>
        <v>13.4584376464447</v>
      </c>
      <c r="P230" s="21" t="n">
        <f aca="false">N230-O230</f>
        <v>-0.04579478107269</v>
      </c>
      <c r="Q230" s="7" t="n">
        <v>0</v>
      </c>
      <c r="R230" s="3" t="n">
        <f aca="false">IF(AND(Q230=1,B230-_xlfn.MINIFS($B$2:$B$2705,$A$2:$A$2705,A230)&lt;10),1,0)</f>
        <v>0</v>
      </c>
      <c r="S230" s="7" t="n">
        <v>0</v>
      </c>
      <c r="T230" s="3" t="n">
        <f aca="false">_xlfn.MINIFS($B$2:$B$2705,$A$2:$A$2705,A230)</f>
        <v>1901</v>
      </c>
      <c r="U230" s="3" t="n">
        <f aca="false">B230-T230</f>
        <v>14</v>
      </c>
      <c r="V230" s="3" t="str">
        <f aca="false">INDEX(Pop_Inputs!$Q$2:$Q$29,MATCH(C230,Pop_Inputs!$A$2:$A$29,0))</f>
        <v>Midwest</v>
      </c>
      <c r="W230" s="30"/>
      <c r="X230" s="3" t="str">
        <f aca="false">IF(W230="","",LN(W230))</f>
        <v/>
      </c>
      <c r="Y230" s="3" t="str">
        <f aca="false">IF(X230="","",X230-AVERAGEIFS($X$2:$X$2705,$B$2:$B$2705,B230))</f>
        <v/>
      </c>
      <c r="Z230" s="21" t="n">
        <f aca="false">P230</f>
        <v>-0.04579478107269</v>
      </c>
      <c r="AA230" s="3" t="n">
        <f aca="false">R230</f>
        <v>0</v>
      </c>
      <c r="AB230" s="21" t="n">
        <f aca="false">P230</f>
        <v>-0.04579478107269</v>
      </c>
      <c r="AC230" s="3" t="str">
        <f aca="false">Y230</f>
        <v/>
      </c>
      <c r="AD230" s="3" t="n">
        <f aca="false">R230</f>
        <v>0</v>
      </c>
    </row>
    <row r="231" customFormat="false" ht="15" hidden="false" customHeight="true" outlineLevel="0" collapsed="false">
      <c r="A231" s="7" t="s">
        <v>67</v>
      </c>
      <c r="B231" s="7" t="n">
        <v>1915</v>
      </c>
      <c r="C231" s="7" t="s">
        <v>152</v>
      </c>
      <c r="D231" s="7" t="n">
        <v>100</v>
      </c>
      <c r="E231" s="7" t="n">
        <v>54</v>
      </c>
      <c r="F231" s="3" t="n">
        <f aca="false">COUNTIFS($B$2:$B$2705,B231,$C$2:$C$2705,C231)</f>
        <v>1</v>
      </c>
      <c r="G231" s="3" t="n">
        <f aca="false">MIN(INT((MIN(B231,2020)-1900)/10)+1,12)</f>
        <v>2</v>
      </c>
      <c r="H231" s="3" t="n">
        <f aca="false">(MIN(B231,2020)-1900-10*(G231-1))/10</f>
        <v>0.5</v>
      </c>
      <c r="I231" s="20" t="n">
        <f aca="false">EXP(LN(INDEX(Pop_Inputs!$B$2:$N$29,MATCH(C231,Pop_Inputs!$A$2:$A$29,0),G231))*(1-H231)+LN(INDEX(Pop_Inputs!$B$2:$N$29,MATCH(C231,Pop_Inputs!$A$2:$A$29,0),G231+1))*H231)</f>
        <v>680309.802478253</v>
      </c>
      <c r="J231" s="20" t="n">
        <f aca="false">I231/F231</f>
        <v>680309.802478253</v>
      </c>
      <c r="K231" s="21" t="n">
        <f aca="false">D231/(D231+E231)</f>
        <v>0.649350649350649</v>
      </c>
      <c r="L231" s="21" t="n">
        <f aca="false">AVERAGEIFS($K$2:$K$2705,$B$2:$B$2705,B231)</f>
        <v>0.499987993833686</v>
      </c>
      <c r="M231" s="21" t="n">
        <f aca="false">K231-L231</f>
        <v>0.149362655516963</v>
      </c>
      <c r="N231" s="21" t="n">
        <f aca="false">LN(J231)</f>
        <v>13.4303035652816</v>
      </c>
      <c r="O231" s="21" t="n">
        <f aca="false">AVERAGEIFS($N$2:$N$2705,$B$2:$B$2705,B231)</f>
        <v>13.4584376464447</v>
      </c>
      <c r="P231" s="21" t="n">
        <f aca="false">N231-O231</f>
        <v>-0.0281340811630972</v>
      </c>
      <c r="Q231" s="7" t="n">
        <v>0</v>
      </c>
      <c r="R231" s="3" t="n">
        <f aca="false">IF(AND(Q231=1,B231-_xlfn.MINIFS($B$2:$B$2705,$A$2:$A$2705,A231)&lt;10),1,0)</f>
        <v>0</v>
      </c>
      <c r="S231" s="7" t="n">
        <v>0</v>
      </c>
      <c r="T231" s="3" t="n">
        <f aca="false">_xlfn.MINIFS($B$2:$B$2705,$A$2:$A$2705,A231)</f>
        <v>1901</v>
      </c>
      <c r="U231" s="3" t="n">
        <f aca="false">B231-T231</f>
        <v>14</v>
      </c>
      <c r="V231" s="3" t="str">
        <f aca="false">INDEX(Pop_Inputs!$Q$2:$Q$29,MATCH(C231,Pop_Inputs!$A$2:$A$29,0))</f>
        <v>Midwest</v>
      </c>
      <c r="W231" s="30"/>
      <c r="X231" s="3" t="str">
        <f aca="false">IF(W231="","",LN(W231))</f>
        <v/>
      </c>
      <c r="Y231" s="3" t="str">
        <f aca="false">IF(X231="","",X231-AVERAGEIFS($X$2:$X$2705,$B$2:$B$2705,B231))</f>
        <v/>
      </c>
      <c r="Z231" s="21" t="n">
        <f aca="false">P231</f>
        <v>-0.0281340811630972</v>
      </c>
      <c r="AA231" s="3" t="n">
        <f aca="false">R231</f>
        <v>0</v>
      </c>
      <c r="AB231" s="21" t="n">
        <f aca="false">P231</f>
        <v>-0.0281340811630972</v>
      </c>
      <c r="AC231" s="3" t="str">
        <f aca="false">Y231</f>
        <v/>
      </c>
      <c r="AD231" s="3" t="n">
        <f aca="false">R231</f>
        <v>0</v>
      </c>
    </row>
    <row r="232" customFormat="false" ht="15" hidden="false" customHeight="true" outlineLevel="0" collapsed="false">
      <c r="A232" s="7" t="s">
        <v>62</v>
      </c>
      <c r="B232" s="7" t="n">
        <v>1915</v>
      </c>
      <c r="C232" s="7" t="s">
        <v>154</v>
      </c>
      <c r="D232" s="7" t="n">
        <v>80</v>
      </c>
      <c r="E232" s="7" t="n">
        <v>72</v>
      </c>
      <c r="F232" s="3" t="n">
        <f aca="false">COUNTIFS($B$2:$B$2705,B232,$C$2:$C$2705,C232)</f>
        <v>3</v>
      </c>
      <c r="G232" s="3" t="n">
        <f aca="false">MIN(INT((MIN(B232,2020)-1900)/10)+1,12)</f>
        <v>2</v>
      </c>
      <c r="H232" s="3" t="n">
        <f aca="false">(MIN(B232,2020)-1900-10*(G232-1))/10</f>
        <v>0.5</v>
      </c>
      <c r="I232" s="20" t="n">
        <f aca="false">EXP(LN(INDEX(Pop_Inputs!$B$2:$N$29,MATCH(C232,Pop_Inputs!$A$2:$A$29,0),G232))*(1-H232)+LN(INDEX(Pop_Inputs!$B$2:$N$29,MATCH(C232,Pop_Inputs!$A$2:$A$29,0),G232+1))*H232)</f>
        <v>5175916.46671234</v>
      </c>
      <c r="J232" s="20" t="n">
        <f aca="false">I232/F232</f>
        <v>1725305.48890411</v>
      </c>
      <c r="K232" s="21" t="n">
        <f aca="false">D232/(D232+E232)</f>
        <v>0.526315789473684</v>
      </c>
      <c r="L232" s="21" t="n">
        <f aca="false">AVERAGEIFS($K$2:$K$2705,$B$2:$B$2705,B232)</f>
        <v>0.499987993833686</v>
      </c>
      <c r="M232" s="21" t="n">
        <f aca="false">K232-L232</f>
        <v>0.0263277956399983</v>
      </c>
      <c r="N232" s="21" t="n">
        <f aca="false">LN(J232)</f>
        <v>14.360914687785</v>
      </c>
      <c r="O232" s="21" t="n">
        <f aca="false">AVERAGEIFS($N$2:$N$2705,$B$2:$B$2705,B232)</f>
        <v>13.4584376464447</v>
      </c>
      <c r="P232" s="21" t="n">
        <f aca="false">N232-O232</f>
        <v>0.902477041340303</v>
      </c>
      <c r="Q232" s="7" t="n">
        <v>0</v>
      </c>
      <c r="R232" s="3" t="n">
        <f aca="false">IF(AND(Q232=1,B232-_xlfn.MINIFS($B$2:$B$2705,$A$2:$A$2705,A232)&lt;10),1,0)</f>
        <v>0</v>
      </c>
      <c r="S232" s="7" t="n">
        <v>0</v>
      </c>
      <c r="T232" s="3" t="n">
        <f aca="false">_xlfn.MINIFS($B$2:$B$2705,$A$2:$A$2705,A232)</f>
        <v>1901</v>
      </c>
      <c r="U232" s="3" t="n">
        <f aca="false">B232-T232</f>
        <v>14</v>
      </c>
      <c r="V232" s="3" t="str">
        <f aca="false">INDEX(Pop_Inputs!$Q$2:$Q$29,MATCH(C232,Pop_Inputs!$A$2:$A$29,0))</f>
        <v>Northeast</v>
      </c>
      <c r="W232" s="30"/>
      <c r="X232" s="3" t="str">
        <f aca="false">IF(W232="","",LN(W232))</f>
        <v/>
      </c>
      <c r="Y232" s="3" t="str">
        <f aca="false">IF(X232="","",X232-AVERAGEIFS($X$2:$X$2705,$B$2:$B$2705,B232))</f>
        <v/>
      </c>
      <c r="Z232" s="21" t="n">
        <f aca="false">P232</f>
        <v>0.902477041340303</v>
      </c>
      <c r="AA232" s="3" t="n">
        <f aca="false">R232</f>
        <v>0</v>
      </c>
      <c r="AB232" s="21" t="n">
        <f aca="false">P232</f>
        <v>0.902477041340303</v>
      </c>
      <c r="AC232" s="3" t="str">
        <f aca="false">Y232</f>
        <v/>
      </c>
      <c r="AD232" s="3" t="n">
        <f aca="false">R232</f>
        <v>0</v>
      </c>
    </row>
    <row r="233" customFormat="false" ht="15" hidden="false" customHeight="true" outlineLevel="0" collapsed="false">
      <c r="A233" s="7" t="s">
        <v>68</v>
      </c>
      <c r="B233" s="7" t="n">
        <v>1915</v>
      </c>
      <c r="C233" s="7" t="s">
        <v>160</v>
      </c>
      <c r="D233" s="7" t="n">
        <v>85</v>
      </c>
      <c r="E233" s="7" t="n">
        <v>68</v>
      </c>
      <c r="F233" s="3" t="n">
        <f aca="false">COUNTIFS($B$2:$B$2705,B233,$C$2:$C$2705,C233)</f>
        <v>1</v>
      </c>
      <c r="G233" s="3" t="n">
        <f aca="false">MIN(INT((MIN(B233,2020)-1900)/10)+1,12)</f>
        <v>2</v>
      </c>
      <c r="H233" s="3" t="n">
        <f aca="false">(MIN(B233,2020)-1900-10*(G233-1))/10</f>
        <v>0.5</v>
      </c>
      <c r="I233" s="20" t="n">
        <f aca="false">EXP(LN(INDEX(Pop_Inputs!$B$2:$N$29,MATCH(C233,Pop_Inputs!$A$2:$A$29,0),G233))*(1-H233)+LN(INDEX(Pop_Inputs!$B$2:$N$29,MATCH(C233,Pop_Inputs!$A$2:$A$29,0),G233+1))*H233)</f>
        <v>380612.918066373</v>
      </c>
      <c r="J233" s="20" t="n">
        <f aca="false">I233/F233</f>
        <v>380612.918066373</v>
      </c>
      <c r="K233" s="21" t="n">
        <f aca="false">D233/(D233+E233)</f>
        <v>0.555555555555556</v>
      </c>
      <c r="L233" s="21" t="n">
        <f aca="false">AVERAGEIFS($K$2:$K$2705,$B$2:$B$2705,B233)</f>
        <v>0.499987993833686</v>
      </c>
      <c r="M233" s="21" t="n">
        <f aca="false">K233-L233</f>
        <v>0.0555675617218697</v>
      </c>
      <c r="N233" s="21" t="n">
        <f aca="false">LN(J233)</f>
        <v>12.8495381745881</v>
      </c>
      <c r="O233" s="21" t="n">
        <f aca="false">AVERAGEIFS($N$2:$N$2705,$B$2:$B$2705,B233)</f>
        <v>13.4584376464447</v>
      </c>
      <c r="P233" s="21" t="n">
        <f aca="false">N233-O233</f>
        <v>-0.608899471856557</v>
      </c>
      <c r="Q233" s="7" t="n">
        <v>0</v>
      </c>
      <c r="R233" s="3" t="n">
        <f aca="false">IF(AND(Q233=1,B233-_xlfn.MINIFS($B$2:$B$2705,$A$2:$A$2705,A233)&lt;10),1,0)</f>
        <v>0</v>
      </c>
      <c r="S233" s="7" t="n">
        <v>0</v>
      </c>
      <c r="T233" s="3" t="n">
        <f aca="false">_xlfn.MINIFS($B$2:$B$2705,$A$2:$A$2705,A233)</f>
        <v>1901</v>
      </c>
      <c r="U233" s="3" t="n">
        <f aca="false">B233-T233</f>
        <v>14</v>
      </c>
      <c r="V233" s="3" t="str">
        <f aca="false">INDEX(Pop_Inputs!$Q$2:$Q$29,MATCH(C233,Pop_Inputs!$A$2:$A$29,0))</f>
        <v>South</v>
      </c>
      <c r="W233" s="30"/>
      <c r="X233" s="3" t="str">
        <f aca="false">IF(W233="","",LN(W233))</f>
        <v/>
      </c>
      <c r="Y233" s="3" t="str">
        <f aca="false">IF(X233="","",X233-AVERAGEIFS($X$2:$X$2705,$B$2:$B$2705,B233))</f>
        <v/>
      </c>
      <c r="Z233" s="21" t="n">
        <f aca="false">P233</f>
        <v>-0.608899471856557</v>
      </c>
      <c r="AA233" s="3" t="n">
        <f aca="false">R233</f>
        <v>0</v>
      </c>
      <c r="AB233" s="21" t="n">
        <f aca="false">P233</f>
        <v>-0.608899471856557</v>
      </c>
      <c r="AC233" s="3" t="str">
        <f aca="false">Y233</f>
        <v/>
      </c>
      <c r="AD233" s="3" t="n">
        <f aca="false">R233</f>
        <v>0</v>
      </c>
    </row>
    <row r="234" customFormat="false" ht="15" hidden="false" customHeight="true" outlineLevel="0" collapsed="false">
      <c r="A234" s="7" t="s">
        <v>70</v>
      </c>
      <c r="B234" s="7" t="n">
        <v>1915</v>
      </c>
      <c r="C234" s="7" t="s">
        <v>154</v>
      </c>
      <c r="D234" s="7" t="n">
        <v>69</v>
      </c>
      <c r="E234" s="7" t="n">
        <v>83</v>
      </c>
      <c r="F234" s="3" t="n">
        <f aca="false">COUNTIFS($B$2:$B$2705,B234,$C$2:$C$2705,C234)</f>
        <v>3</v>
      </c>
      <c r="G234" s="3" t="n">
        <f aca="false">MIN(INT((MIN(B234,2020)-1900)/10)+1,12)</f>
        <v>2</v>
      </c>
      <c r="H234" s="3" t="n">
        <f aca="false">(MIN(B234,2020)-1900-10*(G234-1))/10</f>
        <v>0.5</v>
      </c>
      <c r="I234" s="20" t="n">
        <f aca="false">EXP(LN(INDEX(Pop_Inputs!$B$2:$N$29,MATCH(C234,Pop_Inputs!$A$2:$A$29,0),G234))*(1-H234)+LN(INDEX(Pop_Inputs!$B$2:$N$29,MATCH(C234,Pop_Inputs!$A$2:$A$29,0),G234+1))*H234)</f>
        <v>5175916.46671234</v>
      </c>
      <c r="J234" s="20" t="n">
        <f aca="false">I234/F234</f>
        <v>1725305.48890411</v>
      </c>
      <c r="K234" s="21" t="n">
        <f aca="false">D234/(D234+E234)</f>
        <v>0.453947368421053</v>
      </c>
      <c r="L234" s="21" t="n">
        <f aca="false">AVERAGEIFS($K$2:$K$2705,$B$2:$B$2705,B234)</f>
        <v>0.499987993833686</v>
      </c>
      <c r="M234" s="21" t="n">
        <f aca="false">K234-L234</f>
        <v>-0.0460406254126332</v>
      </c>
      <c r="N234" s="21" t="n">
        <f aca="false">LN(J234)</f>
        <v>14.360914687785</v>
      </c>
      <c r="O234" s="21" t="n">
        <f aca="false">AVERAGEIFS($N$2:$N$2705,$B$2:$B$2705,B234)</f>
        <v>13.4584376464447</v>
      </c>
      <c r="P234" s="21" t="n">
        <f aca="false">N234-O234</f>
        <v>0.902477041340303</v>
      </c>
      <c r="Q234" s="7" t="n">
        <v>0</v>
      </c>
      <c r="R234" s="3" t="n">
        <f aca="false">IF(AND(Q234=1,B234-_xlfn.MINIFS($B$2:$B$2705,$A$2:$A$2705,A234)&lt;10),1,0)</f>
        <v>0</v>
      </c>
      <c r="S234" s="7" t="n">
        <v>1</v>
      </c>
      <c r="T234" s="3" t="n">
        <f aca="false">_xlfn.MINIFS($B$2:$B$2705,$A$2:$A$2705,A234)</f>
        <v>1903</v>
      </c>
      <c r="U234" s="3" t="n">
        <f aca="false">B234-T234</f>
        <v>12</v>
      </c>
      <c r="V234" s="3" t="str">
        <f aca="false">INDEX(Pop_Inputs!$Q$2:$Q$29,MATCH(C234,Pop_Inputs!$A$2:$A$29,0))</f>
        <v>Northeast</v>
      </c>
      <c r="W234" s="30"/>
      <c r="X234" s="3" t="str">
        <f aca="false">IF(W234="","",LN(W234))</f>
        <v/>
      </c>
      <c r="Y234" s="3" t="str">
        <f aca="false">IF(X234="","",X234-AVERAGEIFS($X$2:$X$2705,$B$2:$B$2705,B234))</f>
        <v/>
      </c>
      <c r="Z234" s="21" t="n">
        <f aca="false">P234</f>
        <v>0.902477041340303</v>
      </c>
      <c r="AA234" s="3" t="n">
        <f aca="false">R234</f>
        <v>0</v>
      </c>
      <c r="AB234" s="21" t="n">
        <f aca="false">P234</f>
        <v>0.902477041340303</v>
      </c>
      <c r="AC234" s="3" t="str">
        <f aca="false">Y234</f>
        <v/>
      </c>
      <c r="AD234" s="3" t="n">
        <f aca="false">R234</f>
        <v>0</v>
      </c>
    </row>
    <row r="235" customFormat="false" ht="15" hidden="false" customHeight="true" outlineLevel="0" collapsed="false">
      <c r="A235" s="7" t="s">
        <v>69</v>
      </c>
      <c r="B235" s="7" t="n">
        <v>1915</v>
      </c>
      <c r="C235" s="7" t="s">
        <v>146</v>
      </c>
      <c r="D235" s="7" t="n">
        <v>43</v>
      </c>
      <c r="E235" s="7" t="n">
        <v>109</v>
      </c>
      <c r="F235" s="3" t="n">
        <f aca="false">COUNTIFS($B$2:$B$2705,B235,$C$2:$C$2705,C235)</f>
        <v>2</v>
      </c>
      <c r="G235" s="3" t="n">
        <f aca="false">MIN(INT((MIN(B235,2020)-1900)/10)+1,12)</f>
        <v>2</v>
      </c>
      <c r="H235" s="3" t="n">
        <f aca="false">(MIN(B235,2020)-1900-10*(G235-1))/10</f>
        <v>0.5</v>
      </c>
      <c r="I235" s="20" t="n">
        <f aca="false">EXP(LN(INDEX(Pop_Inputs!$B$2:$N$29,MATCH(C235,Pop_Inputs!$A$2:$A$29,0),G235))*(1-H235)+LN(INDEX(Pop_Inputs!$B$2:$N$29,MATCH(C235,Pop_Inputs!$A$2:$A$29,0),G235+1))*H235)</f>
        <v>1680787.98818649</v>
      </c>
      <c r="J235" s="20" t="n">
        <f aca="false">I235/F235</f>
        <v>840393.994093246</v>
      </c>
      <c r="K235" s="21" t="n">
        <f aca="false">D235/(D235+E235)</f>
        <v>0.282894736842105</v>
      </c>
      <c r="L235" s="21" t="n">
        <f aca="false">AVERAGEIFS($K$2:$K$2705,$B$2:$B$2705,B235)</f>
        <v>0.499987993833686</v>
      </c>
      <c r="M235" s="21" t="n">
        <f aca="false">K235-L235</f>
        <v>-0.217093256991581</v>
      </c>
      <c r="N235" s="21" t="n">
        <f aca="false">LN(J235)</f>
        <v>13.6416261014415</v>
      </c>
      <c r="O235" s="21" t="n">
        <f aca="false">AVERAGEIFS($N$2:$N$2705,$B$2:$B$2705,B235)</f>
        <v>13.4584376464447</v>
      </c>
      <c r="P235" s="21" t="n">
        <f aca="false">N235-O235</f>
        <v>0.183188454996841</v>
      </c>
      <c r="Q235" s="7" t="n">
        <v>0</v>
      </c>
      <c r="R235" s="3" t="n">
        <f aca="false">IF(AND(Q235=1,B235-_xlfn.MINIFS($B$2:$B$2705,$A$2:$A$2705,A235)&lt;10),1,0)</f>
        <v>0</v>
      </c>
      <c r="S235" s="7" t="n">
        <v>0</v>
      </c>
      <c r="T235" s="3" t="n">
        <f aca="false">_xlfn.MINIFS($B$2:$B$2705,$A$2:$A$2705,A235)</f>
        <v>1901</v>
      </c>
      <c r="U235" s="3" t="n">
        <f aca="false">B235-T235</f>
        <v>14</v>
      </c>
      <c r="V235" s="3" t="str">
        <f aca="false">INDEX(Pop_Inputs!$Q$2:$Q$29,MATCH(C235,Pop_Inputs!$A$2:$A$29,0))</f>
        <v>Northeast</v>
      </c>
      <c r="W235" s="30"/>
      <c r="X235" s="3" t="str">
        <f aca="false">IF(W235="","",LN(W235))</f>
        <v/>
      </c>
      <c r="Y235" s="3" t="str">
        <f aca="false">IF(X235="","",X235-AVERAGEIFS($X$2:$X$2705,$B$2:$B$2705,B235))</f>
        <v/>
      </c>
      <c r="Z235" s="21" t="n">
        <f aca="false">P235</f>
        <v>0.183188454996841</v>
      </c>
      <c r="AA235" s="3" t="n">
        <f aca="false">R235</f>
        <v>0</v>
      </c>
      <c r="AB235" s="21" t="n">
        <f aca="false">P235</f>
        <v>0.183188454996841</v>
      </c>
      <c r="AC235" s="3" t="str">
        <f aca="false">Y235</f>
        <v/>
      </c>
      <c r="AD235" s="3" t="n">
        <f aca="false">R235</f>
        <v>0</v>
      </c>
    </row>
    <row r="236" customFormat="false" ht="15" hidden="false" customHeight="true" outlineLevel="0" collapsed="false">
      <c r="A236" s="7" t="s">
        <v>60</v>
      </c>
      <c r="B236" s="7" t="n">
        <v>1915</v>
      </c>
      <c r="C236" s="7" t="s">
        <v>146</v>
      </c>
      <c r="D236" s="7" t="n">
        <v>90</v>
      </c>
      <c r="E236" s="7" t="n">
        <v>62</v>
      </c>
      <c r="F236" s="3" t="n">
        <f aca="false">COUNTIFS($B$2:$B$2705,B236,$C$2:$C$2705,C236)</f>
        <v>2</v>
      </c>
      <c r="G236" s="3" t="n">
        <f aca="false">MIN(INT((MIN(B236,2020)-1900)/10)+1,12)</f>
        <v>2</v>
      </c>
      <c r="H236" s="3" t="n">
        <f aca="false">(MIN(B236,2020)-1900-10*(G236-1))/10</f>
        <v>0.5</v>
      </c>
      <c r="I236" s="20" t="n">
        <f aca="false">EXP(LN(INDEX(Pop_Inputs!$B$2:$N$29,MATCH(C236,Pop_Inputs!$A$2:$A$29,0),G236))*(1-H236)+LN(INDEX(Pop_Inputs!$B$2:$N$29,MATCH(C236,Pop_Inputs!$A$2:$A$29,0),G236+1))*H236)</f>
        <v>1680787.98818649</v>
      </c>
      <c r="J236" s="20" t="n">
        <f aca="false">I236/F236</f>
        <v>840393.994093246</v>
      </c>
      <c r="K236" s="21" t="n">
        <f aca="false">D236/(D236+E236)</f>
        <v>0.592105263157895</v>
      </c>
      <c r="L236" s="21" t="n">
        <f aca="false">AVERAGEIFS($K$2:$K$2705,$B$2:$B$2705,B236)</f>
        <v>0.499987993833686</v>
      </c>
      <c r="M236" s="21" t="n">
        <f aca="false">K236-L236</f>
        <v>0.0921172693242088</v>
      </c>
      <c r="N236" s="21" t="n">
        <f aca="false">LN(J236)</f>
        <v>13.6416261014415</v>
      </c>
      <c r="O236" s="21" t="n">
        <f aca="false">AVERAGEIFS($N$2:$N$2705,$B$2:$B$2705,B236)</f>
        <v>13.4584376464447</v>
      </c>
      <c r="P236" s="21" t="n">
        <f aca="false">N236-O236</f>
        <v>0.183188454996841</v>
      </c>
      <c r="Q236" s="7" t="n">
        <v>0</v>
      </c>
      <c r="R236" s="3" t="n">
        <f aca="false">IF(AND(Q236=1,B236-_xlfn.MINIFS($B$2:$B$2705,$A$2:$A$2705,A236)&lt;10),1,0)</f>
        <v>0</v>
      </c>
      <c r="S236" s="7" t="n">
        <v>0</v>
      </c>
      <c r="T236" s="3" t="n">
        <f aca="false">_xlfn.MINIFS($B$2:$B$2705,$A$2:$A$2705,A236)</f>
        <v>1901</v>
      </c>
      <c r="U236" s="3" t="n">
        <f aca="false">B236-T236</f>
        <v>14</v>
      </c>
      <c r="V236" s="3" t="str">
        <f aca="false">INDEX(Pop_Inputs!$Q$2:$Q$29,MATCH(C236,Pop_Inputs!$A$2:$A$29,0))</f>
        <v>Northeast</v>
      </c>
      <c r="W236" s="30"/>
      <c r="X236" s="3" t="str">
        <f aca="false">IF(W236="","",LN(W236))</f>
        <v/>
      </c>
      <c r="Y236" s="3" t="str">
        <f aca="false">IF(X236="","",X236-AVERAGEIFS($X$2:$X$2705,$B$2:$B$2705,B236))</f>
        <v/>
      </c>
      <c r="Z236" s="21" t="n">
        <f aca="false">P236</f>
        <v>0.183188454996841</v>
      </c>
      <c r="AA236" s="3" t="n">
        <f aca="false">R236</f>
        <v>0</v>
      </c>
      <c r="AB236" s="21" t="n">
        <f aca="false">P236</f>
        <v>0.183188454996841</v>
      </c>
      <c r="AC236" s="3" t="str">
        <f aca="false">Y236</f>
        <v/>
      </c>
      <c r="AD236" s="3" t="n">
        <f aca="false">R236</f>
        <v>0</v>
      </c>
    </row>
    <row r="237" customFormat="false" ht="15" hidden="false" customHeight="true" outlineLevel="0" collapsed="false">
      <c r="A237" s="7" t="s">
        <v>58</v>
      </c>
      <c r="B237" s="7" t="n">
        <v>1915</v>
      </c>
      <c r="C237" s="7" t="s">
        <v>144</v>
      </c>
      <c r="D237" s="7" t="n">
        <v>73</v>
      </c>
      <c r="E237" s="7" t="n">
        <v>81</v>
      </c>
      <c r="F237" s="3" t="n">
        <f aca="false">COUNTIFS($B$2:$B$2705,B237,$C$2:$C$2705,C237)</f>
        <v>1</v>
      </c>
      <c r="G237" s="3" t="n">
        <f aca="false">MIN(INT((MIN(B237,2020)-1900)/10)+1,12)</f>
        <v>2</v>
      </c>
      <c r="H237" s="3" t="n">
        <f aca="false">(MIN(B237,2020)-1900-10*(G237-1))/10</f>
        <v>0.5</v>
      </c>
      <c r="I237" s="20" t="n">
        <f aca="false">EXP(LN(INDEX(Pop_Inputs!$B$2:$N$29,MATCH(C237,Pop_Inputs!$A$2:$A$29,0),G237))*(1-H237)+LN(INDEX(Pop_Inputs!$B$2:$N$29,MATCH(C237,Pop_Inputs!$A$2:$A$29,0),G237+1))*H237)</f>
        <v>560463.441640041</v>
      </c>
      <c r="J237" s="20" t="n">
        <f aca="false">I237/F237</f>
        <v>560463.441640041</v>
      </c>
      <c r="K237" s="21" t="n">
        <f aca="false">D237/(D237+E237)</f>
        <v>0.474025974025974</v>
      </c>
      <c r="L237" s="21" t="n">
        <f aca="false">AVERAGEIFS($K$2:$K$2705,$B$2:$B$2705,B237)</f>
        <v>0.499987993833686</v>
      </c>
      <c r="M237" s="21" t="n">
        <f aca="false">K237-L237</f>
        <v>-0.0259620198077118</v>
      </c>
      <c r="N237" s="21" t="n">
        <f aca="false">LN(J237)</f>
        <v>13.2365192948177</v>
      </c>
      <c r="O237" s="21" t="n">
        <f aca="false">AVERAGEIFS($N$2:$N$2705,$B$2:$B$2705,B237)</f>
        <v>13.4584376464447</v>
      </c>
      <c r="P237" s="21" t="n">
        <f aca="false">N237-O237</f>
        <v>-0.221918351626998</v>
      </c>
      <c r="Q237" s="7" t="n">
        <v>0</v>
      </c>
      <c r="R237" s="3" t="n">
        <f aca="false">IF(AND(Q237=1,B237-_xlfn.MINIFS($B$2:$B$2705,$A$2:$A$2705,A237)&lt;10),1,0)</f>
        <v>0</v>
      </c>
      <c r="S237" s="7" t="n">
        <v>0</v>
      </c>
      <c r="T237" s="3" t="n">
        <f aca="false">_xlfn.MINIFS($B$2:$B$2705,$A$2:$A$2705,A237)</f>
        <v>1901</v>
      </c>
      <c r="U237" s="3" t="n">
        <f aca="false">B237-T237</f>
        <v>14</v>
      </c>
      <c r="V237" s="3" t="str">
        <f aca="false">INDEX(Pop_Inputs!$Q$2:$Q$29,MATCH(C237,Pop_Inputs!$A$2:$A$29,0))</f>
        <v>Northeast</v>
      </c>
      <c r="W237" s="30"/>
      <c r="X237" s="3" t="str">
        <f aca="false">IF(W237="","",LN(W237))</f>
        <v/>
      </c>
      <c r="Y237" s="3" t="str">
        <f aca="false">IF(X237="","",X237-AVERAGEIFS($X$2:$X$2705,$B$2:$B$2705,B237))</f>
        <v/>
      </c>
      <c r="Z237" s="21" t="n">
        <f aca="false">P237</f>
        <v>-0.221918351626998</v>
      </c>
      <c r="AA237" s="3" t="n">
        <f aca="false">R237</f>
        <v>0</v>
      </c>
      <c r="AB237" s="21" t="n">
        <f aca="false">P237</f>
        <v>-0.221918351626998</v>
      </c>
      <c r="AC237" s="3" t="str">
        <f aca="false">Y237</f>
        <v/>
      </c>
      <c r="AD237" s="3" t="n">
        <f aca="false">R237</f>
        <v>0</v>
      </c>
    </row>
    <row r="238" customFormat="false" ht="15" hidden="false" customHeight="true" outlineLevel="0" collapsed="false">
      <c r="A238" s="7" t="s">
        <v>61</v>
      </c>
      <c r="B238" s="7" t="n">
        <v>1915</v>
      </c>
      <c r="C238" s="7" t="s">
        <v>154</v>
      </c>
      <c r="D238" s="7" t="n">
        <v>69</v>
      </c>
      <c r="E238" s="7" t="n">
        <v>83</v>
      </c>
      <c r="F238" s="3" t="n">
        <f aca="false">COUNTIFS($B$2:$B$2705,B238,$C$2:$C$2705,C238)</f>
        <v>3</v>
      </c>
      <c r="G238" s="3" t="n">
        <f aca="false">MIN(INT((MIN(B238,2020)-1900)/10)+1,12)</f>
        <v>2</v>
      </c>
      <c r="H238" s="3" t="n">
        <f aca="false">(MIN(B238,2020)-1900-10*(G238-1))/10</f>
        <v>0.5</v>
      </c>
      <c r="I238" s="20" t="n">
        <f aca="false">EXP(LN(INDEX(Pop_Inputs!$B$2:$N$29,MATCH(C238,Pop_Inputs!$A$2:$A$29,0),G238))*(1-H238)+LN(INDEX(Pop_Inputs!$B$2:$N$29,MATCH(C238,Pop_Inputs!$A$2:$A$29,0),G238+1))*H238)</f>
        <v>5175916.46671234</v>
      </c>
      <c r="J238" s="20" t="n">
        <f aca="false">I238/F238</f>
        <v>1725305.48890411</v>
      </c>
      <c r="K238" s="21" t="n">
        <f aca="false">D238/(D238+E238)</f>
        <v>0.453947368421053</v>
      </c>
      <c r="L238" s="21" t="n">
        <f aca="false">AVERAGEIFS($K$2:$K$2705,$B$2:$B$2705,B238)</f>
        <v>0.499987993833686</v>
      </c>
      <c r="M238" s="21" t="n">
        <f aca="false">K238-L238</f>
        <v>-0.0460406254126332</v>
      </c>
      <c r="N238" s="21" t="n">
        <f aca="false">LN(J238)</f>
        <v>14.360914687785</v>
      </c>
      <c r="O238" s="21" t="n">
        <f aca="false">AVERAGEIFS($N$2:$N$2705,$B$2:$B$2705,B238)</f>
        <v>13.4584376464447</v>
      </c>
      <c r="P238" s="21" t="n">
        <f aca="false">N238-O238</f>
        <v>0.902477041340303</v>
      </c>
      <c r="Q238" s="7" t="n">
        <v>0</v>
      </c>
      <c r="R238" s="3" t="n">
        <f aca="false">IF(AND(Q238=1,B238-_xlfn.MINIFS($B$2:$B$2705,$A$2:$A$2705,A238)&lt;10),1,0)</f>
        <v>0</v>
      </c>
      <c r="S238" s="7" t="n">
        <v>0</v>
      </c>
      <c r="T238" s="3" t="n">
        <f aca="false">_xlfn.MINIFS($B$2:$B$2705,$A$2:$A$2705,A238)</f>
        <v>1901</v>
      </c>
      <c r="U238" s="3" t="n">
        <f aca="false">B238-T238</f>
        <v>14</v>
      </c>
      <c r="V238" s="3" t="str">
        <f aca="false">INDEX(Pop_Inputs!$Q$2:$Q$29,MATCH(C238,Pop_Inputs!$A$2:$A$29,0))</f>
        <v>Northeast</v>
      </c>
      <c r="W238" s="30"/>
      <c r="X238" s="3" t="str">
        <f aca="false">IF(W238="","",LN(W238))</f>
        <v/>
      </c>
      <c r="Y238" s="3" t="str">
        <f aca="false">IF(X238="","",X238-AVERAGEIFS($X$2:$X$2705,$B$2:$B$2705,B238))</f>
        <v/>
      </c>
      <c r="Z238" s="21" t="n">
        <f aca="false">P238</f>
        <v>0.902477041340303</v>
      </c>
      <c r="AA238" s="3" t="n">
        <f aca="false">R238</f>
        <v>0</v>
      </c>
      <c r="AB238" s="21" t="n">
        <f aca="false">P238</f>
        <v>0.902477041340303</v>
      </c>
      <c r="AC238" s="3" t="str">
        <f aca="false">Y238</f>
        <v/>
      </c>
      <c r="AD238" s="3" t="n">
        <f aca="false">R238</f>
        <v>0</v>
      </c>
    </row>
    <row r="239" customFormat="false" ht="15" hidden="false" customHeight="true" outlineLevel="0" collapsed="false">
      <c r="A239" s="7" t="s">
        <v>59</v>
      </c>
      <c r="B239" s="7" t="n">
        <v>1915</v>
      </c>
      <c r="C239" s="7" t="s">
        <v>145</v>
      </c>
      <c r="D239" s="7" t="n">
        <v>72</v>
      </c>
      <c r="E239" s="7" t="n">
        <v>81</v>
      </c>
      <c r="F239" s="3" t="n">
        <f aca="false">COUNTIFS($B$2:$B$2705,B239,$C$2:$C$2705,C239)</f>
        <v>2</v>
      </c>
      <c r="G239" s="3" t="n">
        <f aca="false">MIN(INT((MIN(B239,2020)-1900)/10)+1,12)</f>
        <v>2</v>
      </c>
      <c r="H239" s="3" t="n">
        <f aca="false">(MIN(B239,2020)-1900-10*(G239-1))/10</f>
        <v>0.5</v>
      </c>
      <c r="I239" s="20" t="n">
        <f aca="false">EXP(LN(INDEX(Pop_Inputs!$B$2:$N$29,MATCH(C239,Pop_Inputs!$A$2:$A$29,0),G239))*(1-H239)+LN(INDEX(Pop_Inputs!$B$2:$N$29,MATCH(C239,Pop_Inputs!$A$2:$A$29,0),G239+1))*H239)</f>
        <v>728699.288467472</v>
      </c>
      <c r="J239" s="20" t="n">
        <f aca="false">I239/F239</f>
        <v>364349.644233736</v>
      </c>
      <c r="K239" s="21" t="n">
        <f aca="false">D239/(D239+E239)</f>
        <v>0.470588235294118</v>
      </c>
      <c r="L239" s="21" t="n">
        <f aca="false">AVERAGEIFS($K$2:$K$2705,$B$2:$B$2705,B239)</f>
        <v>0.499987993833686</v>
      </c>
      <c r="M239" s="21" t="n">
        <f aca="false">K239-L239</f>
        <v>-0.0293997585395682</v>
      </c>
      <c r="N239" s="21" t="n">
        <f aca="false">LN(J239)</f>
        <v>12.805869246657</v>
      </c>
      <c r="O239" s="21" t="n">
        <f aca="false">AVERAGEIFS($N$2:$N$2705,$B$2:$B$2705,B239)</f>
        <v>13.4584376464447</v>
      </c>
      <c r="P239" s="21" t="n">
        <f aca="false">N239-O239</f>
        <v>-0.652568399787709</v>
      </c>
      <c r="Q239" s="7" t="n">
        <v>0</v>
      </c>
      <c r="R239" s="3" t="n">
        <f aca="false">IF(AND(Q239=1,B239-_xlfn.MINIFS($B$2:$B$2705,$A$2:$A$2705,A239)&lt;10),1,0)</f>
        <v>0</v>
      </c>
      <c r="S239" s="7" t="n">
        <v>0</v>
      </c>
      <c r="T239" s="3" t="n">
        <f aca="false">_xlfn.MINIFS($B$2:$B$2705,$A$2:$A$2705,A239)</f>
        <v>1901</v>
      </c>
      <c r="U239" s="3" t="n">
        <f aca="false">B239-T239</f>
        <v>14</v>
      </c>
      <c r="V239" s="3" t="str">
        <f aca="false">INDEX(Pop_Inputs!$Q$2:$Q$29,MATCH(C239,Pop_Inputs!$A$2:$A$29,0))</f>
        <v>Midwest</v>
      </c>
      <c r="W239" s="30"/>
      <c r="X239" s="3" t="str">
        <f aca="false">IF(W239="","",LN(W239))</f>
        <v/>
      </c>
      <c r="Y239" s="3" t="str">
        <f aca="false">IF(X239="","",X239-AVERAGEIFS($X$2:$X$2705,$B$2:$B$2705,B239))</f>
        <v/>
      </c>
      <c r="Z239" s="21" t="n">
        <f aca="false">P239</f>
        <v>-0.652568399787709</v>
      </c>
      <c r="AA239" s="3" t="n">
        <f aca="false">R239</f>
        <v>0</v>
      </c>
      <c r="AB239" s="21" t="n">
        <f aca="false">P239</f>
        <v>-0.652568399787709</v>
      </c>
      <c r="AC239" s="3" t="str">
        <f aca="false">Y239</f>
        <v/>
      </c>
      <c r="AD239" s="3" t="n">
        <f aca="false">R239</f>
        <v>0</v>
      </c>
    </row>
    <row r="240" customFormat="false" ht="15" hidden="false" customHeight="true" outlineLevel="0" collapsed="false">
      <c r="A240" s="7" t="s">
        <v>54</v>
      </c>
      <c r="B240" s="7" t="n">
        <v>1916</v>
      </c>
      <c r="C240" s="7" t="s">
        <v>150</v>
      </c>
      <c r="D240" s="7" t="n">
        <v>89</v>
      </c>
      <c r="E240" s="7" t="n">
        <v>63</v>
      </c>
      <c r="F240" s="3" t="n">
        <f aca="false">COUNTIFS($B$2:$B$2705,B240,$C$2:$C$2705,C240)</f>
        <v>2</v>
      </c>
      <c r="G240" s="3" t="n">
        <f aca="false">MIN(INT((MIN(B240,2020)-1900)/10)+1,12)</f>
        <v>2</v>
      </c>
      <c r="H240" s="3" t="n">
        <f aca="false">(MIN(B240,2020)-1900-10*(G240-1))/10</f>
        <v>0.6</v>
      </c>
      <c r="I240" s="20" t="n">
        <f aca="false">EXP(LN(INDEX(Pop_Inputs!$B$2:$N$29,MATCH(C240,Pop_Inputs!$A$2:$A$29,0),G240))*(1-H240)+LN(INDEX(Pop_Inputs!$B$2:$N$29,MATCH(C240,Pop_Inputs!$A$2:$A$29,0),G240+1))*H240)</f>
        <v>716050.073447668</v>
      </c>
      <c r="J240" s="20" t="n">
        <f aca="false">I240/F240</f>
        <v>358025.036723834</v>
      </c>
      <c r="K240" s="21" t="n">
        <f aca="false">D240/(D240+E240)</f>
        <v>0.585526315789474</v>
      </c>
      <c r="L240" s="21" t="n">
        <f aca="false">AVERAGEIFS($K$2:$K$2705,$B$2:$B$2705,B240)</f>
        <v>0.499939793501133</v>
      </c>
      <c r="M240" s="21" t="n">
        <f aca="false">K240-L240</f>
        <v>0.0855865222883412</v>
      </c>
      <c r="N240" s="21" t="n">
        <f aca="false">LN(J240)</f>
        <v>12.7883581979203</v>
      </c>
      <c r="O240" s="21" t="n">
        <f aca="false">AVERAGEIFS($N$2:$N$2705,$B$2:$B$2705,B240)</f>
        <v>13.4789553408566</v>
      </c>
      <c r="P240" s="21" t="n">
        <f aca="false">N240-O240</f>
        <v>-0.690597142936275</v>
      </c>
      <c r="Q240" s="7" t="n">
        <v>0</v>
      </c>
      <c r="R240" s="3" t="n">
        <f aca="false">IF(AND(Q240=1,B240-_xlfn.MINIFS($B$2:$B$2705,$A$2:$A$2705,A240)&lt;10),1,0)</f>
        <v>0</v>
      </c>
      <c r="S240" s="7" t="n">
        <v>0</v>
      </c>
      <c r="T240" s="3" t="n">
        <f aca="false">_xlfn.MINIFS($B$2:$B$2705,$A$2:$A$2705,A240)</f>
        <v>1901</v>
      </c>
      <c r="U240" s="3" t="n">
        <f aca="false">B240-T240</f>
        <v>15</v>
      </c>
      <c r="V240" s="3" t="str">
        <f aca="false">INDEX(Pop_Inputs!$Q$2:$Q$29,MATCH(C240,Pop_Inputs!$A$2:$A$29,0))</f>
        <v>Northeast</v>
      </c>
      <c r="W240" s="30"/>
      <c r="X240" s="3" t="str">
        <f aca="false">IF(W240="","",LN(W240))</f>
        <v/>
      </c>
      <c r="Y240" s="3" t="str">
        <f aca="false">IF(X240="","",X240-AVERAGEIFS($X$2:$X$2705,$B$2:$B$2705,B240))</f>
        <v/>
      </c>
      <c r="Z240" s="21" t="n">
        <f aca="false">P240</f>
        <v>-0.690597142936275</v>
      </c>
      <c r="AA240" s="3" t="n">
        <f aca="false">R240</f>
        <v>0</v>
      </c>
      <c r="AB240" s="21" t="n">
        <f aca="false">P240</f>
        <v>-0.690597142936275</v>
      </c>
      <c r="AC240" s="3" t="str">
        <f aca="false">Y240</f>
        <v/>
      </c>
      <c r="AD240" s="3" t="n">
        <f aca="false">R240</f>
        <v>0</v>
      </c>
    </row>
    <row r="241" customFormat="false" ht="15" hidden="false" customHeight="true" outlineLevel="0" collapsed="false">
      <c r="A241" s="7" t="s">
        <v>63</v>
      </c>
      <c r="B241" s="7" t="n">
        <v>1916</v>
      </c>
      <c r="C241" s="7" t="s">
        <v>145</v>
      </c>
      <c r="D241" s="7" t="n">
        <v>79</v>
      </c>
      <c r="E241" s="7" t="n">
        <v>75</v>
      </c>
      <c r="F241" s="3" t="n">
        <f aca="false">COUNTIFS($B$2:$B$2705,B241,$C$2:$C$2705,C241)</f>
        <v>2</v>
      </c>
      <c r="G241" s="3" t="n">
        <f aca="false">MIN(INT((MIN(B241,2020)-1900)/10)+1,12)</f>
        <v>2</v>
      </c>
      <c r="H241" s="3" t="n">
        <f aca="false">(MIN(B241,2020)-1900-10*(G241-1))/10</f>
        <v>0.6</v>
      </c>
      <c r="I241" s="20" t="n">
        <f aca="false">EXP(LN(INDEX(Pop_Inputs!$B$2:$N$29,MATCH(C241,Pop_Inputs!$A$2:$A$29,0),G241))*(1-H241)+LN(INDEX(Pop_Inputs!$B$2:$N$29,MATCH(C241,Pop_Inputs!$A$2:$A$29,0),G241+1))*H241)</f>
        <v>737331.86098168</v>
      </c>
      <c r="J241" s="20" t="n">
        <f aca="false">I241/F241</f>
        <v>368665.93049084</v>
      </c>
      <c r="K241" s="21" t="n">
        <f aca="false">D241/(D241+E241)</f>
        <v>0.512987012987013</v>
      </c>
      <c r="L241" s="21" t="n">
        <f aca="false">AVERAGEIFS($K$2:$K$2705,$B$2:$B$2705,B241)</f>
        <v>0.499939793501133</v>
      </c>
      <c r="M241" s="21" t="n">
        <f aca="false">K241-L241</f>
        <v>0.0130472194858805</v>
      </c>
      <c r="N241" s="21" t="n">
        <f aca="false">LN(J241)</f>
        <v>12.817646175534</v>
      </c>
      <c r="O241" s="21" t="n">
        <f aca="false">AVERAGEIFS($N$2:$N$2705,$B$2:$B$2705,B241)</f>
        <v>13.4789553408566</v>
      </c>
      <c r="P241" s="21" t="n">
        <f aca="false">N241-O241</f>
        <v>-0.661309165322527</v>
      </c>
      <c r="Q241" s="7" t="n">
        <v>0</v>
      </c>
      <c r="R241" s="3" t="n">
        <f aca="false">IF(AND(Q241=1,B241-_xlfn.MINIFS($B$2:$B$2705,$A$2:$A$2705,A241)&lt;10),1,0)</f>
        <v>0</v>
      </c>
      <c r="S241" s="7" t="n">
        <v>0</v>
      </c>
      <c r="T241" s="3" t="n">
        <f aca="false">_xlfn.MINIFS($B$2:$B$2705,$A$2:$A$2705,A241)</f>
        <v>1901</v>
      </c>
      <c r="U241" s="3" t="n">
        <f aca="false">B241-T241</f>
        <v>15</v>
      </c>
      <c r="V241" s="3" t="str">
        <f aca="false">INDEX(Pop_Inputs!$Q$2:$Q$29,MATCH(C241,Pop_Inputs!$A$2:$A$29,0))</f>
        <v>Midwest</v>
      </c>
      <c r="W241" s="30"/>
      <c r="X241" s="3" t="str">
        <f aca="false">IF(W241="","",LN(W241))</f>
        <v/>
      </c>
      <c r="Y241" s="3" t="str">
        <f aca="false">IF(X241="","",X241-AVERAGEIFS($X$2:$X$2705,$B$2:$B$2705,B241))</f>
        <v/>
      </c>
      <c r="Z241" s="21" t="n">
        <f aca="false">P241</f>
        <v>-0.661309165322527</v>
      </c>
      <c r="AA241" s="3" t="n">
        <f aca="false">R241</f>
        <v>0</v>
      </c>
      <c r="AB241" s="21" t="n">
        <f aca="false">P241</f>
        <v>-0.661309165322527</v>
      </c>
      <c r="AC241" s="3" t="str">
        <f aca="false">Y241</f>
        <v/>
      </c>
      <c r="AD241" s="3" t="n">
        <f aca="false">R241</f>
        <v>0</v>
      </c>
    </row>
    <row r="242" customFormat="false" ht="15" hidden="false" customHeight="true" outlineLevel="0" collapsed="false">
      <c r="A242" s="7" t="s">
        <v>64</v>
      </c>
      <c r="B242" s="7" t="n">
        <v>1916</v>
      </c>
      <c r="C242" s="7" t="s">
        <v>150</v>
      </c>
      <c r="D242" s="7" t="n">
        <v>91</v>
      </c>
      <c r="E242" s="7" t="n">
        <v>63</v>
      </c>
      <c r="F242" s="3" t="n">
        <f aca="false">COUNTIFS($B$2:$B$2705,B242,$C$2:$C$2705,C242)</f>
        <v>2</v>
      </c>
      <c r="G242" s="3" t="n">
        <f aca="false">MIN(INT((MIN(B242,2020)-1900)/10)+1,12)</f>
        <v>2</v>
      </c>
      <c r="H242" s="3" t="n">
        <f aca="false">(MIN(B242,2020)-1900-10*(G242-1))/10</f>
        <v>0.6</v>
      </c>
      <c r="I242" s="20" t="n">
        <f aca="false">EXP(LN(INDEX(Pop_Inputs!$B$2:$N$29,MATCH(C242,Pop_Inputs!$A$2:$A$29,0),G242))*(1-H242)+LN(INDEX(Pop_Inputs!$B$2:$N$29,MATCH(C242,Pop_Inputs!$A$2:$A$29,0),G242+1))*H242)</f>
        <v>716050.073447668</v>
      </c>
      <c r="J242" s="20" t="n">
        <f aca="false">I242/F242</f>
        <v>358025.036723834</v>
      </c>
      <c r="K242" s="21" t="n">
        <f aca="false">D242/(D242+E242)</f>
        <v>0.590909090909091</v>
      </c>
      <c r="L242" s="21" t="n">
        <f aca="false">AVERAGEIFS($K$2:$K$2705,$B$2:$B$2705,B242)</f>
        <v>0.499939793501133</v>
      </c>
      <c r="M242" s="21" t="n">
        <f aca="false">K242-L242</f>
        <v>0.0909692974079585</v>
      </c>
      <c r="N242" s="21" t="n">
        <f aca="false">LN(J242)</f>
        <v>12.7883581979203</v>
      </c>
      <c r="O242" s="21" t="n">
        <f aca="false">AVERAGEIFS($N$2:$N$2705,$B$2:$B$2705,B242)</f>
        <v>13.4789553408566</v>
      </c>
      <c r="P242" s="21" t="n">
        <f aca="false">N242-O242</f>
        <v>-0.690597142936275</v>
      </c>
      <c r="Q242" s="7" t="n">
        <v>0</v>
      </c>
      <c r="R242" s="3" t="n">
        <f aca="false">IF(AND(Q242=1,B242-_xlfn.MINIFS($B$2:$B$2705,$A$2:$A$2705,A242)&lt;10),1,0)</f>
        <v>0</v>
      </c>
      <c r="S242" s="7" t="n">
        <v>0</v>
      </c>
      <c r="T242" s="3" t="n">
        <f aca="false">_xlfn.MINIFS($B$2:$B$2705,$A$2:$A$2705,A242)</f>
        <v>1901</v>
      </c>
      <c r="U242" s="3" t="n">
        <f aca="false">B242-T242</f>
        <v>15</v>
      </c>
      <c r="V242" s="3" t="str">
        <f aca="false">INDEX(Pop_Inputs!$Q$2:$Q$29,MATCH(C242,Pop_Inputs!$A$2:$A$29,0))</f>
        <v>Northeast</v>
      </c>
      <c r="W242" s="30"/>
      <c r="X242" s="3" t="str">
        <f aca="false">IF(W242="","",LN(W242))</f>
        <v/>
      </c>
      <c r="Y242" s="3" t="str">
        <f aca="false">IF(X242="","",X242-AVERAGEIFS($X$2:$X$2705,$B$2:$B$2705,B242))</f>
        <v/>
      </c>
      <c r="Z242" s="21" t="n">
        <f aca="false">P242</f>
        <v>-0.690597142936275</v>
      </c>
      <c r="AA242" s="3" t="n">
        <f aca="false">R242</f>
        <v>0</v>
      </c>
      <c r="AB242" s="21" t="n">
        <f aca="false">P242</f>
        <v>-0.690597142936275</v>
      </c>
      <c r="AC242" s="3" t="str">
        <f aca="false">Y242</f>
        <v/>
      </c>
      <c r="AD242" s="3" t="n">
        <f aca="false">R242</f>
        <v>0</v>
      </c>
    </row>
    <row r="243" customFormat="false" ht="15" hidden="false" customHeight="true" outlineLevel="0" collapsed="false">
      <c r="A243" s="7" t="s">
        <v>56</v>
      </c>
      <c r="B243" s="7" t="n">
        <v>1916</v>
      </c>
      <c r="C243" s="7" t="s">
        <v>142</v>
      </c>
      <c r="D243" s="7" t="n">
        <v>67</v>
      </c>
      <c r="E243" s="7" t="n">
        <v>86</v>
      </c>
      <c r="F243" s="3" t="n">
        <f aca="false">COUNTIFS($B$2:$B$2705,B243,$C$2:$C$2705,C243)</f>
        <v>2</v>
      </c>
      <c r="G243" s="3" t="n">
        <f aca="false">MIN(INT((MIN(B243,2020)-1900)/10)+1,12)</f>
        <v>2</v>
      </c>
      <c r="H243" s="3" t="n">
        <f aca="false">(MIN(B243,2020)-1900-10*(G243-1))/10</f>
        <v>0.6</v>
      </c>
      <c r="I243" s="20" t="n">
        <f aca="false">EXP(LN(INDEX(Pop_Inputs!$B$2:$N$29,MATCH(C243,Pop_Inputs!$A$2:$A$29,0),G243))*(1-H243)+LN(INDEX(Pop_Inputs!$B$2:$N$29,MATCH(C243,Pop_Inputs!$A$2:$A$29,0),G243+1))*H243)</f>
        <v>2481908.86803616</v>
      </c>
      <c r="J243" s="20" t="n">
        <f aca="false">I243/F243</f>
        <v>1240954.43401808</v>
      </c>
      <c r="K243" s="21" t="n">
        <f aca="false">D243/(D243+E243)</f>
        <v>0.437908496732026</v>
      </c>
      <c r="L243" s="21" t="n">
        <f aca="false">AVERAGEIFS($K$2:$K$2705,$B$2:$B$2705,B243)</f>
        <v>0.499939793501133</v>
      </c>
      <c r="M243" s="21" t="n">
        <f aca="false">K243-L243</f>
        <v>-0.0620312967691064</v>
      </c>
      <c r="N243" s="21" t="n">
        <f aca="false">LN(J243)</f>
        <v>14.0313913463636</v>
      </c>
      <c r="O243" s="21" t="n">
        <f aca="false">AVERAGEIFS($N$2:$N$2705,$B$2:$B$2705,B243)</f>
        <v>13.4789553408566</v>
      </c>
      <c r="P243" s="21" t="n">
        <f aca="false">N243-O243</f>
        <v>0.552436005507092</v>
      </c>
      <c r="Q243" s="7" t="n">
        <v>0</v>
      </c>
      <c r="R243" s="3" t="n">
        <f aca="false">IF(AND(Q243=1,B243-_xlfn.MINIFS($B$2:$B$2705,$A$2:$A$2705,A243)&lt;10),1,0)</f>
        <v>0</v>
      </c>
      <c r="S243" s="7" t="n">
        <v>0</v>
      </c>
      <c r="T243" s="3" t="n">
        <f aca="false">_xlfn.MINIFS($B$2:$B$2705,$A$2:$A$2705,A243)</f>
        <v>1901</v>
      </c>
      <c r="U243" s="3" t="n">
        <f aca="false">B243-T243</f>
        <v>15</v>
      </c>
      <c r="V243" s="3" t="str">
        <f aca="false">INDEX(Pop_Inputs!$Q$2:$Q$29,MATCH(C243,Pop_Inputs!$A$2:$A$29,0))</f>
        <v>Midwest</v>
      </c>
      <c r="W243" s="30"/>
      <c r="X243" s="3" t="str">
        <f aca="false">IF(W243="","",LN(W243))</f>
        <v/>
      </c>
      <c r="Y243" s="3" t="str">
        <f aca="false">IF(X243="","",X243-AVERAGEIFS($X$2:$X$2705,$B$2:$B$2705,B243))</f>
        <v/>
      </c>
      <c r="Z243" s="21" t="n">
        <f aca="false">P243</f>
        <v>0.552436005507092</v>
      </c>
      <c r="AA243" s="3" t="n">
        <f aca="false">R243</f>
        <v>0</v>
      </c>
      <c r="AB243" s="21" t="n">
        <f aca="false">P243</f>
        <v>0.552436005507092</v>
      </c>
      <c r="AC243" s="3" t="str">
        <f aca="false">Y243</f>
        <v/>
      </c>
      <c r="AD243" s="3" t="n">
        <f aca="false">R243</f>
        <v>0</v>
      </c>
    </row>
    <row r="244" customFormat="false" ht="15" hidden="false" customHeight="true" outlineLevel="0" collapsed="false">
      <c r="A244" s="7" t="s">
        <v>65</v>
      </c>
      <c r="B244" s="7" t="n">
        <v>1916</v>
      </c>
      <c r="C244" s="7" t="s">
        <v>142</v>
      </c>
      <c r="D244" s="7" t="n">
        <v>89</v>
      </c>
      <c r="E244" s="7" t="n">
        <v>65</v>
      </c>
      <c r="F244" s="3" t="n">
        <f aca="false">COUNTIFS($B$2:$B$2705,B244,$C$2:$C$2705,C244)</f>
        <v>2</v>
      </c>
      <c r="G244" s="3" t="n">
        <f aca="false">MIN(INT((MIN(B244,2020)-1900)/10)+1,12)</f>
        <v>2</v>
      </c>
      <c r="H244" s="3" t="n">
        <f aca="false">(MIN(B244,2020)-1900-10*(G244-1))/10</f>
        <v>0.6</v>
      </c>
      <c r="I244" s="20" t="n">
        <f aca="false">EXP(LN(INDEX(Pop_Inputs!$B$2:$N$29,MATCH(C244,Pop_Inputs!$A$2:$A$29,0),G244))*(1-H244)+LN(INDEX(Pop_Inputs!$B$2:$N$29,MATCH(C244,Pop_Inputs!$A$2:$A$29,0),G244+1))*H244)</f>
        <v>2481908.86803616</v>
      </c>
      <c r="J244" s="20" t="n">
        <f aca="false">I244/F244</f>
        <v>1240954.43401808</v>
      </c>
      <c r="K244" s="21" t="n">
        <f aca="false">D244/(D244+E244)</f>
        <v>0.577922077922078</v>
      </c>
      <c r="L244" s="21" t="n">
        <f aca="false">AVERAGEIFS($K$2:$K$2705,$B$2:$B$2705,B244)</f>
        <v>0.499939793501133</v>
      </c>
      <c r="M244" s="21" t="n">
        <f aca="false">K244-L244</f>
        <v>0.0779822844209455</v>
      </c>
      <c r="N244" s="21" t="n">
        <f aca="false">LN(J244)</f>
        <v>14.0313913463636</v>
      </c>
      <c r="O244" s="21" t="n">
        <f aca="false">AVERAGEIFS($N$2:$N$2705,$B$2:$B$2705,B244)</f>
        <v>13.4789553408566</v>
      </c>
      <c r="P244" s="21" t="n">
        <f aca="false">N244-O244</f>
        <v>0.552436005507092</v>
      </c>
      <c r="Q244" s="7" t="n">
        <v>0</v>
      </c>
      <c r="R244" s="3" t="n">
        <f aca="false">IF(AND(Q244=1,B244-_xlfn.MINIFS($B$2:$B$2705,$A$2:$A$2705,A244)&lt;10),1,0)</f>
        <v>0</v>
      </c>
      <c r="S244" s="7" t="n">
        <v>0</v>
      </c>
      <c r="T244" s="3" t="n">
        <f aca="false">_xlfn.MINIFS($B$2:$B$2705,$A$2:$A$2705,A244)</f>
        <v>1901</v>
      </c>
      <c r="U244" s="3" t="n">
        <f aca="false">B244-T244</f>
        <v>15</v>
      </c>
      <c r="V244" s="3" t="str">
        <f aca="false">INDEX(Pop_Inputs!$Q$2:$Q$29,MATCH(C244,Pop_Inputs!$A$2:$A$29,0))</f>
        <v>Midwest</v>
      </c>
      <c r="W244" s="30"/>
      <c r="X244" s="3" t="str">
        <f aca="false">IF(W244="","",LN(W244))</f>
        <v/>
      </c>
      <c r="Y244" s="3" t="str">
        <f aca="false">IF(X244="","",X244-AVERAGEIFS($X$2:$X$2705,$B$2:$B$2705,B244))</f>
        <v/>
      </c>
      <c r="Z244" s="21" t="n">
        <f aca="false">P244</f>
        <v>0.552436005507092</v>
      </c>
      <c r="AA244" s="3" t="n">
        <f aca="false">R244</f>
        <v>0</v>
      </c>
      <c r="AB244" s="21" t="n">
        <f aca="false">P244</f>
        <v>0.552436005507092</v>
      </c>
      <c r="AC244" s="3" t="str">
        <f aca="false">Y244</f>
        <v/>
      </c>
      <c r="AD244" s="3" t="n">
        <f aca="false">R244</f>
        <v>0</v>
      </c>
    </row>
    <row r="245" customFormat="false" ht="15" hidden="false" customHeight="true" outlineLevel="0" collapsed="false">
      <c r="A245" s="7" t="s">
        <v>57</v>
      </c>
      <c r="B245" s="7" t="n">
        <v>1916</v>
      </c>
      <c r="C245" s="7" t="s">
        <v>143</v>
      </c>
      <c r="D245" s="7" t="n">
        <v>60</v>
      </c>
      <c r="E245" s="7" t="n">
        <v>93</v>
      </c>
      <c r="F245" s="3" t="n">
        <f aca="false">COUNTIFS($B$2:$B$2705,B245,$C$2:$C$2705,C245)</f>
        <v>1</v>
      </c>
      <c r="G245" s="3" t="n">
        <f aca="false">MIN(INT((MIN(B245,2020)-1900)/10)+1,12)</f>
        <v>2</v>
      </c>
      <c r="H245" s="3" t="n">
        <f aca="false">(MIN(B245,2020)-1900-10*(G245-1))/10</f>
        <v>0.6</v>
      </c>
      <c r="I245" s="20" t="n">
        <f aca="false">EXP(LN(INDEX(Pop_Inputs!$B$2:$N$29,MATCH(C245,Pop_Inputs!$A$2:$A$29,0),G245))*(1-H245)+LN(INDEX(Pop_Inputs!$B$2:$N$29,MATCH(C245,Pop_Inputs!$A$2:$A$29,0),G245+1))*H245)</f>
        <v>385737.915117772</v>
      </c>
      <c r="J245" s="20" t="n">
        <f aca="false">I245/F245</f>
        <v>385737.915117772</v>
      </c>
      <c r="K245" s="21" t="n">
        <f aca="false">D245/(D245+E245)</f>
        <v>0.392156862745098</v>
      </c>
      <c r="L245" s="21" t="n">
        <f aca="false">AVERAGEIFS($K$2:$K$2705,$B$2:$B$2705,B245)</f>
        <v>0.499939793501133</v>
      </c>
      <c r="M245" s="21" t="n">
        <f aca="false">K245-L245</f>
        <v>-0.107782930756034</v>
      </c>
      <c r="N245" s="21" t="n">
        <f aca="false">LN(J245)</f>
        <v>12.8629134414593</v>
      </c>
      <c r="O245" s="21" t="n">
        <f aca="false">AVERAGEIFS($N$2:$N$2705,$B$2:$B$2705,B245)</f>
        <v>13.4789553408566</v>
      </c>
      <c r="P245" s="21" t="n">
        <f aca="false">N245-O245</f>
        <v>-0.616041899397265</v>
      </c>
      <c r="Q245" s="7" t="n">
        <v>0</v>
      </c>
      <c r="R245" s="3" t="n">
        <f aca="false">IF(AND(Q245=1,B245-_xlfn.MINIFS($B$2:$B$2705,$A$2:$A$2705,A245)&lt;10),1,0)</f>
        <v>0</v>
      </c>
      <c r="S245" s="7" t="n">
        <v>0</v>
      </c>
      <c r="T245" s="3" t="n">
        <f aca="false">_xlfn.MINIFS($B$2:$B$2705,$A$2:$A$2705,A245)</f>
        <v>1901</v>
      </c>
      <c r="U245" s="3" t="n">
        <f aca="false">B245-T245</f>
        <v>15</v>
      </c>
      <c r="V245" s="3" t="str">
        <f aca="false">INDEX(Pop_Inputs!$Q$2:$Q$29,MATCH(C245,Pop_Inputs!$A$2:$A$29,0))</f>
        <v>Midwest</v>
      </c>
      <c r="W245" s="30"/>
      <c r="X245" s="3" t="str">
        <f aca="false">IF(W245="","",LN(W245))</f>
        <v/>
      </c>
      <c r="Y245" s="3" t="str">
        <f aca="false">IF(X245="","",X245-AVERAGEIFS($X$2:$X$2705,$B$2:$B$2705,B245))</f>
        <v/>
      </c>
      <c r="Z245" s="21" t="n">
        <f aca="false">P245</f>
        <v>-0.616041899397265</v>
      </c>
      <c r="AA245" s="3" t="n">
        <f aca="false">R245</f>
        <v>0</v>
      </c>
      <c r="AB245" s="21" t="n">
        <f aca="false">P245</f>
        <v>-0.616041899397265</v>
      </c>
      <c r="AC245" s="3" t="str">
        <f aca="false">Y245</f>
        <v/>
      </c>
      <c r="AD245" s="3" t="n">
        <f aca="false">R245</f>
        <v>0</v>
      </c>
    </row>
    <row r="246" customFormat="false" ht="15" hidden="false" customHeight="true" outlineLevel="0" collapsed="false">
      <c r="A246" s="7" t="s">
        <v>66</v>
      </c>
      <c r="B246" s="7" t="n">
        <v>1916</v>
      </c>
      <c r="C246" s="7" t="s">
        <v>151</v>
      </c>
      <c r="D246" s="7" t="n">
        <v>77</v>
      </c>
      <c r="E246" s="7" t="n">
        <v>77</v>
      </c>
      <c r="F246" s="3" t="n">
        <f aca="false">COUNTIFS($B$2:$B$2705,B246,$C$2:$C$2705,C246)</f>
        <v>1</v>
      </c>
      <c r="G246" s="3" t="n">
        <f aca="false">MIN(INT((MIN(B246,2020)-1900)/10)+1,12)</f>
        <v>2</v>
      </c>
      <c r="H246" s="3" t="n">
        <f aca="false">(MIN(B246,2020)-1900-10*(G246-1))/10</f>
        <v>0.6</v>
      </c>
      <c r="I246" s="20" t="n">
        <f aca="false">EXP(LN(INDEX(Pop_Inputs!$B$2:$N$29,MATCH(C246,Pop_Inputs!$A$2:$A$29,0),G246))*(1-H246)+LN(INDEX(Pop_Inputs!$B$2:$N$29,MATCH(C246,Pop_Inputs!$A$2:$A$29,0),G246+1))*H246)</f>
        <v>692315.032475948</v>
      </c>
      <c r="J246" s="20" t="n">
        <f aca="false">I246/F246</f>
        <v>692315.032475948</v>
      </c>
      <c r="K246" s="21" t="n">
        <f aca="false">D246/(D246+E246)</f>
        <v>0.5</v>
      </c>
      <c r="L246" s="21" t="n">
        <f aca="false">AVERAGEIFS($K$2:$K$2705,$B$2:$B$2705,B246)</f>
        <v>0.499939793501133</v>
      </c>
      <c r="M246" s="21" t="n">
        <f aca="false">K246-L246</f>
        <v>6.020649886751E-005</v>
      </c>
      <c r="N246" s="21" t="n">
        <f aca="false">LN(J246)</f>
        <v>13.447796380248</v>
      </c>
      <c r="O246" s="21" t="n">
        <f aca="false">AVERAGEIFS($N$2:$N$2705,$B$2:$B$2705,B246)</f>
        <v>13.4789553408566</v>
      </c>
      <c r="P246" s="21" t="n">
        <f aca="false">N246-O246</f>
        <v>-0.0311589606085416</v>
      </c>
      <c r="Q246" s="7" t="n">
        <v>0</v>
      </c>
      <c r="R246" s="3" t="n">
        <f aca="false">IF(AND(Q246=1,B246-_xlfn.MINIFS($B$2:$B$2705,$A$2:$A$2705,A246)&lt;10),1,0)</f>
        <v>0</v>
      </c>
      <c r="S246" s="7" t="n">
        <v>0</v>
      </c>
      <c r="T246" s="3" t="n">
        <f aca="false">_xlfn.MINIFS($B$2:$B$2705,$A$2:$A$2705,A246)</f>
        <v>1901</v>
      </c>
      <c r="U246" s="3" t="n">
        <f aca="false">B246-T246</f>
        <v>15</v>
      </c>
      <c r="V246" s="3" t="str">
        <f aca="false">INDEX(Pop_Inputs!$Q$2:$Q$29,MATCH(C246,Pop_Inputs!$A$2:$A$29,0))</f>
        <v>Midwest</v>
      </c>
      <c r="W246" s="30"/>
      <c r="X246" s="3" t="str">
        <f aca="false">IF(W246="","",LN(W246))</f>
        <v/>
      </c>
      <c r="Y246" s="3" t="str">
        <f aca="false">IF(X246="","",X246-AVERAGEIFS($X$2:$X$2705,$B$2:$B$2705,B246))</f>
        <v/>
      </c>
      <c r="Z246" s="21" t="n">
        <f aca="false">P246</f>
        <v>-0.0311589606085416</v>
      </c>
      <c r="AA246" s="3" t="n">
        <f aca="false">R246</f>
        <v>0</v>
      </c>
      <c r="AB246" s="21" t="n">
        <f aca="false">P246</f>
        <v>-0.0311589606085416</v>
      </c>
      <c r="AC246" s="3" t="str">
        <f aca="false">Y246</f>
        <v/>
      </c>
      <c r="AD246" s="3" t="n">
        <f aca="false">R246</f>
        <v>0</v>
      </c>
    </row>
    <row r="247" customFormat="false" ht="15" hidden="false" customHeight="true" outlineLevel="0" collapsed="false">
      <c r="A247" s="7" t="s">
        <v>67</v>
      </c>
      <c r="B247" s="7" t="n">
        <v>1916</v>
      </c>
      <c r="C247" s="7" t="s">
        <v>152</v>
      </c>
      <c r="D247" s="7" t="n">
        <v>87</v>
      </c>
      <c r="E247" s="7" t="n">
        <v>67</v>
      </c>
      <c r="F247" s="3" t="n">
        <f aca="false">COUNTIFS($B$2:$B$2705,B247,$C$2:$C$2705,C247)</f>
        <v>1</v>
      </c>
      <c r="G247" s="3" t="n">
        <f aca="false">MIN(INT((MIN(B247,2020)-1900)/10)+1,12)</f>
        <v>2</v>
      </c>
      <c r="H247" s="3" t="n">
        <f aca="false">(MIN(B247,2020)-1900-10*(G247-1))/10</f>
        <v>0.6</v>
      </c>
      <c r="I247" s="20" t="n">
        <f aca="false">EXP(LN(INDEX(Pop_Inputs!$B$2:$N$29,MATCH(C247,Pop_Inputs!$A$2:$A$29,0),G247))*(1-H247)+LN(INDEX(Pop_Inputs!$B$2:$N$29,MATCH(C247,Pop_Inputs!$A$2:$A$29,0),G247+1))*H247)</f>
        <v>733862.19895237</v>
      </c>
      <c r="J247" s="20" t="n">
        <f aca="false">I247/F247</f>
        <v>733862.19895237</v>
      </c>
      <c r="K247" s="21" t="n">
        <f aca="false">D247/(D247+E247)</f>
        <v>0.564935064935065</v>
      </c>
      <c r="L247" s="21" t="n">
        <f aca="false">AVERAGEIFS($K$2:$K$2705,$B$2:$B$2705,B247)</f>
        <v>0.499939793501133</v>
      </c>
      <c r="M247" s="21" t="n">
        <f aca="false">K247-L247</f>
        <v>0.0649952714339325</v>
      </c>
      <c r="N247" s="21" t="n">
        <f aca="false">LN(J247)</f>
        <v>13.5060765501244</v>
      </c>
      <c r="O247" s="21" t="n">
        <f aca="false">AVERAGEIFS($N$2:$N$2705,$B$2:$B$2705,B247)</f>
        <v>13.4789553408566</v>
      </c>
      <c r="P247" s="21" t="n">
        <f aca="false">N247-O247</f>
        <v>0.0271212092678628</v>
      </c>
      <c r="Q247" s="7" t="n">
        <v>0</v>
      </c>
      <c r="R247" s="3" t="n">
        <f aca="false">IF(AND(Q247=1,B247-_xlfn.MINIFS($B$2:$B$2705,$A$2:$A$2705,A247)&lt;10),1,0)</f>
        <v>0</v>
      </c>
      <c r="S247" s="7" t="n">
        <v>0</v>
      </c>
      <c r="T247" s="3" t="n">
        <f aca="false">_xlfn.MINIFS($B$2:$B$2705,$A$2:$A$2705,A247)</f>
        <v>1901</v>
      </c>
      <c r="U247" s="3" t="n">
        <f aca="false">B247-T247</f>
        <v>15</v>
      </c>
      <c r="V247" s="3" t="str">
        <f aca="false">INDEX(Pop_Inputs!$Q$2:$Q$29,MATCH(C247,Pop_Inputs!$A$2:$A$29,0))</f>
        <v>Midwest</v>
      </c>
      <c r="W247" s="30"/>
      <c r="X247" s="3" t="str">
        <f aca="false">IF(W247="","",LN(W247))</f>
        <v/>
      </c>
      <c r="Y247" s="3" t="str">
        <f aca="false">IF(X247="","",X247-AVERAGEIFS($X$2:$X$2705,$B$2:$B$2705,B247))</f>
        <v/>
      </c>
      <c r="Z247" s="21" t="n">
        <f aca="false">P247</f>
        <v>0.0271212092678628</v>
      </c>
      <c r="AA247" s="3" t="n">
        <f aca="false">R247</f>
        <v>0</v>
      </c>
      <c r="AB247" s="21" t="n">
        <f aca="false">P247</f>
        <v>0.0271212092678628</v>
      </c>
      <c r="AC247" s="3" t="str">
        <f aca="false">Y247</f>
        <v/>
      </c>
      <c r="AD247" s="3" t="n">
        <f aca="false">R247</f>
        <v>0</v>
      </c>
    </row>
    <row r="248" customFormat="false" ht="15" hidden="false" customHeight="true" outlineLevel="0" collapsed="false">
      <c r="A248" s="7" t="s">
        <v>62</v>
      </c>
      <c r="B248" s="7" t="n">
        <v>1916</v>
      </c>
      <c r="C248" s="7" t="s">
        <v>154</v>
      </c>
      <c r="D248" s="7" t="n">
        <v>94</v>
      </c>
      <c r="E248" s="7" t="n">
        <v>60</v>
      </c>
      <c r="F248" s="3" t="n">
        <f aca="false">COUNTIFS($B$2:$B$2705,B248,$C$2:$C$2705,C248)</f>
        <v>3</v>
      </c>
      <c r="G248" s="3" t="n">
        <f aca="false">MIN(INT((MIN(B248,2020)-1900)/10)+1,12)</f>
        <v>2</v>
      </c>
      <c r="H248" s="3" t="n">
        <f aca="false">(MIN(B248,2020)-1900-10*(G248-1))/10</f>
        <v>0.6</v>
      </c>
      <c r="I248" s="20" t="n">
        <f aca="false">EXP(LN(INDEX(Pop_Inputs!$B$2:$N$29,MATCH(C248,Pop_Inputs!$A$2:$A$29,0),G248))*(1-H248)+LN(INDEX(Pop_Inputs!$B$2:$N$29,MATCH(C248,Pop_Inputs!$A$2:$A$29,0),G248+1))*H248)</f>
        <v>5261842.10622875</v>
      </c>
      <c r="J248" s="20" t="n">
        <f aca="false">I248/F248</f>
        <v>1753947.36874292</v>
      </c>
      <c r="K248" s="21" t="n">
        <f aca="false">D248/(D248+E248)</f>
        <v>0.61038961038961</v>
      </c>
      <c r="L248" s="21" t="n">
        <f aca="false">AVERAGEIFS($K$2:$K$2705,$B$2:$B$2705,B248)</f>
        <v>0.499939793501133</v>
      </c>
      <c r="M248" s="21" t="n">
        <f aca="false">K248-L248</f>
        <v>0.110449816888478</v>
      </c>
      <c r="N248" s="21" t="n">
        <f aca="false">LN(J248)</f>
        <v>14.3773794450461</v>
      </c>
      <c r="O248" s="21" t="n">
        <f aca="false">AVERAGEIFS($N$2:$N$2705,$B$2:$B$2705,B248)</f>
        <v>13.4789553408566</v>
      </c>
      <c r="P248" s="21" t="n">
        <f aca="false">N248-O248</f>
        <v>0.898424104189564</v>
      </c>
      <c r="Q248" s="7" t="n">
        <v>0</v>
      </c>
      <c r="R248" s="3" t="n">
        <f aca="false">IF(AND(Q248=1,B248-_xlfn.MINIFS($B$2:$B$2705,$A$2:$A$2705,A248)&lt;10),1,0)</f>
        <v>0</v>
      </c>
      <c r="S248" s="7" t="n">
        <v>0</v>
      </c>
      <c r="T248" s="3" t="n">
        <f aca="false">_xlfn.MINIFS($B$2:$B$2705,$A$2:$A$2705,A248)</f>
        <v>1901</v>
      </c>
      <c r="U248" s="3" t="n">
        <f aca="false">B248-T248</f>
        <v>15</v>
      </c>
      <c r="V248" s="3" t="str">
        <f aca="false">INDEX(Pop_Inputs!$Q$2:$Q$29,MATCH(C248,Pop_Inputs!$A$2:$A$29,0))</f>
        <v>Northeast</v>
      </c>
      <c r="W248" s="30"/>
      <c r="X248" s="3" t="str">
        <f aca="false">IF(W248="","",LN(W248))</f>
        <v/>
      </c>
      <c r="Y248" s="3" t="str">
        <f aca="false">IF(X248="","",X248-AVERAGEIFS($X$2:$X$2705,$B$2:$B$2705,B248))</f>
        <v/>
      </c>
      <c r="Z248" s="21" t="n">
        <f aca="false">P248</f>
        <v>0.898424104189564</v>
      </c>
      <c r="AA248" s="3" t="n">
        <f aca="false">R248</f>
        <v>0</v>
      </c>
      <c r="AB248" s="21" t="n">
        <f aca="false">P248</f>
        <v>0.898424104189564</v>
      </c>
      <c r="AC248" s="3" t="str">
        <f aca="false">Y248</f>
        <v/>
      </c>
      <c r="AD248" s="3" t="n">
        <f aca="false">R248</f>
        <v>0</v>
      </c>
    </row>
    <row r="249" customFormat="false" ht="15" hidden="false" customHeight="true" outlineLevel="0" collapsed="false">
      <c r="A249" s="7" t="s">
        <v>68</v>
      </c>
      <c r="B249" s="7" t="n">
        <v>1916</v>
      </c>
      <c r="C249" s="7" t="s">
        <v>160</v>
      </c>
      <c r="D249" s="7" t="n">
        <v>76</v>
      </c>
      <c r="E249" s="7" t="n">
        <v>77</v>
      </c>
      <c r="F249" s="3" t="n">
        <f aca="false">COUNTIFS($B$2:$B$2705,B249,$C$2:$C$2705,C249)</f>
        <v>1</v>
      </c>
      <c r="G249" s="3" t="n">
        <f aca="false">MIN(INT((MIN(B249,2020)-1900)/10)+1,12)</f>
        <v>2</v>
      </c>
      <c r="H249" s="3" t="n">
        <f aca="false">(MIN(B249,2020)-1900-10*(G249-1))/10</f>
        <v>0.6</v>
      </c>
      <c r="I249" s="20" t="n">
        <f aca="false">EXP(LN(INDEX(Pop_Inputs!$B$2:$N$29,MATCH(C249,Pop_Inputs!$A$2:$A$29,0),G249))*(1-H249)+LN(INDEX(Pop_Inputs!$B$2:$N$29,MATCH(C249,Pop_Inputs!$A$2:$A$29,0),G249+1))*H249)</f>
        <v>391378.104597338</v>
      </c>
      <c r="J249" s="20" t="n">
        <f aca="false">I249/F249</f>
        <v>391378.104597338</v>
      </c>
      <c r="K249" s="21" t="n">
        <f aca="false">D249/(D249+E249)</f>
        <v>0.496732026143791</v>
      </c>
      <c r="L249" s="21" t="n">
        <f aca="false">AVERAGEIFS($K$2:$K$2705,$B$2:$B$2705,B249)</f>
        <v>0.499939793501133</v>
      </c>
      <c r="M249" s="21" t="n">
        <f aca="false">K249-L249</f>
        <v>-0.00320776735734163</v>
      </c>
      <c r="N249" s="21" t="n">
        <f aca="false">LN(J249)</f>
        <v>12.877429391136</v>
      </c>
      <c r="O249" s="21" t="n">
        <f aca="false">AVERAGEIFS($N$2:$N$2705,$B$2:$B$2705,B249)</f>
        <v>13.4789553408566</v>
      </c>
      <c r="P249" s="21" t="n">
        <f aca="false">N249-O249</f>
        <v>-0.601525949720596</v>
      </c>
      <c r="Q249" s="7" t="n">
        <v>0</v>
      </c>
      <c r="R249" s="3" t="n">
        <f aca="false">IF(AND(Q249=1,B249-_xlfn.MINIFS($B$2:$B$2705,$A$2:$A$2705,A249)&lt;10),1,0)</f>
        <v>0</v>
      </c>
      <c r="S249" s="7" t="n">
        <v>0</v>
      </c>
      <c r="T249" s="3" t="n">
        <f aca="false">_xlfn.MINIFS($B$2:$B$2705,$A$2:$A$2705,A249)</f>
        <v>1901</v>
      </c>
      <c r="U249" s="3" t="n">
        <f aca="false">B249-T249</f>
        <v>15</v>
      </c>
      <c r="V249" s="3" t="str">
        <f aca="false">INDEX(Pop_Inputs!$Q$2:$Q$29,MATCH(C249,Pop_Inputs!$A$2:$A$29,0))</f>
        <v>South</v>
      </c>
      <c r="W249" s="30"/>
      <c r="X249" s="3" t="str">
        <f aca="false">IF(W249="","",LN(W249))</f>
        <v/>
      </c>
      <c r="Y249" s="3" t="str">
        <f aca="false">IF(X249="","",X249-AVERAGEIFS($X$2:$X$2705,$B$2:$B$2705,B249))</f>
        <v/>
      </c>
      <c r="Z249" s="21" t="n">
        <f aca="false">P249</f>
        <v>-0.601525949720596</v>
      </c>
      <c r="AA249" s="3" t="n">
        <f aca="false">R249</f>
        <v>0</v>
      </c>
      <c r="AB249" s="21" t="n">
        <f aca="false">P249</f>
        <v>-0.601525949720596</v>
      </c>
      <c r="AC249" s="3" t="str">
        <f aca="false">Y249</f>
        <v/>
      </c>
      <c r="AD249" s="3" t="n">
        <f aca="false">R249</f>
        <v>0</v>
      </c>
    </row>
    <row r="250" customFormat="false" ht="15" hidden="false" customHeight="true" outlineLevel="0" collapsed="false">
      <c r="A250" s="7" t="s">
        <v>70</v>
      </c>
      <c r="B250" s="7" t="n">
        <v>1916</v>
      </c>
      <c r="C250" s="7" t="s">
        <v>154</v>
      </c>
      <c r="D250" s="7" t="n">
        <v>80</v>
      </c>
      <c r="E250" s="7" t="n">
        <v>74</v>
      </c>
      <c r="F250" s="3" t="n">
        <f aca="false">COUNTIFS($B$2:$B$2705,B250,$C$2:$C$2705,C250)</f>
        <v>3</v>
      </c>
      <c r="G250" s="3" t="n">
        <f aca="false">MIN(INT((MIN(B250,2020)-1900)/10)+1,12)</f>
        <v>2</v>
      </c>
      <c r="H250" s="3" t="n">
        <f aca="false">(MIN(B250,2020)-1900-10*(G250-1))/10</f>
        <v>0.6</v>
      </c>
      <c r="I250" s="20" t="n">
        <f aca="false">EXP(LN(INDEX(Pop_Inputs!$B$2:$N$29,MATCH(C250,Pop_Inputs!$A$2:$A$29,0),G250))*(1-H250)+LN(INDEX(Pop_Inputs!$B$2:$N$29,MATCH(C250,Pop_Inputs!$A$2:$A$29,0),G250+1))*H250)</f>
        <v>5261842.10622875</v>
      </c>
      <c r="J250" s="20" t="n">
        <f aca="false">I250/F250</f>
        <v>1753947.36874292</v>
      </c>
      <c r="K250" s="21" t="n">
        <f aca="false">D250/(D250+E250)</f>
        <v>0.519480519480519</v>
      </c>
      <c r="L250" s="21" t="n">
        <f aca="false">AVERAGEIFS($K$2:$K$2705,$B$2:$B$2705,B250)</f>
        <v>0.499939793501133</v>
      </c>
      <c r="M250" s="21" t="n">
        <f aca="false">K250-L250</f>
        <v>0.0195407259793869</v>
      </c>
      <c r="N250" s="21" t="n">
        <f aca="false">LN(J250)</f>
        <v>14.3773794450461</v>
      </c>
      <c r="O250" s="21" t="n">
        <f aca="false">AVERAGEIFS($N$2:$N$2705,$B$2:$B$2705,B250)</f>
        <v>13.4789553408566</v>
      </c>
      <c r="P250" s="21" t="n">
        <f aca="false">N250-O250</f>
        <v>0.898424104189564</v>
      </c>
      <c r="Q250" s="7" t="n">
        <v>0</v>
      </c>
      <c r="R250" s="3" t="n">
        <f aca="false">IF(AND(Q250=1,B250-_xlfn.MINIFS($B$2:$B$2705,$A$2:$A$2705,A250)&lt;10),1,0)</f>
        <v>0</v>
      </c>
      <c r="S250" s="7" t="n">
        <v>1</v>
      </c>
      <c r="T250" s="3" t="n">
        <f aca="false">_xlfn.MINIFS($B$2:$B$2705,$A$2:$A$2705,A250)</f>
        <v>1903</v>
      </c>
      <c r="U250" s="3" t="n">
        <f aca="false">B250-T250</f>
        <v>13</v>
      </c>
      <c r="V250" s="3" t="str">
        <f aca="false">INDEX(Pop_Inputs!$Q$2:$Q$29,MATCH(C250,Pop_Inputs!$A$2:$A$29,0))</f>
        <v>Northeast</v>
      </c>
      <c r="W250" s="30"/>
      <c r="X250" s="3" t="str">
        <f aca="false">IF(W250="","",LN(W250))</f>
        <v/>
      </c>
      <c r="Y250" s="3" t="str">
        <f aca="false">IF(X250="","",X250-AVERAGEIFS($X$2:$X$2705,$B$2:$B$2705,B250))</f>
        <v/>
      </c>
      <c r="Z250" s="21" t="n">
        <f aca="false">P250</f>
        <v>0.898424104189564</v>
      </c>
      <c r="AA250" s="3" t="n">
        <f aca="false">R250</f>
        <v>0</v>
      </c>
      <c r="AB250" s="21" t="n">
        <f aca="false">P250</f>
        <v>0.898424104189564</v>
      </c>
      <c r="AC250" s="3" t="str">
        <f aca="false">Y250</f>
        <v/>
      </c>
      <c r="AD250" s="3" t="n">
        <f aca="false">R250</f>
        <v>0</v>
      </c>
    </row>
    <row r="251" customFormat="false" ht="15" hidden="false" customHeight="true" outlineLevel="0" collapsed="false">
      <c r="A251" s="7" t="s">
        <v>69</v>
      </c>
      <c r="B251" s="7" t="n">
        <v>1916</v>
      </c>
      <c r="C251" s="7" t="s">
        <v>146</v>
      </c>
      <c r="D251" s="7" t="n">
        <v>36</v>
      </c>
      <c r="E251" s="7" t="n">
        <v>117</v>
      </c>
      <c r="F251" s="3" t="n">
        <f aca="false">COUNTIFS($B$2:$B$2705,B251,$C$2:$C$2705,C251)</f>
        <v>2</v>
      </c>
      <c r="G251" s="3" t="n">
        <f aca="false">MIN(INT((MIN(B251,2020)-1900)/10)+1,12)</f>
        <v>2</v>
      </c>
      <c r="H251" s="3" t="n">
        <f aca="false">(MIN(B251,2020)-1900-10*(G251-1))/10</f>
        <v>0.6</v>
      </c>
      <c r="I251" s="20" t="n">
        <f aca="false">EXP(LN(INDEX(Pop_Inputs!$B$2:$N$29,MATCH(C251,Pop_Inputs!$A$2:$A$29,0),G251))*(1-H251)+LN(INDEX(Pop_Inputs!$B$2:$N$29,MATCH(C251,Pop_Inputs!$A$2:$A$29,0),G251+1))*H251)</f>
        <v>1708459.90379113</v>
      </c>
      <c r="J251" s="20" t="n">
        <f aca="false">I251/F251</f>
        <v>854229.951895567</v>
      </c>
      <c r="K251" s="21" t="n">
        <f aca="false">D251/(D251+E251)</f>
        <v>0.235294117647059</v>
      </c>
      <c r="L251" s="21" t="n">
        <f aca="false">AVERAGEIFS($K$2:$K$2705,$B$2:$B$2705,B251)</f>
        <v>0.499939793501133</v>
      </c>
      <c r="M251" s="21" t="n">
        <f aca="false">K251-L251</f>
        <v>-0.264645675854074</v>
      </c>
      <c r="N251" s="21" t="n">
        <f aca="false">LN(J251)</f>
        <v>13.6579557010402</v>
      </c>
      <c r="O251" s="21" t="n">
        <f aca="false">AVERAGEIFS($N$2:$N$2705,$B$2:$B$2705,B251)</f>
        <v>13.4789553408566</v>
      </c>
      <c r="P251" s="21" t="n">
        <f aca="false">N251-O251</f>
        <v>0.179000360183688</v>
      </c>
      <c r="Q251" s="7" t="n">
        <v>0</v>
      </c>
      <c r="R251" s="3" t="n">
        <f aca="false">IF(AND(Q251=1,B251-_xlfn.MINIFS($B$2:$B$2705,$A$2:$A$2705,A251)&lt;10),1,0)</f>
        <v>0</v>
      </c>
      <c r="S251" s="7" t="n">
        <v>0</v>
      </c>
      <c r="T251" s="3" t="n">
        <f aca="false">_xlfn.MINIFS($B$2:$B$2705,$A$2:$A$2705,A251)</f>
        <v>1901</v>
      </c>
      <c r="U251" s="3" t="n">
        <f aca="false">B251-T251</f>
        <v>15</v>
      </c>
      <c r="V251" s="3" t="str">
        <f aca="false">INDEX(Pop_Inputs!$Q$2:$Q$29,MATCH(C251,Pop_Inputs!$A$2:$A$29,0))</f>
        <v>Northeast</v>
      </c>
      <c r="W251" s="30"/>
      <c r="X251" s="3" t="str">
        <f aca="false">IF(W251="","",LN(W251))</f>
        <v/>
      </c>
      <c r="Y251" s="3" t="str">
        <f aca="false">IF(X251="","",X251-AVERAGEIFS($X$2:$X$2705,$B$2:$B$2705,B251))</f>
        <v/>
      </c>
      <c r="Z251" s="21" t="n">
        <f aca="false">P251</f>
        <v>0.179000360183688</v>
      </c>
      <c r="AA251" s="3" t="n">
        <f aca="false">R251</f>
        <v>0</v>
      </c>
      <c r="AB251" s="21" t="n">
        <f aca="false">P251</f>
        <v>0.179000360183688</v>
      </c>
      <c r="AC251" s="3" t="str">
        <f aca="false">Y251</f>
        <v/>
      </c>
      <c r="AD251" s="3" t="n">
        <f aca="false">R251</f>
        <v>0</v>
      </c>
    </row>
    <row r="252" customFormat="false" ht="15" hidden="false" customHeight="true" outlineLevel="0" collapsed="false">
      <c r="A252" s="7" t="s">
        <v>60</v>
      </c>
      <c r="B252" s="7" t="n">
        <v>1916</v>
      </c>
      <c r="C252" s="7" t="s">
        <v>146</v>
      </c>
      <c r="D252" s="7" t="n">
        <v>91</v>
      </c>
      <c r="E252" s="7" t="n">
        <v>62</v>
      </c>
      <c r="F252" s="3" t="n">
        <f aca="false">COUNTIFS($B$2:$B$2705,B252,$C$2:$C$2705,C252)</f>
        <v>2</v>
      </c>
      <c r="G252" s="3" t="n">
        <f aca="false">MIN(INT((MIN(B252,2020)-1900)/10)+1,12)</f>
        <v>2</v>
      </c>
      <c r="H252" s="3" t="n">
        <f aca="false">(MIN(B252,2020)-1900-10*(G252-1))/10</f>
        <v>0.6</v>
      </c>
      <c r="I252" s="20" t="n">
        <f aca="false">EXP(LN(INDEX(Pop_Inputs!$B$2:$N$29,MATCH(C252,Pop_Inputs!$A$2:$A$29,0),G252))*(1-H252)+LN(INDEX(Pop_Inputs!$B$2:$N$29,MATCH(C252,Pop_Inputs!$A$2:$A$29,0),G252+1))*H252)</f>
        <v>1708459.90379113</v>
      </c>
      <c r="J252" s="20" t="n">
        <f aca="false">I252/F252</f>
        <v>854229.951895567</v>
      </c>
      <c r="K252" s="21" t="n">
        <f aca="false">D252/(D252+E252)</f>
        <v>0.594771241830065</v>
      </c>
      <c r="L252" s="21" t="n">
        <f aca="false">AVERAGEIFS($K$2:$K$2705,$B$2:$B$2705,B252)</f>
        <v>0.499939793501133</v>
      </c>
      <c r="M252" s="21" t="n">
        <f aca="false">K252-L252</f>
        <v>0.0948314483289329</v>
      </c>
      <c r="N252" s="21" t="n">
        <f aca="false">LN(J252)</f>
        <v>13.6579557010402</v>
      </c>
      <c r="O252" s="21" t="n">
        <f aca="false">AVERAGEIFS($N$2:$N$2705,$B$2:$B$2705,B252)</f>
        <v>13.4789553408566</v>
      </c>
      <c r="P252" s="21" t="n">
        <f aca="false">N252-O252</f>
        <v>0.179000360183688</v>
      </c>
      <c r="Q252" s="7" t="n">
        <v>0</v>
      </c>
      <c r="R252" s="3" t="n">
        <f aca="false">IF(AND(Q252=1,B252-_xlfn.MINIFS($B$2:$B$2705,$A$2:$A$2705,A252)&lt;10),1,0)</f>
        <v>0</v>
      </c>
      <c r="S252" s="7" t="n">
        <v>0</v>
      </c>
      <c r="T252" s="3" t="n">
        <f aca="false">_xlfn.MINIFS($B$2:$B$2705,$A$2:$A$2705,A252)</f>
        <v>1901</v>
      </c>
      <c r="U252" s="3" t="n">
        <f aca="false">B252-T252</f>
        <v>15</v>
      </c>
      <c r="V252" s="3" t="str">
        <f aca="false">INDEX(Pop_Inputs!$Q$2:$Q$29,MATCH(C252,Pop_Inputs!$A$2:$A$29,0))</f>
        <v>Northeast</v>
      </c>
      <c r="W252" s="30"/>
      <c r="X252" s="3" t="str">
        <f aca="false">IF(W252="","",LN(W252))</f>
        <v/>
      </c>
      <c r="Y252" s="3" t="str">
        <f aca="false">IF(X252="","",X252-AVERAGEIFS($X$2:$X$2705,$B$2:$B$2705,B252))</f>
        <v/>
      </c>
      <c r="Z252" s="21" t="n">
        <f aca="false">P252</f>
        <v>0.179000360183688</v>
      </c>
      <c r="AA252" s="3" t="n">
        <f aca="false">R252</f>
        <v>0</v>
      </c>
      <c r="AB252" s="21" t="n">
        <f aca="false">P252</f>
        <v>0.179000360183688</v>
      </c>
      <c r="AC252" s="3" t="str">
        <f aca="false">Y252</f>
        <v/>
      </c>
      <c r="AD252" s="3" t="n">
        <f aca="false">R252</f>
        <v>0</v>
      </c>
    </row>
    <row r="253" customFormat="false" ht="15" hidden="false" customHeight="true" outlineLevel="0" collapsed="false">
      <c r="A253" s="7" t="s">
        <v>58</v>
      </c>
      <c r="B253" s="7" t="n">
        <v>1916</v>
      </c>
      <c r="C253" s="7" t="s">
        <v>144</v>
      </c>
      <c r="D253" s="7" t="n">
        <v>65</v>
      </c>
      <c r="E253" s="7" t="n">
        <v>89</v>
      </c>
      <c r="F253" s="3" t="n">
        <f aca="false">COUNTIFS($B$2:$B$2705,B253,$C$2:$C$2705,C253)</f>
        <v>1</v>
      </c>
      <c r="G253" s="3" t="n">
        <f aca="false">MIN(INT((MIN(B253,2020)-1900)/10)+1,12)</f>
        <v>2</v>
      </c>
      <c r="H253" s="3" t="n">
        <f aca="false">(MIN(B253,2020)-1900-10*(G253-1))/10</f>
        <v>0.6</v>
      </c>
      <c r="I253" s="20" t="n">
        <f aca="false">EXP(LN(INDEX(Pop_Inputs!$B$2:$N$29,MATCH(C253,Pop_Inputs!$A$2:$A$29,0),G253))*(1-H253)+LN(INDEX(Pop_Inputs!$B$2:$N$29,MATCH(C253,Pop_Inputs!$A$2:$A$29,0),G253+1))*H253)</f>
        <v>565931.606823076</v>
      </c>
      <c r="J253" s="20" t="n">
        <f aca="false">I253/F253</f>
        <v>565931.606823076</v>
      </c>
      <c r="K253" s="21" t="n">
        <f aca="false">D253/(D253+E253)</f>
        <v>0.422077922077922</v>
      </c>
      <c r="L253" s="21" t="n">
        <f aca="false">AVERAGEIFS($K$2:$K$2705,$B$2:$B$2705,B253)</f>
        <v>0.499939793501133</v>
      </c>
      <c r="M253" s="21" t="n">
        <f aca="false">K253-L253</f>
        <v>-0.0778618714232104</v>
      </c>
      <c r="N253" s="21" t="n">
        <f aca="false">LN(J253)</f>
        <v>13.2462285138824</v>
      </c>
      <c r="O253" s="21" t="n">
        <f aca="false">AVERAGEIFS($N$2:$N$2705,$B$2:$B$2705,B253)</f>
        <v>13.4789553408566</v>
      </c>
      <c r="P253" s="21" t="n">
        <f aca="false">N253-O253</f>
        <v>-0.232726826974121</v>
      </c>
      <c r="Q253" s="7" t="n">
        <v>0</v>
      </c>
      <c r="R253" s="3" t="n">
        <f aca="false">IF(AND(Q253=1,B253-_xlfn.MINIFS($B$2:$B$2705,$A$2:$A$2705,A253)&lt;10),1,0)</f>
        <v>0</v>
      </c>
      <c r="S253" s="7" t="n">
        <v>0</v>
      </c>
      <c r="T253" s="3" t="n">
        <f aca="false">_xlfn.MINIFS($B$2:$B$2705,$A$2:$A$2705,A253)</f>
        <v>1901</v>
      </c>
      <c r="U253" s="3" t="n">
        <f aca="false">B253-T253</f>
        <v>15</v>
      </c>
      <c r="V253" s="3" t="str">
        <f aca="false">INDEX(Pop_Inputs!$Q$2:$Q$29,MATCH(C253,Pop_Inputs!$A$2:$A$29,0))</f>
        <v>Northeast</v>
      </c>
      <c r="W253" s="30"/>
      <c r="X253" s="3" t="str">
        <f aca="false">IF(W253="","",LN(W253))</f>
        <v/>
      </c>
      <c r="Y253" s="3" t="str">
        <f aca="false">IF(X253="","",X253-AVERAGEIFS($X$2:$X$2705,$B$2:$B$2705,B253))</f>
        <v/>
      </c>
      <c r="Z253" s="21" t="n">
        <f aca="false">P253</f>
        <v>-0.232726826974121</v>
      </c>
      <c r="AA253" s="3" t="n">
        <f aca="false">R253</f>
        <v>0</v>
      </c>
      <c r="AB253" s="21" t="n">
        <f aca="false">P253</f>
        <v>-0.232726826974121</v>
      </c>
      <c r="AC253" s="3" t="str">
        <f aca="false">Y253</f>
        <v/>
      </c>
      <c r="AD253" s="3" t="n">
        <f aca="false">R253</f>
        <v>0</v>
      </c>
    </row>
    <row r="254" customFormat="false" ht="15" hidden="false" customHeight="true" outlineLevel="0" collapsed="false">
      <c r="A254" s="7" t="s">
        <v>61</v>
      </c>
      <c r="B254" s="7" t="n">
        <v>1916</v>
      </c>
      <c r="C254" s="7" t="s">
        <v>154</v>
      </c>
      <c r="D254" s="7" t="n">
        <v>86</v>
      </c>
      <c r="E254" s="7" t="n">
        <v>66</v>
      </c>
      <c r="F254" s="3" t="n">
        <f aca="false">COUNTIFS($B$2:$B$2705,B254,$C$2:$C$2705,C254)</f>
        <v>3</v>
      </c>
      <c r="G254" s="3" t="n">
        <f aca="false">MIN(INT((MIN(B254,2020)-1900)/10)+1,12)</f>
        <v>2</v>
      </c>
      <c r="H254" s="3" t="n">
        <f aca="false">(MIN(B254,2020)-1900-10*(G254-1))/10</f>
        <v>0.6</v>
      </c>
      <c r="I254" s="20" t="n">
        <f aca="false">EXP(LN(INDEX(Pop_Inputs!$B$2:$N$29,MATCH(C254,Pop_Inputs!$A$2:$A$29,0),G254))*(1-H254)+LN(INDEX(Pop_Inputs!$B$2:$N$29,MATCH(C254,Pop_Inputs!$A$2:$A$29,0),G254+1))*H254)</f>
        <v>5261842.10622875</v>
      </c>
      <c r="J254" s="20" t="n">
        <f aca="false">I254/F254</f>
        <v>1753947.36874292</v>
      </c>
      <c r="K254" s="21" t="n">
        <f aca="false">D254/(D254+E254)</f>
        <v>0.565789473684211</v>
      </c>
      <c r="L254" s="21" t="n">
        <f aca="false">AVERAGEIFS($K$2:$K$2705,$B$2:$B$2705,B254)</f>
        <v>0.499939793501133</v>
      </c>
      <c r="M254" s="21" t="n">
        <f aca="false">K254-L254</f>
        <v>0.065849680183078</v>
      </c>
      <c r="N254" s="21" t="n">
        <f aca="false">LN(J254)</f>
        <v>14.3773794450461</v>
      </c>
      <c r="O254" s="21" t="n">
        <f aca="false">AVERAGEIFS($N$2:$N$2705,$B$2:$B$2705,B254)</f>
        <v>13.4789553408566</v>
      </c>
      <c r="P254" s="21" t="n">
        <f aca="false">N254-O254</f>
        <v>0.898424104189564</v>
      </c>
      <c r="Q254" s="7" t="n">
        <v>0</v>
      </c>
      <c r="R254" s="3" t="n">
        <f aca="false">IF(AND(Q254=1,B254-_xlfn.MINIFS($B$2:$B$2705,$A$2:$A$2705,A254)&lt;10),1,0)</f>
        <v>0</v>
      </c>
      <c r="S254" s="7" t="n">
        <v>0</v>
      </c>
      <c r="T254" s="3" t="n">
        <f aca="false">_xlfn.MINIFS($B$2:$B$2705,$A$2:$A$2705,A254)</f>
        <v>1901</v>
      </c>
      <c r="U254" s="3" t="n">
        <f aca="false">B254-T254</f>
        <v>15</v>
      </c>
      <c r="V254" s="3" t="str">
        <f aca="false">INDEX(Pop_Inputs!$Q$2:$Q$29,MATCH(C254,Pop_Inputs!$A$2:$A$29,0))</f>
        <v>Northeast</v>
      </c>
      <c r="W254" s="30"/>
      <c r="X254" s="3" t="str">
        <f aca="false">IF(W254="","",LN(W254))</f>
        <v/>
      </c>
      <c r="Y254" s="3" t="str">
        <f aca="false">IF(X254="","",X254-AVERAGEIFS($X$2:$X$2705,$B$2:$B$2705,B254))</f>
        <v/>
      </c>
      <c r="Z254" s="21" t="n">
        <f aca="false">P254</f>
        <v>0.898424104189564</v>
      </c>
      <c r="AA254" s="3" t="n">
        <f aca="false">R254</f>
        <v>0</v>
      </c>
      <c r="AB254" s="21" t="n">
        <f aca="false">P254</f>
        <v>0.898424104189564</v>
      </c>
      <c r="AC254" s="3" t="str">
        <f aca="false">Y254</f>
        <v/>
      </c>
      <c r="AD254" s="3" t="n">
        <f aca="false">R254</f>
        <v>0</v>
      </c>
    </row>
    <row r="255" customFormat="false" ht="15" hidden="false" customHeight="true" outlineLevel="0" collapsed="false">
      <c r="A255" s="7" t="s">
        <v>59</v>
      </c>
      <c r="B255" s="7" t="n">
        <v>1916</v>
      </c>
      <c r="C255" s="7" t="s">
        <v>145</v>
      </c>
      <c r="D255" s="7" t="n">
        <v>60</v>
      </c>
      <c r="E255" s="7" t="n">
        <v>93</v>
      </c>
      <c r="F255" s="3" t="n">
        <f aca="false">COUNTIFS($B$2:$B$2705,B255,$C$2:$C$2705,C255)</f>
        <v>2</v>
      </c>
      <c r="G255" s="3" t="n">
        <f aca="false">MIN(INT((MIN(B255,2020)-1900)/10)+1,12)</f>
        <v>2</v>
      </c>
      <c r="H255" s="3" t="n">
        <f aca="false">(MIN(B255,2020)-1900-10*(G255-1))/10</f>
        <v>0.6</v>
      </c>
      <c r="I255" s="20" t="n">
        <f aca="false">EXP(LN(INDEX(Pop_Inputs!$B$2:$N$29,MATCH(C255,Pop_Inputs!$A$2:$A$29,0),G255))*(1-H255)+LN(INDEX(Pop_Inputs!$B$2:$N$29,MATCH(C255,Pop_Inputs!$A$2:$A$29,0),G255+1))*H255)</f>
        <v>737331.86098168</v>
      </c>
      <c r="J255" s="20" t="n">
        <f aca="false">I255/F255</f>
        <v>368665.93049084</v>
      </c>
      <c r="K255" s="21" t="n">
        <f aca="false">D255/(D255+E255)</f>
        <v>0.392156862745098</v>
      </c>
      <c r="L255" s="21" t="n">
        <f aca="false">AVERAGEIFS($K$2:$K$2705,$B$2:$B$2705,B255)</f>
        <v>0.499939793501133</v>
      </c>
      <c r="M255" s="21" t="n">
        <f aca="false">K255-L255</f>
        <v>-0.107782930756034</v>
      </c>
      <c r="N255" s="21" t="n">
        <f aca="false">LN(J255)</f>
        <v>12.817646175534</v>
      </c>
      <c r="O255" s="21" t="n">
        <f aca="false">AVERAGEIFS($N$2:$N$2705,$B$2:$B$2705,B255)</f>
        <v>13.4789553408566</v>
      </c>
      <c r="P255" s="21" t="n">
        <f aca="false">N255-O255</f>
        <v>-0.661309165322527</v>
      </c>
      <c r="Q255" s="7" t="n">
        <v>0</v>
      </c>
      <c r="R255" s="3" t="n">
        <f aca="false">IF(AND(Q255=1,B255-_xlfn.MINIFS($B$2:$B$2705,$A$2:$A$2705,A255)&lt;10),1,0)</f>
        <v>0</v>
      </c>
      <c r="S255" s="7" t="n">
        <v>0</v>
      </c>
      <c r="T255" s="3" t="n">
        <f aca="false">_xlfn.MINIFS($B$2:$B$2705,$A$2:$A$2705,A255)</f>
        <v>1901</v>
      </c>
      <c r="U255" s="3" t="n">
        <f aca="false">B255-T255</f>
        <v>15</v>
      </c>
      <c r="V255" s="3" t="str">
        <f aca="false">INDEX(Pop_Inputs!$Q$2:$Q$29,MATCH(C255,Pop_Inputs!$A$2:$A$29,0))</f>
        <v>Midwest</v>
      </c>
      <c r="W255" s="30"/>
      <c r="X255" s="3" t="str">
        <f aca="false">IF(W255="","",LN(W255))</f>
        <v/>
      </c>
      <c r="Y255" s="3" t="str">
        <f aca="false">IF(X255="","",X255-AVERAGEIFS($X$2:$X$2705,$B$2:$B$2705,B255))</f>
        <v/>
      </c>
      <c r="Z255" s="21" t="n">
        <f aca="false">P255</f>
        <v>-0.661309165322527</v>
      </c>
      <c r="AA255" s="3" t="n">
        <f aca="false">R255</f>
        <v>0</v>
      </c>
      <c r="AB255" s="21" t="n">
        <f aca="false">P255</f>
        <v>-0.661309165322527</v>
      </c>
      <c r="AC255" s="3" t="str">
        <f aca="false">Y255</f>
        <v/>
      </c>
      <c r="AD255" s="3" t="n">
        <f aca="false">R255</f>
        <v>0</v>
      </c>
    </row>
    <row r="256" customFormat="false" ht="15" hidden="false" customHeight="true" outlineLevel="0" collapsed="false">
      <c r="A256" s="7" t="s">
        <v>54</v>
      </c>
      <c r="B256" s="7" t="n">
        <v>1917</v>
      </c>
      <c r="C256" s="7" t="s">
        <v>150</v>
      </c>
      <c r="D256" s="7" t="n">
        <v>72</v>
      </c>
      <c r="E256" s="7" t="n">
        <v>81</v>
      </c>
      <c r="F256" s="3" t="n">
        <f aca="false">COUNTIFS($B$2:$B$2705,B256,$C$2:$C$2705,C256)</f>
        <v>2</v>
      </c>
      <c r="G256" s="3" t="n">
        <f aca="false">MIN(INT((MIN(B256,2020)-1900)/10)+1,12)</f>
        <v>2</v>
      </c>
      <c r="H256" s="3" t="n">
        <f aca="false">(MIN(B256,2020)-1900-10*(G256-1))/10</f>
        <v>0.7</v>
      </c>
      <c r="I256" s="20" t="n">
        <f aca="false">EXP(LN(INDEX(Pop_Inputs!$B$2:$N$29,MATCH(C256,Pop_Inputs!$A$2:$A$29,0),G256))*(1-H256)+LN(INDEX(Pop_Inputs!$B$2:$N$29,MATCH(C256,Pop_Inputs!$A$2:$A$29,0),G256+1))*H256)</f>
        <v>723921.797311716</v>
      </c>
      <c r="J256" s="20" t="n">
        <f aca="false">I256/F256</f>
        <v>361960.898655858</v>
      </c>
      <c r="K256" s="21" t="n">
        <f aca="false">D256/(D256+E256)</f>
        <v>0.470588235294118</v>
      </c>
      <c r="L256" s="21" t="n">
        <f aca="false">AVERAGEIFS($K$2:$K$2705,$B$2:$B$2705,B256)</f>
        <v>0.50003498576015</v>
      </c>
      <c r="M256" s="21" t="n">
        <f aca="false">K256-L256</f>
        <v>-0.0294467504660324</v>
      </c>
      <c r="N256" s="21" t="n">
        <f aca="false">LN(J256)</f>
        <v>12.7992914702111</v>
      </c>
      <c r="O256" s="21" t="n">
        <f aca="false">AVERAGEIFS($N$2:$N$2705,$B$2:$B$2705,B256)</f>
        <v>13.4994730352684</v>
      </c>
      <c r="P256" s="21" t="n">
        <f aca="false">N256-O256</f>
        <v>-0.70018156505733</v>
      </c>
      <c r="Q256" s="7" t="n">
        <v>0</v>
      </c>
      <c r="R256" s="3" t="n">
        <f aca="false">IF(AND(Q256=1,B256-_xlfn.MINIFS($B$2:$B$2705,$A$2:$A$2705,A256)&lt;10),1,0)</f>
        <v>0</v>
      </c>
      <c r="S256" s="7" t="n">
        <v>0</v>
      </c>
      <c r="T256" s="3" t="n">
        <f aca="false">_xlfn.MINIFS($B$2:$B$2705,$A$2:$A$2705,A256)</f>
        <v>1901</v>
      </c>
      <c r="U256" s="3" t="n">
        <f aca="false">B256-T256</f>
        <v>16</v>
      </c>
      <c r="V256" s="3" t="str">
        <f aca="false">INDEX(Pop_Inputs!$Q$2:$Q$29,MATCH(C256,Pop_Inputs!$A$2:$A$29,0))</f>
        <v>Northeast</v>
      </c>
      <c r="W256" s="30"/>
      <c r="X256" s="3" t="str">
        <f aca="false">IF(W256="","",LN(W256))</f>
        <v/>
      </c>
      <c r="Y256" s="3" t="str">
        <f aca="false">IF(X256="","",X256-AVERAGEIFS($X$2:$X$2705,$B$2:$B$2705,B256))</f>
        <v/>
      </c>
      <c r="Z256" s="21" t="n">
        <f aca="false">P256</f>
        <v>-0.70018156505733</v>
      </c>
      <c r="AA256" s="3" t="n">
        <f aca="false">R256</f>
        <v>0</v>
      </c>
      <c r="AB256" s="21" t="n">
        <f aca="false">P256</f>
        <v>-0.70018156505733</v>
      </c>
      <c r="AC256" s="3" t="str">
        <f aca="false">Y256</f>
        <v/>
      </c>
      <c r="AD256" s="3" t="n">
        <f aca="false">R256</f>
        <v>0</v>
      </c>
    </row>
    <row r="257" customFormat="false" ht="15" hidden="false" customHeight="true" outlineLevel="0" collapsed="false">
      <c r="A257" s="7" t="s">
        <v>63</v>
      </c>
      <c r="B257" s="7" t="n">
        <v>1917</v>
      </c>
      <c r="C257" s="7" t="s">
        <v>145</v>
      </c>
      <c r="D257" s="7" t="n">
        <v>57</v>
      </c>
      <c r="E257" s="7" t="n">
        <v>97</v>
      </c>
      <c r="F257" s="3" t="n">
        <f aca="false">COUNTIFS($B$2:$B$2705,B257,$C$2:$C$2705,C257)</f>
        <v>2</v>
      </c>
      <c r="G257" s="3" t="n">
        <f aca="false">MIN(INT((MIN(B257,2020)-1900)/10)+1,12)</f>
        <v>2</v>
      </c>
      <c r="H257" s="3" t="n">
        <f aca="false">(MIN(B257,2020)-1900-10*(G257-1))/10</f>
        <v>0.7</v>
      </c>
      <c r="I257" s="20" t="n">
        <f aca="false">EXP(LN(INDEX(Pop_Inputs!$B$2:$N$29,MATCH(C257,Pop_Inputs!$A$2:$A$29,0),G257))*(1-H257)+LN(INDEX(Pop_Inputs!$B$2:$N$29,MATCH(C257,Pop_Inputs!$A$2:$A$29,0),G257+1))*H257)</f>
        <v>746066.699697316</v>
      </c>
      <c r="J257" s="20" t="n">
        <f aca="false">I257/F257</f>
        <v>373033.349848658</v>
      </c>
      <c r="K257" s="21" t="n">
        <f aca="false">D257/(D257+E257)</f>
        <v>0.37012987012987</v>
      </c>
      <c r="L257" s="21" t="n">
        <f aca="false">AVERAGEIFS($K$2:$K$2705,$B$2:$B$2705,B257)</f>
        <v>0.50003498576015</v>
      </c>
      <c r="M257" s="21" t="n">
        <f aca="false">K257-L257</f>
        <v>-0.12990511563028</v>
      </c>
      <c r="N257" s="21" t="n">
        <f aca="false">LN(J257)</f>
        <v>12.8294231044111</v>
      </c>
      <c r="O257" s="21" t="n">
        <f aca="false">AVERAGEIFS($N$2:$N$2705,$B$2:$B$2705,B257)</f>
        <v>13.4994730352684</v>
      </c>
      <c r="P257" s="21" t="n">
        <f aca="false">N257-O257</f>
        <v>-0.670049930857338</v>
      </c>
      <c r="Q257" s="7" t="n">
        <v>0</v>
      </c>
      <c r="R257" s="3" t="n">
        <f aca="false">IF(AND(Q257=1,B257-_xlfn.MINIFS($B$2:$B$2705,$A$2:$A$2705,A257)&lt;10),1,0)</f>
        <v>0</v>
      </c>
      <c r="S257" s="7" t="n">
        <v>0</v>
      </c>
      <c r="T257" s="3" t="n">
        <f aca="false">_xlfn.MINIFS($B$2:$B$2705,$A$2:$A$2705,A257)</f>
        <v>1901</v>
      </c>
      <c r="U257" s="3" t="n">
        <f aca="false">B257-T257</f>
        <v>16</v>
      </c>
      <c r="V257" s="3" t="str">
        <f aca="false">INDEX(Pop_Inputs!$Q$2:$Q$29,MATCH(C257,Pop_Inputs!$A$2:$A$29,0))</f>
        <v>Midwest</v>
      </c>
      <c r="W257" s="30"/>
      <c r="X257" s="3" t="str">
        <f aca="false">IF(W257="","",LN(W257))</f>
        <v/>
      </c>
      <c r="Y257" s="3" t="str">
        <f aca="false">IF(X257="","",X257-AVERAGEIFS($X$2:$X$2705,$B$2:$B$2705,B257))</f>
        <v/>
      </c>
      <c r="Z257" s="21" t="n">
        <f aca="false">P257</f>
        <v>-0.670049930857338</v>
      </c>
      <c r="AA257" s="3" t="n">
        <f aca="false">R257</f>
        <v>0</v>
      </c>
      <c r="AB257" s="21" t="n">
        <f aca="false">P257</f>
        <v>-0.670049930857338</v>
      </c>
      <c r="AC257" s="3" t="str">
        <f aca="false">Y257</f>
        <v/>
      </c>
      <c r="AD257" s="3" t="n">
        <f aca="false">R257</f>
        <v>0</v>
      </c>
    </row>
    <row r="258" customFormat="false" ht="15" hidden="false" customHeight="true" outlineLevel="0" collapsed="false">
      <c r="A258" s="7" t="s">
        <v>64</v>
      </c>
      <c r="B258" s="7" t="n">
        <v>1917</v>
      </c>
      <c r="C258" s="7" t="s">
        <v>150</v>
      </c>
      <c r="D258" s="7" t="n">
        <v>90</v>
      </c>
      <c r="E258" s="7" t="n">
        <v>62</v>
      </c>
      <c r="F258" s="3" t="n">
        <f aca="false">COUNTIFS($B$2:$B$2705,B258,$C$2:$C$2705,C258)</f>
        <v>2</v>
      </c>
      <c r="G258" s="3" t="n">
        <f aca="false">MIN(INT((MIN(B258,2020)-1900)/10)+1,12)</f>
        <v>2</v>
      </c>
      <c r="H258" s="3" t="n">
        <f aca="false">(MIN(B258,2020)-1900-10*(G258-1))/10</f>
        <v>0.7</v>
      </c>
      <c r="I258" s="20" t="n">
        <f aca="false">EXP(LN(INDEX(Pop_Inputs!$B$2:$N$29,MATCH(C258,Pop_Inputs!$A$2:$A$29,0),G258))*(1-H258)+LN(INDEX(Pop_Inputs!$B$2:$N$29,MATCH(C258,Pop_Inputs!$A$2:$A$29,0),G258+1))*H258)</f>
        <v>723921.797311716</v>
      </c>
      <c r="J258" s="20" t="n">
        <f aca="false">I258/F258</f>
        <v>361960.898655858</v>
      </c>
      <c r="K258" s="21" t="n">
        <f aca="false">D258/(D258+E258)</f>
        <v>0.592105263157895</v>
      </c>
      <c r="L258" s="21" t="n">
        <f aca="false">AVERAGEIFS($K$2:$K$2705,$B$2:$B$2705,B258)</f>
        <v>0.50003498576015</v>
      </c>
      <c r="M258" s="21" t="n">
        <f aca="false">K258-L258</f>
        <v>0.0920702773977447</v>
      </c>
      <c r="N258" s="21" t="n">
        <f aca="false">LN(J258)</f>
        <v>12.7992914702111</v>
      </c>
      <c r="O258" s="21" t="n">
        <f aca="false">AVERAGEIFS($N$2:$N$2705,$B$2:$B$2705,B258)</f>
        <v>13.4994730352684</v>
      </c>
      <c r="P258" s="21" t="n">
        <f aca="false">N258-O258</f>
        <v>-0.70018156505733</v>
      </c>
      <c r="Q258" s="7" t="n">
        <v>0</v>
      </c>
      <c r="R258" s="3" t="n">
        <f aca="false">IF(AND(Q258=1,B258-_xlfn.MINIFS($B$2:$B$2705,$A$2:$A$2705,A258)&lt;10),1,0)</f>
        <v>0</v>
      </c>
      <c r="S258" s="7" t="n">
        <v>0</v>
      </c>
      <c r="T258" s="3" t="n">
        <f aca="false">_xlfn.MINIFS($B$2:$B$2705,$A$2:$A$2705,A258)</f>
        <v>1901</v>
      </c>
      <c r="U258" s="3" t="n">
        <f aca="false">B258-T258</f>
        <v>16</v>
      </c>
      <c r="V258" s="3" t="str">
        <f aca="false">INDEX(Pop_Inputs!$Q$2:$Q$29,MATCH(C258,Pop_Inputs!$A$2:$A$29,0))</f>
        <v>Northeast</v>
      </c>
      <c r="W258" s="30"/>
      <c r="X258" s="3" t="str">
        <f aca="false">IF(W258="","",LN(W258))</f>
        <v/>
      </c>
      <c r="Y258" s="3" t="str">
        <f aca="false">IF(X258="","",X258-AVERAGEIFS($X$2:$X$2705,$B$2:$B$2705,B258))</f>
        <v/>
      </c>
      <c r="Z258" s="21" t="n">
        <f aca="false">P258</f>
        <v>-0.70018156505733</v>
      </c>
      <c r="AA258" s="3" t="n">
        <f aca="false">R258</f>
        <v>0</v>
      </c>
      <c r="AB258" s="21" t="n">
        <f aca="false">P258</f>
        <v>-0.70018156505733</v>
      </c>
      <c r="AC258" s="3" t="str">
        <f aca="false">Y258</f>
        <v/>
      </c>
      <c r="AD258" s="3" t="n">
        <f aca="false">R258</f>
        <v>0</v>
      </c>
    </row>
    <row r="259" customFormat="false" ht="15" hidden="false" customHeight="true" outlineLevel="0" collapsed="false">
      <c r="A259" s="7" t="s">
        <v>56</v>
      </c>
      <c r="B259" s="7" t="n">
        <v>1917</v>
      </c>
      <c r="C259" s="7" t="s">
        <v>142</v>
      </c>
      <c r="D259" s="7" t="n">
        <v>74</v>
      </c>
      <c r="E259" s="7" t="n">
        <v>80</v>
      </c>
      <c r="F259" s="3" t="n">
        <f aca="false">COUNTIFS($B$2:$B$2705,B259,$C$2:$C$2705,C259)</f>
        <v>2</v>
      </c>
      <c r="G259" s="3" t="n">
        <f aca="false">MIN(INT((MIN(B259,2020)-1900)/10)+1,12)</f>
        <v>2</v>
      </c>
      <c r="H259" s="3" t="n">
        <f aca="false">(MIN(B259,2020)-1900-10*(G259-1))/10</f>
        <v>0.7</v>
      </c>
      <c r="I259" s="20" t="n">
        <f aca="false">EXP(LN(INDEX(Pop_Inputs!$B$2:$N$29,MATCH(C259,Pop_Inputs!$A$2:$A$29,0),G259))*(1-H259)+LN(INDEX(Pop_Inputs!$B$2:$N$29,MATCH(C259,Pop_Inputs!$A$2:$A$29,0),G259+1))*H259)</f>
        <v>2535121.94523993</v>
      </c>
      <c r="J259" s="20" t="n">
        <f aca="false">I259/F259</f>
        <v>1267560.97261997</v>
      </c>
      <c r="K259" s="21" t="n">
        <f aca="false">D259/(D259+E259)</f>
        <v>0.480519480519481</v>
      </c>
      <c r="L259" s="21" t="n">
        <f aca="false">AVERAGEIFS($K$2:$K$2705,$B$2:$B$2705,B259)</f>
        <v>0.50003498576015</v>
      </c>
      <c r="M259" s="21" t="n">
        <f aca="false">K259-L259</f>
        <v>-0.0195155052406695</v>
      </c>
      <c r="N259" s="21" t="n">
        <f aca="false">LN(J259)</f>
        <v>14.0526051179216</v>
      </c>
      <c r="O259" s="21" t="n">
        <f aca="false">AVERAGEIFS($N$2:$N$2705,$B$2:$B$2705,B259)</f>
        <v>13.4994730352684</v>
      </c>
      <c r="P259" s="21" t="n">
        <f aca="false">N259-O259</f>
        <v>0.553132082653221</v>
      </c>
      <c r="Q259" s="7" t="n">
        <v>0</v>
      </c>
      <c r="R259" s="3" t="n">
        <f aca="false">IF(AND(Q259=1,B259-_xlfn.MINIFS($B$2:$B$2705,$A$2:$A$2705,A259)&lt;10),1,0)</f>
        <v>0</v>
      </c>
      <c r="S259" s="7" t="n">
        <v>0</v>
      </c>
      <c r="T259" s="3" t="n">
        <f aca="false">_xlfn.MINIFS($B$2:$B$2705,$A$2:$A$2705,A259)</f>
        <v>1901</v>
      </c>
      <c r="U259" s="3" t="n">
        <f aca="false">B259-T259</f>
        <v>16</v>
      </c>
      <c r="V259" s="3" t="str">
        <f aca="false">INDEX(Pop_Inputs!$Q$2:$Q$29,MATCH(C259,Pop_Inputs!$A$2:$A$29,0))</f>
        <v>Midwest</v>
      </c>
      <c r="W259" s="30"/>
      <c r="X259" s="3" t="str">
        <f aca="false">IF(W259="","",LN(W259))</f>
        <v/>
      </c>
      <c r="Y259" s="3" t="str">
        <f aca="false">IF(X259="","",X259-AVERAGEIFS($X$2:$X$2705,$B$2:$B$2705,B259))</f>
        <v/>
      </c>
      <c r="Z259" s="21" t="n">
        <f aca="false">P259</f>
        <v>0.553132082653221</v>
      </c>
      <c r="AA259" s="3" t="n">
        <f aca="false">R259</f>
        <v>0</v>
      </c>
      <c r="AB259" s="21" t="n">
        <f aca="false">P259</f>
        <v>0.553132082653221</v>
      </c>
      <c r="AC259" s="3" t="str">
        <f aca="false">Y259</f>
        <v/>
      </c>
      <c r="AD259" s="3" t="n">
        <f aca="false">R259</f>
        <v>0</v>
      </c>
    </row>
    <row r="260" customFormat="false" ht="15" hidden="false" customHeight="true" outlineLevel="0" collapsed="false">
      <c r="A260" s="7" t="s">
        <v>65</v>
      </c>
      <c r="B260" s="7" t="n">
        <v>1917</v>
      </c>
      <c r="C260" s="7" t="s">
        <v>142</v>
      </c>
      <c r="D260" s="7" t="n">
        <v>100</v>
      </c>
      <c r="E260" s="7" t="n">
        <v>54</v>
      </c>
      <c r="F260" s="3" t="n">
        <f aca="false">COUNTIFS($B$2:$B$2705,B260,$C$2:$C$2705,C260)</f>
        <v>2</v>
      </c>
      <c r="G260" s="3" t="n">
        <f aca="false">MIN(INT((MIN(B260,2020)-1900)/10)+1,12)</f>
        <v>2</v>
      </c>
      <c r="H260" s="3" t="n">
        <f aca="false">(MIN(B260,2020)-1900-10*(G260-1))/10</f>
        <v>0.7</v>
      </c>
      <c r="I260" s="20" t="n">
        <f aca="false">EXP(LN(INDEX(Pop_Inputs!$B$2:$N$29,MATCH(C260,Pop_Inputs!$A$2:$A$29,0),G260))*(1-H260)+LN(INDEX(Pop_Inputs!$B$2:$N$29,MATCH(C260,Pop_Inputs!$A$2:$A$29,0),G260+1))*H260)</f>
        <v>2535121.94523993</v>
      </c>
      <c r="J260" s="20" t="n">
        <f aca="false">I260/F260</f>
        <v>1267560.97261997</v>
      </c>
      <c r="K260" s="21" t="n">
        <f aca="false">D260/(D260+E260)</f>
        <v>0.649350649350649</v>
      </c>
      <c r="L260" s="21" t="n">
        <f aca="false">AVERAGEIFS($K$2:$K$2705,$B$2:$B$2705,B260)</f>
        <v>0.50003498576015</v>
      </c>
      <c r="M260" s="21" t="n">
        <f aca="false">K260-L260</f>
        <v>0.149315663590499</v>
      </c>
      <c r="N260" s="21" t="n">
        <f aca="false">LN(J260)</f>
        <v>14.0526051179216</v>
      </c>
      <c r="O260" s="21" t="n">
        <f aca="false">AVERAGEIFS($N$2:$N$2705,$B$2:$B$2705,B260)</f>
        <v>13.4994730352684</v>
      </c>
      <c r="P260" s="21" t="n">
        <f aca="false">N260-O260</f>
        <v>0.553132082653221</v>
      </c>
      <c r="Q260" s="7" t="n">
        <v>0</v>
      </c>
      <c r="R260" s="3" t="n">
        <f aca="false">IF(AND(Q260=1,B260-_xlfn.MINIFS($B$2:$B$2705,$A$2:$A$2705,A260)&lt;10),1,0)</f>
        <v>0</v>
      </c>
      <c r="S260" s="7" t="n">
        <v>0</v>
      </c>
      <c r="T260" s="3" t="n">
        <f aca="false">_xlfn.MINIFS($B$2:$B$2705,$A$2:$A$2705,A260)</f>
        <v>1901</v>
      </c>
      <c r="U260" s="3" t="n">
        <f aca="false">B260-T260</f>
        <v>16</v>
      </c>
      <c r="V260" s="3" t="str">
        <f aca="false">INDEX(Pop_Inputs!$Q$2:$Q$29,MATCH(C260,Pop_Inputs!$A$2:$A$29,0))</f>
        <v>Midwest</v>
      </c>
      <c r="W260" s="30"/>
      <c r="X260" s="3" t="str">
        <f aca="false">IF(W260="","",LN(W260))</f>
        <v/>
      </c>
      <c r="Y260" s="3" t="str">
        <f aca="false">IF(X260="","",X260-AVERAGEIFS($X$2:$X$2705,$B$2:$B$2705,B260))</f>
        <v/>
      </c>
      <c r="Z260" s="21" t="n">
        <f aca="false">P260</f>
        <v>0.553132082653221</v>
      </c>
      <c r="AA260" s="3" t="n">
        <f aca="false">R260</f>
        <v>0</v>
      </c>
      <c r="AB260" s="21" t="n">
        <f aca="false">P260</f>
        <v>0.553132082653221</v>
      </c>
      <c r="AC260" s="3" t="str">
        <f aca="false">Y260</f>
        <v/>
      </c>
      <c r="AD260" s="3" t="n">
        <f aca="false">R260</f>
        <v>0</v>
      </c>
    </row>
    <row r="261" customFormat="false" ht="15" hidden="false" customHeight="true" outlineLevel="0" collapsed="false">
      <c r="A261" s="7" t="s">
        <v>57</v>
      </c>
      <c r="B261" s="7" t="n">
        <v>1917</v>
      </c>
      <c r="C261" s="7" t="s">
        <v>143</v>
      </c>
      <c r="D261" s="7" t="n">
        <v>78</v>
      </c>
      <c r="E261" s="7" t="n">
        <v>76</v>
      </c>
      <c r="F261" s="3" t="n">
        <f aca="false">COUNTIFS($B$2:$B$2705,B261,$C$2:$C$2705,C261)</f>
        <v>1</v>
      </c>
      <c r="G261" s="3" t="n">
        <f aca="false">MIN(INT((MIN(B261,2020)-1900)/10)+1,12)</f>
        <v>2</v>
      </c>
      <c r="H261" s="3" t="n">
        <f aca="false">(MIN(B261,2020)-1900-10*(G261-1))/10</f>
        <v>0.7</v>
      </c>
      <c r="I261" s="20" t="n">
        <f aca="false">EXP(LN(INDEX(Pop_Inputs!$B$2:$N$29,MATCH(C261,Pop_Inputs!$A$2:$A$29,0),G261))*(1-H261)+LN(INDEX(Pop_Inputs!$B$2:$N$29,MATCH(C261,Pop_Inputs!$A$2:$A$29,0),G261+1))*H261)</f>
        <v>389558.061636091</v>
      </c>
      <c r="J261" s="20" t="n">
        <f aca="false">I261/F261</f>
        <v>389558.061636091</v>
      </c>
      <c r="K261" s="21" t="n">
        <f aca="false">D261/(D261+E261)</f>
        <v>0.506493506493506</v>
      </c>
      <c r="L261" s="21" t="n">
        <f aca="false">AVERAGEIFS($K$2:$K$2705,$B$2:$B$2705,B261)</f>
        <v>0.50003498576015</v>
      </c>
      <c r="M261" s="21" t="n">
        <f aca="false">K261-L261</f>
        <v>0.0064585207333564</v>
      </c>
      <c r="N261" s="21" t="n">
        <f aca="false">LN(J261)</f>
        <v>12.8727682002852</v>
      </c>
      <c r="O261" s="21" t="n">
        <f aca="false">AVERAGEIFS($N$2:$N$2705,$B$2:$B$2705,B261)</f>
        <v>13.4994730352684</v>
      </c>
      <c r="P261" s="21" t="n">
        <f aca="false">N261-O261</f>
        <v>-0.626704834983212</v>
      </c>
      <c r="Q261" s="7" t="n">
        <v>0</v>
      </c>
      <c r="R261" s="3" t="n">
        <f aca="false">IF(AND(Q261=1,B261-_xlfn.MINIFS($B$2:$B$2705,$A$2:$A$2705,A261)&lt;10),1,0)</f>
        <v>0</v>
      </c>
      <c r="S261" s="7" t="n">
        <v>0</v>
      </c>
      <c r="T261" s="3" t="n">
        <f aca="false">_xlfn.MINIFS($B$2:$B$2705,$A$2:$A$2705,A261)</f>
        <v>1901</v>
      </c>
      <c r="U261" s="3" t="n">
        <f aca="false">B261-T261</f>
        <v>16</v>
      </c>
      <c r="V261" s="3" t="str">
        <f aca="false">INDEX(Pop_Inputs!$Q$2:$Q$29,MATCH(C261,Pop_Inputs!$A$2:$A$29,0))</f>
        <v>Midwest</v>
      </c>
      <c r="W261" s="30"/>
      <c r="X261" s="3" t="str">
        <f aca="false">IF(W261="","",LN(W261))</f>
        <v/>
      </c>
      <c r="Y261" s="3" t="str">
        <f aca="false">IF(X261="","",X261-AVERAGEIFS($X$2:$X$2705,$B$2:$B$2705,B261))</f>
        <v/>
      </c>
      <c r="Z261" s="21" t="n">
        <f aca="false">P261</f>
        <v>-0.626704834983212</v>
      </c>
      <c r="AA261" s="3" t="n">
        <f aca="false">R261</f>
        <v>0</v>
      </c>
      <c r="AB261" s="21" t="n">
        <f aca="false">P261</f>
        <v>-0.626704834983212</v>
      </c>
      <c r="AC261" s="3" t="str">
        <f aca="false">Y261</f>
        <v/>
      </c>
      <c r="AD261" s="3" t="n">
        <f aca="false">R261</f>
        <v>0</v>
      </c>
    </row>
    <row r="262" customFormat="false" ht="15" hidden="false" customHeight="true" outlineLevel="0" collapsed="false">
      <c r="A262" s="7" t="s">
        <v>66</v>
      </c>
      <c r="B262" s="7" t="n">
        <v>1917</v>
      </c>
      <c r="C262" s="7" t="s">
        <v>151</v>
      </c>
      <c r="D262" s="7" t="n">
        <v>88</v>
      </c>
      <c r="E262" s="7" t="n">
        <v>66</v>
      </c>
      <c r="F262" s="3" t="n">
        <f aca="false">COUNTIFS($B$2:$B$2705,B262,$C$2:$C$2705,C262)</f>
        <v>1</v>
      </c>
      <c r="G262" s="3" t="n">
        <f aca="false">MIN(INT((MIN(B262,2020)-1900)/10)+1,12)</f>
        <v>2</v>
      </c>
      <c r="H262" s="3" t="n">
        <f aca="false">(MIN(B262,2020)-1900-10*(G262-1))/10</f>
        <v>0.7</v>
      </c>
      <c r="I262" s="20" t="n">
        <f aca="false">EXP(LN(INDEX(Pop_Inputs!$B$2:$N$29,MATCH(C262,Pop_Inputs!$A$2:$A$29,0),G262))*(1-H262)+LN(INDEX(Pop_Inputs!$B$2:$N$29,MATCH(C262,Pop_Inputs!$A$2:$A$29,0),G262+1))*H262)</f>
        <v>717085.167121582</v>
      </c>
      <c r="J262" s="20" t="n">
        <f aca="false">I262/F262</f>
        <v>717085.167121582</v>
      </c>
      <c r="K262" s="21" t="n">
        <f aca="false">D262/(D262+E262)</f>
        <v>0.571428571428571</v>
      </c>
      <c r="L262" s="21" t="n">
        <f aca="false">AVERAGEIFS($K$2:$K$2705,$B$2:$B$2705,B262)</f>
        <v>0.50003498576015</v>
      </c>
      <c r="M262" s="21" t="n">
        <f aca="false">K262-L262</f>
        <v>0.0713935856684214</v>
      </c>
      <c r="N262" s="21" t="n">
        <f aca="false">LN(J262)</f>
        <v>13.482949895124</v>
      </c>
      <c r="O262" s="21" t="n">
        <f aca="false">AVERAGEIFS($N$2:$N$2705,$B$2:$B$2705,B262)</f>
        <v>13.4994730352684</v>
      </c>
      <c r="P262" s="21" t="n">
        <f aca="false">N262-O262</f>
        <v>-0.0165231401443879</v>
      </c>
      <c r="Q262" s="7" t="n">
        <v>0</v>
      </c>
      <c r="R262" s="3" t="n">
        <f aca="false">IF(AND(Q262=1,B262-_xlfn.MINIFS($B$2:$B$2705,$A$2:$A$2705,A262)&lt;10),1,0)</f>
        <v>0</v>
      </c>
      <c r="S262" s="7" t="n">
        <v>0</v>
      </c>
      <c r="T262" s="3" t="n">
        <f aca="false">_xlfn.MINIFS($B$2:$B$2705,$A$2:$A$2705,A262)</f>
        <v>1901</v>
      </c>
      <c r="U262" s="3" t="n">
        <f aca="false">B262-T262</f>
        <v>16</v>
      </c>
      <c r="V262" s="3" t="str">
        <f aca="false">INDEX(Pop_Inputs!$Q$2:$Q$29,MATCH(C262,Pop_Inputs!$A$2:$A$29,0))</f>
        <v>Midwest</v>
      </c>
      <c r="W262" s="30"/>
      <c r="X262" s="3" t="str">
        <f aca="false">IF(W262="","",LN(W262))</f>
        <v/>
      </c>
      <c r="Y262" s="3" t="str">
        <f aca="false">IF(X262="","",X262-AVERAGEIFS($X$2:$X$2705,$B$2:$B$2705,B262))</f>
        <v/>
      </c>
      <c r="Z262" s="21" t="n">
        <f aca="false">P262</f>
        <v>-0.0165231401443879</v>
      </c>
      <c r="AA262" s="3" t="n">
        <f aca="false">R262</f>
        <v>0</v>
      </c>
      <c r="AB262" s="21" t="n">
        <f aca="false">P262</f>
        <v>-0.0165231401443879</v>
      </c>
      <c r="AC262" s="3" t="str">
        <f aca="false">Y262</f>
        <v/>
      </c>
      <c r="AD262" s="3" t="n">
        <f aca="false">R262</f>
        <v>0</v>
      </c>
    </row>
    <row r="263" customFormat="false" ht="15" hidden="false" customHeight="true" outlineLevel="0" collapsed="false">
      <c r="A263" s="7" t="s">
        <v>67</v>
      </c>
      <c r="B263" s="7" t="n">
        <v>1917</v>
      </c>
      <c r="C263" s="7" t="s">
        <v>152</v>
      </c>
      <c r="D263" s="7" t="n">
        <v>78</v>
      </c>
      <c r="E263" s="7" t="n">
        <v>75</v>
      </c>
      <c r="F263" s="3" t="n">
        <f aca="false">COUNTIFS($B$2:$B$2705,B263,$C$2:$C$2705,C263)</f>
        <v>1</v>
      </c>
      <c r="G263" s="3" t="n">
        <f aca="false">MIN(INT((MIN(B263,2020)-1900)/10)+1,12)</f>
        <v>2</v>
      </c>
      <c r="H263" s="3" t="n">
        <f aca="false">(MIN(B263,2020)-1900-10*(G263-1))/10</f>
        <v>0.7</v>
      </c>
      <c r="I263" s="20" t="n">
        <f aca="false">EXP(LN(INDEX(Pop_Inputs!$B$2:$N$29,MATCH(C263,Pop_Inputs!$A$2:$A$29,0),G263))*(1-H263)+LN(INDEX(Pop_Inputs!$B$2:$N$29,MATCH(C263,Pop_Inputs!$A$2:$A$29,0),G263+1))*H263)</f>
        <v>791630.1148232</v>
      </c>
      <c r="J263" s="20" t="n">
        <f aca="false">I263/F263</f>
        <v>791630.1148232</v>
      </c>
      <c r="K263" s="21" t="n">
        <f aca="false">D263/(D263+E263)</f>
        <v>0.509803921568627</v>
      </c>
      <c r="L263" s="21" t="n">
        <f aca="false">AVERAGEIFS($K$2:$K$2705,$B$2:$B$2705,B263)</f>
        <v>0.50003498576015</v>
      </c>
      <c r="M263" s="21" t="n">
        <f aca="false">K263-L263</f>
        <v>0.00976893580847738</v>
      </c>
      <c r="N263" s="21" t="n">
        <f aca="false">LN(J263)</f>
        <v>13.5818495349672</v>
      </c>
      <c r="O263" s="21" t="n">
        <f aca="false">AVERAGEIFS($N$2:$N$2705,$B$2:$B$2705,B263)</f>
        <v>13.4994730352684</v>
      </c>
      <c r="P263" s="21" t="n">
        <f aca="false">N263-O263</f>
        <v>0.0823764996988246</v>
      </c>
      <c r="Q263" s="7" t="n">
        <v>0</v>
      </c>
      <c r="R263" s="3" t="n">
        <f aca="false">IF(AND(Q263=1,B263-_xlfn.MINIFS($B$2:$B$2705,$A$2:$A$2705,A263)&lt;10),1,0)</f>
        <v>0</v>
      </c>
      <c r="S263" s="7" t="n">
        <v>0</v>
      </c>
      <c r="T263" s="3" t="n">
        <f aca="false">_xlfn.MINIFS($B$2:$B$2705,$A$2:$A$2705,A263)</f>
        <v>1901</v>
      </c>
      <c r="U263" s="3" t="n">
        <f aca="false">B263-T263</f>
        <v>16</v>
      </c>
      <c r="V263" s="3" t="str">
        <f aca="false">INDEX(Pop_Inputs!$Q$2:$Q$29,MATCH(C263,Pop_Inputs!$A$2:$A$29,0))</f>
        <v>Midwest</v>
      </c>
      <c r="W263" s="30"/>
      <c r="X263" s="3" t="str">
        <f aca="false">IF(W263="","",LN(W263))</f>
        <v/>
      </c>
      <c r="Y263" s="3" t="str">
        <f aca="false">IF(X263="","",X263-AVERAGEIFS($X$2:$X$2705,$B$2:$B$2705,B263))</f>
        <v/>
      </c>
      <c r="Z263" s="21" t="n">
        <f aca="false">P263</f>
        <v>0.0823764996988246</v>
      </c>
      <c r="AA263" s="3" t="n">
        <f aca="false">R263</f>
        <v>0</v>
      </c>
      <c r="AB263" s="21" t="n">
        <f aca="false">P263</f>
        <v>0.0823764996988246</v>
      </c>
      <c r="AC263" s="3" t="str">
        <f aca="false">Y263</f>
        <v/>
      </c>
      <c r="AD263" s="3" t="n">
        <f aca="false">R263</f>
        <v>0</v>
      </c>
    </row>
    <row r="264" customFormat="false" ht="15" hidden="false" customHeight="true" outlineLevel="0" collapsed="false">
      <c r="A264" s="7" t="s">
        <v>62</v>
      </c>
      <c r="B264" s="7" t="n">
        <v>1917</v>
      </c>
      <c r="C264" s="7" t="s">
        <v>154</v>
      </c>
      <c r="D264" s="7" t="n">
        <v>70</v>
      </c>
      <c r="E264" s="7" t="n">
        <v>81</v>
      </c>
      <c r="F264" s="3" t="n">
        <f aca="false">COUNTIFS($B$2:$B$2705,B264,$C$2:$C$2705,C264)</f>
        <v>3</v>
      </c>
      <c r="G264" s="3" t="n">
        <f aca="false">MIN(INT((MIN(B264,2020)-1900)/10)+1,12)</f>
        <v>2</v>
      </c>
      <c r="H264" s="3" t="n">
        <f aca="false">(MIN(B264,2020)-1900-10*(G264-1))/10</f>
        <v>0.7</v>
      </c>
      <c r="I264" s="20" t="n">
        <f aca="false">EXP(LN(INDEX(Pop_Inputs!$B$2:$N$29,MATCH(C264,Pop_Inputs!$A$2:$A$29,0),G264))*(1-H264)+LN(INDEX(Pop_Inputs!$B$2:$N$29,MATCH(C264,Pop_Inputs!$A$2:$A$29,0),G264+1))*H264)</f>
        <v>5349194.20144122</v>
      </c>
      <c r="J264" s="20" t="n">
        <f aca="false">I264/F264</f>
        <v>1783064.73381374</v>
      </c>
      <c r="K264" s="21" t="n">
        <f aca="false">D264/(D264+E264)</f>
        <v>0.463576158940397</v>
      </c>
      <c r="L264" s="21" t="n">
        <f aca="false">AVERAGEIFS($K$2:$K$2705,$B$2:$B$2705,B264)</f>
        <v>0.50003498576015</v>
      </c>
      <c r="M264" s="21" t="n">
        <f aca="false">K264-L264</f>
        <v>-0.0364588268197527</v>
      </c>
      <c r="N264" s="21" t="n">
        <f aca="false">LN(J264)</f>
        <v>14.3938442023072</v>
      </c>
      <c r="O264" s="21" t="n">
        <f aca="false">AVERAGEIFS($N$2:$N$2705,$B$2:$B$2705,B264)</f>
        <v>13.4994730352684</v>
      </c>
      <c r="P264" s="21" t="n">
        <f aca="false">N264-O264</f>
        <v>0.894371167038825</v>
      </c>
      <c r="Q264" s="7" t="n">
        <v>0</v>
      </c>
      <c r="R264" s="3" t="n">
        <f aca="false">IF(AND(Q264=1,B264-_xlfn.MINIFS($B$2:$B$2705,$A$2:$A$2705,A264)&lt;10),1,0)</f>
        <v>0</v>
      </c>
      <c r="S264" s="7" t="n">
        <v>0</v>
      </c>
      <c r="T264" s="3" t="n">
        <f aca="false">_xlfn.MINIFS($B$2:$B$2705,$A$2:$A$2705,A264)</f>
        <v>1901</v>
      </c>
      <c r="U264" s="3" t="n">
        <f aca="false">B264-T264</f>
        <v>16</v>
      </c>
      <c r="V264" s="3" t="str">
        <f aca="false">INDEX(Pop_Inputs!$Q$2:$Q$29,MATCH(C264,Pop_Inputs!$A$2:$A$29,0))</f>
        <v>Northeast</v>
      </c>
      <c r="W264" s="30"/>
      <c r="X264" s="3" t="str">
        <f aca="false">IF(W264="","",LN(W264))</f>
        <v/>
      </c>
      <c r="Y264" s="3" t="str">
        <f aca="false">IF(X264="","",X264-AVERAGEIFS($X$2:$X$2705,$B$2:$B$2705,B264))</f>
        <v/>
      </c>
      <c r="Z264" s="21" t="n">
        <f aca="false">P264</f>
        <v>0.894371167038825</v>
      </c>
      <c r="AA264" s="3" t="n">
        <f aca="false">R264</f>
        <v>0</v>
      </c>
      <c r="AB264" s="21" t="n">
        <f aca="false">P264</f>
        <v>0.894371167038825</v>
      </c>
      <c r="AC264" s="3" t="str">
        <f aca="false">Y264</f>
        <v/>
      </c>
      <c r="AD264" s="3" t="n">
        <f aca="false">R264</f>
        <v>0</v>
      </c>
    </row>
    <row r="265" customFormat="false" ht="15" hidden="false" customHeight="true" outlineLevel="0" collapsed="false">
      <c r="A265" s="7" t="s">
        <v>68</v>
      </c>
      <c r="B265" s="7" t="n">
        <v>1917</v>
      </c>
      <c r="C265" s="7" t="s">
        <v>160</v>
      </c>
      <c r="D265" s="7" t="n">
        <v>74</v>
      </c>
      <c r="E265" s="7" t="n">
        <v>79</v>
      </c>
      <c r="F265" s="3" t="n">
        <f aca="false">COUNTIFS($B$2:$B$2705,B265,$C$2:$C$2705,C265)</f>
        <v>1</v>
      </c>
      <c r="G265" s="3" t="n">
        <f aca="false">MIN(INT((MIN(B265,2020)-1900)/10)+1,12)</f>
        <v>2</v>
      </c>
      <c r="H265" s="3" t="n">
        <f aca="false">(MIN(B265,2020)-1900-10*(G265-1))/10</f>
        <v>0.7</v>
      </c>
      <c r="I265" s="20" t="n">
        <f aca="false">EXP(LN(INDEX(Pop_Inputs!$B$2:$N$29,MATCH(C265,Pop_Inputs!$A$2:$A$29,0),G265))*(1-H265)+LN(INDEX(Pop_Inputs!$B$2:$N$29,MATCH(C265,Pop_Inputs!$A$2:$A$29,0),G265+1))*H265)</f>
        <v>402447.771705669</v>
      </c>
      <c r="J265" s="20" t="n">
        <f aca="false">I265/F265</f>
        <v>402447.771705669</v>
      </c>
      <c r="K265" s="21" t="n">
        <f aca="false">D265/(D265+E265)</f>
        <v>0.483660130718954</v>
      </c>
      <c r="L265" s="21" t="n">
        <f aca="false">AVERAGEIFS($K$2:$K$2705,$B$2:$B$2705,B265)</f>
        <v>0.50003498576015</v>
      </c>
      <c r="M265" s="21" t="n">
        <f aca="false">K265-L265</f>
        <v>-0.0163748550411958</v>
      </c>
      <c r="N265" s="21" t="n">
        <f aca="false">LN(J265)</f>
        <v>12.9053206076838</v>
      </c>
      <c r="O265" s="21" t="n">
        <f aca="false">AVERAGEIFS($N$2:$N$2705,$B$2:$B$2705,B265)</f>
        <v>13.4994730352684</v>
      </c>
      <c r="P265" s="21" t="n">
        <f aca="false">N265-O265</f>
        <v>-0.594152427584637</v>
      </c>
      <c r="Q265" s="7" t="n">
        <v>0</v>
      </c>
      <c r="R265" s="3" t="n">
        <f aca="false">IF(AND(Q265=1,B265-_xlfn.MINIFS($B$2:$B$2705,$A$2:$A$2705,A265)&lt;10),1,0)</f>
        <v>0</v>
      </c>
      <c r="S265" s="7" t="n">
        <v>0</v>
      </c>
      <c r="T265" s="3" t="n">
        <f aca="false">_xlfn.MINIFS($B$2:$B$2705,$A$2:$A$2705,A265)</f>
        <v>1901</v>
      </c>
      <c r="U265" s="3" t="n">
        <f aca="false">B265-T265</f>
        <v>16</v>
      </c>
      <c r="V265" s="3" t="str">
        <f aca="false">INDEX(Pop_Inputs!$Q$2:$Q$29,MATCH(C265,Pop_Inputs!$A$2:$A$29,0))</f>
        <v>South</v>
      </c>
      <c r="W265" s="30"/>
      <c r="X265" s="3" t="str">
        <f aca="false">IF(W265="","",LN(W265))</f>
        <v/>
      </c>
      <c r="Y265" s="3" t="str">
        <f aca="false">IF(X265="","",X265-AVERAGEIFS($X$2:$X$2705,$B$2:$B$2705,B265))</f>
        <v/>
      </c>
      <c r="Z265" s="21" t="n">
        <f aca="false">P265</f>
        <v>-0.594152427584637</v>
      </c>
      <c r="AA265" s="3" t="n">
        <f aca="false">R265</f>
        <v>0</v>
      </c>
      <c r="AB265" s="21" t="n">
        <f aca="false">P265</f>
        <v>-0.594152427584637</v>
      </c>
      <c r="AC265" s="3" t="str">
        <f aca="false">Y265</f>
        <v/>
      </c>
      <c r="AD265" s="3" t="n">
        <f aca="false">R265</f>
        <v>0</v>
      </c>
    </row>
    <row r="266" customFormat="false" ht="15" hidden="false" customHeight="true" outlineLevel="0" collapsed="false">
      <c r="A266" s="7" t="s">
        <v>70</v>
      </c>
      <c r="B266" s="7" t="n">
        <v>1917</v>
      </c>
      <c r="C266" s="7" t="s">
        <v>154</v>
      </c>
      <c r="D266" s="7" t="n">
        <v>71</v>
      </c>
      <c r="E266" s="7" t="n">
        <v>82</v>
      </c>
      <c r="F266" s="3" t="n">
        <f aca="false">COUNTIFS($B$2:$B$2705,B266,$C$2:$C$2705,C266)</f>
        <v>3</v>
      </c>
      <c r="G266" s="3" t="n">
        <f aca="false">MIN(INT((MIN(B266,2020)-1900)/10)+1,12)</f>
        <v>2</v>
      </c>
      <c r="H266" s="3" t="n">
        <f aca="false">(MIN(B266,2020)-1900-10*(G266-1))/10</f>
        <v>0.7</v>
      </c>
      <c r="I266" s="20" t="n">
        <f aca="false">EXP(LN(INDEX(Pop_Inputs!$B$2:$N$29,MATCH(C266,Pop_Inputs!$A$2:$A$29,0),G266))*(1-H266)+LN(INDEX(Pop_Inputs!$B$2:$N$29,MATCH(C266,Pop_Inputs!$A$2:$A$29,0),G266+1))*H266)</f>
        <v>5349194.20144122</v>
      </c>
      <c r="J266" s="20" t="n">
        <f aca="false">I266/F266</f>
        <v>1783064.73381374</v>
      </c>
      <c r="K266" s="21" t="n">
        <f aca="false">D266/(D266+E266)</f>
        <v>0.464052287581699</v>
      </c>
      <c r="L266" s="21" t="n">
        <f aca="false">AVERAGEIFS($K$2:$K$2705,$B$2:$B$2705,B266)</f>
        <v>0.50003498576015</v>
      </c>
      <c r="M266" s="21" t="n">
        <f aca="false">K266-L266</f>
        <v>-0.0359826981784507</v>
      </c>
      <c r="N266" s="21" t="n">
        <f aca="false">LN(J266)</f>
        <v>14.3938442023072</v>
      </c>
      <c r="O266" s="21" t="n">
        <f aca="false">AVERAGEIFS($N$2:$N$2705,$B$2:$B$2705,B266)</f>
        <v>13.4994730352684</v>
      </c>
      <c r="P266" s="21" t="n">
        <f aca="false">N266-O266</f>
        <v>0.894371167038825</v>
      </c>
      <c r="Q266" s="7" t="n">
        <v>0</v>
      </c>
      <c r="R266" s="3" t="n">
        <f aca="false">IF(AND(Q266=1,B266-_xlfn.MINIFS($B$2:$B$2705,$A$2:$A$2705,A266)&lt;10),1,0)</f>
        <v>0</v>
      </c>
      <c r="S266" s="7" t="n">
        <v>1</v>
      </c>
      <c r="T266" s="3" t="n">
        <f aca="false">_xlfn.MINIFS($B$2:$B$2705,$A$2:$A$2705,A266)</f>
        <v>1903</v>
      </c>
      <c r="U266" s="3" t="n">
        <f aca="false">B266-T266</f>
        <v>14</v>
      </c>
      <c r="V266" s="3" t="str">
        <f aca="false">INDEX(Pop_Inputs!$Q$2:$Q$29,MATCH(C266,Pop_Inputs!$A$2:$A$29,0))</f>
        <v>Northeast</v>
      </c>
      <c r="W266" s="30"/>
      <c r="X266" s="3" t="str">
        <f aca="false">IF(W266="","",LN(W266))</f>
        <v/>
      </c>
      <c r="Y266" s="3" t="str">
        <f aca="false">IF(X266="","",X266-AVERAGEIFS($X$2:$X$2705,$B$2:$B$2705,B266))</f>
        <v/>
      </c>
      <c r="Z266" s="21" t="n">
        <f aca="false">P266</f>
        <v>0.894371167038825</v>
      </c>
      <c r="AA266" s="3" t="n">
        <f aca="false">R266</f>
        <v>0</v>
      </c>
      <c r="AB266" s="21" t="n">
        <f aca="false">P266</f>
        <v>0.894371167038825</v>
      </c>
      <c r="AC266" s="3" t="str">
        <f aca="false">Y266</f>
        <v/>
      </c>
      <c r="AD266" s="3" t="n">
        <f aca="false">R266</f>
        <v>0</v>
      </c>
    </row>
    <row r="267" customFormat="false" ht="15" hidden="false" customHeight="true" outlineLevel="0" collapsed="false">
      <c r="A267" s="7" t="s">
        <v>69</v>
      </c>
      <c r="B267" s="7" t="n">
        <v>1917</v>
      </c>
      <c r="C267" s="7" t="s">
        <v>146</v>
      </c>
      <c r="D267" s="7" t="n">
        <v>55</v>
      </c>
      <c r="E267" s="7" t="n">
        <v>98</v>
      </c>
      <c r="F267" s="3" t="n">
        <f aca="false">COUNTIFS($B$2:$B$2705,B267,$C$2:$C$2705,C267)</f>
        <v>2</v>
      </c>
      <c r="G267" s="3" t="n">
        <f aca="false">MIN(INT((MIN(B267,2020)-1900)/10)+1,12)</f>
        <v>2</v>
      </c>
      <c r="H267" s="3" t="n">
        <f aca="false">(MIN(B267,2020)-1900-10*(G267-1))/10</f>
        <v>0.7</v>
      </c>
      <c r="I267" s="20" t="n">
        <f aca="false">EXP(LN(INDEX(Pop_Inputs!$B$2:$N$29,MATCH(C267,Pop_Inputs!$A$2:$A$29,0),G267))*(1-H267)+LN(INDEX(Pop_Inputs!$B$2:$N$29,MATCH(C267,Pop_Inputs!$A$2:$A$29,0),G267+1))*H267)</f>
        <v>1736587.40030104</v>
      </c>
      <c r="J267" s="20" t="n">
        <f aca="false">I267/F267</f>
        <v>868293.700150522</v>
      </c>
      <c r="K267" s="21" t="n">
        <f aca="false">D267/(D267+E267)</f>
        <v>0.359477124183007</v>
      </c>
      <c r="L267" s="21" t="n">
        <f aca="false">AVERAGEIFS($K$2:$K$2705,$B$2:$B$2705,B267)</f>
        <v>0.50003498576015</v>
      </c>
      <c r="M267" s="21" t="n">
        <f aca="false">K267-L267</f>
        <v>-0.140557861577144</v>
      </c>
      <c r="N267" s="21" t="n">
        <f aca="false">LN(J267)</f>
        <v>13.6742853006389</v>
      </c>
      <c r="O267" s="21" t="n">
        <f aca="false">AVERAGEIFS($N$2:$N$2705,$B$2:$B$2705,B267)</f>
        <v>13.4994730352684</v>
      </c>
      <c r="P267" s="21" t="n">
        <f aca="false">N267-O267</f>
        <v>0.174812265370534</v>
      </c>
      <c r="Q267" s="7" t="n">
        <v>0</v>
      </c>
      <c r="R267" s="3" t="n">
        <f aca="false">IF(AND(Q267=1,B267-_xlfn.MINIFS($B$2:$B$2705,$A$2:$A$2705,A267)&lt;10),1,0)</f>
        <v>0</v>
      </c>
      <c r="S267" s="7" t="n">
        <v>0</v>
      </c>
      <c r="T267" s="3" t="n">
        <f aca="false">_xlfn.MINIFS($B$2:$B$2705,$A$2:$A$2705,A267)</f>
        <v>1901</v>
      </c>
      <c r="U267" s="3" t="n">
        <f aca="false">B267-T267</f>
        <v>16</v>
      </c>
      <c r="V267" s="3" t="str">
        <f aca="false">INDEX(Pop_Inputs!$Q$2:$Q$29,MATCH(C267,Pop_Inputs!$A$2:$A$29,0))</f>
        <v>Northeast</v>
      </c>
      <c r="W267" s="30"/>
      <c r="X267" s="3" t="str">
        <f aca="false">IF(W267="","",LN(W267))</f>
        <v/>
      </c>
      <c r="Y267" s="3" t="str">
        <f aca="false">IF(X267="","",X267-AVERAGEIFS($X$2:$X$2705,$B$2:$B$2705,B267))</f>
        <v/>
      </c>
      <c r="Z267" s="21" t="n">
        <f aca="false">P267</f>
        <v>0.174812265370534</v>
      </c>
      <c r="AA267" s="3" t="n">
        <f aca="false">R267</f>
        <v>0</v>
      </c>
      <c r="AB267" s="21" t="n">
        <f aca="false">P267</f>
        <v>0.174812265370534</v>
      </c>
      <c r="AC267" s="3" t="str">
        <f aca="false">Y267</f>
        <v/>
      </c>
      <c r="AD267" s="3" t="n">
        <f aca="false">R267</f>
        <v>0</v>
      </c>
    </row>
    <row r="268" customFormat="false" ht="15" hidden="false" customHeight="true" outlineLevel="0" collapsed="false">
      <c r="A268" s="7" t="s">
        <v>60</v>
      </c>
      <c r="B268" s="7" t="n">
        <v>1917</v>
      </c>
      <c r="C268" s="7" t="s">
        <v>146</v>
      </c>
      <c r="D268" s="7" t="n">
        <v>87</v>
      </c>
      <c r="E268" s="7" t="n">
        <v>65</v>
      </c>
      <c r="F268" s="3" t="n">
        <f aca="false">COUNTIFS($B$2:$B$2705,B268,$C$2:$C$2705,C268)</f>
        <v>2</v>
      </c>
      <c r="G268" s="3" t="n">
        <f aca="false">MIN(INT((MIN(B268,2020)-1900)/10)+1,12)</f>
        <v>2</v>
      </c>
      <c r="H268" s="3" t="n">
        <f aca="false">(MIN(B268,2020)-1900-10*(G268-1))/10</f>
        <v>0.7</v>
      </c>
      <c r="I268" s="20" t="n">
        <f aca="false">EXP(LN(INDEX(Pop_Inputs!$B$2:$N$29,MATCH(C268,Pop_Inputs!$A$2:$A$29,0),G268))*(1-H268)+LN(INDEX(Pop_Inputs!$B$2:$N$29,MATCH(C268,Pop_Inputs!$A$2:$A$29,0),G268+1))*H268)</f>
        <v>1736587.40030104</v>
      </c>
      <c r="J268" s="20" t="n">
        <f aca="false">I268/F268</f>
        <v>868293.700150522</v>
      </c>
      <c r="K268" s="21" t="n">
        <f aca="false">D268/(D268+E268)</f>
        <v>0.572368421052632</v>
      </c>
      <c r="L268" s="21" t="n">
        <f aca="false">AVERAGEIFS($K$2:$K$2705,$B$2:$B$2705,B268)</f>
        <v>0.50003498576015</v>
      </c>
      <c r="M268" s="21" t="n">
        <f aca="false">K268-L268</f>
        <v>0.0723334352924815</v>
      </c>
      <c r="N268" s="21" t="n">
        <f aca="false">LN(J268)</f>
        <v>13.6742853006389</v>
      </c>
      <c r="O268" s="21" t="n">
        <f aca="false">AVERAGEIFS($N$2:$N$2705,$B$2:$B$2705,B268)</f>
        <v>13.4994730352684</v>
      </c>
      <c r="P268" s="21" t="n">
        <f aca="false">N268-O268</f>
        <v>0.174812265370534</v>
      </c>
      <c r="Q268" s="7" t="n">
        <v>0</v>
      </c>
      <c r="R268" s="3" t="n">
        <f aca="false">IF(AND(Q268=1,B268-_xlfn.MINIFS($B$2:$B$2705,$A$2:$A$2705,A268)&lt;10),1,0)</f>
        <v>0</v>
      </c>
      <c r="S268" s="7" t="n">
        <v>0</v>
      </c>
      <c r="T268" s="3" t="n">
        <f aca="false">_xlfn.MINIFS($B$2:$B$2705,$A$2:$A$2705,A268)</f>
        <v>1901</v>
      </c>
      <c r="U268" s="3" t="n">
        <f aca="false">B268-T268</f>
        <v>16</v>
      </c>
      <c r="V268" s="3" t="str">
        <f aca="false">INDEX(Pop_Inputs!$Q$2:$Q$29,MATCH(C268,Pop_Inputs!$A$2:$A$29,0))</f>
        <v>Northeast</v>
      </c>
      <c r="W268" s="30"/>
      <c r="X268" s="3" t="str">
        <f aca="false">IF(W268="","",LN(W268))</f>
        <v/>
      </c>
      <c r="Y268" s="3" t="str">
        <f aca="false">IF(X268="","",X268-AVERAGEIFS($X$2:$X$2705,$B$2:$B$2705,B268))</f>
        <v/>
      </c>
      <c r="Z268" s="21" t="n">
        <f aca="false">P268</f>
        <v>0.174812265370534</v>
      </c>
      <c r="AA268" s="3" t="n">
        <f aca="false">R268</f>
        <v>0</v>
      </c>
      <c r="AB268" s="21" t="n">
        <f aca="false">P268</f>
        <v>0.174812265370534</v>
      </c>
      <c r="AC268" s="3" t="str">
        <f aca="false">Y268</f>
        <v/>
      </c>
      <c r="AD268" s="3" t="n">
        <f aca="false">R268</f>
        <v>0</v>
      </c>
    </row>
    <row r="269" customFormat="false" ht="15" hidden="false" customHeight="true" outlineLevel="0" collapsed="false">
      <c r="A269" s="7" t="s">
        <v>58</v>
      </c>
      <c r="B269" s="7" t="n">
        <v>1917</v>
      </c>
      <c r="C269" s="7" t="s">
        <v>144</v>
      </c>
      <c r="D269" s="7" t="n">
        <v>51</v>
      </c>
      <c r="E269" s="7" t="n">
        <v>103</v>
      </c>
      <c r="F269" s="3" t="n">
        <f aca="false">COUNTIFS($B$2:$B$2705,B269,$C$2:$C$2705,C269)</f>
        <v>1</v>
      </c>
      <c r="G269" s="3" t="n">
        <f aca="false">MIN(INT((MIN(B269,2020)-1900)/10)+1,12)</f>
        <v>2</v>
      </c>
      <c r="H269" s="3" t="n">
        <f aca="false">(MIN(B269,2020)-1900-10*(G269-1))/10</f>
        <v>0.7</v>
      </c>
      <c r="I269" s="20" t="n">
        <f aca="false">EXP(LN(INDEX(Pop_Inputs!$B$2:$N$29,MATCH(C269,Pop_Inputs!$A$2:$A$29,0),G269))*(1-H269)+LN(INDEX(Pop_Inputs!$B$2:$N$29,MATCH(C269,Pop_Inputs!$A$2:$A$29,0),G269+1))*H269)</f>
        <v>571453.122194986</v>
      </c>
      <c r="J269" s="20" t="n">
        <f aca="false">I269/F269</f>
        <v>571453.122194986</v>
      </c>
      <c r="K269" s="21" t="n">
        <f aca="false">D269/(D269+E269)</f>
        <v>0.331168831168831</v>
      </c>
      <c r="L269" s="21" t="n">
        <f aca="false">AVERAGEIFS($K$2:$K$2705,$B$2:$B$2705,B269)</f>
        <v>0.50003498576015</v>
      </c>
      <c r="M269" s="21" t="n">
        <f aca="false">K269-L269</f>
        <v>-0.168866154591319</v>
      </c>
      <c r="N269" s="21" t="n">
        <f aca="false">LN(J269)</f>
        <v>13.2559377329472</v>
      </c>
      <c r="O269" s="21" t="n">
        <f aca="false">AVERAGEIFS($N$2:$N$2705,$B$2:$B$2705,B269)</f>
        <v>13.4994730352684</v>
      </c>
      <c r="P269" s="21" t="n">
        <f aca="false">N269-O269</f>
        <v>-0.243535302321241</v>
      </c>
      <c r="Q269" s="7" t="n">
        <v>0</v>
      </c>
      <c r="R269" s="3" t="n">
        <f aca="false">IF(AND(Q269=1,B269-_xlfn.MINIFS($B$2:$B$2705,$A$2:$A$2705,A269)&lt;10),1,0)</f>
        <v>0</v>
      </c>
      <c r="S269" s="7" t="n">
        <v>0</v>
      </c>
      <c r="T269" s="3" t="n">
        <f aca="false">_xlfn.MINIFS($B$2:$B$2705,$A$2:$A$2705,A269)</f>
        <v>1901</v>
      </c>
      <c r="U269" s="3" t="n">
        <f aca="false">B269-T269</f>
        <v>16</v>
      </c>
      <c r="V269" s="3" t="str">
        <f aca="false">INDEX(Pop_Inputs!$Q$2:$Q$29,MATCH(C269,Pop_Inputs!$A$2:$A$29,0))</f>
        <v>Northeast</v>
      </c>
      <c r="W269" s="30"/>
      <c r="X269" s="3" t="str">
        <f aca="false">IF(W269="","",LN(W269))</f>
        <v/>
      </c>
      <c r="Y269" s="3" t="str">
        <f aca="false">IF(X269="","",X269-AVERAGEIFS($X$2:$X$2705,$B$2:$B$2705,B269))</f>
        <v/>
      </c>
      <c r="Z269" s="21" t="n">
        <f aca="false">P269</f>
        <v>-0.243535302321241</v>
      </c>
      <c r="AA269" s="3" t="n">
        <f aca="false">R269</f>
        <v>0</v>
      </c>
      <c r="AB269" s="21" t="n">
        <f aca="false">P269</f>
        <v>-0.243535302321241</v>
      </c>
      <c r="AC269" s="3" t="str">
        <f aca="false">Y269</f>
        <v/>
      </c>
      <c r="AD269" s="3" t="n">
        <f aca="false">R269</f>
        <v>0</v>
      </c>
    </row>
    <row r="270" customFormat="false" ht="15" hidden="false" customHeight="true" outlineLevel="0" collapsed="false">
      <c r="A270" s="7" t="s">
        <v>61</v>
      </c>
      <c r="B270" s="7" t="n">
        <v>1917</v>
      </c>
      <c r="C270" s="7" t="s">
        <v>154</v>
      </c>
      <c r="D270" s="7" t="n">
        <v>98</v>
      </c>
      <c r="E270" s="7" t="n">
        <v>56</v>
      </c>
      <c r="F270" s="3" t="n">
        <f aca="false">COUNTIFS($B$2:$B$2705,B270,$C$2:$C$2705,C270)</f>
        <v>3</v>
      </c>
      <c r="G270" s="3" t="n">
        <f aca="false">MIN(INT((MIN(B270,2020)-1900)/10)+1,12)</f>
        <v>2</v>
      </c>
      <c r="H270" s="3" t="n">
        <f aca="false">(MIN(B270,2020)-1900-10*(G270-1))/10</f>
        <v>0.7</v>
      </c>
      <c r="I270" s="20" t="n">
        <f aca="false">EXP(LN(INDEX(Pop_Inputs!$B$2:$N$29,MATCH(C270,Pop_Inputs!$A$2:$A$29,0),G270))*(1-H270)+LN(INDEX(Pop_Inputs!$B$2:$N$29,MATCH(C270,Pop_Inputs!$A$2:$A$29,0),G270+1))*H270)</f>
        <v>5349194.20144122</v>
      </c>
      <c r="J270" s="20" t="n">
        <f aca="false">I270/F270</f>
        <v>1783064.73381374</v>
      </c>
      <c r="K270" s="21" t="n">
        <f aca="false">D270/(D270+E270)</f>
        <v>0.636363636363636</v>
      </c>
      <c r="L270" s="21" t="n">
        <f aca="false">AVERAGEIFS($K$2:$K$2705,$B$2:$B$2705,B270)</f>
        <v>0.50003498576015</v>
      </c>
      <c r="M270" s="21" t="n">
        <f aca="false">K270-L270</f>
        <v>0.136328650603486</v>
      </c>
      <c r="N270" s="21" t="n">
        <f aca="false">LN(J270)</f>
        <v>14.3938442023072</v>
      </c>
      <c r="O270" s="21" t="n">
        <f aca="false">AVERAGEIFS($N$2:$N$2705,$B$2:$B$2705,B270)</f>
        <v>13.4994730352684</v>
      </c>
      <c r="P270" s="21" t="n">
        <f aca="false">N270-O270</f>
        <v>0.894371167038825</v>
      </c>
      <c r="Q270" s="7" t="n">
        <v>0</v>
      </c>
      <c r="R270" s="3" t="n">
        <f aca="false">IF(AND(Q270=1,B270-_xlfn.MINIFS($B$2:$B$2705,$A$2:$A$2705,A270)&lt;10),1,0)</f>
        <v>0</v>
      </c>
      <c r="S270" s="7" t="n">
        <v>0</v>
      </c>
      <c r="T270" s="3" t="n">
        <f aca="false">_xlfn.MINIFS($B$2:$B$2705,$A$2:$A$2705,A270)</f>
        <v>1901</v>
      </c>
      <c r="U270" s="3" t="n">
        <f aca="false">B270-T270</f>
        <v>16</v>
      </c>
      <c r="V270" s="3" t="str">
        <f aca="false">INDEX(Pop_Inputs!$Q$2:$Q$29,MATCH(C270,Pop_Inputs!$A$2:$A$29,0))</f>
        <v>Northeast</v>
      </c>
      <c r="W270" s="30"/>
      <c r="X270" s="3" t="str">
        <f aca="false">IF(W270="","",LN(W270))</f>
        <v/>
      </c>
      <c r="Y270" s="3" t="str">
        <f aca="false">IF(X270="","",X270-AVERAGEIFS($X$2:$X$2705,$B$2:$B$2705,B270))</f>
        <v/>
      </c>
      <c r="Z270" s="21" t="n">
        <f aca="false">P270</f>
        <v>0.894371167038825</v>
      </c>
      <c r="AA270" s="3" t="n">
        <f aca="false">R270</f>
        <v>0</v>
      </c>
      <c r="AB270" s="21" t="n">
        <f aca="false">P270</f>
        <v>0.894371167038825</v>
      </c>
      <c r="AC270" s="3" t="str">
        <f aca="false">Y270</f>
        <v/>
      </c>
      <c r="AD270" s="3" t="n">
        <f aca="false">R270</f>
        <v>0</v>
      </c>
    </row>
    <row r="271" customFormat="false" ht="15" hidden="false" customHeight="true" outlineLevel="0" collapsed="false">
      <c r="A271" s="7" t="s">
        <v>59</v>
      </c>
      <c r="B271" s="7" t="n">
        <v>1917</v>
      </c>
      <c r="C271" s="7" t="s">
        <v>145</v>
      </c>
      <c r="D271" s="7" t="n">
        <v>82</v>
      </c>
      <c r="E271" s="7" t="n">
        <v>70</v>
      </c>
      <c r="F271" s="3" t="n">
        <f aca="false">COUNTIFS($B$2:$B$2705,B271,$C$2:$C$2705,C271)</f>
        <v>2</v>
      </c>
      <c r="G271" s="3" t="n">
        <f aca="false">MIN(INT((MIN(B271,2020)-1900)/10)+1,12)</f>
        <v>2</v>
      </c>
      <c r="H271" s="3" t="n">
        <f aca="false">(MIN(B271,2020)-1900-10*(G271-1))/10</f>
        <v>0.7</v>
      </c>
      <c r="I271" s="20" t="n">
        <f aca="false">EXP(LN(INDEX(Pop_Inputs!$B$2:$N$29,MATCH(C271,Pop_Inputs!$A$2:$A$29,0),G271))*(1-H271)+LN(INDEX(Pop_Inputs!$B$2:$N$29,MATCH(C271,Pop_Inputs!$A$2:$A$29,0),G271+1))*H271)</f>
        <v>746066.699697316</v>
      </c>
      <c r="J271" s="20" t="n">
        <f aca="false">I271/F271</f>
        <v>373033.349848658</v>
      </c>
      <c r="K271" s="21" t="n">
        <f aca="false">D271/(D271+E271)</f>
        <v>0.539473684210526</v>
      </c>
      <c r="L271" s="21" t="n">
        <f aca="false">AVERAGEIFS($K$2:$K$2705,$B$2:$B$2705,B271)</f>
        <v>0.50003498576015</v>
      </c>
      <c r="M271" s="21" t="n">
        <f aca="false">K271-L271</f>
        <v>0.0394386984503763</v>
      </c>
      <c r="N271" s="21" t="n">
        <f aca="false">LN(J271)</f>
        <v>12.8294231044111</v>
      </c>
      <c r="O271" s="21" t="n">
        <f aca="false">AVERAGEIFS($N$2:$N$2705,$B$2:$B$2705,B271)</f>
        <v>13.4994730352684</v>
      </c>
      <c r="P271" s="21" t="n">
        <f aca="false">N271-O271</f>
        <v>-0.670049930857338</v>
      </c>
      <c r="Q271" s="7" t="n">
        <v>0</v>
      </c>
      <c r="R271" s="3" t="n">
        <f aca="false">IF(AND(Q271=1,B271-_xlfn.MINIFS($B$2:$B$2705,$A$2:$A$2705,A271)&lt;10),1,0)</f>
        <v>0</v>
      </c>
      <c r="S271" s="7" t="n">
        <v>0</v>
      </c>
      <c r="T271" s="3" t="n">
        <f aca="false">_xlfn.MINIFS($B$2:$B$2705,$A$2:$A$2705,A271)</f>
        <v>1901</v>
      </c>
      <c r="U271" s="3" t="n">
        <f aca="false">B271-T271</f>
        <v>16</v>
      </c>
      <c r="V271" s="3" t="str">
        <f aca="false">INDEX(Pop_Inputs!$Q$2:$Q$29,MATCH(C271,Pop_Inputs!$A$2:$A$29,0))</f>
        <v>Midwest</v>
      </c>
      <c r="W271" s="30"/>
      <c r="X271" s="3" t="str">
        <f aca="false">IF(W271="","",LN(W271))</f>
        <v/>
      </c>
      <c r="Y271" s="3" t="str">
        <f aca="false">IF(X271="","",X271-AVERAGEIFS($X$2:$X$2705,$B$2:$B$2705,B271))</f>
        <v/>
      </c>
      <c r="Z271" s="21" t="n">
        <f aca="false">P271</f>
        <v>-0.670049930857338</v>
      </c>
      <c r="AA271" s="3" t="n">
        <f aca="false">R271</f>
        <v>0</v>
      </c>
      <c r="AB271" s="21" t="n">
        <f aca="false">P271</f>
        <v>-0.670049930857338</v>
      </c>
      <c r="AC271" s="3" t="str">
        <f aca="false">Y271</f>
        <v/>
      </c>
      <c r="AD271" s="3" t="n">
        <f aca="false">R271</f>
        <v>0</v>
      </c>
    </row>
    <row r="272" customFormat="false" ht="15" hidden="false" customHeight="true" outlineLevel="0" collapsed="false">
      <c r="A272" s="7" t="s">
        <v>54</v>
      </c>
      <c r="B272" s="7" t="n">
        <v>1918</v>
      </c>
      <c r="C272" s="7" t="s">
        <v>150</v>
      </c>
      <c r="D272" s="7" t="n">
        <v>53</v>
      </c>
      <c r="E272" s="7" t="n">
        <v>71</v>
      </c>
      <c r="F272" s="3" t="n">
        <f aca="false">COUNTIFS($B$2:$B$2705,B272,$C$2:$C$2705,C272)</f>
        <v>2</v>
      </c>
      <c r="G272" s="3" t="n">
        <f aca="false">MIN(INT((MIN(B272,2020)-1900)/10)+1,12)</f>
        <v>2</v>
      </c>
      <c r="H272" s="3" t="n">
        <f aca="false">(MIN(B272,2020)-1900-10*(G272-1))/10</f>
        <v>0.8</v>
      </c>
      <c r="I272" s="20" t="n">
        <f aca="false">EXP(LN(INDEX(Pop_Inputs!$B$2:$N$29,MATCH(C272,Pop_Inputs!$A$2:$A$29,0),G272))*(1-H272)+LN(INDEX(Pop_Inputs!$B$2:$N$29,MATCH(C272,Pop_Inputs!$A$2:$A$29,0),G272+1))*H272)</f>
        <v>731880.057074424</v>
      </c>
      <c r="J272" s="20" t="n">
        <f aca="false">I272/F272</f>
        <v>365940.028537212</v>
      </c>
      <c r="K272" s="21" t="n">
        <f aca="false">D272/(D272+E272)</f>
        <v>0.42741935483871</v>
      </c>
      <c r="L272" s="21" t="n">
        <f aca="false">AVERAGEIFS($K$2:$K$2705,$B$2:$B$2705,B272)</f>
        <v>0.499718022915886</v>
      </c>
      <c r="M272" s="21" t="n">
        <f aca="false">K272-L272</f>
        <v>-0.0722986680771758</v>
      </c>
      <c r="N272" s="21" t="n">
        <f aca="false">LN(J272)</f>
        <v>12.8102247425019</v>
      </c>
      <c r="O272" s="21" t="n">
        <f aca="false">AVERAGEIFS($N$2:$N$2705,$B$2:$B$2705,B272)</f>
        <v>13.5199907296803</v>
      </c>
      <c r="P272" s="21" t="n">
        <f aca="false">N272-O272</f>
        <v>-0.709765987178388</v>
      </c>
      <c r="Q272" s="7" t="n">
        <v>0</v>
      </c>
      <c r="R272" s="3" t="n">
        <f aca="false">IF(AND(Q272=1,B272-_xlfn.MINIFS($B$2:$B$2705,$A$2:$A$2705,A272)&lt;10),1,0)</f>
        <v>0</v>
      </c>
      <c r="S272" s="7" t="n">
        <v>0</v>
      </c>
      <c r="T272" s="3" t="n">
        <f aca="false">_xlfn.MINIFS($B$2:$B$2705,$A$2:$A$2705,A272)</f>
        <v>1901</v>
      </c>
      <c r="U272" s="3" t="n">
        <f aca="false">B272-T272</f>
        <v>17</v>
      </c>
      <c r="V272" s="3" t="str">
        <f aca="false">INDEX(Pop_Inputs!$Q$2:$Q$29,MATCH(C272,Pop_Inputs!$A$2:$A$29,0))</f>
        <v>Northeast</v>
      </c>
      <c r="W272" s="30"/>
      <c r="X272" s="3" t="str">
        <f aca="false">IF(W272="","",LN(W272))</f>
        <v/>
      </c>
      <c r="Y272" s="3" t="str">
        <f aca="false">IF(X272="","",X272-AVERAGEIFS($X$2:$X$2705,$B$2:$B$2705,B272))</f>
        <v/>
      </c>
      <c r="Z272" s="21" t="n">
        <f aca="false">P272</f>
        <v>-0.709765987178388</v>
      </c>
      <c r="AA272" s="3" t="n">
        <f aca="false">R272</f>
        <v>0</v>
      </c>
      <c r="AB272" s="21" t="n">
        <f aca="false">P272</f>
        <v>-0.709765987178388</v>
      </c>
      <c r="AC272" s="3" t="str">
        <f aca="false">Y272</f>
        <v/>
      </c>
      <c r="AD272" s="3" t="n">
        <f aca="false">R272</f>
        <v>0</v>
      </c>
    </row>
    <row r="273" customFormat="false" ht="15" hidden="false" customHeight="true" outlineLevel="0" collapsed="false">
      <c r="A273" s="7" t="s">
        <v>63</v>
      </c>
      <c r="B273" s="7" t="n">
        <v>1918</v>
      </c>
      <c r="C273" s="7" t="s">
        <v>145</v>
      </c>
      <c r="D273" s="7" t="n">
        <v>58</v>
      </c>
      <c r="E273" s="7" t="n">
        <v>64</v>
      </c>
      <c r="F273" s="3" t="n">
        <f aca="false">COUNTIFS($B$2:$B$2705,B273,$C$2:$C$2705,C273)</f>
        <v>2</v>
      </c>
      <c r="G273" s="3" t="n">
        <f aca="false">MIN(INT((MIN(B273,2020)-1900)/10)+1,12)</f>
        <v>2</v>
      </c>
      <c r="H273" s="3" t="n">
        <f aca="false">(MIN(B273,2020)-1900-10*(G273-1))/10</f>
        <v>0.8</v>
      </c>
      <c r="I273" s="20" t="n">
        <f aca="false">EXP(LN(INDEX(Pop_Inputs!$B$2:$N$29,MATCH(C273,Pop_Inputs!$A$2:$A$29,0),G273))*(1-H273)+LN(INDEX(Pop_Inputs!$B$2:$N$29,MATCH(C273,Pop_Inputs!$A$2:$A$29,0),G273+1))*H273)</f>
        <v>754905.016116039</v>
      </c>
      <c r="J273" s="20" t="n">
        <f aca="false">I273/F273</f>
        <v>377452.50805802</v>
      </c>
      <c r="K273" s="21" t="n">
        <f aca="false">D273/(D273+E273)</f>
        <v>0.475409836065574</v>
      </c>
      <c r="L273" s="21" t="n">
        <f aca="false">AVERAGEIFS($K$2:$K$2705,$B$2:$B$2705,B273)</f>
        <v>0.499718022915886</v>
      </c>
      <c r="M273" s="21" t="n">
        <f aca="false">K273-L273</f>
        <v>-0.0243081868503118</v>
      </c>
      <c r="N273" s="21" t="n">
        <f aca="false">LN(J273)</f>
        <v>12.8412000332881</v>
      </c>
      <c r="O273" s="21" t="n">
        <f aca="false">AVERAGEIFS($N$2:$N$2705,$B$2:$B$2705,B273)</f>
        <v>13.5199907296803</v>
      </c>
      <c r="P273" s="21" t="n">
        <f aca="false">N273-O273</f>
        <v>-0.678790696392154</v>
      </c>
      <c r="Q273" s="7" t="n">
        <v>0</v>
      </c>
      <c r="R273" s="3" t="n">
        <f aca="false">IF(AND(Q273=1,B273-_xlfn.MINIFS($B$2:$B$2705,$A$2:$A$2705,A273)&lt;10),1,0)</f>
        <v>0</v>
      </c>
      <c r="S273" s="7" t="n">
        <v>0</v>
      </c>
      <c r="T273" s="3" t="n">
        <f aca="false">_xlfn.MINIFS($B$2:$B$2705,$A$2:$A$2705,A273)</f>
        <v>1901</v>
      </c>
      <c r="U273" s="3" t="n">
        <f aca="false">B273-T273</f>
        <v>17</v>
      </c>
      <c r="V273" s="3" t="str">
        <f aca="false">INDEX(Pop_Inputs!$Q$2:$Q$29,MATCH(C273,Pop_Inputs!$A$2:$A$29,0))</f>
        <v>Midwest</v>
      </c>
      <c r="W273" s="30"/>
      <c r="X273" s="3" t="str">
        <f aca="false">IF(W273="","",LN(W273))</f>
        <v/>
      </c>
      <c r="Y273" s="3" t="str">
        <f aca="false">IF(X273="","",X273-AVERAGEIFS($X$2:$X$2705,$B$2:$B$2705,B273))</f>
        <v/>
      </c>
      <c r="Z273" s="21" t="n">
        <f aca="false">P273</f>
        <v>-0.678790696392154</v>
      </c>
      <c r="AA273" s="3" t="n">
        <f aca="false">R273</f>
        <v>0</v>
      </c>
      <c r="AB273" s="21" t="n">
        <f aca="false">P273</f>
        <v>-0.678790696392154</v>
      </c>
      <c r="AC273" s="3" t="str">
        <f aca="false">Y273</f>
        <v/>
      </c>
      <c r="AD273" s="3" t="n">
        <f aca="false">R273</f>
        <v>0</v>
      </c>
    </row>
    <row r="274" customFormat="false" ht="15" hidden="false" customHeight="true" outlineLevel="0" collapsed="false">
      <c r="A274" s="7" t="s">
        <v>64</v>
      </c>
      <c r="B274" s="7" t="n">
        <v>1918</v>
      </c>
      <c r="C274" s="7" t="s">
        <v>150</v>
      </c>
      <c r="D274" s="7" t="n">
        <v>75</v>
      </c>
      <c r="E274" s="7" t="n">
        <v>51</v>
      </c>
      <c r="F274" s="3" t="n">
        <f aca="false">COUNTIFS($B$2:$B$2705,B274,$C$2:$C$2705,C274)</f>
        <v>2</v>
      </c>
      <c r="G274" s="3" t="n">
        <f aca="false">MIN(INT((MIN(B274,2020)-1900)/10)+1,12)</f>
        <v>2</v>
      </c>
      <c r="H274" s="3" t="n">
        <f aca="false">(MIN(B274,2020)-1900-10*(G274-1))/10</f>
        <v>0.8</v>
      </c>
      <c r="I274" s="20" t="n">
        <f aca="false">EXP(LN(INDEX(Pop_Inputs!$B$2:$N$29,MATCH(C274,Pop_Inputs!$A$2:$A$29,0),G274))*(1-H274)+LN(INDEX(Pop_Inputs!$B$2:$N$29,MATCH(C274,Pop_Inputs!$A$2:$A$29,0),G274+1))*H274)</f>
        <v>731880.057074424</v>
      </c>
      <c r="J274" s="20" t="n">
        <f aca="false">I274/F274</f>
        <v>365940.028537212</v>
      </c>
      <c r="K274" s="21" t="n">
        <f aca="false">D274/(D274+E274)</f>
        <v>0.595238095238095</v>
      </c>
      <c r="L274" s="21" t="n">
        <f aca="false">AVERAGEIFS($K$2:$K$2705,$B$2:$B$2705,B274)</f>
        <v>0.499718022915886</v>
      </c>
      <c r="M274" s="21" t="n">
        <f aca="false">K274-L274</f>
        <v>0.0955200723222097</v>
      </c>
      <c r="N274" s="21" t="n">
        <f aca="false">LN(J274)</f>
        <v>12.8102247425019</v>
      </c>
      <c r="O274" s="21" t="n">
        <f aca="false">AVERAGEIFS($N$2:$N$2705,$B$2:$B$2705,B274)</f>
        <v>13.5199907296803</v>
      </c>
      <c r="P274" s="21" t="n">
        <f aca="false">N274-O274</f>
        <v>-0.709765987178388</v>
      </c>
      <c r="Q274" s="7" t="n">
        <v>0</v>
      </c>
      <c r="R274" s="3" t="n">
        <f aca="false">IF(AND(Q274=1,B274-_xlfn.MINIFS($B$2:$B$2705,$A$2:$A$2705,A274)&lt;10),1,0)</f>
        <v>0</v>
      </c>
      <c r="S274" s="7" t="n">
        <v>0</v>
      </c>
      <c r="T274" s="3" t="n">
        <f aca="false">_xlfn.MINIFS($B$2:$B$2705,$A$2:$A$2705,A274)</f>
        <v>1901</v>
      </c>
      <c r="U274" s="3" t="n">
        <f aca="false">B274-T274</f>
        <v>17</v>
      </c>
      <c r="V274" s="3" t="str">
        <f aca="false">INDEX(Pop_Inputs!$Q$2:$Q$29,MATCH(C274,Pop_Inputs!$A$2:$A$29,0))</f>
        <v>Northeast</v>
      </c>
      <c r="W274" s="30"/>
      <c r="X274" s="3" t="str">
        <f aca="false">IF(W274="","",LN(W274))</f>
        <v/>
      </c>
      <c r="Y274" s="3" t="str">
        <f aca="false">IF(X274="","",X274-AVERAGEIFS($X$2:$X$2705,$B$2:$B$2705,B274))</f>
        <v/>
      </c>
      <c r="Z274" s="21" t="n">
        <f aca="false">P274</f>
        <v>-0.709765987178388</v>
      </c>
      <c r="AA274" s="3" t="n">
        <f aca="false">R274</f>
        <v>0</v>
      </c>
      <c r="AB274" s="21" t="n">
        <f aca="false">P274</f>
        <v>-0.709765987178388</v>
      </c>
      <c r="AC274" s="3" t="str">
        <f aca="false">Y274</f>
        <v/>
      </c>
      <c r="AD274" s="3" t="n">
        <f aca="false">R274</f>
        <v>0</v>
      </c>
    </row>
    <row r="275" customFormat="false" ht="15" hidden="false" customHeight="true" outlineLevel="0" collapsed="false">
      <c r="A275" s="7" t="s">
        <v>56</v>
      </c>
      <c r="B275" s="7" t="n">
        <v>1918</v>
      </c>
      <c r="C275" s="7" t="s">
        <v>142</v>
      </c>
      <c r="D275" s="7" t="n">
        <v>84</v>
      </c>
      <c r="E275" s="7" t="n">
        <v>45</v>
      </c>
      <c r="F275" s="3" t="n">
        <f aca="false">COUNTIFS($B$2:$B$2705,B275,$C$2:$C$2705,C275)</f>
        <v>2</v>
      </c>
      <c r="G275" s="3" t="n">
        <f aca="false">MIN(INT((MIN(B275,2020)-1900)/10)+1,12)</f>
        <v>2</v>
      </c>
      <c r="H275" s="3" t="n">
        <f aca="false">(MIN(B275,2020)-1900-10*(G275-1))/10</f>
        <v>0.8</v>
      </c>
      <c r="I275" s="20" t="n">
        <f aca="false">EXP(LN(INDEX(Pop_Inputs!$B$2:$N$29,MATCH(C275,Pop_Inputs!$A$2:$A$29,0),G275))*(1-H275)+LN(INDEX(Pop_Inputs!$B$2:$N$29,MATCH(C275,Pop_Inputs!$A$2:$A$29,0),G275+1))*H275)</f>
        <v>2589475.93121033</v>
      </c>
      <c r="J275" s="20" t="n">
        <f aca="false">I275/F275</f>
        <v>1294737.96560517</v>
      </c>
      <c r="K275" s="21" t="n">
        <f aca="false">D275/(D275+E275)</f>
        <v>0.651162790697675</v>
      </c>
      <c r="L275" s="21" t="n">
        <f aca="false">AVERAGEIFS($K$2:$K$2705,$B$2:$B$2705,B275)</f>
        <v>0.499718022915886</v>
      </c>
      <c r="M275" s="21" t="n">
        <f aca="false">K275-L275</f>
        <v>0.151444767781789</v>
      </c>
      <c r="N275" s="21" t="n">
        <f aca="false">LN(J275)</f>
        <v>14.0738188894796</v>
      </c>
      <c r="O275" s="21" t="n">
        <f aca="false">AVERAGEIFS($N$2:$N$2705,$B$2:$B$2705,B275)</f>
        <v>13.5199907296803</v>
      </c>
      <c r="P275" s="21" t="n">
        <f aca="false">N275-O275</f>
        <v>0.553828159799352</v>
      </c>
      <c r="Q275" s="7" t="n">
        <v>0</v>
      </c>
      <c r="R275" s="3" t="n">
        <f aca="false">IF(AND(Q275=1,B275-_xlfn.MINIFS($B$2:$B$2705,$A$2:$A$2705,A275)&lt;10),1,0)</f>
        <v>0</v>
      </c>
      <c r="S275" s="7" t="n">
        <v>0</v>
      </c>
      <c r="T275" s="3" t="n">
        <f aca="false">_xlfn.MINIFS($B$2:$B$2705,$A$2:$A$2705,A275)</f>
        <v>1901</v>
      </c>
      <c r="U275" s="3" t="n">
        <f aca="false">B275-T275</f>
        <v>17</v>
      </c>
      <c r="V275" s="3" t="str">
        <f aca="false">INDEX(Pop_Inputs!$Q$2:$Q$29,MATCH(C275,Pop_Inputs!$A$2:$A$29,0))</f>
        <v>Midwest</v>
      </c>
      <c r="W275" s="30"/>
      <c r="X275" s="3" t="str">
        <f aca="false">IF(W275="","",LN(W275))</f>
        <v/>
      </c>
      <c r="Y275" s="3" t="str">
        <f aca="false">IF(X275="","",X275-AVERAGEIFS($X$2:$X$2705,$B$2:$B$2705,B275))</f>
        <v/>
      </c>
      <c r="Z275" s="21" t="n">
        <f aca="false">P275</f>
        <v>0.553828159799352</v>
      </c>
      <c r="AA275" s="3" t="n">
        <f aca="false">R275</f>
        <v>0</v>
      </c>
      <c r="AB275" s="21" t="n">
        <f aca="false">P275</f>
        <v>0.553828159799352</v>
      </c>
      <c r="AC275" s="3" t="str">
        <f aca="false">Y275</f>
        <v/>
      </c>
      <c r="AD275" s="3" t="n">
        <f aca="false">R275</f>
        <v>0</v>
      </c>
    </row>
    <row r="276" customFormat="false" ht="15" hidden="false" customHeight="true" outlineLevel="0" collapsed="false">
      <c r="A276" s="7" t="s">
        <v>65</v>
      </c>
      <c r="B276" s="7" t="n">
        <v>1918</v>
      </c>
      <c r="C276" s="7" t="s">
        <v>142</v>
      </c>
      <c r="D276" s="7" t="n">
        <v>57</v>
      </c>
      <c r="E276" s="7" t="n">
        <v>67</v>
      </c>
      <c r="F276" s="3" t="n">
        <f aca="false">COUNTIFS($B$2:$B$2705,B276,$C$2:$C$2705,C276)</f>
        <v>2</v>
      </c>
      <c r="G276" s="3" t="n">
        <f aca="false">MIN(INT((MIN(B276,2020)-1900)/10)+1,12)</f>
        <v>2</v>
      </c>
      <c r="H276" s="3" t="n">
        <f aca="false">(MIN(B276,2020)-1900-10*(G276-1))/10</f>
        <v>0.8</v>
      </c>
      <c r="I276" s="20" t="n">
        <f aca="false">EXP(LN(INDEX(Pop_Inputs!$B$2:$N$29,MATCH(C276,Pop_Inputs!$A$2:$A$29,0),G276))*(1-H276)+LN(INDEX(Pop_Inputs!$B$2:$N$29,MATCH(C276,Pop_Inputs!$A$2:$A$29,0),G276+1))*H276)</f>
        <v>2589475.93121033</v>
      </c>
      <c r="J276" s="20" t="n">
        <f aca="false">I276/F276</f>
        <v>1294737.96560517</v>
      </c>
      <c r="K276" s="21" t="n">
        <f aca="false">D276/(D276+E276)</f>
        <v>0.459677419354839</v>
      </c>
      <c r="L276" s="21" t="n">
        <f aca="false">AVERAGEIFS($K$2:$K$2705,$B$2:$B$2705,B276)</f>
        <v>0.499718022915886</v>
      </c>
      <c r="M276" s="21" t="n">
        <f aca="false">K276-L276</f>
        <v>-0.0400406035610468</v>
      </c>
      <c r="N276" s="21" t="n">
        <f aca="false">LN(J276)</f>
        <v>14.0738188894796</v>
      </c>
      <c r="O276" s="21" t="n">
        <f aca="false">AVERAGEIFS($N$2:$N$2705,$B$2:$B$2705,B276)</f>
        <v>13.5199907296803</v>
      </c>
      <c r="P276" s="21" t="n">
        <f aca="false">N276-O276</f>
        <v>0.553828159799352</v>
      </c>
      <c r="Q276" s="7" t="n">
        <v>0</v>
      </c>
      <c r="R276" s="3" t="n">
        <f aca="false">IF(AND(Q276=1,B276-_xlfn.MINIFS($B$2:$B$2705,$A$2:$A$2705,A276)&lt;10),1,0)</f>
        <v>0</v>
      </c>
      <c r="S276" s="7" t="n">
        <v>0</v>
      </c>
      <c r="T276" s="3" t="n">
        <f aca="false">_xlfn.MINIFS($B$2:$B$2705,$A$2:$A$2705,A276)</f>
        <v>1901</v>
      </c>
      <c r="U276" s="3" t="n">
        <f aca="false">B276-T276</f>
        <v>17</v>
      </c>
      <c r="V276" s="3" t="str">
        <f aca="false">INDEX(Pop_Inputs!$Q$2:$Q$29,MATCH(C276,Pop_Inputs!$A$2:$A$29,0))</f>
        <v>Midwest</v>
      </c>
      <c r="W276" s="30"/>
      <c r="X276" s="3" t="str">
        <f aca="false">IF(W276="","",LN(W276))</f>
        <v/>
      </c>
      <c r="Y276" s="3" t="str">
        <f aca="false">IF(X276="","",X276-AVERAGEIFS($X$2:$X$2705,$B$2:$B$2705,B276))</f>
        <v/>
      </c>
      <c r="Z276" s="21" t="n">
        <f aca="false">P276</f>
        <v>0.553828159799352</v>
      </c>
      <c r="AA276" s="3" t="n">
        <f aca="false">R276</f>
        <v>0</v>
      </c>
      <c r="AB276" s="21" t="n">
        <f aca="false">P276</f>
        <v>0.553828159799352</v>
      </c>
      <c r="AC276" s="3" t="str">
        <f aca="false">Y276</f>
        <v/>
      </c>
      <c r="AD276" s="3" t="n">
        <f aca="false">R276</f>
        <v>0</v>
      </c>
    </row>
    <row r="277" customFormat="false" ht="15" hidden="false" customHeight="true" outlineLevel="0" collapsed="false">
      <c r="A277" s="7" t="s">
        <v>57</v>
      </c>
      <c r="B277" s="7" t="n">
        <v>1918</v>
      </c>
      <c r="C277" s="7" t="s">
        <v>143</v>
      </c>
      <c r="D277" s="7" t="n">
        <v>68</v>
      </c>
      <c r="E277" s="7" t="n">
        <v>60</v>
      </c>
      <c r="F277" s="3" t="n">
        <f aca="false">COUNTIFS($B$2:$B$2705,B277,$C$2:$C$2705,C277)</f>
        <v>1</v>
      </c>
      <c r="G277" s="3" t="n">
        <f aca="false">MIN(INT((MIN(B277,2020)-1900)/10)+1,12)</f>
        <v>2</v>
      </c>
      <c r="H277" s="3" t="n">
        <f aca="false">(MIN(B277,2020)-1900-10*(G277-1))/10</f>
        <v>0.8</v>
      </c>
      <c r="I277" s="20" t="n">
        <f aca="false">EXP(LN(INDEX(Pop_Inputs!$B$2:$N$29,MATCH(C277,Pop_Inputs!$A$2:$A$29,0),G277))*(1-H277)+LN(INDEX(Pop_Inputs!$B$2:$N$29,MATCH(C277,Pop_Inputs!$A$2:$A$29,0),G277+1))*H277)</f>
        <v>393416.040887075</v>
      </c>
      <c r="J277" s="20" t="n">
        <f aca="false">I277/F277</f>
        <v>393416.040887075</v>
      </c>
      <c r="K277" s="21" t="n">
        <f aca="false">D277/(D277+E277)</f>
        <v>0.53125</v>
      </c>
      <c r="L277" s="21" t="n">
        <f aca="false">AVERAGEIFS($K$2:$K$2705,$B$2:$B$2705,B277)</f>
        <v>0.499718022915886</v>
      </c>
      <c r="M277" s="21" t="n">
        <f aca="false">K277-L277</f>
        <v>0.0315319770841145</v>
      </c>
      <c r="N277" s="21" t="n">
        <f aca="false">LN(J277)</f>
        <v>12.8826229591111</v>
      </c>
      <c r="O277" s="21" t="n">
        <f aca="false">AVERAGEIFS($N$2:$N$2705,$B$2:$B$2705,B277)</f>
        <v>13.5199907296803</v>
      </c>
      <c r="P277" s="21" t="n">
        <f aca="false">N277-O277</f>
        <v>-0.637367770569158</v>
      </c>
      <c r="Q277" s="7" t="n">
        <v>0</v>
      </c>
      <c r="R277" s="3" t="n">
        <f aca="false">IF(AND(Q277=1,B277-_xlfn.MINIFS($B$2:$B$2705,$A$2:$A$2705,A277)&lt;10),1,0)</f>
        <v>0</v>
      </c>
      <c r="S277" s="7" t="n">
        <v>0</v>
      </c>
      <c r="T277" s="3" t="n">
        <f aca="false">_xlfn.MINIFS($B$2:$B$2705,$A$2:$A$2705,A277)</f>
        <v>1901</v>
      </c>
      <c r="U277" s="3" t="n">
        <f aca="false">B277-T277</f>
        <v>17</v>
      </c>
      <c r="V277" s="3" t="str">
        <f aca="false">INDEX(Pop_Inputs!$Q$2:$Q$29,MATCH(C277,Pop_Inputs!$A$2:$A$29,0))</f>
        <v>Midwest</v>
      </c>
      <c r="W277" s="30"/>
      <c r="X277" s="3" t="str">
        <f aca="false">IF(W277="","",LN(W277))</f>
        <v/>
      </c>
      <c r="Y277" s="3" t="str">
        <f aca="false">IF(X277="","",X277-AVERAGEIFS($X$2:$X$2705,$B$2:$B$2705,B277))</f>
        <v/>
      </c>
      <c r="Z277" s="21" t="n">
        <f aca="false">P277</f>
        <v>-0.637367770569158</v>
      </c>
      <c r="AA277" s="3" t="n">
        <f aca="false">R277</f>
        <v>0</v>
      </c>
      <c r="AB277" s="21" t="n">
        <f aca="false">P277</f>
        <v>-0.637367770569158</v>
      </c>
      <c r="AC277" s="3" t="str">
        <f aca="false">Y277</f>
        <v/>
      </c>
      <c r="AD277" s="3" t="n">
        <f aca="false">R277</f>
        <v>0</v>
      </c>
    </row>
    <row r="278" customFormat="false" ht="15" hidden="false" customHeight="true" outlineLevel="0" collapsed="false">
      <c r="A278" s="7" t="s">
        <v>66</v>
      </c>
      <c r="B278" s="7" t="n">
        <v>1918</v>
      </c>
      <c r="C278" s="7" t="s">
        <v>151</v>
      </c>
      <c r="D278" s="7" t="n">
        <v>73</v>
      </c>
      <c r="E278" s="7" t="n">
        <v>54</v>
      </c>
      <c r="F278" s="3" t="n">
        <f aca="false">COUNTIFS($B$2:$B$2705,B278,$C$2:$C$2705,C278)</f>
        <v>1</v>
      </c>
      <c r="G278" s="3" t="n">
        <f aca="false">MIN(INT((MIN(B278,2020)-1900)/10)+1,12)</f>
        <v>2</v>
      </c>
      <c r="H278" s="3" t="n">
        <f aca="false">(MIN(B278,2020)-1900-10*(G278-1))/10</f>
        <v>0.8</v>
      </c>
      <c r="I278" s="20" t="n">
        <f aca="false">EXP(LN(INDEX(Pop_Inputs!$B$2:$N$29,MATCH(C278,Pop_Inputs!$A$2:$A$29,0),G278))*(1-H278)+LN(INDEX(Pop_Inputs!$B$2:$N$29,MATCH(C278,Pop_Inputs!$A$2:$A$29,0),G278+1))*H278)</f>
        <v>742741.545083597</v>
      </c>
      <c r="J278" s="20" t="n">
        <f aca="false">I278/F278</f>
        <v>742741.545083597</v>
      </c>
      <c r="K278" s="21" t="n">
        <f aca="false">D278/(D278+E278)</f>
        <v>0.574803149606299</v>
      </c>
      <c r="L278" s="21" t="n">
        <f aca="false">AVERAGEIFS($K$2:$K$2705,$B$2:$B$2705,B278)</f>
        <v>0.499718022915886</v>
      </c>
      <c r="M278" s="21" t="n">
        <f aca="false">K278-L278</f>
        <v>0.0750851266904137</v>
      </c>
      <c r="N278" s="21" t="n">
        <f aca="false">LN(J278)</f>
        <v>13.51810341</v>
      </c>
      <c r="O278" s="21" t="n">
        <f aca="false">AVERAGEIFS($N$2:$N$2705,$B$2:$B$2705,B278)</f>
        <v>13.5199907296803</v>
      </c>
      <c r="P278" s="21" t="n">
        <f aca="false">N278-O278</f>
        <v>-0.00188731968023781</v>
      </c>
      <c r="Q278" s="7" t="n">
        <v>0</v>
      </c>
      <c r="R278" s="3" t="n">
        <f aca="false">IF(AND(Q278=1,B278-_xlfn.MINIFS($B$2:$B$2705,$A$2:$A$2705,A278)&lt;10),1,0)</f>
        <v>0</v>
      </c>
      <c r="S278" s="7" t="n">
        <v>0</v>
      </c>
      <c r="T278" s="3" t="n">
        <f aca="false">_xlfn.MINIFS($B$2:$B$2705,$A$2:$A$2705,A278)</f>
        <v>1901</v>
      </c>
      <c r="U278" s="3" t="n">
        <f aca="false">B278-T278</f>
        <v>17</v>
      </c>
      <c r="V278" s="3" t="str">
        <f aca="false">INDEX(Pop_Inputs!$Q$2:$Q$29,MATCH(C278,Pop_Inputs!$A$2:$A$29,0))</f>
        <v>Midwest</v>
      </c>
      <c r="W278" s="30"/>
      <c r="X278" s="3" t="str">
        <f aca="false">IF(W278="","",LN(W278))</f>
        <v/>
      </c>
      <c r="Y278" s="3" t="str">
        <f aca="false">IF(X278="","",X278-AVERAGEIFS($X$2:$X$2705,$B$2:$B$2705,B278))</f>
        <v/>
      </c>
      <c r="Z278" s="21" t="n">
        <f aca="false">P278</f>
        <v>-0.00188731968023781</v>
      </c>
      <c r="AA278" s="3" t="n">
        <f aca="false">R278</f>
        <v>0</v>
      </c>
      <c r="AB278" s="21" t="n">
        <f aca="false">P278</f>
        <v>-0.00188731968023781</v>
      </c>
      <c r="AC278" s="3" t="str">
        <f aca="false">Y278</f>
        <v/>
      </c>
      <c r="AD278" s="3" t="n">
        <f aca="false">R278</f>
        <v>0</v>
      </c>
    </row>
    <row r="279" customFormat="false" ht="15" hidden="false" customHeight="true" outlineLevel="0" collapsed="false">
      <c r="A279" s="7" t="s">
        <v>67</v>
      </c>
      <c r="B279" s="7" t="n">
        <v>1918</v>
      </c>
      <c r="C279" s="7" t="s">
        <v>152</v>
      </c>
      <c r="D279" s="7" t="n">
        <v>55</v>
      </c>
      <c r="E279" s="7" t="n">
        <v>71</v>
      </c>
      <c r="F279" s="3" t="n">
        <f aca="false">COUNTIFS($B$2:$B$2705,B279,$C$2:$C$2705,C279)</f>
        <v>1</v>
      </c>
      <c r="G279" s="3" t="n">
        <f aca="false">MIN(INT((MIN(B279,2020)-1900)/10)+1,12)</f>
        <v>2</v>
      </c>
      <c r="H279" s="3" t="n">
        <f aca="false">(MIN(B279,2020)-1900-10*(G279-1))/10</f>
        <v>0.8</v>
      </c>
      <c r="I279" s="20" t="n">
        <f aca="false">EXP(LN(INDEX(Pop_Inputs!$B$2:$N$29,MATCH(C279,Pop_Inputs!$A$2:$A$29,0),G279))*(1-H279)+LN(INDEX(Pop_Inputs!$B$2:$N$29,MATCH(C279,Pop_Inputs!$A$2:$A$29,0),G279+1))*H279)</f>
        <v>853945.385917972</v>
      </c>
      <c r="J279" s="20" t="n">
        <f aca="false">I279/F279</f>
        <v>853945.385917972</v>
      </c>
      <c r="K279" s="21" t="n">
        <f aca="false">D279/(D279+E279)</f>
        <v>0.436507936507937</v>
      </c>
      <c r="L279" s="21" t="n">
        <f aca="false">AVERAGEIFS($K$2:$K$2705,$B$2:$B$2705,B279)</f>
        <v>0.499718022915886</v>
      </c>
      <c r="M279" s="21" t="n">
        <f aca="false">K279-L279</f>
        <v>-0.063210086407949</v>
      </c>
      <c r="N279" s="21" t="n">
        <f aca="false">LN(J279)</f>
        <v>13.65762251981</v>
      </c>
      <c r="O279" s="21" t="n">
        <f aca="false">AVERAGEIFS($N$2:$N$2705,$B$2:$B$2705,B279)</f>
        <v>13.5199907296803</v>
      </c>
      <c r="P279" s="21" t="n">
        <f aca="false">N279-O279</f>
        <v>0.137631790129786</v>
      </c>
      <c r="Q279" s="7" t="n">
        <v>0</v>
      </c>
      <c r="R279" s="3" t="n">
        <f aca="false">IF(AND(Q279=1,B279-_xlfn.MINIFS($B$2:$B$2705,$A$2:$A$2705,A279)&lt;10),1,0)</f>
        <v>0</v>
      </c>
      <c r="S279" s="7" t="n">
        <v>0</v>
      </c>
      <c r="T279" s="3" t="n">
        <f aca="false">_xlfn.MINIFS($B$2:$B$2705,$A$2:$A$2705,A279)</f>
        <v>1901</v>
      </c>
      <c r="U279" s="3" t="n">
        <f aca="false">B279-T279</f>
        <v>17</v>
      </c>
      <c r="V279" s="3" t="str">
        <f aca="false">INDEX(Pop_Inputs!$Q$2:$Q$29,MATCH(C279,Pop_Inputs!$A$2:$A$29,0))</f>
        <v>Midwest</v>
      </c>
      <c r="W279" s="30"/>
      <c r="X279" s="3" t="str">
        <f aca="false">IF(W279="","",LN(W279))</f>
        <v/>
      </c>
      <c r="Y279" s="3" t="str">
        <f aca="false">IF(X279="","",X279-AVERAGEIFS($X$2:$X$2705,$B$2:$B$2705,B279))</f>
        <v/>
      </c>
      <c r="Z279" s="21" t="n">
        <f aca="false">P279</f>
        <v>0.137631790129786</v>
      </c>
      <c r="AA279" s="3" t="n">
        <f aca="false">R279</f>
        <v>0</v>
      </c>
      <c r="AB279" s="21" t="n">
        <f aca="false">P279</f>
        <v>0.137631790129786</v>
      </c>
      <c r="AC279" s="3" t="str">
        <f aca="false">Y279</f>
        <v/>
      </c>
      <c r="AD279" s="3" t="n">
        <f aca="false">R279</f>
        <v>0</v>
      </c>
    </row>
    <row r="280" customFormat="false" ht="15" hidden="false" customHeight="true" outlineLevel="0" collapsed="false">
      <c r="A280" s="7" t="s">
        <v>62</v>
      </c>
      <c r="B280" s="7" t="n">
        <v>1918</v>
      </c>
      <c r="C280" s="7" t="s">
        <v>154</v>
      </c>
      <c r="D280" s="7" t="n">
        <v>57</v>
      </c>
      <c r="E280" s="7" t="n">
        <v>69</v>
      </c>
      <c r="F280" s="3" t="n">
        <f aca="false">COUNTIFS($B$2:$B$2705,B280,$C$2:$C$2705,C280)</f>
        <v>3</v>
      </c>
      <c r="G280" s="3" t="n">
        <f aca="false">MIN(INT((MIN(B280,2020)-1900)/10)+1,12)</f>
        <v>2</v>
      </c>
      <c r="H280" s="3" t="n">
        <f aca="false">(MIN(B280,2020)-1900-10*(G280-1))/10</f>
        <v>0.8</v>
      </c>
      <c r="I280" s="20" t="n">
        <f aca="false">EXP(LN(INDEX(Pop_Inputs!$B$2:$N$29,MATCH(C280,Pop_Inputs!$A$2:$A$29,0),G280))*(1-H280)+LN(INDEX(Pop_Inputs!$B$2:$N$29,MATCH(C280,Pop_Inputs!$A$2:$A$29,0),G280+1))*H280)</f>
        <v>5437996.43300975</v>
      </c>
      <c r="J280" s="20" t="n">
        <f aca="false">I280/F280</f>
        <v>1812665.47766992</v>
      </c>
      <c r="K280" s="21" t="n">
        <f aca="false">D280/(D280+E280)</f>
        <v>0.452380952380952</v>
      </c>
      <c r="L280" s="21" t="n">
        <f aca="false">AVERAGEIFS($K$2:$K$2705,$B$2:$B$2705,B280)</f>
        <v>0.499718022915886</v>
      </c>
      <c r="M280" s="21" t="n">
        <f aca="false">K280-L280</f>
        <v>-0.0473370705349331</v>
      </c>
      <c r="N280" s="21" t="n">
        <f aca="false">LN(J280)</f>
        <v>14.4103089595683</v>
      </c>
      <c r="O280" s="21" t="n">
        <f aca="false">AVERAGEIFS($N$2:$N$2705,$B$2:$B$2705,B280)</f>
        <v>13.5199907296803</v>
      </c>
      <c r="P280" s="21" t="n">
        <f aca="false">N280-O280</f>
        <v>0.890318229888088</v>
      </c>
      <c r="Q280" s="7" t="n">
        <v>0</v>
      </c>
      <c r="R280" s="3" t="n">
        <f aca="false">IF(AND(Q280=1,B280-_xlfn.MINIFS($B$2:$B$2705,$A$2:$A$2705,A280)&lt;10),1,0)</f>
        <v>0</v>
      </c>
      <c r="S280" s="7" t="n">
        <v>0</v>
      </c>
      <c r="T280" s="3" t="n">
        <f aca="false">_xlfn.MINIFS($B$2:$B$2705,$A$2:$A$2705,A280)</f>
        <v>1901</v>
      </c>
      <c r="U280" s="3" t="n">
        <f aca="false">B280-T280</f>
        <v>17</v>
      </c>
      <c r="V280" s="3" t="str">
        <f aca="false">INDEX(Pop_Inputs!$Q$2:$Q$29,MATCH(C280,Pop_Inputs!$A$2:$A$29,0))</f>
        <v>Northeast</v>
      </c>
      <c r="W280" s="30"/>
      <c r="X280" s="3" t="str">
        <f aca="false">IF(W280="","",LN(W280))</f>
        <v/>
      </c>
      <c r="Y280" s="3" t="str">
        <f aca="false">IF(X280="","",X280-AVERAGEIFS($X$2:$X$2705,$B$2:$B$2705,B280))</f>
        <v/>
      </c>
      <c r="Z280" s="21" t="n">
        <f aca="false">P280</f>
        <v>0.890318229888088</v>
      </c>
      <c r="AA280" s="3" t="n">
        <f aca="false">R280</f>
        <v>0</v>
      </c>
      <c r="AB280" s="21" t="n">
        <f aca="false">P280</f>
        <v>0.890318229888088</v>
      </c>
      <c r="AC280" s="3" t="str">
        <f aca="false">Y280</f>
        <v/>
      </c>
      <c r="AD280" s="3" t="n">
        <f aca="false">R280</f>
        <v>0</v>
      </c>
    </row>
    <row r="281" customFormat="false" ht="15" hidden="false" customHeight="true" outlineLevel="0" collapsed="false">
      <c r="A281" s="7" t="s">
        <v>68</v>
      </c>
      <c r="B281" s="7" t="n">
        <v>1918</v>
      </c>
      <c r="C281" s="7" t="s">
        <v>160</v>
      </c>
      <c r="D281" s="7" t="n">
        <v>72</v>
      </c>
      <c r="E281" s="7" t="n">
        <v>56</v>
      </c>
      <c r="F281" s="3" t="n">
        <f aca="false">COUNTIFS($B$2:$B$2705,B281,$C$2:$C$2705,C281)</f>
        <v>1</v>
      </c>
      <c r="G281" s="3" t="n">
        <f aca="false">MIN(INT((MIN(B281,2020)-1900)/10)+1,12)</f>
        <v>2</v>
      </c>
      <c r="H281" s="3" t="n">
        <f aca="false">(MIN(B281,2020)-1900-10*(G281-1))/10</f>
        <v>0.8</v>
      </c>
      <c r="I281" s="20" t="n">
        <f aca="false">EXP(LN(INDEX(Pop_Inputs!$B$2:$N$29,MATCH(C281,Pop_Inputs!$A$2:$A$29,0),G281))*(1-H281)+LN(INDEX(Pop_Inputs!$B$2:$N$29,MATCH(C281,Pop_Inputs!$A$2:$A$29,0),G281+1))*H281)</f>
        <v>413830.531264625</v>
      </c>
      <c r="J281" s="20" t="n">
        <f aca="false">I281/F281</f>
        <v>413830.531264625</v>
      </c>
      <c r="K281" s="21" t="n">
        <f aca="false">D281/(D281+E281)</f>
        <v>0.5625</v>
      </c>
      <c r="L281" s="21" t="n">
        <f aca="false">AVERAGEIFS($K$2:$K$2705,$B$2:$B$2705,B281)</f>
        <v>0.499718022915886</v>
      </c>
      <c r="M281" s="21" t="n">
        <f aca="false">K281-L281</f>
        <v>0.0627819770841145</v>
      </c>
      <c r="N281" s="21" t="n">
        <f aca="false">LN(J281)</f>
        <v>12.9332118242316</v>
      </c>
      <c r="O281" s="21" t="n">
        <f aca="false">AVERAGEIFS($N$2:$N$2705,$B$2:$B$2705,B281)</f>
        <v>13.5199907296803</v>
      </c>
      <c r="P281" s="21" t="n">
        <f aca="false">N281-O281</f>
        <v>-0.586778905448679</v>
      </c>
      <c r="Q281" s="7" t="n">
        <v>0</v>
      </c>
      <c r="R281" s="3" t="n">
        <f aca="false">IF(AND(Q281=1,B281-_xlfn.MINIFS($B$2:$B$2705,$A$2:$A$2705,A281)&lt;10),1,0)</f>
        <v>0</v>
      </c>
      <c r="S281" s="7" t="n">
        <v>0</v>
      </c>
      <c r="T281" s="3" t="n">
        <f aca="false">_xlfn.MINIFS($B$2:$B$2705,$A$2:$A$2705,A281)</f>
        <v>1901</v>
      </c>
      <c r="U281" s="3" t="n">
        <f aca="false">B281-T281</f>
        <v>17</v>
      </c>
      <c r="V281" s="3" t="str">
        <f aca="false">INDEX(Pop_Inputs!$Q$2:$Q$29,MATCH(C281,Pop_Inputs!$A$2:$A$29,0))</f>
        <v>South</v>
      </c>
      <c r="W281" s="30"/>
      <c r="X281" s="3" t="str">
        <f aca="false">IF(W281="","",LN(W281))</f>
        <v/>
      </c>
      <c r="Y281" s="3" t="str">
        <f aca="false">IF(X281="","",X281-AVERAGEIFS($X$2:$X$2705,$B$2:$B$2705,B281))</f>
        <v/>
      </c>
      <c r="Z281" s="21" t="n">
        <f aca="false">P281</f>
        <v>-0.586778905448679</v>
      </c>
      <c r="AA281" s="3" t="n">
        <f aca="false">R281</f>
        <v>0</v>
      </c>
      <c r="AB281" s="21" t="n">
        <f aca="false">P281</f>
        <v>-0.586778905448679</v>
      </c>
      <c r="AC281" s="3" t="str">
        <f aca="false">Y281</f>
        <v/>
      </c>
      <c r="AD281" s="3" t="n">
        <f aca="false">R281</f>
        <v>0</v>
      </c>
    </row>
    <row r="282" customFormat="false" ht="15" hidden="false" customHeight="true" outlineLevel="0" collapsed="false">
      <c r="A282" s="7" t="s">
        <v>70</v>
      </c>
      <c r="B282" s="7" t="n">
        <v>1918</v>
      </c>
      <c r="C282" s="7" t="s">
        <v>154</v>
      </c>
      <c r="D282" s="7" t="n">
        <v>60</v>
      </c>
      <c r="E282" s="7" t="n">
        <v>63</v>
      </c>
      <c r="F282" s="3" t="n">
        <f aca="false">COUNTIFS($B$2:$B$2705,B282,$C$2:$C$2705,C282)</f>
        <v>3</v>
      </c>
      <c r="G282" s="3" t="n">
        <f aca="false">MIN(INT((MIN(B282,2020)-1900)/10)+1,12)</f>
        <v>2</v>
      </c>
      <c r="H282" s="3" t="n">
        <f aca="false">(MIN(B282,2020)-1900-10*(G282-1))/10</f>
        <v>0.8</v>
      </c>
      <c r="I282" s="20" t="n">
        <f aca="false">EXP(LN(INDEX(Pop_Inputs!$B$2:$N$29,MATCH(C282,Pop_Inputs!$A$2:$A$29,0),G282))*(1-H282)+LN(INDEX(Pop_Inputs!$B$2:$N$29,MATCH(C282,Pop_Inputs!$A$2:$A$29,0),G282+1))*H282)</f>
        <v>5437996.43300975</v>
      </c>
      <c r="J282" s="20" t="n">
        <f aca="false">I282/F282</f>
        <v>1812665.47766992</v>
      </c>
      <c r="K282" s="21" t="n">
        <f aca="false">D282/(D282+E282)</f>
        <v>0.487804878048781</v>
      </c>
      <c r="L282" s="21" t="n">
        <f aca="false">AVERAGEIFS($K$2:$K$2705,$B$2:$B$2705,B282)</f>
        <v>0.499718022915886</v>
      </c>
      <c r="M282" s="21" t="n">
        <f aca="false">K282-L282</f>
        <v>-0.011913144867105</v>
      </c>
      <c r="N282" s="21" t="n">
        <f aca="false">LN(J282)</f>
        <v>14.4103089595683</v>
      </c>
      <c r="O282" s="21" t="n">
        <f aca="false">AVERAGEIFS($N$2:$N$2705,$B$2:$B$2705,B282)</f>
        <v>13.5199907296803</v>
      </c>
      <c r="P282" s="21" t="n">
        <f aca="false">N282-O282</f>
        <v>0.890318229888088</v>
      </c>
      <c r="Q282" s="7" t="n">
        <v>0</v>
      </c>
      <c r="R282" s="3" t="n">
        <f aca="false">IF(AND(Q282=1,B282-_xlfn.MINIFS($B$2:$B$2705,$A$2:$A$2705,A282)&lt;10),1,0)</f>
        <v>0</v>
      </c>
      <c r="S282" s="7" t="n">
        <v>1</v>
      </c>
      <c r="T282" s="3" t="n">
        <f aca="false">_xlfn.MINIFS($B$2:$B$2705,$A$2:$A$2705,A282)</f>
        <v>1903</v>
      </c>
      <c r="U282" s="3" t="n">
        <f aca="false">B282-T282</f>
        <v>15</v>
      </c>
      <c r="V282" s="3" t="str">
        <f aca="false">INDEX(Pop_Inputs!$Q$2:$Q$29,MATCH(C282,Pop_Inputs!$A$2:$A$29,0))</f>
        <v>Northeast</v>
      </c>
      <c r="W282" s="30"/>
      <c r="X282" s="3" t="str">
        <f aca="false">IF(W282="","",LN(W282))</f>
        <v/>
      </c>
      <c r="Y282" s="3" t="str">
        <f aca="false">IF(X282="","",X282-AVERAGEIFS($X$2:$X$2705,$B$2:$B$2705,B282))</f>
        <v/>
      </c>
      <c r="Z282" s="21" t="n">
        <f aca="false">P282</f>
        <v>0.890318229888088</v>
      </c>
      <c r="AA282" s="3" t="n">
        <f aca="false">R282</f>
        <v>0</v>
      </c>
      <c r="AB282" s="21" t="n">
        <f aca="false">P282</f>
        <v>0.890318229888088</v>
      </c>
      <c r="AC282" s="3" t="str">
        <f aca="false">Y282</f>
        <v/>
      </c>
      <c r="AD282" s="3" t="n">
        <f aca="false">R282</f>
        <v>0</v>
      </c>
    </row>
    <row r="283" customFormat="false" ht="15" hidden="false" customHeight="true" outlineLevel="0" collapsed="false">
      <c r="A283" s="7" t="s">
        <v>69</v>
      </c>
      <c r="B283" s="7" t="n">
        <v>1918</v>
      </c>
      <c r="C283" s="7" t="s">
        <v>146</v>
      </c>
      <c r="D283" s="7" t="n">
        <v>52</v>
      </c>
      <c r="E283" s="7" t="n">
        <v>76</v>
      </c>
      <c r="F283" s="3" t="n">
        <f aca="false">COUNTIFS($B$2:$B$2705,B283,$C$2:$C$2705,C283)</f>
        <v>2</v>
      </c>
      <c r="G283" s="3" t="n">
        <f aca="false">MIN(INT((MIN(B283,2020)-1900)/10)+1,12)</f>
        <v>2</v>
      </c>
      <c r="H283" s="3" t="n">
        <f aca="false">(MIN(B283,2020)-1900-10*(G283-1))/10</f>
        <v>0.8</v>
      </c>
      <c r="I283" s="20" t="n">
        <f aca="false">EXP(LN(INDEX(Pop_Inputs!$B$2:$N$29,MATCH(C283,Pop_Inputs!$A$2:$A$29,0),G283))*(1-H283)+LN(INDEX(Pop_Inputs!$B$2:$N$29,MATCH(C283,Pop_Inputs!$A$2:$A$29,0),G283+1))*H283)</f>
        <v>1765177.97824364</v>
      </c>
      <c r="J283" s="20" t="n">
        <f aca="false">I283/F283</f>
        <v>882588.989121818</v>
      </c>
      <c r="K283" s="21" t="n">
        <f aca="false">D283/(D283+E283)</f>
        <v>0.40625</v>
      </c>
      <c r="L283" s="21" t="n">
        <f aca="false">AVERAGEIFS($K$2:$K$2705,$B$2:$B$2705,B283)</f>
        <v>0.499718022915886</v>
      </c>
      <c r="M283" s="21" t="n">
        <f aca="false">K283-L283</f>
        <v>-0.0934680229158855</v>
      </c>
      <c r="N283" s="21" t="n">
        <f aca="false">LN(J283)</f>
        <v>13.6906149002376</v>
      </c>
      <c r="O283" s="21" t="n">
        <f aca="false">AVERAGEIFS($N$2:$N$2705,$B$2:$B$2705,B283)</f>
        <v>13.5199907296803</v>
      </c>
      <c r="P283" s="21" t="n">
        <f aca="false">N283-O283</f>
        <v>0.170624170557382</v>
      </c>
      <c r="Q283" s="7" t="n">
        <v>0</v>
      </c>
      <c r="R283" s="3" t="n">
        <f aca="false">IF(AND(Q283=1,B283-_xlfn.MINIFS($B$2:$B$2705,$A$2:$A$2705,A283)&lt;10),1,0)</f>
        <v>0</v>
      </c>
      <c r="S283" s="7" t="n">
        <v>0</v>
      </c>
      <c r="T283" s="3" t="n">
        <f aca="false">_xlfn.MINIFS($B$2:$B$2705,$A$2:$A$2705,A283)</f>
        <v>1901</v>
      </c>
      <c r="U283" s="3" t="n">
        <f aca="false">B283-T283</f>
        <v>17</v>
      </c>
      <c r="V283" s="3" t="str">
        <f aca="false">INDEX(Pop_Inputs!$Q$2:$Q$29,MATCH(C283,Pop_Inputs!$A$2:$A$29,0))</f>
        <v>Northeast</v>
      </c>
      <c r="W283" s="30"/>
      <c r="X283" s="3" t="str">
        <f aca="false">IF(W283="","",LN(W283))</f>
        <v/>
      </c>
      <c r="Y283" s="3" t="str">
        <f aca="false">IF(X283="","",X283-AVERAGEIFS($X$2:$X$2705,$B$2:$B$2705,B283))</f>
        <v/>
      </c>
      <c r="Z283" s="21" t="n">
        <f aca="false">P283</f>
        <v>0.170624170557382</v>
      </c>
      <c r="AA283" s="3" t="n">
        <f aca="false">R283</f>
        <v>0</v>
      </c>
      <c r="AB283" s="21" t="n">
        <f aca="false">P283</f>
        <v>0.170624170557382</v>
      </c>
      <c r="AC283" s="3" t="str">
        <f aca="false">Y283</f>
        <v/>
      </c>
      <c r="AD283" s="3" t="n">
        <f aca="false">R283</f>
        <v>0</v>
      </c>
    </row>
    <row r="284" customFormat="false" ht="15" hidden="false" customHeight="true" outlineLevel="0" collapsed="false">
      <c r="A284" s="7" t="s">
        <v>60</v>
      </c>
      <c r="B284" s="7" t="n">
        <v>1918</v>
      </c>
      <c r="C284" s="7" t="s">
        <v>146</v>
      </c>
      <c r="D284" s="7" t="n">
        <v>55</v>
      </c>
      <c r="E284" s="7" t="n">
        <v>68</v>
      </c>
      <c r="F284" s="3" t="n">
        <f aca="false">COUNTIFS($B$2:$B$2705,B284,$C$2:$C$2705,C284)</f>
        <v>2</v>
      </c>
      <c r="G284" s="3" t="n">
        <f aca="false">MIN(INT((MIN(B284,2020)-1900)/10)+1,12)</f>
        <v>2</v>
      </c>
      <c r="H284" s="3" t="n">
        <f aca="false">(MIN(B284,2020)-1900-10*(G284-1))/10</f>
        <v>0.8</v>
      </c>
      <c r="I284" s="20" t="n">
        <f aca="false">EXP(LN(INDEX(Pop_Inputs!$B$2:$N$29,MATCH(C284,Pop_Inputs!$A$2:$A$29,0),G284))*(1-H284)+LN(INDEX(Pop_Inputs!$B$2:$N$29,MATCH(C284,Pop_Inputs!$A$2:$A$29,0),G284+1))*H284)</f>
        <v>1765177.97824364</v>
      </c>
      <c r="J284" s="20" t="n">
        <f aca="false">I284/F284</f>
        <v>882588.989121818</v>
      </c>
      <c r="K284" s="21" t="n">
        <f aca="false">D284/(D284+E284)</f>
        <v>0.447154471544715</v>
      </c>
      <c r="L284" s="21" t="n">
        <f aca="false">AVERAGEIFS($K$2:$K$2705,$B$2:$B$2705,B284)</f>
        <v>0.499718022915886</v>
      </c>
      <c r="M284" s="21" t="n">
        <f aca="false">K284-L284</f>
        <v>-0.0525635513711701</v>
      </c>
      <c r="N284" s="21" t="n">
        <f aca="false">LN(J284)</f>
        <v>13.6906149002376</v>
      </c>
      <c r="O284" s="21" t="n">
        <f aca="false">AVERAGEIFS($N$2:$N$2705,$B$2:$B$2705,B284)</f>
        <v>13.5199907296803</v>
      </c>
      <c r="P284" s="21" t="n">
        <f aca="false">N284-O284</f>
        <v>0.170624170557382</v>
      </c>
      <c r="Q284" s="7" t="n">
        <v>0</v>
      </c>
      <c r="R284" s="3" t="n">
        <f aca="false">IF(AND(Q284=1,B284-_xlfn.MINIFS($B$2:$B$2705,$A$2:$A$2705,A284)&lt;10),1,0)</f>
        <v>0</v>
      </c>
      <c r="S284" s="7" t="n">
        <v>0</v>
      </c>
      <c r="T284" s="3" t="n">
        <f aca="false">_xlfn.MINIFS($B$2:$B$2705,$A$2:$A$2705,A284)</f>
        <v>1901</v>
      </c>
      <c r="U284" s="3" t="n">
        <f aca="false">B284-T284</f>
        <v>17</v>
      </c>
      <c r="V284" s="3" t="str">
        <f aca="false">INDEX(Pop_Inputs!$Q$2:$Q$29,MATCH(C284,Pop_Inputs!$A$2:$A$29,0))</f>
        <v>Northeast</v>
      </c>
      <c r="W284" s="30"/>
      <c r="X284" s="3" t="str">
        <f aca="false">IF(W284="","",LN(W284))</f>
        <v/>
      </c>
      <c r="Y284" s="3" t="str">
        <f aca="false">IF(X284="","",X284-AVERAGEIFS($X$2:$X$2705,$B$2:$B$2705,B284))</f>
        <v/>
      </c>
      <c r="Z284" s="21" t="n">
        <f aca="false">P284</f>
        <v>0.170624170557382</v>
      </c>
      <c r="AA284" s="3" t="n">
        <f aca="false">R284</f>
        <v>0</v>
      </c>
      <c r="AB284" s="21" t="n">
        <f aca="false">P284</f>
        <v>0.170624170557382</v>
      </c>
      <c r="AC284" s="3" t="str">
        <f aca="false">Y284</f>
        <v/>
      </c>
      <c r="AD284" s="3" t="n">
        <f aca="false">R284</f>
        <v>0</v>
      </c>
    </row>
    <row r="285" customFormat="false" ht="15" hidden="false" customHeight="true" outlineLevel="0" collapsed="false">
      <c r="A285" s="7" t="s">
        <v>58</v>
      </c>
      <c r="B285" s="7" t="n">
        <v>1918</v>
      </c>
      <c r="C285" s="7" t="s">
        <v>144</v>
      </c>
      <c r="D285" s="7" t="n">
        <v>65</v>
      </c>
      <c r="E285" s="7" t="n">
        <v>60</v>
      </c>
      <c r="F285" s="3" t="n">
        <f aca="false">COUNTIFS($B$2:$B$2705,B285,$C$2:$C$2705,C285)</f>
        <v>1</v>
      </c>
      <c r="G285" s="3" t="n">
        <f aca="false">MIN(INT((MIN(B285,2020)-1900)/10)+1,12)</f>
        <v>2</v>
      </c>
      <c r="H285" s="3" t="n">
        <f aca="false">(MIN(B285,2020)-1900-10*(G285-1))/10</f>
        <v>0.8</v>
      </c>
      <c r="I285" s="20" t="n">
        <f aca="false">EXP(LN(INDEX(Pop_Inputs!$B$2:$N$29,MATCH(C285,Pop_Inputs!$A$2:$A$29,0),G285))*(1-H285)+LN(INDEX(Pop_Inputs!$B$2:$N$29,MATCH(C285,Pop_Inputs!$A$2:$A$29,0),G285+1))*H285)</f>
        <v>577028.508267234</v>
      </c>
      <c r="J285" s="20" t="n">
        <f aca="false">I285/F285</f>
        <v>577028.508267234</v>
      </c>
      <c r="K285" s="21" t="n">
        <f aca="false">D285/(D285+E285)</f>
        <v>0.52</v>
      </c>
      <c r="L285" s="21" t="n">
        <f aca="false">AVERAGEIFS($K$2:$K$2705,$B$2:$B$2705,B285)</f>
        <v>0.499718022915886</v>
      </c>
      <c r="M285" s="21" t="n">
        <f aca="false">K285-L285</f>
        <v>0.0202819770841145</v>
      </c>
      <c r="N285" s="21" t="n">
        <f aca="false">LN(J285)</f>
        <v>13.2656469520119</v>
      </c>
      <c r="O285" s="21" t="n">
        <f aca="false">AVERAGEIFS($N$2:$N$2705,$B$2:$B$2705,B285)</f>
        <v>13.5199907296803</v>
      </c>
      <c r="P285" s="21" t="n">
        <f aca="false">N285-O285</f>
        <v>-0.254343777668362</v>
      </c>
      <c r="Q285" s="7" t="n">
        <v>0</v>
      </c>
      <c r="R285" s="3" t="n">
        <f aca="false">IF(AND(Q285=1,B285-_xlfn.MINIFS($B$2:$B$2705,$A$2:$A$2705,A285)&lt;10),1,0)</f>
        <v>0</v>
      </c>
      <c r="S285" s="7" t="n">
        <v>0</v>
      </c>
      <c r="T285" s="3" t="n">
        <f aca="false">_xlfn.MINIFS($B$2:$B$2705,$A$2:$A$2705,A285)</f>
        <v>1901</v>
      </c>
      <c r="U285" s="3" t="n">
        <f aca="false">B285-T285</f>
        <v>17</v>
      </c>
      <c r="V285" s="3" t="str">
        <f aca="false">INDEX(Pop_Inputs!$Q$2:$Q$29,MATCH(C285,Pop_Inputs!$A$2:$A$29,0))</f>
        <v>Northeast</v>
      </c>
      <c r="W285" s="30"/>
      <c r="X285" s="3" t="str">
        <f aca="false">IF(W285="","",LN(W285))</f>
        <v/>
      </c>
      <c r="Y285" s="3" t="str">
        <f aca="false">IF(X285="","",X285-AVERAGEIFS($X$2:$X$2705,$B$2:$B$2705,B285))</f>
        <v/>
      </c>
      <c r="Z285" s="21" t="n">
        <f aca="false">P285</f>
        <v>-0.254343777668362</v>
      </c>
      <c r="AA285" s="3" t="n">
        <f aca="false">R285</f>
        <v>0</v>
      </c>
      <c r="AB285" s="21" t="n">
        <f aca="false">P285</f>
        <v>-0.254343777668362</v>
      </c>
      <c r="AC285" s="3" t="str">
        <f aca="false">Y285</f>
        <v/>
      </c>
      <c r="AD285" s="3" t="n">
        <f aca="false">R285</f>
        <v>0</v>
      </c>
    </row>
    <row r="286" customFormat="false" ht="15" hidden="false" customHeight="true" outlineLevel="0" collapsed="false">
      <c r="A286" s="7" t="s">
        <v>61</v>
      </c>
      <c r="B286" s="7" t="n">
        <v>1918</v>
      </c>
      <c r="C286" s="7" t="s">
        <v>154</v>
      </c>
      <c r="D286" s="7" t="n">
        <v>71</v>
      </c>
      <c r="E286" s="7" t="n">
        <v>53</v>
      </c>
      <c r="F286" s="3" t="n">
        <f aca="false">COUNTIFS($B$2:$B$2705,B286,$C$2:$C$2705,C286)</f>
        <v>3</v>
      </c>
      <c r="G286" s="3" t="n">
        <f aca="false">MIN(INT((MIN(B286,2020)-1900)/10)+1,12)</f>
        <v>2</v>
      </c>
      <c r="H286" s="3" t="n">
        <f aca="false">(MIN(B286,2020)-1900-10*(G286-1))/10</f>
        <v>0.8</v>
      </c>
      <c r="I286" s="20" t="n">
        <f aca="false">EXP(LN(INDEX(Pop_Inputs!$B$2:$N$29,MATCH(C286,Pop_Inputs!$A$2:$A$29,0),G286))*(1-H286)+LN(INDEX(Pop_Inputs!$B$2:$N$29,MATCH(C286,Pop_Inputs!$A$2:$A$29,0),G286+1))*H286)</f>
        <v>5437996.43300975</v>
      </c>
      <c r="J286" s="20" t="n">
        <f aca="false">I286/F286</f>
        <v>1812665.47766992</v>
      </c>
      <c r="K286" s="21" t="n">
        <f aca="false">D286/(D286+E286)</f>
        <v>0.57258064516129</v>
      </c>
      <c r="L286" s="21" t="n">
        <f aca="false">AVERAGEIFS($K$2:$K$2705,$B$2:$B$2705,B286)</f>
        <v>0.499718022915886</v>
      </c>
      <c r="M286" s="21" t="n">
        <f aca="false">K286-L286</f>
        <v>0.0728626222454049</v>
      </c>
      <c r="N286" s="21" t="n">
        <f aca="false">LN(J286)</f>
        <v>14.4103089595683</v>
      </c>
      <c r="O286" s="21" t="n">
        <f aca="false">AVERAGEIFS($N$2:$N$2705,$B$2:$B$2705,B286)</f>
        <v>13.5199907296803</v>
      </c>
      <c r="P286" s="21" t="n">
        <f aca="false">N286-O286</f>
        <v>0.890318229888088</v>
      </c>
      <c r="Q286" s="7" t="n">
        <v>0</v>
      </c>
      <c r="R286" s="3" t="n">
        <f aca="false">IF(AND(Q286=1,B286-_xlfn.MINIFS($B$2:$B$2705,$A$2:$A$2705,A286)&lt;10),1,0)</f>
        <v>0</v>
      </c>
      <c r="S286" s="7" t="n">
        <v>0</v>
      </c>
      <c r="T286" s="3" t="n">
        <f aca="false">_xlfn.MINIFS($B$2:$B$2705,$A$2:$A$2705,A286)</f>
        <v>1901</v>
      </c>
      <c r="U286" s="3" t="n">
        <f aca="false">B286-T286</f>
        <v>17</v>
      </c>
      <c r="V286" s="3" t="str">
        <f aca="false">INDEX(Pop_Inputs!$Q$2:$Q$29,MATCH(C286,Pop_Inputs!$A$2:$A$29,0))</f>
        <v>Northeast</v>
      </c>
      <c r="W286" s="30"/>
      <c r="X286" s="3" t="str">
        <f aca="false">IF(W286="","",LN(W286))</f>
        <v/>
      </c>
      <c r="Y286" s="3" t="str">
        <f aca="false">IF(X286="","",X286-AVERAGEIFS($X$2:$X$2705,$B$2:$B$2705,B286))</f>
        <v/>
      </c>
      <c r="Z286" s="21" t="n">
        <f aca="false">P286</f>
        <v>0.890318229888088</v>
      </c>
      <c r="AA286" s="3" t="n">
        <f aca="false">R286</f>
        <v>0</v>
      </c>
      <c r="AB286" s="21" t="n">
        <f aca="false">P286</f>
        <v>0.890318229888088</v>
      </c>
      <c r="AC286" s="3" t="str">
        <f aca="false">Y286</f>
        <v/>
      </c>
      <c r="AD286" s="3" t="n">
        <f aca="false">R286</f>
        <v>0</v>
      </c>
    </row>
    <row r="287" customFormat="false" ht="15" hidden="false" customHeight="true" outlineLevel="0" collapsed="false">
      <c r="A287" s="7" t="s">
        <v>59</v>
      </c>
      <c r="B287" s="7" t="n">
        <v>1918</v>
      </c>
      <c r="C287" s="7" t="s">
        <v>145</v>
      </c>
      <c r="D287" s="7" t="n">
        <v>51</v>
      </c>
      <c r="E287" s="7" t="n">
        <v>78</v>
      </c>
      <c r="F287" s="3" t="n">
        <f aca="false">COUNTIFS($B$2:$B$2705,B287,$C$2:$C$2705,C287)</f>
        <v>2</v>
      </c>
      <c r="G287" s="3" t="n">
        <f aca="false">MIN(INT((MIN(B287,2020)-1900)/10)+1,12)</f>
        <v>2</v>
      </c>
      <c r="H287" s="3" t="n">
        <f aca="false">(MIN(B287,2020)-1900-10*(G287-1))/10</f>
        <v>0.8</v>
      </c>
      <c r="I287" s="20" t="n">
        <f aca="false">EXP(LN(INDEX(Pop_Inputs!$B$2:$N$29,MATCH(C287,Pop_Inputs!$A$2:$A$29,0),G287))*(1-H287)+LN(INDEX(Pop_Inputs!$B$2:$N$29,MATCH(C287,Pop_Inputs!$A$2:$A$29,0),G287+1))*H287)</f>
        <v>754905.016116039</v>
      </c>
      <c r="J287" s="20" t="n">
        <f aca="false">I287/F287</f>
        <v>377452.50805802</v>
      </c>
      <c r="K287" s="21" t="n">
        <f aca="false">D287/(D287+E287)</f>
        <v>0.395348837209302</v>
      </c>
      <c r="L287" s="21" t="n">
        <f aca="false">AVERAGEIFS($K$2:$K$2705,$B$2:$B$2705,B287)</f>
        <v>0.499718022915886</v>
      </c>
      <c r="M287" s="21" t="n">
        <f aca="false">K287-L287</f>
        <v>-0.104369185706583</v>
      </c>
      <c r="N287" s="21" t="n">
        <f aca="false">LN(J287)</f>
        <v>12.8412000332881</v>
      </c>
      <c r="O287" s="21" t="n">
        <f aca="false">AVERAGEIFS($N$2:$N$2705,$B$2:$B$2705,B287)</f>
        <v>13.5199907296803</v>
      </c>
      <c r="P287" s="21" t="n">
        <f aca="false">N287-O287</f>
        <v>-0.678790696392154</v>
      </c>
      <c r="Q287" s="7" t="n">
        <v>0</v>
      </c>
      <c r="R287" s="3" t="n">
        <f aca="false">IF(AND(Q287=1,B287-_xlfn.MINIFS($B$2:$B$2705,$A$2:$A$2705,A287)&lt;10),1,0)</f>
        <v>0</v>
      </c>
      <c r="S287" s="7" t="n">
        <v>0</v>
      </c>
      <c r="T287" s="3" t="n">
        <f aca="false">_xlfn.MINIFS($B$2:$B$2705,$A$2:$A$2705,A287)</f>
        <v>1901</v>
      </c>
      <c r="U287" s="3" t="n">
        <f aca="false">B287-T287</f>
        <v>17</v>
      </c>
      <c r="V287" s="3" t="str">
        <f aca="false">INDEX(Pop_Inputs!$Q$2:$Q$29,MATCH(C287,Pop_Inputs!$A$2:$A$29,0))</f>
        <v>Midwest</v>
      </c>
      <c r="W287" s="30"/>
      <c r="X287" s="3" t="str">
        <f aca="false">IF(W287="","",LN(W287))</f>
        <v/>
      </c>
      <c r="Y287" s="3" t="str">
        <f aca="false">IF(X287="","",X287-AVERAGEIFS($X$2:$X$2705,$B$2:$B$2705,B287))</f>
        <v/>
      </c>
      <c r="Z287" s="21" t="n">
        <f aca="false">P287</f>
        <v>-0.678790696392154</v>
      </c>
      <c r="AA287" s="3" t="n">
        <f aca="false">R287</f>
        <v>0</v>
      </c>
      <c r="AB287" s="21" t="n">
        <f aca="false">P287</f>
        <v>-0.678790696392154</v>
      </c>
      <c r="AC287" s="3" t="str">
        <f aca="false">Y287</f>
        <v/>
      </c>
      <c r="AD287" s="3" t="n">
        <f aca="false">R287</f>
        <v>0</v>
      </c>
    </row>
    <row r="288" customFormat="false" ht="15" hidden="false" customHeight="true" outlineLevel="0" collapsed="false">
      <c r="A288" s="7" t="s">
        <v>54</v>
      </c>
      <c r="B288" s="7" t="n">
        <v>1919</v>
      </c>
      <c r="C288" s="7" t="s">
        <v>150</v>
      </c>
      <c r="D288" s="7" t="n">
        <v>57</v>
      </c>
      <c r="E288" s="7" t="n">
        <v>82</v>
      </c>
      <c r="F288" s="3" t="n">
        <f aca="false">COUNTIFS($B$2:$B$2705,B288,$C$2:$C$2705,C288)</f>
        <v>2</v>
      </c>
      <c r="G288" s="3" t="n">
        <f aca="false">MIN(INT((MIN(B288,2020)-1900)/10)+1,12)</f>
        <v>2</v>
      </c>
      <c r="H288" s="3" t="n">
        <f aca="false">(MIN(B288,2020)-1900-10*(G288-1))/10</f>
        <v>0.9</v>
      </c>
      <c r="I288" s="20" t="n">
        <f aca="false">EXP(LN(INDEX(Pop_Inputs!$B$2:$N$29,MATCH(C288,Pop_Inputs!$A$2:$A$29,0),G288))*(1-H288)+LN(INDEX(Pop_Inputs!$B$2:$N$29,MATCH(C288,Pop_Inputs!$A$2:$A$29,0),G288+1))*H288)</f>
        <v>739925.804047334</v>
      </c>
      <c r="J288" s="20" t="n">
        <f aca="false">I288/F288</f>
        <v>369962.902023667</v>
      </c>
      <c r="K288" s="21" t="n">
        <f aca="false">D288/(D288+E288)</f>
        <v>0.410071942446043</v>
      </c>
      <c r="L288" s="21" t="n">
        <f aca="false">AVERAGEIFS($K$2:$K$2705,$B$2:$B$2705,B288)</f>
        <v>0.499660566124785</v>
      </c>
      <c r="M288" s="21" t="n">
        <f aca="false">K288-L288</f>
        <v>-0.0895886236787421</v>
      </c>
      <c r="N288" s="21" t="n">
        <f aca="false">LN(J288)</f>
        <v>12.8211580147927</v>
      </c>
      <c r="O288" s="21" t="n">
        <f aca="false">AVERAGEIFS($N$2:$N$2705,$B$2:$B$2705,B288)</f>
        <v>13.5405084240921</v>
      </c>
      <c r="P288" s="21" t="n">
        <f aca="false">N288-O288</f>
        <v>-0.719350409299443</v>
      </c>
      <c r="Q288" s="7" t="n">
        <v>0</v>
      </c>
      <c r="R288" s="3" t="n">
        <f aca="false">IF(AND(Q288=1,B288-_xlfn.MINIFS($B$2:$B$2705,$A$2:$A$2705,A288)&lt;10),1,0)</f>
        <v>0</v>
      </c>
      <c r="S288" s="7" t="n">
        <v>0</v>
      </c>
      <c r="T288" s="3" t="n">
        <f aca="false">_xlfn.MINIFS($B$2:$B$2705,$A$2:$A$2705,A288)</f>
        <v>1901</v>
      </c>
      <c r="U288" s="3" t="n">
        <f aca="false">B288-T288</f>
        <v>18</v>
      </c>
      <c r="V288" s="3" t="str">
        <f aca="false">INDEX(Pop_Inputs!$Q$2:$Q$29,MATCH(C288,Pop_Inputs!$A$2:$A$29,0))</f>
        <v>Northeast</v>
      </c>
      <c r="W288" s="30"/>
      <c r="X288" s="3" t="str">
        <f aca="false">IF(W288="","",LN(W288))</f>
        <v/>
      </c>
      <c r="Y288" s="3" t="str">
        <f aca="false">IF(X288="","",X288-AVERAGEIFS($X$2:$X$2705,$B$2:$B$2705,B288))</f>
        <v/>
      </c>
      <c r="Z288" s="21" t="n">
        <f aca="false">P288</f>
        <v>-0.719350409299443</v>
      </c>
      <c r="AA288" s="3" t="n">
        <f aca="false">R288</f>
        <v>0</v>
      </c>
      <c r="AB288" s="21" t="n">
        <f aca="false">P288</f>
        <v>-0.719350409299443</v>
      </c>
      <c r="AC288" s="3" t="str">
        <f aca="false">Y288</f>
        <v/>
      </c>
      <c r="AD288" s="3" t="n">
        <f aca="false">R288</f>
        <v>0</v>
      </c>
    </row>
    <row r="289" customFormat="false" ht="15" hidden="false" customHeight="true" outlineLevel="0" collapsed="false">
      <c r="A289" s="7" t="s">
        <v>63</v>
      </c>
      <c r="B289" s="7" t="n">
        <v>1919</v>
      </c>
      <c r="C289" s="7" t="s">
        <v>145</v>
      </c>
      <c r="D289" s="7" t="n">
        <v>67</v>
      </c>
      <c r="E289" s="7" t="n">
        <v>72</v>
      </c>
      <c r="F289" s="3" t="n">
        <f aca="false">COUNTIFS($B$2:$B$2705,B289,$C$2:$C$2705,C289)</f>
        <v>2</v>
      </c>
      <c r="G289" s="3" t="n">
        <f aca="false">MIN(INT((MIN(B289,2020)-1900)/10)+1,12)</f>
        <v>2</v>
      </c>
      <c r="H289" s="3" t="n">
        <f aca="false">(MIN(B289,2020)-1900-10*(G289-1))/10</f>
        <v>0.9</v>
      </c>
      <c r="I289" s="20" t="n">
        <f aca="false">EXP(LN(INDEX(Pop_Inputs!$B$2:$N$29,MATCH(C289,Pop_Inputs!$A$2:$A$29,0),G289))*(1-H289)+LN(INDEX(Pop_Inputs!$B$2:$N$29,MATCH(C289,Pop_Inputs!$A$2:$A$29,0),G289+1))*H289)</f>
        <v>763848.036091629</v>
      </c>
      <c r="J289" s="20" t="n">
        <f aca="false">I289/F289</f>
        <v>381924.018045815</v>
      </c>
      <c r="K289" s="21" t="n">
        <f aca="false">D289/(D289+E289)</f>
        <v>0.482014388489209</v>
      </c>
      <c r="L289" s="21" t="n">
        <f aca="false">AVERAGEIFS($K$2:$K$2705,$B$2:$B$2705,B289)</f>
        <v>0.499660566124785</v>
      </c>
      <c r="M289" s="21" t="n">
        <f aca="false">K289-L289</f>
        <v>-0.0176461776355766</v>
      </c>
      <c r="N289" s="21" t="n">
        <f aca="false">LN(J289)</f>
        <v>12.8529769621651</v>
      </c>
      <c r="O289" s="21" t="n">
        <f aca="false">AVERAGEIFS($N$2:$N$2705,$B$2:$B$2705,B289)</f>
        <v>13.5405084240921</v>
      </c>
      <c r="P289" s="21" t="n">
        <f aca="false">N289-O289</f>
        <v>-0.687531461926966</v>
      </c>
      <c r="Q289" s="7" t="n">
        <v>0</v>
      </c>
      <c r="R289" s="3" t="n">
        <f aca="false">IF(AND(Q289=1,B289-_xlfn.MINIFS($B$2:$B$2705,$A$2:$A$2705,A289)&lt;10),1,0)</f>
        <v>0</v>
      </c>
      <c r="S289" s="7" t="n">
        <v>0</v>
      </c>
      <c r="T289" s="3" t="n">
        <f aca="false">_xlfn.MINIFS($B$2:$B$2705,$A$2:$A$2705,A289)</f>
        <v>1901</v>
      </c>
      <c r="U289" s="3" t="n">
        <f aca="false">B289-T289</f>
        <v>18</v>
      </c>
      <c r="V289" s="3" t="str">
        <f aca="false">INDEX(Pop_Inputs!$Q$2:$Q$29,MATCH(C289,Pop_Inputs!$A$2:$A$29,0))</f>
        <v>Midwest</v>
      </c>
      <c r="W289" s="30"/>
      <c r="X289" s="3" t="str">
        <f aca="false">IF(W289="","",LN(W289))</f>
        <v/>
      </c>
      <c r="Y289" s="3" t="str">
        <f aca="false">IF(X289="","",X289-AVERAGEIFS($X$2:$X$2705,$B$2:$B$2705,B289))</f>
        <v/>
      </c>
      <c r="Z289" s="21" t="n">
        <f aca="false">P289</f>
        <v>-0.687531461926966</v>
      </c>
      <c r="AA289" s="3" t="n">
        <f aca="false">R289</f>
        <v>0</v>
      </c>
      <c r="AB289" s="21" t="n">
        <f aca="false">P289</f>
        <v>-0.687531461926966</v>
      </c>
      <c r="AC289" s="3" t="str">
        <f aca="false">Y289</f>
        <v/>
      </c>
      <c r="AD289" s="3" t="n">
        <f aca="false">R289</f>
        <v>0</v>
      </c>
    </row>
    <row r="290" customFormat="false" ht="15" hidden="false" customHeight="true" outlineLevel="0" collapsed="false">
      <c r="A290" s="7" t="s">
        <v>64</v>
      </c>
      <c r="B290" s="7" t="n">
        <v>1919</v>
      </c>
      <c r="C290" s="7" t="s">
        <v>150</v>
      </c>
      <c r="D290" s="7" t="n">
        <v>66</v>
      </c>
      <c r="E290" s="7" t="n">
        <v>71</v>
      </c>
      <c r="F290" s="3" t="n">
        <f aca="false">COUNTIFS($B$2:$B$2705,B290,$C$2:$C$2705,C290)</f>
        <v>2</v>
      </c>
      <c r="G290" s="3" t="n">
        <f aca="false">MIN(INT((MIN(B290,2020)-1900)/10)+1,12)</f>
        <v>2</v>
      </c>
      <c r="H290" s="3" t="n">
        <f aca="false">(MIN(B290,2020)-1900-10*(G290-1))/10</f>
        <v>0.9</v>
      </c>
      <c r="I290" s="20" t="n">
        <f aca="false">EXP(LN(INDEX(Pop_Inputs!$B$2:$N$29,MATCH(C290,Pop_Inputs!$A$2:$A$29,0),G290))*(1-H290)+LN(INDEX(Pop_Inputs!$B$2:$N$29,MATCH(C290,Pop_Inputs!$A$2:$A$29,0),G290+1))*H290)</f>
        <v>739925.804047334</v>
      </c>
      <c r="J290" s="20" t="n">
        <f aca="false">I290/F290</f>
        <v>369962.902023667</v>
      </c>
      <c r="K290" s="21" t="n">
        <f aca="false">D290/(D290+E290)</f>
        <v>0.481751824817518</v>
      </c>
      <c r="L290" s="21" t="n">
        <f aca="false">AVERAGEIFS($K$2:$K$2705,$B$2:$B$2705,B290)</f>
        <v>0.499660566124785</v>
      </c>
      <c r="M290" s="21" t="n">
        <f aca="false">K290-L290</f>
        <v>-0.017908741307267</v>
      </c>
      <c r="N290" s="21" t="n">
        <f aca="false">LN(J290)</f>
        <v>12.8211580147927</v>
      </c>
      <c r="O290" s="21" t="n">
        <f aca="false">AVERAGEIFS($N$2:$N$2705,$B$2:$B$2705,B290)</f>
        <v>13.5405084240921</v>
      </c>
      <c r="P290" s="21" t="n">
        <f aca="false">N290-O290</f>
        <v>-0.719350409299443</v>
      </c>
      <c r="Q290" s="7" t="n">
        <v>0</v>
      </c>
      <c r="R290" s="3" t="n">
        <f aca="false">IF(AND(Q290=1,B290-_xlfn.MINIFS($B$2:$B$2705,$A$2:$A$2705,A290)&lt;10),1,0)</f>
        <v>0</v>
      </c>
      <c r="S290" s="7" t="n">
        <v>0</v>
      </c>
      <c r="T290" s="3" t="n">
        <f aca="false">_xlfn.MINIFS($B$2:$B$2705,$A$2:$A$2705,A290)</f>
        <v>1901</v>
      </c>
      <c r="U290" s="3" t="n">
        <f aca="false">B290-T290</f>
        <v>18</v>
      </c>
      <c r="V290" s="3" t="str">
        <f aca="false">INDEX(Pop_Inputs!$Q$2:$Q$29,MATCH(C290,Pop_Inputs!$A$2:$A$29,0))</f>
        <v>Northeast</v>
      </c>
      <c r="W290" s="30"/>
      <c r="X290" s="3" t="str">
        <f aca="false">IF(W290="","",LN(W290))</f>
        <v/>
      </c>
      <c r="Y290" s="3" t="str">
        <f aca="false">IF(X290="","",X290-AVERAGEIFS($X$2:$X$2705,$B$2:$B$2705,B290))</f>
        <v/>
      </c>
      <c r="Z290" s="21" t="n">
        <f aca="false">P290</f>
        <v>-0.719350409299443</v>
      </c>
      <c r="AA290" s="3" t="n">
        <f aca="false">R290</f>
        <v>0</v>
      </c>
      <c r="AB290" s="21" t="n">
        <f aca="false">P290</f>
        <v>-0.719350409299443</v>
      </c>
      <c r="AC290" s="3" t="str">
        <f aca="false">Y290</f>
        <v/>
      </c>
      <c r="AD290" s="3" t="n">
        <f aca="false">R290</f>
        <v>0</v>
      </c>
    </row>
    <row r="291" customFormat="false" ht="15" hidden="false" customHeight="true" outlineLevel="0" collapsed="false">
      <c r="A291" s="7" t="s">
        <v>56</v>
      </c>
      <c r="B291" s="7" t="n">
        <v>1919</v>
      </c>
      <c r="C291" s="7" t="s">
        <v>142</v>
      </c>
      <c r="D291" s="7" t="n">
        <v>75</v>
      </c>
      <c r="E291" s="7" t="n">
        <v>65</v>
      </c>
      <c r="F291" s="3" t="n">
        <f aca="false">COUNTIFS($B$2:$B$2705,B291,$C$2:$C$2705,C291)</f>
        <v>2</v>
      </c>
      <c r="G291" s="3" t="n">
        <f aca="false">MIN(INT((MIN(B291,2020)-1900)/10)+1,12)</f>
        <v>2</v>
      </c>
      <c r="H291" s="3" t="n">
        <f aca="false">(MIN(B291,2020)-1900-10*(G291-1))/10</f>
        <v>0.9</v>
      </c>
      <c r="I291" s="20" t="n">
        <f aca="false">EXP(LN(INDEX(Pop_Inputs!$B$2:$N$29,MATCH(C291,Pop_Inputs!$A$2:$A$29,0),G291))*(1-H291)+LN(INDEX(Pop_Inputs!$B$2:$N$29,MATCH(C291,Pop_Inputs!$A$2:$A$29,0),G291+1))*H291)</f>
        <v>2644995.2874685</v>
      </c>
      <c r="J291" s="20" t="n">
        <f aca="false">I291/F291</f>
        <v>1322497.64373425</v>
      </c>
      <c r="K291" s="21" t="n">
        <f aca="false">D291/(D291+E291)</f>
        <v>0.535714285714286</v>
      </c>
      <c r="L291" s="21" t="n">
        <f aca="false">AVERAGEIFS($K$2:$K$2705,$B$2:$B$2705,B291)</f>
        <v>0.499660566124785</v>
      </c>
      <c r="M291" s="21" t="n">
        <f aca="false">K291-L291</f>
        <v>0.0360537195895004</v>
      </c>
      <c r="N291" s="21" t="n">
        <f aca="false">LN(J291)</f>
        <v>14.0950326610376</v>
      </c>
      <c r="O291" s="21" t="n">
        <f aca="false">AVERAGEIFS($N$2:$N$2705,$B$2:$B$2705,B291)</f>
        <v>13.5405084240921</v>
      </c>
      <c r="P291" s="21" t="n">
        <f aca="false">N291-O291</f>
        <v>0.554524236945481</v>
      </c>
      <c r="Q291" s="7" t="n">
        <v>0</v>
      </c>
      <c r="R291" s="3" t="n">
        <f aca="false">IF(AND(Q291=1,B291-_xlfn.MINIFS($B$2:$B$2705,$A$2:$A$2705,A291)&lt;10),1,0)</f>
        <v>0</v>
      </c>
      <c r="S291" s="7" t="n">
        <v>0</v>
      </c>
      <c r="T291" s="3" t="n">
        <f aca="false">_xlfn.MINIFS($B$2:$B$2705,$A$2:$A$2705,A291)</f>
        <v>1901</v>
      </c>
      <c r="U291" s="3" t="n">
        <f aca="false">B291-T291</f>
        <v>18</v>
      </c>
      <c r="V291" s="3" t="str">
        <f aca="false">INDEX(Pop_Inputs!$Q$2:$Q$29,MATCH(C291,Pop_Inputs!$A$2:$A$29,0))</f>
        <v>Midwest</v>
      </c>
      <c r="W291" s="30"/>
      <c r="X291" s="3" t="str">
        <f aca="false">IF(W291="","",LN(W291))</f>
        <v/>
      </c>
      <c r="Y291" s="3" t="str">
        <f aca="false">IF(X291="","",X291-AVERAGEIFS($X$2:$X$2705,$B$2:$B$2705,B291))</f>
        <v/>
      </c>
      <c r="Z291" s="21" t="n">
        <f aca="false">P291</f>
        <v>0.554524236945481</v>
      </c>
      <c r="AA291" s="3" t="n">
        <f aca="false">R291</f>
        <v>0</v>
      </c>
      <c r="AB291" s="21" t="n">
        <f aca="false">P291</f>
        <v>0.554524236945481</v>
      </c>
      <c r="AC291" s="3" t="str">
        <f aca="false">Y291</f>
        <v/>
      </c>
      <c r="AD291" s="3" t="n">
        <f aca="false">R291</f>
        <v>0</v>
      </c>
    </row>
    <row r="292" customFormat="false" ht="15" hidden="false" customHeight="true" outlineLevel="0" collapsed="false">
      <c r="A292" s="7" t="s">
        <v>65</v>
      </c>
      <c r="B292" s="7" t="n">
        <v>1919</v>
      </c>
      <c r="C292" s="7" t="s">
        <v>142</v>
      </c>
      <c r="D292" s="7" t="n">
        <v>88</v>
      </c>
      <c r="E292" s="7" t="n">
        <v>52</v>
      </c>
      <c r="F292" s="3" t="n">
        <f aca="false">COUNTIFS($B$2:$B$2705,B292,$C$2:$C$2705,C292)</f>
        <v>2</v>
      </c>
      <c r="G292" s="3" t="n">
        <f aca="false">MIN(INT((MIN(B292,2020)-1900)/10)+1,12)</f>
        <v>2</v>
      </c>
      <c r="H292" s="3" t="n">
        <f aca="false">(MIN(B292,2020)-1900-10*(G292-1))/10</f>
        <v>0.9</v>
      </c>
      <c r="I292" s="20" t="n">
        <f aca="false">EXP(LN(INDEX(Pop_Inputs!$B$2:$N$29,MATCH(C292,Pop_Inputs!$A$2:$A$29,0),G292))*(1-H292)+LN(INDEX(Pop_Inputs!$B$2:$N$29,MATCH(C292,Pop_Inputs!$A$2:$A$29,0),G292+1))*H292)</f>
        <v>2644995.2874685</v>
      </c>
      <c r="J292" s="20" t="n">
        <f aca="false">I292/F292</f>
        <v>1322497.64373425</v>
      </c>
      <c r="K292" s="21" t="n">
        <f aca="false">D292/(D292+E292)</f>
        <v>0.628571428571429</v>
      </c>
      <c r="L292" s="21" t="n">
        <f aca="false">AVERAGEIFS($K$2:$K$2705,$B$2:$B$2705,B292)</f>
        <v>0.499660566124785</v>
      </c>
      <c r="M292" s="21" t="n">
        <f aca="false">K292-L292</f>
        <v>0.128910862446643</v>
      </c>
      <c r="N292" s="21" t="n">
        <f aca="false">LN(J292)</f>
        <v>14.0950326610376</v>
      </c>
      <c r="O292" s="21" t="n">
        <f aca="false">AVERAGEIFS($N$2:$N$2705,$B$2:$B$2705,B292)</f>
        <v>13.5405084240921</v>
      </c>
      <c r="P292" s="21" t="n">
        <f aca="false">N292-O292</f>
        <v>0.554524236945481</v>
      </c>
      <c r="Q292" s="7" t="n">
        <v>0</v>
      </c>
      <c r="R292" s="3" t="n">
        <f aca="false">IF(AND(Q292=1,B292-_xlfn.MINIFS($B$2:$B$2705,$A$2:$A$2705,A292)&lt;10),1,0)</f>
        <v>0</v>
      </c>
      <c r="S292" s="7" t="n">
        <v>0</v>
      </c>
      <c r="T292" s="3" t="n">
        <f aca="false">_xlfn.MINIFS($B$2:$B$2705,$A$2:$A$2705,A292)</f>
        <v>1901</v>
      </c>
      <c r="U292" s="3" t="n">
        <f aca="false">B292-T292</f>
        <v>18</v>
      </c>
      <c r="V292" s="3" t="str">
        <f aca="false">INDEX(Pop_Inputs!$Q$2:$Q$29,MATCH(C292,Pop_Inputs!$A$2:$A$29,0))</f>
        <v>Midwest</v>
      </c>
      <c r="W292" s="30"/>
      <c r="X292" s="3" t="str">
        <f aca="false">IF(W292="","",LN(W292))</f>
        <v/>
      </c>
      <c r="Y292" s="3" t="str">
        <f aca="false">IF(X292="","",X292-AVERAGEIFS($X$2:$X$2705,$B$2:$B$2705,B292))</f>
        <v/>
      </c>
      <c r="Z292" s="21" t="n">
        <f aca="false">P292</f>
        <v>0.554524236945481</v>
      </c>
      <c r="AA292" s="3" t="n">
        <f aca="false">R292</f>
        <v>0</v>
      </c>
      <c r="AB292" s="21" t="n">
        <f aca="false">P292</f>
        <v>0.554524236945481</v>
      </c>
      <c r="AC292" s="3" t="str">
        <f aca="false">Y292</f>
        <v/>
      </c>
      <c r="AD292" s="3" t="n">
        <f aca="false">R292</f>
        <v>0</v>
      </c>
    </row>
    <row r="293" customFormat="false" ht="15" hidden="false" customHeight="true" outlineLevel="0" collapsed="false">
      <c r="A293" s="7" t="s">
        <v>57</v>
      </c>
      <c r="B293" s="7" t="n">
        <v>1919</v>
      </c>
      <c r="C293" s="7" t="s">
        <v>143</v>
      </c>
      <c r="D293" s="7" t="n">
        <v>96</v>
      </c>
      <c r="E293" s="7" t="n">
        <v>44</v>
      </c>
      <c r="F293" s="3" t="n">
        <f aca="false">COUNTIFS($B$2:$B$2705,B293,$C$2:$C$2705,C293)</f>
        <v>1</v>
      </c>
      <c r="G293" s="3" t="n">
        <f aca="false">MIN(INT((MIN(B293,2020)-1900)/10)+1,12)</f>
        <v>2</v>
      </c>
      <c r="H293" s="3" t="n">
        <f aca="false">(MIN(B293,2020)-1900-10*(G293-1))/10</f>
        <v>0.9</v>
      </c>
      <c r="I293" s="20" t="n">
        <f aca="false">EXP(LN(INDEX(Pop_Inputs!$B$2:$N$29,MATCH(C293,Pop_Inputs!$A$2:$A$29,0),G293))*(1-H293)+LN(INDEX(Pop_Inputs!$B$2:$N$29,MATCH(C293,Pop_Inputs!$A$2:$A$29,0),G293+1))*H293)</f>
        <v>397312.227546317</v>
      </c>
      <c r="J293" s="20" t="n">
        <f aca="false">I293/F293</f>
        <v>397312.227546317</v>
      </c>
      <c r="K293" s="21" t="n">
        <f aca="false">D293/(D293+E293)</f>
        <v>0.685714285714286</v>
      </c>
      <c r="L293" s="21" t="n">
        <f aca="false">AVERAGEIFS($K$2:$K$2705,$B$2:$B$2705,B293)</f>
        <v>0.499660566124785</v>
      </c>
      <c r="M293" s="21" t="n">
        <f aca="false">K293-L293</f>
        <v>0.1860537195895</v>
      </c>
      <c r="N293" s="21" t="n">
        <f aca="false">LN(J293)</f>
        <v>12.892477717937</v>
      </c>
      <c r="O293" s="21" t="n">
        <f aca="false">AVERAGEIFS($N$2:$N$2705,$B$2:$B$2705,B293)</f>
        <v>13.5405084240921</v>
      </c>
      <c r="P293" s="21" t="n">
        <f aca="false">N293-O293</f>
        <v>-0.648030706155103</v>
      </c>
      <c r="Q293" s="7" t="n">
        <v>0</v>
      </c>
      <c r="R293" s="3" t="n">
        <f aca="false">IF(AND(Q293=1,B293-_xlfn.MINIFS($B$2:$B$2705,$A$2:$A$2705,A293)&lt;10),1,0)</f>
        <v>0</v>
      </c>
      <c r="S293" s="7" t="n">
        <v>0</v>
      </c>
      <c r="T293" s="3" t="n">
        <f aca="false">_xlfn.MINIFS($B$2:$B$2705,$A$2:$A$2705,A293)</f>
        <v>1901</v>
      </c>
      <c r="U293" s="3" t="n">
        <f aca="false">B293-T293</f>
        <v>18</v>
      </c>
      <c r="V293" s="3" t="str">
        <f aca="false">INDEX(Pop_Inputs!$Q$2:$Q$29,MATCH(C293,Pop_Inputs!$A$2:$A$29,0))</f>
        <v>Midwest</v>
      </c>
      <c r="W293" s="30"/>
      <c r="X293" s="3" t="str">
        <f aca="false">IF(W293="","",LN(W293))</f>
        <v/>
      </c>
      <c r="Y293" s="3" t="str">
        <f aca="false">IF(X293="","",X293-AVERAGEIFS($X$2:$X$2705,$B$2:$B$2705,B293))</f>
        <v/>
      </c>
      <c r="Z293" s="21" t="n">
        <f aca="false">P293</f>
        <v>-0.648030706155103</v>
      </c>
      <c r="AA293" s="3" t="n">
        <f aca="false">R293</f>
        <v>0</v>
      </c>
      <c r="AB293" s="21" t="n">
        <f aca="false">P293</f>
        <v>-0.648030706155103</v>
      </c>
      <c r="AC293" s="3" t="str">
        <f aca="false">Y293</f>
        <v/>
      </c>
      <c r="AD293" s="3" t="n">
        <f aca="false">R293</f>
        <v>0</v>
      </c>
    </row>
    <row r="294" customFormat="false" ht="15" hidden="false" customHeight="true" outlineLevel="0" collapsed="false">
      <c r="A294" s="7" t="s">
        <v>66</v>
      </c>
      <c r="B294" s="7" t="n">
        <v>1919</v>
      </c>
      <c r="C294" s="7" t="s">
        <v>151</v>
      </c>
      <c r="D294" s="7" t="n">
        <v>84</v>
      </c>
      <c r="E294" s="7" t="n">
        <v>55</v>
      </c>
      <c r="F294" s="3" t="n">
        <f aca="false">COUNTIFS($B$2:$B$2705,B294,$C$2:$C$2705,C294)</f>
        <v>1</v>
      </c>
      <c r="G294" s="3" t="n">
        <f aca="false">MIN(INT((MIN(B294,2020)-1900)/10)+1,12)</f>
        <v>2</v>
      </c>
      <c r="H294" s="3" t="n">
        <f aca="false">(MIN(B294,2020)-1900-10*(G294-1))/10</f>
        <v>0.9</v>
      </c>
      <c r="I294" s="20" t="n">
        <f aca="false">EXP(LN(INDEX(Pop_Inputs!$B$2:$N$29,MATCH(C294,Pop_Inputs!$A$2:$A$29,0),G294))*(1-H294)+LN(INDEX(Pop_Inputs!$B$2:$N$29,MATCH(C294,Pop_Inputs!$A$2:$A$29,0),G294+1))*H294)</f>
        <v>769315.874999313</v>
      </c>
      <c r="J294" s="20" t="n">
        <f aca="false">I294/F294</f>
        <v>769315.874999313</v>
      </c>
      <c r="K294" s="21" t="n">
        <f aca="false">D294/(D294+E294)</f>
        <v>0.60431654676259</v>
      </c>
      <c r="L294" s="21" t="n">
        <f aca="false">AVERAGEIFS($K$2:$K$2705,$B$2:$B$2705,B294)</f>
        <v>0.499660566124785</v>
      </c>
      <c r="M294" s="21" t="n">
        <f aca="false">K294-L294</f>
        <v>0.104655980637805</v>
      </c>
      <c r="N294" s="21" t="n">
        <f aca="false">LN(J294)</f>
        <v>13.553256924876</v>
      </c>
      <c r="O294" s="21" t="n">
        <f aca="false">AVERAGEIFS($N$2:$N$2705,$B$2:$B$2705,B294)</f>
        <v>13.5405084240921</v>
      </c>
      <c r="P294" s="21" t="n">
        <f aca="false">N294-O294</f>
        <v>0.0127485007839141</v>
      </c>
      <c r="Q294" s="7" t="n">
        <v>0</v>
      </c>
      <c r="R294" s="3" t="n">
        <f aca="false">IF(AND(Q294=1,B294-_xlfn.MINIFS($B$2:$B$2705,$A$2:$A$2705,A294)&lt;10),1,0)</f>
        <v>0</v>
      </c>
      <c r="S294" s="7" t="n">
        <v>0</v>
      </c>
      <c r="T294" s="3" t="n">
        <f aca="false">_xlfn.MINIFS($B$2:$B$2705,$A$2:$A$2705,A294)</f>
        <v>1901</v>
      </c>
      <c r="U294" s="3" t="n">
        <f aca="false">B294-T294</f>
        <v>18</v>
      </c>
      <c r="V294" s="3" t="str">
        <f aca="false">INDEX(Pop_Inputs!$Q$2:$Q$29,MATCH(C294,Pop_Inputs!$A$2:$A$29,0))</f>
        <v>Midwest</v>
      </c>
      <c r="W294" s="30"/>
      <c r="X294" s="3" t="str">
        <f aca="false">IF(W294="","",LN(W294))</f>
        <v/>
      </c>
      <c r="Y294" s="3" t="str">
        <f aca="false">IF(X294="","",X294-AVERAGEIFS($X$2:$X$2705,$B$2:$B$2705,B294))</f>
        <v/>
      </c>
      <c r="Z294" s="21" t="n">
        <f aca="false">P294</f>
        <v>0.0127485007839141</v>
      </c>
      <c r="AA294" s="3" t="n">
        <f aca="false">R294</f>
        <v>0</v>
      </c>
      <c r="AB294" s="21" t="n">
        <f aca="false">P294</f>
        <v>0.0127485007839141</v>
      </c>
      <c r="AC294" s="3" t="str">
        <f aca="false">Y294</f>
        <v/>
      </c>
      <c r="AD294" s="3" t="n">
        <f aca="false">R294</f>
        <v>0</v>
      </c>
    </row>
    <row r="295" customFormat="false" ht="15" hidden="false" customHeight="true" outlineLevel="0" collapsed="false">
      <c r="A295" s="7" t="s">
        <v>67</v>
      </c>
      <c r="B295" s="7" t="n">
        <v>1919</v>
      </c>
      <c r="C295" s="7" t="s">
        <v>152</v>
      </c>
      <c r="D295" s="7" t="n">
        <v>80</v>
      </c>
      <c r="E295" s="7" t="n">
        <v>60</v>
      </c>
      <c r="F295" s="3" t="n">
        <f aca="false">COUNTIFS($B$2:$B$2705,B295,$C$2:$C$2705,C295)</f>
        <v>1</v>
      </c>
      <c r="G295" s="3" t="n">
        <f aca="false">MIN(INT((MIN(B295,2020)-1900)/10)+1,12)</f>
        <v>2</v>
      </c>
      <c r="H295" s="3" t="n">
        <f aca="false">(MIN(B295,2020)-1900-10*(G295-1))/10</f>
        <v>0.9</v>
      </c>
      <c r="I295" s="20" t="n">
        <f aca="false">EXP(LN(INDEX(Pop_Inputs!$B$2:$N$29,MATCH(C295,Pop_Inputs!$A$2:$A$29,0),G295))*(1-H295)+LN(INDEX(Pop_Inputs!$B$2:$N$29,MATCH(C295,Pop_Inputs!$A$2:$A$29,0),G295+1))*H295)</f>
        <v>921165.969404101</v>
      </c>
      <c r="J295" s="20" t="n">
        <f aca="false">I295/F295</f>
        <v>921165.969404101</v>
      </c>
      <c r="K295" s="21" t="n">
        <f aca="false">D295/(D295+E295)</f>
        <v>0.571428571428571</v>
      </c>
      <c r="L295" s="21" t="n">
        <f aca="false">AVERAGEIFS($K$2:$K$2705,$B$2:$B$2705,B295)</f>
        <v>0.499660566124785</v>
      </c>
      <c r="M295" s="21" t="n">
        <f aca="false">K295-L295</f>
        <v>0.0717680053037861</v>
      </c>
      <c r="N295" s="21" t="n">
        <f aca="false">LN(J295)</f>
        <v>13.7333955046528</v>
      </c>
      <c r="O295" s="21" t="n">
        <f aca="false">AVERAGEIFS($N$2:$N$2705,$B$2:$B$2705,B295)</f>
        <v>13.5405084240921</v>
      </c>
      <c r="P295" s="21" t="n">
        <f aca="false">N295-O295</f>
        <v>0.192887080560746</v>
      </c>
      <c r="Q295" s="7" t="n">
        <v>0</v>
      </c>
      <c r="R295" s="3" t="n">
        <f aca="false">IF(AND(Q295=1,B295-_xlfn.MINIFS($B$2:$B$2705,$A$2:$A$2705,A295)&lt;10),1,0)</f>
        <v>0</v>
      </c>
      <c r="S295" s="7" t="n">
        <v>0</v>
      </c>
      <c r="T295" s="3" t="n">
        <f aca="false">_xlfn.MINIFS($B$2:$B$2705,$A$2:$A$2705,A295)</f>
        <v>1901</v>
      </c>
      <c r="U295" s="3" t="n">
        <f aca="false">B295-T295</f>
        <v>18</v>
      </c>
      <c r="V295" s="3" t="str">
        <f aca="false">INDEX(Pop_Inputs!$Q$2:$Q$29,MATCH(C295,Pop_Inputs!$A$2:$A$29,0))</f>
        <v>Midwest</v>
      </c>
      <c r="W295" s="30"/>
      <c r="X295" s="3" t="str">
        <f aca="false">IF(W295="","",LN(W295))</f>
        <v/>
      </c>
      <c r="Y295" s="3" t="str">
        <f aca="false">IF(X295="","",X295-AVERAGEIFS($X$2:$X$2705,$B$2:$B$2705,B295))</f>
        <v/>
      </c>
      <c r="Z295" s="21" t="n">
        <f aca="false">P295</f>
        <v>0.192887080560746</v>
      </c>
      <c r="AA295" s="3" t="n">
        <f aca="false">R295</f>
        <v>0</v>
      </c>
      <c r="AB295" s="21" t="n">
        <f aca="false">P295</f>
        <v>0.192887080560746</v>
      </c>
      <c r="AC295" s="3" t="str">
        <f aca="false">Y295</f>
        <v/>
      </c>
      <c r="AD295" s="3" t="n">
        <f aca="false">R295</f>
        <v>0</v>
      </c>
    </row>
    <row r="296" customFormat="false" ht="15" hidden="false" customHeight="true" outlineLevel="0" collapsed="false">
      <c r="A296" s="7" t="s">
        <v>62</v>
      </c>
      <c r="B296" s="7" t="n">
        <v>1919</v>
      </c>
      <c r="C296" s="7" t="s">
        <v>154</v>
      </c>
      <c r="D296" s="7" t="n">
        <v>69</v>
      </c>
      <c r="E296" s="7" t="n">
        <v>71</v>
      </c>
      <c r="F296" s="3" t="n">
        <f aca="false">COUNTIFS($B$2:$B$2705,B296,$C$2:$C$2705,C296)</f>
        <v>3</v>
      </c>
      <c r="G296" s="3" t="n">
        <f aca="false">MIN(INT((MIN(B296,2020)-1900)/10)+1,12)</f>
        <v>2</v>
      </c>
      <c r="H296" s="3" t="n">
        <f aca="false">(MIN(B296,2020)-1900-10*(G296-1))/10</f>
        <v>0.9</v>
      </c>
      <c r="I296" s="20" t="n">
        <f aca="false">EXP(LN(INDEX(Pop_Inputs!$B$2:$N$29,MATCH(C296,Pop_Inputs!$A$2:$A$29,0),G296))*(1-H296)+LN(INDEX(Pop_Inputs!$B$2:$N$29,MATCH(C296,Pop_Inputs!$A$2:$A$29,0),G296+1))*H296)</f>
        <v>5528272.87471807</v>
      </c>
      <c r="J296" s="20" t="n">
        <f aca="false">I296/F296</f>
        <v>1842757.62490602</v>
      </c>
      <c r="K296" s="21" t="n">
        <f aca="false">D296/(D296+E296)</f>
        <v>0.492857142857143</v>
      </c>
      <c r="L296" s="21" t="n">
        <f aca="false">AVERAGEIFS($K$2:$K$2705,$B$2:$B$2705,B296)</f>
        <v>0.499660566124785</v>
      </c>
      <c r="M296" s="21" t="n">
        <f aca="false">K296-L296</f>
        <v>-0.00680342326764238</v>
      </c>
      <c r="N296" s="21" t="n">
        <f aca="false">LN(J296)</f>
        <v>14.4267737168294</v>
      </c>
      <c r="O296" s="21" t="n">
        <f aca="false">AVERAGEIFS($N$2:$N$2705,$B$2:$B$2705,B296)</f>
        <v>13.5405084240921</v>
      </c>
      <c r="P296" s="21" t="n">
        <f aca="false">N296-O296</f>
        <v>0.886265292737349</v>
      </c>
      <c r="Q296" s="7" t="n">
        <v>0</v>
      </c>
      <c r="R296" s="3" t="n">
        <f aca="false">IF(AND(Q296=1,B296-_xlfn.MINIFS($B$2:$B$2705,$A$2:$A$2705,A296)&lt;10),1,0)</f>
        <v>0</v>
      </c>
      <c r="S296" s="7" t="n">
        <v>0</v>
      </c>
      <c r="T296" s="3" t="n">
        <f aca="false">_xlfn.MINIFS($B$2:$B$2705,$A$2:$A$2705,A296)</f>
        <v>1901</v>
      </c>
      <c r="U296" s="3" t="n">
        <f aca="false">B296-T296</f>
        <v>18</v>
      </c>
      <c r="V296" s="3" t="str">
        <f aca="false">INDEX(Pop_Inputs!$Q$2:$Q$29,MATCH(C296,Pop_Inputs!$A$2:$A$29,0))</f>
        <v>Northeast</v>
      </c>
      <c r="W296" s="30"/>
      <c r="X296" s="3" t="str">
        <f aca="false">IF(W296="","",LN(W296))</f>
        <v/>
      </c>
      <c r="Y296" s="3" t="str">
        <f aca="false">IF(X296="","",X296-AVERAGEIFS($X$2:$X$2705,$B$2:$B$2705,B296))</f>
        <v/>
      </c>
      <c r="Z296" s="21" t="n">
        <f aca="false">P296</f>
        <v>0.886265292737349</v>
      </c>
      <c r="AA296" s="3" t="n">
        <f aca="false">R296</f>
        <v>0</v>
      </c>
      <c r="AB296" s="21" t="n">
        <f aca="false">P296</f>
        <v>0.886265292737349</v>
      </c>
      <c r="AC296" s="3" t="str">
        <f aca="false">Y296</f>
        <v/>
      </c>
      <c r="AD296" s="3" t="n">
        <f aca="false">R296</f>
        <v>0</v>
      </c>
    </row>
    <row r="297" customFormat="false" ht="15" hidden="false" customHeight="true" outlineLevel="0" collapsed="false">
      <c r="A297" s="7" t="s">
        <v>68</v>
      </c>
      <c r="B297" s="7" t="n">
        <v>1919</v>
      </c>
      <c r="C297" s="7" t="s">
        <v>160</v>
      </c>
      <c r="D297" s="7" t="n">
        <v>56</v>
      </c>
      <c r="E297" s="7" t="n">
        <v>84</v>
      </c>
      <c r="F297" s="3" t="n">
        <f aca="false">COUNTIFS($B$2:$B$2705,B297,$C$2:$C$2705,C297)</f>
        <v>1</v>
      </c>
      <c r="G297" s="3" t="n">
        <f aca="false">MIN(INT((MIN(B297,2020)-1900)/10)+1,12)</f>
        <v>2</v>
      </c>
      <c r="H297" s="3" t="n">
        <f aca="false">(MIN(B297,2020)-1900-10*(G297-1))/10</f>
        <v>0.9</v>
      </c>
      <c r="I297" s="20" t="n">
        <f aca="false">EXP(LN(INDEX(Pop_Inputs!$B$2:$N$29,MATCH(C297,Pop_Inputs!$A$2:$A$29,0),G297))*(1-H297)+LN(INDEX(Pop_Inputs!$B$2:$N$29,MATCH(C297,Pop_Inputs!$A$2:$A$29,0),G297+1))*H297)</f>
        <v>425535.238724119</v>
      </c>
      <c r="J297" s="20" t="n">
        <f aca="false">I297/F297</f>
        <v>425535.238724119</v>
      </c>
      <c r="K297" s="21" t="n">
        <f aca="false">D297/(D297+E297)</f>
        <v>0.4</v>
      </c>
      <c r="L297" s="21" t="n">
        <f aca="false">AVERAGEIFS($K$2:$K$2705,$B$2:$B$2705,B297)</f>
        <v>0.499660566124785</v>
      </c>
      <c r="M297" s="21" t="n">
        <f aca="false">K297-L297</f>
        <v>-0.0996605661247852</v>
      </c>
      <c r="N297" s="21" t="n">
        <f aca="false">LN(J297)</f>
        <v>12.9611030407794</v>
      </c>
      <c r="O297" s="21" t="n">
        <f aca="false">AVERAGEIFS($N$2:$N$2705,$B$2:$B$2705,B297)</f>
        <v>13.5405084240921</v>
      </c>
      <c r="P297" s="21" t="n">
        <f aca="false">N297-O297</f>
        <v>-0.579405383312718</v>
      </c>
      <c r="Q297" s="7" t="n">
        <v>0</v>
      </c>
      <c r="R297" s="3" t="n">
        <f aca="false">IF(AND(Q297=1,B297-_xlfn.MINIFS($B$2:$B$2705,$A$2:$A$2705,A297)&lt;10),1,0)</f>
        <v>0</v>
      </c>
      <c r="S297" s="7" t="n">
        <v>0</v>
      </c>
      <c r="T297" s="3" t="n">
        <f aca="false">_xlfn.MINIFS($B$2:$B$2705,$A$2:$A$2705,A297)</f>
        <v>1901</v>
      </c>
      <c r="U297" s="3" t="n">
        <f aca="false">B297-T297</f>
        <v>18</v>
      </c>
      <c r="V297" s="3" t="str">
        <f aca="false">INDEX(Pop_Inputs!$Q$2:$Q$29,MATCH(C297,Pop_Inputs!$A$2:$A$29,0))</f>
        <v>South</v>
      </c>
      <c r="W297" s="30"/>
      <c r="X297" s="3" t="str">
        <f aca="false">IF(W297="","",LN(W297))</f>
        <v/>
      </c>
      <c r="Y297" s="3" t="str">
        <f aca="false">IF(X297="","",X297-AVERAGEIFS($X$2:$X$2705,$B$2:$B$2705,B297))</f>
        <v/>
      </c>
      <c r="Z297" s="21" t="n">
        <f aca="false">P297</f>
        <v>-0.579405383312718</v>
      </c>
      <c r="AA297" s="3" t="n">
        <f aca="false">R297</f>
        <v>0</v>
      </c>
      <c r="AB297" s="21" t="n">
        <f aca="false">P297</f>
        <v>-0.579405383312718</v>
      </c>
      <c r="AC297" s="3" t="str">
        <f aca="false">Y297</f>
        <v/>
      </c>
      <c r="AD297" s="3" t="n">
        <f aca="false">R297</f>
        <v>0</v>
      </c>
    </row>
    <row r="298" customFormat="false" ht="15" hidden="false" customHeight="true" outlineLevel="0" collapsed="false">
      <c r="A298" s="7" t="s">
        <v>70</v>
      </c>
      <c r="B298" s="7" t="n">
        <v>1919</v>
      </c>
      <c r="C298" s="7" t="s">
        <v>154</v>
      </c>
      <c r="D298" s="7" t="n">
        <v>80</v>
      </c>
      <c r="E298" s="7" t="n">
        <v>59</v>
      </c>
      <c r="F298" s="3" t="n">
        <f aca="false">COUNTIFS($B$2:$B$2705,B298,$C$2:$C$2705,C298)</f>
        <v>3</v>
      </c>
      <c r="G298" s="3" t="n">
        <f aca="false">MIN(INT((MIN(B298,2020)-1900)/10)+1,12)</f>
        <v>2</v>
      </c>
      <c r="H298" s="3" t="n">
        <f aca="false">(MIN(B298,2020)-1900-10*(G298-1))/10</f>
        <v>0.9</v>
      </c>
      <c r="I298" s="20" t="n">
        <f aca="false">EXP(LN(INDEX(Pop_Inputs!$B$2:$N$29,MATCH(C298,Pop_Inputs!$A$2:$A$29,0),G298))*(1-H298)+LN(INDEX(Pop_Inputs!$B$2:$N$29,MATCH(C298,Pop_Inputs!$A$2:$A$29,0),G298+1))*H298)</f>
        <v>5528272.87471807</v>
      </c>
      <c r="J298" s="20" t="n">
        <f aca="false">I298/F298</f>
        <v>1842757.62490602</v>
      </c>
      <c r="K298" s="21" t="n">
        <f aca="false">D298/(D298+E298)</f>
        <v>0.575539568345324</v>
      </c>
      <c r="L298" s="21" t="n">
        <f aca="false">AVERAGEIFS($K$2:$K$2705,$B$2:$B$2705,B298)</f>
        <v>0.499660566124785</v>
      </c>
      <c r="M298" s="21" t="n">
        <f aca="false">K298-L298</f>
        <v>0.0758790022205385</v>
      </c>
      <c r="N298" s="21" t="n">
        <f aca="false">LN(J298)</f>
        <v>14.4267737168294</v>
      </c>
      <c r="O298" s="21" t="n">
        <f aca="false">AVERAGEIFS($N$2:$N$2705,$B$2:$B$2705,B298)</f>
        <v>13.5405084240921</v>
      </c>
      <c r="P298" s="21" t="n">
        <f aca="false">N298-O298</f>
        <v>0.886265292737349</v>
      </c>
      <c r="Q298" s="7" t="n">
        <v>0</v>
      </c>
      <c r="R298" s="3" t="n">
        <f aca="false">IF(AND(Q298=1,B298-_xlfn.MINIFS($B$2:$B$2705,$A$2:$A$2705,A298)&lt;10),1,0)</f>
        <v>0</v>
      </c>
      <c r="S298" s="7" t="n">
        <v>1</v>
      </c>
      <c r="T298" s="3" t="n">
        <f aca="false">_xlfn.MINIFS($B$2:$B$2705,$A$2:$A$2705,A298)</f>
        <v>1903</v>
      </c>
      <c r="U298" s="3" t="n">
        <f aca="false">B298-T298</f>
        <v>16</v>
      </c>
      <c r="V298" s="3" t="str">
        <f aca="false">INDEX(Pop_Inputs!$Q$2:$Q$29,MATCH(C298,Pop_Inputs!$A$2:$A$29,0))</f>
        <v>Northeast</v>
      </c>
      <c r="W298" s="30"/>
      <c r="X298" s="3" t="str">
        <f aca="false">IF(W298="","",LN(W298))</f>
        <v/>
      </c>
      <c r="Y298" s="3" t="str">
        <f aca="false">IF(X298="","",X298-AVERAGEIFS($X$2:$X$2705,$B$2:$B$2705,B298))</f>
        <v/>
      </c>
      <c r="Z298" s="21" t="n">
        <f aca="false">P298</f>
        <v>0.886265292737349</v>
      </c>
      <c r="AA298" s="3" t="n">
        <f aca="false">R298</f>
        <v>0</v>
      </c>
      <c r="AB298" s="21" t="n">
        <f aca="false">P298</f>
        <v>0.886265292737349</v>
      </c>
      <c r="AC298" s="3" t="str">
        <f aca="false">Y298</f>
        <v/>
      </c>
      <c r="AD298" s="3" t="n">
        <f aca="false">R298</f>
        <v>0</v>
      </c>
    </row>
    <row r="299" customFormat="false" ht="15" hidden="false" customHeight="true" outlineLevel="0" collapsed="false">
      <c r="A299" s="7" t="s">
        <v>69</v>
      </c>
      <c r="B299" s="7" t="n">
        <v>1919</v>
      </c>
      <c r="C299" s="7" t="s">
        <v>146</v>
      </c>
      <c r="D299" s="7" t="n">
        <v>36</v>
      </c>
      <c r="E299" s="7" t="n">
        <v>104</v>
      </c>
      <c r="F299" s="3" t="n">
        <f aca="false">COUNTIFS($B$2:$B$2705,B299,$C$2:$C$2705,C299)</f>
        <v>2</v>
      </c>
      <c r="G299" s="3" t="n">
        <f aca="false">MIN(INT((MIN(B299,2020)-1900)/10)+1,12)</f>
        <v>2</v>
      </c>
      <c r="H299" s="3" t="n">
        <f aca="false">(MIN(B299,2020)-1900-10*(G299-1))/10</f>
        <v>0.9</v>
      </c>
      <c r="I299" s="20" t="n">
        <f aca="false">EXP(LN(INDEX(Pop_Inputs!$B$2:$N$29,MATCH(C299,Pop_Inputs!$A$2:$A$29,0),G299))*(1-H299)+LN(INDEX(Pop_Inputs!$B$2:$N$29,MATCH(C299,Pop_Inputs!$A$2:$A$29,0),G299+1))*H299)</f>
        <v>1794239.2616324</v>
      </c>
      <c r="J299" s="20" t="n">
        <f aca="false">I299/F299</f>
        <v>897119.630816202</v>
      </c>
      <c r="K299" s="21" t="n">
        <f aca="false">D299/(D299+E299)</f>
        <v>0.257142857142857</v>
      </c>
      <c r="L299" s="21" t="n">
        <f aca="false">AVERAGEIFS($K$2:$K$2705,$B$2:$B$2705,B299)</f>
        <v>0.499660566124785</v>
      </c>
      <c r="M299" s="21" t="n">
        <f aca="false">K299-L299</f>
        <v>-0.242517708981928</v>
      </c>
      <c r="N299" s="21" t="n">
        <f aca="false">LN(J299)</f>
        <v>13.7069444998363</v>
      </c>
      <c r="O299" s="21" t="n">
        <f aca="false">AVERAGEIFS($N$2:$N$2705,$B$2:$B$2705,B299)</f>
        <v>13.5405084240921</v>
      </c>
      <c r="P299" s="21" t="n">
        <f aca="false">N299-O299</f>
        <v>0.166436075744228</v>
      </c>
      <c r="Q299" s="7" t="n">
        <v>0</v>
      </c>
      <c r="R299" s="3" t="n">
        <f aca="false">IF(AND(Q299=1,B299-_xlfn.MINIFS($B$2:$B$2705,$A$2:$A$2705,A299)&lt;10),1,0)</f>
        <v>0</v>
      </c>
      <c r="S299" s="7" t="n">
        <v>0</v>
      </c>
      <c r="T299" s="3" t="n">
        <f aca="false">_xlfn.MINIFS($B$2:$B$2705,$A$2:$A$2705,A299)</f>
        <v>1901</v>
      </c>
      <c r="U299" s="3" t="n">
        <f aca="false">B299-T299</f>
        <v>18</v>
      </c>
      <c r="V299" s="3" t="str">
        <f aca="false">INDEX(Pop_Inputs!$Q$2:$Q$29,MATCH(C299,Pop_Inputs!$A$2:$A$29,0))</f>
        <v>Northeast</v>
      </c>
      <c r="W299" s="30"/>
      <c r="X299" s="3" t="str">
        <f aca="false">IF(W299="","",LN(W299))</f>
        <v/>
      </c>
      <c r="Y299" s="3" t="str">
        <f aca="false">IF(X299="","",X299-AVERAGEIFS($X$2:$X$2705,$B$2:$B$2705,B299))</f>
        <v/>
      </c>
      <c r="Z299" s="21" t="n">
        <f aca="false">P299</f>
        <v>0.166436075744228</v>
      </c>
      <c r="AA299" s="3" t="n">
        <f aca="false">R299</f>
        <v>0</v>
      </c>
      <c r="AB299" s="21" t="n">
        <f aca="false">P299</f>
        <v>0.166436075744228</v>
      </c>
      <c r="AC299" s="3" t="str">
        <f aca="false">Y299</f>
        <v/>
      </c>
      <c r="AD299" s="3" t="n">
        <f aca="false">R299</f>
        <v>0</v>
      </c>
    </row>
    <row r="300" customFormat="false" ht="15" hidden="false" customHeight="true" outlineLevel="0" collapsed="false">
      <c r="A300" s="7" t="s">
        <v>60</v>
      </c>
      <c r="B300" s="7" t="n">
        <v>1919</v>
      </c>
      <c r="C300" s="7" t="s">
        <v>146</v>
      </c>
      <c r="D300" s="7" t="n">
        <v>47</v>
      </c>
      <c r="E300" s="7" t="n">
        <v>90</v>
      </c>
      <c r="F300" s="3" t="n">
        <f aca="false">COUNTIFS($B$2:$B$2705,B300,$C$2:$C$2705,C300)</f>
        <v>2</v>
      </c>
      <c r="G300" s="3" t="n">
        <f aca="false">MIN(INT((MIN(B300,2020)-1900)/10)+1,12)</f>
        <v>2</v>
      </c>
      <c r="H300" s="3" t="n">
        <f aca="false">(MIN(B300,2020)-1900-10*(G300-1))/10</f>
        <v>0.9</v>
      </c>
      <c r="I300" s="20" t="n">
        <f aca="false">EXP(LN(INDEX(Pop_Inputs!$B$2:$N$29,MATCH(C300,Pop_Inputs!$A$2:$A$29,0),G300))*(1-H300)+LN(INDEX(Pop_Inputs!$B$2:$N$29,MATCH(C300,Pop_Inputs!$A$2:$A$29,0),G300+1))*H300)</f>
        <v>1794239.2616324</v>
      </c>
      <c r="J300" s="20" t="n">
        <f aca="false">I300/F300</f>
        <v>897119.630816202</v>
      </c>
      <c r="K300" s="21" t="n">
        <f aca="false">D300/(D300+E300)</f>
        <v>0.343065693430657</v>
      </c>
      <c r="L300" s="21" t="n">
        <f aca="false">AVERAGEIFS($K$2:$K$2705,$B$2:$B$2705,B300)</f>
        <v>0.499660566124785</v>
      </c>
      <c r="M300" s="21" t="n">
        <f aca="false">K300-L300</f>
        <v>-0.156594872694128</v>
      </c>
      <c r="N300" s="21" t="n">
        <f aca="false">LN(J300)</f>
        <v>13.7069444998363</v>
      </c>
      <c r="O300" s="21" t="n">
        <f aca="false">AVERAGEIFS($N$2:$N$2705,$B$2:$B$2705,B300)</f>
        <v>13.5405084240921</v>
      </c>
      <c r="P300" s="21" t="n">
        <f aca="false">N300-O300</f>
        <v>0.166436075744228</v>
      </c>
      <c r="Q300" s="7" t="n">
        <v>0</v>
      </c>
      <c r="R300" s="3" t="n">
        <f aca="false">IF(AND(Q300=1,B300-_xlfn.MINIFS($B$2:$B$2705,$A$2:$A$2705,A300)&lt;10),1,0)</f>
        <v>0</v>
      </c>
      <c r="S300" s="7" t="n">
        <v>0</v>
      </c>
      <c r="T300" s="3" t="n">
        <f aca="false">_xlfn.MINIFS($B$2:$B$2705,$A$2:$A$2705,A300)</f>
        <v>1901</v>
      </c>
      <c r="U300" s="3" t="n">
        <f aca="false">B300-T300</f>
        <v>18</v>
      </c>
      <c r="V300" s="3" t="str">
        <f aca="false">INDEX(Pop_Inputs!$Q$2:$Q$29,MATCH(C300,Pop_Inputs!$A$2:$A$29,0))</f>
        <v>Northeast</v>
      </c>
      <c r="W300" s="30"/>
      <c r="X300" s="3" t="str">
        <f aca="false">IF(W300="","",LN(W300))</f>
        <v/>
      </c>
      <c r="Y300" s="3" t="str">
        <f aca="false">IF(X300="","",X300-AVERAGEIFS($X$2:$X$2705,$B$2:$B$2705,B300))</f>
        <v/>
      </c>
      <c r="Z300" s="21" t="n">
        <f aca="false">P300</f>
        <v>0.166436075744228</v>
      </c>
      <c r="AA300" s="3" t="n">
        <f aca="false">R300</f>
        <v>0</v>
      </c>
      <c r="AB300" s="21" t="n">
        <f aca="false">P300</f>
        <v>0.166436075744228</v>
      </c>
      <c r="AC300" s="3" t="str">
        <f aca="false">Y300</f>
        <v/>
      </c>
      <c r="AD300" s="3" t="n">
        <f aca="false">R300</f>
        <v>0</v>
      </c>
    </row>
    <row r="301" customFormat="false" ht="15" hidden="false" customHeight="true" outlineLevel="0" collapsed="false">
      <c r="A301" s="7" t="s">
        <v>58</v>
      </c>
      <c r="B301" s="7" t="n">
        <v>1919</v>
      </c>
      <c r="C301" s="7" t="s">
        <v>144</v>
      </c>
      <c r="D301" s="7" t="n">
        <v>71</v>
      </c>
      <c r="E301" s="7" t="n">
        <v>68</v>
      </c>
      <c r="F301" s="3" t="n">
        <f aca="false">COUNTIFS($B$2:$B$2705,B301,$C$2:$C$2705,C301)</f>
        <v>1</v>
      </c>
      <c r="G301" s="3" t="n">
        <f aca="false">MIN(INT((MIN(B301,2020)-1900)/10)+1,12)</f>
        <v>2</v>
      </c>
      <c r="H301" s="3" t="n">
        <f aca="false">(MIN(B301,2020)-1900-10*(G301-1))/10</f>
        <v>0.9</v>
      </c>
      <c r="I301" s="20" t="n">
        <f aca="false">EXP(LN(INDEX(Pop_Inputs!$B$2:$N$29,MATCH(C301,Pop_Inputs!$A$2:$A$29,0),G301))*(1-H301)+LN(INDEX(Pop_Inputs!$B$2:$N$29,MATCH(C301,Pop_Inputs!$A$2:$A$29,0),G301+1))*H301)</f>
        <v>582658.290629653</v>
      </c>
      <c r="J301" s="20" t="n">
        <f aca="false">I301/F301</f>
        <v>582658.290629653</v>
      </c>
      <c r="K301" s="21" t="n">
        <f aca="false">D301/(D301+E301)</f>
        <v>0.510791366906475</v>
      </c>
      <c r="L301" s="21" t="n">
        <f aca="false">AVERAGEIFS($K$2:$K$2705,$B$2:$B$2705,B301)</f>
        <v>0.499660566124785</v>
      </c>
      <c r="M301" s="21" t="n">
        <f aca="false">K301-L301</f>
        <v>0.0111308007816896</v>
      </c>
      <c r="N301" s="21" t="n">
        <f aca="false">LN(J301)</f>
        <v>13.2753561710766</v>
      </c>
      <c r="O301" s="21" t="n">
        <f aca="false">AVERAGEIFS($N$2:$N$2705,$B$2:$B$2705,B301)</f>
        <v>13.5405084240921</v>
      </c>
      <c r="P301" s="21" t="n">
        <f aca="false">N301-O301</f>
        <v>-0.265152253015483</v>
      </c>
      <c r="Q301" s="7" t="n">
        <v>0</v>
      </c>
      <c r="R301" s="3" t="n">
        <f aca="false">IF(AND(Q301=1,B301-_xlfn.MINIFS($B$2:$B$2705,$A$2:$A$2705,A301)&lt;10),1,0)</f>
        <v>0</v>
      </c>
      <c r="S301" s="7" t="n">
        <v>0</v>
      </c>
      <c r="T301" s="3" t="n">
        <f aca="false">_xlfn.MINIFS($B$2:$B$2705,$A$2:$A$2705,A301)</f>
        <v>1901</v>
      </c>
      <c r="U301" s="3" t="n">
        <f aca="false">B301-T301</f>
        <v>18</v>
      </c>
      <c r="V301" s="3" t="str">
        <f aca="false">INDEX(Pop_Inputs!$Q$2:$Q$29,MATCH(C301,Pop_Inputs!$A$2:$A$29,0))</f>
        <v>Northeast</v>
      </c>
      <c r="W301" s="30"/>
      <c r="X301" s="3" t="str">
        <f aca="false">IF(W301="","",LN(W301))</f>
        <v/>
      </c>
      <c r="Y301" s="3" t="str">
        <f aca="false">IF(X301="","",X301-AVERAGEIFS($X$2:$X$2705,$B$2:$B$2705,B301))</f>
        <v/>
      </c>
      <c r="Z301" s="21" t="n">
        <f aca="false">P301</f>
        <v>-0.265152253015483</v>
      </c>
      <c r="AA301" s="3" t="n">
        <f aca="false">R301</f>
        <v>0</v>
      </c>
      <c r="AB301" s="21" t="n">
        <f aca="false">P301</f>
        <v>-0.265152253015483</v>
      </c>
      <c r="AC301" s="3" t="str">
        <f aca="false">Y301</f>
        <v/>
      </c>
      <c r="AD301" s="3" t="n">
        <f aca="false">R301</f>
        <v>0</v>
      </c>
    </row>
    <row r="302" customFormat="false" ht="15" hidden="false" customHeight="true" outlineLevel="0" collapsed="false">
      <c r="A302" s="7" t="s">
        <v>61</v>
      </c>
      <c r="B302" s="7" t="n">
        <v>1919</v>
      </c>
      <c r="C302" s="7" t="s">
        <v>154</v>
      </c>
      <c r="D302" s="7" t="n">
        <v>87</v>
      </c>
      <c r="E302" s="7" t="n">
        <v>53</v>
      </c>
      <c r="F302" s="3" t="n">
        <f aca="false">COUNTIFS($B$2:$B$2705,B302,$C$2:$C$2705,C302)</f>
        <v>3</v>
      </c>
      <c r="G302" s="3" t="n">
        <f aca="false">MIN(INT((MIN(B302,2020)-1900)/10)+1,12)</f>
        <v>2</v>
      </c>
      <c r="H302" s="3" t="n">
        <f aca="false">(MIN(B302,2020)-1900-10*(G302-1))/10</f>
        <v>0.9</v>
      </c>
      <c r="I302" s="20" t="n">
        <f aca="false">EXP(LN(INDEX(Pop_Inputs!$B$2:$N$29,MATCH(C302,Pop_Inputs!$A$2:$A$29,0),G302))*(1-H302)+LN(INDEX(Pop_Inputs!$B$2:$N$29,MATCH(C302,Pop_Inputs!$A$2:$A$29,0),G302+1))*H302)</f>
        <v>5528272.87471807</v>
      </c>
      <c r="J302" s="20" t="n">
        <f aca="false">I302/F302</f>
        <v>1842757.62490602</v>
      </c>
      <c r="K302" s="21" t="n">
        <f aca="false">D302/(D302+E302)</f>
        <v>0.621428571428571</v>
      </c>
      <c r="L302" s="21" t="n">
        <f aca="false">AVERAGEIFS($K$2:$K$2705,$B$2:$B$2705,B302)</f>
        <v>0.499660566124785</v>
      </c>
      <c r="M302" s="21" t="n">
        <f aca="false">K302-L302</f>
        <v>0.121768005303786</v>
      </c>
      <c r="N302" s="21" t="n">
        <f aca="false">LN(J302)</f>
        <v>14.4267737168294</v>
      </c>
      <c r="O302" s="21" t="n">
        <f aca="false">AVERAGEIFS($N$2:$N$2705,$B$2:$B$2705,B302)</f>
        <v>13.5405084240921</v>
      </c>
      <c r="P302" s="21" t="n">
        <f aca="false">N302-O302</f>
        <v>0.886265292737349</v>
      </c>
      <c r="Q302" s="7" t="n">
        <v>0</v>
      </c>
      <c r="R302" s="3" t="n">
        <f aca="false">IF(AND(Q302=1,B302-_xlfn.MINIFS($B$2:$B$2705,$A$2:$A$2705,A302)&lt;10),1,0)</f>
        <v>0</v>
      </c>
      <c r="S302" s="7" t="n">
        <v>0</v>
      </c>
      <c r="T302" s="3" t="n">
        <f aca="false">_xlfn.MINIFS($B$2:$B$2705,$A$2:$A$2705,A302)</f>
        <v>1901</v>
      </c>
      <c r="U302" s="3" t="n">
        <f aca="false">B302-T302</f>
        <v>18</v>
      </c>
      <c r="V302" s="3" t="str">
        <f aca="false">INDEX(Pop_Inputs!$Q$2:$Q$29,MATCH(C302,Pop_Inputs!$A$2:$A$29,0))</f>
        <v>Northeast</v>
      </c>
      <c r="W302" s="30"/>
      <c r="X302" s="3" t="str">
        <f aca="false">IF(W302="","",LN(W302))</f>
        <v/>
      </c>
      <c r="Y302" s="3" t="str">
        <f aca="false">IF(X302="","",X302-AVERAGEIFS($X$2:$X$2705,$B$2:$B$2705,B302))</f>
        <v/>
      </c>
      <c r="Z302" s="21" t="n">
        <f aca="false">P302</f>
        <v>0.886265292737349</v>
      </c>
      <c r="AA302" s="3" t="n">
        <f aca="false">R302</f>
        <v>0</v>
      </c>
      <c r="AB302" s="21" t="n">
        <f aca="false">P302</f>
        <v>0.886265292737349</v>
      </c>
      <c r="AC302" s="3" t="str">
        <f aca="false">Y302</f>
        <v/>
      </c>
      <c r="AD302" s="3" t="n">
        <f aca="false">R302</f>
        <v>0</v>
      </c>
    </row>
    <row r="303" customFormat="false" ht="15" hidden="false" customHeight="true" outlineLevel="0" collapsed="false">
      <c r="A303" s="7" t="s">
        <v>59</v>
      </c>
      <c r="B303" s="7" t="n">
        <v>1919</v>
      </c>
      <c r="C303" s="7" t="s">
        <v>145</v>
      </c>
      <c r="D303" s="7" t="n">
        <v>54</v>
      </c>
      <c r="E303" s="7" t="n">
        <v>83</v>
      </c>
      <c r="F303" s="3" t="n">
        <f aca="false">COUNTIFS($B$2:$B$2705,B303,$C$2:$C$2705,C303)</f>
        <v>2</v>
      </c>
      <c r="G303" s="3" t="n">
        <f aca="false">MIN(INT((MIN(B303,2020)-1900)/10)+1,12)</f>
        <v>2</v>
      </c>
      <c r="H303" s="3" t="n">
        <f aca="false">(MIN(B303,2020)-1900-10*(G303-1))/10</f>
        <v>0.9</v>
      </c>
      <c r="I303" s="20" t="n">
        <f aca="false">EXP(LN(INDEX(Pop_Inputs!$B$2:$N$29,MATCH(C303,Pop_Inputs!$A$2:$A$29,0),G303))*(1-H303)+LN(INDEX(Pop_Inputs!$B$2:$N$29,MATCH(C303,Pop_Inputs!$A$2:$A$29,0),G303+1))*H303)</f>
        <v>763848.036091629</v>
      </c>
      <c r="J303" s="20" t="n">
        <f aca="false">I303/F303</f>
        <v>381924.018045815</v>
      </c>
      <c r="K303" s="21" t="n">
        <f aca="false">D303/(D303+E303)</f>
        <v>0.394160583941606</v>
      </c>
      <c r="L303" s="21" t="n">
        <f aca="false">AVERAGEIFS($K$2:$K$2705,$B$2:$B$2705,B303)</f>
        <v>0.499660566124785</v>
      </c>
      <c r="M303" s="21" t="n">
        <f aca="false">K303-L303</f>
        <v>-0.105499982183179</v>
      </c>
      <c r="N303" s="21" t="n">
        <f aca="false">LN(J303)</f>
        <v>12.8529769621651</v>
      </c>
      <c r="O303" s="21" t="n">
        <f aca="false">AVERAGEIFS($N$2:$N$2705,$B$2:$B$2705,B303)</f>
        <v>13.5405084240921</v>
      </c>
      <c r="P303" s="21" t="n">
        <f aca="false">N303-O303</f>
        <v>-0.687531461926966</v>
      </c>
      <c r="Q303" s="7" t="n">
        <v>0</v>
      </c>
      <c r="R303" s="3" t="n">
        <f aca="false">IF(AND(Q303=1,B303-_xlfn.MINIFS($B$2:$B$2705,$A$2:$A$2705,A303)&lt;10),1,0)</f>
        <v>0</v>
      </c>
      <c r="S303" s="7" t="n">
        <v>0</v>
      </c>
      <c r="T303" s="3" t="n">
        <f aca="false">_xlfn.MINIFS($B$2:$B$2705,$A$2:$A$2705,A303)</f>
        <v>1901</v>
      </c>
      <c r="U303" s="3" t="n">
        <f aca="false">B303-T303</f>
        <v>18</v>
      </c>
      <c r="V303" s="3" t="str">
        <f aca="false">INDEX(Pop_Inputs!$Q$2:$Q$29,MATCH(C303,Pop_Inputs!$A$2:$A$29,0))</f>
        <v>Midwest</v>
      </c>
      <c r="W303" s="30"/>
      <c r="X303" s="3" t="str">
        <f aca="false">IF(W303="","",LN(W303))</f>
        <v/>
      </c>
      <c r="Y303" s="3" t="str">
        <f aca="false">IF(X303="","",X303-AVERAGEIFS($X$2:$X$2705,$B$2:$B$2705,B303))</f>
        <v/>
      </c>
      <c r="Z303" s="21" t="n">
        <f aca="false">P303</f>
        <v>-0.687531461926966</v>
      </c>
      <c r="AA303" s="3" t="n">
        <f aca="false">R303</f>
        <v>0</v>
      </c>
      <c r="AB303" s="21" t="n">
        <f aca="false">P303</f>
        <v>-0.687531461926966</v>
      </c>
      <c r="AC303" s="3" t="str">
        <f aca="false">Y303</f>
        <v/>
      </c>
      <c r="AD303" s="3" t="n">
        <f aca="false">R303</f>
        <v>0</v>
      </c>
    </row>
    <row r="304" customFormat="false" ht="15" hidden="false" customHeight="true" outlineLevel="0" collapsed="false">
      <c r="A304" s="7" t="s">
        <v>54</v>
      </c>
      <c r="B304" s="7" t="n">
        <v>1920</v>
      </c>
      <c r="C304" s="7" t="s">
        <v>150</v>
      </c>
      <c r="D304" s="7" t="n">
        <v>62</v>
      </c>
      <c r="E304" s="7" t="n">
        <v>90</v>
      </c>
      <c r="F304" s="3" t="n">
        <f aca="false">COUNTIFS($B$2:$B$2705,B304,$C$2:$C$2705,C304)</f>
        <v>2</v>
      </c>
      <c r="G304" s="3" t="n">
        <f aca="false">MIN(INT((MIN(B304,2020)-1900)/10)+1,12)</f>
        <v>3</v>
      </c>
      <c r="H304" s="3" t="n">
        <f aca="false">(MIN(B304,2020)-1900-10*(G304-1))/10</f>
        <v>0</v>
      </c>
      <c r="I304" s="20" t="n">
        <f aca="false">EXP(LN(INDEX(Pop_Inputs!$B$2:$N$29,MATCH(C304,Pop_Inputs!$A$2:$A$29,0),G304))*(1-H304)+LN(INDEX(Pop_Inputs!$B$2:$N$29,MATCH(C304,Pop_Inputs!$A$2:$A$29,0),G304+1))*H304)</f>
        <v>748060</v>
      </c>
      <c r="J304" s="20" t="n">
        <f aca="false">I304/F304</f>
        <v>374030</v>
      </c>
      <c r="K304" s="21" t="n">
        <f aca="false">D304/(D304+E304)</f>
        <v>0.407894736842105</v>
      </c>
      <c r="L304" s="21" t="n">
        <f aca="false">AVERAGEIFS($K$2:$K$2705,$B$2:$B$2705,B304)</f>
        <v>0.499845382730445</v>
      </c>
      <c r="M304" s="21" t="n">
        <f aca="false">K304-L304</f>
        <v>-0.0919506458883394</v>
      </c>
      <c r="N304" s="21" t="n">
        <f aca="false">LN(J304)</f>
        <v>12.8320912870834</v>
      </c>
      <c r="O304" s="21" t="n">
        <f aca="false">AVERAGEIFS($N$2:$N$2705,$B$2:$B$2705,B304)</f>
        <v>13.561026118504</v>
      </c>
      <c r="P304" s="21" t="n">
        <f aca="false">N304-O304</f>
        <v>-0.728934831420501</v>
      </c>
      <c r="Q304" s="7" t="n">
        <v>0</v>
      </c>
      <c r="R304" s="3" t="n">
        <f aca="false">IF(AND(Q304=1,B304-_xlfn.MINIFS($B$2:$B$2705,$A$2:$A$2705,A304)&lt;10),1,0)</f>
        <v>0</v>
      </c>
      <c r="S304" s="7" t="n">
        <v>0</v>
      </c>
      <c r="T304" s="3" t="n">
        <f aca="false">_xlfn.MINIFS($B$2:$B$2705,$A$2:$A$2705,A304)</f>
        <v>1901</v>
      </c>
      <c r="U304" s="3" t="n">
        <f aca="false">B304-T304</f>
        <v>19</v>
      </c>
      <c r="V304" s="3" t="str">
        <f aca="false">INDEX(Pop_Inputs!$Q$2:$Q$29,MATCH(C304,Pop_Inputs!$A$2:$A$29,0))</f>
        <v>Northeast</v>
      </c>
      <c r="W304" s="30"/>
      <c r="X304" s="3" t="str">
        <f aca="false">IF(W304="","",LN(W304))</f>
        <v/>
      </c>
      <c r="Y304" s="3" t="str">
        <f aca="false">IF(X304="","",X304-AVERAGEIFS($X$2:$X$2705,$B$2:$B$2705,B304))</f>
        <v/>
      </c>
      <c r="Z304" s="21" t="n">
        <f aca="false">P304</f>
        <v>-0.728934831420501</v>
      </c>
      <c r="AA304" s="3" t="n">
        <f aca="false">R304</f>
        <v>0</v>
      </c>
      <c r="AB304" s="21" t="n">
        <f aca="false">P304</f>
        <v>-0.728934831420501</v>
      </c>
      <c r="AC304" s="3" t="str">
        <f aca="false">Y304</f>
        <v/>
      </c>
      <c r="AD304" s="3" t="n">
        <f aca="false">R304</f>
        <v>0</v>
      </c>
    </row>
    <row r="305" customFormat="false" ht="15" hidden="false" customHeight="true" outlineLevel="0" collapsed="false">
      <c r="A305" s="7" t="s">
        <v>63</v>
      </c>
      <c r="B305" s="7" t="n">
        <v>1920</v>
      </c>
      <c r="C305" s="7" t="s">
        <v>145</v>
      </c>
      <c r="D305" s="7" t="n">
        <v>76</v>
      </c>
      <c r="E305" s="7" t="n">
        <v>77</v>
      </c>
      <c r="F305" s="3" t="n">
        <f aca="false">COUNTIFS($B$2:$B$2705,B305,$C$2:$C$2705,C305)</f>
        <v>2</v>
      </c>
      <c r="G305" s="3" t="n">
        <f aca="false">MIN(INT((MIN(B305,2020)-1900)/10)+1,12)</f>
        <v>3</v>
      </c>
      <c r="H305" s="3" t="n">
        <f aca="false">(MIN(B305,2020)-1900-10*(G305-1))/10</f>
        <v>0</v>
      </c>
      <c r="I305" s="20" t="n">
        <f aca="false">EXP(LN(INDEX(Pop_Inputs!$B$2:$N$29,MATCH(C305,Pop_Inputs!$A$2:$A$29,0),G305))*(1-H305)+LN(INDEX(Pop_Inputs!$B$2:$N$29,MATCH(C305,Pop_Inputs!$A$2:$A$29,0),G305+1))*H305)</f>
        <v>772897</v>
      </c>
      <c r="J305" s="20" t="n">
        <f aca="false">I305/F305</f>
        <v>386448.5</v>
      </c>
      <c r="K305" s="21" t="n">
        <f aca="false">D305/(D305+E305)</f>
        <v>0.496732026143791</v>
      </c>
      <c r="L305" s="21" t="n">
        <f aca="false">AVERAGEIFS($K$2:$K$2705,$B$2:$B$2705,B305)</f>
        <v>0.499845382730445</v>
      </c>
      <c r="M305" s="21" t="n">
        <f aca="false">K305-L305</f>
        <v>-0.00311335658665379</v>
      </c>
      <c r="N305" s="21" t="n">
        <f aca="false">LN(J305)</f>
        <v>12.8647538910422</v>
      </c>
      <c r="O305" s="21" t="n">
        <f aca="false">AVERAGEIFS($N$2:$N$2705,$B$2:$B$2705,B305)</f>
        <v>13.561026118504</v>
      </c>
      <c r="P305" s="21" t="n">
        <f aca="false">N305-O305</f>
        <v>-0.696272227461781</v>
      </c>
      <c r="Q305" s="7" t="n">
        <v>0</v>
      </c>
      <c r="R305" s="3" t="n">
        <f aca="false">IF(AND(Q305=1,B305-_xlfn.MINIFS($B$2:$B$2705,$A$2:$A$2705,A305)&lt;10),1,0)</f>
        <v>0</v>
      </c>
      <c r="S305" s="7" t="n">
        <v>0</v>
      </c>
      <c r="T305" s="3" t="n">
        <f aca="false">_xlfn.MINIFS($B$2:$B$2705,$A$2:$A$2705,A305)</f>
        <v>1901</v>
      </c>
      <c r="U305" s="3" t="n">
        <f aca="false">B305-T305</f>
        <v>19</v>
      </c>
      <c r="V305" s="3" t="str">
        <f aca="false">INDEX(Pop_Inputs!$Q$2:$Q$29,MATCH(C305,Pop_Inputs!$A$2:$A$29,0))</f>
        <v>Midwest</v>
      </c>
      <c r="W305" s="30"/>
      <c r="X305" s="3" t="str">
        <f aca="false">IF(W305="","",LN(W305))</f>
        <v/>
      </c>
      <c r="Y305" s="3" t="str">
        <f aca="false">IF(X305="","",X305-AVERAGEIFS($X$2:$X$2705,$B$2:$B$2705,B305))</f>
        <v/>
      </c>
      <c r="Z305" s="21" t="n">
        <f aca="false">P305</f>
        <v>-0.696272227461781</v>
      </c>
      <c r="AA305" s="3" t="n">
        <f aca="false">R305</f>
        <v>0</v>
      </c>
      <c r="AB305" s="21" t="n">
        <f aca="false">P305</f>
        <v>-0.696272227461781</v>
      </c>
      <c r="AC305" s="3" t="str">
        <f aca="false">Y305</f>
        <v/>
      </c>
      <c r="AD305" s="3" t="n">
        <f aca="false">R305</f>
        <v>0</v>
      </c>
    </row>
    <row r="306" customFormat="false" ht="15" hidden="false" customHeight="true" outlineLevel="0" collapsed="false">
      <c r="A306" s="7" t="s">
        <v>64</v>
      </c>
      <c r="B306" s="7" t="n">
        <v>1920</v>
      </c>
      <c r="C306" s="7" t="s">
        <v>150</v>
      </c>
      <c r="D306" s="7" t="n">
        <v>72</v>
      </c>
      <c r="E306" s="7" t="n">
        <v>81</v>
      </c>
      <c r="F306" s="3" t="n">
        <f aca="false">COUNTIFS($B$2:$B$2705,B306,$C$2:$C$2705,C306)</f>
        <v>2</v>
      </c>
      <c r="G306" s="3" t="n">
        <f aca="false">MIN(INT((MIN(B306,2020)-1900)/10)+1,12)</f>
        <v>3</v>
      </c>
      <c r="H306" s="3" t="n">
        <f aca="false">(MIN(B306,2020)-1900-10*(G306-1))/10</f>
        <v>0</v>
      </c>
      <c r="I306" s="20" t="n">
        <f aca="false">EXP(LN(INDEX(Pop_Inputs!$B$2:$N$29,MATCH(C306,Pop_Inputs!$A$2:$A$29,0),G306))*(1-H306)+LN(INDEX(Pop_Inputs!$B$2:$N$29,MATCH(C306,Pop_Inputs!$A$2:$A$29,0),G306+1))*H306)</f>
        <v>748060</v>
      </c>
      <c r="J306" s="20" t="n">
        <f aca="false">I306/F306</f>
        <v>374030</v>
      </c>
      <c r="K306" s="21" t="n">
        <f aca="false">D306/(D306+E306)</f>
        <v>0.470588235294118</v>
      </c>
      <c r="L306" s="21" t="n">
        <f aca="false">AVERAGEIFS($K$2:$K$2705,$B$2:$B$2705,B306)</f>
        <v>0.499845382730445</v>
      </c>
      <c r="M306" s="21" t="n">
        <f aca="false">K306-L306</f>
        <v>-0.029257147436327</v>
      </c>
      <c r="N306" s="21" t="n">
        <f aca="false">LN(J306)</f>
        <v>12.8320912870834</v>
      </c>
      <c r="O306" s="21" t="n">
        <f aca="false">AVERAGEIFS($N$2:$N$2705,$B$2:$B$2705,B306)</f>
        <v>13.561026118504</v>
      </c>
      <c r="P306" s="21" t="n">
        <f aca="false">N306-O306</f>
        <v>-0.728934831420501</v>
      </c>
      <c r="Q306" s="7" t="n">
        <v>0</v>
      </c>
      <c r="R306" s="3" t="n">
        <f aca="false">IF(AND(Q306=1,B306-_xlfn.MINIFS($B$2:$B$2705,$A$2:$A$2705,A306)&lt;10),1,0)</f>
        <v>0</v>
      </c>
      <c r="S306" s="7" t="n">
        <v>0</v>
      </c>
      <c r="T306" s="3" t="n">
        <f aca="false">_xlfn.MINIFS($B$2:$B$2705,$A$2:$A$2705,A306)</f>
        <v>1901</v>
      </c>
      <c r="U306" s="3" t="n">
        <f aca="false">B306-T306</f>
        <v>19</v>
      </c>
      <c r="V306" s="3" t="str">
        <f aca="false">INDEX(Pop_Inputs!$Q$2:$Q$29,MATCH(C306,Pop_Inputs!$A$2:$A$29,0))</f>
        <v>Northeast</v>
      </c>
      <c r="W306" s="30"/>
      <c r="X306" s="3" t="str">
        <f aca="false">IF(W306="","",LN(W306))</f>
        <v/>
      </c>
      <c r="Y306" s="3" t="str">
        <f aca="false">IF(X306="","",X306-AVERAGEIFS($X$2:$X$2705,$B$2:$B$2705,B306))</f>
        <v/>
      </c>
      <c r="Z306" s="21" t="n">
        <f aca="false">P306</f>
        <v>-0.728934831420501</v>
      </c>
      <c r="AA306" s="3" t="n">
        <f aca="false">R306</f>
        <v>0</v>
      </c>
      <c r="AB306" s="21" t="n">
        <f aca="false">P306</f>
        <v>-0.728934831420501</v>
      </c>
      <c r="AC306" s="3" t="str">
        <f aca="false">Y306</f>
        <v/>
      </c>
      <c r="AD306" s="3" t="n">
        <f aca="false">R306</f>
        <v>0</v>
      </c>
    </row>
    <row r="307" customFormat="false" ht="15" hidden="false" customHeight="true" outlineLevel="0" collapsed="false">
      <c r="A307" s="7" t="s">
        <v>56</v>
      </c>
      <c r="B307" s="7" t="n">
        <v>1920</v>
      </c>
      <c r="C307" s="7" t="s">
        <v>142</v>
      </c>
      <c r="D307" s="7" t="n">
        <v>75</v>
      </c>
      <c r="E307" s="7" t="n">
        <v>79</v>
      </c>
      <c r="F307" s="3" t="n">
        <f aca="false">COUNTIFS($B$2:$B$2705,B307,$C$2:$C$2705,C307)</f>
        <v>2</v>
      </c>
      <c r="G307" s="3" t="n">
        <f aca="false">MIN(INT((MIN(B307,2020)-1900)/10)+1,12)</f>
        <v>3</v>
      </c>
      <c r="H307" s="3" t="n">
        <f aca="false">(MIN(B307,2020)-1900-10*(G307-1))/10</f>
        <v>0</v>
      </c>
      <c r="I307" s="20" t="n">
        <f aca="false">EXP(LN(INDEX(Pop_Inputs!$B$2:$N$29,MATCH(C307,Pop_Inputs!$A$2:$A$29,0),G307))*(1-H307)+LN(INDEX(Pop_Inputs!$B$2:$N$29,MATCH(C307,Pop_Inputs!$A$2:$A$29,0),G307+1))*H307)</f>
        <v>2701705</v>
      </c>
      <c r="J307" s="20" t="n">
        <f aca="false">I307/F307</f>
        <v>1350852.5</v>
      </c>
      <c r="K307" s="21" t="n">
        <f aca="false">D307/(D307+E307)</f>
        <v>0.487012987012987</v>
      </c>
      <c r="L307" s="21" t="n">
        <f aca="false">AVERAGEIFS($K$2:$K$2705,$B$2:$B$2705,B307)</f>
        <v>0.499845382730445</v>
      </c>
      <c r="M307" s="21" t="n">
        <f aca="false">K307-L307</f>
        <v>-0.0128323957174576</v>
      </c>
      <c r="N307" s="21" t="n">
        <f aca="false">LN(J307)</f>
        <v>14.1162464325956</v>
      </c>
      <c r="O307" s="21" t="n">
        <f aca="false">AVERAGEIFS($N$2:$N$2705,$B$2:$B$2705,B307)</f>
        <v>13.561026118504</v>
      </c>
      <c r="P307" s="21" t="n">
        <f aca="false">N307-O307</f>
        <v>0.555220314091612</v>
      </c>
      <c r="Q307" s="7" t="n">
        <v>0</v>
      </c>
      <c r="R307" s="3" t="n">
        <f aca="false">IF(AND(Q307=1,B307-_xlfn.MINIFS($B$2:$B$2705,$A$2:$A$2705,A307)&lt;10),1,0)</f>
        <v>0</v>
      </c>
      <c r="S307" s="7" t="n">
        <v>0</v>
      </c>
      <c r="T307" s="3" t="n">
        <f aca="false">_xlfn.MINIFS($B$2:$B$2705,$A$2:$A$2705,A307)</f>
        <v>1901</v>
      </c>
      <c r="U307" s="3" t="n">
        <f aca="false">B307-T307</f>
        <v>19</v>
      </c>
      <c r="V307" s="3" t="str">
        <f aca="false">INDEX(Pop_Inputs!$Q$2:$Q$29,MATCH(C307,Pop_Inputs!$A$2:$A$29,0))</f>
        <v>Midwest</v>
      </c>
      <c r="W307" s="30"/>
      <c r="X307" s="3" t="str">
        <f aca="false">IF(W307="","",LN(W307))</f>
        <v/>
      </c>
      <c r="Y307" s="3" t="str">
        <f aca="false">IF(X307="","",X307-AVERAGEIFS($X$2:$X$2705,$B$2:$B$2705,B307))</f>
        <v/>
      </c>
      <c r="Z307" s="21" t="n">
        <f aca="false">P307</f>
        <v>0.555220314091612</v>
      </c>
      <c r="AA307" s="3" t="n">
        <f aca="false">R307</f>
        <v>0</v>
      </c>
      <c r="AB307" s="21" t="n">
        <f aca="false">P307</f>
        <v>0.555220314091612</v>
      </c>
      <c r="AC307" s="3" t="str">
        <f aca="false">Y307</f>
        <v/>
      </c>
      <c r="AD307" s="3" t="n">
        <f aca="false">R307</f>
        <v>0</v>
      </c>
    </row>
    <row r="308" customFormat="false" ht="15" hidden="false" customHeight="true" outlineLevel="0" collapsed="false">
      <c r="A308" s="7" t="s">
        <v>65</v>
      </c>
      <c r="B308" s="7" t="n">
        <v>1920</v>
      </c>
      <c r="C308" s="7" t="s">
        <v>142</v>
      </c>
      <c r="D308" s="7" t="n">
        <v>96</v>
      </c>
      <c r="E308" s="7" t="n">
        <v>58</v>
      </c>
      <c r="F308" s="3" t="n">
        <f aca="false">COUNTIFS($B$2:$B$2705,B308,$C$2:$C$2705,C308)</f>
        <v>2</v>
      </c>
      <c r="G308" s="3" t="n">
        <f aca="false">MIN(INT((MIN(B308,2020)-1900)/10)+1,12)</f>
        <v>3</v>
      </c>
      <c r="H308" s="3" t="n">
        <f aca="false">(MIN(B308,2020)-1900-10*(G308-1))/10</f>
        <v>0</v>
      </c>
      <c r="I308" s="20" t="n">
        <f aca="false">EXP(LN(INDEX(Pop_Inputs!$B$2:$N$29,MATCH(C308,Pop_Inputs!$A$2:$A$29,0),G308))*(1-H308)+LN(INDEX(Pop_Inputs!$B$2:$N$29,MATCH(C308,Pop_Inputs!$A$2:$A$29,0),G308+1))*H308)</f>
        <v>2701705</v>
      </c>
      <c r="J308" s="20" t="n">
        <f aca="false">I308/F308</f>
        <v>1350852.5</v>
      </c>
      <c r="K308" s="21" t="n">
        <f aca="false">D308/(D308+E308)</f>
        <v>0.623376623376623</v>
      </c>
      <c r="L308" s="21" t="n">
        <f aca="false">AVERAGEIFS($K$2:$K$2705,$B$2:$B$2705,B308)</f>
        <v>0.499845382730445</v>
      </c>
      <c r="M308" s="21" t="n">
        <f aca="false">K308-L308</f>
        <v>0.123531240646179</v>
      </c>
      <c r="N308" s="21" t="n">
        <f aca="false">LN(J308)</f>
        <v>14.1162464325956</v>
      </c>
      <c r="O308" s="21" t="n">
        <f aca="false">AVERAGEIFS($N$2:$N$2705,$B$2:$B$2705,B308)</f>
        <v>13.561026118504</v>
      </c>
      <c r="P308" s="21" t="n">
        <f aca="false">N308-O308</f>
        <v>0.555220314091612</v>
      </c>
      <c r="Q308" s="7" t="n">
        <v>0</v>
      </c>
      <c r="R308" s="3" t="n">
        <f aca="false">IF(AND(Q308=1,B308-_xlfn.MINIFS($B$2:$B$2705,$A$2:$A$2705,A308)&lt;10),1,0)</f>
        <v>0</v>
      </c>
      <c r="S308" s="7" t="n">
        <v>0</v>
      </c>
      <c r="T308" s="3" t="n">
        <f aca="false">_xlfn.MINIFS($B$2:$B$2705,$A$2:$A$2705,A308)</f>
        <v>1901</v>
      </c>
      <c r="U308" s="3" t="n">
        <f aca="false">B308-T308</f>
        <v>19</v>
      </c>
      <c r="V308" s="3" t="str">
        <f aca="false">INDEX(Pop_Inputs!$Q$2:$Q$29,MATCH(C308,Pop_Inputs!$A$2:$A$29,0))</f>
        <v>Midwest</v>
      </c>
      <c r="W308" s="30"/>
      <c r="X308" s="3" t="str">
        <f aca="false">IF(W308="","",LN(W308))</f>
        <v/>
      </c>
      <c r="Y308" s="3" t="str">
        <f aca="false">IF(X308="","",X308-AVERAGEIFS($X$2:$X$2705,$B$2:$B$2705,B308))</f>
        <v/>
      </c>
      <c r="Z308" s="21" t="n">
        <f aca="false">P308</f>
        <v>0.555220314091612</v>
      </c>
      <c r="AA308" s="3" t="n">
        <f aca="false">R308</f>
        <v>0</v>
      </c>
      <c r="AB308" s="21" t="n">
        <f aca="false">P308</f>
        <v>0.555220314091612</v>
      </c>
      <c r="AC308" s="3" t="str">
        <f aca="false">Y308</f>
        <v/>
      </c>
      <c r="AD308" s="3" t="n">
        <f aca="false">R308</f>
        <v>0</v>
      </c>
    </row>
    <row r="309" customFormat="false" ht="15" hidden="false" customHeight="true" outlineLevel="0" collapsed="false">
      <c r="A309" s="7" t="s">
        <v>57</v>
      </c>
      <c r="B309" s="7" t="n">
        <v>1920</v>
      </c>
      <c r="C309" s="7" t="s">
        <v>143</v>
      </c>
      <c r="D309" s="7" t="n">
        <v>82</v>
      </c>
      <c r="E309" s="7" t="n">
        <v>71</v>
      </c>
      <c r="F309" s="3" t="n">
        <f aca="false">COUNTIFS($B$2:$B$2705,B309,$C$2:$C$2705,C309)</f>
        <v>1</v>
      </c>
      <c r="G309" s="3" t="n">
        <f aca="false">MIN(INT((MIN(B309,2020)-1900)/10)+1,12)</f>
        <v>3</v>
      </c>
      <c r="H309" s="3" t="n">
        <f aca="false">(MIN(B309,2020)-1900-10*(G309-1))/10</f>
        <v>0</v>
      </c>
      <c r="I309" s="20" t="n">
        <f aca="false">EXP(LN(INDEX(Pop_Inputs!$B$2:$N$29,MATCH(C309,Pop_Inputs!$A$2:$A$29,0),G309))*(1-H309)+LN(INDEX(Pop_Inputs!$B$2:$N$29,MATCH(C309,Pop_Inputs!$A$2:$A$29,0),G309+1))*H309)</f>
        <v>401247</v>
      </c>
      <c r="J309" s="20" t="n">
        <f aca="false">I309/F309</f>
        <v>401247</v>
      </c>
      <c r="K309" s="21" t="n">
        <f aca="false">D309/(D309+E309)</f>
        <v>0.535947712418301</v>
      </c>
      <c r="L309" s="21" t="n">
        <f aca="false">AVERAGEIFS($K$2:$K$2705,$B$2:$B$2705,B309)</f>
        <v>0.499845382730445</v>
      </c>
      <c r="M309" s="21" t="n">
        <f aca="false">K309-L309</f>
        <v>0.036102329687856</v>
      </c>
      <c r="N309" s="21" t="n">
        <f aca="false">LN(J309)</f>
        <v>12.9023324767629</v>
      </c>
      <c r="O309" s="21" t="n">
        <f aca="false">AVERAGEIFS($N$2:$N$2705,$B$2:$B$2705,B309)</f>
        <v>13.561026118504</v>
      </c>
      <c r="P309" s="21" t="n">
        <f aca="false">N309-O309</f>
        <v>-0.658693641741051</v>
      </c>
      <c r="Q309" s="7" t="n">
        <v>0</v>
      </c>
      <c r="R309" s="3" t="n">
        <f aca="false">IF(AND(Q309=1,B309-_xlfn.MINIFS($B$2:$B$2705,$A$2:$A$2705,A309)&lt;10),1,0)</f>
        <v>0</v>
      </c>
      <c r="S309" s="7" t="n">
        <v>0</v>
      </c>
      <c r="T309" s="3" t="n">
        <f aca="false">_xlfn.MINIFS($B$2:$B$2705,$A$2:$A$2705,A309)</f>
        <v>1901</v>
      </c>
      <c r="U309" s="3" t="n">
        <f aca="false">B309-T309</f>
        <v>19</v>
      </c>
      <c r="V309" s="3" t="str">
        <f aca="false">INDEX(Pop_Inputs!$Q$2:$Q$29,MATCH(C309,Pop_Inputs!$A$2:$A$29,0))</f>
        <v>Midwest</v>
      </c>
      <c r="W309" s="30"/>
      <c r="X309" s="3" t="str">
        <f aca="false">IF(W309="","",LN(W309))</f>
        <v/>
      </c>
      <c r="Y309" s="3" t="str">
        <f aca="false">IF(X309="","",X309-AVERAGEIFS($X$2:$X$2705,$B$2:$B$2705,B309))</f>
        <v/>
      </c>
      <c r="Z309" s="21" t="n">
        <f aca="false">P309</f>
        <v>-0.658693641741051</v>
      </c>
      <c r="AA309" s="3" t="n">
        <f aca="false">R309</f>
        <v>0</v>
      </c>
      <c r="AB309" s="21" t="n">
        <f aca="false">P309</f>
        <v>-0.658693641741051</v>
      </c>
      <c r="AC309" s="3" t="str">
        <f aca="false">Y309</f>
        <v/>
      </c>
      <c r="AD309" s="3" t="n">
        <f aca="false">R309</f>
        <v>0</v>
      </c>
    </row>
    <row r="310" customFormat="false" ht="15" hidden="false" customHeight="true" outlineLevel="0" collapsed="false">
      <c r="A310" s="7" t="s">
        <v>66</v>
      </c>
      <c r="B310" s="7" t="n">
        <v>1920</v>
      </c>
      <c r="C310" s="7" t="s">
        <v>151</v>
      </c>
      <c r="D310" s="7" t="n">
        <v>98</v>
      </c>
      <c r="E310" s="7" t="n">
        <v>56</v>
      </c>
      <c r="F310" s="3" t="n">
        <f aca="false">COUNTIFS($B$2:$B$2705,B310,$C$2:$C$2705,C310)</f>
        <v>1</v>
      </c>
      <c r="G310" s="3" t="n">
        <f aca="false">MIN(INT((MIN(B310,2020)-1900)/10)+1,12)</f>
        <v>3</v>
      </c>
      <c r="H310" s="3" t="n">
        <f aca="false">(MIN(B310,2020)-1900-10*(G310-1))/10</f>
        <v>0</v>
      </c>
      <c r="I310" s="20" t="n">
        <f aca="false">EXP(LN(INDEX(Pop_Inputs!$B$2:$N$29,MATCH(C310,Pop_Inputs!$A$2:$A$29,0),G310))*(1-H310)+LN(INDEX(Pop_Inputs!$B$2:$N$29,MATCH(C310,Pop_Inputs!$A$2:$A$29,0),G310+1))*H310)</f>
        <v>796841.000000001</v>
      </c>
      <c r="J310" s="20" t="n">
        <f aca="false">I310/F310</f>
        <v>796841.000000001</v>
      </c>
      <c r="K310" s="21" t="n">
        <f aca="false">D310/(D310+E310)</f>
        <v>0.636363636363636</v>
      </c>
      <c r="L310" s="21" t="n">
        <f aca="false">AVERAGEIFS($K$2:$K$2705,$B$2:$B$2705,B310)</f>
        <v>0.499845382730445</v>
      </c>
      <c r="M310" s="21" t="n">
        <f aca="false">K310-L310</f>
        <v>0.136518253633192</v>
      </c>
      <c r="N310" s="21" t="n">
        <f aca="false">LN(J310)</f>
        <v>13.588410439752</v>
      </c>
      <c r="O310" s="21" t="n">
        <f aca="false">AVERAGEIFS($N$2:$N$2705,$B$2:$B$2705,B310)</f>
        <v>13.561026118504</v>
      </c>
      <c r="P310" s="21" t="n">
        <f aca="false">N310-O310</f>
        <v>0.0273843212480642</v>
      </c>
      <c r="Q310" s="7" t="n">
        <v>0</v>
      </c>
      <c r="R310" s="3" t="n">
        <f aca="false">IF(AND(Q310=1,B310-_xlfn.MINIFS($B$2:$B$2705,$A$2:$A$2705,A310)&lt;10),1,0)</f>
        <v>0</v>
      </c>
      <c r="S310" s="7" t="n">
        <v>0</v>
      </c>
      <c r="T310" s="3" t="n">
        <f aca="false">_xlfn.MINIFS($B$2:$B$2705,$A$2:$A$2705,A310)</f>
        <v>1901</v>
      </c>
      <c r="U310" s="3" t="n">
        <f aca="false">B310-T310</f>
        <v>19</v>
      </c>
      <c r="V310" s="3" t="str">
        <f aca="false">INDEX(Pop_Inputs!$Q$2:$Q$29,MATCH(C310,Pop_Inputs!$A$2:$A$29,0))</f>
        <v>Midwest</v>
      </c>
      <c r="W310" s="30"/>
      <c r="X310" s="3" t="str">
        <f aca="false">IF(W310="","",LN(W310))</f>
        <v/>
      </c>
      <c r="Y310" s="3" t="str">
        <f aca="false">IF(X310="","",X310-AVERAGEIFS($X$2:$X$2705,$B$2:$B$2705,B310))</f>
        <v/>
      </c>
      <c r="Z310" s="21" t="n">
        <f aca="false">P310</f>
        <v>0.0273843212480642</v>
      </c>
      <c r="AA310" s="3" t="n">
        <f aca="false">R310</f>
        <v>0</v>
      </c>
      <c r="AB310" s="21" t="n">
        <f aca="false">P310</f>
        <v>0.0273843212480642</v>
      </c>
      <c r="AC310" s="3" t="str">
        <f aca="false">Y310</f>
        <v/>
      </c>
      <c r="AD310" s="3" t="n">
        <f aca="false">R310</f>
        <v>0</v>
      </c>
    </row>
    <row r="311" customFormat="false" ht="15" hidden="false" customHeight="true" outlineLevel="0" collapsed="false">
      <c r="A311" s="7" t="s">
        <v>67</v>
      </c>
      <c r="B311" s="7" t="n">
        <v>1920</v>
      </c>
      <c r="C311" s="7" t="s">
        <v>152</v>
      </c>
      <c r="D311" s="7" t="n">
        <v>61</v>
      </c>
      <c r="E311" s="7" t="n">
        <v>93</v>
      </c>
      <c r="F311" s="3" t="n">
        <f aca="false">COUNTIFS($B$2:$B$2705,B311,$C$2:$C$2705,C311)</f>
        <v>1</v>
      </c>
      <c r="G311" s="3" t="n">
        <f aca="false">MIN(INT((MIN(B311,2020)-1900)/10)+1,12)</f>
        <v>3</v>
      </c>
      <c r="H311" s="3" t="n">
        <f aca="false">(MIN(B311,2020)-1900-10*(G311-1))/10</f>
        <v>0</v>
      </c>
      <c r="I311" s="20" t="n">
        <f aca="false">EXP(LN(INDEX(Pop_Inputs!$B$2:$N$29,MATCH(C311,Pop_Inputs!$A$2:$A$29,0),G311))*(1-H311)+LN(INDEX(Pop_Inputs!$B$2:$N$29,MATCH(C311,Pop_Inputs!$A$2:$A$29,0),G311+1))*H311)</f>
        <v>993677.999999999</v>
      </c>
      <c r="J311" s="20" t="n">
        <f aca="false">I311/F311</f>
        <v>993677.999999999</v>
      </c>
      <c r="K311" s="21" t="n">
        <f aca="false">D311/(D311+E311)</f>
        <v>0.396103896103896</v>
      </c>
      <c r="L311" s="21" t="n">
        <f aca="false">AVERAGEIFS($K$2:$K$2705,$B$2:$B$2705,B311)</f>
        <v>0.499845382730445</v>
      </c>
      <c r="M311" s="21" t="n">
        <f aca="false">K311-L311</f>
        <v>-0.103741486626549</v>
      </c>
      <c r="N311" s="21" t="n">
        <f aca="false">LN(J311)</f>
        <v>13.8091684894957</v>
      </c>
      <c r="O311" s="21" t="n">
        <f aca="false">AVERAGEIFS($N$2:$N$2705,$B$2:$B$2705,B311)</f>
        <v>13.561026118504</v>
      </c>
      <c r="P311" s="21" t="n">
        <f aca="false">N311-O311</f>
        <v>0.248142370991706</v>
      </c>
      <c r="Q311" s="7" t="n">
        <v>0</v>
      </c>
      <c r="R311" s="3" t="n">
        <f aca="false">IF(AND(Q311=1,B311-_xlfn.MINIFS($B$2:$B$2705,$A$2:$A$2705,A311)&lt;10),1,0)</f>
        <v>0</v>
      </c>
      <c r="S311" s="7" t="n">
        <v>0</v>
      </c>
      <c r="T311" s="3" t="n">
        <f aca="false">_xlfn.MINIFS($B$2:$B$2705,$A$2:$A$2705,A311)</f>
        <v>1901</v>
      </c>
      <c r="U311" s="3" t="n">
        <f aca="false">B311-T311</f>
        <v>19</v>
      </c>
      <c r="V311" s="3" t="str">
        <f aca="false">INDEX(Pop_Inputs!$Q$2:$Q$29,MATCH(C311,Pop_Inputs!$A$2:$A$29,0))</f>
        <v>Midwest</v>
      </c>
      <c r="W311" s="30"/>
      <c r="X311" s="3" t="str">
        <f aca="false">IF(W311="","",LN(W311))</f>
        <v/>
      </c>
      <c r="Y311" s="3" t="str">
        <f aca="false">IF(X311="","",X311-AVERAGEIFS($X$2:$X$2705,$B$2:$B$2705,B311))</f>
        <v/>
      </c>
      <c r="Z311" s="21" t="n">
        <f aca="false">P311</f>
        <v>0.248142370991706</v>
      </c>
      <c r="AA311" s="3" t="n">
        <f aca="false">R311</f>
        <v>0</v>
      </c>
      <c r="AB311" s="21" t="n">
        <f aca="false">P311</f>
        <v>0.248142370991706</v>
      </c>
      <c r="AC311" s="3" t="str">
        <f aca="false">Y311</f>
        <v/>
      </c>
      <c r="AD311" s="3" t="n">
        <f aca="false">R311</f>
        <v>0</v>
      </c>
    </row>
    <row r="312" customFormat="false" ht="15" hidden="false" customHeight="true" outlineLevel="0" collapsed="false">
      <c r="A312" s="7" t="s">
        <v>62</v>
      </c>
      <c r="B312" s="7" t="n">
        <v>1920</v>
      </c>
      <c r="C312" s="7" t="s">
        <v>154</v>
      </c>
      <c r="D312" s="7" t="n">
        <v>93</v>
      </c>
      <c r="E312" s="7" t="n">
        <v>61</v>
      </c>
      <c r="F312" s="3" t="n">
        <f aca="false">COUNTIFS($B$2:$B$2705,B312,$C$2:$C$2705,C312)</f>
        <v>3</v>
      </c>
      <c r="G312" s="3" t="n">
        <f aca="false">MIN(INT((MIN(B312,2020)-1900)/10)+1,12)</f>
        <v>3</v>
      </c>
      <c r="H312" s="3" t="n">
        <f aca="false">(MIN(B312,2020)-1900-10*(G312-1))/10</f>
        <v>0</v>
      </c>
      <c r="I312" s="20" t="n">
        <f aca="false">EXP(LN(INDEX(Pop_Inputs!$B$2:$N$29,MATCH(C312,Pop_Inputs!$A$2:$A$29,0),G312))*(1-H312)+LN(INDEX(Pop_Inputs!$B$2:$N$29,MATCH(C312,Pop_Inputs!$A$2:$A$29,0),G312+1))*H312)</f>
        <v>5620048</v>
      </c>
      <c r="J312" s="20" t="n">
        <f aca="false">I312/F312</f>
        <v>1873349.33333333</v>
      </c>
      <c r="K312" s="21" t="n">
        <f aca="false">D312/(D312+E312)</f>
        <v>0.603896103896104</v>
      </c>
      <c r="L312" s="21" t="n">
        <f aca="false">AVERAGEIFS($K$2:$K$2705,$B$2:$B$2705,B312)</f>
        <v>0.499845382730445</v>
      </c>
      <c r="M312" s="21" t="n">
        <f aca="false">K312-L312</f>
        <v>0.104050721165659</v>
      </c>
      <c r="N312" s="21" t="n">
        <f aca="false">LN(J312)</f>
        <v>14.4432384740906</v>
      </c>
      <c r="O312" s="21" t="n">
        <f aca="false">AVERAGEIFS($N$2:$N$2705,$B$2:$B$2705,B312)</f>
        <v>13.561026118504</v>
      </c>
      <c r="P312" s="21" t="n">
        <f aca="false">N312-O312</f>
        <v>0.882212355586608</v>
      </c>
      <c r="Q312" s="7" t="n">
        <v>0</v>
      </c>
      <c r="R312" s="3" t="n">
        <f aca="false">IF(AND(Q312=1,B312-_xlfn.MINIFS($B$2:$B$2705,$A$2:$A$2705,A312)&lt;10),1,0)</f>
        <v>0</v>
      </c>
      <c r="S312" s="7" t="n">
        <v>0</v>
      </c>
      <c r="T312" s="3" t="n">
        <f aca="false">_xlfn.MINIFS($B$2:$B$2705,$A$2:$A$2705,A312)</f>
        <v>1901</v>
      </c>
      <c r="U312" s="3" t="n">
        <f aca="false">B312-T312</f>
        <v>19</v>
      </c>
      <c r="V312" s="3" t="str">
        <f aca="false">INDEX(Pop_Inputs!$Q$2:$Q$29,MATCH(C312,Pop_Inputs!$A$2:$A$29,0))</f>
        <v>Northeast</v>
      </c>
      <c r="W312" s="30"/>
      <c r="X312" s="3" t="str">
        <f aca="false">IF(W312="","",LN(W312))</f>
        <v/>
      </c>
      <c r="Y312" s="3" t="str">
        <f aca="false">IF(X312="","",X312-AVERAGEIFS($X$2:$X$2705,$B$2:$B$2705,B312))</f>
        <v/>
      </c>
      <c r="Z312" s="21" t="n">
        <f aca="false">P312</f>
        <v>0.882212355586608</v>
      </c>
      <c r="AA312" s="3" t="n">
        <f aca="false">R312</f>
        <v>0</v>
      </c>
      <c r="AB312" s="21" t="n">
        <f aca="false">P312</f>
        <v>0.882212355586608</v>
      </c>
      <c r="AC312" s="3" t="str">
        <f aca="false">Y312</f>
        <v/>
      </c>
      <c r="AD312" s="3" t="n">
        <f aca="false">R312</f>
        <v>0</v>
      </c>
    </row>
    <row r="313" customFormat="false" ht="15" hidden="false" customHeight="true" outlineLevel="0" collapsed="false">
      <c r="A313" s="7" t="s">
        <v>68</v>
      </c>
      <c r="B313" s="7" t="n">
        <v>1920</v>
      </c>
      <c r="C313" s="7" t="s">
        <v>160</v>
      </c>
      <c r="D313" s="7" t="n">
        <v>68</v>
      </c>
      <c r="E313" s="7" t="n">
        <v>84</v>
      </c>
      <c r="F313" s="3" t="n">
        <f aca="false">COUNTIFS($B$2:$B$2705,B313,$C$2:$C$2705,C313)</f>
        <v>1</v>
      </c>
      <c r="G313" s="3" t="n">
        <f aca="false">MIN(INT((MIN(B313,2020)-1900)/10)+1,12)</f>
        <v>3</v>
      </c>
      <c r="H313" s="3" t="n">
        <f aca="false">(MIN(B313,2020)-1900-10*(G313-1))/10</f>
        <v>0</v>
      </c>
      <c r="I313" s="20" t="n">
        <f aca="false">EXP(LN(INDEX(Pop_Inputs!$B$2:$N$29,MATCH(C313,Pop_Inputs!$A$2:$A$29,0),G313))*(1-H313)+LN(INDEX(Pop_Inputs!$B$2:$N$29,MATCH(C313,Pop_Inputs!$A$2:$A$29,0),G313+1))*H313)</f>
        <v>437571</v>
      </c>
      <c r="J313" s="20" t="n">
        <f aca="false">I313/F313</f>
        <v>437571</v>
      </c>
      <c r="K313" s="21" t="n">
        <f aca="false">D313/(D313+E313)</f>
        <v>0.447368421052632</v>
      </c>
      <c r="L313" s="21" t="n">
        <f aca="false">AVERAGEIFS($K$2:$K$2705,$B$2:$B$2705,B313)</f>
        <v>0.499845382730445</v>
      </c>
      <c r="M313" s="21" t="n">
        <f aca="false">K313-L313</f>
        <v>-0.0524769616778131</v>
      </c>
      <c r="N313" s="21" t="n">
        <f aca="false">LN(J313)</f>
        <v>12.9889942573272</v>
      </c>
      <c r="O313" s="21" t="n">
        <f aca="false">AVERAGEIFS($N$2:$N$2705,$B$2:$B$2705,B313)</f>
        <v>13.561026118504</v>
      </c>
      <c r="P313" s="21" t="n">
        <f aca="false">N313-O313</f>
        <v>-0.572031861176759</v>
      </c>
      <c r="Q313" s="7" t="n">
        <v>0</v>
      </c>
      <c r="R313" s="3" t="n">
        <f aca="false">IF(AND(Q313=1,B313-_xlfn.MINIFS($B$2:$B$2705,$A$2:$A$2705,A313)&lt;10),1,0)</f>
        <v>0</v>
      </c>
      <c r="S313" s="7" t="n">
        <v>0</v>
      </c>
      <c r="T313" s="3" t="n">
        <f aca="false">_xlfn.MINIFS($B$2:$B$2705,$A$2:$A$2705,A313)</f>
        <v>1901</v>
      </c>
      <c r="U313" s="3" t="n">
        <f aca="false">B313-T313</f>
        <v>19</v>
      </c>
      <c r="V313" s="3" t="str">
        <f aca="false">INDEX(Pop_Inputs!$Q$2:$Q$29,MATCH(C313,Pop_Inputs!$A$2:$A$29,0))</f>
        <v>South</v>
      </c>
      <c r="W313" s="30"/>
      <c r="X313" s="3" t="str">
        <f aca="false">IF(W313="","",LN(W313))</f>
        <v/>
      </c>
      <c r="Y313" s="3" t="str">
        <f aca="false">IF(X313="","",X313-AVERAGEIFS($X$2:$X$2705,$B$2:$B$2705,B313))</f>
        <v/>
      </c>
      <c r="Z313" s="21" t="n">
        <f aca="false">P313</f>
        <v>-0.572031861176759</v>
      </c>
      <c r="AA313" s="3" t="n">
        <f aca="false">R313</f>
        <v>0</v>
      </c>
      <c r="AB313" s="21" t="n">
        <f aca="false">P313</f>
        <v>-0.572031861176759</v>
      </c>
      <c r="AC313" s="3" t="str">
        <f aca="false">Y313</f>
        <v/>
      </c>
      <c r="AD313" s="3" t="n">
        <f aca="false">R313</f>
        <v>0</v>
      </c>
    </row>
    <row r="314" customFormat="false" ht="15" hidden="false" customHeight="true" outlineLevel="0" collapsed="false">
      <c r="A314" s="7" t="s">
        <v>70</v>
      </c>
      <c r="B314" s="7" t="n">
        <v>1920</v>
      </c>
      <c r="C314" s="7" t="s">
        <v>154</v>
      </c>
      <c r="D314" s="7" t="n">
        <v>95</v>
      </c>
      <c r="E314" s="7" t="n">
        <v>59</v>
      </c>
      <c r="F314" s="3" t="n">
        <f aca="false">COUNTIFS($B$2:$B$2705,B314,$C$2:$C$2705,C314)</f>
        <v>3</v>
      </c>
      <c r="G314" s="3" t="n">
        <f aca="false">MIN(INT((MIN(B314,2020)-1900)/10)+1,12)</f>
        <v>3</v>
      </c>
      <c r="H314" s="3" t="n">
        <f aca="false">(MIN(B314,2020)-1900-10*(G314-1))/10</f>
        <v>0</v>
      </c>
      <c r="I314" s="20" t="n">
        <f aca="false">EXP(LN(INDEX(Pop_Inputs!$B$2:$N$29,MATCH(C314,Pop_Inputs!$A$2:$A$29,0),G314))*(1-H314)+LN(INDEX(Pop_Inputs!$B$2:$N$29,MATCH(C314,Pop_Inputs!$A$2:$A$29,0),G314+1))*H314)</f>
        <v>5620048</v>
      </c>
      <c r="J314" s="20" t="n">
        <f aca="false">I314/F314</f>
        <v>1873349.33333333</v>
      </c>
      <c r="K314" s="21" t="n">
        <f aca="false">D314/(D314+E314)</f>
        <v>0.616883116883117</v>
      </c>
      <c r="L314" s="21" t="n">
        <f aca="false">AVERAGEIFS($K$2:$K$2705,$B$2:$B$2705,B314)</f>
        <v>0.499845382730445</v>
      </c>
      <c r="M314" s="21" t="n">
        <f aca="false">K314-L314</f>
        <v>0.117037734152672</v>
      </c>
      <c r="N314" s="21" t="n">
        <f aca="false">LN(J314)</f>
        <v>14.4432384740906</v>
      </c>
      <c r="O314" s="21" t="n">
        <f aca="false">AVERAGEIFS($N$2:$N$2705,$B$2:$B$2705,B314)</f>
        <v>13.561026118504</v>
      </c>
      <c r="P314" s="21" t="n">
        <f aca="false">N314-O314</f>
        <v>0.882212355586608</v>
      </c>
      <c r="Q314" s="7" t="n">
        <v>0</v>
      </c>
      <c r="R314" s="3" t="n">
        <f aca="false">IF(AND(Q314=1,B314-_xlfn.MINIFS($B$2:$B$2705,$A$2:$A$2705,A314)&lt;10),1,0)</f>
        <v>0</v>
      </c>
      <c r="S314" s="7" t="n">
        <v>1</v>
      </c>
      <c r="T314" s="3" t="n">
        <f aca="false">_xlfn.MINIFS($B$2:$B$2705,$A$2:$A$2705,A314)</f>
        <v>1903</v>
      </c>
      <c r="U314" s="3" t="n">
        <f aca="false">B314-T314</f>
        <v>17</v>
      </c>
      <c r="V314" s="3" t="str">
        <f aca="false">INDEX(Pop_Inputs!$Q$2:$Q$29,MATCH(C314,Pop_Inputs!$A$2:$A$29,0))</f>
        <v>Northeast</v>
      </c>
      <c r="W314" s="30"/>
      <c r="X314" s="3" t="str">
        <f aca="false">IF(W314="","",LN(W314))</f>
        <v/>
      </c>
      <c r="Y314" s="3" t="str">
        <f aca="false">IF(X314="","",X314-AVERAGEIFS($X$2:$X$2705,$B$2:$B$2705,B314))</f>
        <v/>
      </c>
      <c r="Z314" s="21" t="n">
        <f aca="false">P314</f>
        <v>0.882212355586608</v>
      </c>
      <c r="AA314" s="3" t="n">
        <f aca="false">R314</f>
        <v>0</v>
      </c>
      <c r="AB314" s="21" t="n">
        <f aca="false">P314</f>
        <v>0.882212355586608</v>
      </c>
      <c r="AC314" s="3" t="str">
        <f aca="false">Y314</f>
        <v/>
      </c>
      <c r="AD314" s="3" t="n">
        <f aca="false">R314</f>
        <v>0</v>
      </c>
    </row>
    <row r="315" customFormat="false" ht="15" hidden="false" customHeight="true" outlineLevel="0" collapsed="false">
      <c r="A315" s="7" t="s">
        <v>69</v>
      </c>
      <c r="B315" s="7" t="n">
        <v>1920</v>
      </c>
      <c r="C315" s="7" t="s">
        <v>146</v>
      </c>
      <c r="D315" s="7" t="n">
        <v>48</v>
      </c>
      <c r="E315" s="7" t="n">
        <v>106</v>
      </c>
      <c r="F315" s="3" t="n">
        <f aca="false">COUNTIFS($B$2:$B$2705,B315,$C$2:$C$2705,C315)</f>
        <v>2</v>
      </c>
      <c r="G315" s="3" t="n">
        <f aca="false">MIN(INT((MIN(B315,2020)-1900)/10)+1,12)</f>
        <v>3</v>
      </c>
      <c r="H315" s="3" t="n">
        <f aca="false">(MIN(B315,2020)-1900-10*(G315-1))/10</f>
        <v>0</v>
      </c>
      <c r="I315" s="20" t="n">
        <f aca="false">EXP(LN(INDEX(Pop_Inputs!$B$2:$N$29,MATCH(C315,Pop_Inputs!$A$2:$A$29,0),G315))*(1-H315)+LN(INDEX(Pop_Inputs!$B$2:$N$29,MATCH(C315,Pop_Inputs!$A$2:$A$29,0),G315+1))*H315)</f>
        <v>1823779</v>
      </c>
      <c r="J315" s="20" t="n">
        <f aca="false">I315/F315</f>
        <v>911889.499999999</v>
      </c>
      <c r="K315" s="21" t="n">
        <f aca="false">D315/(D315+E315)</f>
        <v>0.311688311688312</v>
      </c>
      <c r="L315" s="21" t="n">
        <f aca="false">AVERAGEIFS($K$2:$K$2705,$B$2:$B$2705,B315)</f>
        <v>0.499845382730445</v>
      </c>
      <c r="M315" s="21" t="n">
        <f aca="false">K315-L315</f>
        <v>-0.188157071042133</v>
      </c>
      <c r="N315" s="21" t="n">
        <f aca="false">LN(J315)</f>
        <v>13.723274099435</v>
      </c>
      <c r="O315" s="21" t="n">
        <f aca="false">AVERAGEIFS($N$2:$N$2705,$B$2:$B$2705,B315)</f>
        <v>13.561026118504</v>
      </c>
      <c r="P315" s="21" t="n">
        <f aca="false">N315-O315</f>
        <v>0.162247980931074</v>
      </c>
      <c r="Q315" s="7" t="n">
        <v>0</v>
      </c>
      <c r="R315" s="3" t="n">
        <f aca="false">IF(AND(Q315=1,B315-_xlfn.MINIFS($B$2:$B$2705,$A$2:$A$2705,A315)&lt;10),1,0)</f>
        <v>0</v>
      </c>
      <c r="S315" s="7" t="n">
        <v>0</v>
      </c>
      <c r="T315" s="3" t="n">
        <f aca="false">_xlfn.MINIFS($B$2:$B$2705,$A$2:$A$2705,A315)</f>
        <v>1901</v>
      </c>
      <c r="U315" s="3" t="n">
        <f aca="false">B315-T315</f>
        <v>19</v>
      </c>
      <c r="V315" s="3" t="str">
        <f aca="false">INDEX(Pop_Inputs!$Q$2:$Q$29,MATCH(C315,Pop_Inputs!$A$2:$A$29,0))</f>
        <v>Northeast</v>
      </c>
      <c r="W315" s="30"/>
      <c r="X315" s="3" t="str">
        <f aca="false">IF(W315="","",LN(W315))</f>
        <v/>
      </c>
      <c r="Y315" s="3" t="str">
        <f aca="false">IF(X315="","",X315-AVERAGEIFS($X$2:$X$2705,$B$2:$B$2705,B315))</f>
        <v/>
      </c>
      <c r="Z315" s="21" t="n">
        <f aca="false">P315</f>
        <v>0.162247980931074</v>
      </c>
      <c r="AA315" s="3" t="n">
        <f aca="false">R315</f>
        <v>0</v>
      </c>
      <c r="AB315" s="21" t="n">
        <f aca="false">P315</f>
        <v>0.162247980931074</v>
      </c>
      <c r="AC315" s="3" t="str">
        <f aca="false">Y315</f>
        <v/>
      </c>
      <c r="AD315" s="3" t="n">
        <f aca="false">R315</f>
        <v>0</v>
      </c>
    </row>
    <row r="316" customFormat="false" ht="15" hidden="false" customHeight="true" outlineLevel="0" collapsed="false">
      <c r="A316" s="7" t="s">
        <v>60</v>
      </c>
      <c r="B316" s="7" t="n">
        <v>1920</v>
      </c>
      <c r="C316" s="7" t="s">
        <v>146</v>
      </c>
      <c r="D316" s="7" t="n">
        <v>62</v>
      </c>
      <c r="E316" s="7" t="n">
        <v>91</v>
      </c>
      <c r="F316" s="3" t="n">
        <f aca="false">COUNTIFS($B$2:$B$2705,B316,$C$2:$C$2705,C316)</f>
        <v>2</v>
      </c>
      <c r="G316" s="3" t="n">
        <f aca="false">MIN(INT((MIN(B316,2020)-1900)/10)+1,12)</f>
        <v>3</v>
      </c>
      <c r="H316" s="3" t="n">
        <f aca="false">(MIN(B316,2020)-1900-10*(G316-1))/10</f>
        <v>0</v>
      </c>
      <c r="I316" s="20" t="n">
        <f aca="false">EXP(LN(INDEX(Pop_Inputs!$B$2:$N$29,MATCH(C316,Pop_Inputs!$A$2:$A$29,0),G316))*(1-H316)+LN(INDEX(Pop_Inputs!$B$2:$N$29,MATCH(C316,Pop_Inputs!$A$2:$A$29,0),G316+1))*H316)</f>
        <v>1823779</v>
      </c>
      <c r="J316" s="20" t="n">
        <f aca="false">I316/F316</f>
        <v>911889.499999999</v>
      </c>
      <c r="K316" s="21" t="n">
        <f aca="false">D316/(D316+E316)</f>
        <v>0.405228758169935</v>
      </c>
      <c r="L316" s="21" t="n">
        <f aca="false">AVERAGEIFS($K$2:$K$2705,$B$2:$B$2705,B316)</f>
        <v>0.499845382730445</v>
      </c>
      <c r="M316" s="21" t="n">
        <f aca="false">K316-L316</f>
        <v>-0.09461662456051</v>
      </c>
      <c r="N316" s="21" t="n">
        <f aca="false">LN(J316)</f>
        <v>13.723274099435</v>
      </c>
      <c r="O316" s="21" t="n">
        <f aca="false">AVERAGEIFS($N$2:$N$2705,$B$2:$B$2705,B316)</f>
        <v>13.561026118504</v>
      </c>
      <c r="P316" s="21" t="n">
        <f aca="false">N316-O316</f>
        <v>0.162247980931074</v>
      </c>
      <c r="Q316" s="7" t="n">
        <v>0</v>
      </c>
      <c r="R316" s="3" t="n">
        <f aca="false">IF(AND(Q316=1,B316-_xlfn.MINIFS($B$2:$B$2705,$A$2:$A$2705,A316)&lt;10),1,0)</f>
        <v>0</v>
      </c>
      <c r="S316" s="7" t="n">
        <v>0</v>
      </c>
      <c r="T316" s="3" t="n">
        <f aca="false">_xlfn.MINIFS($B$2:$B$2705,$A$2:$A$2705,A316)</f>
        <v>1901</v>
      </c>
      <c r="U316" s="3" t="n">
        <f aca="false">B316-T316</f>
        <v>19</v>
      </c>
      <c r="V316" s="3" t="str">
        <f aca="false">INDEX(Pop_Inputs!$Q$2:$Q$29,MATCH(C316,Pop_Inputs!$A$2:$A$29,0))</f>
        <v>Northeast</v>
      </c>
      <c r="W316" s="30"/>
      <c r="X316" s="3" t="str">
        <f aca="false">IF(W316="","",LN(W316))</f>
        <v/>
      </c>
      <c r="Y316" s="3" t="str">
        <f aca="false">IF(X316="","",X316-AVERAGEIFS($X$2:$X$2705,$B$2:$B$2705,B316))</f>
        <v/>
      </c>
      <c r="Z316" s="21" t="n">
        <f aca="false">P316</f>
        <v>0.162247980931074</v>
      </c>
      <c r="AA316" s="3" t="n">
        <f aca="false">R316</f>
        <v>0</v>
      </c>
      <c r="AB316" s="21" t="n">
        <f aca="false">P316</f>
        <v>0.162247980931074</v>
      </c>
      <c r="AC316" s="3" t="str">
        <f aca="false">Y316</f>
        <v/>
      </c>
      <c r="AD316" s="3" t="n">
        <f aca="false">R316</f>
        <v>0</v>
      </c>
    </row>
    <row r="317" customFormat="false" ht="15" hidden="false" customHeight="true" outlineLevel="0" collapsed="false">
      <c r="A317" s="7" t="s">
        <v>58</v>
      </c>
      <c r="B317" s="7" t="n">
        <v>1920</v>
      </c>
      <c r="C317" s="7" t="s">
        <v>144</v>
      </c>
      <c r="D317" s="7" t="n">
        <v>79</v>
      </c>
      <c r="E317" s="7" t="n">
        <v>75</v>
      </c>
      <c r="F317" s="3" t="n">
        <f aca="false">COUNTIFS($B$2:$B$2705,B317,$C$2:$C$2705,C317)</f>
        <v>1</v>
      </c>
      <c r="G317" s="3" t="n">
        <f aca="false">MIN(INT((MIN(B317,2020)-1900)/10)+1,12)</f>
        <v>3</v>
      </c>
      <c r="H317" s="3" t="n">
        <f aca="false">(MIN(B317,2020)-1900-10*(G317-1))/10</f>
        <v>0</v>
      </c>
      <c r="I317" s="20" t="n">
        <f aca="false">EXP(LN(INDEX(Pop_Inputs!$B$2:$N$29,MATCH(C317,Pop_Inputs!$A$2:$A$29,0),G317))*(1-H317)+LN(INDEX(Pop_Inputs!$B$2:$N$29,MATCH(C317,Pop_Inputs!$A$2:$A$29,0),G317+1))*H317)</f>
        <v>588343</v>
      </c>
      <c r="J317" s="20" t="n">
        <f aca="false">I317/F317</f>
        <v>588343</v>
      </c>
      <c r="K317" s="21" t="n">
        <f aca="false">D317/(D317+E317)</f>
        <v>0.512987012987013</v>
      </c>
      <c r="L317" s="21" t="n">
        <f aca="false">AVERAGEIFS($K$2:$K$2705,$B$2:$B$2705,B317)</f>
        <v>0.499845382730445</v>
      </c>
      <c r="M317" s="21" t="n">
        <f aca="false">K317-L317</f>
        <v>0.0131416302565683</v>
      </c>
      <c r="N317" s="21" t="n">
        <f aca="false">LN(J317)</f>
        <v>13.2850653901413</v>
      </c>
      <c r="O317" s="21" t="n">
        <f aca="false">AVERAGEIFS($N$2:$N$2705,$B$2:$B$2705,B317)</f>
        <v>13.561026118504</v>
      </c>
      <c r="P317" s="21" t="n">
        <f aca="false">N317-O317</f>
        <v>-0.275960728362605</v>
      </c>
      <c r="Q317" s="7" t="n">
        <v>0</v>
      </c>
      <c r="R317" s="3" t="n">
        <f aca="false">IF(AND(Q317=1,B317-_xlfn.MINIFS($B$2:$B$2705,$A$2:$A$2705,A317)&lt;10),1,0)</f>
        <v>0</v>
      </c>
      <c r="S317" s="7" t="n">
        <v>0</v>
      </c>
      <c r="T317" s="3" t="n">
        <f aca="false">_xlfn.MINIFS($B$2:$B$2705,$A$2:$A$2705,A317)</f>
        <v>1901</v>
      </c>
      <c r="U317" s="3" t="n">
        <f aca="false">B317-T317</f>
        <v>19</v>
      </c>
      <c r="V317" s="3" t="str">
        <f aca="false">INDEX(Pop_Inputs!$Q$2:$Q$29,MATCH(C317,Pop_Inputs!$A$2:$A$29,0))</f>
        <v>Northeast</v>
      </c>
      <c r="W317" s="30"/>
      <c r="X317" s="3" t="str">
        <f aca="false">IF(W317="","",LN(W317))</f>
        <v/>
      </c>
      <c r="Y317" s="3" t="str">
        <f aca="false">IF(X317="","",X317-AVERAGEIFS($X$2:$X$2705,$B$2:$B$2705,B317))</f>
        <v/>
      </c>
      <c r="Z317" s="21" t="n">
        <f aca="false">P317</f>
        <v>-0.275960728362605</v>
      </c>
      <c r="AA317" s="3" t="n">
        <f aca="false">R317</f>
        <v>0</v>
      </c>
      <c r="AB317" s="21" t="n">
        <f aca="false">P317</f>
        <v>-0.275960728362605</v>
      </c>
      <c r="AC317" s="3" t="str">
        <f aca="false">Y317</f>
        <v/>
      </c>
      <c r="AD317" s="3" t="n">
        <f aca="false">R317</f>
        <v>0</v>
      </c>
    </row>
    <row r="318" customFormat="false" ht="15" hidden="false" customHeight="true" outlineLevel="0" collapsed="false">
      <c r="A318" s="7" t="s">
        <v>61</v>
      </c>
      <c r="B318" s="7" t="n">
        <v>1920</v>
      </c>
      <c r="C318" s="7" t="s">
        <v>154</v>
      </c>
      <c r="D318" s="7" t="n">
        <v>86</v>
      </c>
      <c r="E318" s="7" t="n">
        <v>68</v>
      </c>
      <c r="F318" s="3" t="n">
        <f aca="false">COUNTIFS($B$2:$B$2705,B318,$C$2:$C$2705,C318)</f>
        <v>3</v>
      </c>
      <c r="G318" s="3" t="n">
        <f aca="false">MIN(INT((MIN(B318,2020)-1900)/10)+1,12)</f>
        <v>3</v>
      </c>
      <c r="H318" s="3" t="n">
        <f aca="false">(MIN(B318,2020)-1900-10*(G318-1))/10</f>
        <v>0</v>
      </c>
      <c r="I318" s="20" t="n">
        <f aca="false">EXP(LN(INDEX(Pop_Inputs!$B$2:$N$29,MATCH(C318,Pop_Inputs!$A$2:$A$29,0),G318))*(1-H318)+LN(INDEX(Pop_Inputs!$B$2:$N$29,MATCH(C318,Pop_Inputs!$A$2:$A$29,0),G318+1))*H318)</f>
        <v>5620048</v>
      </c>
      <c r="J318" s="20" t="n">
        <f aca="false">I318/F318</f>
        <v>1873349.33333333</v>
      </c>
      <c r="K318" s="21" t="n">
        <f aca="false">D318/(D318+E318)</f>
        <v>0.558441558441558</v>
      </c>
      <c r="L318" s="21" t="n">
        <f aca="false">AVERAGEIFS($K$2:$K$2705,$B$2:$B$2705,B318)</f>
        <v>0.499845382730445</v>
      </c>
      <c r="M318" s="21" t="n">
        <f aca="false">K318-L318</f>
        <v>0.0585961757111138</v>
      </c>
      <c r="N318" s="21" t="n">
        <f aca="false">LN(J318)</f>
        <v>14.4432384740906</v>
      </c>
      <c r="O318" s="21" t="n">
        <f aca="false">AVERAGEIFS($N$2:$N$2705,$B$2:$B$2705,B318)</f>
        <v>13.561026118504</v>
      </c>
      <c r="P318" s="21" t="n">
        <f aca="false">N318-O318</f>
        <v>0.882212355586608</v>
      </c>
      <c r="Q318" s="7" t="n">
        <v>0</v>
      </c>
      <c r="R318" s="3" t="n">
        <f aca="false">IF(AND(Q318=1,B318-_xlfn.MINIFS($B$2:$B$2705,$A$2:$A$2705,A318)&lt;10),1,0)</f>
        <v>0</v>
      </c>
      <c r="S318" s="7" t="n">
        <v>0</v>
      </c>
      <c r="T318" s="3" t="n">
        <f aca="false">_xlfn.MINIFS($B$2:$B$2705,$A$2:$A$2705,A318)</f>
        <v>1901</v>
      </c>
      <c r="U318" s="3" t="n">
        <f aca="false">B318-T318</f>
        <v>19</v>
      </c>
      <c r="V318" s="3" t="str">
        <f aca="false">INDEX(Pop_Inputs!$Q$2:$Q$29,MATCH(C318,Pop_Inputs!$A$2:$A$29,0))</f>
        <v>Northeast</v>
      </c>
      <c r="W318" s="30"/>
      <c r="X318" s="3" t="str">
        <f aca="false">IF(W318="","",LN(W318))</f>
        <v/>
      </c>
      <c r="Y318" s="3" t="str">
        <f aca="false">IF(X318="","",X318-AVERAGEIFS($X$2:$X$2705,$B$2:$B$2705,B318))</f>
        <v/>
      </c>
      <c r="Z318" s="21" t="n">
        <f aca="false">P318</f>
        <v>0.882212355586608</v>
      </c>
      <c r="AA318" s="3" t="n">
        <f aca="false">R318</f>
        <v>0</v>
      </c>
      <c r="AB318" s="21" t="n">
        <f aca="false">P318</f>
        <v>0.882212355586608</v>
      </c>
      <c r="AC318" s="3" t="str">
        <f aca="false">Y318</f>
        <v/>
      </c>
      <c r="AD318" s="3" t="n">
        <f aca="false">R318</f>
        <v>0</v>
      </c>
    </row>
    <row r="319" customFormat="false" ht="15" hidden="false" customHeight="true" outlineLevel="0" collapsed="false">
      <c r="A319" s="7" t="s">
        <v>59</v>
      </c>
      <c r="B319" s="7" t="n">
        <v>1920</v>
      </c>
      <c r="C319" s="7" t="s">
        <v>145</v>
      </c>
      <c r="D319" s="7" t="n">
        <v>75</v>
      </c>
      <c r="E319" s="7" t="n">
        <v>79</v>
      </c>
      <c r="F319" s="3" t="n">
        <f aca="false">COUNTIFS($B$2:$B$2705,B319,$C$2:$C$2705,C319)</f>
        <v>2</v>
      </c>
      <c r="G319" s="3" t="n">
        <f aca="false">MIN(INT((MIN(B319,2020)-1900)/10)+1,12)</f>
        <v>3</v>
      </c>
      <c r="H319" s="3" t="n">
        <f aca="false">(MIN(B319,2020)-1900-10*(G319-1))/10</f>
        <v>0</v>
      </c>
      <c r="I319" s="20" t="n">
        <f aca="false">EXP(LN(INDEX(Pop_Inputs!$B$2:$N$29,MATCH(C319,Pop_Inputs!$A$2:$A$29,0),G319))*(1-H319)+LN(INDEX(Pop_Inputs!$B$2:$N$29,MATCH(C319,Pop_Inputs!$A$2:$A$29,0),G319+1))*H319)</f>
        <v>772897</v>
      </c>
      <c r="J319" s="20" t="n">
        <f aca="false">I319/F319</f>
        <v>386448.5</v>
      </c>
      <c r="K319" s="21" t="n">
        <f aca="false">D319/(D319+E319)</f>
        <v>0.487012987012987</v>
      </c>
      <c r="L319" s="21" t="n">
        <f aca="false">AVERAGEIFS($K$2:$K$2705,$B$2:$B$2705,B319)</f>
        <v>0.499845382730445</v>
      </c>
      <c r="M319" s="21" t="n">
        <f aca="false">K319-L319</f>
        <v>-0.0128323957174576</v>
      </c>
      <c r="N319" s="21" t="n">
        <f aca="false">LN(J319)</f>
        <v>12.8647538910422</v>
      </c>
      <c r="O319" s="21" t="n">
        <f aca="false">AVERAGEIFS($N$2:$N$2705,$B$2:$B$2705,B319)</f>
        <v>13.561026118504</v>
      </c>
      <c r="P319" s="21" t="n">
        <f aca="false">N319-O319</f>
        <v>-0.696272227461781</v>
      </c>
      <c r="Q319" s="7" t="n">
        <v>0</v>
      </c>
      <c r="R319" s="3" t="n">
        <f aca="false">IF(AND(Q319=1,B319-_xlfn.MINIFS($B$2:$B$2705,$A$2:$A$2705,A319)&lt;10),1,0)</f>
        <v>0</v>
      </c>
      <c r="S319" s="7" t="n">
        <v>0</v>
      </c>
      <c r="T319" s="3" t="n">
        <f aca="false">_xlfn.MINIFS($B$2:$B$2705,$A$2:$A$2705,A319)</f>
        <v>1901</v>
      </c>
      <c r="U319" s="3" t="n">
        <f aca="false">B319-T319</f>
        <v>19</v>
      </c>
      <c r="V319" s="3" t="str">
        <f aca="false">INDEX(Pop_Inputs!$Q$2:$Q$29,MATCH(C319,Pop_Inputs!$A$2:$A$29,0))</f>
        <v>Midwest</v>
      </c>
      <c r="W319" s="30"/>
      <c r="X319" s="3" t="str">
        <f aca="false">IF(W319="","",LN(W319))</f>
        <v/>
      </c>
      <c r="Y319" s="3" t="str">
        <f aca="false">IF(X319="","",X319-AVERAGEIFS($X$2:$X$2705,$B$2:$B$2705,B319))</f>
        <v/>
      </c>
      <c r="Z319" s="21" t="n">
        <f aca="false">P319</f>
        <v>-0.696272227461781</v>
      </c>
      <c r="AA319" s="3" t="n">
        <f aca="false">R319</f>
        <v>0</v>
      </c>
      <c r="AB319" s="21" t="n">
        <f aca="false">P319</f>
        <v>-0.696272227461781</v>
      </c>
      <c r="AC319" s="3" t="str">
        <f aca="false">Y319</f>
        <v/>
      </c>
      <c r="AD319" s="3" t="n">
        <f aca="false">R319</f>
        <v>0</v>
      </c>
    </row>
    <row r="320" customFormat="false" ht="15" hidden="false" customHeight="true" outlineLevel="0" collapsed="false">
      <c r="A320" s="7" t="s">
        <v>54</v>
      </c>
      <c r="B320" s="7" t="n">
        <v>1921</v>
      </c>
      <c r="C320" s="7" t="s">
        <v>150</v>
      </c>
      <c r="D320" s="7" t="n">
        <v>79</v>
      </c>
      <c r="E320" s="7" t="n">
        <v>74</v>
      </c>
      <c r="F320" s="3" t="n">
        <f aca="false">COUNTIFS($B$2:$B$2705,B320,$C$2:$C$2705,C320)</f>
        <v>2</v>
      </c>
      <c r="G320" s="3" t="n">
        <f aca="false">MIN(INT((MIN(B320,2020)-1900)/10)+1,12)</f>
        <v>3</v>
      </c>
      <c r="H320" s="3" t="n">
        <f aca="false">(MIN(B320,2020)-1900-10*(G320-1))/10</f>
        <v>0.1</v>
      </c>
      <c r="I320" s="20" t="n">
        <f aca="false">EXP(LN(INDEX(Pop_Inputs!$B$2:$N$29,MATCH(C320,Pop_Inputs!$A$2:$A$29,0),G320))*(1-H320)+LN(INDEX(Pop_Inputs!$B$2:$N$29,MATCH(C320,Pop_Inputs!$A$2:$A$29,0),G320+1))*H320)</f>
        <v>751308.575545036</v>
      </c>
      <c r="J320" s="20" t="n">
        <f aca="false">I320/F320</f>
        <v>375654.287772518</v>
      </c>
      <c r="K320" s="21" t="n">
        <f aca="false">D320/(D320+E320)</f>
        <v>0.516339869281046</v>
      </c>
      <c r="L320" s="21" t="n">
        <f aca="false">AVERAGEIFS($K$2:$K$2705,$B$2:$B$2705,B320)</f>
        <v>0.500061044154504</v>
      </c>
      <c r="M320" s="21" t="n">
        <f aca="false">K320-L320</f>
        <v>0.0162788251265419</v>
      </c>
      <c r="N320" s="21" t="n">
        <f aca="false">LN(J320)</f>
        <v>12.8364245520075</v>
      </c>
      <c r="O320" s="21" t="n">
        <f aca="false">AVERAGEIFS($N$2:$N$2705,$B$2:$B$2705,B320)</f>
        <v>13.5757241492249</v>
      </c>
      <c r="P320" s="21" t="n">
        <f aca="false">N320-O320</f>
        <v>-0.739299597217462</v>
      </c>
      <c r="Q320" s="7" t="n">
        <v>0</v>
      </c>
      <c r="R320" s="3" t="n">
        <f aca="false">IF(AND(Q320=1,B320-_xlfn.MINIFS($B$2:$B$2705,$A$2:$A$2705,A320)&lt;10),1,0)</f>
        <v>0</v>
      </c>
      <c r="S320" s="7" t="n">
        <v>0</v>
      </c>
      <c r="T320" s="3" t="n">
        <f aca="false">_xlfn.MINIFS($B$2:$B$2705,$A$2:$A$2705,A320)</f>
        <v>1901</v>
      </c>
      <c r="U320" s="3" t="n">
        <f aca="false">B320-T320</f>
        <v>20</v>
      </c>
      <c r="V320" s="3" t="str">
        <f aca="false">INDEX(Pop_Inputs!$Q$2:$Q$29,MATCH(C320,Pop_Inputs!$A$2:$A$29,0))</f>
        <v>Northeast</v>
      </c>
      <c r="W320" s="30"/>
      <c r="X320" s="3" t="str">
        <f aca="false">IF(W320="","",LN(W320))</f>
        <v/>
      </c>
      <c r="Y320" s="3" t="str">
        <f aca="false">IF(X320="","",X320-AVERAGEIFS($X$2:$X$2705,$B$2:$B$2705,B320))</f>
        <v/>
      </c>
      <c r="Z320" s="21" t="n">
        <f aca="false">P320</f>
        <v>-0.739299597217462</v>
      </c>
      <c r="AA320" s="3" t="n">
        <f aca="false">R320</f>
        <v>0</v>
      </c>
      <c r="AB320" s="21" t="n">
        <f aca="false">P320</f>
        <v>-0.739299597217462</v>
      </c>
      <c r="AC320" s="3" t="str">
        <f aca="false">Y320</f>
        <v/>
      </c>
      <c r="AD320" s="3" t="n">
        <f aca="false">R320</f>
        <v>0</v>
      </c>
    </row>
    <row r="321" customFormat="false" ht="15" hidden="false" customHeight="true" outlineLevel="0" collapsed="false">
      <c r="A321" s="7" t="s">
        <v>63</v>
      </c>
      <c r="B321" s="7" t="n">
        <v>1921</v>
      </c>
      <c r="C321" s="7" t="s">
        <v>145</v>
      </c>
      <c r="D321" s="7" t="n">
        <v>81</v>
      </c>
      <c r="E321" s="7" t="n">
        <v>73</v>
      </c>
      <c r="F321" s="3" t="n">
        <f aca="false">COUNTIFS($B$2:$B$2705,B321,$C$2:$C$2705,C321)</f>
        <v>2</v>
      </c>
      <c r="G321" s="3" t="n">
        <f aca="false">MIN(INT((MIN(B321,2020)-1900)/10)+1,12)</f>
        <v>3</v>
      </c>
      <c r="H321" s="3" t="n">
        <f aca="false">(MIN(B321,2020)-1900-10*(G321-1))/10</f>
        <v>0.1</v>
      </c>
      <c r="I321" s="20" t="n">
        <f aca="false">EXP(LN(INDEX(Pop_Inputs!$B$2:$N$29,MATCH(C321,Pop_Inputs!$A$2:$A$29,0),G321))*(1-H321)+LN(INDEX(Pop_Inputs!$B$2:$N$29,MATCH(C321,Pop_Inputs!$A$2:$A$29,0),G321+1))*H321)</f>
        <v>777668.535566643</v>
      </c>
      <c r="J321" s="20" t="n">
        <f aca="false">I321/F321</f>
        <v>388834.267783322</v>
      </c>
      <c r="K321" s="21" t="n">
        <f aca="false">D321/(D321+E321)</f>
        <v>0.525974025974026</v>
      </c>
      <c r="L321" s="21" t="n">
        <f aca="false">AVERAGEIFS($K$2:$K$2705,$B$2:$B$2705,B321)</f>
        <v>0.500061044154504</v>
      </c>
      <c r="M321" s="21" t="n">
        <f aca="false">K321-L321</f>
        <v>0.0259129818195221</v>
      </c>
      <c r="N321" s="21" t="n">
        <f aca="false">LN(J321)</f>
        <v>12.8709084849873</v>
      </c>
      <c r="O321" s="21" t="n">
        <f aca="false">AVERAGEIFS($N$2:$N$2705,$B$2:$B$2705,B321)</f>
        <v>13.5757241492249</v>
      </c>
      <c r="P321" s="21" t="n">
        <f aca="false">N321-O321</f>
        <v>-0.704815664237591</v>
      </c>
      <c r="Q321" s="7" t="n">
        <v>0</v>
      </c>
      <c r="R321" s="3" t="n">
        <f aca="false">IF(AND(Q321=1,B321-_xlfn.MINIFS($B$2:$B$2705,$A$2:$A$2705,A321)&lt;10),1,0)</f>
        <v>0</v>
      </c>
      <c r="S321" s="7" t="n">
        <v>0</v>
      </c>
      <c r="T321" s="3" t="n">
        <f aca="false">_xlfn.MINIFS($B$2:$B$2705,$A$2:$A$2705,A321)</f>
        <v>1901</v>
      </c>
      <c r="U321" s="3" t="n">
        <f aca="false">B321-T321</f>
        <v>20</v>
      </c>
      <c r="V321" s="3" t="str">
        <f aca="false">INDEX(Pop_Inputs!$Q$2:$Q$29,MATCH(C321,Pop_Inputs!$A$2:$A$29,0))</f>
        <v>Midwest</v>
      </c>
      <c r="W321" s="30"/>
      <c r="X321" s="3" t="str">
        <f aca="false">IF(W321="","",LN(W321))</f>
        <v/>
      </c>
      <c r="Y321" s="3" t="str">
        <f aca="false">IF(X321="","",X321-AVERAGEIFS($X$2:$X$2705,$B$2:$B$2705,B321))</f>
        <v/>
      </c>
      <c r="Z321" s="21" t="n">
        <f aca="false">P321</f>
        <v>-0.704815664237591</v>
      </c>
      <c r="AA321" s="3" t="n">
        <f aca="false">R321</f>
        <v>0</v>
      </c>
      <c r="AB321" s="21" t="n">
        <f aca="false">P321</f>
        <v>-0.704815664237591</v>
      </c>
      <c r="AC321" s="3" t="str">
        <f aca="false">Y321</f>
        <v/>
      </c>
      <c r="AD321" s="3" t="n">
        <f aca="false">R321</f>
        <v>0</v>
      </c>
    </row>
    <row r="322" customFormat="false" ht="15" hidden="false" customHeight="true" outlineLevel="0" collapsed="false">
      <c r="A322" s="7" t="s">
        <v>64</v>
      </c>
      <c r="B322" s="7" t="n">
        <v>1921</v>
      </c>
      <c r="C322" s="7" t="s">
        <v>150</v>
      </c>
      <c r="D322" s="7" t="n">
        <v>75</v>
      </c>
      <c r="E322" s="7" t="n">
        <v>79</v>
      </c>
      <c r="F322" s="3" t="n">
        <f aca="false">COUNTIFS($B$2:$B$2705,B322,$C$2:$C$2705,C322)</f>
        <v>2</v>
      </c>
      <c r="G322" s="3" t="n">
        <f aca="false">MIN(INT((MIN(B322,2020)-1900)/10)+1,12)</f>
        <v>3</v>
      </c>
      <c r="H322" s="3" t="n">
        <f aca="false">(MIN(B322,2020)-1900-10*(G322-1))/10</f>
        <v>0.1</v>
      </c>
      <c r="I322" s="20" t="n">
        <f aca="false">EXP(LN(INDEX(Pop_Inputs!$B$2:$N$29,MATCH(C322,Pop_Inputs!$A$2:$A$29,0),G322))*(1-H322)+LN(INDEX(Pop_Inputs!$B$2:$N$29,MATCH(C322,Pop_Inputs!$A$2:$A$29,0),G322+1))*H322)</f>
        <v>751308.575545036</v>
      </c>
      <c r="J322" s="20" t="n">
        <f aca="false">I322/F322</f>
        <v>375654.287772518</v>
      </c>
      <c r="K322" s="21" t="n">
        <f aca="false">D322/(D322+E322)</f>
        <v>0.487012987012987</v>
      </c>
      <c r="L322" s="21" t="n">
        <f aca="false">AVERAGEIFS($K$2:$K$2705,$B$2:$B$2705,B322)</f>
        <v>0.500061044154504</v>
      </c>
      <c r="M322" s="21" t="n">
        <f aca="false">K322-L322</f>
        <v>-0.0130480571415169</v>
      </c>
      <c r="N322" s="21" t="n">
        <f aca="false">LN(J322)</f>
        <v>12.8364245520075</v>
      </c>
      <c r="O322" s="21" t="n">
        <f aca="false">AVERAGEIFS($N$2:$N$2705,$B$2:$B$2705,B322)</f>
        <v>13.5757241492249</v>
      </c>
      <c r="P322" s="21" t="n">
        <f aca="false">N322-O322</f>
        <v>-0.739299597217462</v>
      </c>
      <c r="Q322" s="7" t="n">
        <v>0</v>
      </c>
      <c r="R322" s="3" t="n">
        <f aca="false">IF(AND(Q322=1,B322-_xlfn.MINIFS($B$2:$B$2705,$A$2:$A$2705,A322)&lt;10),1,0)</f>
        <v>0</v>
      </c>
      <c r="S322" s="7" t="n">
        <v>0</v>
      </c>
      <c r="T322" s="3" t="n">
        <f aca="false">_xlfn.MINIFS($B$2:$B$2705,$A$2:$A$2705,A322)</f>
        <v>1901</v>
      </c>
      <c r="U322" s="3" t="n">
        <f aca="false">B322-T322</f>
        <v>20</v>
      </c>
      <c r="V322" s="3" t="str">
        <f aca="false">INDEX(Pop_Inputs!$Q$2:$Q$29,MATCH(C322,Pop_Inputs!$A$2:$A$29,0))</f>
        <v>Northeast</v>
      </c>
      <c r="W322" s="30"/>
      <c r="X322" s="3" t="str">
        <f aca="false">IF(W322="","",LN(W322))</f>
        <v/>
      </c>
      <c r="Y322" s="3" t="str">
        <f aca="false">IF(X322="","",X322-AVERAGEIFS($X$2:$X$2705,$B$2:$B$2705,B322))</f>
        <v/>
      </c>
      <c r="Z322" s="21" t="n">
        <f aca="false">P322</f>
        <v>-0.739299597217462</v>
      </c>
      <c r="AA322" s="3" t="n">
        <f aca="false">R322</f>
        <v>0</v>
      </c>
      <c r="AB322" s="21" t="n">
        <f aca="false">P322</f>
        <v>-0.739299597217462</v>
      </c>
      <c r="AC322" s="3" t="str">
        <f aca="false">Y322</f>
        <v/>
      </c>
      <c r="AD322" s="3" t="n">
        <f aca="false">R322</f>
        <v>0</v>
      </c>
    </row>
    <row r="323" customFormat="false" ht="15" hidden="false" customHeight="true" outlineLevel="0" collapsed="false">
      <c r="A323" s="7" t="s">
        <v>56</v>
      </c>
      <c r="B323" s="7" t="n">
        <v>1921</v>
      </c>
      <c r="C323" s="7" t="s">
        <v>142</v>
      </c>
      <c r="D323" s="7" t="n">
        <v>64</v>
      </c>
      <c r="E323" s="7" t="n">
        <v>89</v>
      </c>
      <c r="F323" s="3" t="n">
        <f aca="false">COUNTIFS($B$2:$B$2705,B323,$C$2:$C$2705,C323)</f>
        <v>2</v>
      </c>
      <c r="G323" s="3" t="n">
        <f aca="false">MIN(INT((MIN(B323,2020)-1900)/10)+1,12)</f>
        <v>3</v>
      </c>
      <c r="H323" s="3" t="n">
        <f aca="false">(MIN(B323,2020)-1900-10*(G323-1))/10</f>
        <v>0.1</v>
      </c>
      <c r="I323" s="20" t="n">
        <f aca="false">EXP(LN(INDEX(Pop_Inputs!$B$2:$N$29,MATCH(C323,Pop_Inputs!$A$2:$A$29,0),G323))*(1-H323)+LN(INDEX(Pop_Inputs!$B$2:$N$29,MATCH(C323,Pop_Inputs!$A$2:$A$29,0),G323+1))*H323)</f>
        <v>2762612.74985349</v>
      </c>
      <c r="J323" s="20" t="n">
        <f aca="false">I323/F323</f>
        <v>1381306.37492674</v>
      </c>
      <c r="K323" s="21" t="n">
        <f aca="false">D323/(D323+E323)</f>
        <v>0.418300653594771</v>
      </c>
      <c r="L323" s="21" t="n">
        <f aca="false">AVERAGEIFS($K$2:$K$2705,$B$2:$B$2705,B323)</f>
        <v>0.500061044154504</v>
      </c>
      <c r="M323" s="21" t="n">
        <f aca="false">K323-L323</f>
        <v>-0.0817603905597327</v>
      </c>
      <c r="N323" s="21" t="n">
        <f aca="false">LN(J323)</f>
        <v>14.1385402578419</v>
      </c>
      <c r="O323" s="21" t="n">
        <f aca="false">AVERAGEIFS($N$2:$N$2705,$B$2:$B$2705,B323)</f>
        <v>13.5757241492249</v>
      </c>
      <c r="P323" s="21" t="n">
        <f aca="false">N323-O323</f>
        <v>0.562816108616985</v>
      </c>
      <c r="Q323" s="7" t="n">
        <v>0</v>
      </c>
      <c r="R323" s="3" t="n">
        <f aca="false">IF(AND(Q323=1,B323-_xlfn.MINIFS($B$2:$B$2705,$A$2:$A$2705,A323)&lt;10),1,0)</f>
        <v>0</v>
      </c>
      <c r="S323" s="7" t="n">
        <v>0</v>
      </c>
      <c r="T323" s="3" t="n">
        <f aca="false">_xlfn.MINIFS($B$2:$B$2705,$A$2:$A$2705,A323)</f>
        <v>1901</v>
      </c>
      <c r="U323" s="3" t="n">
        <f aca="false">B323-T323</f>
        <v>20</v>
      </c>
      <c r="V323" s="3" t="str">
        <f aca="false">INDEX(Pop_Inputs!$Q$2:$Q$29,MATCH(C323,Pop_Inputs!$A$2:$A$29,0))</f>
        <v>Midwest</v>
      </c>
      <c r="W323" s="30"/>
      <c r="X323" s="3" t="str">
        <f aca="false">IF(W323="","",LN(W323))</f>
        <v/>
      </c>
      <c r="Y323" s="3" t="str">
        <f aca="false">IF(X323="","",X323-AVERAGEIFS($X$2:$X$2705,$B$2:$B$2705,B323))</f>
        <v/>
      </c>
      <c r="Z323" s="21" t="n">
        <f aca="false">P323</f>
        <v>0.562816108616985</v>
      </c>
      <c r="AA323" s="3" t="n">
        <f aca="false">R323</f>
        <v>0</v>
      </c>
      <c r="AB323" s="21" t="n">
        <f aca="false">P323</f>
        <v>0.562816108616985</v>
      </c>
      <c r="AC323" s="3" t="str">
        <f aca="false">Y323</f>
        <v/>
      </c>
      <c r="AD323" s="3" t="n">
        <f aca="false">R323</f>
        <v>0</v>
      </c>
    </row>
    <row r="324" customFormat="false" ht="15" hidden="false" customHeight="true" outlineLevel="0" collapsed="false">
      <c r="A324" s="7" t="s">
        <v>65</v>
      </c>
      <c r="B324" s="7" t="n">
        <v>1921</v>
      </c>
      <c r="C324" s="7" t="s">
        <v>142</v>
      </c>
      <c r="D324" s="7" t="n">
        <v>62</v>
      </c>
      <c r="E324" s="7" t="n">
        <v>92</v>
      </c>
      <c r="F324" s="3" t="n">
        <f aca="false">COUNTIFS($B$2:$B$2705,B324,$C$2:$C$2705,C324)</f>
        <v>2</v>
      </c>
      <c r="G324" s="3" t="n">
        <f aca="false">MIN(INT((MIN(B324,2020)-1900)/10)+1,12)</f>
        <v>3</v>
      </c>
      <c r="H324" s="3" t="n">
        <f aca="false">(MIN(B324,2020)-1900-10*(G324-1))/10</f>
        <v>0.1</v>
      </c>
      <c r="I324" s="20" t="n">
        <f aca="false">EXP(LN(INDEX(Pop_Inputs!$B$2:$N$29,MATCH(C324,Pop_Inputs!$A$2:$A$29,0),G324))*(1-H324)+LN(INDEX(Pop_Inputs!$B$2:$N$29,MATCH(C324,Pop_Inputs!$A$2:$A$29,0),G324+1))*H324)</f>
        <v>2762612.74985349</v>
      </c>
      <c r="J324" s="20" t="n">
        <f aca="false">I324/F324</f>
        <v>1381306.37492674</v>
      </c>
      <c r="K324" s="21" t="n">
        <f aca="false">D324/(D324+E324)</f>
        <v>0.402597402597403</v>
      </c>
      <c r="L324" s="21" t="n">
        <f aca="false">AVERAGEIFS($K$2:$K$2705,$B$2:$B$2705,B324)</f>
        <v>0.500061044154504</v>
      </c>
      <c r="M324" s="21" t="n">
        <f aca="false">K324-L324</f>
        <v>-0.0974636415571013</v>
      </c>
      <c r="N324" s="21" t="n">
        <f aca="false">LN(J324)</f>
        <v>14.1385402578419</v>
      </c>
      <c r="O324" s="21" t="n">
        <f aca="false">AVERAGEIFS($N$2:$N$2705,$B$2:$B$2705,B324)</f>
        <v>13.5757241492249</v>
      </c>
      <c r="P324" s="21" t="n">
        <f aca="false">N324-O324</f>
        <v>0.562816108616985</v>
      </c>
      <c r="Q324" s="7" t="n">
        <v>0</v>
      </c>
      <c r="R324" s="3" t="n">
        <f aca="false">IF(AND(Q324=1,B324-_xlfn.MINIFS($B$2:$B$2705,$A$2:$A$2705,A324)&lt;10),1,0)</f>
        <v>0</v>
      </c>
      <c r="S324" s="7" t="n">
        <v>0</v>
      </c>
      <c r="T324" s="3" t="n">
        <f aca="false">_xlfn.MINIFS($B$2:$B$2705,$A$2:$A$2705,A324)</f>
        <v>1901</v>
      </c>
      <c r="U324" s="3" t="n">
        <f aca="false">B324-T324</f>
        <v>20</v>
      </c>
      <c r="V324" s="3" t="str">
        <f aca="false">INDEX(Pop_Inputs!$Q$2:$Q$29,MATCH(C324,Pop_Inputs!$A$2:$A$29,0))</f>
        <v>Midwest</v>
      </c>
      <c r="W324" s="30"/>
      <c r="X324" s="3" t="str">
        <f aca="false">IF(W324="","",LN(W324))</f>
        <v/>
      </c>
      <c r="Y324" s="3" t="str">
        <f aca="false">IF(X324="","",X324-AVERAGEIFS($X$2:$X$2705,$B$2:$B$2705,B324))</f>
        <v/>
      </c>
      <c r="Z324" s="21" t="n">
        <f aca="false">P324</f>
        <v>0.562816108616985</v>
      </c>
      <c r="AA324" s="3" t="n">
        <f aca="false">R324</f>
        <v>0</v>
      </c>
      <c r="AB324" s="21" t="n">
        <f aca="false">P324</f>
        <v>0.562816108616985</v>
      </c>
      <c r="AC324" s="3" t="str">
        <f aca="false">Y324</f>
        <v/>
      </c>
      <c r="AD324" s="3" t="n">
        <f aca="false">R324</f>
        <v>0</v>
      </c>
    </row>
    <row r="325" customFormat="false" ht="15" hidden="false" customHeight="true" outlineLevel="0" collapsed="false">
      <c r="A325" s="7" t="s">
        <v>57</v>
      </c>
      <c r="B325" s="7" t="n">
        <v>1921</v>
      </c>
      <c r="C325" s="7" t="s">
        <v>143</v>
      </c>
      <c r="D325" s="7" t="n">
        <v>70</v>
      </c>
      <c r="E325" s="7" t="n">
        <v>83</v>
      </c>
      <c r="F325" s="3" t="n">
        <f aca="false">COUNTIFS($B$2:$B$2705,B325,$C$2:$C$2705,C325)</f>
        <v>1</v>
      </c>
      <c r="G325" s="3" t="n">
        <f aca="false">MIN(INT((MIN(B325,2020)-1900)/10)+1,12)</f>
        <v>3</v>
      </c>
      <c r="H325" s="3" t="n">
        <f aca="false">(MIN(B325,2020)-1900-10*(G325-1))/10</f>
        <v>0.1</v>
      </c>
      <c r="I325" s="20" t="n">
        <f aca="false">EXP(LN(INDEX(Pop_Inputs!$B$2:$N$29,MATCH(C325,Pop_Inputs!$A$2:$A$29,0),G325))*(1-H325)+LN(INDEX(Pop_Inputs!$B$2:$N$29,MATCH(C325,Pop_Inputs!$A$2:$A$29,0),G325+1))*H325)</f>
        <v>405979.10078584</v>
      </c>
      <c r="J325" s="20" t="n">
        <f aca="false">I325/F325</f>
        <v>405979.10078584</v>
      </c>
      <c r="K325" s="21" t="n">
        <f aca="false">D325/(D325+E325)</f>
        <v>0.457516339869281</v>
      </c>
      <c r="L325" s="21" t="n">
        <f aca="false">AVERAGEIFS($K$2:$K$2705,$B$2:$B$2705,B325)</f>
        <v>0.500061044154504</v>
      </c>
      <c r="M325" s="21" t="n">
        <f aca="false">K325-L325</f>
        <v>-0.0425447042852229</v>
      </c>
      <c r="N325" s="21" t="n">
        <f aca="false">LN(J325)</f>
        <v>12.914056961362</v>
      </c>
      <c r="O325" s="21" t="n">
        <f aca="false">AVERAGEIFS($N$2:$N$2705,$B$2:$B$2705,B325)</f>
        <v>13.5757241492249</v>
      </c>
      <c r="P325" s="21" t="n">
        <f aca="false">N325-O325</f>
        <v>-0.661667187862935</v>
      </c>
      <c r="Q325" s="7" t="n">
        <v>0</v>
      </c>
      <c r="R325" s="3" t="n">
        <f aca="false">IF(AND(Q325=1,B325-_xlfn.MINIFS($B$2:$B$2705,$A$2:$A$2705,A325)&lt;10),1,0)</f>
        <v>0</v>
      </c>
      <c r="S325" s="7" t="n">
        <v>0</v>
      </c>
      <c r="T325" s="3" t="n">
        <f aca="false">_xlfn.MINIFS($B$2:$B$2705,$A$2:$A$2705,A325)</f>
        <v>1901</v>
      </c>
      <c r="U325" s="3" t="n">
        <f aca="false">B325-T325</f>
        <v>20</v>
      </c>
      <c r="V325" s="3" t="str">
        <f aca="false">INDEX(Pop_Inputs!$Q$2:$Q$29,MATCH(C325,Pop_Inputs!$A$2:$A$29,0))</f>
        <v>Midwest</v>
      </c>
      <c r="W325" s="30"/>
      <c r="X325" s="3" t="str">
        <f aca="false">IF(W325="","",LN(W325))</f>
        <v/>
      </c>
      <c r="Y325" s="3" t="str">
        <f aca="false">IF(X325="","",X325-AVERAGEIFS($X$2:$X$2705,$B$2:$B$2705,B325))</f>
        <v/>
      </c>
      <c r="Z325" s="21" t="n">
        <f aca="false">P325</f>
        <v>-0.661667187862935</v>
      </c>
      <c r="AA325" s="3" t="n">
        <f aca="false">R325</f>
        <v>0</v>
      </c>
      <c r="AB325" s="21" t="n">
        <f aca="false">P325</f>
        <v>-0.661667187862935</v>
      </c>
      <c r="AC325" s="3" t="str">
        <f aca="false">Y325</f>
        <v/>
      </c>
      <c r="AD325" s="3" t="n">
        <f aca="false">R325</f>
        <v>0</v>
      </c>
    </row>
    <row r="326" customFormat="false" ht="15" hidden="false" customHeight="true" outlineLevel="0" collapsed="false">
      <c r="A326" s="7" t="s">
        <v>66</v>
      </c>
      <c r="B326" s="7" t="n">
        <v>1921</v>
      </c>
      <c r="C326" s="7" t="s">
        <v>151</v>
      </c>
      <c r="D326" s="7" t="n">
        <v>94</v>
      </c>
      <c r="E326" s="7" t="n">
        <v>60</v>
      </c>
      <c r="F326" s="3" t="n">
        <f aca="false">COUNTIFS($B$2:$B$2705,B326,$C$2:$C$2705,C326)</f>
        <v>1</v>
      </c>
      <c r="G326" s="3" t="n">
        <f aca="false">MIN(INT((MIN(B326,2020)-1900)/10)+1,12)</f>
        <v>3</v>
      </c>
      <c r="H326" s="3" t="n">
        <f aca="false">(MIN(B326,2020)-1900-10*(G326-1))/10</f>
        <v>0.1</v>
      </c>
      <c r="I326" s="20" t="n">
        <f aca="false">EXP(LN(INDEX(Pop_Inputs!$B$2:$N$29,MATCH(C326,Pop_Inputs!$A$2:$A$29,0),G326))*(1-H326)+LN(INDEX(Pop_Inputs!$B$2:$N$29,MATCH(C326,Pop_Inputs!$A$2:$A$29,0),G326+1))*H326)</f>
        <v>806639.43878048</v>
      </c>
      <c r="J326" s="20" t="n">
        <f aca="false">I326/F326</f>
        <v>806639.43878048</v>
      </c>
      <c r="K326" s="21" t="n">
        <f aca="false">D326/(D326+E326)</f>
        <v>0.61038961038961</v>
      </c>
      <c r="L326" s="21" t="n">
        <f aca="false">AVERAGEIFS($K$2:$K$2705,$B$2:$B$2705,B326)</f>
        <v>0.500061044154504</v>
      </c>
      <c r="M326" s="21" t="n">
        <f aca="false">K326-L326</f>
        <v>0.110328566235106</v>
      </c>
      <c r="N326" s="21" t="n">
        <f aca="false">LN(J326)</f>
        <v>13.6006320553172</v>
      </c>
      <c r="O326" s="21" t="n">
        <f aca="false">AVERAGEIFS($N$2:$N$2705,$B$2:$B$2705,B326)</f>
        <v>13.5757241492249</v>
      </c>
      <c r="P326" s="21" t="n">
        <f aca="false">N326-O326</f>
        <v>0.0249079060922472</v>
      </c>
      <c r="Q326" s="7" t="n">
        <v>0</v>
      </c>
      <c r="R326" s="3" t="n">
        <f aca="false">IF(AND(Q326=1,B326-_xlfn.MINIFS($B$2:$B$2705,$A$2:$A$2705,A326)&lt;10),1,0)</f>
        <v>0</v>
      </c>
      <c r="S326" s="7" t="n">
        <v>0</v>
      </c>
      <c r="T326" s="3" t="n">
        <f aca="false">_xlfn.MINIFS($B$2:$B$2705,$A$2:$A$2705,A326)</f>
        <v>1901</v>
      </c>
      <c r="U326" s="3" t="n">
        <f aca="false">B326-T326</f>
        <v>20</v>
      </c>
      <c r="V326" s="3" t="str">
        <f aca="false">INDEX(Pop_Inputs!$Q$2:$Q$29,MATCH(C326,Pop_Inputs!$A$2:$A$29,0))</f>
        <v>Midwest</v>
      </c>
      <c r="W326" s="30"/>
      <c r="X326" s="3" t="str">
        <f aca="false">IF(W326="","",LN(W326))</f>
        <v/>
      </c>
      <c r="Y326" s="3" t="str">
        <f aca="false">IF(X326="","",X326-AVERAGEIFS($X$2:$X$2705,$B$2:$B$2705,B326))</f>
        <v/>
      </c>
      <c r="Z326" s="21" t="n">
        <f aca="false">P326</f>
        <v>0.0249079060922472</v>
      </c>
      <c r="AA326" s="3" t="n">
        <f aca="false">R326</f>
        <v>0</v>
      </c>
      <c r="AB326" s="21" t="n">
        <f aca="false">P326</f>
        <v>0.0249079060922472</v>
      </c>
      <c r="AC326" s="3" t="str">
        <f aca="false">Y326</f>
        <v/>
      </c>
      <c r="AD326" s="3" t="n">
        <f aca="false">R326</f>
        <v>0</v>
      </c>
    </row>
    <row r="327" customFormat="false" ht="15" hidden="false" customHeight="true" outlineLevel="0" collapsed="false">
      <c r="A327" s="7" t="s">
        <v>67</v>
      </c>
      <c r="B327" s="7" t="n">
        <v>1921</v>
      </c>
      <c r="C327" s="7" t="s">
        <v>152</v>
      </c>
      <c r="D327" s="7" t="n">
        <v>71</v>
      </c>
      <c r="E327" s="7" t="n">
        <v>82</v>
      </c>
      <c r="F327" s="3" t="n">
        <f aca="false">COUNTIFS($B$2:$B$2705,B327,$C$2:$C$2705,C327)</f>
        <v>1</v>
      </c>
      <c r="G327" s="3" t="n">
        <f aca="false">MIN(INT((MIN(B327,2020)-1900)/10)+1,12)</f>
        <v>3</v>
      </c>
      <c r="H327" s="3" t="n">
        <f aca="false">(MIN(B327,2020)-1900-10*(G327-1))/10</f>
        <v>0.1</v>
      </c>
      <c r="I327" s="20" t="n">
        <f aca="false">EXP(LN(INDEX(Pop_Inputs!$B$2:$N$29,MATCH(C327,Pop_Inputs!$A$2:$A$29,0),G327))*(1-H327)+LN(INDEX(Pop_Inputs!$B$2:$N$29,MATCH(C327,Pop_Inputs!$A$2:$A$29,0),G327+1))*H327)</f>
        <v>1040097.48157979</v>
      </c>
      <c r="J327" s="20" t="n">
        <f aca="false">I327/F327</f>
        <v>1040097.48157979</v>
      </c>
      <c r="K327" s="21" t="n">
        <f aca="false">D327/(D327+E327)</f>
        <v>0.464052287581699</v>
      </c>
      <c r="L327" s="21" t="n">
        <f aca="false">AVERAGEIFS($K$2:$K$2705,$B$2:$B$2705,B327)</f>
        <v>0.500061044154504</v>
      </c>
      <c r="M327" s="21" t="n">
        <f aca="false">K327-L327</f>
        <v>-0.0360087565728046</v>
      </c>
      <c r="N327" s="21" t="n">
        <f aca="false">LN(J327)</f>
        <v>13.8548249990132</v>
      </c>
      <c r="O327" s="21" t="n">
        <f aca="false">AVERAGEIFS($N$2:$N$2705,$B$2:$B$2705,B327)</f>
        <v>13.5757241492249</v>
      </c>
      <c r="P327" s="21" t="n">
        <f aca="false">N327-O327</f>
        <v>0.279100849788287</v>
      </c>
      <c r="Q327" s="7" t="n">
        <v>0</v>
      </c>
      <c r="R327" s="3" t="n">
        <f aca="false">IF(AND(Q327=1,B327-_xlfn.MINIFS($B$2:$B$2705,$A$2:$A$2705,A327)&lt;10),1,0)</f>
        <v>0</v>
      </c>
      <c r="S327" s="7" t="n">
        <v>0</v>
      </c>
      <c r="T327" s="3" t="n">
        <f aca="false">_xlfn.MINIFS($B$2:$B$2705,$A$2:$A$2705,A327)</f>
        <v>1901</v>
      </c>
      <c r="U327" s="3" t="n">
        <f aca="false">B327-T327</f>
        <v>20</v>
      </c>
      <c r="V327" s="3" t="str">
        <f aca="false">INDEX(Pop_Inputs!$Q$2:$Q$29,MATCH(C327,Pop_Inputs!$A$2:$A$29,0))</f>
        <v>Midwest</v>
      </c>
      <c r="W327" s="30"/>
      <c r="X327" s="3" t="str">
        <f aca="false">IF(W327="","",LN(W327))</f>
        <v/>
      </c>
      <c r="Y327" s="3" t="str">
        <f aca="false">IF(X327="","",X327-AVERAGEIFS($X$2:$X$2705,$B$2:$B$2705,B327))</f>
        <v/>
      </c>
      <c r="Z327" s="21" t="n">
        <f aca="false">P327</f>
        <v>0.279100849788287</v>
      </c>
      <c r="AA327" s="3" t="n">
        <f aca="false">R327</f>
        <v>0</v>
      </c>
      <c r="AB327" s="21" t="n">
        <f aca="false">P327</f>
        <v>0.279100849788287</v>
      </c>
      <c r="AC327" s="3" t="str">
        <f aca="false">Y327</f>
        <v/>
      </c>
      <c r="AD327" s="3" t="n">
        <f aca="false">R327</f>
        <v>0</v>
      </c>
    </row>
    <row r="328" customFormat="false" ht="15" hidden="false" customHeight="true" outlineLevel="0" collapsed="false">
      <c r="A328" s="7" t="s">
        <v>62</v>
      </c>
      <c r="B328" s="7" t="n">
        <v>1921</v>
      </c>
      <c r="C328" s="7" t="s">
        <v>154</v>
      </c>
      <c r="D328" s="7" t="n">
        <v>77</v>
      </c>
      <c r="E328" s="7" t="n">
        <v>75</v>
      </c>
      <c r="F328" s="3" t="n">
        <f aca="false">COUNTIFS($B$2:$B$2705,B328,$C$2:$C$2705,C328)</f>
        <v>3</v>
      </c>
      <c r="G328" s="3" t="n">
        <f aca="false">MIN(INT((MIN(B328,2020)-1900)/10)+1,12)</f>
        <v>3</v>
      </c>
      <c r="H328" s="3" t="n">
        <f aca="false">(MIN(B328,2020)-1900-10*(G328-1))/10</f>
        <v>0.1</v>
      </c>
      <c r="I328" s="20" t="n">
        <f aca="false">EXP(LN(INDEX(Pop_Inputs!$B$2:$N$29,MATCH(C328,Pop_Inputs!$A$2:$A$29,0),G328))*(1-H328)+LN(INDEX(Pop_Inputs!$B$2:$N$29,MATCH(C328,Pop_Inputs!$A$2:$A$29,0),G328+1))*H328)</f>
        <v>5739078.17769699</v>
      </c>
      <c r="J328" s="20" t="n">
        <f aca="false">I328/F328</f>
        <v>1913026.05923233</v>
      </c>
      <c r="K328" s="21" t="n">
        <f aca="false">D328/(D328+E328)</f>
        <v>0.506578947368421</v>
      </c>
      <c r="L328" s="21" t="n">
        <f aca="false">AVERAGEIFS($K$2:$K$2705,$B$2:$B$2705,B328)</f>
        <v>0.500061044154504</v>
      </c>
      <c r="M328" s="21" t="n">
        <f aca="false">K328-L328</f>
        <v>0.0065179032139171</v>
      </c>
      <c r="N328" s="21" t="n">
        <f aca="false">LN(J328)</f>
        <v>14.4641968705107</v>
      </c>
      <c r="O328" s="21" t="n">
        <f aca="false">AVERAGEIFS($N$2:$N$2705,$B$2:$B$2705,B328)</f>
        <v>13.5757241492249</v>
      </c>
      <c r="P328" s="21" t="n">
        <f aca="false">N328-O328</f>
        <v>0.888472721285719</v>
      </c>
      <c r="Q328" s="7" t="n">
        <v>0</v>
      </c>
      <c r="R328" s="3" t="n">
        <f aca="false">IF(AND(Q328=1,B328-_xlfn.MINIFS($B$2:$B$2705,$A$2:$A$2705,A328)&lt;10),1,0)</f>
        <v>0</v>
      </c>
      <c r="S328" s="7" t="n">
        <v>0</v>
      </c>
      <c r="T328" s="3" t="n">
        <f aca="false">_xlfn.MINIFS($B$2:$B$2705,$A$2:$A$2705,A328)</f>
        <v>1901</v>
      </c>
      <c r="U328" s="3" t="n">
        <f aca="false">B328-T328</f>
        <v>20</v>
      </c>
      <c r="V328" s="3" t="str">
        <f aca="false">INDEX(Pop_Inputs!$Q$2:$Q$29,MATCH(C328,Pop_Inputs!$A$2:$A$29,0))</f>
        <v>Northeast</v>
      </c>
      <c r="W328" s="30"/>
      <c r="X328" s="3" t="str">
        <f aca="false">IF(W328="","",LN(W328))</f>
        <v/>
      </c>
      <c r="Y328" s="3" t="str">
        <f aca="false">IF(X328="","",X328-AVERAGEIFS($X$2:$X$2705,$B$2:$B$2705,B328))</f>
        <v/>
      </c>
      <c r="Z328" s="21" t="n">
        <f aca="false">P328</f>
        <v>0.888472721285719</v>
      </c>
      <c r="AA328" s="3" t="n">
        <f aca="false">R328</f>
        <v>0</v>
      </c>
      <c r="AB328" s="21" t="n">
        <f aca="false">P328</f>
        <v>0.888472721285719</v>
      </c>
      <c r="AC328" s="3" t="str">
        <f aca="false">Y328</f>
        <v/>
      </c>
      <c r="AD328" s="3" t="n">
        <f aca="false">R328</f>
        <v>0</v>
      </c>
    </row>
    <row r="329" customFormat="false" ht="15" hidden="false" customHeight="true" outlineLevel="0" collapsed="false">
      <c r="A329" s="7" t="s">
        <v>68</v>
      </c>
      <c r="B329" s="7" t="n">
        <v>1921</v>
      </c>
      <c r="C329" s="7" t="s">
        <v>160</v>
      </c>
      <c r="D329" s="7" t="n">
        <v>80</v>
      </c>
      <c r="E329" s="7" t="n">
        <v>73</v>
      </c>
      <c r="F329" s="3" t="n">
        <f aca="false">COUNTIFS($B$2:$B$2705,B329,$C$2:$C$2705,C329)</f>
        <v>1</v>
      </c>
      <c r="G329" s="3" t="n">
        <f aca="false">MIN(INT((MIN(B329,2020)-1900)/10)+1,12)</f>
        <v>3</v>
      </c>
      <c r="H329" s="3" t="n">
        <f aca="false">(MIN(B329,2020)-1900-10*(G329-1))/10</f>
        <v>0.1</v>
      </c>
      <c r="I329" s="20" t="n">
        <f aca="false">EXP(LN(INDEX(Pop_Inputs!$B$2:$N$29,MATCH(C329,Pop_Inputs!$A$2:$A$29,0),G329))*(1-H329)+LN(INDEX(Pop_Inputs!$B$2:$N$29,MATCH(C329,Pop_Inputs!$A$2:$A$29,0),G329+1))*H329)</f>
        <v>442267.36165014</v>
      </c>
      <c r="J329" s="20" t="n">
        <f aca="false">I329/F329</f>
        <v>442267.36165014</v>
      </c>
      <c r="K329" s="21" t="n">
        <f aca="false">D329/(D329+E329)</f>
        <v>0.522875816993464</v>
      </c>
      <c r="L329" s="21" t="n">
        <f aca="false">AVERAGEIFS($K$2:$K$2705,$B$2:$B$2705,B329)</f>
        <v>0.500061044154504</v>
      </c>
      <c r="M329" s="21" t="n">
        <f aca="false">K329-L329</f>
        <v>0.0228147728389602</v>
      </c>
      <c r="N329" s="21" t="n">
        <f aca="false">LN(J329)</f>
        <v>12.9996698687984</v>
      </c>
      <c r="O329" s="21" t="n">
        <f aca="false">AVERAGEIFS($N$2:$N$2705,$B$2:$B$2705,B329)</f>
        <v>13.5757241492249</v>
      </c>
      <c r="P329" s="21" t="n">
        <f aca="false">N329-O329</f>
        <v>-0.576054280426503</v>
      </c>
      <c r="Q329" s="7" t="n">
        <v>0</v>
      </c>
      <c r="R329" s="3" t="n">
        <f aca="false">IF(AND(Q329=1,B329-_xlfn.MINIFS($B$2:$B$2705,$A$2:$A$2705,A329)&lt;10),1,0)</f>
        <v>0</v>
      </c>
      <c r="S329" s="7" t="n">
        <v>0</v>
      </c>
      <c r="T329" s="3" t="n">
        <f aca="false">_xlfn.MINIFS($B$2:$B$2705,$A$2:$A$2705,A329)</f>
        <v>1901</v>
      </c>
      <c r="U329" s="3" t="n">
        <f aca="false">B329-T329</f>
        <v>20</v>
      </c>
      <c r="V329" s="3" t="str">
        <f aca="false">INDEX(Pop_Inputs!$Q$2:$Q$29,MATCH(C329,Pop_Inputs!$A$2:$A$29,0))</f>
        <v>South</v>
      </c>
      <c r="W329" s="30"/>
      <c r="X329" s="3" t="str">
        <f aca="false">IF(W329="","",LN(W329))</f>
        <v/>
      </c>
      <c r="Y329" s="3" t="str">
        <f aca="false">IF(X329="","",X329-AVERAGEIFS($X$2:$X$2705,$B$2:$B$2705,B329))</f>
        <v/>
      </c>
      <c r="Z329" s="21" t="n">
        <f aca="false">P329</f>
        <v>-0.576054280426503</v>
      </c>
      <c r="AA329" s="3" t="n">
        <f aca="false">R329</f>
        <v>0</v>
      </c>
      <c r="AB329" s="21" t="n">
        <f aca="false">P329</f>
        <v>-0.576054280426503</v>
      </c>
      <c r="AC329" s="3" t="str">
        <f aca="false">Y329</f>
        <v/>
      </c>
      <c r="AD329" s="3" t="n">
        <f aca="false">R329</f>
        <v>0</v>
      </c>
    </row>
    <row r="330" customFormat="false" ht="15" hidden="false" customHeight="true" outlineLevel="0" collapsed="false">
      <c r="A330" s="7" t="s">
        <v>70</v>
      </c>
      <c r="B330" s="7" t="n">
        <v>1921</v>
      </c>
      <c r="C330" s="7" t="s">
        <v>154</v>
      </c>
      <c r="D330" s="7" t="n">
        <v>98</v>
      </c>
      <c r="E330" s="7" t="n">
        <v>55</v>
      </c>
      <c r="F330" s="3" t="n">
        <f aca="false">COUNTIFS($B$2:$B$2705,B330,$C$2:$C$2705,C330)</f>
        <v>3</v>
      </c>
      <c r="G330" s="3" t="n">
        <f aca="false">MIN(INT((MIN(B330,2020)-1900)/10)+1,12)</f>
        <v>3</v>
      </c>
      <c r="H330" s="3" t="n">
        <f aca="false">(MIN(B330,2020)-1900-10*(G330-1))/10</f>
        <v>0.1</v>
      </c>
      <c r="I330" s="20" t="n">
        <f aca="false">EXP(LN(INDEX(Pop_Inputs!$B$2:$N$29,MATCH(C330,Pop_Inputs!$A$2:$A$29,0),G330))*(1-H330)+LN(INDEX(Pop_Inputs!$B$2:$N$29,MATCH(C330,Pop_Inputs!$A$2:$A$29,0),G330+1))*H330)</f>
        <v>5739078.17769699</v>
      </c>
      <c r="J330" s="20" t="n">
        <f aca="false">I330/F330</f>
        <v>1913026.05923233</v>
      </c>
      <c r="K330" s="21" t="n">
        <f aca="false">D330/(D330+E330)</f>
        <v>0.640522875816993</v>
      </c>
      <c r="L330" s="21" t="n">
        <f aca="false">AVERAGEIFS($K$2:$K$2705,$B$2:$B$2705,B330)</f>
        <v>0.500061044154504</v>
      </c>
      <c r="M330" s="21" t="n">
        <f aca="false">K330-L330</f>
        <v>0.14046183166249</v>
      </c>
      <c r="N330" s="21" t="n">
        <f aca="false">LN(J330)</f>
        <v>14.4641968705107</v>
      </c>
      <c r="O330" s="21" t="n">
        <f aca="false">AVERAGEIFS($N$2:$N$2705,$B$2:$B$2705,B330)</f>
        <v>13.5757241492249</v>
      </c>
      <c r="P330" s="21" t="n">
        <f aca="false">N330-O330</f>
        <v>0.888472721285719</v>
      </c>
      <c r="Q330" s="7" t="n">
        <v>0</v>
      </c>
      <c r="R330" s="3" t="n">
        <f aca="false">IF(AND(Q330=1,B330-_xlfn.MINIFS($B$2:$B$2705,$A$2:$A$2705,A330)&lt;10),1,0)</f>
        <v>0</v>
      </c>
      <c r="S330" s="7" t="n">
        <v>1</v>
      </c>
      <c r="T330" s="3" t="n">
        <f aca="false">_xlfn.MINIFS($B$2:$B$2705,$A$2:$A$2705,A330)</f>
        <v>1903</v>
      </c>
      <c r="U330" s="3" t="n">
        <f aca="false">B330-T330</f>
        <v>18</v>
      </c>
      <c r="V330" s="3" t="str">
        <f aca="false">INDEX(Pop_Inputs!$Q$2:$Q$29,MATCH(C330,Pop_Inputs!$A$2:$A$29,0))</f>
        <v>Northeast</v>
      </c>
      <c r="W330" s="30"/>
      <c r="X330" s="3" t="str">
        <f aca="false">IF(W330="","",LN(W330))</f>
        <v/>
      </c>
      <c r="Y330" s="3" t="str">
        <f aca="false">IF(X330="","",X330-AVERAGEIFS($X$2:$X$2705,$B$2:$B$2705,B330))</f>
        <v/>
      </c>
      <c r="Z330" s="21" t="n">
        <f aca="false">P330</f>
        <v>0.888472721285719</v>
      </c>
      <c r="AA330" s="3" t="n">
        <f aca="false">R330</f>
        <v>0</v>
      </c>
      <c r="AB330" s="21" t="n">
        <f aca="false">P330</f>
        <v>0.888472721285719</v>
      </c>
      <c r="AC330" s="3" t="str">
        <f aca="false">Y330</f>
        <v/>
      </c>
      <c r="AD330" s="3" t="n">
        <f aca="false">R330</f>
        <v>0</v>
      </c>
    </row>
    <row r="331" customFormat="false" ht="15" hidden="false" customHeight="true" outlineLevel="0" collapsed="false">
      <c r="A331" s="7" t="s">
        <v>69</v>
      </c>
      <c r="B331" s="7" t="n">
        <v>1921</v>
      </c>
      <c r="C331" s="7" t="s">
        <v>146</v>
      </c>
      <c r="D331" s="7" t="n">
        <v>53</v>
      </c>
      <c r="E331" s="7" t="n">
        <v>100</v>
      </c>
      <c r="F331" s="3" t="n">
        <f aca="false">COUNTIFS($B$2:$B$2705,B331,$C$2:$C$2705,C331)</f>
        <v>2</v>
      </c>
      <c r="G331" s="3" t="n">
        <f aca="false">MIN(INT((MIN(B331,2020)-1900)/10)+1,12)</f>
        <v>3</v>
      </c>
      <c r="H331" s="3" t="n">
        <f aca="false">(MIN(B331,2020)-1900-10*(G331-1))/10</f>
        <v>0.1</v>
      </c>
      <c r="I331" s="20" t="n">
        <f aca="false">EXP(LN(INDEX(Pop_Inputs!$B$2:$N$29,MATCH(C331,Pop_Inputs!$A$2:$A$29,0),G331))*(1-H331)+LN(INDEX(Pop_Inputs!$B$2:$N$29,MATCH(C331,Pop_Inputs!$A$2:$A$29,0),G331+1))*H331)</f>
        <v>1836114.87256361</v>
      </c>
      <c r="J331" s="20" t="n">
        <f aca="false">I331/F331</f>
        <v>918057.436281805</v>
      </c>
      <c r="K331" s="21" t="n">
        <f aca="false">D331/(D331+E331)</f>
        <v>0.34640522875817</v>
      </c>
      <c r="L331" s="21" t="n">
        <f aca="false">AVERAGEIFS($K$2:$K$2705,$B$2:$B$2705,B331)</f>
        <v>0.500061044154504</v>
      </c>
      <c r="M331" s="21" t="n">
        <f aca="false">K331-L331</f>
        <v>-0.153655815396334</v>
      </c>
      <c r="N331" s="21" t="n">
        <f aca="false">LN(J331)</f>
        <v>13.7300152344012</v>
      </c>
      <c r="O331" s="21" t="n">
        <f aca="false">AVERAGEIFS($N$2:$N$2705,$B$2:$B$2705,B331)</f>
        <v>13.5757241492249</v>
      </c>
      <c r="P331" s="21" t="n">
        <f aca="false">N331-O331</f>
        <v>0.154291085176258</v>
      </c>
      <c r="Q331" s="7" t="n">
        <v>0</v>
      </c>
      <c r="R331" s="3" t="n">
        <f aca="false">IF(AND(Q331=1,B331-_xlfn.MINIFS($B$2:$B$2705,$A$2:$A$2705,A331)&lt;10),1,0)</f>
        <v>0</v>
      </c>
      <c r="S331" s="7" t="n">
        <v>0</v>
      </c>
      <c r="T331" s="3" t="n">
        <f aca="false">_xlfn.MINIFS($B$2:$B$2705,$A$2:$A$2705,A331)</f>
        <v>1901</v>
      </c>
      <c r="U331" s="3" t="n">
        <f aca="false">B331-T331</f>
        <v>20</v>
      </c>
      <c r="V331" s="3" t="str">
        <f aca="false">INDEX(Pop_Inputs!$Q$2:$Q$29,MATCH(C331,Pop_Inputs!$A$2:$A$29,0))</f>
        <v>Northeast</v>
      </c>
      <c r="W331" s="30"/>
      <c r="X331" s="3" t="str">
        <f aca="false">IF(W331="","",LN(W331))</f>
        <v/>
      </c>
      <c r="Y331" s="3" t="str">
        <f aca="false">IF(X331="","",X331-AVERAGEIFS($X$2:$X$2705,$B$2:$B$2705,B331))</f>
        <v/>
      </c>
      <c r="Z331" s="21" t="n">
        <f aca="false">P331</f>
        <v>0.154291085176258</v>
      </c>
      <c r="AA331" s="3" t="n">
        <f aca="false">R331</f>
        <v>0</v>
      </c>
      <c r="AB331" s="21" t="n">
        <f aca="false">P331</f>
        <v>0.154291085176258</v>
      </c>
      <c r="AC331" s="3" t="str">
        <f aca="false">Y331</f>
        <v/>
      </c>
      <c r="AD331" s="3" t="n">
        <f aca="false">R331</f>
        <v>0</v>
      </c>
    </row>
    <row r="332" customFormat="false" ht="15" hidden="false" customHeight="true" outlineLevel="0" collapsed="false">
      <c r="A332" s="7" t="s">
        <v>60</v>
      </c>
      <c r="B332" s="7" t="n">
        <v>1921</v>
      </c>
      <c r="C332" s="7" t="s">
        <v>146</v>
      </c>
      <c r="D332" s="7" t="n">
        <v>51</v>
      </c>
      <c r="E332" s="7" t="n">
        <v>103</v>
      </c>
      <c r="F332" s="3" t="n">
        <f aca="false">COUNTIFS($B$2:$B$2705,B332,$C$2:$C$2705,C332)</f>
        <v>2</v>
      </c>
      <c r="G332" s="3" t="n">
        <f aca="false">MIN(INT((MIN(B332,2020)-1900)/10)+1,12)</f>
        <v>3</v>
      </c>
      <c r="H332" s="3" t="n">
        <f aca="false">(MIN(B332,2020)-1900-10*(G332-1))/10</f>
        <v>0.1</v>
      </c>
      <c r="I332" s="20" t="n">
        <f aca="false">EXP(LN(INDEX(Pop_Inputs!$B$2:$N$29,MATCH(C332,Pop_Inputs!$A$2:$A$29,0),G332))*(1-H332)+LN(INDEX(Pop_Inputs!$B$2:$N$29,MATCH(C332,Pop_Inputs!$A$2:$A$29,0),G332+1))*H332)</f>
        <v>1836114.87256361</v>
      </c>
      <c r="J332" s="20" t="n">
        <f aca="false">I332/F332</f>
        <v>918057.436281805</v>
      </c>
      <c r="K332" s="21" t="n">
        <f aca="false">D332/(D332+E332)</f>
        <v>0.331168831168831</v>
      </c>
      <c r="L332" s="21" t="n">
        <f aca="false">AVERAGEIFS($K$2:$K$2705,$B$2:$B$2705,B332)</f>
        <v>0.500061044154504</v>
      </c>
      <c r="M332" s="21" t="n">
        <f aca="false">K332-L332</f>
        <v>-0.168892212985673</v>
      </c>
      <c r="N332" s="21" t="n">
        <f aca="false">LN(J332)</f>
        <v>13.7300152344012</v>
      </c>
      <c r="O332" s="21" t="n">
        <f aca="false">AVERAGEIFS($N$2:$N$2705,$B$2:$B$2705,B332)</f>
        <v>13.5757241492249</v>
      </c>
      <c r="P332" s="21" t="n">
        <f aca="false">N332-O332</f>
        <v>0.154291085176258</v>
      </c>
      <c r="Q332" s="7" t="n">
        <v>0</v>
      </c>
      <c r="R332" s="3" t="n">
        <f aca="false">IF(AND(Q332=1,B332-_xlfn.MINIFS($B$2:$B$2705,$A$2:$A$2705,A332)&lt;10),1,0)</f>
        <v>0</v>
      </c>
      <c r="S332" s="7" t="n">
        <v>0</v>
      </c>
      <c r="T332" s="3" t="n">
        <f aca="false">_xlfn.MINIFS($B$2:$B$2705,$A$2:$A$2705,A332)</f>
        <v>1901</v>
      </c>
      <c r="U332" s="3" t="n">
        <f aca="false">B332-T332</f>
        <v>20</v>
      </c>
      <c r="V332" s="3" t="str">
        <f aca="false">INDEX(Pop_Inputs!$Q$2:$Q$29,MATCH(C332,Pop_Inputs!$A$2:$A$29,0))</f>
        <v>Northeast</v>
      </c>
      <c r="W332" s="30"/>
      <c r="X332" s="3" t="str">
        <f aca="false">IF(W332="","",LN(W332))</f>
        <v/>
      </c>
      <c r="Y332" s="3" t="str">
        <f aca="false">IF(X332="","",X332-AVERAGEIFS($X$2:$X$2705,$B$2:$B$2705,B332))</f>
        <v/>
      </c>
      <c r="Z332" s="21" t="n">
        <f aca="false">P332</f>
        <v>0.154291085176258</v>
      </c>
      <c r="AA332" s="3" t="n">
        <f aca="false">R332</f>
        <v>0</v>
      </c>
      <c r="AB332" s="21" t="n">
        <f aca="false">P332</f>
        <v>0.154291085176258</v>
      </c>
      <c r="AC332" s="3" t="str">
        <f aca="false">Y332</f>
        <v/>
      </c>
      <c r="AD332" s="3" t="n">
        <f aca="false">R332</f>
        <v>0</v>
      </c>
    </row>
    <row r="333" customFormat="false" ht="15" hidden="false" customHeight="true" outlineLevel="0" collapsed="false">
      <c r="A333" s="7" t="s">
        <v>58</v>
      </c>
      <c r="B333" s="7" t="n">
        <v>1921</v>
      </c>
      <c r="C333" s="7" t="s">
        <v>144</v>
      </c>
      <c r="D333" s="7" t="n">
        <v>90</v>
      </c>
      <c r="E333" s="7" t="n">
        <v>63</v>
      </c>
      <c r="F333" s="3" t="n">
        <f aca="false">COUNTIFS($B$2:$B$2705,B333,$C$2:$C$2705,C333)</f>
        <v>1</v>
      </c>
      <c r="G333" s="3" t="n">
        <f aca="false">MIN(INT((MIN(B333,2020)-1900)/10)+1,12)</f>
        <v>3</v>
      </c>
      <c r="H333" s="3" t="n">
        <f aca="false">(MIN(B333,2020)-1900-10*(G333-1))/10</f>
        <v>0.1</v>
      </c>
      <c r="I333" s="20" t="n">
        <f aca="false">EXP(LN(INDEX(Pop_Inputs!$B$2:$N$29,MATCH(C333,Pop_Inputs!$A$2:$A$29,0),G333))*(1-H333)+LN(INDEX(Pop_Inputs!$B$2:$N$29,MATCH(C333,Pop_Inputs!$A$2:$A$29,0),G333+1))*H333)</f>
        <v>596023.177134114</v>
      </c>
      <c r="J333" s="20" t="n">
        <f aca="false">I333/F333</f>
        <v>596023.177134114</v>
      </c>
      <c r="K333" s="21" t="n">
        <f aca="false">D333/(D333+E333)</f>
        <v>0.588235294117647</v>
      </c>
      <c r="L333" s="21" t="n">
        <f aca="false">AVERAGEIFS($K$2:$K$2705,$B$2:$B$2705,B333)</f>
        <v>0.500061044154504</v>
      </c>
      <c r="M333" s="21" t="n">
        <f aca="false">K333-L333</f>
        <v>0.0881742499631432</v>
      </c>
      <c r="N333" s="21" t="n">
        <f aca="false">LN(J333)</f>
        <v>13.2980348331003</v>
      </c>
      <c r="O333" s="21" t="n">
        <f aca="false">AVERAGEIFS($N$2:$N$2705,$B$2:$B$2705,B333)</f>
        <v>13.5757241492249</v>
      </c>
      <c r="P333" s="21" t="n">
        <f aca="false">N333-O333</f>
        <v>-0.277689316124638</v>
      </c>
      <c r="Q333" s="7" t="n">
        <v>0</v>
      </c>
      <c r="R333" s="3" t="n">
        <f aca="false">IF(AND(Q333=1,B333-_xlfn.MINIFS($B$2:$B$2705,$A$2:$A$2705,A333)&lt;10),1,0)</f>
        <v>0</v>
      </c>
      <c r="S333" s="7" t="n">
        <v>0</v>
      </c>
      <c r="T333" s="3" t="n">
        <f aca="false">_xlfn.MINIFS($B$2:$B$2705,$A$2:$A$2705,A333)</f>
        <v>1901</v>
      </c>
      <c r="U333" s="3" t="n">
        <f aca="false">B333-T333</f>
        <v>20</v>
      </c>
      <c r="V333" s="3" t="str">
        <f aca="false">INDEX(Pop_Inputs!$Q$2:$Q$29,MATCH(C333,Pop_Inputs!$A$2:$A$29,0))</f>
        <v>Northeast</v>
      </c>
      <c r="W333" s="30"/>
      <c r="X333" s="3" t="str">
        <f aca="false">IF(W333="","",LN(W333))</f>
        <v/>
      </c>
      <c r="Y333" s="3" t="str">
        <f aca="false">IF(X333="","",X333-AVERAGEIFS($X$2:$X$2705,$B$2:$B$2705,B333))</f>
        <v/>
      </c>
      <c r="Z333" s="21" t="n">
        <f aca="false">P333</f>
        <v>-0.277689316124638</v>
      </c>
      <c r="AA333" s="3" t="n">
        <f aca="false">R333</f>
        <v>0</v>
      </c>
      <c r="AB333" s="21" t="n">
        <f aca="false">P333</f>
        <v>-0.277689316124638</v>
      </c>
      <c r="AC333" s="3" t="str">
        <f aca="false">Y333</f>
        <v/>
      </c>
      <c r="AD333" s="3" t="n">
        <f aca="false">R333</f>
        <v>0</v>
      </c>
    </row>
    <row r="334" customFormat="false" ht="15" hidden="false" customHeight="true" outlineLevel="0" collapsed="false">
      <c r="A334" s="7" t="s">
        <v>61</v>
      </c>
      <c r="B334" s="7" t="n">
        <v>1921</v>
      </c>
      <c r="C334" s="7" t="s">
        <v>154</v>
      </c>
      <c r="D334" s="7" t="n">
        <v>94</v>
      </c>
      <c r="E334" s="7" t="n">
        <v>59</v>
      </c>
      <c r="F334" s="3" t="n">
        <f aca="false">COUNTIFS($B$2:$B$2705,B334,$C$2:$C$2705,C334)</f>
        <v>3</v>
      </c>
      <c r="G334" s="3" t="n">
        <f aca="false">MIN(INT((MIN(B334,2020)-1900)/10)+1,12)</f>
        <v>3</v>
      </c>
      <c r="H334" s="3" t="n">
        <f aca="false">(MIN(B334,2020)-1900-10*(G334-1))/10</f>
        <v>0.1</v>
      </c>
      <c r="I334" s="20" t="n">
        <f aca="false">EXP(LN(INDEX(Pop_Inputs!$B$2:$N$29,MATCH(C334,Pop_Inputs!$A$2:$A$29,0),G334))*(1-H334)+LN(INDEX(Pop_Inputs!$B$2:$N$29,MATCH(C334,Pop_Inputs!$A$2:$A$29,0),G334+1))*H334)</f>
        <v>5739078.17769699</v>
      </c>
      <c r="J334" s="20" t="n">
        <f aca="false">I334/F334</f>
        <v>1913026.05923233</v>
      </c>
      <c r="K334" s="21" t="n">
        <f aca="false">D334/(D334+E334)</f>
        <v>0.61437908496732</v>
      </c>
      <c r="L334" s="21" t="n">
        <f aca="false">AVERAGEIFS($K$2:$K$2705,$B$2:$B$2705,B334)</f>
        <v>0.500061044154504</v>
      </c>
      <c r="M334" s="21" t="n">
        <f aca="false">K334-L334</f>
        <v>0.114318040812816</v>
      </c>
      <c r="N334" s="21" t="n">
        <f aca="false">LN(J334)</f>
        <v>14.4641968705107</v>
      </c>
      <c r="O334" s="21" t="n">
        <f aca="false">AVERAGEIFS($N$2:$N$2705,$B$2:$B$2705,B334)</f>
        <v>13.5757241492249</v>
      </c>
      <c r="P334" s="21" t="n">
        <f aca="false">N334-O334</f>
        <v>0.888472721285719</v>
      </c>
      <c r="Q334" s="7" t="n">
        <v>0</v>
      </c>
      <c r="R334" s="3" t="n">
        <f aca="false">IF(AND(Q334=1,B334-_xlfn.MINIFS($B$2:$B$2705,$A$2:$A$2705,A334)&lt;10),1,0)</f>
        <v>0</v>
      </c>
      <c r="S334" s="7" t="n">
        <v>0</v>
      </c>
      <c r="T334" s="3" t="n">
        <f aca="false">_xlfn.MINIFS($B$2:$B$2705,$A$2:$A$2705,A334)</f>
        <v>1901</v>
      </c>
      <c r="U334" s="3" t="n">
        <f aca="false">B334-T334</f>
        <v>20</v>
      </c>
      <c r="V334" s="3" t="str">
        <f aca="false">INDEX(Pop_Inputs!$Q$2:$Q$29,MATCH(C334,Pop_Inputs!$A$2:$A$29,0))</f>
        <v>Northeast</v>
      </c>
      <c r="W334" s="30"/>
      <c r="X334" s="3" t="str">
        <f aca="false">IF(W334="","",LN(W334))</f>
        <v/>
      </c>
      <c r="Y334" s="3" t="str">
        <f aca="false">IF(X334="","",X334-AVERAGEIFS($X$2:$X$2705,$B$2:$B$2705,B334))</f>
        <v/>
      </c>
      <c r="Z334" s="21" t="n">
        <f aca="false">P334</f>
        <v>0.888472721285719</v>
      </c>
      <c r="AA334" s="3" t="n">
        <f aca="false">R334</f>
        <v>0</v>
      </c>
      <c r="AB334" s="21" t="n">
        <f aca="false">P334</f>
        <v>0.888472721285719</v>
      </c>
      <c r="AC334" s="3" t="str">
        <f aca="false">Y334</f>
        <v/>
      </c>
      <c r="AD334" s="3" t="n">
        <f aca="false">R334</f>
        <v>0</v>
      </c>
    </row>
    <row r="335" customFormat="false" ht="15" hidden="false" customHeight="true" outlineLevel="0" collapsed="false">
      <c r="A335" s="7" t="s">
        <v>59</v>
      </c>
      <c r="B335" s="7" t="n">
        <v>1921</v>
      </c>
      <c r="C335" s="7" t="s">
        <v>145</v>
      </c>
      <c r="D335" s="7" t="n">
        <v>87</v>
      </c>
      <c r="E335" s="7" t="n">
        <v>66</v>
      </c>
      <c r="F335" s="3" t="n">
        <f aca="false">COUNTIFS($B$2:$B$2705,B335,$C$2:$C$2705,C335)</f>
        <v>2</v>
      </c>
      <c r="G335" s="3" t="n">
        <f aca="false">MIN(INT((MIN(B335,2020)-1900)/10)+1,12)</f>
        <v>3</v>
      </c>
      <c r="H335" s="3" t="n">
        <f aca="false">(MIN(B335,2020)-1900-10*(G335-1))/10</f>
        <v>0.1</v>
      </c>
      <c r="I335" s="20" t="n">
        <f aca="false">EXP(LN(INDEX(Pop_Inputs!$B$2:$N$29,MATCH(C335,Pop_Inputs!$A$2:$A$29,0),G335))*(1-H335)+LN(INDEX(Pop_Inputs!$B$2:$N$29,MATCH(C335,Pop_Inputs!$A$2:$A$29,0),G335+1))*H335)</f>
        <v>777668.535566643</v>
      </c>
      <c r="J335" s="20" t="n">
        <f aca="false">I335/F335</f>
        <v>388834.267783322</v>
      </c>
      <c r="K335" s="21" t="n">
        <f aca="false">D335/(D335+E335)</f>
        <v>0.568627450980392</v>
      </c>
      <c r="L335" s="21" t="n">
        <f aca="false">AVERAGEIFS($K$2:$K$2705,$B$2:$B$2705,B335)</f>
        <v>0.500061044154504</v>
      </c>
      <c r="M335" s="21" t="n">
        <f aca="false">K335-L335</f>
        <v>0.0685664068258882</v>
      </c>
      <c r="N335" s="21" t="n">
        <f aca="false">LN(J335)</f>
        <v>12.8709084849873</v>
      </c>
      <c r="O335" s="21" t="n">
        <f aca="false">AVERAGEIFS($N$2:$N$2705,$B$2:$B$2705,B335)</f>
        <v>13.5757241492249</v>
      </c>
      <c r="P335" s="21" t="n">
        <f aca="false">N335-O335</f>
        <v>-0.704815664237591</v>
      </c>
      <c r="Q335" s="7" t="n">
        <v>0</v>
      </c>
      <c r="R335" s="3" t="n">
        <f aca="false">IF(AND(Q335=1,B335-_xlfn.MINIFS($B$2:$B$2705,$A$2:$A$2705,A335)&lt;10),1,0)</f>
        <v>0</v>
      </c>
      <c r="S335" s="7" t="n">
        <v>0</v>
      </c>
      <c r="T335" s="3" t="n">
        <f aca="false">_xlfn.MINIFS($B$2:$B$2705,$A$2:$A$2705,A335)</f>
        <v>1901</v>
      </c>
      <c r="U335" s="3" t="n">
        <f aca="false">B335-T335</f>
        <v>20</v>
      </c>
      <c r="V335" s="3" t="str">
        <f aca="false">INDEX(Pop_Inputs!$Q$2:$Q$29,MATCH(C335,Pop_Inputs!$A$2:$A$29,0))</f>
        <v>Midwest</v>
      </c>
      <c r="W335" s="30"/>
      <c r="X335" s="3" t="str">
        <f aca="false">IF(W335="","",LN(W335))</f>
        <v/>
      </c>
      <c r="Y335" s="3" t="str">
        <f aca="false">IF(X335="","",X335-AVERAGEIFS($X$2:$X$2705,$B$2:$B$2705,B335))</f>
        <v/>
      </c>
      <c r="Z335" s="21" t="n">
        <f aca="false">P335</f>
        <v>-0.704815664237591</v>
      </c>
      <c r="AA335" s="3" t="n">
        <f aca="false">R335</f>
        <v>0</v>
      </c>
      <c r="AB335" s="21" t="n">
        <f aca="false">P335</f>
        <v>-0.704815664237591</v>
      </c>
      <c r="AC335" s="3" t="str">
        <f aca="false">Y335</f>
        <v/>
      </c>
      <c r="AD335" s="3" t="n">
        <f aca="false">R335</f>
        <v>0</v>
      </c>
    </row>
    <row r="336" customFormat="false" ht="15" hidden="false" customHeight="true" outlineLevel="0" collapsed="false">
      <c r="A336" s="7" t="s">
        <v>54</v>
      </c>
      <c r="B336" s="7" t="n">
        <v>1922</v>
      </c>
      <c r="C336" s="7" t="s">
        <v>150</v>
      </c>
      <c r="D336" s="7" t="n">
        <v>53</v>
      </c>
      <c r="E336" s="7" t="n">
        <v>100</v>
      </c>
      <c r="F336" s="3" t="n">
        <f aca="false">COUNTIFS($B$2:$B$2705,B336,$C$2:$C$2705,C336)</f>
        <v>2</v>
      </c>
      <c r="G336" s="3" t="n">
        <f aca="false">MIN(INT((MIN(B336,2020)-1900)/10)+1,12)</f>
        <v>3</v>
      </c>
      <c r="H336" s="3" t="n">
        <f aca="false">(MIN(B336,2020)-1900-10*(G336-1))/10</f>
        <v>0.2</v>
      </c>
      <c r="I336" s="20" t="n">
        <f aca="false">EXP(LN(INDEX(Pop_Inputs!$B$2:$N$29,MATCH(C336,Pop_Inputs!$A$2:$A$29,0),G336))*(1-H336)+LN(INDEX(Pop_Inputs!$B$2:$N$29,MATCH(C336,Pop_Inputs!$A$2:$A$29,0),G336+1))*H336)</f>
        <v>754571.258572187</v>
      </c>
      <c r="J336" s="20" t="n">
        <f aca="false">I336/F336</f>
        <v>377285.629286093</v>
      </c>
      <c r="K336" s="21" t="n">
        <f aca="false">D336/(D336+E336)</f>
        <v>0.34640522875817</v>
      </c>
      <c r="L336" s="21" t="n">
        <f aca="false">AVERAGEIFS($K$2:$K$2705,$B$2:$B$2705,B336)</f>
        <v>0.499885939224175</v>
      </c>
      <c r="M336" s="21" t="n">
        <f aca="false">K336-L336</f>
        <v>-0.153480710466005</v>
      </c>
      <c r="N336" s="21" t="n">
        <f aca="false">LN(J336)</f>
        <v>12.8407578169315</v>
      </c>
      <c r="O336" s="21" t="n">
        <f aca="false">AVERAGEIFS($N$2:$N$2705,$B$2:$B$2705,B336)</f>
        <v>13.5904221799459</v>
      </c>
      <c r="P336" s="21" t="n">
        <f aca="false">N336-O336</f>
        <v>-0.749664363014425</v>
      </c>
      <c r="Q336" s="7" t="n">
        <v>0</v>
      </c>
      <c r="R336" s="3" t="n">
        <f aca="false">IF(AND(Q336=1,B336-_xlfn.MINIFS($B$2:$B$2705,$A$2:$A$2705,A336)&lt;10),1,0)</f>
        <v>0</v>
      </c>
      <c r="S336" s="7" t="n">
        <v>0</v>
      </c>
      <c r="T336" s="3" t="n">
        <f aca="false">_xlfn.MINIFS($B$2:$B$2705,$A$2:$A$2705,A336)</f>
        <v>1901</v>
      </c>
      <c r="U336" s="3" t="n">
        <f aca="false">B336-T336</f>
        <v>21</v>
      </c>
      <c r="V336" s="3" t="str">
        <f aca="false">INDEX(Pop_Inputs!$Q$2:$Q$29,MATCH(C336,Pop_Inputs!$A$2:$A$29,0))</f>
        <v>Northeast</v>
      </c>
      <c r="W336" s="30"/>
      <c r="X336" s="3" t="str">
        <f aca="false">IF(W336="","",LN(W336))</f>
        <v/>
      </c>
      <c r="Y336" s="3" t="str">
        <f aca="false">IF(X336="","",X336-AVERAGEIFS($X$2:$X$2705,$B$2:$B$2705,B336))</f>
        <v/>
      </c>
      <c r="Z336" s="21" t="n">
        <f aca="false">P336</f>
        <v>-0.749664363014425</v>
      </c>
      <c r="AA336" s="3" t="n">
        <f aca="false">R336</f>
        <v>0</v>
      </c>
      <c r="AB336" s="21" t="n">
        <f aca="false">P336</f>
        <v>-0.749664363014425</v>
      </c>
      <c r="AC336" s="3" t="str">
        <f aca="false">Y336</f>
        <v/>
      </c>
      <c r="AD336" s="3" t="n">
        <f aca="false">R336</f>
        <v>0</v>
      </c>
    </row>
    <row r="337" customFormat="false" ht="15" hidden="false" customHeight="true" outlineLevel="0" collapsed="false">
      <c r="A337" s="7" t="s">
        <v>63</v>
      </c>
      <c r="B337" s="7" t="n">
        <v>1922</v>
      </c>
      <c r="C337" s="7" t="s">
        <v>145</v>
      </c>
      <c r="D337" s="7" t="n">
        <v>93</v>
      </c>
      <c r="E337" s="7" t="n">
        <v>61</v>
      </c>
      <c r="F337" s="3" t="n">
        <f aca="false">COUNTIFS($B$2:$B$2705,B337,$C$2:$C$2705,C337)</f>
        <v>2</v>
      </c>
      <c r="G337" s="3" t="n">
        <f aca="false">MIN(INT((MIN(B337,2020)-1900)/10)+1,12)</f>
        <v>3</v>
      </c>
      <c r="H337" s="3" t="n">
        <f aca="false">(MIN(B337,2020)-1900-10*(G337-1))/10</f>
        <v>0.2</v>
      </c>
      <c r="I337" s="20" t="n">
        <f aca="false">EXP(LN(INDEX(Pop_Inputs!$B$2:$N$29,MATCH(C337,Pop_Inputs!$A$2:$A$29,0),G337))*(1-H337)+LN(INDEX(Pop_Inputs!$B$2:$N$29,MATCH(C337,Pop_Inputs!$A$2:$A$29,0),G337+1))*H337)</f>
        <v>782469.528553437</v>
      </c>
      <c r="J337" s="20" t="n">
        <f aca="false">I337/F337</f>
        <v>391234.764276719</v>
      </c>
      <c r="K337" s="21" t="n">
        <f aca="false">D337/(D337+E337)</f>
        <v>0.603896103896104</v>
      </c>
      <c r="L337" s="21" t="n">
        <f aca="false">AVERAGEIFS($K$2:$K$2705,$B$2:$B$2705,B337)</f>
        <v>0.499885939224175</v>
      </c>
      <c r="M337" s="21" t="n">
        <f aca="false">K337-L337</f>
        <v>0.104010164671929</v>
      </c>
      <c r="N337" s="21" t="n">
        <f aca="false">LN(J337)</f>
        <v>12.8770630789325</v>
      </c>
      <c r="O337" s="21" t="n">
        <f aca="false">AVERAGEIFS($N$2:$N$2705,$B$2:$B$2705,B337)</f>
        <v>13.5904221799459</v>
      </c>
      <c r="P337" s="21" t="n">
        <f aca="false">N337-O337</f>
        <v>-0.713359101013404</v>
      </c>
      <c r="Q337" s="7" t="n">
        <v>0</v>
      </c>
      <c r="R337" s="3" t="n">
        <f aca="false">IF(AND(Q337=1,B337-_xlfn.MINIFS($B$2:$B$2705,$A$2:$A$2705,A337)&lt;10),1,0)</f>
        <v>0</v>
      </c>
      <c r="S337" s="7" t="n">
        <v>0</v>
      </c>
      <c r="T337" s="3" t="n">
        <f aca="false">_xlfn.MINIFS($B$2:$B$2705,$A$2:$A$2705,A337)</f>
        <v>1901</v>
      </c>
      <c r="U337" s="3" t="n">
        <f aca="false">B337-T337</f>
        <v>21</v>
      </c>
      <c r="V337" s="3" t="str">
        <f aca="false">INDEX(Pop_Inputs!$Q$2:$Q$29,MATCH(C337,Pop_Inputs!$A$2:$A$29,0))</f>
        <v>Midwest</v>
      </c>
      <c r="W337" s="30"/>
      <c r="X337" s="3" t="str">
        <f aca="false">IF(W337="","",LN(W337))</f>
        <v/>
      </c>
      <c r="Y337" s="3" t="str">
        <f aca="false">IF(X337="","",X337-AVERAGEIFS($X$2:$X$2705,$B$2:$B$2705,B337))</f>
        <v/>
      </c>
      <c r="Z337" s="21" t="n">
        <f aca="false">P337</f>
        <v>-0.713359101013404</v>
      </c>
      <c r="AA337" s="3" t="n">
        <f aca="false">R337</f>
        <v>0</v>
      </c>
      <c r="AB337" s="21" t="n">
        <f aca="false">P337</f>
        <v>-0.713359101013404</v>
      </c>
      <c r="AC337" s="3" t="str">
        <f aca="false">Y337</f>
        <v/>
      </c>
      <c r="AD337" s="3" t="n">
        <f aca="false">R337</f>
        <v>0</v>
      </c>
    </row>
    <row r="338" customFormat="false" ht="15" hidden="false" customHeight="true" outlineLevel="0" collapsed="false">
      <c r="A338" s="7" t="s">
        <v>64</v>
      </c>
      <c r="B338" s="7" t="n">
        <v>1922</v>
      </c>
      <c r="C338" s="7" t="s">
        <v>150</v>
      </c>
      <c r="D338" s="7" t="n">
        <v>61</v>
      </c>
      <c r="E338" s="7" t="n">
        <v>93</v>
      </c>
      <c r="F338" s="3" t="n">
        <f aca="false">COUNTIFS($B$2:$B$2705,B338,$C$2:$C$2705,C338)</f>
        <v>2</v>
      </c>
      <c r="G338" s="3" t="n">
        <f aca="false">MIN(INT((MIN(B338,2020)-1900)/10)+1,12)</f>
        <v>3</v>
      </c>
      <c r="H338" s="3" t="n">
        <f aca="false">(MIN(B338,2020)-1900-10*(G338-1))/10</f>
        <v>0.2</v>
      </c>
      <c r="I338" s="20" t="n">
        <f aca="false">EXP(LN(INDEX(Pop_Inputs!$B$2:$N$29,MATCH(C338,Pop_Inputs!$A$2:$A$29,0),G338))*(1-H338)+LN(INDEX(Pop_Inputs!$B$2:$N$29,MATCH(C338,Pop_Inputs!$A$2:$A$29,0),G338+1))*H338)</f>
        <v>754571.258572187</v>
      </c>
      <c r="J338" s="20" t="n">
        <f aca="false">I338/F338</f>
        <v>377285.629286093</v>
      </c>
      <c r="K338" s="21" t="n">
        <f aca="false">D338/(D338+E338)</f>
        <v>0.396103896103896</v>
      </c>
      <c r="L338" s="21" t="n">
        <f aca="false">AVERAGEIFS($K$2:$K$2705,$B$2:$B$2705,B338)</f>
        <v>0.499885939224175</v>
      </c>
      <c r="M338" s="21" t="n">
        <f aca="false">K338-L338</f>
        <v>-0.103782043120278</v>
      </c>
      <c r="N338" s="21" t="n">
        <f aca="false">LN(J338)</f>
        <v>12.8407578169315</v>
      </c>
      <c r="O338" s="21" t="n">
        <f aca="false">AVERAGEIFS($N$2:$N$2705,$B$2:$B$2705,B338)</f>
        <v>13.5904221799459</v>
      </c>
      <c r="P338" s="21" t="n">
        <f aca="false">N338-O338</f>
        <v>-0.749664363014425</v>
      </c>
      <c r="Q338" s="7" t="n">
        <v>0</v>
      </c>
      <c r="R338" s="3" t="n">
        <f aca="false">IF(AND(Q338=1,B338-_xlfn.MINIFS($B$2:$B$2705,$A$2:$A$2705,A338)&lt;10),1,0)</f>
        <v>0</v>
      </c>
      <c r="S338" s="7" t="n">
        <v>0</v>
      </c>
      <c r="T338" s="3" t="n">
        <f aca="false">_xlfn.MINIFS($B$2:$B$2705,$A$2:$A$2705,A338)</f>
        <v>1901</v>
      </c>
      <c r="U338" s="3" t="n">
        <f aca="false">B338-T338</f>
        <v>21</v>
      </c>
      <c r="V338" s="3" t="str">
        <f aca="false">INDEX(Pop_Inputs!$Q$2:$Q$29,MATCH(C338,Pop_Inputs!$A$2:$A$29,0))</f>
        <v>Northeast</v>
      </c>
      <c r="W338" s="30"/>
      <c r="X338" s="3" t="str">
        <f aca="false">IF(W338="","",LN(W338))</f>
        <v/>
      </c>
      <c r="Y338" s="3" t="str">
        <f aca="false">IF(X338="","",X338-AVERAGEIFS($X$2:$X$2705,$B$2:$B$2705,B338))</f>
        <v/>
      </c>
      <c r="Z338" s="21" t="n">
        <f aca="false">P338</f>
        <v>-0.749664363014425</v>
      </c>
      <c r="AA338" s="3" t="n">
        <f aca="false">R338</f>
        <v>0</v>
      </c>
      <c r="AB338" s="21" t="n">
        <f aca="false">P338</f>
        <v>-0.749664363014425</v>
      </c>
      <c r="AC338" s="3" t="str">
        <f aca="false">Y338</f>
        <v/>
      </c>
      <c r="AD338" s="3" t="n">
        <f aca="false">R338</f>
        <v>0</v>
      </c>
    </row>
    <row r="339" customFormat="false" ht="15" hidden="false" customHeight="true" outlineLevel="0" collapsed="false">
      <c r="A339" s="7" t="s">
        <v>56</v>
      </c>
      <c r="B339" s="7" t="n">
        <v>1922</v>
      </c>
      <c r="C339" s="7" t="s">
        <v>142</v>
      </c>
      <c r="D339" s="7" t="n">
        <v>80</v>
      </c>
      <c r="E339" s="7" t="n">
        <v>74</v>
      </c>
      <c r="F339" s="3" t="n">
        <f aca="false">COUNTIFS($B$2:$B$2705,B339,$C$2:$C$2705,C339)</f>
        <v>2</v>
      </c>
      <c r="G339" s="3" t="n">
        <f aca="false">MIN(INT((MIN(B339,2020)-1900)/10)+1,12)</f>
        <v>3</v>
      </c>
      <c r="H339" s="3" t="n">
        <f aca="false">(MIN(B339,2020)-1900-10*(G339-1))/10</f>
        <v>0.2</v>
      </c>
      <c r="I339" s="20" t="n">
        <f aca="false">EXP(LN(INDEX(Pop_Inputs!$B$2:$N$29,MATCH(C339,Pop_Inputs!$A$2:$A$29,0),G339))*(1-H339)+LN(INDEX(Pop_Inputs!$B$2:$N$29,MATCH(C339,Pop_Inputs!$A$2:$A$29,0),G339+1))*H339)</f>
        <v>2824893.61556983</v>
      </c>
      <c r="J339" s="20" t="n">
        <f aca="false">I339/F339</f>
        <v>1412446.80778491</v>
      </c>
      <c r="K339" s="21" t="n">
        <f aca="false">D339/(D339+E339)</f>
        <v>0.519480519480519</v>
      </c>
      <c r="L339" s="21" t="n">
        <f aca="false">AVERAGEIFS($K$2:$K$2705,$B$2:$B$2705,B339)</f>
        <v>0.499885939224175</v>
      </c>
      <c r="M339" s="21" t="n">
        <f aca="false">K339-L339</f>
        <v>0.0195945802563449</v>
      </c>
      <c r="N339" s="21" t="n">
        <f aca="false">LN(J339)</f>
        <v>14.1608340830883</v>
      </c>
      <c r="O339" s="21" t="n">
        <f aca="false">AVERAGEIFS($N$2:$N$2705,$B$2:$B$2705,B339)</f>
        <v>13.5904221799459</v>
      </c>
      <c r="P339" s="21" t="n">
        <f aca="false">N339-O339</f>
        <v>0.570411903142363</v>
      </c>
      <c r="Q339" s="7" t="n">
        <v>0</v>
      </c>
      <c r="R339" s="3" t="n">
        <f aca="false">IF(AND(Q339=1,B339-_xlfn.MINIFS($B$2:$B$2705,$A$2:$A$2705,A339)&lt;10),1,0)</f>
        <v>0</v>
      </c>
      <c r="S339" s="7" t="n">
        <v>0</v>
      </c>
      <c r="T339" s="3" t="n">
        <f aca="false">_xlfn.MINIFS($B$2:$B$2705,$A$2:$A$2705,A339)</f>
        <v>1901</v>
      </c>
      <c r="U339" s="3" t="n">
        <f aca="false">B339-T339</f>
        <v>21</v>
      </c>
      <c r="V339" s="3" t="str">
        <f aca="false">INDEX(Pop_Inputs!$Q$2:$Q$29,MATCH(C339,Pop_Inputs!$A$2:$A$29,0))</f>
        <v>Midwest</v>
      </c>
      <c r="W339" s="30"/>
      <c r="X339" s="3" t="str">
        <f aca="false">IF(W339="","",LN(W339))</f>
        <v/>
      </c>
      <c r="Y339" s="3" t="str">
        <f aca="false">IF(X339="","",X339-AVERAGEIFS($X$2:$X$2705,$B$2:$B$2705,B339))</f>
        <v/>
      </c>
      <c r="Z339" s="21" t="n">
        <f aca="false">P339</f>
        <v>0.570411903142363</v>
      </c>
      <c r="AA339" s="3" t="n">
        <f aca="false">R339</f>
        <v>0</v>
      </c>
      <c r="AB339" s="21" t="n">
        <f aca="false">P339</f>
        <v>0.570411903142363</v>
      </c>
      <c r="AC339" s="3" t="str">
        <f aca="false">Y339</f>
        <v/>
      </c>
      <c r="AD339" s="3" t="n">
        <f aca="false">R339</f>
        <v>0</v>
      </c>
    </row>
    <row r="340" customFormat="false" ht="15" hidden="false" customHeight="true" outlineLevel="0" collapsed="false">
      <c r="A340" s="7" t="s">
        <v>65</v>
      </c>
      <c r="B340" s="7" t="n">
        <v>1922</v>
      </c>
      <c r="C340" s="7" t="s">
        <v>142</v>
      </c>
      <c r="D340" s="7" t="n">
        <v>77</v>
      </c>
      <c r="E340" s="7" t="n">
        <v>77</v>
      </c>
      <c r="F340" s="3" t="n">
        <f aca="false">COUNTIFS($B$2:$B$2705,B340,$C$2:$C$2705,C340)</f>
        <v>2</v>
      </c>
      <c r="G340" s="3" t="n">
        <f aca="false">MIN(INT((MIN(B340,2020)-1900)/10)+1,12)</f>
        <v>3</v>
      </c>
      <c r="H340" s="3" t="n">
        <f aca="false">(MIN(B340,2020)-1900-10*(G340-1))/10</f>
        <v>0.2</v>
      </c>
      <c r="I340" s="20" t="n">
        <f aca="false">EXP(LN(INDEX(Pop_Inputs!$B$2:$N$29,MATCH(C340,Pop_Inputs!$A$2:$A$29,0),G340))*(1-H340)+LN(INDEX(Pop_Inputs!$B$2:$N$29,MATCH(C340,Pop_Inputs!$A$2:$A$29,0),G340+1))*H340)</f>
        <v>2824893.61556983</v>
      </c>
      <c r="J340" s="20" t="n">
        <f aca="false">I340/F340</f>
        <v>1412446.80778491</v>
      </c>
      <c r="K340" s="21" t="n">
        <f aca="false">D340/(D340+E340)</f>
        <v>0.5</v>
      </c>
      <c r="L340" s="21" t="n">
        <f aca="false">AVERAGEIFS($K$2:$K$2705,$B$2:$B$2705,B340)</f>
        <v>0.499885939224175</v>
      </c>
      <c r="M340" s="21" t="n">
        <f aca="false">K340-L340</f>
        <v>0.000114060775825486</v>
      </c>
      <c r="N340" s="21" t="n">
        <f aca="false">LN(J340)</f>
        <v>14.1608340830883</v>
      </c>
      <c r="O340" s="21" t="n">
        <f aca="false">AVERAGEIFS($N$2:$N$2705,$B$2:$B$2705,B340)</f>
        <v>13.5904221799459</v>
      </c>
      <c r="P340" s="21" t="n">
        <f aca="false">N340-O340</f>
        <v>0.570411903142363</v>
      </c>
      <c r="Q340" s="7" t="n">
        <v>0</v>
      </c>
      <c r="R340" s="3" t="n">
        <f aca="false">IF(AND(Q340=1,B340-_xlfn.MINIFS($B$2:$B$2705,$A$2:$A$2705,A340)&lt;10),1,0)</f>
        <v>0</v>
      </c>
      <c r="S340" s="7" t="n">
        <v>0</v>
      </c>
      <c r="T340" s="3" t="n">
        <f aca="false">_xlfn.MINIFS($B$2:$B$2705,$A$2:$A$2705,A340)</f>
        <v>1901</v>
      </c>
      <c r="U340" s="3" t="n">
        <f aca="false">B340-T340</f>
        <v>21</v>
      </c>
      <c r="V340" s="3" t="str">
        <f aca="false">INDEX(Pop_Inputs!$Q$2:$Q$29,MATCH(C340,Pop_Inputs!$A$2:$A$29,0))</f>
        <v>Midwest</v>
      </c>
      <c r="W340" s="30"/>
      <c r="X340" s="3" t="str">
        <f aca="false">IF(W340="","",LN(W340))</f>
        <v/>
      </c>
      <c r="Y340" s="3" t="str">
        <f aca="false">IF(X340="","",X340-AVERAGEIFS($X$2:$X$2705,$B$2:$B$2705,B340))</f>
        <v/>
      </c>
      <c r="Z340" s="21" t="n">
        <f aca="false">P340</f>
        <v>0.570411903142363</v>
      </c>
      <c r="AA340" s="3" t="n">
        <f aca="false">R340</f>
        <v>0</v>
      </c>
      <c r="AB340" s="21" t="n">
        <f aca="false">P340</f>
        <v>0.570411903142363</v>
      </c>
      <c r="AC340" s="3" t="str">
        <f aca="false">Y340</f>
        <v/>
      </c>
      <c r="AD340" s="3" t="n">
        <f aca="false">R340</f>
        <v>0</v>
      </c>
    </row>
    <row r="341" customFormat="false" ht="15" hidden="false" customHeight="true" outlineLevel="0" collapsed="false">
      <c r="A341" s="7" t="s">
        <v>57</v>
      </c>
      <c r="B341" s="7" t="n">
        <v>1922</v>
      </c>
      <c r="C341" s="7" t="s">
        <v>143</v>
      </c>
      <c r="D341" s="7" t="n">
        <v>86</v>
      </c>
      <c r="E341" s="7" t="n">
        <v>68</v>
      </c>
      <c r="F341" s="3" t="n">
        <f aca="false">COUNTIFS($B$2:$B$2705,B341,$C$2:$C$2705,C341)</f>
        <v>1</v>
      </c>
      <c r="G341" s="3" t="n">
        <f aca="false">MIN(INT((MIN(B341,2020)-1900)/10)+1,12)</f>
        <v>3</v>
      </c>
      <c r="H341" s="3" t="n">
        <f aca="false">(MIN(B341,2020)-1900-10*(G341-1))/10</f>
        <v>0.2</v>
      </c>
      <c r="I341" s="20" t="n">
        <f aca="false">EXP(LN(INDEX(Pop_Inputs!$B$2:$N$29,MATCH(C341,Pop_Inputs!$A$2:$A$29,0),G341))*(1-H341)+LN(INDEX(Pop_Inputs!$B$2:$N$29,MATCH(C341,Pop_Inputs!$A$2:$A$29,0),G341+1))*H341)</f>
        <v>410767.009534972</v>
      </c>
      <c r="J341" s="20" t="n">
        <f aca="false">I341/F341</f>
        <v>410767.009534972</v>
      </c>
      <c r="K341" s="21" t="n">
        <f aca="false">D341/(D341+E341)</f>
        <v>0.558441558441558</v>
      </c>
      <c r="L341" s="21" t="n">
        <f aca="false">AVERAGEIFS($K$2:$K$2705,$B$2:$B$2705,B341)</f>
        <v>0.499885939224175</v>
      </c>
      <c r="M341" s="21" t="n">
        <f aca="false">K341-L341</f>
        <v>0.0585556192173839</v>
      </c>
      <c r="N341" s="21" t="n">
        <f aca="false">LN(J341)</f>
        <v>12.9257814459611</v>
      </c>
      <c r="O341" s="21" t="n">
        <f aca="false">AVERAGEIFS($N$2:$N$2705,$B$2:$B$2705,B341)</f>
        <v>13.5904221799459</v>
      </c>
      <c r="P341" s="21" t="n">
        <f aca="false">N341-O341</f>
        <v>-0.664640733984822</v>
      </c>
      <c r="Q341" s="7" t="n">
        <v>0</v>
      </c>
      <c r="R341" s="3" t="n">
        <f aca="false">IF(AND(Q341=1,B341-_xlfn.MINIFS($B$2:$B$2705,$A$2:$A$2705,A341)&lt;10),1,0)</f>
        <v>0</v>
      </c>
      <c r="S341" s="7" t="n">
        <v>0</v>
      </c>
      <c r="T341" s="3" t="n">
        <f aca="false">_xlfn.MINIFS($B$2:$B$2705,$A$2:$A$2705,A341)</f>
        <v>1901</v>
      </c>
      <c r="U341" s="3" t="n">
        <f aca="false">B341-T341</f>
        <v>21</v>
      </c>
      <c r="V341" s="3" t="str">
        <f aca="false">INDEX(Pop_Inputs!$Q$2:$Q$29,MATCH(C341,Pop_Inputs!$A$2:$A$29,0))</f>
        <v>Midwest</v>
      </c>
      <c r="W341" s="30"/>
      <c r="X341" s="3" t="str">
        <f aca="false">IF(W341="","",LN(W341))</f>
        <v/>
      </c>
      <c r="Y341" s="3" t="str">
        <f aca="false">IF(X341="","",X341-AVERAGEIFS($X$2:$X$2705,$B$2:$B$2705,B341))</f>
        <v/>
      </c>
      <c r="Z341" s="21" t="n">
        <f aca="false">P341</f>
        <v>-0.664640733984822</v>
      </c>
      <c r="AA341" s="3" t="n">
        <f aca="false">R341</f>
        <v>0</v>
      </c>
      <c r="AB341" s="21" t="n">
        <f aca="false">P341</f>
        <v>-0.664640733984822</v>
      </c>
      <c r="AC341" s="3" t="str">
        <f aca="false">Y341</f>
        <v/>
      </c>
      <c r="AD341" s="3" t="n">
        <f aca="false">R341</f>
        <v>0</v>
      </c>
    </row>
    <row r="342" customFormat="false" ht="15" hidden="false" customHeight="true" outlineLevel="0" collapsed="false">
      <c r="A342" s="7" t="s">
        <v>66</v>
      </c>
      <c r="B342" s="7" t="n">
        <v>1922</v>
      </c>
      <c r="C342" s="7" t="s">
        <v>151</v>
      </c>
      <c r="D342" s="7" t="n">
        <v>78</v>
      </c>
      <c r="E342" s="7" t="n">
        <v>76</v>
      </c>
      <c r="F342" s="3" t="n">
        <f aca="false">COUNTIFS($B$2:$B$2705,B342,$C$2:$C$2705,C342)</f>
        <v>1</v>
      </c>
      <c r="G342" s="3" t="n">
        <f aca="false">MIN(INT((MIN(B342,2020)-1900)/10)+1,12)</f>
        <v>3</v>
      </c>
      <c r="H342" s="3" t="n">
        <f aca="false">(MIN(B342,2020)-1900-10*(G342-1))/10</f>
        <v>0.2</v>
      </c>
      <c r="I342" s="20" t="n">
        <f aca="false">EXP(LN(INDEX(Pop_Inputs!$B$2:$N$29,MATCH(C342,Pop_Inputs!$A$2:$A$29,0),G342))*(1-H342)+LN(INDEX(Pop_Inputs!$B$2:$N$29,MATCH(C342,Pop_Inputs!$A$2:$A$29,0),G342+1))*H342)</f>
        <v>816558.365089256</v>
      </c>
      <c r="J342" s="20" t="n">
        <f aca="false">I342/F342</f>
        <v>816558.365089256</v>
      </c>
      <c r="K342" s="21" t="n">
        <f aca="false">D342/(D342+E342)</f>
        <v>0.506493506493506</v>
      </c>
      <c r="L342" s="21" t="n">
        <f aca="false">AVERAGEIFS($K$2:$K$2705,$B$2:$B$2705,B342)</f>
        <v>0.499885939224175</v>
      </c>
      <c r="M342" s="21" t="n">
        <f aca="false">K342-L342</f>
        <v>0.00660756726933193</v>
      </c>
      <c r="N342" s="21" t="n">
        <f aca="false">LN(J342)</f>
        <v>13.6128536708823</v>
      </c>
      <c r="O342" s="21" t="n">
        <f aca="false">AVERAGEIFS($N$2:$N$2705,$B$2:$B$2705,B342)</f>
        <v>13.5904221799459</v>
      </c>
      <c r="P342" s="21" t="n">
        <f aca="false">N342-O342</f>
        <v>0.0224314909364303</v>
      </c>
      <c r="Q342" s="7" t="n">
        <v>0</v>
      </c>
      <c r="R342" s="3" t="n">
        <f aca="false">IF(AND(Q342=1,B342-_xlfn.MINIFS($B$2:$B$2705,$A$2:$A$2705,A342)&lt;10),1,0)</f>
        <v>0</v>
      </c>
      <c r="S342" s="7" t="n">
        <v>0</v>
      </c>
      <c r="T342" s="3" t="n">
        <f aca="false">_xlfn.MINIFS($B$2:$B$2705,$A$2:$A$2705,A342)</f>
        <v>1901</v>
      </c>
      <c r="U342" s="3" t="n">
        <f aca="false">B342-T342</f>
        <v>21</v>
      </c>
      <c r="V342" s="3" t="str">
        <f aca="false">INDEX(Pop_Inputs!$Q$2:$Q$29,MATCH(C342,Pop_Inputs!$A$2:$A$29,0))</f>
        <v>Midwest</v>
      </c>
      <c r="W342" s="30"/>
      <c r="X342" s="3" t="str">
        <f aca="false">IF(W342="","",LN(W342))</f>
        <v/>
      </c>
      <c r="Y342" s="3" t="str">
        <f aca="false">IF(X342="","",X342-AVERAGEIFS($X$2:$X$2705,$B$2:$B$2705,B342))</f>
        <v/>
      </c>
      <c r="Z342" s="21" t="n">
        <f aca="false">P342</f>
        <v>0.0224314909364303</v>
      </c>
      <c r="AA342" s="3" t="n">
        <f aca="false">R342</f>
        <v>0</v>
      </c>
      <c r="AB342" s="21" t="n">
        <f aca="false">P342</f>
        <v>0.0224314909364303</v>
      </c>
      <c r="AC342" s="3" t="str">
        <f aca="false">Y342</f>
        <v/>
      </c>
      <c r="AD342" s="3" t="n">
        <f aca="false">R342</f>
        <v>0</v>
      </c>
    </row>
    <row r="343" customFormat="false" ht="15" hidden="false" customHeight="true" outlineLevel="0" collapsed="false">
      <c r="A343" s="7" t="s">
        <v>67</v>
      </c>
      <c r="B343" s="7" t="n">
        <v>1922</v>
      </c>
      <c r="C343" s="7" t="s">
        <v>152</v>
      </c>
      <c r="D343" s="7" t="n">
        <v>79</v>
      </c>
      <c r="E343" s="7" t="n">
        <v>75</v>
      </c>
      <c r="F343" s="3" t="n">
        <f aca="false">COUNTIFS($B$2:$B$2705,B343,$C$2:$C$2705,C343)</f>
        <v>1</v>
      </c>
      <c r="G343" s="3" t="n">
        <f aca="false">MIN(INT((MIN(B343,2020)-1900)/10)+1,12)</f>
        <v>3</v>
      </c>
      <c r="H343" s="3" t="n">
        <f aca="false">(MIN(B343,2020)-1900-10*(G343-1))/10</f>
        <v>0.2</v>
      </c>
      <c r="I343" s="20" t="n">
        <f aca="false">EXP(LN(INDEX(Pop_Inputs!$B$2:$N$29,MATCH(C343,Pop_Inputs!$A$2:$A$29,0),G343))*(1-H343)+LN(INDEX(Pop_Inputs!$B$2:$N$29,MATCH(C343,Pop_Inputs!$A$2:$A$29,0),G343+1))*H343)</f>
        <v>1088685.44054374</v>
      </c>
      <c r="J343" s="20" t="n">
        <f aca="false">I343/F343</f>
        <v>1088685.44054374</v>
      </c>
      <c r="K343" s="21" t="n">
        <f aca="false">D343/(D343+E343)</f>
        <v>0.512987012987013</v>
      </c>
      <c r="L343" s="21" t="n">
        <f aca="false">AVERAGEIFS($K$2:$K$2705,$B$2:$B$2705,B343)</f>
        <v>0.499885939224175</v>
      </c>
      <c r="M343" s="21" t="n">
        <f aca="false">K343-L343</f>
        <v>0.0131010737628385</v>
      </c>
      <c r="N343" s="21" t="n">
        <f aca="false">LN(J343)</f>
        <v>13.9004815085308</v>
      </c>
      <c r="O343" s="21" t="n">
        <f aca="false">AVERAGEIFS($N$2:$N$2705,$B$2:$B$2705,B343)</f>
        <v>13.5904221799459</v>
      </c>
      <c r="P343" s="21" t="n">
        <f aca="false">N343-O343</f>
        <v>0.310059328584872</v>
      </c>
      <c r="Q343" s="7" t="n">
        <v>0</v>
      </c>
      <c r="R343" s="3" t="n">
        <f aca="false">IF(AND(Q343=1,B343-_xlfn.MINIFS($B$2:$B$2705,$A$2:$A$2705,A343)&lt;10),1,0)</f>
        <v>0</v>
      </c>
      <c r="S343" s="7" t="n">
        <v>0</v>
      </c>
      <c r="T343" s="3" t="n">
        <f aca="false">_xlfn.MINIFS($B$2:$B$2705,$A$2:$A$2705,A343)</f>
        <v>1901</v>
      </c>
      <c r="U343" s="3" t="n">
        <f aca="false">B343-T343</f>
        <v>21</v>
      </c>
      <c r="V343" s="3" t="str">
        <f aca="false">INDEX(Pop_Inputs!$Q$2:$Q$29,MATCH(C343,Pop_Inputs!$A$2:$A$29,0))</f>
        <v>Midwest</v>
      </c>
      <c r="W343" s="30"/>
      <c r="X343" s="3" t="str">
        <f aca="false">IF(W343="","",LN(W343))</f>
        <v/>
      </c>
      <c r="Y343" s="3" t="str">
        <f aca="false">IF(X343="","",X343-AVERAGEIFS($X$2:$X$2705,$B$2:$B$2705,B343))</f>
        <v/>
      </c>
      <c r="Z343" s="21" t="n">
        <f aca="false">P343</f>
        <v>0.310059328584872</v>
      </c>
      <c r="AA343" s="3" t="n">
        <f aca="false">R343</f>
        <v>0</v>
      </c>
      <c r="AB343" s="21" t="n">
        <f aca="false">P343</f>
        <v>0.310059328584872</v>
      </c>
      <c r="AC343" s="3" t="str">
        <f aca="false">Y343</f>
        <v/>
      </c>
      <c r="AD343" s="3" t="n">
        <f aca="false">R343</f>
        <v>0</v>
      </c>
    </row>
    <row r="344" customFormat="false" ht="15" hidden="false" customHeight="true" outlineLevel="0" collapsed="false">
      <c r="A344" s="7" t="s">
        <v>62</v>
      </c>
      <c r="B344" s="7" t="n">
        <v>1922</v>
      </c>
      <c r="C344" s="7" t="s">
        <v>154</v>
      </c>
      <c r="D344" s="7" t="n">
        <v>76</v>
      </c>
      <c r="E344" s="7" t="n">
        <v>78</v>
      </c>
      <c r="F344" s="3" t="n">
        <f aca="false">COUNTIFS($B$2:$B$2705,B344,$C$2:$C$2705,C344)</f>
        <v>3</v>
      </c>
      <c r="G344" s="3" t="n">
        <f aca="false">MIN(INT((MIN(B344,2020)-1900)/10)+1,12)</f>
        <v>3</v>
      </c>
      <c r="H344" s="3" t="n">
        <f aca="false">(MIN(B344,2020)-1900-10*(G344-1))/10</f>
        <v>0.2</v>
      </c>
      <c r="I344" s="20" t="n">
        <f aca="false">EXP(LN(INDEX(Pop_Inputs!$B$2:$N$29,MATCH(C344,Pop_Inputs!$A$2:$A$29,0),G344))*(1-H344)+LN(INDEX(Pop_Inputs!$B$2:$N$29,MATCH(C344,Pop_Inputs!$A$2:$A$29,0),G344+1))*H344)</f>
        <v>5860629.36290184</v>
      </c>
      <c r="J344" s="20" t="n">
        <f aca="false">I344/F344</f>
        <v>1953543.12096728</v>
      </c>
      <c r="K344" s="21" t="n">
        <f aca="false">D344/(D344+E344)</f>
        <v>0.493506493506494</v>
      </c>
      <c r="L344" s="21" t="n">
        <f aca="false">AVERAGEIFS($K$2:$K$2705,$B$2:$B$2705,B344)</f>
        <v>0.499885939224175</v>
      </c>
      <c r="M344" s="21" t="n">
        <f aca="false">K344-L344</f>
        <v>-0.00637944571768101</v>
      </c>
      <c r="N344" s="21" t="n">
        <f aca="false">LN(J344)</f>
        <v>14.4851552669307</v>
      </c>
      <c r="O344" s="21" t="n">
        <f aca="false">AVERAGEIFS($N$2:$N$2705,$B$2:$B$2705,B344)</f>
        <v>13.5904221799459</v>
      </c>
      <c r="P344" s="21" t="n">
        <f aca="false">N344-O344</f>
        <v>0.894733086984829</v>
      </c>
      <c r="Q344" s="7" t="n">
        <v>0</v>
      </c>
      <c r="R344" s="3" t="n">
        <f aca="false">IF(AND(Q344=1,B344-_xlfn.MINIFS($B$2:$B$2705,$A$2:$A$2705,A344)&lt;10),1,0)</f>
        <v>0</v>
      </c>
      <c r="S344" s="7" t="n">
        <v>0</v>
      </c>
      <c r="T344" s="3" t="n">
        <f aca="false">_xlfn.MINIFS($B$2:$B$2705,$A$2:$A$2705,A344)</f>
        <v>1901</v>
      </c>
      <c r="U344" s="3" t="n">
        <f aca="false">B344-T344</f>
        <v>21</v>
      </c>
      <c r="V344" s="3" t="str">
        <f aca="false">INDEX(Pop_Inputs!$Q$2:$Q$29,MATCH(C344,Pop_Inputs!$A$2:$A$29,0))</f>
        <v>Northeast</v>
      </c>
      <c r="W344" s="30"/>
      <c r="X344" s="3" t="str">
        <f aca="false">IF(W344="","",LN(W344))</f>
        <v/>
      </c>
      <c r="Y344" s="3" t="str">
        <f aca="false">IF(X344="","",X344-AVERAGEIFS($X$2:$X$2705,$B$2:$B$2705,B344))</f>
        <v/>
      </c>
      <c r="Z344" s="21" t="n">
        <f aca="false">P344</f>
        <v>0.894733086984829</v>
      </c>
      <c r="AA344" s="3" t="n">
        <f aca="false">R344</f>
        <v>0</v>
      </c>
      <c r="AB344" s="21" t="n">
        <f aca="false">P344</f>
        <v>0.894733086984829</v>
      </c>
      <c r="AC344" s="3" t="str">
        <f aca="false">Y344</f>
        <v/>
      </c>
      <c r="AD344" s="3" t="n">
        <f aca="false">R344</f>
        <v>0</v>
      </c>
    </row>
    <row r="345" customFormat="false" ht="15" hidden="false" customHeight="true" outlineLevel="0" collapsed="false">
      <c r="A345" s="7" t="s">
        <v>68</v>
      </c>
      <c r="B345" s="7" t="n">
        <v>1922</v>
      </c>
      <c r="C345" s="7" t="s">
        <v>160</v>
      </c>
      <c r="D345" s="7" t="n">
        <v>69</v>
      </c>
      <c r="E345" s="7" t="n">
        <v>85</v>
      </c>
      <c r="F345" s="3" t="n">
        <f aca="false">COUNTIFS($B$2:$B$2705,B345,$C$2:$C$2705,C345)</f>
        <v>1</v>
      </c>
      <c r="G345" s="3" t="n">
        <f aca="false">MIN(INT((MIN(B345,2020)-1900)/10)+1,12)</f>
        <v>3</v>
      </c>
      <c r="H345" s="3" t="n">
        <f aca="false">(MIN(B345,2020)-1900-10*(G345-1))/10</f>
        <v>0.2</v>
      </c>
      <c r="I345" s="20" t="n">
        <f aca="false">EXP(LN(INDEX(Pop_Inputs!$B$2:$N$29,MATCH(C345,Pop_Inputs!$A$2:$A$29,0),G345))*(1-H345)+LN(INDEX(Pop_Inputs!$B$2:$N$29,MATCH(C345,Pop_Inputs!$A$2:$A$29,0),G345+1))*H345)</f>
        <v>447014.128406535</v>
      </c>
      <c r="J345" s="20" t="n">
        <f aca="false">I345/F345</f>
        <v>447014.128406535</v>
      </c>
      <c r="K345" s="21" t="n">
        <f aca="false">D345/(D345+E345)</f>
        <v>0.448051948051948</v>
      </c>
      <c r="L345" s="21" t="n">
        <f aca="false">AVERAGEIFS($K$2:$K$2705,$B$2:$B$2705,B345)</f>
        <v>0.499885939224175</v>
      </c>
      <c r="M345" s="21" t="n">
        <f aca="false">K345-L345</f>
        <v>-0.0518339911722265</v>
      </c>
      <c r="N345" s="21" t="n">
        <f aca="false">LN(J345)</f>
        <v>13.0103454802697</v>
      </c>
      <c r="O345" s="21" t="n">
        <f aca="false">AVERAGEIFS($N$2:$N$2705,$B$2:$B$2705,B345)</f>
        <v>13.5904221799459</v>
      </c>
      <c r="P345" s="21" t="n">
        <f aca="false">N345-O345</f>
        <v>-0.580076699676246</v>
      </c>
      <c r="Q345" s="7" t="n">
        <v>0</v>
      </c>
      <c r="R345" s="3" t="n">
        <f aca="false">IF(AND(Q345=1,B345-_xlfn.MINIFS($B$2:$B$2705,$A$2:$A$2705,A345)&lt;10),1,0)</f>
        <v>0</v>
      </c>
      <c r="S345" s="7" t="n">
        <v>0</v>
      </c>
      <c r="T345" s="3" t="n">
        <f aca="false">_xlfn.MINIFS($B$2:$B$2705,$A$2:$A$2705,A345)</f>
        <v>1901</v>
      </c>
      <c r="U345" s="3" t="n">
        <f aca="false">B345-T345</f>
        <v>21</v>
      </c>
      <c r="V345" s="3" t="str">
        <f aca="false">INDEX(Pop_Inputs!$Q$2:$Q$29,MATCH(C345,Pop_Inputs!$A$2:$A$29,0))</f>
        <v>South</v>
      </c>
      <c r="W345" s="30"/>
      <c r="X345" s="3" t="str">
        <f aca="false">IF(W345="","",LN(W345))</f>
        <v/>
      </c>
      <c r="Y345" s="3" t="str">
        <f aca="false">IF(X345="","",X345-AVERAGEIFS($X$2:$X$2705,$B$2:$B$2705,B345))</f>
        <v/>
      </c>
      <c r="Z345" s="21" t="n">
        <f aca="false">P345</f>
        <v>-0.580076699676246</v>
      </c>
      <c r="AA345" s="3" t="n">
        <f aca="false">R345</f>
        <v>0</v>
      </c>
      <c r="AB345" s="21" t="n">
        <f aca="false">P345</f>
        <v>-0.580076699676246</v>
      </c>
      <c r="AC345" s="3" t="str">
        <f aca="false">Y345</f>
        <v/>
      </c>
      <c r="AD345" s="3" t="n">
        <f aca="false">R345</f>
        <v>0</v>
      </c>
    </row>
    <row r="346" customFormat="false" ht="15" hidden="false" customHeight="true" outlineLevel="0" collapsed="false">
      <c r="A346" s="7" t="s">
        <v>70</v>
      </c>
      <c r="B346" s="7" t="n">
        <v>1922</v>
      </c>
      <c r="C346" s="7" t="s">
        <v>154</v>
      </c>
      <c r="D346" s="7" t="n">
        <v>94</v>
      </c>
      <c r="E346" s="7" t="n">
        <v>60</v>
      </c>
      <c r="F346" s="3" t="n">
        <f aca="false">COUNTIFS($B$2:$B$2705,B346,$C$2:$C$2705,C346)</f>
        <v>3</v>
      </c>
      <c r="G346" s="3" t="n">
        <f aca="false">MIN(INT((MIN(B346,2020)-1900)/10)+1,12)</f>
        <v>3</v>
      </c>
      <c r="H346" s="3" t="n">
        <f aca="false">(MIN(B346,2020)-1900-10*(G346-1))/10</f>
        <v>0.2</v>
      </c>
      <c r="I346" s="20" t="n">
        <f aca="false">EXP(LN(INDEX(Pop_Inputs!$B$2:$N$29,MATCH(C346,Pop_Inputs!$A$2:$A$29,0),G346))*(1-H346)+LN(INDEX(Pop_Inputs!$B$2:$N$29,MATCH(C346,Pop_Inputs!$A$2:$A$29,0),G346+1))*H346)</f>
        <v>5860629.36290184</v>
      </c>
      <c r="J346" s="20" t="n">
        <f aca="false">I346/F346</f>
        <v>1953543.12096728</v>
      </c>
      <c r="K346" s="21" t="n">
        <f aca="false">D346/(D346+E346)</f>
        <v>0.61038961038961</v>
      </c>
      <c r="L346" s="21" t="n">
        <f aca="false">AVERAGEIFS($K$2:$K$2705,$B$2:$B$2705,B346)</f>
        <v>0.499885939224175</v>
      </c>
      <c r="M346" s="21" t="n">
        <f aca="false">K346-L346</f>
        <v>0.110503671165436</v>
      </c>
      <c r="N346" s="21" t="n">
        <f aca="false">LN(J346)</f>
        <v>14.4851552669307</v>
      </c>
      <c r="O346" s="21" t="n">
        <f aca="false">AVERAGEIFS($N$2:$N$2705,$B$2:$B$2705,B346)</f>
        <v>13.5904221799459</v>
      </c>
      <c r="P346" s="21" t="n">
        <f aca="false">N346-O346</f>
        <v>0.894733086984829</v>
      </c>
      <c r="Q346" s="7" t="n">
        <v>0</v>
      </c>
      <c r="R346" s="3" t="n">
        <f aca="false">IF(AND(Q346=1,B346-_xlfn.MINIFS($B$2:$B$2705,$A$2:$A$2705,A346)&lt;10),1,0)</f>
        <v>0</v>
      </c>
      <c r="S346" s="7" t="n">
        <v>1</v>
      </c>
      <c r="T346" s="3" t="n">
        <f aca="false">_xlfn.MINIFS($B$2:$B$2705,$A$2:$A$2705,A346)</f>
        <v>1903</v>
      </c>
      <c r="U346" s="3" t="n">
        <f aca="false">B346-T346</f>
        <v>19</v>
      </c>
      <c r="V346" s="3" t="str">
        <f aca="false">INDEX(Pop_Inputs!$Q$2:$Q$29,MATCH(C346,Pop_Inputs!$A$2:$A$29,0))</f>
        <v>Northeast</v>
      </c>
      <c r="W346" s="30"/>
      <c r="X346" s="3" t="str">
        <f aca="false">IF(W346="","",LN(W346))</f>
        <v/>
      </c>
      <c r="Y346" s="3" t="str">
        <f aca="false">IF(X346="","",X346-AVERAGEIFS($X$2:$X$2705,$B$2:$B$2705,B346))</f>
        <v/>
      </c>
      <c r="Z346" s="21" t="n">
        <f aca="false">P346</f>
        <v>0.894733086984829</v>
      </c>
      <c r="AA346" s="3" t="n">
        <f aca="false">R346</f>
        <v>0</v>
      </c>
      <c r="AB346" s="21" t="n">
        <f aca="false">P346</f>
        <v>0.894733086984829</v>
      </c>
      <c r="AC346" s="3" t="str">
        <f aca="false">Y346</f>
        <v/>
      </c>
      <c r="AD346" s="3" t="n">
        <f aca="false">R346</f>
        <v>0</v>
      </c>
    </row>
    <row r="347" customFormat="false" ht="15" hidden="false" customHeight="true" outlineLevel="0" collapsed="false">
      <c r="A347" s="7" t="s">
        <v>69</v>
      </c>
      <c r="B347" s="7" t="n">
        <v>1922</v>
      </c>
      <c r="C347" s="7" t="s">
        <v>146</v>
      </c>
      <c r="D347" s="7" t="n">
        <v>65</v>
      </c>
      <c r="E347" s="7" t="n">
        <v>89</v>
      </c>
      <c r="F347" s="3" t="n">
        <f aca="false">COUNTIFS($B$2:$B$2705,B347,$C$2:$C$2705,C347)</f>
        <v>2</v>
      </c>
      <c r="G347" s="3" t="n">
        <f aca="false">MIN(INT((MIN(B347,2020)-1900)/10)+1,12)</f>
        <v>3</v>
      </c>
      <c r="H347" s="3" t="n">
        <f aca="false">(MIN(B347,2020)-1900-10*(G347-1))/10</f>
        <v>0.2</v>
      </c>
      <c r="I347" s="20" t="n">
        <f aca="false">EXP(LN(INDEX(Pop_Inputs!$B$2:$N$29,MATCH(C347,Pop_Inputs!$A$2:$A$29,0),G347))*(1-H347)+LN(INDEX(Pop_Inputs!$B$2:$N$29,MATCH(C347,Pop_Inputs!$A$2:$A$29,0),G347+1))*H347)</f>
        <v>1848534.1838289</v>
      </c>
      <c r="J347" s="20" t="n">
        <f aca="false">I347/F347</f>
        <v>924267.091914449</v>
      </c>
      <c r="K347" s="21" t="n">
        <f aca="false">D347/(D347+E347)</f>
        <v>0.422077922077922</v>
      </c>
      <c r="L347" s="21" t="n">
        <f aca="false">AVERAGEIFS($K$2:$K$2705,$B$2:$B$2705,B347)</f>
        <v>0.499885939224175</v>
      </c>
      <c r="M347" s="21" t="n">
        <f aca="false">K347-L347</f>
        <v>-0.0778080171462525</v>
      </c>
      <c r="N347" s="21" t="n">
        <f aca="false">LN(J347)</f>
        <v>13.7367563693674</v>
      </c>
      <c r="O347" s="21" t="n">
        <f aca="false">AVERAGEIFS($N$2:$N$2705,$B$2:$B$2705,B347)</f>
        <v>13.5904221799459</v>
      </c>
      <c r="P347" s="21" t="n">
        <f aca="false">N347-O347</f>
        <v>0.146334189421442</v>
      </c>
      <c r="Q347" s="7" t="n">
        <v>0</v>
      </c>
      <c r="R347" s="3" t="n">
        <f aca="false">IF(AND(Q347=1,B347-_xlfn.MINIFS($B$2:$B$2705,$A$2:$A$2705,A347)&lt;10),1,0)</f>
        <v>0</v>
      </c>
      <c r="S347" s="7" t="n">
        <v>0</v>
      </c>
      <c r="T347" s="3" t="n">
        <f aca="false">_xlfn.MINIFS($B$2:$B$2705,$A$2:$A$2705,A347)</f>
        <v>1901</v>
      </c>
      <c r="U347" s="3" t="n">
        <f aca="false">B347-T347</f>
        <v>21</v>
      </c>
      <c r="V347" s="3" t="str">
        <f aca="false">INDEX(Pop_Inputs!$Q$2:$Q$29,MATCH(C347,Pop_Inputs!$A$2:$A$29,0))</f>
        <v>Northeast</v>
      </c>
      <c r="W347" s="30"/>
      <c r="X347" s="3" t="str">
        <f aca="false">IF(W347="","",LN(W347))</f>
        <v/>
      </c>
      <c r="Y347" s="3" t="str">
        <f aca="false">IF(X347="","",X347-AVERAGEIFS($X$2:$X$2705,$B$2:$B$2705,B347))</f>
        <v/>
      </c>
      <c r="Z347" s="21" t="n">
        <f aca="false">P347</f>
        <v>0.146334189421442</v>
      </c>
      <c r="AA347" s="3" t="n">
        <f aca="false">R347</f>
        <v>0</v>
      </c>
      <c r="AB347" s="21" t="n">
        <f aca="false">P347</f>
        <v>0.146334189421442</v>
      </c>
      <c r="AC347" s="3" t="str">
        <f aca="false">Y347</f>
        <v/>
      </c>
      <c r="AD347" s="3" t="n">
        <f aca="false">R347</f>
        <v>0</v>
      </c>
    </row>
    <row r="348" customFormat="false" ht="15" hidden="false" customHeight="true" outlineLevel="0" collapsed="false">
      <c r="A348" s="7" t="s">
        <v>60</v>
      </c>
      <c r="B348" s="7" t="n">
        <v>1922</v>
      </c>
      <c r="C348" s="7" t="s">
        <v>146</v>
      </c>
      <c r="D348" s="7" t="n">
        <v>57</v>
      </c>
      <c r="E348" s="7" t="n">
        <v>96</v>
      </c>
      <c r="F348" s="3" t="n">
        <f aca="false">COUNTIFS($B$2:$B$2705,B348,$C$2:$C$2705,C348)</f>
        <v>2</v>
      </c>
      <c r="G348" s="3" t="n">
        <f aca="false">MIN(INT((MIN(B348,2020)-1900)/10)+1,12)</f>
        <v>3</v>
      </c>
      <c r="H348" s="3" t="n">
        <f aca="false">(MIN(B348,2020)-1900-10*(G348-1))/10</f>
        <v>0.2</v>
      </c>
      <c r="I348" s="20" t="n">
        <f aca="false">EXP(LN(INDEX(Pop_Inputs!$B$2:$N$29,MATCH(C348,Pop_Inputs!$A$2:$A$29,0),G348))*(1-H348)+LN(INDEX(Pop_Inputs!$B$2:$N$29,MATCH(C348,Pop_Inputs!$A$2:$A$29,0),G348+1))*H348)</f>
        <v>1848534.1838289</v>
      </c>
      <c r="J348" s="20" t="n">
        <f aca="false">I348/F348</f>
        <v>924267.091914449</v>
      </c>
      <c r="K348" s="21" t="n">
        <f aca="false">D348/(D348+E348)</f>
        <v>0.372549019607843</v>
      </c>
      <c r="L348" s="21" t="n">
        <f aca="false">AVERAGEIFS($K$2:$K$2705,$B$2:$B$2705,B348)</f>
        <v>0.499885939224175</v>
      </c>
      <c r="M348" s="21" t="n">
        <f aca="false">K348-L348</f>
        <v>-0.127336919616331</v>
      </c>
      <c r="N348" s="21" t="n">
        <f aca="false">LN(J348)</f>
        <v>13.7367563693674</v>
      </c>
      <c r="O348" s="21" t="n">
        <f aca="false">AVERAGEIFS($N$2:$N$2705,$B$2:$B$2705,B348)</f>
        <v>13.5904221799459</v>
      </c>
      <c r="P348" s="21" t="n">
        <f aca="false">N348-O348</f>
        <v>0.146334189421442</v>
      </c>
      <c r="Q348" s="7" t="n">
        <v>0</v>
      </c>
      <c r="R348" s="3" t="n">
        <f aca="false">IF(AND(Q348=1,B348-_xlfn.MINIFS($B$2:$B$2705,$A$2:$A$2705,A348)&lt;10),1,0)</f>
        <v>0</v>
      </c>
      <c r="S348" s="7" t="n">
        <v>0</v>
      </c>
      <c r="T348" s="3" t="n">
        <f aca="false">_xlfn.MINIFS($B$2:$B$2705,$A$2:$A$2705,A348)</f>
        <v>1901</v>
      </c>
      <c r="U348" s="3" t="n">
        <f aca="false">B348-T348</f>
        <v>21</v>
      </c>
      <c r="V348" s="3" t="str">
        <f aca="false">INDEX(Pop_Inputs!$Q$2:$Q$29,MATCH(C348,Pop_Inputs!$A$2:$A$29,0))</f>
        <v>Northeast</v>
      </c>
      <c r="W348" s="30"/>
      <c r="X348" s="3" t="str">
        <f aca="false">IF(W348="","",LN(W348))</f>
        <v/>
      </c>
      <c r="Y348" s="3" t="str">
        <f aca="false">IF(X348="","",X348-AVERAGEIFS($X$2:$X$2705,$B$2:$B$2705,B348))</f>
        <v/>
      </c>
      <c r="Z348" s="21" t="n">
        <f aca="false">P348</f>
        <v>0.146334189421442</v>
      </c>
      <c r="AA348" s="3" t="n">
        <f aca="false">R348</f>
        <v>0</v>
      </c>
      <c r="AB348" s="21" t="n">
        <f aca="false">P348</f>
        <v>0.146334189421442</v>
      </c>
      <c r="AC348" s="3" t="str">
        <f aca="false">Y348</f>
        <v/>
      </c>
      <c r="AD348" s="3" t="n">
        <f aca="false">R348</f>
        <v>0</v>
      </c>
    </row>
    <row r="349" customFormat="false" ht="15" hidden="false" customHeight="true" outlineLevel="0" collapsed="false">
      <c r="A349" s="7" t="s">
        <v>58</v>
      </c>
      <c r="B349" s="7" t="n">
        <v>1922</v>
      </c>
      <c r="C349" s="7" t="s">
        <v>144</v>
      </c>
      <c r="D349" s="7" t="n">
        <v>85</v>
      </c>
      <c r="E349" s="7" t="n">
        <v>69</v>
      </c>
      <c r="F349" s="3" t="n">
        <f aca="false">COUNTIFS($B$2:$B$2705,B349,$C$2:$C$2705,C349)</f>
        <v>1</v>
      </c>
      <c r="G349" s="3" t="n">
        <f aca="false">MIN(INT((MIN(B349,2020)-1900)/10)+1,12)</f>
        <v>3</v>
      </c>
      <c r="H349" s="3" t="n">
        <f aca="false">(MIN(B349,2020)-1900-10*(G349-1))/10</f>
        <v>0.2</v>
      </c>
      <c r="I349" s="20" t="n">
        <f aca="false">EXP(LN(INDEX(Pop_Inputs!$B$2:$N$29,MATCH(C349,Pop_Inputs!$A$2:$A$29,0),G349))*(1-H349)+LN(INDEX(Pop_Inputs!$B$2:$N$29,MATCH(C349,Pop_Inputs!$A$2:$A$29,0),G349+1))*H349)</f>
        <v>603803.610616671</v>
      </c>
      <c r="J349" s="20" t="n">
        <f aca="false">I349/F349</f>
        <v>603803.610616671</v>
      </c>
      <c r="K349" s="21" t="n">
        <f aca="false">D349/(D349+E349)</f>
        <v>0.551948051948052</v>
      </c>
      <c r="L349" s="21" t="n">
        <f aca="false">AVERAGEIFS($K$2:$K$2705,$B$2:$B$2705,B349)</f>
        <v>0.499885939224175</v>
      </c>
      <c r="M349" s="21" t="n">
        <f aca="false">K349-L349</f>
        <v>0.0520621127238775</v>
      </c>
      <c r="N349" s="21" t="n">
        <f aca="false">LN(J349)</f>
        <v>13.3110042760592</v>
      </c>
      <c r="O349" s="21" t="n">
        <f aca="false">AVERAGEIFS($N$2:$N$2705,$B$2:$B$2705,B349)</f>
        <v>13.5904221799459</v>
      </c>
      <c r="P349" s="21" t="n">
        <f aca="false">N349-O349</f>
        <v>-0.279417903886671</v>
      </c>
      <c r="Q349" s="7" t="n">
        <v>0</v>
      </c>
      <c r="R349" s="3" t="n">
        <f aca="false">IF(AND(Q349=1,B349-_xlfn.MINIFS($B$2:$B$2705,$A$2:$A$2705,A349)&lt;10),1,0)</f>
        <v>0</v>
      </c>
      <c r="S349" s="7" t="n">
        <v>0</v>
      </c>
      <c r="T349" s="3" t="n">
        <f aca="false">_xlfn.MINIFS($B$2:$B$2705,$A$2:$A$2705,A349)</f>
        <v>1901</v>
      </c>
      <c r="U349" s="3" t="n">
        <f aca="false">B349-T349</f>
        <v>21</v>
      </c>
      <c r="V349" s="3" t="str">
        <f aca="false">INDEX(Pop_Inputs!$Q$2:$Q$29,MATCH(C349,Pop_Inputs!$A$2:$A$29,0))</f>
        <v>Northeast</v>
      </c>
      <c r="W349" s="30"/>
      <c r="X349" s="3" t="str">
        <f aca="false">IF(W349="","",LN(W349))</f>
        <v/>
      </c>
      <c r="Y349" s="3" t="str">
        <f aca="false">IF(X349="","",X349-AVERAGEIFS($X$2:$X$2705,$B$2:$B$2705,B349))</f>
        <v/>
      </c>
      <c r="Z349" s="21" t="n">
        <f aca="false">P349</f>
        <v>-0.279417903886671</v>
      </c>
      <c r="AA349" s="3" t="n">
        <f aca="false">R349</f>
        <v>0</v>
      </c>
      <c r="AB349" s="21" t="n">
        <f aca="false">P349</f>
        <v>-0.279417903886671</v>
      </c>
      <c r="AC349" s="3" t="str">
        <f aca="false">Y349</f>
        <v/>
      </c>
      <c r="AD349" s="3" t="n">
        <f aca="false">R349</f>
        <v>0</v>
      </c>
    </row>
    <row r="350" customFormat="false" ht="15" hidden="false" customHeight="true" outlineLevel="0" collapsed="false">
      <c r="A350" s="7" t="s">
        <v>61</v>
      </c>
      <c r="B350" s="7" t="n">
        <v>1922</v>
      </c>
      <c r="C350" s="7" t="s">
        <v>154</v>
      </c>
      <c r="D350" s="7" t="n">
        <v>93</v>
      </c>
      <c r="E350" s="7" t="n">
        <v>61</v>
      </c>
      <c r="F350" s="3" t="n">
        <f aca="false">COUNTIFS($B$2:$B$2705,B350,$C$2:$C$2705,C350)</f>
        <v>3</v>
      </c>
      <c r="G350" s="3" t="n">
        <f aca="false">MIN(INT((MIN(B350,2020)-1900)/10)+1,12)</f>
        <v>3</v>
      </c>
      <c r="H350" s="3" t="n">
        <f aca="false">(MIN(B350,2020)-1900-10*(G350-1))/10</f>
        <v>0.2</v>
      </c>
      <c r="I350" s="20" t="n">
        <f aca="false">EXP(LN(INDEX(Pop_Inputs!$B$2:$N$29,MATCH(C350,Pop_Inputs!$A$2:$A$29,0),G350))*(1-H350)+LN(INDEX(Pop_Inputs!$B$2:$N$29,MATCH(C350,Pop_Inputs!$A$2:$A$29,0),G350+1))*H350)</f>
        <v>5860629.36290184</v>
      </c>
      <c r="J350" s="20" t="n">
        <f aca="false">I350/F350</f>
        <v>1953543.12096728</v>
      </c>
      <c r="K350" s="21" t="n">
        <f aca="false">D350/(D350+E350)</f>
        <v>0.603896103896104</v>
      </c>
      <c r="L350" s="21" t="n">
        <f aca="false">AVERAGEIFS($K$2:$K$2705,$B$2:$B$2705,B350)</f>
        <v>0.499885939224175</v>
      </c>
      <c r="M350" s="21" t="n">
        <f aca="false">K350-L350</f>
        <v>0.104010164671929</v>
      </c>
      <c r="N350" s="21" t="n">
        <f aca="false">LN(J350)</f>
        <v>14.4851552669307</v>
      </c>
      <c r="O350" s="21" t="n">
        <f aca="false">AVERAGEIFS($N$2:$N$2705,$B$2:$B$2705,B350)</f>
        <v>13.5904221799459</v>
      </c>
      <c r="P350" s="21" t="n">
        <f aca="false">N350-O350</f>
        <v>0.894733086984829</v>
      </c>
      <c r="Q350" s="7" t="n">
        <v>0</v>
      </c>
      <c r="R350" s="3" t="n">
        <f aca="false">IF(AND(Q350=1,B350-_xlfn.MINIFS($B$2:$B$2705,$A$2:$A$2705,A350)&lt;10),1,0)</f>
        <v>0</v>
      </c>
      <c r="S350" s="7" t="n">
        <v>0</v>
      </c>
      <c r="T350" s="3" t="n">
        <f aca="false">_xlfn.MINIFS($B$2:$B$2705,$A$2:$A$2705,A350)</f>
        <v>1901</v>
      </c>
      <c r="U350" s="3" t="n">
        <f aca="false">B350-T350</f>
        <v>21</v>
      </c>
      <c r="V350" s="3" t="str">
        <f aca="false">INDEX(Pop_Inputs!$Q$2:$Q$29,MATCH(C350,Pop_Inputs!$A$2:$A$29,0))</f>
        <v>Northeast</v>
      </c>
      <c r="W350" s="30"/>
      <c r="X350" s="3" t="str">
        <f aca="false">IF(W350="","",LN(W350))</f>
        <v/>
      </c>
      <c r="Y350" s="3" t="str">
        <f aca="false">IF(X350="","",X350-AVERAGEIFS($X$2:$X$2705,$B$2:$B$2705,B350))</f>
        <v/>
      </c>
      <c r="Z350" s="21" t="n">
        <f aca="false">P350</f>
        <v>0.894733086984829</v>
      </c>
      <c r="AA350" s="3" t="n">
        <f aca="false">R350</f>
        <v>0</v>
      </c>
      <c r="AB350" s="21" t="n">
        <f aca="false">P350</f>
        <v>0.894733086984829</v>
      </c>
      <c r="AC350" s="3" t="str">
        <f aca="false">Y350</f>
        <v/>
      </c>
      <c r="AD350" s="3" t="n">
        <f aca="false">R350</f>
        <v>0</v>
      </c>
    </row>
    <row r="351" customFormat="false" ht="15" hidden="false" customHeight="true" outlineLevel="0" collapsed="false">
      <c r="A351" s="7" t="s">
        <v>59</v>
      </c>
      <c r="B351" s="7" t="n">
        <v>1922</v>
      </c>
      <c r="C351" s="7" t="s">
        <v>145</v>
      </c>
      <c r="D351" s="7" t="n">
        <v>85</v>
      </c>
      <c r="E351" s="7" t="n">
        <v>69</v>
      </c>
      <c r="F351" s="3" t="n">
        <f aca="false">COUNTIFS($B$2:$B$2705,B351,$C$2:$C$2705,C351)</f>
        <v>2</v>
      </c>
      <c r="G351" s="3" t="n">
        <f aca="false">MIN(INT((MIN(B351,2020)-1900)/10)+1,12)</f>
        <v>3</v>
      </c>
      <c r="H351" s="3" t="n">
        <f aca="false">(MIN(B351,2020)-1900-10*(G351-1))/10</f>
        <v>0.2</v>
      </c>
      <c r="I351" s="20" t="n">
        <f aca="false">EXP(LN(INDEX(Pop_Inputs!$B$2:$N$29,MATCH(C351,Pop_Inputs!$A$2:$A$29,0),G351))*(1-H351)+LN(INDEX(Pop_Inputs!$B$2:$N$29,MATCH(C351,Pop_Inputs!$A$2:$A$29,0),G351+1))*H351)</f>
        <v>782469.528553437</v>
      </c>
      <c r="J351" s="20" t="n">
        <f aca="false">I351/F351</f>
        <v>391234.764276719</v>
      </c>
      <c r="K351" s="21" t="n">
        <f aca="false">D351/(D351+E351)</f>
        <v>0.551948051948052</v>
      </c>
      <c r="L351" s="21" t="n">
        <f aca="false">AVERAGEIFS($K$2:$K$2705,$B$2:$B$2705,B351)</f>
        <v>0.499885939224175</v>
      </c>
      <c r="M351" s="21" t="n">
        <f aca="false">K351-L351</f>
        <v>0.0520621127238775</v>
      </c>
      <c r="N351" s="21" t="n">
        <f aca="false">LN(J351)</f>
        <v>12.8770630789325</v>
      </c>
      <c r="O351" s="21" t="n">
        <f aca="false">AVERAGEIFS($N$2:$N$2705,$B$2:$B$2705,B351)</f>
        <v>13.5904221799459</v>
      </c>
      <c r="P351" s="21" t="n">
        <f aca="false">N351-O351</f>
        <v>-0.713359101013404</v>
      </c>
      <c r="Q351" s="7" t="n">
        <v>0</v>
      </c>
      <c r="R351" s="3" t="n">
        <f aca="false">IF(AND(Q351=1,B351-_xlfn.MINIFS($B$2:$B$2705,$A$2:$A$2705,A351)&lt;10),1,0)</f>
        <v>0</v>
      </c>
      <c r="S351" s="7" t="n">
        <v>0</v>
      </c>
      <c r="T351" s="3" t="n">
        <f aca="false">_xlfn.MINIFS($B$2:$B$2705,$A$2:$A$2705,A351)</f>
        <v>1901</v>
      </c>
      <c r="U351" s="3" t="n">
        <f aca="false">B351-T351</f>
        <v>21</v>
      </c>
      <c r="V351" s="3" t="str">
        <f aca="false">INDEX(Pop_Inputs!$Q$2:$Q$29,MATCH(C351,Pop_Inputs!$A$2:$A$29,0))</f>
        <v>Midwest</v>
      </c>
      <c r="W351" s="30"/>
      <c r="X351" s="3" t="str">
        <f aca="false">IF(W351="","",LN(W351))</f>
        <v/>
      </c>
      <c r="Y351" s="3" t="str">
        <f aca="false">IF(X351="","",X351-AVERAGEIFS($X$2:$X$2705,$B$2:$B$2705,B351))</f>
        <v/>
      </c>
      <c r="Z351" s="21" t="n">
        <f aca="false">P351</f>
        <v>-0.713359101013404</v>
      </c>
      <c r="AA351" s="3" t="n">
        <f aca="false">R351</f>
        <v>0</v>
      </c>
      <c r="AB351" s="21" t="n">
        <f aca="false">P351</f>
        <v>-0.713359101013404</v>
      </c>
      <c r="AC351" s="3" t="str">
        <f aca="false">Y351</f>
        <v/>
      </c>
      <c r="AD351" s="3" t="n">
        <f aca="false">R351</f>
        <v>0</v>
      </c>
    </row>
    <row r="352" customFormat="false" ht="15" hidden="false" customHeight="true" outlineLevel="0" collapsed="false">
      <c r="A352" s="7" t="s">
        <v>54</v>
      </c>
      <c r="B352" s="7" t="n">
        <v>1923</v>
      </c>
      <c r="C352" s="7" t="s">
        <v>150</v>
      </c>
      <c r="D352" s="7" t="n">
        <v>54</v>
      </c>
      <c r="E352" s="7" t="n">
        <v>100</v>
      </c>
      <c r="F352" s="3" t="n">
        <f aca="false">COUNTIFS($B$2:$B$2705,B352,$C$2:$C$2705,C352)</f>
        <v>2</v>
      </c>
      <c r="G352" s="3" t="n">
        <f aca="false">MIN(INT((MIN(B352,2020)-1900)/10)+1,12)</f>
        <v>3</v>
      </c>
      <c r="H352" s="3" t="n">
        <f aca="false">(MIN(B352,2020)-1900-10*(G352-1))/10</f>
        <v>0.3</v>
      </c>
      <c r="I352" s="20" t="n">
        <f aca="false">EXP(LN(INDEX(Pop_Inputs!$B$2:$N$29,MATCH(C352,Pop_Inputs!$A$2:$A$29,0),G352))*(1-H352)+LN(INDEX(Pop_Inputs!$B$2:$N$29,MATCH(C352,Pop_Inputs!$A$2:$A$29,0),G352+1))*H352)</f>
        <v>757848.110345551</v>
      </c>
      <c r="J352" s="20" t="n">
        <f aca="false">I352/F352</f>
        <v>378924.055172775</v>
      </c>
      <c r="K352" s="21" t="n">
        <f aca="false">D352/(D352+E352)</f>
        <v>0.350649350649351</v>
      </c>
      <c r="L352" s="21" t="n">
        <f aca="false">AVERAGEIFS($K$2:$K$2705,$B$2:$B$2705,B352)</f>
        <v>0.500055634295185</v>
      </c>
      <c r="M352" s="21" t="n">
        <f aca="false">K352-L352</f>
        <v>-0.149406283645835</v>
      </c>
      <c r="N352" s="21" t="n">
        <f aca="false">LN(J352)</f>
        <v>12.8450910818555</v>
      </c>
      <c r="O352" s="21" t="n">
        <f aca="false">AVERAGEIFS($N$2:$N$2705,$B$2:$B$2705,B352)</f>
        <v>13.6051202106669</v>
      </c>
      <c r="P352" s="21" t="n">
        <f aca="false">N352-O352</f>
        <v>-0.760029128811388</v>
      </c>
      <c r="Q352" s="7" t="n">
        <v>0</v>
      </c>
      <c r="R352" s="3" t="n">
        <f aca="false">IF(AND(Q352=1,B352-_xlfn.MINIFS($B$2:$B$2705,$A$2:$A$2705,A352)&lt;10),1,0)</f>
        <v>0</v>
      </c>
      <c r="S352" s="7" t="n">
        <v>0</v>
      </c>
      <c r="T352" s="3" t="n">
        <f aca="false">_xlfn.MINIFS($B$2:$B$2705,$A$2:$A$2705,A352)</f>
        <v>1901</v>
      </c>
      <c r="U352" s="3" t="n">
        <f aca="false">B352-T352</f>
        <v>22</v>
      </c>
      <c r="V352" s="3" t="str">
        <f aca="false">INDEX(Pop_Inputs!$Q$2:$Q$29,MATCH(C352,Pop_Inputs!$A$2:$A$29,0))</f>
        <v>Northeast</v>
      </c>
      <c r="W352" s="30"/>
      <c r="X352" s="3" t="str">
        <f aca="false">IF(W352="","",LN(W352))</f>
        <v/>
      </c>
      <c r="Y352" s="3" t="str">
        <f aca="false">IF(X352="","",X352-AVERAGEIFS($X$2:$X$2705,$B$2:$B$2705,B352))</f>
        <v/>
      </c>
      <c r="Z352" s="21" t="n">
        <f aca="false">P352</f>
        <v>-0.760029128811388</v>
      </c>
      <c r="AA352" s="3" t="n">
        <f aca="false">R352</f>
        <v>0</v>
      </c>
      <c r="AB352" s="21" t="n">
        <f aca="false">P352</f>
        <v>-0.760029128811388</v>
      </c>
      <c r="AC352" s="3" t="str">
        <f aca="false">Y352</f>
        <v/>
      </c>
      <c r="AD352" s="3" t="n">
        <f aca="false">R352</f>
        <v>0</v>
      </c>
    </row>
    <row r="353" customFormat="false" ht="15" hidden="false" customHeight="true" outlineLevel="0" collapsed="false">
      <c r="A353" s="7" t="s">
        <v>63</v>
      </c>
      <c r="B353" s="7" t="n">
        <v>1923</v>
      </c>
      <c r="C353" s="7" t="s">
        <v>145</v>
      </c>
      <c r="D353" s="7" t="n">
        <v>74</v>
      </c>
      <c r="E353" s="7" t="n">
        <v>78</v>
      </c>
      <c r="F353" s="3" t="n">
        <f aca="false">COUNTIFS($B$2:$B$2705,B353,$C$2:$C$2705,C353)</f>
        <v>2</v>
      </c>
      <c r="G353" s="3" t="n">
        <f aca="false">MIN(INT((MIN(B353,2020)-1900)/10)+1,12)</f>
        <v>3</v>
      </c>
      <c r="H353" s="3" t="n">
        <f aca="false">(MIN(B353,2020)-1900-10*(G353-1))/10</f>
        <v>0.3</v>
      </c>
      <c r="I353" s="20" t="n">
        <f aca="false">EXP(LN(INDEX(Pop_Inputs!$B$2:$N$29,MATCH(C353,Pop_Inputs!$A$2:$A$29,0),G353))*(1-H353)+LN(INDEX(Pop_Inputs!$B$2:$N$29,MATCH(C353,Pop_Inputs!$A$2:$A$29,0),G353+1))*H353)</f>
        <v>787300.1608179</v>
      </c>
      <c r="J353" s="20" t="n">
        <f aca="false">I353/F353</f>
        <v>393650.08040895</v>
      </c>
      <c r="K353" s="21" t="n">
        <f aca="false">D353/(D353+E353)</f>
        <v>0.486842105263158</v>
      </c>
      <c r="L353" s="21" t="n">
        <f aca="false">AVERAGEIFS($K$2:$K$2705,$B$2:$B$2705,B353)</f>
        <v>0.500055634295185</v>
      </c>
      <c r="M353" s="21" t="n">
        <f aca="false">K353-L353</f>
        <v>-0.0132135290320275</v>
      </c>
      <c r="N353" s="21" t="n">
        <f aca="false">LN(J353)</f>
        <v>12.8832176728777</v>
      </c>
      <c r="O353" s="21" t="n">
        <f aca="false">AVERAGEIFS($N$2:$N$2705,$B$2:$B$2705,B353)</f>
        <v>13.6051202106669</v>
      </c>
      <c r="P353" s="21" t="n">
        <f aca="false">N353-O353</f>
        <v>-0.721902537789214</v>
      </c>
      <c r="Q353" s="7" t="n">
        <v>0</v>
      </c>
      <c r="R353" s="3" t="n">
        <f aca="false">IF(AND(Q353=1,B353-_xlfn.MINIFS($B$2:$B$2705,$A$2:$A$2705,A353)&lt;10),1,0)</f>
        <v>0</v>
      </c>
      <c r="S353" s="7" t="n">
        <v>0</v>
      </c>
      <c r="T353" s="3" t="n">
        <f aca="false">_xlfn.MINIFS($B$2:$B$2705,$A$2:$A$2705,A353)</f>
        <v>1901</v>
      </c>
      <c r="U353" s="3" t="n">
        <f aca="false">B353-T353</f>
        <v>22</v>
      </c>
      <c r="V353" s="3" t="str">
        <f aca="false">INDEX(Pop_Inputs!$Q$2:$Q$29,MATCH(C353,Pop_Inputs!$A$2:$A$29,0))</f>
        <v>Midwest</v>
      </c>
      <c r="W353" s="30"/>
      <c r="X353" s="3" t="str">
        <f aca="false">IF(W353="","",LN(W353))</f>
        <v/>
      </c>
      <c r="Y353" s="3" t="str">
        <f aca="false">IF(X353="","",X353-AVERAGEIFS($X$2:$X$2705,$B$2:$B$2705,B353))</f>
        <v/>
      </c>
      <c r="Z353" s="21" t="n">
        <f aca="false">P353</f>
        <v>-0.721902537789214</v>
      </c>
      <c r="AA353" s="3" t="n">
        <f aca="false">R353</f>
        <v>0</v>
      </c>
      <c r="AB353" s="21" t="n">
        <f aca="false">P353</f>
        <v>-0.721902537789214</v>
      </c>
      <c r="AC353" s="3" t="str">
        <f aca="false">Y353</f>
        <v/>
      </c>
      <c r="AD353" s="3" t="n">
        <f aca="false">R353</f>
        <v>0</v>
      </c>
    </row>
    <row r="354" customFormat="false" ht="15" hidden="false" customHeight="true" outlineLevel="0" collapsed="false">
      <c r="A354" s="7" t="s">
        <v>64</v>
      </c>
      <c r="B354" s="7" t="n">
        <v>1923</v>
      </c>
      <c r="C354" s="7" t="s">
        <v>150</v>
      </c>
      <c r="D354" s="7" t="n">
        <v>61</v>
      </c>
      <c r="E354" s="7" t="n">
        <v>91</v>
      </c>
      <c r="F354" s="3" t="n">
        <f aca="false">COUNTIFS($B$2:$B$2705,B354,$C$2:$C$2705,C354)</f>
        <v>2</v>
      </c>
      <c r="G354" s="3" t="n">
        <f aca="false">MIN(INT((MIN(B354,2020)-1900)/10)+1,12)</f>
        <v>3</v>
      </c>
      <c r="H354" s="3" t="n">
        <f aca="false">(MIN(B354,2020)-1900-10*(G354-1))/10</f>
        <v>0.3</v>
      </c>
      <c r="I354" s="20" t="n">
        <f aca="false">EXP(LN(INDEX(Pop_Inputs!$B$2:$N$29,MATCH(C354,Pop_Inputs!$A$2:$A$29,0),G354))*(1-H354)+LN(INDEX(Pop_Inputs!$B$2:$N$29,MATCH(C354,Pop_Inputs!$A$2:$A$29,0),G354+1))*H354)</f>
        <v>757848.110345551</v>
      </c>
      <c r="J354" s="20" t="n">
        <f aca="false">I354/F354</f>
        <v>378924.055172775</v>
      </c>
      <c r="K354" s="21" t="n">
        <f aca="false">D354/(D354+E354)</f>
        <v>0.401315789473684</v>
      </c>
      <c r="L354" s="21" t="n">
        <f aca="false">AVERAGEIFS($K$2:$K$2705,$B$2:$B$2705,B354)</f>
        <v>0.500055634295185</v>
      </c>
      <c r="M354" s="21" t="n">
        <f aca="false">K354-L354</f>
        <v>-0.0987398448215012</v>
      </c>
      <c r="N354" s="21" t="n">
        <f aca="false">LN(J354)</f>
        <v>12.8450910818555</v>
      </c>
      <c r="O354" s="21" t="n">
        <f aca="false">AVERAGEIFS($N$2:$N$2705,$B$2:$B$2705,B354)</f>
        <v>13.6051202106669</v>
      </c>
      <c r="P354" s="21" t="n">
        <f aca="false">N354-O354</f>
        <v>-0.760029128811388</v>
      </c>
      <c r="Q354" s="7" t="n">
        <v>0</v>
      </c>
      <c r="R354" s="3" t="n">
        <f aca="false">IF(AND(Q354=1,B354-_xlfn.MINIFS($B$2:$B$2705,$A$2:$A$2705,A354)&lt;10),1,0)</f>
        <v>0</v>
      </c>
      <c r="S354" s="7" t="n">
        <v>0</v>
      </c>
      <c r="T354" s="3" t="n">
        <f aca="false">_xlfn.MINIFS($B$2:$B$2705,$A$2:$A$2705,A354)</f>
        <v>1901</v>
      </c>
      <c r="U354" s="3" t="n">
        <f aca="false">B354-T354</f>
        <v>22</v>
      </c>
      <c r="V354" s="3" t="str">
        <f aca="false">INDEX(Pop_Inputs!$Q$2:$Q$29,MATCH(C354,Pop_Inputs!$A$2:$A$29,0))</f>
        <v>Northeast</v>
      </c>
      <c r="W354" s="30"/>
      <c r="X354" s="3" t="str">
        <f aca="false">IF(W354="","",LN(W354))</f>
        <v/>
      </c>
      <c r="Y354" s="3" t="str">
        <f aca="false">IF(X354="","",X354-AVERAGEIFS($X$2:$X$2705,$B$2:$B$2705,B354))</f>
        <v/>
      </c>
      <c r="Z354" s="21" t="n">
        <f aca="false">P354</f>
        <v>-0.760029128811388</v>
      </c>
      <c r="AA354" s="3" t="n">
        <f aca="false">R354</f>
        <v>0</v>
      </c>
      <c r="AB354" s="21" t="n">
        <f aca="false">P354</f>
        <v>-0.760029128811388</v>
      </c>
      <c r="AC354" s="3" t="str">
        <f aca="false">Y354</f>
        <v/>
      </c>
      <c r="AD354" s="3" t="n">
        <f aca="false">R354</f>
        <v>0</v>
      </c>
    </row>
    <row r="355" customFormat="false" ht="15" hidden="false" customHeight="true" outlineLevel="0" collapsed="false">
      <c r="A355" s="7" t="s">
        <v>56</v>
      </c>
      <c r="B355" s="7" t="n">
        <v>1923</v>
      </c>
      <c r="C355" s="7" t="s">
        <v>142</v>
      </c>
      <c r="D355" s="7" t="n">
        <v>83</v>
      </c>
      <c r="E355" s="7" t="n">
        <v>71</v>
      </c>
      <c r="F355" s="3" t="n">
        <f aca="false">COUNTIFS($B$2:$B$2705,B355,$C$2:$C$2705,C355)</f>
        <v>2</v>
      </c>
      <c r="G355" s="3" t="n">
        <f aca="false">MIN(INT((MIN(B355,2020)-1900)/10)+1,12)</f>
        <v>3</v>
      </c>
      <c r="H355" s="3" t="n">
        <f aca="false">(MIN(B355,2020)-1900-10*(G355-1))/10</f>
        <v>0.3</v>
      </c>
      <c r="I355" s="20" t="n">
        <f aca="false">EXP(LN(INDEX(Pop_Inputs!$B$2:$N$29,MATCH(C355,Pop_Inputs!$A$2:$A$29,0),G355))*(1-H355)+LN(INDEX(Pop_Inputs!$B$2:$N$29,MATCH(C355,Pop_Inputs!$A$2:$A$29,0),G355+1))*H355)</f>
        <v>2888578.55293339</v>
      </c>
      <c r="J355" s="20" t="n">
        <f aca="false">I355/F355</f>
        <v>1444289.2764667</v>
      </c>
      <c r="K355" s="21" t="n">
        <f aca="false">D355/(D355+E355)</f>
        <v>0.538961038961039</v>
      </c>
      <c r="L355" s="21" t="n">
        <f aca="false">AVERAGEIFS($K$2:$K$2705,$B$2:$B$2705,B355)</f>
        <v>0.500055634295185</v>
      </c>
      <c r="M355" s="21" t="n">
        <f aca="false">K355-L355</f>
        <v>0.0389054046658536</v>
      </c>
      <c r="N355" s="21" t="n">
        <f aca="false">LN(J355)</f>
        <v>14.1831279083346</v>
      </c>
      <c r="O355" s="21" t="n">
        <f aca="false">AVERAGEIFS($N$2:$N$2705,$B$2:$B$2705,B355)</f>
        <v>13.6051202106669</v>
      </c>
      <c r="P355" s="21" t="n">
        <f aca="false">N355-O355</f>
        <v>0.578007697667736</v>
      </c>
      <c r="Q355" s="7" t="n">
        <v>0</v>
      </c>
      <c r="R355" s="3" t="n">
        <f aca="false">IF(AND(Q355=1,B355-_xlfn.MINIFS($B$2:$B$2705,$A$2:$A$2705,A355)&lt;10),1,0)</f>
        <v>0</v>
      </c>
      <c r="S355" s="7" t="n">
        <v>0</v>
      </c>
      <c r="T355" s="3" t="n">
        <f aca="false">_xlfn.MINIFS($B$2:$B$2705,$A$2:$A$2705,A355)</f>
        <v>1901</v>
      </c>
      <c r="U355" s="3" t="n">
        <f aca="false">B355-T355</f>
        <v>22</v>
      </c>
      <c r="V355" s="3" t="str">
        <f aca="false">INDEX(Pop_Inputs!$Q$2:$Q$29,MATCH(C355,Pop_Inputs!$A$2:$A$29,0))</f>
        <v>Midwest</v>
      </c>
      <c r="W355" s="30"/>
      <c r="X355" s="3" t="str">
        <f aca="false">IF(W355="","",LN(W355))</f>
        <v/>
      </c>
      <c r="Y355" s="3" t="str">
        <f aca="false">IF(X355="","",X355-AVERAGEIFS($X$2:$X$2705,$B$2:$B$2705,B355))</f>
        <v/>
      </c>
      <c r="Z355" s="21" t="n">
        <f aca="false">P355</f>
        <v>0.578007697667736</v>
      </c>
      <c r="AA355" s="3" t="n">
        <f aca="false">R355</f>
        <v>0</v>
      </c>
      <c r="AB355" s="21" t="n">
        <f aca="false">P355</f>
        <v>0.578007697667736</v>
      </c>
      <c r="AC355" s="3" t="str">
        <f aca="false">Y355</f>
        <v/>
      </c>
      <c r="AD355" s="3" t="n">
        <f aca="false">R355</f>
        <v>0</v>
      </c>
    </row>
    <row r="356" customFormat="false" ht="15" hidden="false" customHeight="true" outlineLevel="0" collapsed="false">
      <c r="A356" s="7" t="s">
        <v>65</v>
      </c>
      <c r="B356" s="7" t="n">
        <v>1923</v>
      </c>
      <c r="C356" s="7" t="s">
        <v>142</v>
      </c>
      <c r="D356" s="7" t="n">
        <v>69</v>
      </c>
      <c r="E356" s="7" t="n">
        <v>85</v>
      </c>
      <c r="F356" s="3" t="n">
        <f aca="false">COUNTIFS($B$2:$B$2705,B356,$C$2:$C$2705,C356)</f>
        <v>2</v>
      </c>
      <c r="G356" s="3" t="n">
        <f aca="false">MIN(INT((MIN(B356,2020)-1900)/10)+1,12)</f>
        <v>3</v>
      </c>
      <c r="H356" s="3" t="n">
        <f aca="false">(MIN(B356,2020)-1900-10*(G356-1))/10</f>
        <v>0.3</v>
      </c>
      <c r="I356" s="20" t="n">
        <f aca="false">EXP(LN(INDEX(Pop_Inputs!$B$2:$N$29,MATCH(C356,Pop_Inputs!$A$2:$A$29,0),G356))*(1-H356)+LN(INDEX(Pop_Inputs!$B$2:$N$29,MATCH(C356,Pop_Inputs!$A$2:$A$29,0),G356+1))*H356)</f>
        <v>2888578.55293339</v>
      </c>
      <c r="J356" s="20" t="n">
        <f aca="false">I356/F356</f>
        <v>1444289.2764667</v>
      </c>
      <c r="K356" s="21" t="n">
        <f aca="false">D356/(D356+E356)</f>
        <v>0.448051948051948</v>
      </c>
      <c r="L356" s="21" t="n">
        <f aca="false">AVERAGEIFS($K$2:$K$2705,$B$2:$B$2705,B356)</f>
        <v>0.500055634295185</v>
      </c>
      <c r="M356" s="21" t="n">
        <f aca="false">K356-L356</f>
        <v>-0.0520036862432374</v>
      </c>
      <c r="N356" s="21" t="n">
        <f aca="false">LN(J356)</f>
        <v>14.1831279083346</v>
      </c>
      <c r="O356" s="21" t="n">
        <f aca="false">AVERAGEIFS($N$2:$N$2705,$B$2:$B$2705,B356)</f>
        <v>13.6051202106669</v>
      </c>
      <c r="P356" s="21" t="n">
        <f aca="false">N356-O356</f>
        <v>0.578007697667736</v>
      </c>
      <c r="Q356" s="7" t="n">
        <v>0</v>
      </c>
      <c r="R356" s="3" t="n">
        <f aca="false">IF(AND(Q356=1,B356-_xlfn.MINIFS($B$2:$B$2705,$A$2:$A$2705,A356)&lt;10),1,0)</f>
        <v>0</v>
      </c>
      <c r="S356" s="7" t="n">
        <v>0</v>
      </c>
      <c r="T356" s="3" t="n">
        <f aca="false">_xlfn.MINIFS($B$2:$B$2705,$A$2:$A$2705,A356)</f>
        <v>1901</v>
      </c>
      <c r="U356" s="3" t="n">
        <f aca="false">B356-T356</f>
        <v>22</v>
      </c>
      <c r="V356" s="3" t="str">
        <f aca="false">INDEX(Pop_Inputs!$Q$2:$Q$29,MATCH(C356,Pop_Inputs!$A$2:$A$29,0))</f>
        <v>Midwest</v>
      </c>
      <c r="W356" s="30"/>
      <c r="X356" s="3" t="str">
        <f aca="false">IF(W356="","",LN(W356))</f>
        <v/>
      </c>
      <c r="Y356" s="3" t="str">
        <f aca="false">IF(X356="","",X356-AVERAGEIFS($X$2:$X$2705,$B$2:$B$2705,B356))</f>
        <v/>
      </c>
      <c r="Z356" s="21" t="n">
        <f aca="false">P356</f>
        <v>0.578007697667736</v>
      </c>
      <c r="AA356" s="3" t="n">
        <f aca="false">R356</f>
        <v>0</v>
      </c>
      <c r="AB356" s="21" t="n">
        <f aca="false">P356</f>
        <v>0.578007697667736</v>
      </c>
      <c r="AC356" s="3" t="str">
        <f aca="false">Y356</f>
        <v/>
      </c>
      <c r="AD356" s="3" t="n">
        <f aca="false">R356</f>
        <v>0</v>
      </c>
    </row>
    <row r="357" customFormat="false" ht="15" hidden="false" customHeight="true" outlineLevel="0" collapsed="false">
      <c r="A357" s="7" t="s">
        <v>57</v>
      </c>
      <c r="B357" s="7" t="n">
        <v>1923</v>
      </c>
      <c r="C357" s="7" t="s">
        <v>143</v>
      </c>
      <c r="D357" s="7" t="n">
        <v>91</v>
      </c>
      <c r="E357" s="7" t="n">
        <v>63</v>
      </c>
      <c r="F357" s="3" t="n">
        <f aca="false">COUNTIFS($B$2:$B$2705,B357,$C$2:$C$2705,C357)</f>
        <v>1</v>
      </c>
      <c r="G357" s="3" t="n">
        <f aca="false">MIN(INT((MIN(B357,2020)-1900)/10)+1,12)</f>
        <v>3</v>
      </c>
      <c r="H357" s="3" t="n">
        <f aca="false">(MIN(B357,2020)-1900-10*(G357-1))/10</f>
        <v>0.3</v>
      </c>
      <c r="I357" s="20" t="n">
        <f aca="false">EXP(LN(INDEX(Pop_Inputs!$B$2:$N$29,MATCH(C357,Pop_Inputs!$A$2:$A$29,0),G357))*(1-H357)+LN(INDEX(Pop_Inputs!$B$2:$N$29,MATCH(C357,Pop_Inputs!$A$2:$A$29,0),G357+1))*H357)</f>
        <v>415611.384417819</v>
      </c>
      <c r="J357" s="20" t="n">
        <f aca="false">I357/F357</f>
        <v>415611.384417819</v>
      </c>
      <c r="K357" s="21" t="n">
        <f aca="false">D357/(D357+E357)</f>
        <v>0.590909090909091</v>
      </c>
      <c r="L357" s="21" t="n">
        <f aca="false">AVERAGEIFS($K$2:$K$2705,$B$2:$B$2705,B357)</f>
        <v>0.500055634295185</v>
      </c>
      <c r="M357" s="21" t="n">
        <f aca="false">K357-L357</f>
        <v>0.0908534566139055</v>
      </c>
      <c r="N357" s="21" t="n">
        <f aca="false">LN(J357)</f>
        <v>12.9375059305602</v>
      </c>
      <c r="O357" s="21" t="n">
        <f aca="false">AVERAGEIFS($N$2:$N$2705,$B$2:$B$2705,B357)</f>
        <v>13.6051202106669</v>
      </c>
      <c r="P357" s="21" t="n">
        <f aca="false">N357-O357</f>
        <v>-0.667614280106704</v>
      </c>
      <c r="Q357" s="7" t="n">
        <v>0</v>
      </c>
      <c r="R357" s="3" t="n">
        <f aca="false">IF(AND(Q357=1,B357-_xlfn.MINIFS($B$2:$B$2705,$A$2:$A$2705,A357)&lt;10),1,0)</f>
        <v>0</v>
      </c>
      <c r="S357" s="7" t="n">
        <v>0</v>
      </c>
      <c r="T357" s="3" t="n">
        <f aca="false">_xlfn.MINIFS($B$2:$B$2705,$A$2:$A$2705,A357)</f>
        <v>1901</v>
      </c>
      <c r="U357" s="3" t="n">
        <f aca="false">B357-T357</f>
        <v>22</v>
      </c>
      <c r="V357" s="3" t="str">
        <f aca="false">INDEX(Pop_Inputs!$Q$2:$Q$29,MATCH(C357,Pop_Inputs!$A$2:$A$29,0))</f>
        <v>Midwest</v>
      </c>
      <c r="W357" s="30"/>
      <c r="X357" s="3" t="str">
        <f aca="false">IF(W357="","",LN(W357))</f>
        <v/>
      </c>
      <c r="Y357" s="3" t="str">
        <f aca="false">IF(X357="","",X357-AVERAGEIFS($X$2:$X$2705,$B$2:$B$2705,B357))</f>
        <v/>
      </c>
      <c r="Z357" s="21" t="n">
        <f aca="false">P357</f>
        <v>-0.667614280106704</v>
      </c>
      <c r="AA357" s="3" t="n">
        <f aca="false">R357</f>
        <v>0</v>
      </c>
      <c r="AB357" s="21" t="n">
        <f aca="false">P357</f>
        <v>-0.667614280106704</v>
      </c>
      <c r="AC357" s="3" t="str">
        <f aca="false">Y357</f>
        <v/>
      </c>
      <c r="AD357" s="3" t="n">
        <f aca="false">R357</f>
        <v>0</v>
      </c>
    </row>
    <row r="358" customFormat="false" ht="15" hidden="false" customHeight="true" outlineLevel="0" collapsed="false">
      <c r="A358" s="7" t="s">
        <v>66</v>
      </c>
      <c r="B358" s="7" t="n">
        <v>1923</v>
      </c>
      <c r="C358" s="7" t="s">
        <v>151</v>
      </c>
      <c r="D358" s="7" t="n">
        <v>82</v>
      </c>
      <c r="E358" s="7" t="n">
        <v>71</v>
      </c>
      <c r="F358" s="3" t="n">
        <f aca="false">COUNTIFS($B$2:$B$2705,B358,$C$2:$C$2705,C358)</f>
        <v>1</v>
      </c>
      <c r="G358" s="3" t="n">
        <f aca="false">MIN(INT((MIN(B358,2020)-1900)/10)+1,12)</f>
        <v>3</v>
      </c>
      <c r="H358" s="3" t="n">
        <f aca="false">(MIN(B358,2020)-1900-10*(G358-1))/10</f>
        <v>0.3</v>
      </c>
      <c r="I358" s="20" t="n">
        <f aca="false">EXP(LN(INDEX(Pop_Inputs!$B$2:$N$29,MATCH(C358,Pop_Inputs!$A$2:$A$29,0),G358))*(1-H358)+LN(INDEX(Pop_Inputs!$B$2:$N$29,MATCH(C358,Pop_Inputs!$A$2:$A$29,0),G358+1))*H358)</f>
        <v>826599.260513833</v>
      </c>
      <c r="J358" s="20" t="n">
        <f aca="false">I358/F358</f>
        <v>826599.260513833</v>
      </c>
      <c r="K358" s="21" t="n">
        <f aca="false">D358/(D358+E358)</f>
        <v>0.535947712418301</v>
      </c>
      <c r="L358" s="21" t="n">
        <f aca="false">AVERAGEIFS($K$2:$K$2705,$B$2:$B$2705,B358)</f>
        <v>0.500055634295185</v>
      </c>
      <c r="M358" s="21" t="n">
        <f aca="false">K358-L358</f>
        <v>0.0358920781231152</v>
      </c>
      <c r="N358" s="21" t="n">
        <f aca="false">LN(J358)</f>
        <v>13.6250752864475</v>
      </c>
      <c r="O358" s="21" t="n">
        <f aca="false">AVERAGEIFS($N$2:$N$2705,$B$2:$B$2705,B358)</f>
        <v>13.6051202106669</v>
      </c>
      <c r="P358" s="21" t="n">
        <f aca="false">N358-O358</f>
        <v>0.0199550757806151</v>
      </c>
      <c r="Q358" s="7" t="n">
        <v>0</v>
      </c>
      <c r="R358" s="3" t="n">
        <f aca="false">IF(AND(Q358=1,B358-_xlfn.MINIFS($B$2:$B$2705,$A$2:$A$2705,A358)&lt;10),1,0)</f>
        <v>0</v>
      </c>
      <c r="S358" s="7" t="n">
        <v>0</v>
      </c>
      <c r="T358" s="3" t="n">
        <f aca="false">_xlfn.MINIFS($B$2:$B$2705,$A$2:$A$2705,A358)</f>
        <v>1901</v>
      </c>
      <c r="U358" s="3" t="n">
        <f aca="false">B358-T358</f>
        <v>22</v>
      </c>
      <c r="V358" s="3" t="str">
        <f aca="false">INDEX(Pop_Inputs!$Q$2:$Q$29,MATCH(C358,Pop_Inputs!$A$2:$A$29,0))</f>
        <v>Midwest</v>
      </c>
      <c r="W358" s="30"/>
      <c r="X358" s="3" t="str">
        <f aca="false">IF(W358="","",LN(W358))</f>
        <v/>
      </c>
      <c r="Y358" s="3" t="str">
        <f aca="false">IF(X358="","",X358-AVERAGEIFS($X$2:$X$2705,$B$2:$B$2705,B358))</f>
        <v/>
      </c>
      <c r="Z358" s="21" t="n">
        <f aca="false">P358</f>
        <v>0.0199550757806151</v>
      </c>
      <c r="AA358" s="3" t="n">
        <f aca="false">R358</f>
        <v>0</v>
      </c>
      <c r="AB358" s="21" t="n">
        <f aca="false">P358</f>
        <v>0.0199550757806151</v>
      </c>
      <c r="AC358" s="3" t="str">
        <f aca="false">Y358</f>
        <v/>
      </c>
      <c r="AD358" s="3" t="n">
        <f aca="false">R358</f>
        <v>0</v>
      </c>
    </row>
    <row r="359" customFormat="false" ht="15" hidden="false" customHeight="true" outlineLevel="0" collapsed="false">
      <c r="A359" s="7" t="s">
        <v>67</v>
      </c>
      <c r="B359" s="7" t="n">
        <v>1923</v>
      </c>
      <c r="C359" s="7" t="s">
        <v>152</v>
      </c>
      <c r="D359" s="7" t="n">
        <v>83</v>
      </c>
      <c r="E359" s="7" t="n">
        <v>71</v>
      </c>
      <c r="F359" s="3" t="n">
        <f aca="false">COUNTIFS($B$2:$B$2705,B359,$C$2:$C$2705,C359)</f>
        <v>1</v>
      </c>
      <c r="G359" s="3" t="n">
        <f aca="false">MIN(INT((MIN(B359,2020)-1900)/10)+1,12)</f>
        <v>3</v>
      </c>
      <c r="H359" s="3" t="n">
        <f aca="false">(MIN(B359,2020)-1900-10*(G359-1))/10</f>
        <v>0.3</v>
      </c>
      <c r="I359" s="20" t="n">
        <f aca="false">EXP(LN(INDEX(Pop_Inputs!$B$2:$N$29,MATCH(C359,Pop_Inputs!$A$2:$A$29,0),G359))*(1-H359)+LN(INDEX(Pop_Inputs!$B$2:$N$29,MATCH(C359,Pop_Inputs!$A$2:$A$29,0),G359+1))*H359)</f>
        <v>1139543.17690653</v>
      </c>
      <c r="J359" s="20" t="n">
        <f aca="false">I359/F359</f>
        <v>1139543.17690653</v>
      </c>
      <c r="K359" s="21" t="n">
        <f aca="false">D359/(D359+E359)</f>
        <v>0.538961038961039</v>
      </c>
      <c r="L359" s="21" t="n">
        <f aca="false">AVERAGEIFS($K$2:$K$2705,$B$2:$B$2705,B359)</f>
        <v>0.500055634295185</v>
      </c>
      <c r="M359" s="21" t="n">
        <f aca="false">K359-L359</f>
        <v>0.0389054046658536</v>
      </c>
      <c r="N359" s="21" t="n">
        <f aca="false">LN(J359)</f>
        <v>13.9461380180483</v>
      </c>
      <c r="O359" s="21" t="n">
        <f aca="false">AVERAGEIFS($N$2:$N$2705,$B$2:$B$2705,B359)</f>
        <v>13.6051202106669</v>
      </c>
      <c r="P359" s="21" t="n">
        <f aca="false">N359-O359</f>
        <v>0.341017807381455</v>
      </c>
      <c r="Q359" s="7" t="n">
        <v>0</v>
      </c>
      <c r="R359" s="3" t="n">
        <f aca="false">IF(AND(Q359=1,B359-_xlfn.MINIFS($B$2:$B$2705,$A$2:$A$2705,A359)&lt;10),1,0)</f>
        <v>0</v>
      </c>
      <c r="S359" s="7" t="n">
        <v>0</v>
      </c>
      <c r="T359" s="3" t="n">
        <f aca="false">_xlfn.MINIFS($B$2:$B$2705,$A$2:$A$2705,A359)</f>
        <v>1901</v>
      </c>
      <c r="U359" s="3" t="n">
        <f aca="false">B359-T359</f>
        <v>22</v>
      </c>
      <c r="V359" s="3" t="str">
        <f aca="false">INDEX(Pop_Inputs!$Q$2:$Q$29,MATCH(C359,Pop_Inputs!$A$2:$A$29,0))</f>
        <v>Midwest</v>
      </c>
      <c r="W359" s="30"/>
      <c r="X359" s="3" t="str">
        <f aca="false">IF(W359="","",LN(W359))</f>
        <v/>
      </c>
      <c r="Y359" s="3" t="str">
        <f aca="false">IF(X359="","",X359-AVERAGEIFS($X$2:$X$2705,$B$2:$B$2705,B359))</f>
        <v/>
      </c>
      <c r="Z359" s="21" t="n">
        <f aca="false">P359</f>
        <v>0.341017807381455</v>
      </c>
      <c r="AA359" s="3" t="n">
        <f aca="false">R359</f>
        <v>0</v>
      </c>
      <c r="AB359" s="21" t="n">
        <f aca="false">P359</f>
        <v>0.341017807381455</v>
      </c>
      <c r="AC359" s="3" t="str">
        <f aca="false">Y359</f>
        <v/>
      </c>
      <c r="AD359" s="3" t="n">
        <f aca="false">R359</f>
        <v>0</v>
      </c>
    </row>
    <row r="360" customFormat="false" ht="15" hidden="false" customHeight="true" outlineLevel="0" collapsed="false">
      <c r="A360" s="7" t="s">
        <v>62</v>
      </c>
      <c r="B360" s="7" t="n">
        <v>1923</v>
      </c>
      <c r="C360" s="7" t="s">
        <v>154</v>
      </c>
      <c r="D360" s="7" t="n">
        <v>76</v>
      </c>
      <c r="E360" s="7" t="n">
        <v>78</v>
      </c>
      <c r="F360" s="3" t="n">
        <f aca="false">COUNTIFS($B$2:$B$2705,B360,$C$2:$C$2705,C360)</f>
        <v>3</v>
      </c>
      <c r="G360" s="3" t="n">
        <f aca="false">MIN(INT((MIN(B360,2020)-1900)/10)+1,12)</f>
        <v>3</v>
      </c>
      <c r="H360" s="3" t="n">
        <f aca="false">(MIN(B360,2020)-1900-10*(G360-1))/10</f>
        <v>0.3</v>
      </c>
      <c r="I360" s="20" t="n">
        <f aca="false">EXP(LN(INDEX(Pop_Inputs!$B$2:$N$29,MATCH(C360,Pop_Inputs!$A$2:$A$29,0),G360))*(1-H360)+LN(INDEX(Pop_Inputs!$B$2:$N$29,MATCH(C360,Pop_Inputs!$A$2:$A$29,0),G360+1))*H360)</f>
        <v>5984754.9494595</v>
      </c>
      <c r="J360" s="20" t="n">
        <f aca="false">I360/F360</f>
        <v>1994918.3164865</v>
      </c>
      <c r="K360" s="21" t="n">
        <f aca="false">D360/(D360+E360)</f>
        <v>0.493506493506494</v>
      </c>
      <c r="L360" s="21" t="n">
        <f aca="false">AVERAGEIFS($K$2:$K$2705,$B$2:$B$2705,B360)</f>
        <v>0.500055634295185</v>
      </c>
      <c r="M360" s="21" t="n">
        <f aca="false">K360-L360</f>
        <v>-0.0065491407886919</v>
      </c>
      <c r="N360" s="21" t="n">
        <f aca="false">LN(J360)</f>
        <v>14.5061136633508</v>
      </c>
      <c r="O360" s="21" t="n">
        <f aca="false">AVERAGEIFS($N$2:$N$2705,$B$2:$B$2705,B360)</f>
        <v>13.6051202106669</v>
      </c>
      <c r="P360" s="21" t="n">
        <f aca="false">N360-O360</f>
        <v>0.900993452683936</v>
      </c>
      <c r="Q360" s="7" t="n">
        <v>0</v>
      </c>
      <c r="R360" s="3" t="n">
        <f aca="false">IF(AND(Q360=1,B360-_xlfn.MINIFS($B$2:$B$2705,$A$2:$A$2705,A360)&lt;10),1,0)</f>
        <v>0</v>
      </c>
      <c r="S360" s="7" t="n">
        <v>0</v>
      </c>
      <c r="T360" s="3" t="n">
        <f aca="false">_xlfn.MINIFS($B$2:$B$2705,$A$2:$A$2705,A360)</f>
        <v>1901</v>
      </c>
      <c r="U360" s="3" t="n">
        <f aca="false">B360-T360</f>
        <v>22</v>
      </c>
      <c r="V360" s="3" t="str">
        <f aca="false">INDEX(Pop_Inputs!$Q$2:$Q$29,MATCH(C360,Pop_Inputs!$A$2:$A$29,0))</f>
        <v>Northeast</v>
      </c>
      <c r="W360" s="30"/>
      <c r="X360" s="3" t="str">
        <f aca="false">IF(W360="","",LN(W360))</f>
        <v/>
      </c>
      <c r="Y360" s="3" t="str">
        <f aca="false">IF(X360="","",X360-AVERAGEIFS($X$2:$X$2705,$B$2:$B$2705,B360))</f>
        <v/>
      </c>
      <c r="Z360" s="21" t="n">
        <f aca="false">P360</f>
        <v>0.900993452683936</v>
      </c>
      <c r="AA360" s="3" t="n">
        <f aca="false">R360</f>
        <v>0</v>
      </c>
      <c r="AB360" s="21" t="n">
        <f aca="false">P360</f>
        <v>0.900993452683936</v>
      </c>
      <c r="AC360" s="3" t="str">
        <f aca="false">Y360</f>
        <v/>
      </c>
      <c r="AD360" s="3" t="n">
        <f aca="false">R360</f>
        <v>0</v>
      </c>
    </row>
    <row r="361" customFormat="false" ht="15" hidden="false" customHeight="true" outlineLevel="0" collapsed="false">
      <c r="A361" s="7" t="s">
        <v>68</v>
      </c>
      <c r="B361" s="7" t="n">
        <v>1923</v>
      </c>
      <c r="C361" s="7" t="s">
        <v>160</v>
      </c>
      <c r="D361" s="7" t="n">
        <v>75</v>
      </c>
      <c r="E361" s="7" t="n">
        <v>78</v>
      </c>
      <c r="F361" s="3" t="n">
        <f aca="false">COUNTIFS($B$2:$B$2705,B361,$C$2:$C$2705,C361)</f>
        <v>1</v>
      </c>
      <c r="G361" s="3" t="n">
        <f aca="false">MIN(INT((MIN(B361,2020)-1900)/10)+1,12)</f>
        <v>3</v>
      </c>
      <c r="H361" s="3" t="n">
        <f aca="false">(MIN(B361,2020)-1900-10*(G361-1))/10</f>
        <v>0.3</v>
      </c>
      <c r="I361" s="20" t="n">
        <f aca="false">EXP(LN(INDEX(Pop_Inputs!$B$2:$N$29,MATCH(C361,Pop_Inputs!$A$2:$A$29,0),G361))*(1-H361)+LN(INDEX(Pop_Inputs!$B$2:$N$29,MATCH(C361,Pop_Inputs!$A$2:$A$29,0),G361+1))*H361)</f>
        <v>451811.841257063</v>
      </c>
      <c r="J361" s="20" t="n">
        <f aca="false">I361/F361</f>
        <v>451811.841257063</v>
      </c>
      <c r="K361" s="21" t="n">
        <f aca="false">D361/(D361+E361)</f>
        <v>0.490196078431373</v>
      </c>
      <c r="L361" s="21" t="n">
        <f aca="false">AVERAGEIFS($K$2:$K$2705,$B$2:$B$2705,B361)</f>
        <v>0.500055634295185</v>
      </c>
      <c r="M361" s="21" t="n">
        <f aca="false">K361-L361</f>
        <v>-0.00985955586381287</v>
      </c>
      <c r="N361" s="21" t="n">
        <f aca="false">LN(J361)</f>
        <v>13.0210210917409</v>
      </c>
      <c r="O361" s="21" t="n">
        <f aca="false">AVERAGEIFS($N$2:$N$2705,$B$2:$B$2705,B361)</f>
        <v>13.6051202106669</v>
      </c>
      <c r="P361" s="21" t="n">
        <f aca="false">N361-O361</f>
        <v>-0.584099118925991</v>
      </c>
      <c r="Q361" s="7" t="n">
        <v>0</v>
      </c>
      <c r="R361" s="3" t="n">
        <f aca="false">IF(AND(Q361=1,B361-_xlfn.MINIFS($B$2:$B$2705,$A$2:$A$2705,A361)&lt;10),1,0)</f>
        <v>0</v>
      </c>
      <c r="S361" s="7" t="n">
        <v>0</v>
      </c>
      <c r="T361" s="3" t="n">
        <f aca="false">_xlfn.MINIFS($B$2:$B$2705,$A$2:$A$2705,A361)</f>
        <v>1901</v>
      </c>
      <c r="U361" s="3" t="n">
        <f aca="false">B361-T361</f>
        <v>22</v>
      </c>
      <c r="V361" s="3" t="str">
        <f aca="false">INDEX(Pop_Inputs!$Q$2:$Q$29,MATCH(C361,Pop_Inputs!$A$2:$A$29,0))</f>
        <v>South</v>
      </c>
      <c r="W361" s="30"/>
      <c r="X361" s="3" t="str">
        <f aca="false">IF(W361="","",LN(W361))</f>
        <v/>
      </c>
      <c r="Y361" s="3" t="str">
        <f aca="false">IF(X361="","",X361-AVERAGEIFS($X$2:$X$2705,$B$2:$B$2705,B361))</f>
        <v/>
      </c>
      <c r="Z361" s="21" t="n">
        <f aca="false">P361</f>
        <v>-0.584099118925991</v>
      </c>
      <c r="AA361" s="3" t="n">
        <f aca="false">R361</f>
        <v>0</v>
      </c>
      <c r="AB361" s="21" t="n">
        <f aca="false">P361</f>
        <v>-0.584099118925991</v>
      </c>
      <c r="AC361" s="3" t="str">
        <f aca="false">Y361</f>
        <v/>
      </c>
      <c r="AD361" s="3" t="n">
        <f aca="false">R361</f>
        <v>0</v>
      </c>
    </row>
    <row r="362" customFormat="false" ht="15" hidden="false" customHeight="true" outlineLevel="0" collapsed="false">
      <c r="A362" s="7" t="s">
        <v>70</v>
      </c>
      <c r="B362" s="7" t="n">
        <v>1923</v>
      </c>
      <c r="C362" s="7" t="s">
        <v>154</v>
      </c>
      <c r="D362" s="7" t="n">
        <v>98</v>
      </c>
      <c r="E362" s="7" t="n">
        <v>54</v>
      </c>
      <c r="F362" s="3" t="n">
        <f aca="false">COUNTIFS($B$2:$B$2705,B362,$C$2:$C$2705,C362)</f>
        <v>3</v>
      </c>
      <c r="G362" s="3" t="n">
        <f aca="false">MIN(INT((MIN(B362,2020)-1900)/10)+1,12)</f>
        <v>3</v>
      </c>
      <c r="H362" s="3" t="n">
        <f aca="false">(MIN(B362,2020)-1900-10*(G362-1))/10</f>
        <v>0.3</v>
      </c>
      <c r="I362" s="20" t="n">
        <f aca="false">EXP(LN(INDEX(Pop_Inputs!$B$2:$N$29,MATCH(C362,Pop_Inputs!$A$2:$A$29,0),G362))*(1-H362)+LN(INDEX(Pop_Inputs!$B$2:$N$29,MATCH(C362,Pop_Inputs!$A$2:$A$29,0),G362+1))*H362)</f>
        <v>5984754.9494595</v>
      </c>
      <c r="J362" s="20" t="n">
        <f aca="false">I362/F362</f>
        <v>1994918.3164865</v>
      </c>
      <c r="K362" s="21" t="n">
        <f aca="false">D362/(D362+E362)</f>
        <v>0.644736842105263</v>
      </c>
      <c r="L362" s="21" t="n">
        <f aca="false">AVERAGEIFS($K$2:$K$2705,$B$2:$B$2705,B362)</f>
        <v>0.500055634295185</v>
      </c>
      <c r="M362" s="21" t="n">
        <f aca="false">K362-L362</f>
        <v>0.144681207810078</v>
      </c>
      <c r="N362" s="21" t="n">
        <f aca="false">LN(J362)</f>
        <v>14.5061136633508</v>
      </c>
      <c r="O362" s="21" t="n">
        <f aca="false">AVERAGEIFS($N$2:$N$2705,$B$2:$B$2705,B362)</f>
        <v>13.6051202106669</v>
      </c>
      <c r="P362" s="21" t="n">
        <f aca="false">N362-O362</f>
        <v>0.900993452683936</v>
      </c>
      <c r="Q362" s="7" t="n">
        <v>0</v>
      </c>
      <c r="R362" s="3" t="n">
        <f aca="false">IF(AND(Q362=1,B362-_xlfn.MINIFS($B$2:$B$2705,$A$2:$A$2705,A362)&lt;10),1,0)</f>
        <v>0</v>
      </c>
      <c r="S362" s="7" t="n">
        <v>1</v>
      </c>
      <c r="T362" s="3" t="n">
        <f aca="false">_xlfn.MINIFS($B$2:$B$2705,$A$2:$A$2705,A362)</f>
        <v>1903</v>
      </c>
      <c r="U362" s="3" t="n">
        <f aca="false">B362-T362</f>
        <v>20</v>
      </c>
      <c r="V362" s="3" t="str">
        <f aca="false">INDEX(Pop_Inputs!$Q$2:$Q$29,MATCH(C362,Pop_Inputs!$A$2:$A$29,0))</f>
        <v>Northeast</v>
      </c>
      <c r="W362" s="30"/>
      <c r="X362" s="3" t="str">
        <f aca="false">IF(W362="","",LN(W362))</f>
        <v/>
      </c>
      <c r="Y362" s="3" t="str">
        <f aca="false">IF(X362="","",X362-AVERAGEIFS($X$2:$X$2705,$B$2:$B$2705,B362))</f>
        <v/>
      </c>
      <c r="Z362" s="21" t="n">
        <f aca="false">P362</f>
        <v>0.900993452683936</v>
      </c>
      <c r="AA362" s="3" t="n">
        <f aca="false">R362</f>
        <v>0</v>
      </c>
      <c r="AB362" s="21" t="n">
        <f aca="false">P362</f>
        <v>0.900993452683936</v>
      </c>
      <c r="AC362" s="3" t="str">
        <f aca="false">Y362</f>
        <v/>
      </c>
      <c r="AD362" s="3" t="n">
        <f aca="false">R362</f>
        <v>0</v>
      </c>
    </row>
    <row r="363" customFormat="false" ht="15" hidden="false" customHeight="true" outlineLevel="0" collapsed="false">
      <c r="A363" s="7" t="s">
        <v>69</v>
      </c>
      <c r="B363" s="7" t="n">
        <v>1923</v>
      </c>
      <c r="C363" s="7" t="s">
        <v>146</v>
      </c>
      <c r="D363" s="7" t="n">
        <v>69</v>
      </c>
      <c r="E363" s="7" t="n">
        <v>83</v>
      </c>
      <c r="F363" s="3" t="n">
        <f aca="false">COUNTIFS($B$2:$B$2705,B363,$C$2:$C$2705,C363)</f>
        <v>2</v>
      </c>
      <c r="G363" s="3" t="n">
        <f aca="false">MIN(INT((MIN(B363,2020)-1900)/10)+1,12)</f>
        <v>3</v>
      </c>
      <c r="H363" s="3" t="n">
        <f aca="false">(MIN(B363,2020)-1900-10*(G363-1))/10</f>
        <v>0.3</v>
      </c>
      <c r="I363" s="20" t="n">
        <f aca="false">EXP(LN(INDEX(Pop_Inputs!$B$2:$N$29,MATCH(C363,Pop_Inputs!$A$2:$A$29,0),G363))*(1-H363)+LN(INDEX(Pop_Inputs!$B$2:$N$29,MATCH(C363,Pop_Inputs!$A$2:$A$29,0),G363+1))*H363)</f>
        <v>1861037.49816752</v>
      </c>
      <c r="J363" s="20" t="n">
        <f aca="false">I363/F363</f>
        <v>930518.74908376</v>
      </c>
      <c r="K363" s="21" t="n">
        <f aca="false">D363/(D363+E363)</f>
        <v>0.453947368421053</v>
      </c>
      <c r="L363" s="21" t="n">
        <f aca="false">AVERAGEIFS($K$2:$K$2705,$B$2:$B$2705,B363)</f>
        <v>0.500055634295185</v>
      </c>
      <c r="M363" s="21" t="n">
        <f aca="false">K363-L363</f>
        <v>-0.0461082658741328</v>
      </c>
      <c r="N363" s="21" t="n">
        <f aca="false">LN(J363)</f>
        <v>13.7434975043335</v>
      </c>
      <c r="O363" s="21" t="n">
        <f aca="false">AVERAGEIFS($N$2:$N$2705,$B$2:$B$2705,B363)</f>
        <v>13.6051202106669</v>
      </c>
      <c r="P363" s="21" t="n">
        <f aca="false">N363-O363</f>
        <v>0.138377293666624</v>
      </c>
      <c r="Q363" s="7" t="n">
        <v>0</v>
      </c>
      <c r="R363" s="3" t="n">
        <f aca="false">IF(AND(Q363=1,B363-_xlfn.MINIFS($B$2:$B$2705,$A$2:$A$2705,A363)&lt;10),1,0)</f>
        <v>0</v>
      </c>
      <c r="S363" s="7" t="n">
        <v>0</v>
      </c>
      <c r="T363" s="3" t="n">
        <f aca="false">_xlfn.MINIFS($B$2:$B$2705,$A$2:$A$2705,A363)</f>
        <v>1901</v>
      </c>
      <c r="U363" s="3" t="n">
        <f aca="false">B363-T363</f>
        <v>22</v>
      </c>
      <c r="V363" s="3" t="str">
        <f aca="false">INDEX(Pop_Inputs!$Q$2:$Q$29,MATCH(C363,Pop_Inputs!$A$2:$A$29,0))</f>
        <v>Northeast</v>
      </c>
      <c r="W363" s="30"/>
      <c r="X363" s="3" t="str">
        <f aca="false">IF(W363="","",LN(W363))</f>
        <v/>
      </c>
      <c r="Y363" s="3" t="str">
        <f aca="false">IF(X363="","",X363-AVERAGEIFS($X$2:$X$2705,$B$2:$B$2705,B363))</f>
        <v/>
      </c>
      <c r="Z363" s="21" t="n">
        <f aca="false">P363</f>
        <v>0.138377293666624</v>
      </c>
      <c r="AA363" s="3" t="n">
        <f aca="false">R363</f>
        <v>0</v>
      </c>
      <c r="AB363" s="21" t="n">
        <f aca="false">P363</f>
        <v>0.138377293666624</v>
      </c>
      <c r="AC363" s="3" t="str">
        <f aca="false">Y363</f>
        <v/>
      </c>
      <c r="AD363" s="3" t="n">
        <f aca="false">R363</f>
        <v>0</v>
      </c>
    </row>
    <row r="364" customFormat="false" ht="15" hidden="false" customHeight="true" outlineLevel="0" collapsed="false">
      <c r="A364" s="7" t="s">
        <v>60</v>
      </c>
      <c r="B364" s="7" t="n">
        <v>1923</v>
      </c>
      <c r="C364" s="7" t="s">
        <v>146</v>
      </c>
      <c r="D364" s="7" t="n">
        <v>50</v>
      </c>
      <c r="E364" s="7" t="n">
        <v>104</v>
      </c>
      <c r="F364" s="3" t="n">
        <f aca="false">COUNTIFS($B$2:$B$2705,B364,$C$2:$C$2705,C364)</f>
        <v>2</v>
      </c>
      <c r="G364" s="3" t="n">
        <f aca="false">MIN(INT((MIN(B364,2020)-1900)/10)+1,12)</f>
        <v>3</v>
      </c>
      <c r="H364" s="3" t="n">
        <f aca="false">(MIN(B364,2020)-1900-10*(G364-1))/10</f>
        <v>0.3</v>
      </c>
      <c r="I364" s="20" t="n">
        <f aca="false">EXP(LN(INDEX(Pop_Inputs!$B$2:$N$29,MATCH(C364,Pop_Inputs!$A$2:$A$29,0),G364))*(1-H364)+LN(INDEX(Pop_Inputs!$B$2:$N$29,MATCH(C364,Pop_Inputs!$A$2:$A$29,0),G364+1))*H364)</f>
        <v>1861037.49816752</v>
      </c>
      <c r="J364" s="20" t="n">
        <f aca="false">I364/F364</f>
        <v>930518.74908376</v>
      </c>
      <c r="K364" s="21" t="n">
        <f aca="false">D364/(D364+E364)</f>
        <v>0.324675324675325</v>
      </c>
      <c r="L364" s="21" t="n">
        <f aca="false">AVERAGEIFS($K$2:$K$2705,$B$2:$B$2705,B364)</f>
        <v>0.500055634295185</v>
      </c>
      <c r="M364" s="21" t="n">
        <f aca="false">K364-L364</f>
        <v>-0.175380309619861</v>
      </c>
      <c r="N364" s="21" t="n">
        <f aca="false">LN(J364)</f>
        <v>13.7434975043335</v>
      </c>
      <c r="O364" s="21" t="n">
        <f aca="false">AVERAGEIFS($N$2:$N$2705,$B$2:$B$2705,B364)</f>
        <v>13.6051202106669</v>
      </c>
      <c r="P364" s="21" t="n">
        <f aca="false">N364-O364</f>
        <v>0.138377293666624</v>
      </c>
      <c r="Q364" s="7" t="n">
        <v>0</v>
      </c>
      <c r="R364" s="3" t="n">
        <f aca="false">IF(AND(Q364=1,B364-_xlfn.MINIFS($B$2:$B$2705,$A$2:$A$2705,A364)&lt;10),1,0)</f>
        <v>0</v>
      </c>
      <c r="S364" s="7" t="n">
        <v>0</v>
      </c>
      <c r="T364" s="3" t="n">
        <f aca="false">_xlfn.MINIFS($B$2:$B$2705,$A$2:$A$2705,A364)</f>
        <v>1901</v>
      </c>
      <c r="U364" s="3" t="n">
        <f aca="false">B364-T364</f>
        <v>22</v>
      </c>
      <c r="V364" s="3" t="str">
        <f aca="false">INDEX(Pop_Inputs!$Q$2:$Q$29,MATCH(C364,Pop_Inputs!$A$2:$A$29,0))</f>
        <v>Northeast</v>
      </c>
      <c r="W364" s="30"/>
      <c r="X364" s="3" t="str">
        <f aca="false">IF(W364="","",LN(W364))</f>
        <v/>
      </c>
      <c r="Y364" s="3" t="str">
        <f aca="false">IF(X364="","",X364-AVERAGEIFS($X$2:$X$2705,$B$2:$B$2705,B364))</f>
        <v/>
      </c>
      <c r="Z364" s="21" t="n">
        <f aca="false">P364</f>
        <v>0.138377293666624</v>
      </c>
      <c r="AA364" s="3" t="n">
        <f aca="false">R364</f>
        <v>0</v>
      </c>
      <c r="AB364" s="21" t="n">
        <f aca="false">P364</f>
        <v>0.138377293666624</v>
      </c>
      <c r="AC364" s="3" t="str">
        <f aca="false">Y364</f>
        <v/>
      </c>
      <c r="AD364" s="3" t="n">
        <f aca="false">R364</f>
        <v>0</v>
      </c>
    </row>
    <row r="365" customFormat="false" ht="15" hidden="false" customHeight="true" outlineLevel="0" collapsed="false">
      <c r="A365" s="7" t="s">
        <v>58</v>
      </c>
      <c r="B365" s="7" t="n">
        <v>1923</v>
      </c>
      <c r="C365" s="7" t="s">
        <v>144</v>
      </c>
      <c r="D365" s="7" t="n">
        <v>87</v>
      </c>
      <c r="E365" s="7" t="n">
        <v>67</v>
      </c>
      <c r="F365" s="3" t="n">
        <f aca="false">COUNTIFS($B$2:$B$2705,B365,$C$2:$C$2705,C365)</f>
        <v>1</v>
      </c>
      <c r="G365" s="3" t="n">
        <f aca="false">MIN(INT((MIN(B365,2020)-1900)/10)+1,12)</f>
        <v>3</v>
      </c>
      <c r="H365" s="3" t="n">
        <f aca="false">(MIN(B365,2020)-1900-10*(G365-1))/10</f>
        <v>0.3</v>
      </c>
      <c r="I365" s="20" t="n">
        <f aca="false">EXP(LN(INDEX(Pop_Inputs!$B$2:$N$29,MATCH(C365,Pop_Inputs!$A$2:$A$29,0),G365))*(1-H365)+LN(INDEX(Pop_Inputs!$B$2:$N$29,MATCH(C365,Pop_Inputs!$A$2:$A$29,0),G365+1))*H365)</f>
        <v>611685.609185112</v>
      </c>
      <c r="J365" s="20" t="n">
        <f aca="false">I365/F365</f>
        <v>611685.609185112</v>
      </c>
      <c r="K365" s="21" t="n">
        <f aca="false">D365/(D365+E365)</f>
        <v>0.564935064935065</v>
      </c>
      <c r="L365" s="21" t="n">
        <f aca="false">AVERAGEIFS($K$2:$K$2705,$B$2:$B$2705,B365)</f>
        <v>0.500055634295185</v>
      </c>
      <c r="M365" s="21" t="n">
        <f aca="false">K365-L365</f>
        <v>0.0648794306398796</v>
      </c>
      <c r="N365" s="21" t="n">
        <f aca="false">LN(J365)</f>
        <v>13.3239737190182</v>
      </c>
      <c r="O365" s="21" t="n">
        <f aca="false">AVERAGEIFS($N$2:$N$2705,$B$2:$B$2705,B365)</f>
        <v>13.6051202106669</v>
      </c>
      <c r="P365" s="21" t="n">
        <f aca="false">N365-O365</f>
        <v>-0.281146491648705</v>
      </c>
      <c r="Q365" s="7" t="n">
        <v>0</v>
      </c>
      <c r="R365" s="3" t="n">
        <f aca="false">IF(AND(Q365=1,B365-_xlfn.MINIFS($B$2:$B$2705,$A$2:$A$2705,A365)&lt;10),1,0)</f>
        <v>0</v>
      </c>
      <c r="S365" s="7" t="n">
        <v>0</v>
      </c>
      <c r="T365" s="3" t="n">
        <f aca="false">_xlfn.MINIFS($B$2:$B$2705,$A$2:$A$2705,A365)</f>
        <v>1901</v>
      </c>
      <c r="U365" s="3" t="n">
        <f aca="false">B365-T365</f>
        <v>22</v>
      </c>
      <c r="V365" s="3" t="str">
        <f aca="false">INDEX(Pop_Inputs!$Q$2:$Q$29,MATCH(C365,Pop_Inputs!$A$2:$A$29,0))</f>
        <v>Northeast</v>
      </c>
      <c r="W365" s="30"/>
      <c r="X365" s="3" t="str">
        <f aca="false">IF(W365="","",LN(W365))</f>
        <v/>
      </c>
      <c r="Y365" s="3" t="str">
        <f aca="false">IF(X365="","",X365-AVERAGEIFS($X$2:$X$2705,$B$2:$B$2705,B365))</f>
        <v/>
      </c>
      <c r="Z365" s="21" t="n">
        <f aca="false">P365</f>
        <v>-0.281146491648705</v>
      </c>
      <c r="AA365" s="3" t="n">
        <f aca="false">R365</f>
        <v>0</v>
      </c>
      <c r="AB365" s="21" t="n">
        <f aca="false">P365</f>
        <v>-0.281146491648705</v>
      </c>
      <c r="AC365" s="3" t="str">
        <f aca="false">Y365</f>
        <v/>
      </c>
      <c r="AD365" s="3" t="n">
        <f aca="false">R365</f>
        <v>0</v>
      </c>
    </row>
    <row r="366" customFormat="false" ht="15" hidden="false" customHeight="true" outlineLevel="0" collapsed="false">
      <c r="A366" s="7" t="s">
        <v>61</v>
      </c>
      <c r="B366" s="7" t="n">
        <v>1923</v>
      </c>
      <c r="C366" s="7" t="s">
        <v>154</v>
      </c>
      <c r="D366" s="7" t="n">
        <v>95</v>
      </c>
      <c r="E366" s="7" t="n">
        <v>58</v>
      </c>
      <c r="F366" s="3" t="n">
        <f aca="false">COUNTIFS($B$2:$B$2705,B366,$C$2:$C$2705,C366)</f>
        <v>3</v>
      </c>
      <c r="G366" s="3" t="n">
        <f aca="false">MIN(INT((MIN(B366,2020)-1900)/10)+1,12)</f>
        <v>3</v>
      </c>
      <c r="H366" s="3" t="n">
        <f aca="false">(MIN(B366,2020)-1900-10*(G366-1))/10</f>
        <v>0.3</v>
      </c>
      <c r="I366" s="20" t="n">
        <f aca="false">EXP(LN(INDEX(Pop_Inputs!$B$2:$N$29,MATCH(C366,Pop_Inputs!$A$2:$A$29,0),G366))*(1-H366)+LN(INDEX(Pop_Inputs!$B$2:$N$29,MATCH(C366,Pop_Inputs!$A$2:$A$29,0),G366+1))*H366)</f>
        <v>5984754.9494595</v>
      </c>
      <c r="J366" s="20" t="n">
        <f aca="false">I366/F366</f>
        <v>1994918.3164865</v>
      </c>
      <c r="K366" s="21" t="n">
        <f aca="false">D366/(D366+E366)</f>
        <v>0.620915032679739</v>
      </c>
      <c r="L366" s="21" t="n">
        <f aca="false">AVERAGEIFS($K$2:$K$2705,$B$2:$B$2705,B366)</f>
        <v>0.500055634295185</v>
      </c>
      <c r="M366" s="21" t="n">
        <f aca="false">K366-L366</f>
        <v>0.120859398384553</v>
      </c>
      <c r="N366" s="21" t="n">
        <f aca="false">LN(J366)</f>
        <v>14.5061136633508</v>
      </c>
      <c r="O366" s="21" t="n">
        <f aca="false">AVERAGEIFS($N$2:$N$2705,$B$2:$B$2705,B366)</f>
        <v>13.6051202106669</v>
      </c>
      <c r="P366" s="21" t="n">
        <f aca="false">N366-O366</f>
        <v>0.900993452683936</v>
      </c>
      <c r="Q366" s="7" t="n">
        <v>0</v>
      </c>
      <c r="R366" s="3" t="n">
        <f aca="false">IF(AND(Q366=1,B366-_xlfn.MINIFS($B$2:$B$2705,$A$2:$A$2705,A366)&lt;10),1,0)</f>
        <v>0</v>
      </c>
      <c r="S366" s="7" t="n">
        <v>0</v>
      </c>
      <c r="T366" s="3" t="n">
        <f aca="false">_xlfn.MINIFS($B$2:$B$2705,$A$2:$A$2705,A366)</f>
        <v>1901</v>
      </c>
      <c r="U366" s="3" t="n">
        <f aca="false">B366-T366</f>
        <v>22</v>
      </c>
      <c r="V366" s="3" t="str">
        <f aca="false">INDEX(Pop_Inputs!$Q$2:$Q$29,MATCH(C366,Pop_Inputs!$A$2:$A$29,0))</f>
        <v>Northeast</v>
      </c>
      <c r="W366" s="30"/>
      <c r="X366" s="3" t="str">
        <f aca="false">IF(W366="","",LN(W366))</f>
        <v/>
      </c>
      <c r="Y366" s="3" t="str">
        <f aca="false">IF(X366="","",X366-AVERAGEIFS($X$2:$X$2705,$B$2:$B$2705,B366))</f>
        <v/>
      </c>
      <c r="Z366" s="21" t="n">
        <f aca="false">P366</f>
        <v>0.900993452683936</v>
      </c>
      <c r="AA366" s="3" t="n">
        <f aca="false">R366</f>
        <v>0</v>
      </c>
      <c r="AB366" s="21" t="n">
        <f aca="false">P366</f>
        <v>0.900993452683936</v>
      </c>
      <c r="AC366" s="3" t="str">
        <f aca="false">Y366</f>
        <v/>
      </c>
      <c r="AD366" s="3" t="n">
        <f aca="false">R366</f>
        <v>0</v>
      </c>
    </row>
    <row r="367" customFormat="false" ht="15" hidden="false" customHeight="true" outlineLevel="0" collapsed="false">
      <c r="A367" s="7" t="s">
        <v>59</v>
      </c>
      <c r="B367" s="7" t="n">
        <v>1923</v>
      </c>
      <c r="C367" s="7" t="s">
        <v>145</v>
      </c>
      <c r="D367" s="7" t="n">
        <v>79</v>
      </c>
      <c r="E367" s="7" t="n">
        <v>74</v>
      </c>
      <c r="F367" s="3" t="n">
        <f aca="false">COUNTIFS($B$2:$B$2705,B367,$C$2:$C$2705,C367)</f>
        <v>2</v>
      </c>
      <c r="G367" s="3" t="n">
        <f aca="false">MIN(INT((MIN(B367,2020)-1900)/10)+1,12)</f>
        <v>3</v>
      </c>
      <c r="H367" s="3" t="n">
        <f aca="false">(MIN(B367,2020)-1900-10*(G367-1))/10</f>
        <v>0.3</v>
      </c>
      <c r="I367" s="20" t="n">
        <f aca="false">EXP(LN(INDEX(Pop_Inputs!$B$2:$N$29,MATCH(C367,Pop_Inputs!$A$2:$A$29,0),G367))*(1-H367)+LN(INDEX(Pop_Inputs!$B$2:$N$29,MATCH(C367,Pop_Inputs!$A$2:$A$29,0),G367+1))*H367)</f>
        <v>787300.1608179</v>
      </c>
      <c r="J367" s="20" t="n">
        <f aca="false">I367/F367</f>
        <v>393650.08040895</v>
      </c>
      <c r="K367" s="21" t="n">
        <f aca="false">D367/(D367+E367)</f>
        <v>0.516339869281046</v>
      </c>
      <c r="L367" s="21" t="n">
        <f aca="false">AVERAGEIFS($K$2:$K$2705,$B$2:$B$2705,B367)</f>
        <v>0.500055634295185</v>
      </c>
      <c r="M367" s="21" t="n">
        <f aca="false">K367-L367</f>
        <v>0.0162842349858604</v>
      </c>
      <c r="N367" s="21" t="n">
        <f aca="false">LN(J367)</f>
        <v>12.8832176728777</v>
      </c>
      <c r="O367" s="21" t="n">
        <f aca="false">AVERAGEIFS($N$2:$N$2705,$B$2:$B$2705,B367)</f>
        <v>13.6051202106669</v>
      </c>
      <c r="P367" s="21" t="n">
        <f aca="false">N367-O367</f>
        <v>-0.721902537789214</v>
      </c>
      <c r="Q367" s="7" t="n">
        <v>0</v>
      </c>
      <c r="R367" s="3" t="n">
        <f aca="false">IF(AND(Q367=1,B367-_xlfn.MINIFS($B$2:$B$2705,$A$2:$A$2705,A367)&lt;10),1,0)</f>
        <v>0</v>
      </c>
      <c r="S367" s="7" t="n">
        <v>0</v>
      </c>
      <c r="T367" s="3" t="n">
        <f aca="false">_xlfn.MINIFS($B$2:$B$2705,$A$2:$A$2705,A367)</f>
        <v>1901</v>
      </c>
      <c r="U367" s="3" t="n">
        <f aca="false">B367-T367</f>
        <v>22</v>
      </c>
      <c r="V367" s="3" t="str">
        <f aca="false">INDEX(Pop_Inputs!$Q$2:$Q$29,MATCH(C367,Pop_Inputs!$A$2:$A$29,0))</f>
        <v>Midwest</v>
      </c>
      <c r="W367" s="30"/>
      <c r="X367" s="3" t="str">
        <f aca="false">IF(W367="","",LN(W367))</f>
        <v/>
      </c>
      <c r="Y367" s="3" t="str">
        <f aca="false">IF(X367="","",X367-AVERAGEIFS($X$2:$X$2705,$B$2:$B$2705,B367))</f>
        <v/>
      </c>
      <c r="Z367" s="21" t="n">
        <f aca="false">P367</f>
        <v>-0.721902537789214</v>
      </c>
      <c r="AA367" s="3" t="n">
        <f aca="false">R367</f>
        <v>0</v>
      </c>
      <c r="AB367" s="21" t="n">
        <f aca="false">P367</f>
        <v>-0.721902537789214</v>
      </c>
      <c r="AC367" s="3" t="str">
        <f aca="false">Y367</f>
        <v/>
      </c>
      <c r="AD367" s="3" t="n">
        <f aca="false">R367</f>
        <v>0</v>
      </c>
    </row>
    <row r="368" customFormat="false" ht="15" hidden="false" customHeight="true" outlineLevel="0" collapsed="false">
      <c r="A368" s="7" t="s">
        <v>54</v>
      </c>
      <c r="B368" s="7" t="n">
        <v>1924</v>
      </c>
      <c r="C368" s="7" t="s">
        <v>150</v>
      </c>
      <c r="D368" s="7" t="n">
        <v>53</v>
      </c>
      <c r="E368" s="7" t="n">
        <v>100</v>
      </c>
      <c r="F368" s="3" t="n">
        <f aca="false">COUNTIFS($B$2:$B$2705,B368,$C$2:$C$2705,C368)</f>
        <v>2</v>
      </c>
      <c r="G368" s="3" t="n">
        <f aca="false">MIN(INT((MIN(B368,2020)-1900)/10)+1,12)</f>
        <v>3</v>
      </c>
      <c r="H368" s="3" t="n">
        <f aca="false">(MIN(B368,2020)-1900-10*(G368-1))/10</f>
        <v>0.4</v>
      </c>
      <c r="I368" s="20" t="n">
        <f aca="false">EXP(LN(INDEX(Pop_Inputs!$B$2:$N$29,MATCH(C368,Pop_Inputs!$A$2:$A$29,0),G368))*(1-H368)+LN(INDEX(Pop_Inputs!$B$2:$N$29,MATCH(C368,Pop_Inputs!$A$2:$A$29,0),G368+1))*H368)</f>
        <v>761139.19239528</v>
      </c>
      <c r="J368" s="20" t="n">
        <f aca="false">I368/F368</f>
        <v>380569.59619764</v>
      </c>
      <c r="K368" s="21" t="n">
        <f aca="false">D368/(D368+E368)</f>
        <v>0.34640522875817</v>
      </c>
      <c r="L368" s="21" t="n">
        <f aca="false">AVERAGEIFS($K$2:$K$2705,$B$2:$B$2705,B368)</f>
        <v>0.499860114744695</v>
      </c>
      <c r="M368" s="21" t="n">
        <f aca="false">K368-L368</f>
        <v>-0.153454885986525</v>
      </c>
      <c r="N368" s="21" t="n">
        <f aca="false">LN(J368)</f>
        <v>12.8494243467795</v>
      </c>
      <c r="O368" s="21" t="n">
        <f aca="false">AVERAGEIFS($N$2:$N$2705,$B$2:$B$2705,B368)</f>
        <v>13.6198182413879</v>
      </c>
      <c r="P368" s="21" t="n">
        <f aca="false">N368-O368</f>
        <v>-0.770393894608349</v>
      </c>
      <c r="Q368" s="7" t="n">
        <v>0</v>
      </c>
      <c r="R368" s="3" t="n">
        <f aca="false">IF(AND(Q368=1,B368-_xlfn.MINIFS($B$2:$B$2705,$A$2:$A$2705,A368)&lt;10),1,0)</f>
        <v>0</v>
      </c>
      <c r="S368" s="7" t="n">
        <v>0</v>
      </c>
      <c r="T368" s="3" t="n">
        <f aca="false">_xlfn.MINIFS($B$2:$B$2705,$A$2:$A$2705,A368)</f>
        <v>1901</v>
      </c>
      <c r="U368" s="3" t="n">
        <f aca="false">B368-T368</f>
        <v>23</v>
      </c>
      <c r="V368" s="3" t="str">
        <f aca="false">INDEX(Pop_Inputs!$Q$2:$Q$29,MATCH(C368,Pop_Inputs!$A$2:$A$29,0))</f>
        <v>Northeast</v>
      </c>
      <c r="W368" s="30"/>
      <c r="X368" s="3" t="str">
        <f aca="false">IF(W368="","",LN(W368))</f>
        <v/>
      </c>
      <c r="Y368" s="3" t="str">
        <f aca="false">IF(X368="","",X368-AVERAGEIFS($X$2:$X$2705,$B$2:$B$2705,B368))</f>
        <v/>
      </c>
      <c r="Z368" s="21" t="n">
        <f aca="false">P368</f>
        <v>-0.770393894608349</v>
      </c>
      <c r="AA368" s="3" t="n">
        <f aca="false">R368</f>
        <v>0</v>
      </c>
      <c r="AB368" s="21" t="n">
        <f aca="false">P368</f>
        <v>-0.770393894608349</v>
      </c>
      <c r="AC368" s="3" t="str">
        <f aca="false">Y368</f>
        <v/>
      </c>
      <c r="AD368" s="3" t="n">
        <f aca="false">R368</f>
        <v>0</v>
      </c>
    </row>
    <row r="369" customFormat="false" ht="15" hidden="false" customHeight="true" outlineLevel="0" collapsed="false">
      <c r="A369" s="7" t="s">
        <v>63</v>
      </c>
      <c r="B369" s="7" t="n">
        <v>1924</v>
      </c>
      <c r="C369" s="7" t="s">
        <v>145</v>
      </c>
      <c r="D369" s="7" t="n">
        <v>74</v>
      </c>
      <c r="E369" s="7" t="n">
        <v>78</v>
      </c>
      <c r="F369" s="3" t="n">
        <f aca="false">COUNTIFS($B$2:$B$2705,B369,$C$2:$C$2705,C369)</f>
        <v>2</v>
      </c>
      <c r="G369" s="3" t="n">
        <f aca="false">MIN(INT((MIN(B369,2020)-1900)/10)+1,12)</f>
        <v>3</v>
      </c>
      <c r="H369" s="3" t="n">
        <f aca="false">(MIN(B369,2020)-1900-10*(G369-1))/10</f>
        <v>0.4</v>
      </c>
      <c r="I369" s="20" t="n">
        <f aca="false">EXP(LN(INDEX(Pop_Inputs!$B$2:$N$29,MATCH(C369,Pop_Inputs!$A$2:$A$29,0),G369))*(1-H369)+LN(INDEX(Pop_Inputs!$B$2:$N$29,MATCH(C369,Pop_Inputs!$A$2:$A$29,0),G369+1))*H369)</f>
        <v>792160.615340257</v>
      </c>
      <c r="J369" s="20" t="n">
        <f aca="false">I369/F369</f>
        <v>396080.307670128</v>
      </c>
      <c r="K369" s="21" t="n">
        <f aca="false">D369/(D369+E369)</f>
        <v>0.486842105263158</v>
      </c>
      <c r="L369" s="21" t="n">
        <f aca="false">AVERAGEIFS($K$2:$K$2705,$B$2:$B$2705,B369)</f>
        <v>0.499860114744695</v>
      </c>
      <c r="M369" s="21" t="n">
        <f aca="false">K369-L369</f>
        <v>-0.0130180094815369</v>
      </c>
      <c r="N369" s="21" t="n">
        <f aca="false">LN(J369)</f>
        <v>12.8893722668228</v>
      </c>
      <c r="O369" s="21" t="n">
        <f aca="false">AVERAGEIFS($N$2:$N$2705,$B$2:$B$2705,B369)</f>
        <v>13.6198182413879</v>
      </c>
      <c r="P369" s="21" t="n">
        <f aca="false">N369-O369</f>
        <v>-0.730445974565026</v>
      </c>
      <c r="Q369" s="7" t="n">
        <v>0</v>
      </c>
      <c r="R369" s="3" t="n">
        <f aca="false">IF(AND(Q369=1,B369-_xlfn.MINIFS($B$2:$B$2705,$A$2:$A$2705,A369)&lt;10),1,0)</f>
        <v>0</v>
      </c>
      <c r="S369" s="7" t="n">
        <v>0</v>
      </c>
      <c r="T369" s="3" t="n">
        <f aca="false">_xlfn.MINIFS($B$2:$B$2705,$A$2:$A$2705,A369)</f>
        <v>1901</v>
      </c>
      <c r="U369" s="3" t="n">
        <f aca="false">B369-T369</f>
        <v>23</v>
      </c>
      <c r="V369" s="3" t="str">
        <f aca="false">INDEX(Pop_Inputs!$Q$2:$Q$29,MATCH(C369,Pop_Inputs!$A$2:$A$29,0))</f>
        <v>Midwest</v>
      </c>
      <c r="W369" s="30"/>
      <c r="X369" s="3" t="str">
        <f aca="false">IF(W369="","",LN(W369))</f>
        <v/>
      </c>
      <c r="Y369" s="3" t="str">
        <f aca="false">IF(X369="","",X369-AVERAGEIFS($X$2:$X$2705,$B$2:$B$2705,B369))</f>
        <v/>
      </c>
      <c r="Z369" s="21" t="n">
        <f aca="false">P369</f>
        <v>-0.730445974565026</v>
      </c>
      <c r="AA369" s="3" t="n">
        <f aca="false">R369</f>
        <v>0</v>
      </c>
      <c r="AB369" s="21" t="n">
        <f aca="false">P369</f>
        <v>-0.730445974565026</v>
      </c>
      <c r="AC369" s="3" t="str">
        <f aca="false">Y369</f>
        <v/>
      </c>
      <c r="AD369" s="3" t="n">
        <f aca="false">R369</f>
        <v>0</v>
      </c>
    </row>
    <row r="370" customFormat="false" ht="15" hidden="false" customHeight="true" outlineLevel="0" collapsed="false">
      <c r="A370" s="7" t="s">
        <v>64</v>
      </c>
      <c r="B370" s="7" t="n">
        <v>1924</v>
      </c>
      <c r="C370" s="7" t="s">
        <v>150</v>
      </c>
      <c r="D370" s="7" t="n">
        <v>67</v>
      </c>
      <c r="E370" s="7" t="n">
        <v>87</v>
      </c>
      <c r="F370" s="3" t="n">
        <f aca="false">COUNTIFS($B$2:$B$2705,B370,$C$2:$C$2705,C370)</f>
        <v>2</v>
      </c>
      <c r="G370" s="3" t="n">
        <f aca="false">MIN(INT((MIN(B370,2020)-1900)/10)+1,12)</f>
        <v>3</v>
      </c>
      <c r="H370" s="3" t="n">
        <f aca="false">(MIN(B370,2020)-1900-10*(G370-1))/10</f>
        <v>0.4</v>
      </c>
      <c r="I370" s="20" t="n">
        <f aca="false">EXP(LN(INDEX(Pop_Inputs!$B$2:$N$29,MATCH(C370,Pop_Inputs!$A$2:$A$29,0),G370))*(1-H370)+LN(INDEX(Pop_Inputs!$B$2:$N$29,MATCH(C370,Pop_Inputs!$A$2:$A$29,0),G370+1))*H370)</f>
        <v>761139.19239528</v>
      </c>
      <c r="J370" s="20" t="n">
        <f aca="false">I370/F370</f>
        <v>380569.59619764</v>
      </c>
      <c r="K370" s="21" t="n">
        <f aca="false">D370/(D370+E370)</f>
        <v>0.435064935064935</v>
      </c>
      <c r="L370" s="21" t="n">
        <f aca="false">AVERAGEIFS($K$2:$K$2705,$B$2:$B$2705,B370)</f>
        <v>0.499860114744695</v>
      </c>
      <c r="M370" s="21" t="n">
        <f aca="false">K370-L370</f>
        <v>-0.0647951796797598</v>
      </c>
      <c r="N370" s="21" t="n">
        <f aca="false">LN(J370)</f>
        <v>12.8494243467795</v>
      </c>
      <c r="O370" s="21" t="n">
        <f aca="false">AVERAGEIFS($N$2:$N$2705,$B$2:$B$2705,B370)</f>
        <v>13.6198182413879</v>
      </c>
      <c r="P370" s="21" t="n">
        <f aca="false">N370-O370</f>
        <v>-0.770393894608349</v>
      </c>
      <c r="Q370" s="7" t="n">
        <v>0</v>
      </c>
      <c r="R370" s="3" t="n">
        <f aca="false">IF(AND(Q370=1,B370-_xlfn.MINIFS($B$2:$B$2705,$A$2:$A$2705,A370)&lt;10),1,0)</f>
        <v>0</v>
      </c>
      <c r="S370" s="7" t="n">
        <v>0</v>
      </c>
      <c r="T370" s="3" t="n">
        <f aca="false">_xlfn.MINIFS($B$2:$B$2705,$A$2:$A$2705,A370)</f>
        <v>1901</v>
      </c>
      <c r="U370" s="3" t="n">
        <f aca="false">B370-T370</f>
        <v>23</v>
      </c>
      <c r="V370" s="3" t="str">
        <f aca="false">INDEX(Pop_Inputs!$Q$2:$Q$29,MATCH(C370,Pop_Inputs!$A$2:$A$29,0))</f>
        <v>Northeast</v>
      </c>
      <c r="W370" s="30"/>
      <c r="X370" s="3" t="str">
        <f aca="false">IF(W370="","",LN(W370))</f>
        <v/>
      </c>
      <c r="Y370" s="3" t="str">
        <f aca="false">IF(X370="","",X370-AVERAGEIFS($X$2:$X$2705,$B$2:$B$2705,B370))</f>
        <v/>
      </c>
      <c r="Z370" s="21" t="n">
        <f aca="false">P370</f>
        <v>-0.770393894608349</v>
      </c>
      <c r="AA370" s="3" t="n">
        <f aca="false">R370</f>
        <v>0</v>
      </c>
      <c r="AB370" s="21" t="n">
        <f aca="false">P370</f>
        <v>-0.770393894608349</v>
      </c>
      <c r="AC370" s="3" t="str">
        <f aca="false">Y370</f>
        <v/>
      </c>
      <c r="AD370" s="3" t="n">
        <f aca="false">R370</f>
        <v>0</v>
      </c>
    </row>
    <row r="371" customFormat="false" ht="15" hidden="false" customHeight="true" outlineLevel="0" collapsed="false">
      <c r="A371" s="7" t="s">
        <v>56</v>
      </c>
      <c r="B371" s="7" t="n">
        <v>1924</v>
      </c>
      <c r="C371" s="7" t="s">
        <v>142</v>
      </c>
      <c r="D371" s="7" t="n">
        <v>81</v>
      </c>
      <c r="E371" s="7" t="n">
        <v>72</v>
      </c>
      <c r="F371" s="3" t="n">
        <f aca="false">COUNTIFS($B$2:$B$2705,B371,$C$2:$C$2705,C371)</f>
        <v>2</v>
      </c>
      <c r="G371" s="3" t="n">
        <f aca="false">MIN(INT((MIN(B371,2020)-1900)/10)+1,12)</f>
        <v>3</v>
      </c>
      <c r="H371" s="3" t="n">
        <f aca="false">(MIN(B371,2020)-1900-10*(G371-1))/10</f>
        <v>0.4</v>
      </c>
      <c r="I371" s="20" t="n">
        <f aca="false">EXP(LN(INDEX(Pop_Inputs!$B$2:$N$29,MATCH(C371,Pop_Inputs!$A$2:$A$29,0),G371))*(1-H371)+LN(INDEX(Pop_Inputs!$B$2:$N$29,MATCH(C371,Pop_Inputs!$A$2:$A$29,0),G371+1))*H371)</f>
        <v>2953699.21560168</v>
      </c>
      <c r="J371" s="20" t="n">
        <f aca="false">I371/F371</f>
        <v>1476849.60780084</v>
      </c>
      <c r="K371" s="21" t="n">
        <f aca="false">D371/(D371+E371)</f>
        <v>0.529411764705882</v>
      </c>
      <c r="L371" s="21" t="n">
        <f aca="false">AVERAGEIFS($K$2:$K$2705,$B$2:$B$2705,B371)</f>
        <v>0.499860114744695</v>
      </c>
      <c r="M371" s="21" t="n">
        <f aca="false">K371-L371</f>
        <v>0.0295516499611875</v>
      </c>
      <c r="N371" s="21" t="n">
        <f aca="false">LN(J371)</f>
        <v>14.205421733581</v>
      </c>
      <c r="O371" s="21" t="n">
        <f aca="false">AVERAGEIFS($N$2:$N$2705,$B$2:$B$2705,B371)</f>
        <v>13.6198182413879</v>
      </c>
      <c r="P371" s="21" t="n">
        <f aca="false">N371-O371</f>
        <v>0.585603492193112</v>
      </c>
      <c r="Q371" s="7" t="n">
        <v>0</v>
      </c>
      <c r="R371" s="3" t="n">
        <f aca="false">IF(AND(Q371=1,B371-_xlfn.MINIFS($B$2:$B$2705,$A$2:$A$2705,A371)&lt;10),1,0)</f>
        <v>0</v>
      </c>
      <c r="S371" s="7" t="n">
        <v>0</v>
      </c>
      <c r="T371" s="3" t="n">
        <f aca="false">_xlfn.MINIFS($B$2:$B$2705,$A$2:$A$2705,A371)</f>
        <v>1901</v>
      </c>
      <c r="U371" s="3" t="n">
        <f aca="false">B371-T371</f>
        <v>23</v>
      </c>
      <c r="V371" s="3" t="str">
        <f aca="false">INDEX(Pop_Inputs!$Q$2:$Q$29,MATCH(C371,Pop_Inputs!$A$2:$A$29,0))</f>
        <v>Midwest</v>
      </c>
      <c r="W371" s="30"/>
      <c r="X371" s="3" t="str">
        <f aca="false">IF(W371="","",LN(W371))</f>
        <v/>
      </c>
      <c r="Y371" s="3" t="str">
        <f aca="false">IF(X371="","",X371-AVERAGEIFS($X$2:$X$2705,$B$2:$B$2705,B371))</f>
        <v/>
      </c>
      <c r="Z371" s="21" t="n">
        <f aca="false">P371</f>
        <v>0.585603492193112</v>
      </c>
      <c r="AA371" s="3" t="n">
        <f aca="false">R371</f>
        <v>0</v>
      </c>
      <c r="AB371" s="21" t="n">
        <f aca="false">P371</f>
        <v>0.585603492193112</v>
      </c>
      <c r="AC371" s="3" t="str">
        <f aca="false">Y371</f>
        <v/>
      </c>
      <c r="AD371" s="3" t="n">
        <f aca="false">R371</f>
        <v>0</v>
      </c>
    </row>
    <row r="372" customFormat="false" ht="15" hidden="false" customHeight="true" outlineLevel="0" collapsed="false">
      <c r="A372" s="7" t="s">
        <v>65</v>
      </c>
      <c r="B372" s="7" t="n">
        <v>1924</v>
      </c>
      <c r="C372" s="7" t="s">
        <v>142</v>
      </c>
      <c r="D372" s="7" t="n">
        <v>66</v>
      </c>
      <c r="E372" s="7" t="n">
        <v>87</v>
      </c>
      <c r="F372" s="3" t="n">
        <f aca="false">COUNTIFS($B$2:$B$2705,B372,$C$2:$C$2705,C372)</f>
        <v>2</v>
      </c>
      <c r="G372" s="3" t="n">
        <f aca="false">MIN(INT((MIN(B372,2020)-1900)/10)+1,12)</f>
        <v>3</v>
      </c>
      <c r="H372" s="3" t="n">
        <f aca="false">(MIN(B372,2020)-1900-10*(G372-1))/10</f>
        <v>0.4</v>
      </c>
      <c r="I372" s="20" t="n">
        <f aca="false">EXP(LN(INDEX(Pop_Inputs!$B$2:$N$29,MATCH(C372,Pop_Inputs!$A$2:$A$29,0),G372))*(1-H372)+LN(INDEX(Pop_Inputs!$B$2:$N$29,MATCH(C372,Pop_Inputs!$A$2:$A$29,0),G372+1))*H372)</f>
        <v>2953699.21560168</v>
      </c>
      <c r="J372" s="20" t="n">
        <f aca="false">I372/F372</f>
        <v>1476849.60780084</v>
      </c>
      <c r="K372" s="21" t="n">
        <f aca="false">D372/(D372+E372)</f>
        <v>0.431372549019608</v>
      </c>
      <c r="L372" s="21" t="n">
        <f aca="false">AVERAGEIFS($K$2:$K$2705,$B$2:$B$2705,B372)</f>
        <v>0.499860114744695</v>
      </c>
      <c r="M372" s="21" t="n">
        <f aca="false">K372-L372</f>
        <v>-0.068487565725087</v>
      </c>
      <c r="N372" s="21" t="n">
        <f aca="false">LN(J372)</f>
        <v>14.205421733581</v>
      </c>
      <c r="O372" s="21" t="n">
        <f aca="false">AVERAGEIFS($N$2:$N$2705,$B$2:$B$2705,B372)</f>
        <v>13.6198182413879</v>
      </c>
      <c r="P372" s="21" t="n">
        <f aca="false">N372-O372</f>
        <v>0.585603492193112</v>
      </c>
      <c r="Q372" s="7" t="n">
        <v>0</v>
      </c>
      <c r="R372" s="3" t="n">
        <f aca="false">IF(AND(Q372=1,B372-_xlfn.MINIFS($B$2:$B$2705,$A$2:$A$2705,A372)&lt;10),1,0)</f>
        <v>0</v>
      </c>
      <c r="S372" s="7" t="n">
        <v>0</v>
      </c>
      <c r="T372" s="3" t="n">
        <f aca="false">_xlfn.MINIFS($B$2:$B$2705,$A$2:$A$2705,A372)</f>
        <v>1901</v>
      </c>
      <c r="U372" s="3" t="n">
        <f aca="false">B372-T372</f>
        <v>23</v>
      </c>
      <c r="V372" s="3" t="str">
        <f aca="false">INDEX(Pop_Inputs!$Q$2:$Q$29,MATCH(C372,Pop_Inputs!$A$2:$A$29,0))</f>
        <v>Midwest</v>
      </c>
      <c r="W372" s="30"/>
      <c r="X372" s="3" t="str">
        <f aca="false">IF(W372="","",LN(W372))</f>
        <v/>
      </c>
      <c r="Y372" s="3" t="str">
        <f aca="false">IF(X372="","",X372-AVERAGEIFS($X$2:$X$2705,$B$2:$B$2705,B372))</f>
        <v/>
      </c>
      <c r="Z372" s="21" t="n">
        <f aca="false">P372</f>
        <v>0.585603492193112</v>
      </c>
      <c r="AA372" s="3" t="n">
        <f aca="false">R372</f>
        <v>0</v>
      </c>
      <c r="AB372" s="21" t="n">
        <f aca="false">P372</f>
        <v>0.585603492193112</v>
      </c>
      <c r="AC372" s="3" t="str">
        <f aca="false">Y372</f>
        <v/>
      </c>
      <c r="AD372" s="3" t="n">
        <f aca="false">R372</f>
        <v>0</v>
      </c>
    </row>
    <row r="373" customFormat="false" ht="15" hidden="false" customHeight="true" outlineLevel="0" collapsed="false">
      <c r="A373" s="7" t="s">
        <v>57</v>
      </c>
      <c r="B373" s="7" t="n">
        <v>1924</v>
      </c>
      <c r="C373" s="7" t="s">
        <v>143</v>
      </c>
      <c r="D373" s="7" t="n">
        <v>83</v>
      </c>
      <c r="E373" s="7" t="n">
        <v>70</v>
      </c>
      <c r="F373" s="3" t="n">
        <f aca="false">COUNTIFS($B$2:$B$2705,B373,$C$2:$C$2705,C373)</f>
        <v>1</v>
      </c>
      <c r="G373" s="3" t="n">
        <f aca="false">MIN(INT((MIN(B373,2020)-1900)/10)+1,12)</f>
        <v>3</v>
      </c>
      <c r="H373" s="3" t="n">
        <f aca="false">(MIN(B373,2020)-1900-10*(G373-1))/10</f>
        <v>0.4</v>
      </c>
      <c r="I373" s="20" t="n">
        <f aca="false">EXP(LN(INDEX(Pop_Inputs!$B$2:$N$29,MATCH(C373,Pop_Inputs!$A$2:$A$29,0),G373))*(1-H373)+LN(INDEX(Pop_Inputs!$B$2:$N$29,MATCH(C373,Pop_Inputs!$A$2:$A$29,0),G373+1))*H373)</f>
        <v>420512.891366924</v>
      </c>
      <c r="J373" s="20" t="n">
        <f aca="false">I373/F373</f>
        <v>420512.891366924</v>
      </c>
      <c r="K373" s="21" t="n">
        <f aca="false">D373/(D373+E373)</f>
        <v>0.542483660130719</v>
      </c>
      <c r="L373" s="21" t="n">
        <f aca="false">AVERAGEIFS($K$2:$K$2705,$B$2:$B$2705,B373)</f>
        <v>0.499860114744695</v>
      </c>
      <c r="M373" s="21" t="n">
        <f aca="false">K373-L373</f>
        <v>0.0426235453860241</v>
      </c>
      <c r="N373" s="21" t="n">
        <f aca="false">LN(J373)</f>
        <v>12.9492304151593</v>
      </c>
      <c r="O373" s="21" t="n">
        <f aca="false">AVERAGEIFS($N$2:$N$2705,$B$2:$B$2705,B373)</f>
        <v>13.6198182413879</v>
      </c>
      <c r="P373" s="21" t="n">
        <f aca="false">N373-O373</f>
        <v>-0.670587826228589</v>
      </c>
      <c r="Q373" s="7" t="n">
        <v>0</v>
      </c>
      <c r="R373" s="3" t="n">
        <f aca="false">IF(AND(Q373=1,B373-_xlfn.MINIFS($B$2:$B$2705,$A$2:$A$2705,A373)&lt;10),1,0)</f>
        <v>0</v>
      </c>
      <c r="S373" s="7" t="n">
        <v>0</v>
      </c>
      <c r="T373" s="3" t="n">
        <f aca="false">_xlfn.MINIFS($B$2:$B$2705,$A$2:$A$2705,A373)</f>
        <v>1901</v>
      </c>
      <c r="U373" s="3" t="n">
        <f aca="false">B373-T373</f>
        <v>23</v>
      </c>
      <c r="V373" s="3" t="str">
        <f aca="false">INDEX(Pop_Inputs!$Q$2:$Q$29,MATCH(C373,Pop_Inputs!$A$2:$A$29,0))</f>
        <v>Midwest</v>
      </c>
      <c r="W373" s="30"/>
      <c r="X373" s="3" t="str">
        <f aca="false">IF(W373="","",LN(W373))</f>
        <v/>
      </c>
      <c r="Y373" s="3" t="str">
        <f aca="false">IF(X373="","",X373-AVERAGEIFS($X$2:$X$2705,$B$2:$B$2705,B373))</f>
        <v/>
      </c>
      <c r="Z373" s="21" t="n">
        <f aca="false">P373</f>
        <v>-0.670587826228589</v>
      </c>
      <c r="AA373" s="3" t="n">
        <f aca="false">R373</f>
        <v>0</v>
      </c>
      <c r="AB373" s="21" t="n">
        <f aca="false">P373</f>
        <v>-0.670587826228589</v>
      </c>
      <c r="AC373" s="3" t="str">
        <f aca="false">Y373</f>
        <v/>
      </c>
      <c r="AD373" s="3" t="n">
        <f aca="false">R373</f>
        <v>0</v>
      </c>
    </row>
    <row r="374" customFormat="false" ht="15" hidden="false" customHeight="true" outlineLevel="0" collapsed="false">
      <c r="A374" s="7" t="s">
        <v>66</v>
      </c>
      <c r="B374" s="7" t="n">
        <v>1924</v>
      </c>
      <c r="C374" s="7" t="s">
        <v>151</v>
      </c>
      <c r="D374" s="7" t="n">
        <v>67</v>
      </c>
      <c r="E374" s="7" t="n">
        <v>86</v>
      </c>
      <c r="F374" s="3" t="n">
        <f aca="false">COUNTIFS($B$2:$B$2705,B374,$C$2:$C$2705,C374)</f>
        <v>1</v>
      </c>
      <c r="G374" s="3" t="n">
        <f aca="false">MIN(INT((MIN(B374,2020)-1900)/10)+1,12)</f>
        <v>3</v>
      </c>
      <c r="H374" s="3" t="n">
        <f aca="false">(MIN(B374,2020)-1900-10*(G374-1))/10</f>
        <v>0.4</v>
      </c>
      <c r="I374" s="20" t="n">
        <f aca="false">EXP(LN(INDEX(Pop_Inputs!$B$2:$N$29,MATCH(C374,Pop_Inputs!$A$2:$A$29,0),G374))*(1-H374)+LN(INDEX(Pop_Inputs!$B$2:$N$29,MATCH(C374,Pop_Inputs!$A$2:$A$29,0),G374+1))*H374)</f>
        <v>836763.624860212</v>
      </c>
      <c r="J374" s="20" t="n">
        <f aca="false">I374/F374</f>
        <v>836763.624860212</v>
      </c>
      <c r="K374" s="21" t="n">
        <f aca="false">D374/(D374+E374)</f>
        <v>0.437908496732026</v>
      </c>
      <c r="L374" s="21" t="n">
        <f aca="false">AVERAGEIFS($K$2:$K$2705,$B$2:$B$2705,B374)</f>
        <v>0.499860114744695</v>
      </c>
      <c r="M374" s="21" t="n">
        <f aca="false">K374-L374</f>
        <v>-0.0619516180126687</v>
      </c>
      <c r="N374" s="21" t="n">
        <f aca="false">LN(J374)</f>
        <v>13.6372969020127</v>
      </c>
      <c r="O374" s="21" t="n">
        <f aca="false">AVERAGEIFS($N$2:$N$2705,$B$2:$B$2705,B374)</f>
        <v>13.6198182413879</v>
      </c>
      <c r="P374" s="21" t="n">
        <f aca="false">N374-O374</f>
        <v>0.0174786606247963</v>
      </c>
      <c r="Q374" s="7" t="n">
        <v>0</v>
      </c>
      <c r="R374" s="3" t="n">
        <f aca="false">IF(AND(Q374=1,B374-_xlfn.MINIFS($B$2:$B$2705,$A$2:$A$2705,A374)&lt;10),1,0)</f>
        <v>0</v>
      </c>
      <c r="S374" s="7" t="n">
        <v>0</v>
      </c>
      <c r="T374" s="3" t="n">
        <f aca="false">_xlfn.MINIFS($B$2:$B$2705,$A$2:$A$2705,A374)</f>
        <v>1901</v>
      </c>
      <c r="U374" s="3" t="n">
        <f aca="false">B374-T374</f>
        <v>23</v>
      </c>
      <c r="V374" s="3" t="str">
        <f aca="false">INDEX(Pop_Inputs!$Q$2:$Q$29,MATCH(C374,Pop_Inputs!$A$2:$A$29,0))</f>
        <v>Midwest</v>
      </c>
      <c r="W374" s="30"/>
      <c r="X374" s="3" t="str">
        <f aca="false">IF(W374="","",LN(W374))</f>
        <v/>
      </c>
      <c r="Y374" s="3" t="str">
        <f aca="false">IF(X374="","",X374-AVERAGEIFS($X$2:$X$2705,$B$2:$B$2705,B374))</f>
        <v/>
      </c>
      <c r="Z374" s="21" t="n">
        <f aca="false">P374</f>
        <v>0.0174786606247963</v>
      </c>
      <c r="AA374" s="3" t="n">
        <f aca="false">R374</f>
        <v>0</v>
      </c>
      <c r="AB374" s="21" t="n">
        <f aca="false">P374</f>
        <v>0.0174786606247963</v>
      </c>
      <c r="AC374" s="3" t="str">
        <f aca="false">Y374</f>
        <v/>
      </c>
      <c r="AD374" s="3" t="n">
        <f aca="false">R374</f>
        <v>0</v>
      </c>
    </row>
    <row r="375" customFormat="false" ht="15" hidden="false" customHeight="true" outlineLevel="0" collapsed="false">
      <c r="A375" s="7" t="s">
        <v>67</v>
      </c>
      <c r="B375" s="7" t="n">
        <v>1924</v>
      </c>
      <c r="C375" s="7" t="s">
        <v>152</v>
      </c>
      <c r="D375" s="7" t="n">
        <v>86</v>
      </c>
      <c r="E375" s="7" t="n">
        <v>68</v>
      </c>
      <c r="F375" s="3" t="n">
        <f aca="false">COUNTIFS($B$2:$B$2705,B375,$C$2:$C$2705,C375)</f>
        <v>1</v>
      </c>
      <c r="G375" s="3" t="n">
        <f aca="false">MIN(INT((MIN(B375,2020)-1900)/10)+1,12)</f>
        <v>3</v>
      </c>
      <c r="H375" s="3" t="n">
        <f aca="false">(MIN(B375,2020)-1900-10*(G375-1))/10</f>
        <v>0.4</v>
      </c>
      <c r="I375" s="20" t="n">
        <f aca="false">EXP(LN(INDEX(Pop_Inputs!$B$2:$N$29,MATCH(C375,Pop_Inputs!$A$2:$A$29,0),G375))*(1-H375)+LN(INDEX(Pop_Inputs!$B$2:$N$29,MATCH(C375,Pop_Inputs!$A$2:$A$29,0),G375+1))*H375)</f>
        <v>1192776.72289405</v>
      </c>
      <c r="J375" s="20" t="n">
        <f aca="false">I375/F375</f>
        <v>1192776.72289405</v>
      </c>
      <c r="K375" s="21" t="n">
        <f aca="false">D375/(D375+E375)</f>
        <v>0.558441558441558</v>
      </c>
      <c r="L375" s="21" t="n">
        <f aca="false">AVERAGEIFS($K$2:$K$2705,$B$2:$B$2705,B375)</f>
        <v>0.499860114744695</v>
      </c>
      <c r="M375" s="21" t="n">
        <f aca="false">K375-L375</f>
        <v>0.0585814436968636</v>
      </c>
      <c r="N375" s="21" t="n">
        <f aca="false">LN(J375)</f>
        <v>13.9917945275659</v>
      </c>
      <c r="O375" s="21" t="n">
        <f aca="false">AVERAGEIFS($N$2:$N$2705,$B$2:$B$2705,B375)</f>
        <v>13.6198182413879</v>
      </c>
      <c r="P375" s="21" t="n">
        <f aca="false">N375-O375</f>
        <v>0.371976286178036</v>
      </c>
      <c r="Q375" s="7" t="n">
        <v>0</v>
      </c>
      <c r="R375" s="3" t="n">
        <f aca="false">IF(AND(Q375=1,B375-_xlfn.MINIFS($B$2:$B$2705,$A$2:$A$2705,A375)&lt;10),1,0)</f>
        <v>0</v>
      </c>
      <c r="S375" s="7" t="n">
        <v>0</v>
      </c>
      <c r="T375" s="3" t="n">
        <f aca="false">_xlfn.MINIFS($B$2:$B$2705,$A$2:$A$2705,A375)</f>
        <v>1901</v>
      </c>
      <c r="U375" s="3" t="n">
        <f aca="false">B375-T375</f>
        <v>23</v>
      </c>
      <c r="V375" s="3" t="str">
        <f aca="false">INDEX(Pop_Inputs!$Q$2:$Q$29,MATCH(C375,Pop_Inputs!$A$2:$A$29,0))</f>
        <v>Midwest</v>
      </c>
      <c r="W375" s="30"/>
      <c r="X375" s="3" t="str">
        <f aca="false">IF(W375="","",LN(W375))</f>
        <v/>
      </c>
      <c r="Y375" s="3" t="str">
        <f aca="false">IF(X375="","",X375-AVERAGEIFS($X$2:$X$2705,$B$2:$B$2705,B375))</f>
        <v/>
      </c>
      <c r="Z375" s="21" t="n">
        <f aca="false">P375</f>
        <v>0.371976286178036</v>
      </c>
      <c r="AA375" s="3" t="n">
        <f aca="false">R375</f>
        <v>0</v>
      </c>
      <c r="AB375" s="21" t="n">
        <f aca="false">P375</f>
        <v>0.371976286178036</v>
      </c>
      <c r="AC375" s="3" t="str">
        <f aca="false">Y375</f>
        <v/>
      </c>
      <c r="AD375" s="3" t="n">
        <f aca="false">R375</f>
        <v>0</v>
      </c>
    </row>
    <row r="376" customFormat="false" ht="15" hidden="false" customHeight="true" outlineLevel="0" collapsed="false">
      <c r="A376" s="7" t="s">
        <v>62</v>
      </c>
      <c r="B376" s="7" t="n">
        <v>1924</v>
      </c>
      <c r="C376" s="7" t="s">
        <v>154</v>
      </c>
      <c r="D376" s="7" t="n">
        <v>92</v>
      </c>
      <c r="E376" s="7" t="n">
        <v>62</v>
      </c>
      <c r="F376" s="3" t="n">
        <f aca="false">COUNTIFS($B$2:$B$2705,B376,$C$2:$C$2705,C376)</f>
        <v>3</v>
      </c>
      <c r="G376" s="3" t="n">
        <f aca="false">MIN(INT((MIN(B376,2020)-1900)/10)+1,12)</f>
        <v>3</v>
      </c>
      <c r="H376" s="3" t="n">
        <f aca="false">(MIN(B376,2020)-1900-10*(G376-1))/10</f>
        <v>0.4</v>
      </c>
      <c r="I376" s="20" t="n">
        <f aca="false">EXP(LN(INDEX(Pop_Inputs!$B$2:$N$29,MATCH(C376,Pop_Inputs!$A$2:$A$29,0),G376))*(1-H376)+LN(INDEX(Pop_Inputs!$B$2:$N$29,MATCH(C376,Pop_Inputs!$A$2:$A$29,0),G376+1))*H376)</f>
        <v>6111509.46207347</v>
      </c>
      <c r="J376" s="20" t="n">
        <f aca="false">I376/F376</f>
        <v>2037169.82069116</v>
      </c>
      <c r="K376" s="21" t="n">
        <f aca="false">D376/(D376+E376)</f>
        <v>0.597402597402597</v>
      </c>
      <c r="L376" s="21" t="n">
        <f aca="false">AVERAGEIFS($K$2:$K$2705,$B$2:$B$2705,B376)</f>
        <v>0.499860114744695</v>
      </c>
      <c r="M376" s="21" t="n">
        <f aca="false">K376-L376</f>
        <v>0.0975424826579026</v>
      </c>
      <c r="N376" s="21" t="n">
        <f aca="false">LN(J376)</f>
        <v>14.5270720597709</v>
      </c>
      <c r="O376" s="21" t="n">
        <f aca="false">AVERAGEIFS($N$2:$N$2705,$B$2:$B$2705,B376)</f>
        <v>13.6198182413879</v>
      </c>
      <c r="P376" s="21" t="n">
        <f aca="false">N376-O376</f>
        <v>0.907253818383047</v>
      </c>
      <c r="Q376" s="7" t="n">
        <v>0</v>
      </c>
      <c r="R376" s="3" t="n">
        <f aca="false">IF(AND(Q376=1,B376-_xlfn.MINIFS($B$2:$B$2705,$A$2:$A$2705,A376)&lt;10),1,0)</f>
        <v>0</v>
      </c>
      <c r="S376" s="7" t="n">
        <v>0</v>
      </c>
      <c r="T376" s="3" t="n">
        <f aca="false">_xlfn.MINIFS($B$2:$B$2705,$A$2:$A$2705,A376)</f>
        <v>1901</v>
      </c>
      <c r="U376" s="3" t="n">
        <f aca="false">B376-T376</f>
        <v>23</v>
      </c>
      <c r="V376" s="3" t="str">
        <f aca="false">INDEX(Pop_Inputs!$Q$2:$Q$29,MATCH(C376,Pop_Inputs!$A$2:$A$29,0))</f>
        <v>Northeast</v>
      </c>
      <c r="W376" s="30"/>
      <c r="X376" s="3" t="str">
        <f aca="false">IF(W376="","",LN(W376))</f>
        <v/>
      </c>
      <c r="Y376" s="3" t="str">
        <f aca="false">IF(X376="","",X376-AVERAGEIFS($X$2:$X$2705,$B$2:$B$2705,B376))</f>
        <v/>
      </c>
      <c r="Z376" s="21" t="n">
        <f aca="false">P376</f>
        <v>0.907253818383047</v>
      </c>
      <c r="AA376" s="3" t="n">
        <f aca="false">R376</f>
        <v>0</v>
      </c>
      <c r="AB376" s="21" t="n">
        <f aca="false">P376</f>
        <v>0.907253818383047</v>
      </c>
      <c r="AC376" s="3" t="str">
        <f aca="false">Y376</f>
        <v/>
      </c>
      <c r="AD376" s="3" t="n">
        <f aca="false">R376</f>
        <v>0</v>
      </c>
    </row>
    <row r="377" customFormat="false" ht="15" hidden="false" customHeight="true" outlineLevel="0" collapsed="false">
      <c r="A377" s="7" t="s">
        <v>68</v>
      </c>
      <c r="B377" s="7" t="n">
        <v>1924</v>
      </c>
      <c r="C377" s="7" t="s">
        <v>160</v>
      </c>
      <c r="D377" s="7" t="n">
        <v>92</v>
      </c>
      <c r="E377" s="7" t="n">
        <v>62</v>
      </c>
      <c r="F377" s="3" t="n">
        <f aca="false">COUNTIFS($B$2:$B$2705,B377,$C$2:$C$2705,C377)</f>
        <v>1</v>
      </c>
      <c r="G377" s="3" t="n">
        <f aca="false">MIN(INT((MIN(B377,2020)-1900)/10)+1,12)</f>
        <v>3</v>
      </c>
      <c r="H377" s="3" t="n">
        <f aca="false">(MIN(B377,2020)-1900-10*(G377-1))/10</f>
        <v>0.4</v>
      </c>
      <c r="I377" s="20" t="n">
        <f aca="false">EXP(LN(INDEX(Pop_Inputs!$B$2:$N$29,MATCH(C377,Pop_Inputs!$A$2:$A$29,0),G377))*(1-H377)+LN(INDEX(Pop_Inputs!$B$2:$N$29,MATCH(C377,Pop_Inputs!$A$2:$A$29,0),G377+1))*H377)</f>
        <v>456661.046995923</v>
      </c>
      <c r="J377" s="20" t="n">
        <f aca="false">I377/F377</f>
        <v>456661.046995923</v>
      </c>
      <c r="K377" s="21" t="n">
        <f aca="false">D377/(D377+E377)</f>
        <v>0.597402597402597</v>
      </c>
      <c r="L377" s="21" t="n">
        <f aca="false">AVERAGEIFS($K$2:$K$2705,$B$2:$B$2705,B377)</f>
        <v>0.499860114744695</v>
      </c>
      <c r="M377" s="21" t="n">
        <f aca="false">K377-L377</f>
        <v>0.0975424826579026</v>
      </c>
      <c r="N377" s="21" t="n">
        <f aca="false">LN(J377)</f>
        <v>13.0316967032121</v>
      </c>
      <c r="O377" s="21" t="n">
        <f aca="false">AVERAGEIFS($N$2:$N$2705,$B$2:$B$2705,B377)</f>
        <v>13.6198182413879</v>
      </c>
      <c r="P377" s="21" t="n">
        <f aca="false">N377-O377</f>
        <v>-0.588121538175733</v>
      </c>
      <c r="Q377" s="7" t="n">
        <v>0</v>
      </c>
      <c r="R377" s="3" t="n">
        <f aca="false">IF(AND(Q377=1,B377-_xlfn.MINIFS($B$2:$B$2705,$A$2:$A$2705,A377)&lt;10),1,0)</f>
        <v>0</v>
      </c>
      <c r="S377" s="7" t="n">
        <v>0</v>
      </c>
      <c r="T377" s="3" t="n">
        <f aca="false">_xlfn.MINIFS($B$2:$B$2705,$A$2:$A$2705,A377)</f>
        <v>1901</v>
      </c>
      <c r="U377" s="3" t="n">
        <f aca="false">B377-T377</f>
        <v>23</v>
      </c>
      <c r="V377" s="3" t="str">
        <f aca="false">INDEX(Pop_Inputs!$Q$2:$Q$29,MATCH(C377,Pop_Inputs!$A$2:$A$29,0))</f>
        <v>South</v>
      </c>
      <c r="W377" s="30"/>
      <c r="X377" s="3" t="str">
        <f aca="false">IF(W377="","",LN(W377))</f>
        <v/>
      </c>
      <c r="Y377" s="3" t="str">
        <f aca="false">IF(X377="","",X377-AVERAGEIFS($X$2:$X$2705,$B$2:$B$2705,B377))</f>
        <v/>
      </c>
      <c r="Z377" s="21" t="n">
        <f aca="false">P377</f>
        <v>-0.588121538175733</v>
      </c>
      <c r="AA377" s="3" t="n">
        <f aca="false">R377</f>
        <v>0</v>
      </c>
      <c r="AB377" s="21" t="n">
        <f aca="false">P377</f>
        <v>-0.588121538175733</v>
      </c>
      <c r="AC377" s="3" t="str">
        <f aca="false">Y377</f>
        <v/>
      </c>
      <c r="AD377" s="3" t="n">
        <f aca="false">R377</f>
        <v>0</v>
      </c>
    </row>
    <row r="378" customFormat="false" ht="15" hidden="false" customHeight="true" outlineLevel="0" collapsed="false">
      <c r="A378" s="7" t="s">
        <v>70</v>
      </c>
      <c r="B378" s="7" t="n">
        <v>1924</v>
      </c>
      <c r="C378" s="7" t="s">
        <v>154</v>
      </c>
      <c r="D378" s="7" t="n">
        <v>89</v>
      </c>
      <c r="E378" s="7" t="n">
        <v>63</v>
      </c>
      <c r="F378" s="3" t="n">
        <f aca="false">COUNTIFS($B$2:$B$2705,B378,$C$2:$C$2705,C378)</f>
        <v>3</v>
      </c>
      <c r="G378" s="3" t="n">
        <f aca="false">MIN(INT((MIN(B378,2020)-1900)/10)+1,12)</f>
        <v>3</v>
      </c>
      <c r="H378" s="3" t="n">
        <f aca="false">(MIN(B378,2020)-1900-10*(G378-1))/10</f>
        <v>0.4</v>
      </c>
      <c r="I378" s="20" t="n">
        <f aca="false">EXP(LN(INDEX(Pop_Inputs!$B$2:$N$29,MATCH(C378,Pop_Inputs!$A$2:$A$29,0),G378))*(1-H378)+LN(INDEX(Pop_Inputs!$B$2:$N$29,MATCH(C378,Pop_Inputs!$A$2:$A$29,0),G378+1))*H378)</f>
        <v>6111509.46207347</v>
      </c>
      <c r="J378" s="20" t="n">
        <f aca="false">I378/F378</f>
        <v>2037169.82069116</v>
      </c>
      <c r="K378" s="21" t="n">
        <f aca="false">D378/(D378+E378)</f>
        <v>0.585526315789474</v>
      </c>
      <c r="L378" s="21" t="n">
        <f aca="false">AVERAGEIFS($K$2:$K$2705,$B$2:$B$2705,B378)</f>
        <v>0.499860114744695</v>
      </c>
      <c r="M378" s="21" t="n">
        <f aca="false">K378-L378</f>
        <v>0.0856662010447788</v>
      </c>
      <c r="N378" s="21" t="n">
        <f aca="false">LN(J378)</f>
        <v>14.5270720597709</v>
      </c>
      <c r="O378" s="21" t="n">
        <f aca="false">AVERAGEIFS($N$2:$N$2705,$B$2:$B$2705,B378)</f>
        <v>13.6198182413879</v>
      </c>
      <c r="P378" s="21" t="n">
        <f aca="false">N378-O378</f>
        <v>0.907253818383047</v>
      </c>
      <c r="Q378" s="7" t="n">
        <v>0</v>
      </c>
      <c r="R378" s="3" t="n">
        <f aca="false">IF(AND(Q378=1,B378-_xlfn.MINIFS($B$2:$B$2705,$A$2:$A$2705,A378)&lt;10),1,0)</f>
        <v>0</v>
      </c>
      <c r="S378" s="7" t="n">
        <v>1</v>
      </c>
      <c r="T378" s="3" t="n">
        <f aca="false">_xlfn.MINIFS($B$2:$B$2705,$A$2:$A$2705,A378)</f>
        <v>1903</v>
      </c>
      <c r="U378" s="3" t="n">
        <f aca="false">B378-T378</f>
        <v>21</v>
      </c>
      <c r="V378" s="3" t="str">
        <f aca="false">INDEX(Pop_Inputs!$Q$2:$Q$29,MATCH(C378,Pop_Inputs!$A$2:$A$29,0))</f>
        <v>Northeast</v>
      </c>
      <c r="W378" s="30"/>
      <c r="X378" s="3" t="str">
        <f aca="false">IF(W378="","",LN(W378))</f>
        <v/>
      </c>
      <c r="Y378" s="3" t="str">
        <f aca="false">IF(X378="","",X378-AVERAGEIFS($X$2:$X$2705,$B$2:$B$2705,B378))</f>
        <v/>
      </c>
      <c r="Z378" s="21" t="n">
        <f aca="false">P378</f>
        <v>0.907253818383047</v>
      </c>
      <c r="AA378" s="3" t="n">
        <f aca="false">R378</f>
        <v>0</v>
      </c>
      <c r="AB378" s="21" t="n">
        <f aca="false">P378</f>
        <v>0.907253818383047</v>
      </c>
      <c r="AC378" s="3" t="str">
        <f aca="false">Y378</f>
        <v/>
      </c>
      <c r="AD378" s="3" t="n">
        <f aca="false">R378</f>
        <v>0</v>
      </c>
    </row>
    <row r="379" customFormat="false" ht="15" hidden="false" customHeight="true" outlineLevel="0" collapsed="false">
      <c r="A379" s="7" t="s">
        <v>69</v>
      </c>
      <c r="B379" s="7" t="n">
        <v>1924</v>
      </c>
      <c r="C379" s="7" t="s">
        <v>146</v>
      </c>
      <c r="D379" s="7" t="n">
        <v>71</v>
      </c>
      <c r="E379" s="7" t="n">
        <v>81</v>
      </c>
      <c r="F379" s="3" t="n">
        <f aca="false">COUNTIFS($B$2:$B$2705,B379,$C$2:$C$2705,C379)</f>
        <v>2</v>
      </c>
      <c r="G379" s="3" t="n">
        <f aca="false">MIN(INT((MIN(B379,2020)-1900)/10)+1,12)</f>
        <v>3</v>
      </c>
      <c r="H379" s="3" t="n">
        <f aca="false">(MIN(B379,2020)-1900-10*(G379-1))/10</f>
        <v>0.4</v>
      </c>
      <c r="I379" s="20" t="n">
        <f aca="false">EXP(LN(INDEX(Pop_Inputs!$B$2:$N$29,MATCH(C379,Pop_Inputs!$A$2:$A$29,0),G379))*(1-H379)+LN(INDEX(Pop_Inputs!$B$2:$N$29,MATCH(C379,Pop_Inputs!$A$2:$A$29,0),G379+1))*H379)</f>
        <v>1873625.38376851</v>
      </c>
      <c r="J379" s="20" t="n">
        <f aca="false">I379/F379</f>
        <v>936812.691884257</v>
      </c>
      <c r="K379" s="21" t="n">
        <f aca="false">D379/(D379+E379)</f>
        <v>0.467105263157895</v>
      </c>
      <c r="L379" s="21" t="n">
        <f aca="false">AVERAGEIFS($K$2:$K$2705,$B$2:$B$2705,B379)</f>
        <v>0.499860114744695</v>
      </c>
      <c r="M379" s="21" t="n">
        <f aca="false">K379-L379</f>
        <v>-0.0327548515868001</v>
      </c>
      <c r="N379" s="21" t="n">
        <f aca="false">LN(J379)</f>
        <v>13.7502386392997</v>
      </c>
      <c r="O379" s="21" t="n">
        <f aca="false">AVERAGEIFS($N$2:$N$2705,$B$2:$B$2705,B379)</f>
        <v>13.6198182413879</v>
      </c>
      <c r="P379" s="21" t="n">
        <f aca="false">N379-O379</f>
        <v>0.130420397911807</v>
      </c>
      <c r="Q379" s="7" t="n">
        <v>0</v>
      </c>
      <c r="R379" s="3" t="n">
        <f aca="false">IF(AND(Q379=1,B379-_xlfn.MINIFS($B$2:$B$2705,$A$2:$A$2705,A379)&lt;10),1,0)</f>
        <v>0</v>
      </c>
      <c r="S379" s="7" t="n">
        <v>0</v>
      </c>
      <c r="T379" s="3" t="n">
        <f aca="false">_xlfn.MINIFS($B$2:$B$2705,$A$2:$A$2705,A379)</f>
        <v>1901</v>
      </c>
      <c r="U379" s="3" t="n">
        <f aca="false">B379-T379</f>
        <v>23</v>
      </c>
      <c r="V379" s="3" t="str">
        <f aca="false">INDEX(Pop_Inputs!$Q$2:$Q$29,MATCH(C379,Pop_Inputs!$A$2:$A$29,0))</f>
        <v>Northeast</v>
      </c>
      <c r="W379" s="30"/>
      <c r="X379" s="3" t="str">
        <f aca="false">IF(W379="","",LN(W379))</f>
        <v/>
      </c>
      <c r="Y379" s="3" t="str">
        <f aca="false">IF(X379="","",X379-AVERAGEIFS($X$2:$X$2705,$B$2:$B$2705,B379))</f>
        <v/>
      </c>
      <c r="Z379" s="21" t="n">
        <f aca="false">P379</f>
        <v>0.130420397911807</v>
      </c>
      <c r="AA379" s="3" t="n">
        <f aca="false">R379</f>
        <v>0</v>
      </c>
      <c r="AB379" s="21" t="n">
        <f aca="false">P379</f>
        <v>0.130420397911807</v>
      </c>
      <c r="AC379" s="3" t="str">
        <f aca="false">Y379</f>
        <v/>
      </c>
      <c r="AD379" s="3" t="n">
        <f aca="false">R379</f>
        <v>0</v>
      </c>
    </row>
    <row r="380" customFormat="false" ht="15" hidden="false" customHeight="true" outlineLevel="0" collapsed="false">
      <c r="A380" s="7" t="s">
        <v>60</v>
      </c>
      <c r="B380" s="7" t="n">
        <v>1924</v>
      </c>
      <c r="C380" s="7" t="s">
        <v>146</v>
      </c>
      <c r="D380" s="7" t="n">
        <v>55</v>
      </c>
      <c r="E380" s="7" t="n">
        <v>96</v>
      </c>
      <c r="F380" s="3" t="n">
        <f aca="false">COUNTIFS($B$2:$B$2705,B380,$C$2:$C$2705,C380)</f>
        <v>2</v>
      </c>
      <c r="G380" s="3" t="n">
        <f aca="false">MIN(INT((MIN(B380,2020)-1900)/10)+1,12)</f>
        <v>3</v>
      </c>
      <c r="H380" s="3" t="n">
        <f aca="false">(MIN(B380,2020)-1900-10*(G380-1))/10</f>
        <v>0.4</v>
      </c>
      <c r="I380" s="20" t="n">
        <f aca="false">EXP(LN(INDEX(Pop_Inputs!$B$2:$N$29,MATCH(C380,Pop_Inputs!$A$2:$A$29,0),G380))*(1-H380)+LN(INDEX(Pop_Inputs!$B$2:$N$29,MATCH(C380,Pop_Inputs!$A$2:$A$29,0),G380+1))*H380)</f>
        <v>1873625.38376851</v>
      </c>
      <c r="J380" s="20" t="n">
        <f aca="false">I380/F380</f>
        <v>936812.691884257</v>
      </c>
      <c r="K380" s="21" t="n">
        <f aca="false">D380/(D380+E380)</f>
        <v>0.364238410596026</v>
      </c>
      <c r="L380" s="21" t="n">
        <f aca="false">AVERAGEIFS($K$2:$K$2705,$B$2:$B$2705,B380)</f>
        <v>0.499860114744695</v>
      </c>
      <c r="M380" s="21" t="n">
        <f aca="false">K380-L380</f>
        <v>-0.135621704148668</v>
      </c>
      <c r="N380" s="21" t="n">
        <f aca="false">LN(J380)</f>
        <v>13.7502386392997</v>
      </c>
      <c r="O380" s="21" t="n">
        <f aca="false">AVERAGEIFS($N$2:$N$2705,$B$2:$B$2705,B380)</f>
        <v>13.6198182413879</v>
      </c>
      <c r="P380" s="21" t="n">
        <f aca="false">N380-O380</f>
        <v>0.130420397911807</v>
      </c>
      <c r="Q380" s="7" t="n">
        <v>0</v>
      </c>
      <c r="R380" s="3" t="n">
        <f aca="false">IF(AND(Q380=1,B380-_xlfn.MINIFS($B$2:$B$2705,$A$2:$A$2705,A380)&lt;10),1,0)</f>
        <v>0</v>
      </c>
      <c r="S380" s="7" t="n">
        <v>0</v>
      </c>
      <c r="T380" s="3" t="n">
        <f aca="false">_xlfn.MINIFS($B$2:$B$2705,$A$2:$A$2705,A380)</f>
        <v>1901</v>
      </c>
      <c r="U380" s="3" t="n">
        <f aca="false">B380-T380</f>
        <v>23</v>
      </c>
      <c r="V380" s="3" t="str">
        <f aca="false">INDEX(Pop_Inputs!$Q$2:$Q$29,MATCH(C380,Pop_Inputs!$A$2:$A$29,0))</f>
        <v>Northeast</v>
      </c>
      <c r="W380" s="30"/>
      <c r="X380" s="3" t="str">
        <f aca="false">IF(W380="","",LN(W380))</f>
        <v/>
      </c>
      <c r="Y380" s="3" t="str">
        <f aca="false">IF(X380="","",X380-AVERAGEIFS($X$2:$X$2705,$B$2:$B$2705,B380))</f>
        <v/>
      </c>
      <c r="Z380" s="21" t="n">
        <f aca="false">P380</f>
        <v>0.130420397911807</v>
      </c>
      <c r="AA380" s="3" t="n">
        <f aca="false">R380</f>
        <v>0</v>
      </c>
      <c r="AB380" s="21" t="n">
        <f aca="false">P380</f>
        <v>0.130420397911807</v>
      </c>
      <c r="AC380" s="3" t="str">
        <f aca="false">Y380</f>
        <v/>
      </c>
      <c r="AD380" s="3" t="n">
        <f aca="false">R380</f>
        <v>0</v>
      </c>
    </row>
    <row r="381" customFormat="false" ht="15" hidden="false" customHeight="true" outlineLevel="0" collapsed="false">
      <c r="A381" s="7" t="s">
        <v>58</v>
      </c>
      <c r="B381" s="7" t="n">
        <v>1924</v>
      </c>
      <c r="C381" s="7" t="s">
        <v>144</v>
      </c>
      <c r="D381" s="7" t="n">
        <v>90</v>
      </c>
      <c r="E381" s="7" t="n">
        <v>63</v>
      </c>
      <c r="F381" s="3" t="n">
        <f aca="false">COUNTIFS($B$2:$B$2705,B381,$C$2:$C$2705,C381)</f>
        <v>1</v>
      </c>
      <c r="G381" s="3" t="n">
        <f aca="false">MIN(INT((MIN(B381,2020)-1900)/10)+1,12)</f>
        <v>3</v>
      </c>
      <c r="H381" s="3" t="n">
        <f aca="false">(MIN(B381,2020)-1900-10*(G381-1))/10</f>
        <v>0.4</v>
      </c>
      <c r="I381" s="20" t="n">
        <f aca="false">EXP(LN(INDEX(Pop_Inputs!$B$2:$N$29,MATCH(C381,Pop_Inputs!$A$2:$A$29,0),G381))*(1-H381)+LN(INDEX(Pop_Inputs!$B$2:$N$29,MATCH(C381,Pop_Inputs!$A$2:$A$29,0),G381+1))*H381)</f>
        <v>619670.498661031</v>
      </c>
      <c r="J381" s="20" t="n">
        <f aca="false">I381/F381</f>
        <v>619670.498661031</v>
      </c>
      <c r="K381" s="21" t="n">
        <f aca="false">D381/(D381+E381)</f>
        <v>0.588235294117647</v>
      </c>
      <c r="L381" s="21" t="n">
        <f aca="false">AVERAGEIFS($K$2:$K$2705,$B$2:$B$2705,B381)</f>
        <v>0.499860114744695</v>
      </c>
      <c r="M381" s="21" t="n">
        <f aca="false">K381-L381</f>
        <v>0.0883751793729523</v>
      </c>
      <c r="N381" s="21" t="n">
        <f aca="false">LN(J381)</f>
        <v>13.3369431619771</v>
      </c>
      <c r="O381" s="21" t="n">
        <f aca="false">AVERAGEIFS($N$2:$N$2705,$B$2:$B$2705,B381)</f>
        <v>13.6198182413879</v>
      </c>
      <c r="P381" s="21" t="n">
        <f aca="false">N381-O381</f>
        <v>-0.282875079410738</v>
      </c>
      <c r="Q381" s="7" t="n">
        <v>0</v>
      </c>
      <c r="R381" s="3" t="n">
        <f aca="false">IF(AND(Q381=1,B381-_xlfn.MINIFS($B$2:$B$2705,$A$2:$A$2705,A381)&lt;10),1,0)</f>
        <v>0</v>
      </c>
      <c r="S381" s="7" t="n">
        <v>0</v>
      </c>
      <c r="T381" s="3" t="n">
        <f aca="false">_xlfn.MINIFS($B$2:$B$2705,$A$2:$A$2705,A381)</f>
        <v>1901</v>
      </c>
      <c r="U381" s="3" t="n">
        <f aca="false">B381-T381</f>
        <v>23</v>
      </c>
      <c r="V381" s="3" t="str">
        <f aca="false">INDEX(Pop_Inputs!$Q$2:$Q$29,MATCH(C381,Pop_Inputs!$A$2:$A$29,0))</f>
        <v>Northeast</v>
      </c>
      <c r="W381" s="30"/>
      <c r="X381" s="3" t="str">
        <f aca="false">IF(W381="","",LN(W381))</f>
        <v/>
      </c>
      <c r="Y381" s="3" t="str">
        <f aca="false">IF(X381="","",X381-AVERAGEIFS($X$2:$X$2705,$B$2:$B$2705,B381))</f>
        <v/>
      </c>
      <c r="Z381" s="21" t="n">
        <f aca="false">P381</f>
        <v>-0.282875079410738</v>
      </c>
      <c r="AA381" s="3" t="n">
        <f aca="false">R381</f>
        <v>0</v>
      </c>
      <c r="AB381" s="21" t="n">
        <f aca="false">P381</f>
        <v>-0.282875079410738</v>
      </c>
      <c r="AC381" s="3" t="str">
        <f aca="false">Y381</f>
        <v/>
      </c>
      <c r="AD381" s="3" t="n">
        <f aca="false">R381</f>
        <v>0</v>
      </c>
    </row>
    <row r="382" customFormat="false" ht="15" hidden="false" customHeight="true" outlineLevel="0" collapsed="false">
      <c r="A382" s="7" t="s">
        <v>61</v>
      </c>
      <c r="B382" s="7" t="n">
        <v>1924</v>
      </c>
      <c r="C382" s="7" t="s">
        <v>154</v>
      </c>
      <c r="D382" s="7" t="n">
        <v>93</v>
      </c>
      <c r="E382" s="7" t="n">
        <v>60</v>
      </c>
      <c r="F382" s="3" t="n">
        <f aca="false">COUNTIFS($B$2:$B$2705,B382,$C$2:$C$2705,C382)</f>
        <v>3</v>
      </c>
      <c r="G382" s="3" t="n">
        <f aca="false">MIN(INT((MIN(B382,2020)-1900)/10)+1,12)</f>
        <v>3</v>
      </c>
      <c r="H382" s="3" t="n">
        <f aca="false">(MIN(B382,2020)-1900-10*(G382-1))/10</f>
        <v>0.4</v>
      </c>
      <c r="I382" s="20" t="n">
        <f aca="false">EXP(LN(INDEX(Pop_Inputs!$B$2:$N$29,MATCH(C382,Pop_Inputs!$A$2:$A$29,0),G382))*(1-H382)+LN(INDEX(Pop_Inputs!$B$2:$N$29,MATCH(C382,Pop_Inputs!$A$2:$A$29,0),G382+1))*H382)</f>
        <v>6111509.46207347</v>
      </c>
      <c r="J382" s="20" t="n">
        <f aca="false">I382/F382</f>
        <v>2037169.82069116</v>
      </c>
      <c r="K382" s="21" t="n">
        <f aca="false">D382/(D382+E382)</f>
        <v>0.607843137254902</v>
      </c>
      <c r="L382" s="21" t="n">
        <f aca="false">AVERAGEIFS($K$2:$K$2705,$B$2:$B$2705,B382)</f>
        <v>0.499860114744695</v>
      </c>
      <c r="M382" s="21" t="n">
        <f aca="false">K382-L382</f>
        <v>0.107983022510207</v>
      </c>
      <c r="N382" s="21" t="n">
        <f aca="false">LN(J382)</f>
        <v>14.5270720597709</v>
      </c>
      <c r="O382" s="21" t="n">
        <f aca="false">AVERAGEIFS($N$2:$N$2705,$B$2:$B$2705,B382)</f>
        <v>13.6198182413879</v>
      </c>
      <c r="P382" s="21" t="n">
        <f aca="false">N382-O382</f>
        <v>0.907253818383047</v>
      </c>
      <c r="Q382" s="7" t="n">
        <v>0</v>
      </c>
      <c r="R382" s="3" t="n">
        <f aca="false">IF(AND(Q382=1,B382-_xlfn.MINIFS($B$2:$B$2705,$A$2:$A$2705,A382)&lt;10),1,0)</f>
        <v>0</v>
      </c>
      <c r="S382" s="7" t="n">
        <v>0</v>
      </c>
      <c r="T382" s="3" t="n">
        <f aca="false">_xlfn.MINIFS($B$2:$B$2705,$A$2:$A$2705,A382)</f>
        <v>1901</v>
      </c>
      <c r="U382" s="3" t="n">
        <f aca="false">B382-T382</f>
        <v>23</v>
      </c>
      <c r="V382" s="3" t="str">
        <f aca="false">INDEX(Pop_Inputs!$Q$2:$Q$29,MATCH(C382,Pop_Inputs!$A$2:$A$29,0))</f>
        <v>Northeast</v>
      </c>
      <c r="W382" s="30"/>
      <c r="X382" s="3" t="str">
        <f aca="false">IF(W382="","",LN(W382))</f>
        <v/>
      </c>
      <c r="Y382" s="3" t="str">
        <f aca="false">IF(X382="","",X382-AVERAGEIFS($X$2:$X$2705,$B$2:$B$2705,B382))</f>
        <v/>
      </c>
      <c r="Z382" s="21" t="n">
        <f aca="false">P382</f>
        <v>0.907253818383047</v>
      </c>
      <c r="AA382" s="3" t="n">
        <f aca="false">R382</f>
        <v>0</v>
      </c>
      <c r="AB382" s="21" t="n">
        <f aca="false">P382</f>
        <v>0.907253818383047</v>
      </c>
      <c r="AC382" s="3" t="str">
        <f aca="false">Y382</f>
        <v/>
      </c>
      <c r="AD382" s="3" t="n">
        <f aca="false">R382</f>
        <v>0</v>
      </c>
    </row>
    <row r="383" customFormat="false" ht="15" hidden="false" customHeight="true" outlineLevel="0" collapsed="false">
      <c r="A383" s="7" t="s">
        <v>59</v>
      </c>
      <c r="B383" s="7" t="n">
        <v>1924</v>
      </c>
      <c r="C383" s="7" t="s">
        <v>145</v>
      </c>
      <c r="D383" s="7" t="n">
        <v>65</v>
      </c>
      <c r="E383" s="7" t="n">
        <v>89</v>
      </c>
      <c r="F383" s="3" t="n">
        <f aca="false">COUNTIFS($B$2:$B$2705,B383,$C$2:$C$2705,C383)</f>
        <v>2</v>
      </c>
      <c r="G383" s="3" t="n">
        <f aca="false">MIN(INT((MIN(B383,2020)-1900)/10)+1,12)</f>
        <v>3</v>
      </c>
      <c r="H383" s="3" t="n">
        <f aca="false">(MIN(B383,2020)-1900-10*(G383-1))/10</f>
        <v>0.4</v>
      </c>
      <c r="I383" s="20" t="n">
        <f aca="false">EXP(LN(INDEX(Pop_Inputs!$B$2:$N$29,MATCH(C383,Pop_Inputs!$A$2:$A$29,0),G383))*(1-H383)+LN(INDEX(Pop_Inputs!$B$2:$N$29,MATCH(C383,Pop_Inputs!$A$2:$A$29,0),G383+1))*H383)</f>
        <v>792160.615340257</v>
      </c>
      <c r="J383" s="20" t="n">
        <f aca="false">I383/F383</f>
        <v>396080.307670128</v>
      </c>
      <c r="K383" s="21" t="n">
        <f aca="false">D383/(D383+E383)</f>
        <v>0.422077922077922</v>
      </c>
      <c r="L383" s="21" t="n">
        <f aca="false">AVERAGEIFS($K$2:$K$2705,$B$2:$B$2705,B383)</f>
        <v>0.499860114744695</v>
      </c>
      <c r="M383" s="21" t="n">
        <f aca="false">K383-L383</f>
        <v>-0.0777821926667728</v>
      </c>
      <c r="N383" s="21" t="n">
        <f aca="false">LN(J383)</f>
        <v>12.8893722668228</v>
      </c>
      <c r="O383" s="21" t="n">
        <f aca="false">AVERAGEIFS($N$2:$N$2705,$B$2:$B$2705,B383)</f>
        <v>13.6198182413879</v>
      </c>
      <c r="P383" s="21" t="n">
        <f aca="false">N383-O383</f>
        <v>-0.730445974565026</v>
      </c>
      <c r="Q383" s="7" t="n">
        <v>0</v>
      </c>
      <c r="R383" s="3" t="n">
        <f aca="false">IF(AND(Q383=1,B383-_xlfn.MINIFS($B$2:$B$2705,$A$2:$A$2705,A383)&lt;10),1,0)</f>
        <v>0</v>
      </c>
      <c r="S383" s="7" t="n">
        <v>0</v>
      </c>
      <c r="T383" s="3" t="n">
        <f aca="false">_xlfn.MINIFS($B$2:$B$2705,$A$2:$A$2705,A383)</f>
        <v>1901</v>
      </c>
      <c r="U383" s="3" t="n">
        <f aca="false">B383-T383</f>
        <v>23</v>
      </c>
      <c r="V383" s="3" t="str">
        <f aca="false">INDEX(Pop_Inputs!$Q$2:$Q$29,MATCH(C383,Pop_Inputs!$A$2:$A$29,0))</f>
        <v>Midwest</v>
      </c>
      <c r="W383" s="30"/>
      <c r="X383" s="3" t="str">
        <f aca="false">IF(W383="","",LN(W383))</f>
        <v/>
      </c>
      <c r="Y383" s="3" t="str">
        <f aca="false">IF(X383="","",X383-AVERAGEIFS($X$2:$X$2705,$B$2:$B$2705,B383))</f>
        <v/>
      </c>
      <c r="Z383" s="21" t="n">
        <f aca="false">P383</f>
        <v>-0.730445974565026</v>
      </c>
      <c r="AA383" s="3" t="n">
        <f aca="false">R383</f>
        <v>0</v>
      </c>
      <c r="AB383" s="21" t="n">
        <f aca="false">P383</f>
        <v>-0.730445974565026</v>
      </c>
      <c r="AC383" s="3" t="str">
        <f aca="false">Y383</f>
        <v/>
      </c>
      <c r="AD383" s="3" t="n">
        <f aca="false">R383</f>
        <v>0</v>
      </c>
    </row>
    <row r="384" customFormat="false" ht="15" hidden="false" customHeight="true" outlineLevel="0" collapsed="false">
      <c r="A384" s="7" t="s">
        <v>54</v>
      </c>
      <c r="B384" s="7" t="n">
        <v>1925</v>
      </c>
      <c r="C384" s="7" t="s">
        <v>150</v>
      </c>
      <c r="D384" s="7" t="n">
        <v>70</v>
      </c>
      <c r="E384" s="7" t="n">
        <v>83</v>
      </c>
      <c r="F384" s="3" t="n">
        <f aca="false">COUNTIFS($B$2:$B$2705,B384,$C$2:$C$2705,C384)</f>
        <v>2</v>
      </c>
      <c r="G384" s="3" t="n">
        <f aca="false">MIN(INT((MIN(B384,2020)-1900)/10)+1,12)</f>
        <v>3</v>
      </c>
      <c r="H384" s="3" t="n">
        <f aca="false">(MIN(B384,2020)-1900-10*(G384-1))/10</f>
        <v>0.5</v>
      </c>
      <c r="I384" s="20" t="n">
        <f aca="false">EXP(LN(INDEX(Pop_Inputs!$B$2:$N$29,MATCH(C384,Pop_Inputs!$A$2:$A$29,0),G384))*(1-H384)+LN(INDEX(Pop_Inputs!$B$2:$N$29,MATCH(C384,Pop_Inputs!$A$2:$A$29,0),G384+1))*H384)</f>
        <v>764444.566518725</v>
      </c>
      <c r="J384" s="20" t="n">
        <f aca="false">I384/F384</f>
        <v>382222.283259362</v>
      </c>
      <c r="K384" s="21" t="n">
        <f aca="false">D384/(D384+E384)</f>
        <v>0.457516339869281</v>
      </c>
      <c r="L384" s="21" t="n">
        <f aca="false">AVERAGEIFS($K$2:$K$2705,$B$2:$B$2705,B384)</f>
        <v>0.500139850352987</v>
      </c>
      <c r="M384" s="21" t="n">
        <f aca="false">K384-L384</f>
        <v>-0.042623510483706</v>
      </c>
      <c r="N384" s="21" t="n">
        <f aca="false">LN(J384)</f>
        <v>12.8537576117035</v>
      </c>
      <c r="O384" s="21" t="n">
        <f aca="false">AVERAGEIFS($N$2:$N$2705,$B$2:$B$2705,B384)</f>
        <v>13.6345162721089</v>
      </c>
      <c r="P384" s="21" t="n">
        <f aca="false">N384-O384</f>
        <v>-0.78075866040531</v>
      </c>
      <c r="Q384" s="7" t="n">
        <v>0</v>
      </c>
      <c r="R384" s="3" t="n">
        <f aca="false">IF(AND(Q384=1,B384-_xlfn.MINIFS($B$2:$B$2705,$A$2:$A$2705,A384)&lt;10),1,0)</f>
        <v>0</v>
      </c>
      <c r="S384" s="7" t="n">
        <v>0</v>
      </c>
      <c r="T384" s="3" t="n">
        <f aca="false">_xlfn.MINIFS($B$2:$B$2705,$A$2:$A$2705,A384)</f>
        <v>1901</v>
      </c>
      <c r="U384" s="3" t="n">
        <f aca="false">B384-T384</f>
        <v>24</v>
      </c>
      <c r="V384" s="3" t="str">
        <f aca="false">INDEX(Pop_Inputs!$Q$2:$Q$29,MATCH(C384,Pop_Inputs!$A$2:$A$29,0))</f>
        <v>Northeast</v>
      </c>
      <c r="W384" s="30"/>
      <c r="X384" s="3" t="str">
        <f aca="false">IF(W384="","",LN(W384))</f>
        <v/>
      </c>
      <c r="Y384" s="3" t="str">
        <f aca="false">IF(X384="","",X384-AVERAGEIFS($X$2:$X$2705,$B$2:$B$2705,B384))</f>
        <v/>
      </c>
      <c r="Z384" s="21" t="n">
        <f aca="false">P384</f>
        <v>-0.78075866040531</v>
      </c>
      <c r="AA384" s="3" t="n">
        <f aca="false">R384</f>
        <v>0</v>
      </c>
      <c r="AB384" s="21" t="n">
        <f aca="false">P384</f>
        <v>-0.78075866040531</v>
      </c>
      <c r="AC384" s="3" t="str">
        <f aca="false">Y384</f>
        <v/>
      </c>
      <c r="AD384" s="3" t="n">
        <f aca="false">R384</f>
        <v>0</v>
      </c>
    </row>
    <row r="385" customFormat="false" ht="15" hidden="false" customHeight="true" outlineLevel="0" collapsed="false">
      <c r="A385" s="7" t="s">
        <v>63</v>
      </c>
      <c r="B385" s="7" t="n">
        <v>1925</v>
      </c>
      <c r="C385" s="7" t="s">
        <v>145</v>
      </c>
      <c r="D385" s="7" t="n">
        <v>82</v>
      </c>
      <c r="E385" s="7" t="n">
        <v>71</v>
      </c>
      <c r="F385" s="3" t="n">
        <f aca="false">COUNTIFS($B$2:$B$2705,B385,$C$2:$C$2705,C385)</f>
        <v>2</v>
      </c>
      <c r="G385" s="3" t="n">
        <f aca="false">MIN(INT((MIN(B385,2020)-1900)/10)+1,12)</f>
        <v>3</v>
      </c>
      <c r="H385" s="3" t="n">
        <f aca="false">(MIN(B385,2020)-1900-10*(G385-1))/10</f>
        <v>0.5</v>
      </c>
      <c r="I385" s="20" t="n">
        <f aca="false">EXP(LN(INDEX(Pop_Inputs!$B$2:$N$29,MATCH(C385,Pop_Inputs!$A$2:$A$29,0),G385))*(1-H385)+LN(INDEX(Pop_Inputs!$B$2:$N$29,MATCH(C385,Pop_Inputs!$A$2:$A$29,0),G385+1))*H385)</f>
        <v>797051.076230374</v>
      </c>
      <c r="J385" s="20" t="n">
        <f aca="false">I385/F385</f>
        <v>398525.538115187</v>
      </c>
      <c r="K385" s="21" t="n">
        <f aca="false">D385/(D385+E385)</f>
        <v>0.535947712418301</v>
      </c>
      <c r="L385" s="21" t="n">
        <f aca="false">AVERAGEIFS($K$2:$K$2705,$B$2:$B$2705,B385)</f>
        <v>0.500139850352987</v>
      </c>
      <c r="M385" s="21" t="n">
        <f aca="false">K385-L385</f>
        <v>0.0358078620653136</v>
      </c>
      <c r="N385" s="21" t="n">
        <f aca="false">LN(J385)</f>
        <v>12.895526860768</v>
      </c>
      <c r="O385" s="21" t="n">
        <f aca="false">AVERAGEIFS($N$2:$N$2705,$B$2:$B$2705,B385)</f>
        <v>13.6345162721089</v>
      </c>
      <c r="P385" s="21" t="n">
        <f aca="false">N385-O385</f>
        <v>-0.738989411340837</v>
      </c>
      <c r="Q385" s="7" t="n">
        <v>0</v>
      </c>
      <c r="R385" s="3" t="n">
        <f aca="false">IF(AND(Q385=1,B385-_xlfn.MINIFS($B$2:$B$2705,$A$2:$A$2705,A385)&lt;10),1,0)</f>
        <v>0</v>
      </c>
      <c r="S385" s="7" t="n">
        <v>0</v>
      </c>
      <c r="T385" s="3" t="n">
        <f aca="false">_xlfn.MINIFS($B$2:$B$2705,$A$2:$A$2705,A385)</f>
        <v>1901</v>
      </c>
      <c r="U385" s="3" t="n">
        <f aca="false">B385-T385</f>
        <v>24</v>
      </c>
      <c r="V385" s="3" t="str">
        <f aca="false">INDEX(Pop_Inputs!$Q$2:$Q$29,MATCH(C385,Pop_Inputs!$A$2:$A$29,0))</f>
        <v>Midwest</v>
      </c>
      <c r="W385" s="30"/>
      <c r="X385" s="3" t="str">
        <f aca="false">IF(W385="","",LN(W385))</f>
        <v/>
      </c>
      <c r="Y385" s="3" t="str">
        <f aca="false">IF(X385="","",X385-AVERAGEIFS($X$2:$X$2705,$B$2:$B$2705,B385))</f>
        <v/>
      </c>
      <c r="Z385" s="21" t="n">
        <f aca="false">P385</f>
        <v>-0.738989411340837</v>
      </c>
      <c r="AA385" s="3" t="n">
        <f aca="false">R385</f>
        <v>0</v>
      </c>
      <c r="AB385" s="21" t="n">
        <f aca="false">P385</f>
        <v>-0.738989411340837</v>
      </c>
      <c r="AC385" s="3" t="str">
        <f aca="false">Y385</f>
        <v/>
      </c>
      <c r="AD385" s="3" t="n">
        <f aca="false">R385</f>
        <v>0</v>
      </c>
    </row>
    <row r="386" customFormat="false" ht="15" hidden="false" customHeight="true" outlineLevel="0" collapsed="false">
      <c r="A386" s="7" t="s">
        <v>64</v>
      </c>
      <c r="B386" s="7" t="n">
        <v>1925</v>
      </c>
      <c r="C386" s="7" t="s">
        <v>150</v>
      </c>
      <c r="D386" s="7" t="n">
        <v>47</v>
      </c>
      <c r="E386" s="7" t="n">
        <v>105</v>
      </c>
      <c r="F386" s="3" t="n">
        <f aca="false">COUNTIFS($B$2:$B$2705,B386,$C$2:$C$2705,C386)</f>
        <v>2</v>
      </c>
      <c r="G386" s="3" t="n">
        <f aca="false">MIN(INT((MIN(B386,2020)-1900)/10)+1,12)</f>
        <v>3</v>
      </c>
      <c r="H386" s="3" t="n">
        <f aca="false">(MIN(B386,2020)-1900-10*(G386-1))/10</f>
        <v>0.5</v>
      </c>
      <c r="I386" s="20" t="n">
        <f aca="false">EXP(LN(INDEX(Pop_Inputs!$B$2:$N$29,MATCH(C386,Pop_Inputs!$A$2:$A$29,0),G386))*(1-H386)+LN(INDEX(Pop_Inputs!$B$2:$N$29,MATCH(C386,Pop_Inputs!$A$2:$A$29,0),G386+1))*H386)</f>
        <v>764444.566518725</v>
      </c>
      <c r="J386" s="20" t="n">
        <f aca="false">I386/F386</f>
        <v>382222.283259362</v>
      </c>
      <c r="K386" s="21" t="n">
        <f aca="false">D386/(D386+E386)</f>
        <v>0.30921052631579</v>
      </c>
      <c r="L386" s="21" t="n">
        <f aca="false">AVERAGEIFS($K$2:$K$2705,$B$2:$B$2705,B386)</f>
        <v>0.500139850352987</v>
      </c>
      <c r="M386" s="21" t="n">
        <f aca="false">K386-L386</f>
        <v>-0.190929324037198</v>
      </c>
      <c r="N386" s="21" t="n">
        <f aca="false">LN(J386)</f>
        <v>12.8537576117035</v>
      </c>
      <c r="O386" s="21" t="n">
        <f aca="false">AVERAGEIFS($N$2:$N$2705,$B$2:$B$2705,B386)</f>
        <v>13.6345162721089</v>
      </c>
      <c r="P386" s="21" t="n">
        <f aca="false">N386-O386</f>
        <v>-0.78075866040531</v>
      </c>
      <c r="Q386" s="7" t="n">
        <v>0</v>
      </c>
      <c r="R386" s="3" t="n">
        <f aca="false">IF(AND(Q386=1,B386-_xlfn.MINIFS($B$2:$B$2705,$A$2:$A$2705,A386)&lt;10),1,0)</f>
        <v>0</v>
      </c>
      <c r="S386" s="7" t="n">
        <v>0</v>
      </c>
      <c r="T386" s="3" t="n">
        <f aca="false">_xlfn.MINIFS($B$2:$B$2705,$A$2:$A$2705,A386)</f>
        <v>1901</v>
      </c>
      <c r="U386" s="3" t="n">
        <f aca="false">B386-T386</f>
        <v>24</v>
      </c>
      <c r="V386" s="3" t="str">
        <f aca="false">INDEX(Pop_Inputs!$Q$2:$Q$29,MATCH(C386,Pop_Inputs!$A$2:$A$29,0))</f>
        <v>Northeast</v>
      </c>
      <c r="W386" s="30"/>
      <c r="X386" s="3" t="str">
        <f aca="false">IF(W386="","",LN(W386))</f>
        <v/>
      </c>
      <c r="Y386" s="3" t="str">
        <f aca="false">IF(X386="","",X386-AVERAGEIFS($X$2:$X$2705,$B$2:$B$2705,B386))</f>
        <v/>
      </c>
      <c r="Z386" s="21" t="n">
        <f aca="false">P386</f>
        <v>-0.78075866040531</v>
      </c>
      <c r="AA386" s="3" t="n">
        <f aca="false">R386</f>
        <v>0</v>
      </c>
      <c r="AB386" s="21" t="n">
        <f aca="false">P386</f>
        <v>-0.78075866040531</v>
      </c>
      <c r="AC386" s="3" t="str">
        <f aca="false">Y386</f>
        <v/>
      </c>
      <c r="AD386" s="3" t="n">
        <f aca="false">R386</f>
        <v>0</v>
      </c>
    </row>
    <row r="387" customFormat="false" ht="15" hidden="false" customHeight="true" outlineLevel="0" collapsed="false">
      <c r="A387" s="7" t="s">
        <v>56</v>
      </c>
      <c r="B387" s="7" t="n">
        <v>1925</v>
      </c>
      <c r="C387" s="7" t="s">
        <v>142</v>
      </c>
      <c r="D387" s="7" t="n">
        <v>68</v>
      </c>
      <c r="E387" s="7" t="n">
        <v>86</v>
      </c>
      <c r="F387" s="3" t="n">
        <f aca="false">COUNTIFS($B$2:$B$2705,B387,$C$2:$C$2705,C387)</f>
        <v>2</v>
      </c>
      <c r="G387" s="3" t="n">
        <f aca="false">MIN(INT((MIN(B387,2020)-1900)/10)+1,12)</f>
        <v>3</v>
      </c>
      <c r="H387" s="3" t="n">
        <f aca="false">(MIN(B387,2020)-1900-10*(G387-1))/10</f>
        <v>0.5</v>
      </c>
      <c r="I387" s="20" t="n">
        <f aca="false">EXP(LN(INDEX(Pop_Inputs!$B$2:$N$29,MATCH(C387,Pop_Inputs!$A$2:$A$29,0),G387))*(1-H387)+LN(INDEX(Pop_Inputs!$B$2:$N$29,MATCH(C387,Pop_Inputs!$A$2:$A$29,0),G387+1))*H387)</f>
        <v>3020287.97083821</v>
      </c>
      <c r="J387" s="20" t="n">
        <f aca="false">I387/F387</f>
        <v>1510143.9854191</v>
      </c>
      <c r="K387" s="21" t="n">
        <f aca="false">D387/(D387+E387)</f>
        <v>0.441558441558442</v>
      </c>
      <c r="L387" s="21" t="n">
        <f aca="false">AVERAGEIFS($K$2:$K$2705,$B$2:$B$2705,B387)</f>
        <v>0.500139850352987</v>
      </c>
      <c r="M387" s="21" t="n">
        <f aca="false">K387-L387</f>
        <v>-0.0585814087945455</v>
      </c>
      <c r="N387" s="21" t="n">
        <f aca="false">LN(J387)</f>
        <v>14.2277155588273</v>
      </c>
      <c r="O387" s="21" t="n">
        <f aca="false">AVERAGEIFS($N$2:$N$2705,$B$2:$B$2705,B387)</f>
        <v>13.6345162721089</v>
      </c>
      <c r="P387" s="21" t="n">
        <f aca="false">N387-O387</f>
        <v>0.593199286718486</v>
      </c>
      <c r="Q387" s="7" t="n">
        <v>0</v>
      </c>
      <c r="R387" s="3" t="n">
        <f aca="false">IF(AND(Q387=1,B387-_xlfn.MINIFS($B$2:$B$2705,$A$2:$A$2705,A387)&lt;10),1,0)</f>
        <v>0</v>
      </c>
      <c r="S387" s="7" t="n">
        <v>0</v>
      </c>
      <c r="T387" s="3" t="n">
        <f aca="false">_xlfn.MINIFS($B$2:$B$2705,$A$2:$A$2705,A387)</f>
        <v>1901</v>
      </c>
      <c r="U387" s="3" t="n">
        <f aca="false">B387-T387</f>
        <v>24</v>
      </c>
      <c r="V387" s="3" t="str">
        <f aca="false">INDEX(Pop_Inputs!$Q$2:$Q$29,MATCH(C387,Pop_Inputs!$A$2:$A$29,0))</f>
        <v>Midwest</v>
      </c>
      <c r="W387" s="30"/>
      <c r="X387" s="3" t="str">
        <f aca="false">IF(W387="","",LN(W387))</f>
        <v/>
      </c>
      <c r="Y387" s="3" t="str">
        <f aca="false">IF(X387="","",X387-AVERAGEIFS($X$2:$X$2705,$B$2:$B$2705,B387))</f>
        <v/>
      </c>
      <c r="Z387" s="21" t="n">
        <f aca="false">P387</f>
        <v>0.593199286718486</v>
      </c>
      <c r="AA387" s="3" t="n">
        <f aca="false">R387</f>
        <v>0</v>
      </c>
      <c r="AB387" s="21" t="n">
        <f aca="false">P387</f>
        <v>0.593199286718486</v>
      </c>
      <c r="AC387" s="3" t="str">
        <f aca="false">Y387</f>
        <v/>
      </c>
      <c r="AD387" s="3" t="n">
        <f aca="false">R387</f>
        <v>0</v>
      </c>
    </row>
    <row r="388" customFormat="false" ht="15" hidden="false" customHeight="true" outlineLevel="0" collapsed="false">
      <c r="A388" s="7" t="s">
        <v>65</v>
      </c>
      <c r="B388" s="7" t="n">
        <v>1925</v>
      </c>
      <c r="C388" s="7" t="s">
        <v>142</v>
      </c>
      <c r="D388" s="7" t="n">
        <v>79</v>
      </c>
      <c r="E388" s="7" t="n">
        <v>75</v>
      </c>
      <c r="F388" s="3" t="n">
        <f aca="false">COUNTIFS($B$2:$B$2705,B388,$C$2:$C$2705,C388)</f>
        <v>2</v>
      </c>
      <c r="G388" s="3" t="n">
        <f aca="false">MIN(INT((MIN(B388,2020)-1900)/10)+1,12)</f>
        <v>3</v>
      </c>
      <c r="H388" s="3" t="n">
        <f aca="false">(MIN(B388,2020)-1900-10*(G388-1))/10</f>
        <v>0.5</v>
      </c>
      <c r="I388" s="20" t="n">
        <f aca="false">EXP(LN(INDEX(Pop_Inputs!$B$2:$N$29,MATCH(C388,Pop_Inputs!$A$2:$A$29,0),G388))*(1-H388)+LN(INDEX(Pop_Inputs!$B$2:$N$29,MATCH(C388,Pop_Inputs!$A$2:$A$29,0),G388+1))*H388)</f>
        <v>3020287.97083821</v>
      </c>
      <c r="J388" s="20" t="n">
        <f aca="false">I388/F388</f>
        <v>1510143.9854191</v>
      </c>
      <c r="K388" s="21" t="n">
        <f aca="false">D388/(D388+E388)</f>
        <v>0.512987012987013</v>
      </c>
      <c r="L388" s="21" t="n">
        <f aca="false">AVERAGEIFS($K$2:$K$2705,$B$2:$B$2705,B388)</f>
        <v>0.500139850352987</v>
      </c>
      <c r="M388" s="21" t="n">
        <f aca="false">K388-L388</f>
        <v>0.012847162634026</v>
      </c>
      <c r="N388" s="21" t="n">
        <f aca="false">LN(J388)</f>
        <v>14.2277155588273</v>
      </c>
      <c r="O388" s="21" t="n">
        <f aca="false">AVERAGEIFS($N$2:$N$2705,$B$2:$B$2705,B388)</f>
        <v>13.6345162721089</v>
      </c>
      <c r="P388" s="21" t="n">
        <f aca="false">N388-O388</f>
        <v>0.593199286718486</v>
      </c>
      <c r="Q388" s="7" t="n">
        <v>0</v>
      </c>
      <c r="R388" s="3" t="n">
        <f aca="false">IF(AND(Q388=1,B388-_xlfn.MINIFS($B$2:$B$2705,$A$2:$A$2705,A388)&lt;10),1,0)</f>
        <v>0</v>
      </c>
      <c r="S388" s="7" t="n">
        <v>0</v>
      </c>
      <c r="T388" s="3" t="n">
        <f aca="false">_xlfn.MINIFS($B$2:$B$2705,$A$2:$A$2705,A388)</f>
        <v>1901</v>
      </c>
      <c r="U388" s="3" t="n">
        <f aca="false">B388-T388</f>
        <v>24</v>
      </c>
      <c r="V388" s="3" t="str">
        <f aca="false">INDEX(Pop_Inputs!$Q$2:$Q$29,MATCH(C388,Pop_Inputs!$A$2:$A$29,0))</f>
        <v>Midwest</v>
      </c>
      <c r="W388" s="30"/>
      <c r="X388" s="3" t="str">
        <f aca="false">IF(W388="","",LN(W388))</f>
        <v/>
      </c>
      <c r="Y388" s="3" t="str">
        <f aca="false">IF(X388="","",X388-AVERAGEIFS($X$2:$X$2705,$B$2:$B$2705,B388))</f>
        <v/>
      </c>
      <c r="Z388" s="21" t="n">
        <f aca="false">P388</f>
        <v>0.593199286718486</v>
      </c>
      <c r="AA388" s="3" t="n">
        <f aca="false">R388</f>
        <v>0</v>
      </c>
      <c r="AB388" s="21" t="n">
        <f aca="false">P388</f>
        <v>0.593199286718486</v>
      </c>
      <c r="AC388" s="3" t="str">
        <f aca="false">Y388</f>
        <v/>
      </c>
      <c r="AD388" s="3" t="n">
        <f aca="false">R388</f>
        <v>0</v>
      </c>
    </row>
    <row r="389" customFormat="false" ht="15" hidden="false" customHeight="true" outlineLevel="0" collapsed="false">
      <c r="A389" s="7" t="s">
        <v>57</v>
      </c>
      <c r="B389" s="7" t="n">
        <v>1925</v>
      </c>
      <c r="C389" s="7" t="s">
        <v>143</v>
      </c>
      <c r="D389" s="7" t="n">
        <v>80</v>
      </c>
      <c r="E389" s="7" t="n">
        <v>73</v>
      </c>
      <c r="F389" s="3" t="n">
        <f aca="false">COUNTIFS($B$2:$B$2705,B389,$C$2:$C$2705,C389)</f>
        <v>1</v>
      </c>
      <c r="G389" s="3" t="n">
        <f aca="false">MIN(INT((MIN(B389,2020)-1900)/10)+1,12)</f>
        <v>3</v>
      </c>
      <c r="H389" s="3" t="n">
        <f aca="false">(MIN(B389,2020)-1900-10*(G389-1))/10</f>
        <v>0.5</v>
      </c>
      <c r="I389" s="20" t="n">
        <f aca="false">EXP(LN(INDEX(Pop_Inputs!$B$2:$N$29,MATCH(C389,Pop_Inputs!$A$2:$A$29,0),G389))*(1-H389)+LN(INDEX(Pop_Inputs!$B$2:$N$29,MATCH(C389,Pop_Inputs!$A$2:$A$29,0),G389+1))*H389)</f>
        <v>425472.204168499</v>
      </c>
      <c r="J389" s="20" t="n">
        <f aca="false">I389/F389</f>
        <v>425472.204168499</v>
      </c>
      <c r="K389" s="21" t="n">
        <f aca="false">D389/(D389+E389)</f>
        <v>0.522875816993464</v>
      </c>
      <c r="L389" s="21" t="n">
        <f aca="false">AVERAGEIFS($K$2:$K$2705,$B$2:$B$2705,B389)</f>
        <v>0.500139850352987</v>
      </c>
      <c r="M389" s="21" t="n">
        <f aca="false">K389-L389</f>
        <v>0.0227359666404771</v>
      </c>
      <c r="N389" s="21" t="n">
        <f aca="false">LN(J389)</f>
        <v>12.9609548997584</v>
      </c>
      <c r="O389" s="21" t="n">
        <f aca="false">AVERAGEIFS($N$2:$N$2705,$B$2:$B$2705,B389)</f>
        <v>13.6345162721089</v>
      </c>
      <c r="P389" s="21" t="n">
        <f aca="false">N389-O389</f>
        <v>-0.673561372350473</v>
      </c>
      <c r="Q389" s="7" t="n">
        <v>0</v>
      </c>
      <c r="R389" s="3" t="n">
        <f aca="false">IF(AND(Q389=1,B389-_xlfn.MINIFS($B$2:$B$2705,$A$2:$A$2705,A389)&lt;10),1,0)</f>
        <v>0</v>
      </c>
      <c r="S389" s="7" t="n">
        <v>0</v>
      </c>
      <c r="T389" s="3" t="n">
        <f aca="false">_xlfn.MINIFS($B$2:$B$2705,$A$2:$A$2705,A389)</f>
        <v>1901</v>
      </c>
      <c r="U389" s="3" t="n">
        <f aca="false">B389-T389</f>
        <v>24</v>
      </c>
      <c r="V389" s="3" t="str">
        <f aca="false">INDEX(Pop_Inputs!$Q$2:$Q$29,MATCH(C389,Pop_Inputs!$A$2:$A$29,0))</f>
        <v>Midwest</v>
      </c>
      <c r="W389" s="30"/>
      <c r="X389" s="3" t="str">
        <f aca="false">IF(W389="","",LN(W389))</f>
        <v/>
      </c>
      <c r="Y389" s="3" t="str">
        <f aca="false">IF(X389="","",X389-AVERAGEIFS($X$2:$X$2705,$B$2:$B$2705,B389))</f>
        <v/>
      </c>
      <c r="Z389" s="21" t="n">
        <f aca="false">P389</f>
        <v>-0.673561372350473</v>
      </c>
      <c r="AA389" s="3" t="n">
        <f aca="false">R389</f>
        <v>0</v>
      </c>
      <c r="AB389" s="21" t="n">
        <f aca="false">P389</f>
        <v>-0.673561372350473</v>
      </c>
      <c r="AC389" s="3" t="str">
        <f aca="false">Y389</f>
        <v/>
      </c>
      <c r="AD389" s="3" t="n">
        <f aca="false">R389</f>
        <v>0</v>
      </c>
    </row>
    <row r="390" customFormat="false" ht="15" hidden="false" customHeight="true" outlineLevel="0" collapsed="false">
      <c r="A390" s="7" t="s">
        <v>66</v>
      </c>
      <c r="B390" s="7" t="n">
        <v>1925</v>
      </c>
      <c r="C390" s="7" t="s">
        <v>151</v>
      </c>
      <c r="D390" s="7" t="n">
        <v>70</v>
      </c>
      <c r="E390" s="7" t="n">
        <v>84</v>
      </c>
      <c r="F390" s="3" t="n">
        <f aca="false">COUNTIFS($B$2:$B$2705,B390,$C$2:$C$2705,C390)</f>
        <v>1</v>
      </c>
      <c r="G390" s="3" t="n">
        <f aca="false">MIN(INT((MIN(B390,2020)-1900)/10)+1,12)</f>
        <v>3</v>
      </c>
      <c r="H390" s="3" t="n">
        <f aca="false">(MIN(B390,2020)-1900-10*(G390-1))/10</f>
        <v>0.5</v>
      </c>
      <c r="I390" s="20" t="n">
        <f aca="false">EXP(LN(INDEX(Pop_Inputs!$B$2:$N$29,MATCH(C390,Pop_Inputs!$A$2:$A$29,0),G390))*(1-H390)+LN(INDEX(Pop_Inputs!$B$2:$N$29,MATCH(C390,Pop_Inputs!$A$2:$A$29,0),G390+1))*H390)</f>
        <v>847052.976376922</v>
      </c>
      <c r="J390" s="20" t="n">
        <f aca="false">I390/F390</f>
        <v>847052.976376922</v>
      </c>
      <c r="K390" s="21" t="n">
        <f aca="false">D390/(D390+E390)</f>
        <v>0.454545454545455</v>
      </c>
      <c r="L390" s="21" t="n">
        <f aca="false">AVERAGEIFS($K$2:$K$2705,$B$2:$B$2705,B390)</f>
        <v>0.500139850352987</v>
      </c>
      <c r="M390" s="21" t="n">
        <f aca="false">K390-L390</f>
        <v>-0.0455943958075325</v>
      </c>
      <c r="N390" s="21" t="n">
        <f aca="false">LN(J390)</f>
        <v>13.6495185175778</v>
      </c>
      <c r="O390" s="21" t="n">
        <f aca="false">AVERAGEIFS($N$2:$N$2705,$B$2:$B$2705,B390)</f>
        <v>13.6345162721089</v>
      </c>
      <c r="P390" s="21" t="n">
        <f aca="false">N390-O390</f>
        <v>0.0150022454689811</v>
      </c>
      <c r="Q390" s="7" t="n">
        <v>0</v>
      </c>
      <c r="R390" s="3" t="n">
        <f aca="false">IF(AND(Q390=1,B390-_xlfn.MINIFS($B$2:$B$2705,$A$2:$A$2705,A390)&lt;10),1,0)</f>
        <v>0</v>
      </c>
      <c r="S390" s="7" t="n">
        <v>0</v>
      </c>
      <c r="T390" s="3" t="n">
        <f aca="false">_xlfn.MINIFS($B$2:$B$2705,$A$2:$A$2705,A390)</f>
        <v>1901</v>
      </c>
      <c r="U390" s="3" t="n">
        <f aca="false">B390-T390</f>
        <v>24</v>
      </c>
      <c r="V390" s="3" t="str">
        <f aca="false">INDEX(Pop_Inputs!$Q$2:$Q$29,MATCH(C390,Pop_Inputs!$A$2:$A$29,0))</f>
        <v>Midwest</v>
      </c>
      <c r="W390" s="30"/>
      <c r="X390" s="3" t="str">
        <f aca="false">IF(W390="","",LN(W390))</f>
        <v/>
      </c>
      <c r="Y390" s="3" t="str">
        <f aca="false">IF(X390="","",X390-AVERAGEIFS($X$2:$X$2705,$B$2:$B$2705,B390))</f>
        <v/>
      </c>
      <c r="Z390" s="21" t="n">
        <f aca="false">P390</f>
        <v>0.0150022454689811</v>
      </c>
      <c r="AA390" s="3" t="n">
        <f aca="false">R390</f>
        <v>0</v>
      </c>
      <c r="AB390" s="21" t="n">
        <f aca="false">P390</f>
        <v>0.0150022454689811</v>
      </c>
      <c r="AC390" s="3" t="str">
        <f aca="false">Y390</f>
        <v/>
      </c>
      <c r="AD390" s="3" t="n">
        <f aca="false">R390</f>
        <v>0</v>
      </c>
    </row>
    <row r="391" customFormat="false" ht="15" hidden="false" customHeight="true" outlineLevel="0" collapsed="false">
      <c r="A391" s="7" t="s">
        <v>67</v>
      </c>
      <c r="B391" s="7" t="n">
        <v>1925</v>
      </c>
      <c r="C391" s="7" t="s">
        <v>152</v>
      </c>
      <c r="D391" s="7" t="n">
        <v>81</v>
      </c>
      <c r="E391" s="7" t="n">
        <v>73</v>
      </c>
      <c r="F391" s="3" t="n">
        <f aca="false">COUNTIFS($B$2:$B$2705,B391,$C$2:$C$2705,C391)</f>
        <v>1</v>
      </c>
      <c r="G391" s="3" t="n">
        <f aca="false">MIN(INT((MIN(B391,2020)-1900)/10)+1,12)</f>
        <v>3</v>
      </c>
      <c r="H391" s="3" t="n">
        <f aca="false">(MIN(B391,2020)-1900-10*(G391-1))/10</f>
        <v>0.5</v>
      </c>
      <c r="I391" s="20" t="n">
        <f aca="false">EXP(LN(INDEX(Pop_Inputs!$B$2:$N$29,MATCH(C391,Pop_Inputs!$A$2:$A$29,0),G391))*(1-H391)+LN(INDEX(Pop_Inputs!$B$2:$N$29,MATCH(C391,Pop_Inputs!$A$2:$A$29,0),G391+1))*H391)</f>
        <v>1248497.06400776</v>
      </c>
      <c r="J391" s="20" t="n">
        <f aca="false">I391/F391</f>
        <v>1248497.06400776</v>
      </c>
      <c r="K391" s="21" t="n">
        <f aca="false">D391/(D391+E391)</f>
        <v>0.525974025974026</v>
      </c>
      <c r="L391" s="21" t="n">
        <f aca="false">AVERAGEIFS($K$2:$K$2705,$B$2:$B$2705,B391)</f>
        <v>0.500139850352987</v>
      </c>
      <c r="M391" s="21" t="n">
        <f aca="false">K391-L391</f>
        <v>0.025834175621039</v>
      </c>
      <c r="N391" s="21" t="n">
        <f aca="false">LN(J391)</f>
        <v>14.0374510370835</v>
      </c>
      <c r="O391" s="21" t="n">
        <f aca="false">AVERAGEIFS($N$2:$N$2705,$B$2:$B$2705,B391)</f>
        <v>13.6345162721089</v>
      </c>
      <c r="P391" s="21" t="n">
        <f aca="false">N391-O391</f>
        <v>0.402934764974619</v>
      </c>
      <c r="Q391" s="7" t="n">
        <v>0</v>
      </c>
      <c r="R391" s="3" t="n">
        <f aca="false">IF(AND(Q391=1,B391-_xlfn.MINIFS($B$2:$B$2705,$A$2:$A$2705,A391)&lt;10),1,0)</f>
        <v>0</v>
      </c>
      <c r="S391" s="7" t="n">
        <v>0</v>
      </c>
      <c r="T391" s="3" t="n">
        <f aca="false">_xlfn.MINIFS($B$2:$B$2705,$A$2:$A$2705,A391)</f>
        <v>1901</v>
      </c>
      <c r="U391" s="3" t="n">
        <f aca="false">B391-T391</f>
        <v>24</v>
      </c>
      <c r="V391" s="3" t="str">
        <f aca="false">INDEX(Pop_Inputs!$Q$2:$Q$29,MATCH(C391,Pop_Inputs!$A$2:$A$29,0))</f>
        <v>Midwest</v>
      </c>
      <c r="W391" s="30"/>
      <c r="X391" s="3" t="str">
        <f aca="false">IF(W391="","",LN(W391))</f>
        <v/>
      </c>
      <c r="Y391" s="3" t="str">
        <f aca="false">IF(X391="","",X391-AVERAGEIFS($X$2:$X$2705,$B$2:$B$2705,B391))</f>
        <v/>
      </c>
      <c r="Z391" s="21" t="n">
        <f aca="false">P391</f>
        <v>0.402934764974619</v>
      </c>
      <c r="AA391" s="3" t="n">
        <f aca="false">R391</f>
        <v>0</v>
      </c>
      <c r="AB391" s="21" t="n">
        <f aca="false">P391</f>
        <v>0.402934764974619</v>
      </c>
      <c r="AC391" s="3" t="str">
        <f aca="false">Y391</f>
        <v/>
      </c>
      <c r="AD391" s="3" t="n">
        <f aca="false">R391</f>
        <v>0</v>
      </c>
    </row>
    <row r="392" customFormat="false" ht="15" hidden="false" customHeight="true" outlineLevel="0" collapsed="false">
      <c r="A392" s="7" t="s">
        <v>62</v>
      </c>
      <c r="B392" s="7" t="n">
        <v>1925</v>
      </c>
      <c r="C392" s="7" t="s">
        <v>154</v>
      </c>
      <c r="D392" s="7" t="n">
        <v>68</v>
      </c>
      <c r="E392" s="7" t="n">
        <v>85</v>
      </c>
      <c r="F392" s="3" t="n">
        <f aca="false">COUNTIFS($B$2:$B$2705,B392,$C$2:$C$2705,C392)</f>
        <v>3</v>
      </c>
      <c r="G392" s="3" t="n">
        <f aca="false">MIN(INT((MIN(B392,2020)-1900)/10)+1,12)</f>
        <v>3</v>
      </c>
      <c r="H392" s="3" t="n">
        <f aca="false">(MIN(B392,2020)-1900-10*(G392-1))/10</f>
        <v>0.5</v>
      </c>
      <c r="I392" s="20" t="n">
        <f aca="false">EXP(LN(INDEX(Pop_Inputs!$B$2:$N$29,MATCH(C392,Pop_Inputs!$A$2:$A$29,0),G392))*(1-H392)+LN(INDEX(Pop_Inputs!$B$2:$N$29,MATCH(C392,Pop_Inputs!$A$2:$A$29,0),G392+1))*H392)</f>
        <v>6240948.58025669</v>
      </c>
      <c r="J392" s="20" t="n">
        <f aca="false">I392/F392</f>
        <v>2080316.1934189</v>
      </c>
      <c r="K392" s="21" t="n">
        <f aca="false">D392/(D392+E392)</f>
        <v>0.444444444444444</v>
      </c>
      <c r="L392" s="21" t="n">
        <f aca="false">AVERAGEIFS($K$2:$K$2705,$B$2:$B$2705,B392)</f>
        <v>0.500139850352987</v>
      </c>
      <c r="M392" s="21" t="n">
        <f aca="false">K392-L392</f>
        <v>-0.0556954059085426</v>
      </c>
      <c r="N392" s="21" t="n">
        <f aca="false">LN(J392)</f>
        <v>14.548030456191</v>
      </c>
      <c r="O392" s="21" t="n">
        <f aca="false">AVERAGEIFS($N$2:$N$2705,$B$2:$B$2705,B392)</f>
        <v>13.6345162721089</v>
      </c>
      <c r="P392" s="21" t="n">
        <f aca="false">N392-O392</f>
        <v>0.913514184082157</v>
      </c>
      <c r="Q392" s="7" t="n">
        <v>0</v>
      </c>
      <c r="R392" s="3" t="n">
        <f aca="false">IF(AND(Q392=1,B392-_xlfn.MINIFS($B$2:$B$2705,$A$2:$A$2705,A392)&lt;10),1,0)</f>
        <v>0</v>
      </c>
      <c r="S392" s="7" t="n">
        <v>0</v>
      </c>
      <c r="T392" s="3" t="n">
        <f aca="false">_xlfn.MINIFS($B$2:$B$2705,$A$2:$A$2705,A392)</f>
        <v>1901</v>
      </c>
      <c r="U392" s="3" t="n">
        <f aca="false">B392-T392</f>
        <v>24</v>
      </c>
      <c r="V392" s="3" t="str">
        <f aca="false">INDEX(Pop_Inputs!$Q$2:$Q$29,MATCH(C392,Pop_Inputs!$A$2:$A$29,0))</f>
        <v>Northeast</v>
      </c>
      <c r="W392" s="30"/>
      <c r="X392" s="3" t="str">
        <f aca="false">IF(W392="","",LN(W392))</f>
        <v/>
      </c>
      <c r="Y392" s="3" t="str">
        <f aca="false">IF(X392="","",X392-AVERAGEIFS($X$2:$X$2705,$B$2:$B$2705,B392))</f>
        <v/>
      </c>
      <c r="Z392" s="21" t="n">
        <f aca="false">P392</f>
        <v>0.913514184082157</v>
      </c>
      <c r="AA392" s="3" t="n">
        <f aca="false">R392</f>
        <v>0</v>
      </c>
      <c r="AB392" s="21" t="n">
        <f aca="false">P392</f>
        <v>0.913514184082157</v>
      </c>
      <c r="AC392" s="3" t="str">
        <f aca="false">Y392</f>
        <v/>
      </c>
      <c r="AD392" s="3" t="n">
        <f aca="false">R392</f>
        <v>0</v>
      </c>
    </row>
    <row r="393" customFormat="false" ht="15" hidden="false" customHeight="true" outlineLevel="0" collapsed="false">
      <c r="A393" s="7" t="s">
        <v>68</v>
      </c>
      <c r="B393" s="7" t="n">
        <v>1925</v>
      </c>
      <c r="C393" s="7" t="s">
        <v>160</v>
      </c>
      <c r="D393" s="7" t="n">
        <v>96</v>
      </c>
      <c r="E393" s="7" t="n">
        <v>55</v>
      </c>
      <c r="F393" s="3" t="n">
        <f aca="false">COUNTIFS($B$2:$B$2705,B393,$C$2:$C$2705,C393)</f>
        <v>1</v>
      </c>
      <c r="G393" s="3" t="n">
        <f aca="false">MIN(INT((MIN(B393,2020)-1900)/10)+1,12)</f>
        <v>3</v>
      </c>
      <c r="H393" s="3" t="n">
        <f aca="false">(MIN(B393,2020)-1900-10*(G393-1))/10</f>
        <v>0.5</v>
      </c>
      <c r="I393" s="20" t="n">
        <f aca="false">EXP(LN(INDEX(Pop_Inputs!$B$2:$N$29,MATCH(C393,Pop_Inputs!$A$2:$A$29,0),G393))*(1-H393)+LN(INDEX(Pop_Inputs!$B$2:$N$29,MATCH(C393,Pop_Inputs!$A$2:$A$29,0),G393+1))*H393)</f>
        <v>461562.298285941</v>
      </c>
      <c r="J393" s="20" t="n">
        <f aca="false">I393/F393</f>
        <v>461562.298285941</v>
      </c>
      <c r="K393" s="21" t="n">
        <f aca="false">D393/(D393+E393)</f>
        <v>0.635761589403974</v>
      </c>
      <c r="L393" s="21" t="n">
        <f aca="false">AVERAGEIFS($K$2:$K$2705,$B$2:$B$2705,B393)</f>
        <v>0.500139850352987</v>
      </c>
      <c r="M393" s="21" t="n">
        <f aca="false">K393-L393</f>
        <v>0.135621739050987</v>
      </c>
      <c r="N393" s="21" t="n">
        <f aca="false">LN(J393)</f>
        <v>13.0423723146834</v>
      </c>
      <c r="O393" s="21" t="n">
        <f aca="false">AVERAGEIFS($N$2:$N$2705,$B$2:$B$2705,B393)</f>
        <v>13.6345162721089</v>
      </c>
      <c r="P393" s="21" t="n">
        <f aca="false">N393-O393</f>
        <v>-0.592143957425476</v>
      </c>
      <c r="Q393" s="7" t="n">
        <v>0</v>
      </c>
      <c r="R393" s="3" t="n">
        <f aca="false">IF(AND(Q393=1,B393-_xlfn.MINIFS($B$2:$B$2705,$A$2:$A$2705,A393)&lt;10),1,0)</f>
        <v>0</v>
      </c>
      <c r="S393" s="7" t="n">
        <v>0</v>
      </c>
      <c r="T393" s="3" t="n">
        <f aca="false">_xlfn.MINIFS($B$2:$B$2705,$A$2:$A$2705,A393)</f>
        <v>1901</v>
      </c>
      <c r="U393" s="3" t="n">
        <f aca="false">B393-T393</f>
        <v>24</v>
      </c>
      <c r="V393" s="3" t="str">
        <f aca="false">INDEX(Pop_Inputs!$Q$2:$Q$29,MATCH(C393,Pop_Inputs!$A$2:$A$29,0))</f>
        <v>South</v>
      </c>
      <c r="W393" s="30"/>
      <c r="X393" s="3" t="str">
        <f aca="false">IF(W393="","",LN(W393))</f>
        <v/>
      </c>
      <c r="Y393" s="3" t="str">
        <f aca="false">IF(X393="","",X393-AVERAGEIFS($X$2:$X$2705,$B$2:$B$2705,B393))</f>
        <v/>
      </c>
      <c r="Z393" s="21" t="n">
        <f aca="false">P393</f>
        <v>-0.592143957425476</v>
      </c>
      <c r="AA393" s="3" t="n">
        <f aca="false">R393</f>
        <v>0</v>
      </c>
      <c r="AB393" s="21" t="n">
        <f aca="false">P393</f>
        <v>-0.592143957425476</v>
      </c>
      <c r="AC393" s="3" t="str">
        <f aca="false">Y393</f>
        <v/>
      </c>
      <c r="AD393" s="3" t="n">
        <f aca="false">R393</f>
        <v>0</v>
      </c>
    </row>
    <row r="394" customFormat="false" ht="15" hidden="false" customHeight="true" outlineLevel="0" collapsed="false">
      <c r="A394" s="7" t="s">
        <v>70</v>
      </c>
      <c r="B394" s="7" t="n">
        <v>1925</v>
      </c>
      <c r="C394" s="7" t="s">
        <v>154</v>
      </c>
      <c r="D394" s="7" t="n">
        <v>69</v>
      </c>
      <c r="E394" s="7" t="n">
        <v>85</v>
      </c>
      <c r="F394" s="3" t="n">
        <f aca="false">COUNTIFS($B$2:$B$2705,B394,$C$2:$C$2705,C394)</f>
        <v>3</v>
      </c>
      <c r="G394" s="3" t="n">
        <f aca="false">MIN(INT((MIN(B394,2020)-1900)/10)+1,12)</f>
        <v>3</v>
      </c>
      <c r="H394" s="3" t="n">
        <f aca="false">(MIN(B394,2020)-1900-10*(G394-1))/10</f>
        <v>0.5</v>
      </c>
      <c r="I394" s="20" t="n">
        <f aca="false">EXP(LN(INDEX(Pop_Inputs!$B$2:$N$29,MATCH(C394,Pop_Inputs!$A$2:$A$29,0),G394))*(1-H394)+LN(INDEX(Pop_Inputs!$B$2:$N$29,MATCH(C394,Pop_Inputs!$A$2:$A$29,0),G394+1))*H394)</f>
        <v>6240948.58025669</v>
      </c>
      <c r="J394" s="20" t="n">
        <f aca="false">I394/F394</f>
        <v>2080316.1934189</v>
      </c>
      <c r="K394" s="21" t="n">
        <f aca="false">D394/(D394+E394)</f>
        <v>0.448051948051948</v>
      </c>
      <c r="L394" s="21" t="n">
        <f aca="false">AVERAGEIFS($K$2:$K$2705,$B$2:$B$2705,B394)</f>
        <v>0.500139850352987</v>
      </c>
      <c r="M394" s="21" t="n">
        <f aca="false">K394-L394</f>
        <v>-0.052087902301039</v>
      </c>
      <c r="N394" s="21" t="n">
        <f aca="false">LN(J394)</f>
        <v>14.548030456191</v>
      </c>
      <c r="O394" s="21" t="n">
        <f aca="false">AVERAGEIFS($N$2:$N$2705,$B$2:$B$2705,B394)</f>
        <v>13.6345162721089</v>
      </c>
      <c r="P394" s="21" t="n">
        <f aca="false">N394-O394</f>
        <v>0.913514184082157</v>
      </c>
      <c r="Q394" s="7" t="n">
        <v>0</v>
      </c>
      <c r="R394" s="3" t="n">
        <f aca="false">IF(AND(Q394=1,B394-_xlfn.MINIFS($B$2:$B$2705,$A$2:$A$2705,A394)&lt;10),1,0)</f>
        <v>0</v>
      </c>
      <c r="S394" s="7" t="n">
        <v>1</v>
      </c>
      <c r="T394" s="3" t="n">
        <f aca="false">_xlfn.MINIFS($B$2:$B$2705,$A$2:$A$2705,A394)</f>
        <v>1903</v>
      </c>
      <c r="U394" s="3" t="n">
        <f aca="false">B394-T394</f>
        <v>22</v>
      </c>
      <c r="V394" s="3" t="str">
        <f aca="false">INDEX(Pop_Inputs!$Q$2:$Q$29,MATCH(C394,Pop_Inputs!$A$2:$A$29,0))</f>
        <v>Northeast</v>
      </c>
      <c r="W394" s="30"/>
      <c r="X394" s="3" t="str">
        <f aca="false">IF(W394="","",LN(W394))</f>
        <v/>
      </c>
      <c r="Y394" s="3" t="str">
        <f aca="false">IF(X394="","",X394-AVERAGEIFS($X$2:$X$2705,$B$2:$B$2705,B394))</f>
        <v/>
      </c>
      <c r="Z394" s="21" t="n">
        <f aca="false">P394</f>
        <v>0.913514184082157</v>
      </c>
      <c r="AA394" s="3" t="n">
        <f aca="false">R394</f>
        <v>0</v>
      </c>
      <c r="AB394" s="21" t="n">
        <f aca="false">P394</f>
        <v>0.913514184082157</v>
      </c>
      <c r="AC394" s="3" t="str">
        <f aca="false">Y394</f>
        <v/>
      </c>
      <c r="AD394" s="3" t="n">
        <f aca="false">R394</f>
        <v>0</v>
      </c>
    </row>
    <row r="395" customFormat="false" ht="15" hidden="false" customHeight="true" outlineLevel="0" collapsed="false">
      <c r="A395" s="7" t="s">
        <v>69</v>
      </c>
      <c r="B395" s="7" t="n">
        <v>1925</v>
      </c>
      <c r="C395" s="7" t="s">
        <v>146</v>
      </c>
      <c r="D395" s="7" t="n">
        <v>88</v>
      </c>
      <c r="E395" s="7" t="n">
        <v>64</v>
      </c>
      <c r="F395" s="3" t="n">
        <f aca="false">COUNTIFS($B$2:$B$2705,B395,$C$2:$C$2705,C395)</f>
        <v>2</v>
      </c>
      <c r="G395" s="3" t="n">
        <f aca="false">MIN(INT((MIN(B395,2020)-1900)/10)+1,12)</f>
        <v>3</v>
      </c>
      <c r="H395" s="3" t="n">
        <f aca="false">(MIN(B395,2020)-1900-10*(G395-1))/10</f>
        <v>0.5</v>
      </c>
      <c r="I395" s="20" t="n">
        <f aca="false">EXP(LN(INDEX(Pop_Inputs!$B$2:$N$29,MATCH(C395,Pop_Inputs!$A$2:$A$29,0),G395))*(1-H395)+LN(INDEX(Pop_Inputs!$B$2:$N$29,MATCH(C395,Pop_Inputs!$A$2:$A$29,0),G395+1))*H395)</f>
        <v>1886298.41266407</v>
      </c>
      <c r="J395" s="20" t="n">
        <f aca="false">I395/F395</f>
        <v>943149.206332037</v>
      </c>
      <c r="K395" s="21" t="n">
        <f aca="false">D395/(D395+E395)</f>
        <v>0.578947368421053</v>
      </c>
      <c r="L395" s="21" t="n">
        <f aca="false">AVERAGEIFS($K$2:$K$2705,$B$2:$B$2705,B395)</f>
        <v>0.500139850352987</v>
      </c>
      <c r="M395" s="21" t="n">
        <f aca="false">K395-L395</f>
        <v>0.0788075180680656</v>
      </c>
      <c r="N395" s="21" t="n">
        <f aca="false">LN(J395)</f>
        <v>13.7569797742658</v>
      </c>
      <c r="O395" s="21" t="n">
        <f aca="false">AVERAGEIFS($N$2:$N$2705,$B$2:$B$2705,B395)</f>
        <v>13.6345162721089</v>
      </c>
      <c r="P395" s="21" t="n">
        <f aca="false">N395-O395</f>
        <v>0.122463502156991</v>
      </c>
      <c r="Q395" s="7" t="n">
        <v>0</v>
      </c>
      <c r="R395" s="3" t="n">
        <f aca="false">IF(AND(Q395=1,B395-_xlfn.MINIFS($B$2:$B$2705,$A$2:$A$2705,A395)&lt;10),1,0)</f>
        <v>0</v>
      </c>
      <c r="S395" s="7" t="n">
        <v>0</v>
      </c>
      <c r="T395" s="3" t="n">
        <f aca="false">_xlfn.MINIFS($B$2:$B$2705,$A$2:$A$2705,A395)</f>
        <v>1901</v>
      </c>
      <c r="U395" s="3" t="n">
        <f aca="false">B395-T395</f>
        <v>24</v>
      </c>
      <c r="V395" s="3" t="str">
        <f aca="false">INDEX(Pop_Inputs!$Q$2:$Q$29,MATCH(C395,Pop_Inputs!$A$2:$A$29,0))</f>
        <v>Northeast</v>
      </c>
      <c r="W395" s="30"/>
      <c r="X395" s="3" t="str">
        <f aca="false">IF(W395="","",LN(W395))</f>
        <v/>
      </c>
      <c r="Y395" s="3" t="str">
        <f aca="false">IF(X395="","",X395-AVERAGEIFS($X$2:$X$2705,$B$2:$B$2705,B395))</f>
        <v/>
      </c>
      <c r="Z395" s="21" t="n">
        <f aca="false">P395</f>
        <v>0.122463502156991</v>
      </c>
      <c r="AA395" s="3" t="n">
        <f aca="false">R395</f>
        <v>0</v>
      </c>
      <c r="AB395" s="21" t="n">
        <f aca="false">P395</f>
        <v>0.122463502156991</v>
      </c>
      <c r="AC395" s="3" t="str">
        <f aca="false">Y395</f>
        <v/>
      </c>
      <c r="AD395" s="3" t="n">
        <f aca="false">R395</f>
        <v>0</v>
      </c>
    </row>
    <row r="396" customFormat="false" ht="15" hidden="false" customHeight="true" outlineLevel="0" collapsed="false">
      <c r="A396" s="7" t="s">
        <v>60</v>
      </c>
      <c r="B396" s="7" t="n">
        <v>1925</v>
      </c>
      <c r="C396" s="7" t="s">
        <v>146</v>
      </c>
      <c r="D396" s="7" t="n">
        <v>68</v>
      </c>
      <c r="E396" s="7" t="n">
        <v>85</v>
      </c>
      <c r="F396" s="3" t="n">
        <f aca="false">COUNTIFS($B$2:$B$2705,B396,$C$2:$C$2705,C396)</f>
        <v>2</v>
      </c>
      <c r="G396" s="3" t="n">
        <f aca="false">MIN(INT((MIN(B396,2020)-1900)/10)+1,12)</f>
        <v>3</v>
      </c>
      <c r="H396" s="3" t="n">
        <f aca="false">(MIN(B396,2020)-1900-10*(G396-1))/10</f>
        <v>0.5</v>
      </c>
      <c r="I396" s="20" t="n">
        <f aca="false">EXP(LN(INDEX(Pop_Inputs!$B$2:$N$29,MATCH(C396,Pop_Inputs!$A$2:$A$29,0),G396))*(1-H396)+LN(INDEX(Pop_Inputs!$B$2:$N$29,MATCH(C396,Pop_Inputs!$A$2:$A$29,0),G396+1))*H396)</f>
        <v>1886298.41266407</v>
      </c>
      <c r="J396" s="20" t="n">
        <f aca="false">I396/F396</f>
        <v>943149.206332037</v>
      </c>
      <c r="K396" s="21" t="n">
        <f aca="false">D396/(D396+E396)</f>
        <v>0.444444444444444</v>
      </c>
      <c r="L396" s="21" t="n">
        <f aca="false">AVERAGEIFS($K$2:$K$2705,$B$2:$B$2705,B396)</f>
        <v>0.500139850352987</v>
      </c>
      <c r="M396" s="21" t="n">
        <f aca="false">K396-L396</f>
        <v>-0.0556954059085426</v>
      </c>
      <c r="N396" s="21" t="n">
        <f aca="false">LN(J396)</f>
        <v>13.7569797742658</v>
      </c>
      <c r="O396" s="21" t="n">
        <f aca="false">AVERAGEIFS($N$2:$N$2705,$B$2:$B$2705,B396)</f>
        <v>13.6345162721089</v>
      </c>
      <c r="P396" s="21" t="n">
        <f aca="false">N396-O396</f>
        <v>0.122463502156991</v>
      </c>
      <c r="Q396" s="7" t="n">
        <v>0</v>
      </c>
      <c r="R396" s="3" t="n">
        <f aca="false">IF(AND(Q396=1,B396-_xlfn.MINIFS($B$2:$B$2705,$A$2:$A$2705,A396)&lt;10),1,0)</f>
        <v>0</v>
      </c>
      <c r="S396" s="7" t="n">
        <v>0</v>
      </c>
      <c r="T396" s="3" t="n">
        <f aca="false">_xlfn.MINIFS($B$2:$B$2705,$A$2:$A$2705,A396)</f>
        <v>1901</v>
      </c>
      <c r="U396" s="3" t="n">
        <f aca="false">B396-T396</f>
        <v>24</v>
      </c>
      <c r="V396" s="3" t="str">
        <f aca="false">INDEX(Pop_Inputs!$Q$2:$Q$29,MATCH(C396,Pop_Inputs!$A$2:$A$29,0))</f>
        <v>Northeast</v>
      </c>
      <c r="W396" s="30"/>
      <c r="X396" s="3" t="str">
        <f aca="false">IF(W396="","",LN(W396))</f>
        <v/>
      </c>
      <c r="Y396" s="3" t="str">
        <f aca="false">IF(X396="","",X396-AVERAGEIFS($X$2:$X$2705,$B$2:$B$2705,B396))</f>
        <v/>
      </c>
      <c r="Z396" s="21" t="n">
        <f aca="false">P396</f>
        <v>0.122463502156991</v>
      </c>
      <c r="AA396" s="3" t="n">
        <f aca="false">R396</f>
        <v>0</v>
      </c>
      <c r="AB396" s="21" t="n">
        <f aca="false">P396</f>
        <v>0.122463502156991</v>
      </c>
      <c r="AC396" s="3" t="str">
        <f aca="false">Y396</f>
        <v/>
      </c>
      <c r="AD396" s="3" t="n">
        <f aca="false">R396</f>
        <v>0</v>
      </c>
    </row>
    <row r="397" customFormat="false" ht="15" hidden="false" customHeight="true" outlineLevel="0" collapsed="false">
      <c r="A397" s="7" t="s">
        <v>58</v>
      </c>
      <c r="B397" s="7" t="n">
        <v>1925</v>
      </c>
      <c r="C397" s="7" t="s">
        <v>144</v>
      </c>
      <c r="D397" s="7" t="n">
        <v>95</v>
      </c>
      <c r="E397" s="7" t="n">
        <v>58</v>
      </c>
      <c r="F397" s="3" t="n">
        <f aca="false">COUNTIFS($B$2:$B$2705,B397,$C$2:$C$2705,C397)</f>
        <v>1</v>
      </c>
      <c r="G397" s="3" t="n">
        <f aca="false">MIN(INT((MIN(B397,2020)-1900)/10)+1,12)</f>
        <v>3</v>
      </c>
      <c r="H397" s="3" t="n">
        <f aca="false">(MIN(B397,2020)-1900-10*(G397-1))/10</f>
        <v>0.5</v>
      </c>
      <c r="I397" s="20" t="n">
        <f aca="false">EXP(LN(INDEX(Pop_Inputs!$B$2:$N$29,MATCH(C397,Pop_Inputs!$A$2:$A$29,0),G397))*(1-H397)+LN(INDEX(Pop_Inputs!$B$2:$N$29,MATCH(C397,Pop_Inputs!$A$2:$A$29,0),G397+1))*H397)</f>
        <v>627759.622173169</v>
      </c>
      <c r="J397" s="20" t="n">
        <f aca="false">I397/F397</f>
        <v>627759.622173169</v>
      </c>
      <c r="K397" s="21" t="n">
        <f aca="false">D397/(D397+E397)</f>
        <v>0.620915032679739</v>
      </c>
      <c r="L397" s="21" t="n">
        <f aca="false">AVERAGEIFS($K$2:$K$2705,$B$2:$B$2705,B397)</f>
        <v>0.500139850352987</v>
      </c>
      <c r="M397" s="21" t="n">
        <f aca="false">K397-L397</f>
        <v>0.120775182326752</v>
      </c>
      <c r="N397" s="21" t="n">
        <f aca="false">LN(J397)</f>
        <v>13.3499126049361</v>
      </c>
      <c r="O397" s="21" t="n">
        <f aca="false">AVERAGEIFS($N$2:$N$2705,$B$2:$B$2705,B397)</f>
        <v>13.6345162721089</v>
      </c>
      <c r="P397" s="21" t="n">
        <f aca="false">N397-O397</f>
        <v>-0.284603667172771</v>
      </c>
      <c r="Q397" s="7" t="n">
        <v>0</v>
      </c>
      <c r="R397" s="3" t="n">
        <f aca="false">IF(AND(Q397=1,B397-_xlfn.MINIFS($B$2:$B$2705,$A$2:$A$2705,A397)&lt;10),1,0)</f>
        <v>0</v>
      </c>
      <c r="S397" s="7" t="n">
        <v>0</v>
      </c>
      <c r="T397" s="3" t="n">
        <f aca="false">_xlfn.MINIFS($B$2:$B$2705,$A$2:$A$2705,A397)</f>
        <v>1901</v>
      </c>
      <c r="U397" s="3" t="n">
        <f aca="false">B397-T397</f>
        <v>24</v>
      </c>
      <c r="V397" s="3" t="str">
        <f aca="false">INDEX(Pop_Inputs!$Q$2:$Q$29,MATCH(C397,Pop_Inputs!$A$2:$A$29,0))</f>
        <v>Northeast</v>
      </c>
      <c r="W397" s="30"/>
      <c r="X397" s="3" t="str">
        <f aca="false">IF(W397="","",LN(W397))</f>
        <v/>
      </c>
      <c r="Y397" s="3" t="str">
        <f aca="false">IF(X397="","",X397-AVERAGEIFS($X$2:$X$2705,$B$2:$B$2705,B397))</f>
        <v/>
      </c>
      <c r="Z397" s="21" t="n">
        <f aca="false">P397</f>
        <v>-0.284603667172771</v>
      </c>
      <c r="AA397" s="3" t="n">
        <f aca="false">R397</f>
        <v>0</v>
      </c>
      <c r="AB397" s="21" t="n">
        <f aca="false">P397</f>
        <v>-0.284603667172771</v>
      </c>
      <c r="AC397" s="3" t="str">
        <f aca="false">Y397</f>
        <v/>
      </c>
      <c r="AD397" s="3" t="n">
        <f aca="false">R397</f>
        <v>0</v>
      </c>
    </row>
    <row r="398" customFormat="false" ht="15" hidden="false" customHeight="true" outlineLevel="0" collapsed="false">
      <c r="A398" s="7" t="s">
        <v>61</v>
      </c>
      <c r="B398" s="7" t="n">
        <v>1925</v>
      </c>
      <c r="C398" s="7" t="s">
        <v>154</v>
      </c>
      <c r="D398" s="7" t="n">
        <v>86</v>
      </c>
      <c r="E398" s="7" t="n">
        <v>66</v>
      </c>
      <c r="F398" s="3" t="n">
        <f aca="false">COUNTIFS($B$2:$B$2705,B398,$C$2:$C$2705,C398)</f>
        <v>3</v>
      </c>
      <c r="G398" s="3" t="n">
        <f aca="false">MIN(INT((MIN(B398,2020)-1900)/10)+1,12)</f>
        <v>3</v>
      </c>
      <c r="H398" s="3" t="n">
        <f aca="false">(MIN(B398,2020)-1900-10*(G398-1))/10</f>
        <v>0.5</v>
      </c>
      <c r="I398" s="20" t="n">
        <f aca="false">EXP(LN(INDEX(Pop_Inputs!$B$2:$N$29,MATCH(C398,Pop_Inputs!$A$2:$A$29,0),G398))*(1-H398)+LN(INDEX(Pop_Inputs!$B$2:$N$29,MATCH(C398,Pop_Inputs!$A$2:$A$29,0),G398+1))*H398)</f>
        <v>6240948.58025669</v>
      </c>
      <c r="J398" s="20" t="n">
        <f aca="false">I398/F398</f>
        <v>2080316.1934189</v>
      </c>
      <c r="K398" s="21" t="n">
        <f aca="false">D398/(D398+E398)</f>
        <v>0.565789473684211</v>
      </c>
      <c r="L398" s="21" t="n">
        <f aca="false">AVERAGEIFS($K$2:$K$2705,$B$2:$B$2705,B398)</f>
        <v>0.500139850352987</v>
      </c>
      <c r="M398" s="21" t="n">
        <f aca="false">K398-L398</f>
        <v>0.0656496233312235</v>
      </c>
      <c r="N398" s="21" t="n">
        <f aca="false">LN(J398)</f>
        <v>14.548030456191</v>
      </c>
      <c r="O398" s="21" t="n">
        <f aca="false">AVERAGEIFS($N$2:$N$2705,$B$2:$B$2705,B398)</f>
        <v>13.6345162721089</v>
      </c>
      <c r="P398" s="21" t="n">
        <f aca="false">N398-O398</f>
        <v>0.913514184082157</v>
      </c>
      <c r="Q398" s="7" t="n">
        <v>0</v>
      </c>
      <c r="R398" s="3" t="n">
        <f aca="false">IF(AND(Q398=1,B398-_xlfn.MINIFS($B$2:$B$2705,$A$2:$A$2705,A398)&lt;10),1,0)</f>
        <v>0</v>
      </c>
      <c r="S398" s="7" t="n">
        <v>0</v>
      </c>
      <c r="T398" s="3" t="n">
        <f aca="false">_xlfn.MINIFS($B$2:$B$2705,$A$2:$A$2705,A398)</f>
        <v>1901</v>
      </c>
      <c r="U398" s="3" t="n">
        <f aca="false">B398-T398</f>
        <v>24</v>
      </c>
      <c r="V398" s="3" t="str">
        <f aca="false">INDEX(Pop_Inputs!$Q$2:$Q$29,MATCH(C398,Pop_Inputs!$A$2:$A$29,0))</f>
        <v>Northeast</v>
      </c>
      <c r="W398" s="30"/>
      <c r="X398" s="3" t="str">
        <f aca="false">IF(W398="","",LN(W398))</f>
        <v/>
      </c>
      <c r="Y398" s="3" t="str">
        <f aca="false">IF(X398="","",X398-AVERAGEIFS($X$2:$X$2705,$B$2:$B$2705,B398))</f>
        <v/>
      </c>
      <c r="Z398" s="21" t="n">
        <f aca="false">P398</f>
        <v>0.913514184082157</v>
      </c>
      <c r="AA398" s="3" t="n">
        <f aca="false">R398</f>
        <v>0</v>
      </c>
      <c r="AB398" s="21" t="n">
        <f aca="false">P398</f>
        <v>0.913514184082157</v>
      </c>
      <c r="AC398" s="3" t="str">
        <f aca="false">Y398</f>
        <v/>
      </c>
      <c r="AD398" s="3" t="n">
        <f aca="false">R398</f>
        <v>0</v>
      </c>
    </row>
    <row r="399" customFormat="false" ht="15" hidden="false" customHeight="true" outlineLevel="0" collapsed="false">
      <c r="A399" s="7" t="s">
        <v>59</v>
      </c>
      <c r="B399" s="7" t="n">
        <v>1925</v>
      </c>
      <c r="C399" s="7" t="s">
        <v>145</v>
      </c>
      <c r="D399" s="7" t="n">
        <v>77</v>
      </c>
      <c r="E399" s="7" t="n">
        <v>76</v>
      </c>
      <c r="F399" s="3" t="n">
        <f aca="false">COUNTIFS($B$2:$B$2705,B399,$C$2:$C$2705,C399)</f>
        <v>2</v>
      </c>
      <c r="G399" s="3" t="n">
        <f aca="false">MIN(INT((MIN(B399,2020)-1900)/10)+1,12)</f>
        <v>3</v>
      </c>
      <c r="H399" s="3" t="n">
        <f aca="false">(MIN(B399,2020)-1900-10*(G399-1))/10</f>
        <v>0.5</v>
      </c>
      <c r="I399" s="20" t="n">
        <f aca="false">EXP(LN(INDEX(Pop_Inputs!$B$2:$N$29,MATCH(C399,Pop_Inputs!$A$2:$A$29,0),G399))*(1-H399)+LN(INDEX(Pop_Inputs!$B$2:$N$29,MATCH(C399,Pop_Inputs!$A$2:$A$29,0),G399+1))*H399)</f>
        <v>797051.076230374</v>
      </c>
      <c r="J399" s="20" t="n">
        <f aca="false">I399/F399</f>
        <v>398525.538115187</v>
      </c>
      <c r="K399" s="21" t="n">
        <f aca="false">D399/(D399+E399)</f>
        <v>0.503267973856209</v>
      </c>
      <c r="L399" s="21" t="n">
        <f aca="false">AVERAGEIFS($K$2:$K$2705,$B$2:$B$2705,B399)</f>
        <v>0.500139850352987</v>
      </c>
      <c r="M399" s="21" t="n">
        <f aca="false">K399-L399</f>
        <v>0.00312812350322211</v>
      </c>
      <c r="N399" s="21" t="n">
        <f aca="false">LN(J399)</f>
        <v>12.895526860768</v>
      </c>
      <c r="O399" s="21" t="n">
        <f aca="false">AVERAGEIFS($N$2:$N$2705,$B$2:$B$2705,B399)</f>
        <v>13.6345162721089</v>
      </c>
      <c r="P399" s="21" t="n">
        <f aca="false">N399-O399</f>
        <v>-0.738989411340837</v>
      </c>
      <c r="Q399" s="7" t="n">
        <v>0</v>
      </c>
      <c r="R399" s="3" t="n">
        <f aca="false">IF(AND(Q399=1,B399-_xlfn.MINIFS($B$2:$B$2705,$A$2:$A$2705,A399)&lt;10),1,0)</f>
        <v>0</v>
      </c>
      <c r="S399" s="7" t="n">
        <v>0</v>
      </c>
      <c r="T399" s="3" t="n">
        <f aca="false">_xlfn.MINIFS($B$2:$B$2705,$A$2:$A$2705,A399)</f>
        <v>1901</v>
      </c>
      <c r="U399" s="3" t="n">
        <f aca="false">B399-T399</f>
        <v>24</v>
      </c>
      <c r="V399" s="3" t="str">
        <f aca="false">INDEX(Pop_Inputs!$Q$2:$Q$29,MATCH(C399,Pop_Inputs!$A$2:$A$29,0))</f>
        <v>Midwest</v>
      </c>
      <c r="W399" s="30"/>
      <c r="X399" s="3" t="str">
        <f aca="false">IF(W399="","",LN(W399))</f>
        <v/>
      </c>
      <c r="Y399" s="3" t="str">
        <f aca="false">IF(X399="","",X399-AVERAGEIFS($X$2:$X$2705,$B$2:$B$2705,B399))</f>
        <v/>
      </c>
      <c r="Z399" s="21" t="n">
        <f aca="false">P399</f>
        <v>-0.738989411340837</v>
      </c>
      <c r="AA399" s="3" t="n">
        <f aca="false">R399</f>
        <v>0</v>
      </c>
      <c r="AB399" s="21" t="n">
        <f aca="false">P399</f>
        <v>-0.738989411340837</v>
      </c>
      <c r="AC399" s="3" t="str">
        <f aca="false">Y399</f>
        <v/>
      </c>
      <c r="AD399" s="3" t="n">
        <f aca="false">R399</f>
        <v>0</v>
      </c>
    </row>
    <row r="400" customFormat="false" ht="15" hidden="false" customHeight="true" outlineLevel="0" collapsed="false">
      <c r="A400" s="7" t="s">
        <v>54</v>
      </c>
      <c r="B400" s="7" t="n">
        <v>1926</v>
      </c>
      <c r="C400" s="7" t="s">
        <v>150</v>
      </c>
      <c r="D400" s="7" t="n">
        <v>66</v>
      </c>
      <c r="E400" s="7" t="n">
        <v>86</v>
      </c>
      <c r="F400" s="3" t="n">
        <f aca="false">COUNTIFS($B$2:$B$2705,B400,$C$2:$C$2705,C400)</f>
        <v>2</v>
      </c>
      <c r="G400" s="3" t="n">
        <f aca="false">MIN(INT((MIN(B400,2020)-1900)/10)+1,12)</f>
        <v>3</v>
      </c>
      <c r="H400" s="3" t="n">
        <f aca="false">(MIN(B400,2020)-1900-10*(G400-1))/10</f>
        <v>0.6</v>
      </c>
      <c r="I400" s="20" t="n">
        <f aca="false">EXP(LN(INDEX(Pop_Inputs!$B$2:$N$29,MATCH(C400,Pop_Inputs!$A$2:$A$29,0),G400))*(1-H400)+LN(INDEX(Pop_Inputs!$B$2:$N$29,MATCH(C400,Pop_Inputs!$A$2:$A$29,0),G400+1))*H400)</f>
        <v>767764.294781601</v>
      </c>
      <c r="J400" s="20" t="n">
        <f aca="false">I400/F400</f>
        <v>383882.147390801</v>
      </c>
      <c r="K400" s="21" t="n">
        <f aca="false">D400/(D400+E400)</f>
        <v>0.43421052631579</v>
      </c>
      <c r="L400" s="21" t="n">
        <f aca="false">AVERAGEIFS($K$2:$K$2705,$B$2:$B$2705,B400)</f>
        <v>0.499881253326769</v>
      </c>
      <c r="M400" s="21" t="n">
        <f aca="false">K400-L400</f>
        <v>-0.0656707270109793</v>
      </c>
      <c r="N400" s="21" t="n">
        <f aca="false">LN(J400)</f>
        <v>12.8580908766276</v>
      </c>
      <c r="O400" s="21" t="n">
        <f aca="false">AVERAGEIFS($N$2:$N$2705,$B$2:$B$2705,B400)</f>
        <v>13.6492143028298</v>
      </c>
      <c r="P400" s="21" t="n">
        <f aca="false">N400-O400</f>
        <v>-0.791123426202272</v>
      </c>
      <c r="Q400" s="7" t="n">
        <v>0</v>
      </c>
      <c r="R400" s="3" t="n">
        <f aca="false">IF(AND(Q400=1,B400-_xlfn.MINIFS($B$2:$B$2705,$A$2:$A$2705,A400)&lt;10),1,0)</f>
        <v>0</v>
      </c>
      <c r="S400" s="7" t="n">
        <v>0</v>
      </c>
      <c r="T400" s="3" t="n">
        <f aca="false">_xlfn.MINIFS($B$2:$B$2705,$A$2:$A$2705,A400)</f>
        <v>1901</v>
      </c>
      <c r="U400" s="3" t="n">
        <f aca="false">B400-T400</f>
        <v>25</v>
      </c>
      <c r="V400" s="3" t="str">
        <f aca="false">INDEX(Pop_Inputs!$Q$2:$Q$29,MATCH(C400,Pop_Inputs!$A$2:$A$29,0))</f>
        <v>Northeast</v>
      </c>
      <c r="W400" s="30"/>
      <c r="X400" s="3" t="str">
        <f aca="false">IF(W400="","",LN(W400))</f>
        <v/>
      </c>
      <c r="Y400" s="3" t="str">
        <f aca="false">IF(X400="","",X400-AVERAGEIFS($X$2:$X$2705,$B$2:$B$2705,B400))</f>
        <v/>
      </c>
      <c r="Z400" s="21" t="n">
        <f aca="false">P400</f>
        <v>-0.791123426202272</v>
      </c>
      <c r="AA400" s="3" t="n">
        <f aca="false">R400</f>
        <v>0</v>
      </c>
      <c r="AB400" s="21" t="n">
        <f aca="false">P400</f>
        <v>-0.791123426202272</v>
      </c>
      <c r="AC400" s="3" t="str">
        <f aca="false">Y400</f>
        <v/>
      </c>
      <c r="AD400" s="3" t="n">
        <f aca="false">R400</f>
        <v>0</v>
      </c>
    </row>
    <row r="401" customFormat="false" ht="15" hidden="false" customHeight="true" outlineLevel="0" collapsed="false">
      <c r="A401" s="7" t="s">
        <v>63</v>
      </c>
      <c r="B401" s="7" t="n">
        <v>1926</v>
      </c>
      <c r="C401" s="7" t="s">
        <v>145</v>
      </c>
      <c r="D401" s="7" t="n">
        <v>62</v>
      </c>
      <c r="E401" s="7" t="n">
        <v>92</v>
      </c>
      <c r="F401" s="3" t="n">
        <f aca="false">COUNTIFS($B$2:$B$2705,B401,$C$2:$C$2705,C401)</f>
        <v>2</v>
      </c>
      <c r="G401" s="3" t="n">
        <f aca="false">MIN(INT((MIN(B401,2020)-1900)/10)+1,12)</f>
        <v>3</v>
      </c>
      <c r="H401" s="3" t="n">
        <f aca="false">(MIN(B401,2020)-1900-10*(G401-1))/10</f>
        <v>0.6</v>
      </c>
      <c r="I401" s="20" t="n">
        <f aca="false">EXP(LN(INDEX(Pop_Inputs!$B$2:$N$29,MATCH(C401,Pop_Inputs!$A$2:$A$29,0),G401))*(1-H401)+LN(INDEX(Pop_Inputs!$B$2:$N$29,MATCH(C401,Pop_Inputs!$A$2:$A$29,0),G401+1))*H401)</f>
        <v>801971.728734736</v>
      </c>
      <c r="J401" s="20" t="n">
        <f aca="false">I401/F401</f>
        <v>400985.864367368</v>
      </c>
      <c r="K401" s="21" t="n">
        <f aca="false">D401/(D401+E401)</f>
        <v>0.402597402597403</v>
      </c>
      <c r="L401" s="21" t="n">
        <f aca="false">AVERAGEIFS($K$2:$K$2705,$B$2:$B$2705,B401)</f>
        <v>0.499881253326769</v>
      </c>
      <c r="M401" s="21" t="n">
        <f aca="false">K401-L401</f>
        <v>-0.0972838507293662</v>
      </c>
      <c r="N401" s="21" t="n">
        <f aca="false">LN(J401)</f>
        <v>12.9016814547132</v>
      </c>
      <c r="O401" s="21" t="n">
        <f aca="false">AVERAGEIFS($N$2:$N$2705,$B$2:$B$2705,B401)</f>
        <v>13.6492143028298</v>
      </c>
      <c r="P401" s="21" t="n">
        <f aca="false">N401-O401</f>
        <v>-0.747532848116649</v>
      </c>
      <c r="Q401" s="7" t="n">
        <v>0</v>
      </c>
      <c r="R401" s="3" t="n">
        <f aca="false">IF(AND(Q401=1,B401-_xlfn.MINIFS($B$2:$B$2705,$A$2:$A$2705,A401)&lt;10),1,0)</f>
        <v>0</v>
      </c>
      <c r="S401" s="7" t="n">
        <v>0</v>
      </c>
      <c r="T401" s="3" t="n">
        <f aca="false">_xlfn.MINIFS($B$2:$B$2705,$A$2:$A$2705,A401)</f>
        <v>1901</v>
      </c>
      <c r="U401" s="3" t="n">
        <f aca="false">B401-T401</f>
        <v>25</v>
      </c>
      <c r="V401" s="3" t="str">
        <f aca="false">INDEX(Pop_Inputs!$Q$2:$Q$29,MATCH(C401,Pop_Inputs!$A$2:$A$29,0))</f>
        <v>Midwest</v>
      </c>
      <c r="W401" s="30"/>
      <c r="X401" s="3" t="str">
        <f aca="false">IF(W401="","",LN(W401))</f>
        <v/>
      </c>
      <c r="Y401" s="3" t="str">
        <f aca="false">IF(X401="","",X401-AVERAGEIFS($X$2:$X$2705,$B$2:$B$2705,B401))</f>
        <v/>
      </c>
      <c r="Z401" s="21" t="n">
        <f aca="false">P401</f>
        <v>-0.747532848116649</v>
      </c>
      <c r="AA401" s="3" t="n">
        <f aca="false">R401</f>
        <v>0</v>
      </c>
      <c r="AB401" s="21" t="n">
        <f aca="false">P401</f>
        <v>-0.747532848116649</v>
      </c>
      <c r="AC401" s="3" t="str">
        <f aca="false">Y401</f>
        <v/>
      </c>
      <c r="AD401" s="3" t="n">
        <f aca="false">R401</f>
        <v>0</v>
      </c>
    </row>
    <row r="402" customFormat="false" ht="15" hidden="false" customHeight="true" outlineLevel="0" collapsed="false">
      <c r="A402" s="7" t="s">
        <v>64</v>
      </c>
      <c r="B402" s="7" t="n">
        <v>1926</v>
      </c>
      <c r="C402" s="7" t="s">
        <v>150</v>
      </c>
      <c r="D402" s="7" t="n">
        <v>46</v>
      </c>
      <c r="E402" s="7" t="n">
        <v>107</v>
      </c>
      <c r="F402" s="3" t="n">
        <f aca="false">COUNTIFS($B$2:$B$2705,B402,$C$2:$C$2705,C402)</f>
        <v>2</v>
      </c>
      <c r="G402" s="3" t="n">
        <f aca="false">MIN(INT((MIN(B402,2020)-1900)/10)+1,12)</f>
        <v>3</v>
      </c>
      <c r="H402" s="3" t="n">
        <f aca="false">(MIN(B402,2020)-1900-10*(G402-1))/10</f>
        <v>0.6</v>
      </c>
      <c r="I402" s="20" t="n">
        <f aca="false">EXP(LN(INDEX(Pop_Inputs!$B$2:$N$29,MATCH(C402,Pop_Inputs!$A$2:$A$29,0),G402))*(1-H402)+LN(INDEX(Pop_Inputs!$B$2:$N$29,MATCH(C402,Pop_Inputs!$A$2:$A$29,0),G402+1))*H402)</f>
        <v>767764.294781601</v>
      </c>
      <c r="J402" s="20" t="n">
        <f aca="false">I402/F402</f>
        <v>383882.147390801</v>
      </c>
      <c r="K402" s="21" t="n">
        <f aca="false">D402/(D402+E402)</f>
        <v>0.300653594771242</v>
      </c>
      <c r="L402" s="21" t="n">
        <f aca="false">AVERAGEIFS($K$2:$K$2705,$B$2:$B$2705,B402)</f>
        <v>0.499881253326769</v>
      </c>
      <c r="M402" s="21" t="n">
        <f aca="false">K402-L402</f>
        <v>-0.199227658555527</v>
      </c>
      <c r="N402" s="21" t="n">
        <f aca="false">LN(J402)</f>
        <v>12.8580908766276</v>
      </c>
      <c r="O402" s="21" t="n">
        <f aca="false">AVERAGEIFS($N$2:$N$2705,$B$2:$B$2705,B402)</f>
        <v>13.6492143028298</v>
      </c>
      <c r="P402" s="21" t="n">
        <f aca="false">N402-O402</f>
        <v>-0.791123426202272</v>
      </c>
      <c r="Q402" s="7" t="n">
        <v>0</v>
      </c>
      <c r="R402" s="3" t="n">
        <f aca="false">IF(AND(Q402=1,B402-_xlfn.MINIFS($B$2:$B$2705,$A$2:$A$2705,A402)&lt;10),1,0)</f>
        <v>0</v>
      </c>
      <c r="S402" s="7" t="n">
        <v>0</v>
      </c>
      <c r="T402" s="3" t="n">
        <f aca="false">_xlfn.MINIFS($B$2:$B$2705,$A$2:$A$2705,A402)</f>
        <v>1901</v>
      </c>
      <c r="U402" s="3" t="n">
        <f aca="false">B402-T402</f>
        <v>25</v>
      </c>
      <c r="V402" s="3" t="str">
        <f aca="false">INDEX(Pop_Inputs!$Q$2:$Q$29,MATCH(C402,Pop_Inputs!$A$2:$A$29,0))</f>
        <v>Northeast</v>
      </c>
      <c r="W402" s="30"/>
      <c r="X402" s="3" t="str">
        <f aca="false">IF(W402="","",LN(W402))</f>
        <v/>
      </c>
      <c r="Y402" s="3" t="str">
        <f aca="false">IF(X402="","",X402-AVERAGEIFS($X$2:$X$2705,$B$2:$B$2705,B402))</f>
        <v/>
      </c>
      <c r="Z402" s="21" t="n">
        <f aca="false">P402</f>
        <v>-0.791123426202272</v>
      </c>
      <c r="AA402" s="3" t="n">
        <f aca="false">R402</f>
        <v>0</v>
      </c>
      <c r="AB402" s="21" t="n">
        <f aca="false">P402</f>
        <v>-0.791123426202272</v>
      </c>
      <c r="AC402" s="3" t="str">
        <f aca="false">Y402</f>
        <v/>
      </c>
      <c r="AD402" s="3" t="n">
        <f aca="false">R402</f>
        <v>0</v>
      </c>
    </row>
    <row r="403" customFormat="false" ht="15" hidden="false" customHeight="true" outlineLevel="0" collapsed="false">
      <c r="A403" s="7" t="s">
        <v>56</v>
      </c>
      <c r="B403" s="7" t="n">
        <v>1926</v>
      </c>
      <c r="C403" s="7" t="s">
        <v>142</v>
      </c>
      <c r="D403" s="7" t="n">
        <v>82</v>
      </c>
      <c r="E403" s="7" t="n">
        <v>72</v>
      </c>
      <c r="F403" s="3" t="n">
        <f aca="false">COUNTIFS($B$2:$B$2705,B403,$C$2:$C$2705,C403)</f>
        <v>2</v>
      </c>
      <c r="G403" s="3" t="n">
        <f aca="false">MIN(INT((MIN(B403,2020)-1900)/10)+1,12)</f>
        <v>3</v>
      </c>
      <c r="H403" s="3" t="n">
        <f aca="false">(MIN(B403,2020)-1900-10*(G403-1))/10</f>
        <v>0.6</v>
      </c>
      <c r="I403" s="20" t="n">
        <f aca="false">EXP(LN(INDEX(Pop_Inputs!$B$2:$N$29,MATCH(C403,Pop_Inputs!$A$2:$A$29,0),G403))*(1-H403)+LN(INDEX(Pop_Inputs!$B$2:$N$29,MATCH(C403,Pop_Inputs!$A$2:$A$29,0),G403+1))*H403)</f>
        <v>3088377.91560025</v>
      </c>
      <c r="J403" s="20" t="n">
        <f aca="false">I403/F403</f>
        <v>1544188.95780013</v>
      </c>
      <c r="K403" s="21" t="n">
        <f aca="false">D403/(D403+E403)</f>
        <v>0.532467532467532</v>
      </c>
      <c r="L403" s="21" t="n">
        <f aca="false">AVERAGEIFS($K$2:$K$2705,$B$2:$B$2705,B403)</f>
        <v>0.499881253326769</v>
      </c>
      <c r="M403" s="21" t="n">
        <f aca="false">K403-L403</f>
        <v>0.0325862791407636</v>
      </c>
      <c r="N403" s="21" t="n">
        <f aca="false">LN(J403)</f>
        <v>14.2500093840737</v>
      </c>
      <c r="O403" s="21" t="n">
        <f aca="false">AVERAGEIFS($N$2:$N$2705,$B$2:$B$2705,B403)</f>
        <v>13.6492143028298</v>
      </c>
      <c r="P403" s="21" t="n">
        <f aca="false">N403-O403</f>
        <v>0.600795081243863</v>
      </c>
      <c r="Q403" s="7" t="n">
        <v>0</v>
      </c>
      <c r="R403" s="3" t="n">
        <f aca="false">IF(AND(Q403=1,B403-_xlfn.MINIFS($B$2:$B$2705,$A$2:$A$2705,A403)&lt;10),1,0)</f>
        <v>0</v>
      </c>
      <c r="S403" s="7" t="n">
        <v>0</v>
      </c>
      <c r="T403" s="3" t="n">
        <f aca="false">_xlfn.MINIFS($B$2:$B$2705,$A$2:$A$2705,A403)</f>
        <v>1901</v>
      </c>
      <c r="U403" s="3" t="n">
        <f aca="false">B403-T403</f>
        <v>25</v>
      </c>
      <c r="V403" s="3" t="str">
        <f aca="false">INDEX(Pop_Inputs!$Q$2:$Q$29,MATCH(C403,Pop_Inputs!$A$2:$A$29,0))</f>
        <v>Midwest</v>
      </c>
      <c r="W403" s="30"/>
      <c r="X403" s="3" t="str">
        <f aca="false">IF(W403="","",LN(W403))</f>
        <v/>
      </c>
      <c r="Y403" s="3" t="str">
        <f aca="false">IF(X403="","",X403-AVERAGEIFS($X$2:$X$2705,$B$2:$B$2705,B403))</f>
        <v/>
      </c>
      <c r="Z403" s="21" t="n">
        <f aca="false">P403</f>
        <v>0.600795081243863</v>
      </c>
      <c r="AA403" s="3" t="n">
        <f aca="false">R403</f>
        <v>0</v>
      </c>
      <c r="AB403" s="21" t="n">
        <f aca="false">P403</f>
        <v>0.600795081243863</v>
      </c>
      <c r="AC403" s="3" t="str">
        <f aca="false">Y403</f>
        <v/>
      </c>
      <c r="AD403" s="3" t="n">
        <f aca="false">R403</f>
        <v>0</v>
      </c>
    </row>
    <row r="404" customFormat="false" ht="15" hidden="false" customHeight="true" outlineLevel="0" collapsed="false">
      <c r="A404" s="7" t="s">
        <v>65</v>
      </c>
      <c r="B404" s="7" t="n">
        <v>1926</v>
      </c>
      <c r="C404" s="7" t="s">
        <v>142</v>
      </c>
      <c r="D404" s="7" t="n">
        <v>81</v>
      </c>
      <c r="E404" s="7" t="n">
        <v>72</v>
      </c>
      <c r="F404" s="3" t="n">
        <f aca="false">COUNTIFS($B$2:$B$2705,B404,$C$2:$C$2705,C404)</f>
        <v>2</v>
      </c>
      <c r="G404" s="3" t="n">
        <f aca="false">MIN(INT((MIN(B404,2020)-1900)/10)+1,12)</f>
        <v>3</v>
      </c>
      <c r="H404" s="3" t="n">
        <f aca="false">(MIN(B404,2020)-1900-10*(G404-1))/10</f>
        <v>0.6</v>
      </c>
      <c r="I404" s="20" t="n">
        <f aca="false">EXP(LN(INDEX(Pop_Inputs!$B$2:$N$29,MATCH(C404,Pop_Inputs!$A$2:$A$29,0),G404))*(1-H404)+LN(INDEX(Pop_Inputs!$B$2:$N$29,MATCH(C404,Pop_Inputs!$A$2:$A$29,0),G404+1))*H404)</f>
        <v>3088377.91560025</v>
      </c>
      <c r="J404" s="20" t="n">
        <f aca="false">I404/F404</f>
        <v>1544188.95780013</v>
      </c>
      <c r="K404" s="21" t="n">
        <f aca="false">D404/(D404+E404)</f>
        <v>0.529411764705882</v>
      </c>
      <c r="L404" s="21" t="n">
        <f aca="false">AVERAGEIFS($K$2:$K$2705,$B$2:$B$2705,B404)</f>
        <v>0.499881253326769</v>
      </c>
      <c r="M404" s="21" t="n">
        <f aca="false">K404-L404</f>
        <v>0.0295305113791136</v>
      </c>
      <c r="N404" s="21" t="n">
        <f aca="false">LN(J404)</f>
        <v>14.2500093840737</v>
      </c>
      <c r="O404" s="21" t="n">
        <f aca="false">AVERAGEIFS($N$2:$N$2705,$B$2:$B$2705,B404)</f>
        <v>13.6492143028298</v>
      </c>
      <c r="P404" s="21" t="n">
        <f aca="false">N404-O404</f>
        <v>0.600795081243863</v>
      </c>
      <c r="Q404" s="7" t="n">
        <v>0</v>
      </c>
      <c r="R404" s="3" t="n">
        <f aca="false">IF(AND(Q404=1,B404-_xlfn.MINIFS($B$2:$B$2705,$A$2:$A$2705,A404)&lt;10),1,0)</f>
        <v>0</v>
      </c>
      <c r="S404" s="7" t="n">
        <v>0</v>
      </c>
      <c r="T404" s="3" t="n">
        <f aca="false">_xlfn.MINIFS($B$2:$B$2705,$A$2:$A$2705,A404)</f>
        <v>1901</v>
      </c>
      <c r="U404" s="3" t="n">
        <f aca="false">B404-T404</f>
        <v>25</v>
      </c>
      <c r="V404" s="3" t="str">
        <f aca="false">INDEX(Pop_Inputs!$Q$2:$Q$29,MATCH(C404,Pop_Inputs!$A$2:$A$29,0))</f>
        <v>Midwest</v>
      </c>
      <c r="W404" s="30"/>
      <c r="X404" s="3" t="str">
        <f aca="false">IF(W404="","",LN(W404))</f>
        <v/>
      </c>
      <c r="Y404" s="3" t="str">
        <f aca="false">IF(X404="","",X404-AVERAGEIFS($X$2:$X$2705,$B$2:$B$2705,B404))</f>
        <v/>
      </c>
      <c r="Z404" s="21" t="n">
        <f aca="false">P404</f>
        <v>0.600795081243863</v>
      </c>
      <c r="AA404" s="3" t="n">
        <f aca="false">R404</f>
        <v>0</v>
      </c>
      <c r="AB404" s="21" t="n">
        <f aca="false">P404</f>
        <v>0.600795081243863</v>
      </c>
      <c r="AC404" s="3" t="str">
        <f aca="false">Y404</f>
        <v/>
      </c>
      <c r="AD404" s="3" t="n">
        <f aca="false">R404</f>
        <v>0</v>
      </c>
    </row>
    <row r="405" customFormat="false" ht="15" hidden="false" customHeight="true" outlineLevel="0" collapsed="false">
      <c r="A405" s="7" t="s">
        <v>57</v>
      </c>
      <c r="B405" s="7" t="n">
        <v>1926</v>
      </c>
      <c r="C405" s="7" t="s">
        <v>143</v>
      </c>
      <c r="D405" s="7" t="n">
        <v>87</v>
      </c>
      <c r="E405" s="7" t="n">
        <v>67</v>
      </c>
      <c r="F405" s="3" t="n">
        <f aca="false">COUNTIFS($B$2:$B$2705,B405,$C$2:$C$2705,C405)</f>
        <v>1</v>
      </c>
      <c r="G405" s="3" t="n">
        <f aca="false">MIN(INT((MIN(B405,2020)-1900)/10)+1,12)</f>
        <v>3</v>
      </c>
      <c r="H405" s="3" t="n">
        <f aca="false">(MIN(B405,2020)-1900-10*(G405-1))/10</f>
        <v>0.6</v>
      </c>
      <c r="I405" s="20" t="n">
        <f aca="false">EXP(LN(INDEX(Pop_Inputs!$B$2:$N$29,MATCH(C405,Pop_Inputs!$A$2:$A$29,0),G405))*(1-H405)+LN(INDEX(Pop_Inputs!$B$2:$N$29,MATCH(C405,Pop_Inputs!$A$2:$A$29,0),G405+1))*H405)</f>
        <v>430490.00455504</v>
      </c>
      <c r="J405" s="20" t="n">
        <f aca="false">I405/F405</f>
        <v>430490.00455504</v>
      </c>
      <c r="K405" s="21" t="n">
        <f aca="false">D405/(D405+E405)</f>
        <v>0.564935064935065</v>
      </c>
      <c r="L405" s="21" t="n">
        <f aca="false">AVERAGEIFS($K$2:$K$2705,$B$2:$B$2705,B405)</f>
        <v>0.499881253326769</v>
      </c>
      <c r="M405" s="21" t="n">
        <f aca="false">K405-L405</f>
        <v>0.0650538116082962</v>
      </c>
      <c r="N405" s="21" t="n">
        <f aca="false">LN(J405)</f>
        <v>12.9726793843575</v>
      </c>
      <c r="O405" s="21" t="n">
        <f aca="false">AVERAGEIFS($N$2:$N$2705,$B$2:$B$2705,B405)</f>
        <v>13.6492143028298</v>
      </c>
      <c r="P405" s="21" t="n">
        <f aca="false">N405-O405</f>
        <v>-0.67653491847236</v>
      </c>
      <c r="Q405" s="7" t="n">
        <v>0</v>
      </c>
      <c r="R405" s="3" t="n">
        <f aca="false">IF(AND(Q405=1,B405-_xlfn.MINIFS($B$2:$B$2705,$A$2:$A$2705,A405)&lt;10),1,0)</f>
        <v>0</v>
      </c>
      <c r="S405" s="7" t="n">
        <v>0</v>
      </c>
      <c r="T405" s="3" t="n">
        <f aca="false">_xlfn.MINIFS($B$2:$B$2705,$A$2:$A$2705,A405)</f>
        <v>1901</v>
      </c>
      <c r="U405" s="3" t="n">
        <f aca="false">B405-T405</f>
        <v>25</v>
      </c>
      <c r="V405" s="3" t="str">
        <f aca="false">INDEX(Pop_Inputs!$Q$2:$Q$29,MATCH(C405,Pop_Inputs!$A$2:$A$29,0))</f>
        <v>Midwest</v>
      </c>
      <c r="W405" s="30"/>
      <c r="X405" s="3" t="str">
        <f aca="false">IF(W405="","",LN(W405))</f>
        <v/>
      </c>
      <c r="Y405" s="3" t="str">
        <f aca="false">IF(X405="","",X405-AVERAGEIFS($X$2:$X$2705,$B$2:$B$2705,B405))</f>
        <v/>
      </c>
      <c r="Z405" s="21" t="n">
        <f aca="false">P405</f>
        <v>-0.67653491847236</v>
      </c>
      <c r="AA405" s="3" t="n">
        <f aca="false">R405</f>
        <v>0</v>
      </c>
      <c r="AB405" s="21" t="n">
        <f aca="false">P405</f>
        <v>-0.67653491847236</v>
      </c>
      <c r="AC405" s="3" t="str">
        <f aca="false">Y405</f>
        <v/>
      </c>
      <c r="AD405" s="3" t="n">
        <f aca="false">R405</f>
        <v>0</v>
      </c>
    </row>
    <row r="406" customFormat="false" ht="15" hidden="false" customHeight="true" outlineLevel="0" collapsed="false">
      <c r="A406" s="7" t="s">
        <v>66</v>
      </c>
      <c r="B406" s="7" t="n">
        <v>1926</v>
      </c>
      <c r="C406" s="7" t="s">
        <v>151</v>
      </c>
      <c r="D406" s="7" t="n">
        <v>88</v>
      </c>
      <c r="E406" s="7" t="n">
        <v>66</v>
      </c>
      <c r="F406" s="3" t="n">
        <f aca="false">COUNTIFS($B$2:$B$2705,B406,$C$2:$C$2705,C406)</f>
        <v>1</v>
      </c>
      <c r="G406" s="3" t="n">
        <f aca="false">MIN(INT((MIN(B406,2020)-1900)/10)+1,12)</f>
        <v>3</v>
      </c>
      <c r="H406" s="3" t="n">
        <f aca="false">(MIN(B406,2020)-1900-10*(G406-1))/10</f>
        <v>0.6</v>
      </c>
      <c r="I406" s="20" t="n">
        <f aca="false">EXP(LN(INDEX(Pop_Inputs!$B$2:$N$29,MATCH(C406,Pop_Inputs!$A$2:$A$29,0),G406))*(1-H406)+LN(INDEX(Pop_Inputs!$B$2:$N$29,MATCH(C406,Pop_Inputs!$A$2:$A$29,0),G406+1))*H406)</f>
        <v>857468.851981782</v>
      </c>
      <c r="J406" s="20" t="n">
        <f aca="false">I406/F406</f>
        <v>857468.851981782</v>
      </c>
      <c r="K406" s="21" t="n">
        <f aca="false">D406/(D406+E406)</f>
        <v>0.571428571428571</v>
      </c>
      <c r="L406" s="21" t="n">
        <f aca="false">AVERAGEIFS($K$2:$K$2705,$B$2:$B$2705,B406)</f>
        <v>0.499881253326769</v>
      </c>
      <c r="M406" s="21" t="n">
        <f aca="false">K406-L406</f>
        <v>0.0715473181018026</v>
      </c>
      <c r="N406" s="21" t="n">
        <f aca="false">LN(J406)</f>
        <v>13.661740133143</v>
      </c>
      <c r="O406" s="21" t="n">
        <f aca="false">AVERAGEIFS($N$2:$N$2705,$B$2:$B$2705,B406)</f>
        <v>13.6492143028298</v>
      </c>
      <c r="P406" s="21" t="n">
        <f aca="false">N406-O406</f>
        <v>0.0125258303131641</v>
      </c>
      <c r="Q406" s="7" t="n">
        <v>0</v>
      </c>
      <c r="R406" s="3" t="n">
        <f aca="false">IF(AND(Q406=1,B406-_xlfn.MINIFS($B$2:$B$2705,$A$2:$A$2705,A406)&lt;10),1,0)</f>
        <v>0</v>
      </c>
      <c r="S406" s="7" t="n">
        <v>0</v>
      </c>
      <c r="T406" s="3" t="n">
        <f aca="false">_xlfn.MINIFS($B$2:$B$2705,$A$2:$A$2705,A406)</f>
        <v>1901</v>
      </c>
      <c r="U406" s="3" t="n">
        <f aca="false">B406-T406</f>
        <v>25</v>
      </c>
      <c r="V406" s="3" t="str">
        <f aca="false">INDEX(Pop_Inputs!$Q$2:$Q$29,MATCH(C406,Pop_Inputs!$A$2:$A$29,0))</f>
        <v>Midwest</v>
      </c>
      <c r="W406" s="30"/>
      <c r="X406" s="3" t="str">
        <f aca="false">IF(W406="","",LN(W406))</f>
        <v/>
      </c>
      <c r="Y406" s="3" t="str">
        <f aca="false">IF(X406="","",X406-AVERAGEIFS($X$2:$X$2705,$B$2:$B$2705,B406))</f>
        <v/>
      </c>
      <c r="Z406" s="21" t="n">
        <f aca="false">P406</f>
        <v>0.0125258303131641</v>
      </c>
      <c r="AA406" s="3" t="n">
        <f aca="false">R406</f>
        <v>0</v>
      </c>
      <c r="AB406" s="21" t="n">
        <f aca="false">P406</f>
        <v>0.0125258303131641</v>
      </c>
      <c r="AC406" s="3" t="str">
        <f aca="false">Y406</f>
        <v/>
      </c>
      <c r="AD406" s="3" t="n">
        <f aca="false">R406</f>
        <v>0</v>
      </c>
    </row>
    <row r="407" customFormat="false" ht="15" hidden="false" customHeight="true" outlineLevel="0" collapsed="false">
      <c r="A407" s="7" t="s">
        <v>67</v>
      </c>
      <c r="B407" s="7" t="n">
        <v>1926</v>
      </c>
      <c r="C407" s="7" t="s">
        <v>152</v>
      </c>
      <c r="D407" s="7" t="n">
        <v>79</v>
      </c>
      <c r="E407" s="7" t="n">
        <v>75</v>
      </c>
      <c r="F407" s="3" t="n">
        <f aca="false">COUNTIFS($B$2:$B$2705,B407,$C$2:$C$2705,C407)</f>
        <v>1</v>
      </c>
      <c r="G407" s="3" t="n">
        <f aca="false">MIN(INT((MIN(B407,2020)-1900)/10)+1,12)</f>
        <v>3</v>
      </c>
      <c r="H407" s="3" t="n">
        <f aca="false">(MIN(B407,2020)-1900-10*(G407-1))/10</f>
        <v>0.6</v>
      </c>
      <c r="I407" s="20" t="n">
        <f aca="false">EXP(LN(INDEX(Pop_Inputs!$B$2:$N$29,MATCH(C407,Pop_Inputs!$A$2:$A$29,0),G407))*(1-H407)+LN(INDEX(Pop_Inputs!$B$2:$N$29,MATCH(C407,Pop_Inputs!$A$2:$A$29,0),G407+1))*H407)</f>
        <v>1306820.37041601</v>
      </c>
      <c r="J407" s="20" t="n">
        <f aca="false">I407/F407</f>
        <v>1306820.37041601</v>
      </c>
      <c r="K407" s="21" t="n">
        <f aca="false">D407/(D407+E407)</f>
        <v>0.512987012987013</v>
      </c>
      <c r="L407" s="21" t="n">
        <f aca="false">AVERAGEIFS($K$2:$K$2705,$B$2:$B$2705,B407)</f>
        <v>0.499881253326769</v>
      </c>
      <c r="M407" s="21" t="n">
        <f aca="false">K407-L407</f>
        <v>0.0131057596602442</v>
      </c>
      <c r="N407" s="21" t="n">
        <f aca="false">LN(J407)</f>
        <v>14.083107546601</v>
      </c>
      <c r="O407" s="21" t="n">
        <f aca="false">AVERAGEIFS($N$2:$N$2705,$B$2:$B$2705,B407)</f>
        <v>13.6492143028298</v>
      </c>
      <c r="P407" s="21" t="n">
        <f aca="false">N407-O407</f>
        <v>0.433893243771202</v>
      </c>
      <c r="Q407" s="7" t="n">
        <v>0</v>
      </c>
      <c r="R407" s="3" t="n">
        <f aca="false">IF(AND(Q407=1,B407-_xlfn.MINIFS($B$2:$B$2705,$A$2:$A$2705,A407)&lt;10),1,0)</f>
        <v>0</v>
      </c>
      <c r="S407" s="7" t="n">
        <v>0</v>
      </c>
      <c r="T407" s="3" t="n">
        <f aca="false">_xlfn.MINIFS($B$2:$B$2705,$A$2:$A$2705,A407)</f>
        <v>1901</v>
      </c>
      <c r="U407" s="3" t="n">
        <f aca="false">B407-T407</f>
        <v>25</v>
      </c>
      <c r="V407" s="3" t="str">
        <f aca="false">INDEX(Pop_Inputs!$Q$2:$Q$29,MATCH(C407,Pop_Inputs!$A$2:$A$29,0))</f>
        <v>Midwest</v>
      </c>
      <c r="W407" s="30"/>
      <c r="X407" s="3" t="str">
        <f aca="false">IF(W407="","",LN(W407))</f>
        <v/>
      </c>
      <c r="Y407" s="3" t="str">
        <f aca="false">IF(X407="","",X407-AVERAGEIFS($X$2:$X$2705,$B$2:$B$2705,B407))</f>
        <v/>
      </c>
      <c r="Z407" s="21" t="n">
        <f aca="false">P407</f>
        <v>0.433893243771202</v>
      </c>
      <c r="AA407" s="3" t="n">
        <f aca="false">R407</f>
        <v>0</v>
      </c>
      <c r="AB407" s="21" t="n">
        <f aca="false">P407</f>
        <v>0.433893243771202</v>
      </c>
      <c r="AC407" s="3" t="str">
        <f aca="false">Y407</f>
        <v/>
      </c>
      <c r="AD407" s="3" t="n">
        <f aca="false">R407</f>
        <v>0</v>
      </c>
    </row>
    <row r="408" customFormat="false" ht="15" hidden="false" customHeight="true" outlineLevel="0" collapsed="false">
      <c r="A408" s="7" t="s">
        <v>62</v>
      </c>
      <c r="B408" s="7" t="n">
        <v>1926</v>
      </c>
      <c r="C408" s="7" t="s">
        <v>154</v>
      </c>
      <c r="D408" s="7" t="n">
        <v>71</v>
      </c>
      <c r="E408" s="7" t="n">
        <v>82</v>
      </c>
      <c r="F408" s="3" t="n">
        <f aca="false">COUNTIFS($B$2:$B$2705,B408,$C$2:$C$2705,C408)</f>
        <v>3</v>
      </c>
      <c r="G408" s="3" t="n">
        <f aca="false">MIN(INT((MIN(B408,2020)-1900)/10)+1,12)</f>
        <v>3</v>
      </c>
      <c r="H408" s="3" t="n">
        <f aca="false">(MIN(B408,2020)-1900-10*(G408-1))/10</f>
        <v>0.6</v>
      </c>
      <c r="I408" s="20" t="n">
        <f aca="false">EXP(LN(INDEX(Pop_Inputs!$B$2:$N$29,MATCH(C408,Pop_Inputs!$A$2:$A$29,0),G408))*(1-H408)+LN(INDEX(Pop_Inputs!$B$2:$N$29,MATCH(C408,Pop_Inputs!$A$2:$A$29,0),G408+1))*H408)</f>
        <v>6373129.16279009</v>
      </c>
      <c r="J408" s="20" t="n">
        <f aca="false">I408/F408</f>
        <v>2124376.3875967</v>
      </c>
      <c r="K408" s="21" t="n">
        <f aca="false">D408/(D408+E408)</f>
        <v>0.464052287581699</v>
      </c>
      <c r="L408" s="21" t="n">
        <f aca="false">AVERAGEIFS($K$2:$K$2705,$B$2:$B$2705,B408)</f>
        <v>0.499881253326769</v>
      </c>
      <c r="M408" s="21" t="n">
        <f aca="false">K408-L408</f>
        <v>-0.0358289657450694</v>
      </c>
      <c r="N408" s="21" t="n">
        <f aca="false">LN(J408)</f>
        <v>14.5689888526111</v>
      </c>
      <c r="O408" s="21" t="n">
        <f aca="false">AVERAGEIFS($N$2:$N$2705,$B$2:$B$2705,B408)</f>
        <v>13.6492143028298</v>
      </c>
      <c r="P408" s="21" t="n">
        <f aca="false">N408-O408</f>
        <v>0.919774549781266</v>
      </c>
      <c r="Q408" s="7" t="n">
        <v>0</v>
      </c>
      <c r="R408" s="3" t="n">
        <f aca="false">IF(AND(Q408=1,B408-_xlfn.MINIFS($B$2:$B$2705,$A$2:$A$2705,A408)&lt;10),1,0)</f>
        <v>0</v>
      </c>
      <c r="S408" s="7" t="n">
        <v>0</v>
      </c>
      <c r="T408" s="3" t="n">
        <f aca="false">_xlfn.MINIFS($B$2:$B$2705,$A$2:$A$2705,A408)</f>
        <v>1901</v>
      </c>
      <c r="U408" s="3" t="n">
        <f aca="false">B408-T408</f>
        <v>25</v>
      </c>
      <c r="V408" s="3" t="str">
        <f aca="false">INDEX(Pop_Inputs!$Q$2:$Q$29,MATCH(C408,Pop_Inputs!$A$2:$A$29,0))</f>
        <v>Northeast</v>
      </c>
      <c r="W408" s="30"/>
      <c r="X408" s="3" t="str">
        <f aca="false">IF(W408="","",LN(W408))</f>
        <v/>
      </c>
      <c r="Y408" s="3" t="str">
        <f aca="false">IF(X408="","",X408-AVERAGEIFS($X$2:$X$2705,$B$2:$B$2705,B408))</f>
        <v/>
      </c>
      <c r="Z408" s="21" t="n">
        <f aca="false">P408</f>
        <v>0.919774549781266</v>
      </c>
      <c r="AA408" s="3" t="n">
        <f aca="false">R408</f>
        <v>0</v>
      </c>
      <c r="AB408" s="21" t="n">
        <f aca="false">P408</f>
        <v>0.919774549781266</v>
      </c>
      <c r="AC408" s="3" t="str">
        <f aca="false">Y408</f>
        <v/>
      </c>
      <c r="AD408" s="3" t="n">
        <f aca="false">R408</f>
        <v>0</v>
      </c>
    </row>
    <row r="409" customFormat="false" ht="15" hidden="false" customHeight="true" outlineLevel="0" collapsed="false">
      <c r="A409" s="7" t="s">
        <v>68</v>
      </c>
      <c r="B409" s="7" t="n">
        <v>1926</v>
      </c>
      <c r="C409" s="7" t="s">
        <v>160</v>
      </c>
      <c r="D409" s="7" t="n">
        <v>81</v>
      </c>
      <c r="E409" s="7" t="n">
        <v>69</v>
      </c>
      <c r="F409" s="3" t="n">
        <f aca="false">COUNTIFS($B$2:$B$2705,B409,$C$2:$C$2705,C409)</f>
        <v>1</v>
      </c>
      <c r="G409" s="3" t="n">
        <f aca="false">MIN(INT((MIN(B409,2020)-1900)/10)+1,12)</f>
        <v>3</v>
      </c>
      <c r="H409" s="3" t="n">
        <f aca="false">(MIN(B409,2020)-1900-10*(G409-1))/10</f>
        <v>0.6</v>
      </c>
      <c r="I409" s="20" t="n">
        <f aca="false">EXP(LN(INDEX(Pop_Inputs!$B$2:$N$29,MATCH(C409,Pop_Inputs!$A$2:$A$29,0),G409))*(1-H409)+LN(INDEX(Pop_Inputs!$B$2:$N$29,MATCH(C409,Pop_Inputs!$A$2:$A$29,0),G409+1))*H409)</f>
        <v>466516.153721563</v>
      </c>
      <c r="J409" s="20" t="n">
        <f aca="false">I409/F409</f>
        <v>466516.153721563</v>
      </c>
      <c r="K409" s="21" t="n">
        <f aca="false">D409/(D409+E409)</f>
        <v>0.54</v>
      </c>
      <c r="L409" s="21" t="n">
        <f aca="false">AVERAGEIFS($K$2:$K$2705,$B$2:$B$2705,B409)</f>
        <v>0.499881253326769</v>
      </c>
      <c r="M409" s="21" t="n">
        <f aca="false">K409-L409</f>
        <v>0.0401187466732312</v>
      </c>
      <c r="N409" s="21" t="n">
        <f aca="false">LN(J409)</f>
        <v>13.0530479261546</v>
      </c>
      <c r="O409" s="21" t="n">
        <f aca="false">AVERAGEIFS($N$2:$N$2705,$B$2:$B$2705,B409)</f>
        <v>13.6492143028298</v>
      </c>
      <c r="P409" s="21" t="n">
        <f aca="false">N409-O409</f>
        <v>-0.596166376675219</v>
      </c>
      <c r="Q409" s="7" t="n">
        <v>0</v>
      </c>
      <c r="R409" s="3" t="n">
        <f aca="false">IF(AND(Q409=1,B409-_xlfn.MINIFS($B$2:$B$2705,$A$2:$A$2705,A409)&lt;10),1,0)</f>
        <v>0</v>
      </c>
      <c r="S409" s="7" t="n">
        <v>0</v>
      </c>
      <c r="T409" s="3" t="n">
        <f aca="false">_xlfn.MINIFS($B$2:$B$2705,$A$2:$A$2705,A409)</f>
        <v>1901</v>
      </c>
      <c r="U409" s="3" t="n">
        <f aca="false">B409-T409</f>
        <v>25</v>
      </c>
      <c r="V409" s="3" t="str">
        <f aca="false">INDEX(Pop_Inputs!$Q$2:$Q$29,MATCH(C409,Pop_Inputs!$A$2:$A$29,0))</f>
        <v>South</v>
      </c>
      <c r="W409" s="30"/>
      <c r="X409" s="3" t="str">
        <f aca="false">IF(W409="","",LN(W409))</f>
        <v/>
      </c>
      <c r="Y409" s="3" t="str">
        <f aca="false">IF(X409="","",X409-AVERAGEIFS($X$2:$X$2705,$B$2:$B$2705,B409))</f>
        <v/>
      </c>
      <c r="Z409" s="21" t="n">
        <f aca="false">P409</f>
        <v>-0.596166376675219</v>
      </c>
      <c r="AA409" s="3" t="n">
        <f aca="false">R409</f>
        <v>0</v>
      </c>
      <c r="AB409" s="21" t="n">
        <f aca="false">P409</f>
        <v>-0.596166376675219</v>
      </c>
      <c r="AC409" s="3" t="str">
        <f aca="false">Y409</f>
        <v/>
      </c>
      <c r="AD409" s="3" t="n">
        <f aca="false">R409</f>
        <v>0</v>
      </c>
    </row>
    <row r="410" customFormat="false" ht="15" hidden="false" customHeight="true" outlineLevel="0" collapsed="false">
      <c r="A410" s="7" t="s">
        <v>70</v>
      </c>
      <c r="B410" s="7" t="n">
        <v>1926</v>
      </c>
      <c r="C410" s="7" t="s">
        <v>154</v>
      </c>
      <c r="D410" s="7" t="n">
        <v>91</v>
      </c>
      <c r="E410" s="7" t="n">
        <v>63</v>
      </c>
      <c r="F410" s="3" t="n">
        <f aca="false">COUNTIFS($B$2:$B$2705,B410,$C$2:$C$2705,C410)</f>
        <v>3</v>
      </c>
      <c r="G410" s="3" t="n">
        <f aca="false">MIN(INT((MIN(B410,2020)-1900)/10)+1,12)</f>
        <v>3</v>
      </c>
      <c r="H410" s="3" t="n">
        <f aca="false">(MIN(B410,2020)-1900-10*(G410-1))/10</f>
        <v>0.6</v>
      </c>
      <c r="I410" s="20" t="n">
        <f aca="false">EXP(LN(INDEX(Pop_Inputs!$B$2:$N$29,MATCH(C410,Pop_Inputs!$A$2:$A$29,0),G410))*(1-H410)+LN(INDEX(Pop_Inputs!$B$2:$N$29,MATCH(C410,Pop_Inputs!$A$2:$A$29,0),G410+1))*H410)</f>
        <v>6373129.16279009</v>
      </c>
      <c r="J410" s="20" t="n">
        <f aca="false">I410/F410</f>
        <v>2124376.3875967</v>
      </c>
      <c r="K410" s="21" t="n">
        <f aca="false">D410/(D410+E410)</f>
        <v>0.590909090909091</v>
      </c>
      <c r="L410" s="21" t="n">
        <f aca="false">AVERAGEIFS($K$2:$K$2705,$B$2:$B$2705,B410)</f>
        <v>0.499881253326769</v>
      </c>
      <c r="M410" s="21" t="n">
        <f aca="false">K410-L410</f>
        <v>0.0910278375823221</v>
      </c>
      <c r="N410" s="21" t="n">
        <f aca="false">LN(J410)</f>
        <v>14.5689888526111</v>
      </c>
      <c r="O410" s="21" t="n">
        <f aca="false">AVERAGEIFS($N$2:$N$2705,$B$2:$B$2705,B410)</f>
        <v>13.6492143028298</v>
      </c>
      <c r="P410" s="21" t="n">
        <f aca="false">N410-O410</f>
        <v>0.919774549781266</v>
      </c>
      <c r="Q410" s="7" t="n">
        <v>0</v>
      </c>
      <c r="R410" s="3" t="n">
        <f aca="false">IF(AND(Q410=1,B410-_xlfn.MINIFS($B$2:$B$2705,$A$2:$A$2705,A410)&lt;10),1,0)</f>
        <v>0</v>
      </c>
      <c r="S410" s="7" t="n">
        <v>1</v>
      </c>
      <c r="T410" s="3" t="n">
        <f aca="false">_xlfn.MINIFS($B$2:$B$2705,$A$2:$A$2705,A410)</f>
        <v>1903</v>
      </c>
      <c r="U410" s="3" t="n">
        <f aca="false">B410-T410</f>
        <v>23</v>
      </c>
      <c r="V410" s="3" t="str">
        <f aca="false">INDEX(Pop_Inputs!$Q$2:$Q$29,MATCH(C410,Pop_Inputs!$A$2:$A$29,0))</f>
        <v>Northeast</v>
      </c>
      <c r="W410" s="30"/>
      <c r="X410" s="3" t="str">
        <f aca="false">IF(W410="","",LN(W410))</f>
        <v/>
      </c>
      <c r="Y410" s="3" t="str">
        <f aca="false">IF(X410="","",X410-AVERAGEIFS($X$2:$X$2705,$B$2:$B$2705,B410))</f>
        <v/>
      </c>
      <c r="Z410" s="21" t="n">
        <f aca="false">P410</f>
        <v>0.919774549781266</v>
      </c>
      <c r="AA410" s="3" t="n">
        <f aca="false">R410</f>
        <v>0</v>
      </c>
      <c r="AB410" s="21" t="n">
        <f aca="false">P410</f>
        <v>0.919774549781266</v>
      </c>
      <c r="AC410" s="3" t="str">
        <f aca="false">Y410</f>
        <v/>
      </c>
      <c r="AD410" s="3" t="n">
        <f aca="false">R410</f>
        <v>0</v>
      </c>
    </row>
    <row r="411" customFormat="false" ht="15" hidden="false" customHeight="true" outlineLevel="0" collapsed="false">
      <c r="A411" s="7" t="s">
        <v>69</v>
      </c>
      <c r="B411" s="7" t="n">
        <v>1926</v>
      </c>
      <c r="C411" s="7" t="s">
        <v>146</v>
      </c>
      <c r="D411" s="7" t="n">
        <v>83</v>
      </c>
      <c r="E411" s="7" t="n">
        <v>67</v>
      </c>
      <c r="F411" s="3" t="n">
        <f aca="false">COUNTIFS($B$2:$B$2705,B411,$C$2:$C$2705,C411)</f>
        <v>2</v>
      </c>
      <c r="G411" s="3" t="n">
        <f aca="false">MIN(INT((MIN(B411,2020)-1900)/10)+1,12)</f>
        <v>3</v>
      </c>
      <c r="H411" s="3" t="n">
        <f aca="false">(MIN(B411,2020)-1900-10*(G411-1))/10</f>
        <v>0.6</v>
      </c>
      <c r="I411" s="20" t="n">
        <f aca="false">EXP(LN(INDEX(Pop_Inputs!$B$2:$N$29,MATCH(C411,Pop_Inputs!$A$2:$A$29,0),G411))*(1-H411)+LN(INDEX(Pop_Inputs!$B$2:$N$29,MATCH(C411,Pop_Inputs!$A$2:$A$29,0),G411+1))*H411)</f>
        <v>1899057.16075557</v>
      </c>
      <c r="J411" s="20" t="n">
        <f aca="false">I411/F411</f>
        <v>949528.580377784</v>
      </c>
      <c r="K411" s="21" t="n">
        <f aca="false">D411/(D411+E411)</f>
        <v>0.553333333333333</v>
      </c>
      <c r="L411" s="21" t="n">
        <f aca="false">AVERAGEIFS($K$2:$K$2705,$B$2:$B$2705,B411)</f>
        <v>0.499881253326769</v>
      </c>
      <c r="M411" s="21" t="n">
        <f aca="false">K411-L411</f>
        <v>0.0534520800065645</v>
      </c>
      <c r="N411" s="21" t="n">
        <f aca="false">LN(J411)</f>
        <v>13.763720909232</v>
      </c>
      <c r="O411" s="21" t="n">
        <f aca="false">AVERAGEIFS($N$2:$N$2705,$B$2:$B$2705,B411)</f>
        <v>13.6492143028298</v>
      </c>
      <c r="P411" s="21" t="n">
        <f aca="false">N411-O411</f>
        <v>0.114506606402173</v>
      </c>
      <c r="Q411" s="7" t="n">
        <v>0</v>
      </c>
      <c r="R411" s="3" t="n">
        <f aca="false">IF(AND(Q411=1,B411-_xlfn.MINIFS($B$2:$B$2705,$A$2:$A$2705,A411)&lt;10),1,0)</f>
        <v>0</v>
      </c>
      <c r="S411" s="7" t="n">
        <v>0</v>
      </c>
      <c r="T411" s="3" t="n">
        <f aca="false">_xlfn.MINIFS($B$2:$B$2705,$A$2:$A$2705,A411)</f>
        <v>1901</v>
      </c>
      <c r="U411" s="3" t="n">
        <f aca="false">B411-T411</f>
        <v>25</v>
      </c>
      <c r="V411" s="3" t="str">
        <f aca="false">INDEX(Pop_Inputs!$Q$2:$Q$29,MATCH(C411,Pop_Inputs!$A$2:$A$29,0))</f>
        <v>Northeast</v>
      </c>
      <c r="W411" s="30"/>
      <c r="X411" s="3" t="str">
        <f aca="false">IF(W411="","",LN(W411))</f>
        <v/>
      </c>
      <c r="Y411" s="3" t="str">
        <f aca="false">IF(X411="","",X411-AVERAGEIFS($X$2:$X$2705,$B$2:$B$2705,B411))</f>
        <v/>
      </c>
      <c r="Z411" s="21" t="n">
        <f aca="false">P411</f>
        <v>0.114506606402173</v>
      </c>
      <c r="AA411" s="3" t="n">
        <f aca="false">R411</f>
        <v>0</v>
      </c>
      <c r="AB411" s="21" t="n">
        <f aca="false">P411</f>
        <v>0.114506606402173</v>
      </c>
      <c r="AC411" s="3" t="str">
        <f aca="false">Y411</f>
        <v/>
      </c>
      <c r="AD411" s="3" t="n">
        <f aca="false">R411</f>
        <v>0</v>
      </c>
    </row>
    <row r="412" customFormat="false" ht="15" hidden="false" customHeight="true" outlineLevel="0" collapsed="false">
      <c r="A412" s="7" t="s">
        <v>60</v>
      </c>
      <c r="B412" s="7" t="n">
        <v>1926</v>
      </c>
      <c r="C412" s="7" t="s">
        <v>146</v>
      </c>
      <c r="D412" s="7" t="n">
        <v>58</v>
      </c>
      <c r="E412" s="7" t="n">
        <v>93</v>
      </c>
      <c r="F412" s="3" t="n">
        <f aca="false">COUNTIFS($B$2:$B$2705,B412,$C$2:$C$2705,C412)</f>
        <v>2</v>
      </c>
      <c r="G412" s="3" t="n">
        <f aca="false">MIN(INT((MIN(B412,2020)-1900)/10)+1,12)</f>
        <v>3</v>
      </c>
      <c r="H412" s="3" t="n">
        <f aca="false">(MIN(B412,2020)-1900-10*(G412-1))/10</f>
        <v>0.6</v>
      </c>
      <c r="I412" s="20" t="n">
        <f aca="false">EXP(LN(INDEX(Pop_Inputs!$B$2:$N$29,MATCH(C412,Pop_Inputs!$A$2:$A$29,0),G412))*(1-H412)+LN(INDEX(Pop_Inputs!$B$2:$N$29,MATCH(C412,Pop_Inputs!$A$2:$A$29,0),G412+1))*H412)</f>
        <v>1899057.16075557</v>
      </c>
      <c r="J412" s="20" t="n">
        <f aca="false">I412/F412</f>
        <v>949528.580377784</v>
      </c>
      <c r="K412" s="21" t="n">
        <f aca="false">D412/(D412+E412)</f>
        <v>0.384105960264901</v>
      </c>
      <c r="L412" s="21" t="n">
        <f aca="false">AVERAGEIFS($K$2:$K$2705,$B$2:$B$2705,B412)</f>
        <v>0.499881253326769</v>
      </c>
      <c r="M412" s="21" t="n">
        <f aca="false">K412-L412</f>
        <v>-0.115775293061868</v>
      </c>
      <c r="N412" s="21" t="n">
        <f aca="false">LN(J412)</f>
        <v>13.763720909232</v>
      </c>
      <c r="O412" s="21" t="n">
        <f aca="false">AVERAGEIFS($N$2:$N$2705,$B$2:$B$2705,B412)</f>
        <v>13.6492143028298</v>
      </c>
      <c r="P412" s="21" t="n">
        <f aca="false">N412-O412</f>
        <v>0.114506606402173</v>
      </c>
      <c r="Q412" s="7" t="n">
        <v>0</v>
      </c>
      <c r="R412" s="3" t="n">
        <f aca="false">IF(AND(Q412=1,B412-_xlfn.MINIFS($B$2:$B$2705,$A$2:$A$2705,A412)&lt;10),1,0)</f>
        <v>0</v>
      </c>
      <c r="S412" s="7" t="n">
        <v>0</v>
      </c>
      <c r="T412" s="3" t="n">
        <f aca="false">_xlfn.MINIFS($B$2:$B$2705,$A$2:$A$2705,A412)</f>
        <v>1901</v>
      </c>
      <c r="U412" s="3" t="n">
        <f aca="false">B412-T412</f>
        <v>25</v>
      </c>
      <c r="V412" s="3" t="str">
        <f aca="false">INDEX(Pop_Inputs!$Q$2:$Q$29,MATCH(C412,Pop_Inputs!$A$2:$A$29,0))</f>
        <v>Northeast</v>
      </c>
      <c r="W412" s="30"/>
      <c r="X412" s="3" t="str">
        <f aca="false">IF(W412="","",LN(W412))</f>
        <v/>
      </c>
      <c r="Y412" s="3" t="str">
        <f aca="false">IF(X412="","",X412-AVERAGEIFS($X$2:$X$2705,$B$2:$B$2705,B412))</f>
        <v/>
      </c>
      <c r="Z412" s="21" t="n">
        <f aca="false">P412</f>
        <v>0.114506606402173</v>
      </c>
      <c r="AA412" s="3" t="n">
        <f aca="false">R412</f>
        <v>0</v>
      </c>
      <c r="AB412" s="21" t="n">
        <f aca="false">P412</f>
        <v>0.114506606402173</v>
      </c>
      <c r="AC412" s="3" t="str">
        <f aca="false">Y412</f>
        <v/>
      </c>
      <c r="AD412" s="3" t="n">
        <f aca="false">R412</f>
        <v>0</v>
      </c>
    </row>
    <row r="413" customFormat="false" ht="15" hidden="false" customHeight="true" outlineLevel="0" collapsed="false">
      <c r="A413" s="7" t="s">
        <v>58</v>
      </c>
      <c r="B413" s="7" t="n">
        <v>1926</v>
      </c>
      <c r="C413" s="7" t="s">
        <v>144</v>
      </c>
      <c r="D413" s="7" t="n">
        <v>84</v>
      </c>
      <c r="E413" s="7" t="n">
        <v>69</v>
      </c>
      <c r="F413" s="3" t="n">
        <f aca="false">COUNTIFS($B$2:$B$2705,B413,$C$2:$C$2705,C413)</f>
        <v>1</v>
      </c>
      <c r="G413" s="3" t="n">
        <f aca="false">MIN(INT((MIN(B413,2020)-1900)/10)+1,12)</f>
        <v>3</v>
      </c>
      <c r="H413" s="3" t="n">
        <f aca="false">(MIN(B413,2020)-1900-10*(G413-1))/10</f>
        <v>0.6</v>
      </c>
      <c r="I413" s="20" t="n">
        <f aca="false">EXP(LN(INDEX(Pop_Inputs!$B$2:$N$29,MATCH(C413,Pop_Inputs!$A$2:$A$29,0),G413))*(1-H413)+LN(INDEX(Pop_Inputs!$B$2:$N$29,MATCH(C413,Pop_Inputs!$A$2:$A$29,0),G413+1))*H413)</f>
        <v>635954.340383353</v>
      </c>
      <c r="J413" s="20" t="n">
        <f aca="false">I413/F413</f>
        <v>635954.340383353</v>
      </c>
      <c r="K413" s="21" t="n">
        <f aca="false">D413/(D413+E413)</f>
        <v>0.549019607843137</v>
      </c>
      <c r="L413" s="21" t="n">
        <f aca="false">AVERAGEIFS($K$2:$K$2705,$B$2:$B$2705,B413)</f>
        <v>0.499881253326769</v>
      </c>
      <c r="M413" s="21" t="n">
        <f aca="false">K413-L413</f>
        <v>0.0491383545163685</v>
      </c>
      <c r="N413" s="21" t="n">
        <f aca="false">LN(J413)</f>
        <v>13.362882047895</v>
      </c>
      <c r="O413" s="21" t="n">
        <f aca="false">AVERAGEIFS($N$2:$N$2705,$B$2:$B$2705,B413)</f>
        <v>13.6492143028298</v>
      </c>
      <c r="P413" s="21" t="n">
        <f aca="false">N413-O413</f>
        <v>-0.286332254934804</v>
      </c>
      <c r="Q413" s="7" t="n">
        <v>0</v>
      </c>
      <c r="R413" s="3" t="n">
        <f aca="false">IF(AND(Q413=1,B413-_xlfn.MINIFS($B$2:$B$2705,$A$2:$A$2705,A413)&lt;10),1,0)</f>
        <v>0</v>
      </c>
      <c r="S413" s="7" t="n">
        <v>0</v>
      </c>
      <c r="T413" s="3" t="n">
        <f aca="false">_xlfn.MINIFS($B$2:$B$2705,$A$2:$A$2705,A413)</f>
        <v>1901</v>
      </c>
      <c r="U413" s="3" t="n">
        <f aca="false">B413-T413</f>
        <v>25</v>
      </c>
      <c r="V413" s="3" t="str">
        <f aca="false">INDEX(Pop_Inputs!$Q$2:$Q$29,MATCH(C413,Pop_Inputs!$A$2:$A$29,0))</f>
        <v>Northeast</v>
      </c>
      <c r="W413" s="30"/>
      <c r="X413" s="3" t="str">
        <f aca="false">IF(W413="","",LN(W413))</f>
        <v/>
      </c>
      <c r="Y413" s="3" t="str">
        <f aca="false">IF(X413="","",X413-AVERAGEIFS($X$2:$X$2705,$B$2:$B$2705,B413))</f>
        <v/>
      </c>
      <c r="Z413" s="21" t="n">
        <f aca="false">P413</f>
        <v>-0.286332254934804</v>
      </c>
      <c r="AA413" s="3" t="n">
        <f aca="false">R413</f>
        <v>0</v>
      </c>
      <c r="AB413" s="21" t="n">
        <f aca="false">P413</f>
        <v>-0.286332254934804</v>
      </c>
      <c r="AC413" s="3" t="str">
        <f aca="false">Y413</f>
        <v/>
      </c>
      <c r="AD413" s="3" t="n">
        <f aca="false">R413</f>
        <v>0</v>
      </c>
    </row>
    <row r="414" customFormat="false" ht="15" hidden="false" customHeight="true" outlineLevel="0" collapsed="false">
      <c r="A414" s="7" t="s">
        <v>61</v>
      </c>
      <c r="B414" s="7" t="n">
        <v>1926</v>
      </c>
      <c r="C414" s="7" t="s">
        <v>154</v>
      </c>
      <c r="D414" s="7" t="n">
        <v>74</v>
      </c>
      <c r="E414" s="7" t="n">
        <v>77</v>
      </c>
      <c r="F414" s="3" t="n">
        <f aca="false">COUNTIFS($B$2:$B$2705,B414,$C$2:$C$2705,C414)</f>
        <v>3</v>
      </c>
      <c r="G414" s="3" t="n">
        <f aca="false">MIN(INT((MIN(B414,2020)-1900)/10)+1,12)</f>
        <v>3</v>
      </c>
      <c r="H414" s="3" t="n">
        <f aca="false">(MIN(B414,2020)-1900-10*(G414-1))/10</f>
        <v>0.6</v>
      </c>
      <c r="I414" s="20" t="n">
        <f aca="false">EXP(LN(INDEX(Pop_Inputs!$B$2:$N$29,MATCH(C414,Pop_Inputs!$A$2:$A$29,0),G414))*(1-H414)+LN(INDEX(Pop_Inputs!$B$2:$N$29,MATCH(C414,Pop_Inputs!$A$2:$A$29,0),G414+1))*H414)</f>
        <v>6373129.16279009</v>
      </c>
      <c r="J414" s="20" t="n">
        <f aca="false">I414/F414</f>
        <v>2124376.3875967</v>
      </c>
      <c r="K414" s="21" t="n">
        <f aca="false">D414/(D414+E414)</f>
        <v>0.490066225165563</v>
      </c>
      <c r="L414" s="21" t="n">
        <f aca="false">AVERAGEIFS($K$2:$K$2705,$B$2:$B$2705,B414)</f>
        <v>0.499881253326769</v>
      </c>
      <c r="M414" s="21" t="n">
        <f aca="false">K414-L414</f>
        <v>-0.00981502816120589</v>
      </c>
      <c r="N414" s="21" t="n">
        <f aca="false">LN(J414)</f>
        <v>14.5689888526111</v>
      </c>
      <c r="O414" s="21" t="n">
        <f aca="false">AVERAGEIFS($N$2:$N$2705,$B$2:$B$2705,B414)</f>
        <v>13.6492143028298</v>
      </c>
      <c r="P414" s="21" t="n">
        <f aca="false">N414-O414</f>
        <v>0.919774549781266</v>
      </c>
      <c r="Q414" s="7" t="n">
        <v>0</v>
      </c>
      <c r="R414" s="3" t="n">
        <f aca="false">IF(AND(Q414=1,B414-_xlfn.MINIFS($B$2:$B$2705,$A$2:$A$2705,A414)&lt;10),1,0)</f>
        <v>0</v>
      </c>
      <c r="S414" s="7" t="n">
        <v>0</v>
      </c>
      <c r="T414" s="3" t="n">
        <f aca="false">_xlfn.MINIFS($B$2:$B$2705,$A$2:$A$2705,A414)</f>
        <v>1901</v>
      </c>
      <c r="U414" s="3" t="n">
        <f aca="false">B414-T414</f>
        <v>25</v>
      </c>
      <c r="V414" s="3" t="str">
        <f aca="false">INDEX(Pop_Inputs!$Q$2:$Q$29,MATCH(C414,Pop_Inputs!$A$2:$A$29,0))</f>
        <v>Northeast</v>
      </c>
      <c r="W414" s="30"/>
      <c r="X414" s="3" t="str">
        <f aca="false">IF(W414="","",LN(W414))</f>
        <v/>
      </c>
      <c r="Y414" s="3" t="str">
        <f aca="false">IF(X414="","",X414-AVERAGEIFS($X$2:$X$2705,$B$2:$B$2705,B414))</f>
        <v/>
      </c>
      <c r="Z414" s="21" t="n">
        <f aca="false">P414</f>
        <v>0.919774549781266</v>
      </c>
      <c r="AA414" s="3" t="n">
        <f aca="false">R414</f>
        <v>0</v>
      </c>
      <c r="AB414" s="21" t="n">
        <f aca="false">P414</f>
        <v>0.919774549781266</v>
      </c>
      <c r="AC414" s="3" t="str">
        <f aca="false">Y414</f>
        <v/>
      </c>
      <c r="AD414" s="3" t="n">
        <f aca="false">R414</f>
        <v>0</v>
      </c>
    </row>
    <row r="415" customFormat="false" ht="15" hidden="false" customHeight="true" outlineLevel="0" collapsed="false">
      <c r="A415" s="7" t="s">
        <v>59</v>
      </c>
      <c r="B415" s="7" t="n">
        <v>1926</v>
      </c>
      <c r="C415" s="7" t="s">
        <v>145</v>
      </c>
      <c r="D415" s="7" t="n">
        <v>89</v>
      </c>
      <c r="E415" s="7" t="n">
        <v>65</v>
      </c>
      <c r="F415" s="3" t="n">
        <f aca="false">COUNTIFS($B$2:$B$2705,B415,$C$2:$C$2705,C415)</f>
        <v>2</v>
      </c>
      <c r="G415" s="3" t="n">
        <f aca="false">MIN(INT((MIN(B415,2020)-1900)/10)+1,12)</f>
        <v>3</v>
      </c>
      <c r="H415" s="3" t="n">
        <f aca="false">(MIN(B415,2020)-1900-10*(G415-1))/10</f>
        <v>0.6</v>
      </c>
      <c r="I415" s="20" t="n">
        <f aca="false">EXP(LN(INDEX(Pop_Inputs!$B$2:$N$29,MATCH(C415,Pop_Inputs!$A$2:$A$29,0),G415))*(1-H415)+LN(INDEX(Pop_Inputs!$B$2:$N$29,MATCH(C415,Pop_Inputs!$A$2:$A$29,0),G415+1))*H415)</f>
        <v>801971.728734736</v>
      </c>
      <c r="J415" s="20" t="n">
        <f aca="false">I415/F415</f>
        <v>400985.864367368</v>
      </c>
      <c r="K415" s="21" t="n">
        <f aca="false">D415/(D415+E415)</f>
        <v>0.577922077922078</v>
      </c>
      <c r="L415" s="21" t="n">
        <f aca="false">AVERAGEIFS($K$2:$K$2705,$B$2:$B$2705,B415)</f>
        <v>0.499881253326769</v>
      </c>
      <c r="M415" s="21" t="n">
        <f aca="false">K415-L415</f>
        <v>0.0780408245953091</v>
      </c>
      <c r="N415" s="21" t="n">
        <f aca="false">LN(J415)</f>
        <v>12.9016814547132</v>
      </c>
      <c r="O415" s="21" t="n">
        <f aca="false">AVERAGEIFS($N$2:$N$2705,$B$2:$B$2705,B415)</f>
        <v>13.6492143028298</v>
      </c>
      <c r="P415" s="21" t="n">
        <f aca="false">N415-O415</f>
        <v>-0.747532848116649</v>
      </c>
      <c r="Q415" s="7" t="n">
        <v>0</v>
      </c>
      <c r="R415" s="3" t="n">
        <f aca="false">IF(AND(Q415=1,B415-_xlfn.MINIFS($B$2:$B$2705,$A$2:$A$2705,A415)&lt;10),1,0)</f>
        <v>0</v>
      </c>
      <c r="S415" s="7" t="n">
        <v>0</v>
      </c>
      <c r="T415" s="3" t="n">
        <f aca="false">_xlfn.MINIFS($B$2:$B$2705,$A$2:$A$2705,A415)</f>
        <v>1901</v>
      </c>
      <c r="U415" s="3" t="n">
        <f aca="false">B415-T415</f>
        <v>25</v>
      </c>
      <c r="V415" s="3" t="str">
        <f aca="false">INDEX(Pop_Inputs!$Q$2:$Q$29,MATCH(C415,Pop_Inputs!$A$2:$A$29,0))</f>
        <v>Midwest</v>
      </c>
      <c r="W415" s="30"/>
      <c r="X415" s="3" t="str">
        <f aca="false">IF(W415="","",LN(W415))</f>
        <v/>
      </c>
      <c r="Y415" s="3" t="str">
        <f aca="false">IF(X415="","",X415-AVERAGEIFS($X$2:$X$2705,$B$2:$B$2705,B415))</f>
        <v/>
      </c>
      <c r="Z415" s="21" t="n">
        <f aca="false">P415</f>
        <v>-0.747532848116649</v>
      </c>
      <c r="AA415" s="3" t="n">
        <f aca="false">R415</f>
        <v>0</v>
      </c>
      <c r="AB415" s="21" t="n">
        <f aca="false">P415</f>
        <v>-0.747532848116649</v>
      </c>
      <c r="AC415" s="3" t="str">
        <f aca="false">Y415</f>
        <v/>
      </c>
      <c r="AD415" s="3" t="n">
        <f aca="false">R415</f>
        <v>0</v>
      </c>
    </row>
    <row r="416" customFormat="false" ht="15" hidden="false" customHeight="true" outlineLevel="0" collapsed="false">
      <c r="A416" s="7" t="s">
        <v>54</v>
      </c>
      <c r="B416" s="7" t="n">
        <v>1927</v>
      </c>
      <c r="C416" s="7" t="s">
        <v>150</v>
      </c>
      <c r="D416" s="7" t="n">
        <v>60</v>
      </c>
      <c r="E416" s="7" t="n">
        <v>94</v>
      </c>
      <c r="F416" s="3" t="n">
        <f aca="false">COUNTIFS($B$2:$B$2705,B416,$C$2:$C$2705,C416)</f>
        <v>2</v>
      </c>
      <c r="G416" s="3" t="n">
        <f aca="false">MIN(INT((MIN(B416,2020)-1900)/10)+1,12)</f>
        <v>3</v>
      </c>
      <c r="H416" s="3" t="n">
        <f aca="false">(MIN(B416,2020)-1900-10*(G416-1))/10</f>
        <v>0.7</v>
      </c>
      <c r="I416" s="20" t="n">
        <f aca="false">EXP(LN(INDEX(Pop_Inputs!$B$2:$N$29,MATCH(C416,Pop_Inputs!$A$2:$A$29,0),G416))*(1-H416)+LN(INDEX(Pop_Inputs!$B$2:$N$29,MATCH(C416,Pop_Inputs!$A$2:$A$29,0),G416+1))*H416)</f>
        <v>771098.43951916</v>
      </c>
      <c r="J416" s="20" t="n">
        <f aca="false">I416/F416</f>
        <v>385549.21975958</v>
      </c>
      <c r="K416" s="21" t="n">
        <f aca="false">D416/(D416+E416)</f>
        <v>0.38961038961039</v>
      </c>
      <c r="L416" s="21" t="n">
        <f aca="false">AVERAGEIFS($K$2:$K$2705,$B$2:$B$2705,B416)</f>
        <v>0.499952253628724</v>
      </c>
      <c r="M416" s="21" t="n">
        <f aca="false">K416-L416</f>
        <v>-0.110341864018335</v>
      </c>
      <c r="N416" s="21" t="n">
        <f aca="false">LN(J416)</f>
        <v>12.8624241415516</v>
      </c>
      <c r="O416" s="21" t="n">
        <f aca="false">AVERAGEIFS($N$2:$N$2705,$B$2:$B$2705,B416)</f>
        <v>13.6639123335508</v>
      </c>
      <c r="P416" s="21" t="n">
        <f aca="false">N416-O416</f>
        <v>-0.801488191999235</v>
      </c>
      <c r="Q416" s="7" t="n">
        <v>0</v>
      </c>
      <c r="R416" s="3" t="n">
        <f aca="false">IF(AND(Q416=1,B416-_xlfn.MINIFS($B$2:$B$2705,$A$2:$A$2705,A416)&lt;10),1,0)</f>
        <v>0</v>
      </c>
      <c r="S416" s="7" t="n">
        <v>0</v>
      </c>
      <c r="T416" s="3" t="n">
        <f aca="false">_xlfn.MINIFS($B$2:$B$2705,$A$2:$A$2705,A416)</f>
        <v>1901</v>
      </c>
      <c r="U416" s="3" t="n">
        <f aca="false">B416-T416</f>
        <v>26</v>
      </c>
      <c r="V416" s="3" t="str">
        <f aca="false">INDEX(Pop_Inputs!$Q$2:$Q$29,MATCH(C416,Pop_Inputs!$A$2:$A$29,0))</f>
        <v>Northeast</v>
      </c>
      <c r="W416" s="30"/>
      <c r="X416" s="3" t="str">
        <f aca="false">IF(W416="","",LN(W416))</f>
        <v/>
      </c>
      <c r="Y416" s="3" t="str">
        <f aca="false">IF(X416="","",X416-AVERAGEIFS($X$2:$X$2705,$B$2:$B$2705,B416))</f>
        <v/>
      </c>
      <c r="Z416" s="21" t="n">
        <f aca="false">P416</f>
        <v>-0.801488191999235</v>
      </c>
      <c r="AA416" s="3" t="n">
        <f aca="false">R416</f>
        <v>0</v>
      </c>
      <c r="AB416" s="21" t="n">
        <f aca="false">P416</f>
        <v>-0.801488191999235</v>
      </c>
      <c r="AC416" s="3" t="str">
        <f aca="false">Y416</f>
        <v/>
      </c>
      <c r="AD416" s="3" t="n">
        <f aca="false">R416</f>
        <v>0</v>
      </c>
    </row>
    <row r="417" customFormat="false" ht="15" hidden="false" customHeight="true" outlineLevel="0" collapsed="false">
      <c r="A417" s="7" t="s">
        <v>63</v>
      </c>
      <c r="B417" s="7" t="n">
        <v>1927</v>
      </c>
      <c r="C417" s="7" t="s">
        <v>145</v>
      </c>
      <c r="D417" s="7" t="n">
        <v>59</v>
      </c>
      <c r="E417" s="7" t="n">
        <v>94</v>
      </c>
      <c r="F417" s="3" t="n">
        <f aca="false">COUNTIFS($B$2:$B$2705,B417,$C$2:$C$2705,C417)</f>
        <v>2</v>
      </c>
      <c r="G417" s="3" t="n">
        <f aca="false">MIN(INT((MIN(B417,2020)-1900)/10)+1,12)</f>
        <v>3</v>
      </c>
      <c r="H417" s="3" t="n">
        <f aca="false">(MIN(B417,2020)-1900-10*(G417-1))/10</f>
        <v>0.7</v>
      </c>
      <c r="I417" s="20" t="n">
        <f aca="false">EXP(LN(INDEX(Pop_Inputs!$B$2:$N$29,MATCH(C417,Pop_Inputs!$A$2:$A$29,0),G417))*(1-H417)+LN(INDEX(Pop_Inputs!$B$2:$N$29,MATCH(C417,Pop_Inputs!$A$2:$A$29,0),G417+1))*H417)</f>
        <v>806922.75924346</v>
      </c>
      <c r="J417" s="20" t="n">
        <f aca="false">I417/F417</f>
        <v>403461.37962173</v>
      </c>
      <c r="K417" s="21" t="n">
        <f aca="false">D417/(D417+E417)</f>
        <v>0.38562091503268</v>
      </c>
      <c r="L417" s="21" t="n">
        <f aca="false">AVERAGEIFS($K$2:$K$2705,$B$2:$B$2705,B417)</f>
        <v>0.499952253628724</v>
      </c>
      <c r="M417" s="21" t="n">
        <f aca="false">K417-L417</f>
        <v>-0.114331338596044</v>
      </c>
      <c r="N417" s="21" t="n">
        <f aca="false">LN(J417)</f>
        <v>12.9078360486584</v>
      </c>
      <c r="O417" s="21" t="n">
        <f aca="false">AVERAGEIFS($N$2:$N$2705,$B$2:$B$2705,B417)</f>
        <v>13.6639123335508</v>
      </c>
      <c r="P417" s="21" t="n">
        <f aca="false">N417-O417</f>
        <v>-0.756076284892458</v>
      </c>
      <c r="Q417" s="7" t="n">
        <v>0</v>
      </c>
      <c r="R417" s="3" t="n">
        <f aca="false">IF(AND(Q417=1,B417-_xlfn.MINIFS($B$2:$B$2705,$A$2:$A$2705,A417)&lt;10),1,0)</f>
        <v>0</v>
      </c>
      <c r="S417" s="7" t="n">
        <v>0</v>
      </c>
      <c r="T417" s="3" t="n">
        <f aca="false">_xlfn.MINIFS($B$2:$B$2705,$A$2:$A$2705,A417)</f>
        <v>1901</v>
      </c>
      <c r="U417" s="3" t="n">
        <f aca="false">B417-T417</f>
        <v>26</v>
      </c>
      <c r="V417" s="3" t="str">
        <f aca="false">INDEX(Pop_Inputs!$Q$2:$Q$29,MATCH(C417,Pop_Inputs!$A$2:$A$29,0))</f>
        <v>Midwest</v>
      </c>
      <c r="W417" s="30"/>
      <c r="X417" s="3" t="str">
        <f aca="false">IF(W417="","",LN(W417))</f>
        <v/>
      </c>
      <c r="Y417" s="3" t="str">
        <f aca="false">IF(X417="","",X417-AVERAGEIFS($X$2:$X$2705,$B$2:$B$2705,B417))</f>
        <v/>
      </c>
      <c r="Z417" s="21" t="n">
        <f aca="false">P417</f>
        <v>-0.756076284892458</v>
      </c>
      <c r="AA417" s="3" t="n">
        <f aca="false">R417</f>
        <v>0</v>
      </c>
      <c r="AB417" s="21" t="n">
        <f aca="false">P417</f>
        <v>-0.756076284892458</v>
      </c>
      <c r="AC417" s="3" t="str">
        <f aca="false">Y417</f>
        <v/>
      </c>
      <c r="AD417" s="3" t="n">
        <f aca="false">R417</f>
        <v>0</v>
      </c>
    </row>
    <row r="418" customFormat="false" ht="15" hidden="false" customHeight="true" outlineLevel="0" collapsed="false">
      <c r="A418" s="7" t="s">
        <v>64</v>
      </c>
      <c r="B418" s="7" t="n">
        <v>1927</v>
      </c>
      <c r="C418" s="7" t="s">
        <v>150</v>
      </c>
      <c r="D418" s="7" t="n">
        <v>51</v>
      </c>
      <c r="E418" s="7" t="n">
        <v>103</v>
      </c>
      <c r="F418" s="3" t="n">
        <f aca="false">COUNTIFS($B$2:$B$2705,B418,$C$2:$C$2705,C418)</f>
        <v>2</v>
      </c>
      <c r="G418" s="3" t="n">
        <f aca="false">MIN(INT((MIN(B418,2020)-1900)/10)+1,12)</f>
        <v>3</v>
      </c>
      <c r="H418" s="3" t="n">
        <f aca="false">(MIN(B418,2020)-1900-10*(G418-1))/10</f>
        <v>0.7</v>
      </c>
      <c r="I418" s="20" t="n">
        <f aca="false">EXP(LN(INDEX(Pop_Inputs!$B$2:$N$29,MATCH(C418,Pop_Inputs!$A$2:$A$29,0),G418))*(1-H418)+LN(INDEX(Pop_Inputs!$B$2:$N$29,MATCH(C418,Pop_Inputs!$A$2:$A$29,0),G418+1))*H418)</f>
        <v>771098.43951916</v>
      </c>
      <c r="J418" s="20" t="n">
        <f aca="false">I418/F418</f>
        <v>385549.21975958</v>
      </c>
      <c r="K418" s="21" t="n">
        <f aca="false">D418/(D418+E418)</f>
        <v>0.331168831168831</v>
      </c>
      <c r="L418" s="21" t="n">
        <f aca="false">AVERAGEIFS($K$2:$K$2705,$B$2:$B$2705,B418)</f>
        <v>0.499952253628724</v>
      </c>
      <c r="M418" s="21" t="n">
        <f aca="false">K418-L418</f>
        <v>-0.168783422459893</v>
      </c>
      <c r="N418" s="21" t="n">
        <f aca="false">LN(J418)</f>
        <v>12.8624241415516</v>
      </c>
      <c r="O418" s="21" t="n">
        <f aca="false">AVERAGEIFS($N$2:$N$2705,$B$2:$B$2705,B418)</f>
        <v>13.6639123335508</v>
      </c>
      <c r="P418" s="21" t="n">
        <f aca="false">N418-O418</f>
        <v>-0.801488191999235</v>
      </c>
      <c r="Q418" s="7" t="n">
        <v>0</v>
      </c>
      <c r="R418" s="3" t="n">
        <f aca="false">IF(AND(Q418=1,B418-_xlfn.MINIFS($B$2:$B$2705,$A$2:$A$2705,A418)&lt;10),1,0)</f>
        <v>0</v>
      </c>
      <c r="S418" s="7" t="n">
        <v>0</v>
      </c>
      <c r="T418" s="3" t="n">
        <f aca="false">_xlfn.MINIFS($B$2:$B$2705,$A$2:$A$2705,A418)</f>
        <v>1901</v>
      </c>
      <c r="U418" s="3" t="n">
        <f aca="false">B418-T418</f>
        <v>26</v>
      </c>
      <c r="V418" s="3" t="str">
        <f aca="false">INDEX(Pop_Inputs!$Q$2:$Q$29,MATCH(C418,Pop_Inputs!$A$2:$A$29,0))</f>
        <v>Northeast</v>
      </c>
      <c r="W418" s="30"/>
      <c r="X418" s="3" t="str">
        <f aca="false">IF(W418="","",LN(W418))</f>
        <v/>
      </c>
      <c r="Y418" s="3" t="str">
        <f aca="false">IF(X418="","",X418-AVERAGEIFS($X$2:$X$2705,$B$2:$B$2705,B418))</f>
        <v/>
      </c>
      <c r="Z418" s="21" t="n">
        <f aca="false">P418</f>
        <v>-0.801488191999235</v>
      </c>
      <c r="AA418" s="3" t="n">
        <f aca="false">R418</f>
        <v>0</v>
      </c>
      <c r="AB418" s="21" t="n">
        <f aca="false">P418</f>
        <v>-0.801488191999235</v>
      </c>
      <c r="AC418" s="3" t="str">
        <f aca="false">Y418</f>
        <v/>
      </c>
      <c r="AD418" s="3" t="n">
        <f aca="false">R418</f>
        <v>0</v>
      </c>
    </row>
    <row r="419" customFormat="false" ht="15" hidden="false" customHeight="true" outlineLevel="0" collapsed="false">
      <c r="A419" s="7" t="s">
        <v>56</v>
      </c>
      <c r="B419" s="7" t="n">
        <v>1927</v>
      </c>
      <c r="C419" s="7" t="s">
        <v>142</v>
      </c>
      <c r="D419" s="7" t="n">
        <v>85</v>
      </c>
      <c r="E419" s="7" t="n">
        <v>68</v>
      </c>
      <c r="F419" s="3" t="n">
        <f aca="false">COUNTIFS($B$2:$B$2705,B419,$C$2:$C$2705,C419)</f>
        <v>2</v>
      </c>
      <c r="G419" s="3" t="n">
        <f aca="false">MIN(INT((MIN(B419,2020)-1900)/10)+1,12)</f>
        <v>3</v>
      </c>
      <c r="H419" s="3" t="n">
        <f aca="false">(MIN(B419,2020)-1900-10*(G419-1))/10</f>
        <v>0.7</v>
      </c>
      <c r="I419" s="20" t="n">
        <f aca="false">EXP(LN(INDEX(Pop_Inputs!$B$2:$N$29,MATCH(C419,Pop_Inputs!$A$2:$A$29,0),G419))*(1-H419)+LN(INDEX(Pop_Inputs!$B$2:$N$29,MATCH(C419,Pop_Inputs!$A$2:$A$29,0),G419+1))*H419)</f>
        <v>3158002.89298913</v>
      </c>
      <c r="J419" s="20" t="n">
        <f aca="false">I419/F419</f>
        <v>1579001.44649457</v>
      </c>
      <c r="K419" s="21" t="n">
        <f aca="false">D419/(D419+E419)</f>
        <v>0.555555555555556</v>
      </c>
      <c r="L419" s="21" t="n">
        <f aca="false">AVERAGEIFS($K$2:$K$2705,$B$2:$B$2705,B419)</f>
        <v>0.499952253628724</v>
      </c>
      <c r="M419" s="21" t="n">
        <f aca="false">K419-L419</f>
        <v>0.0556033019268314</v>
      </c>
      <c r="N419" s="21" t="n">
        <f aca="false">LN(J419)</f>
        <v>14.27230320932</v>
      </c>
      <c r="O419" s="21" t="n">
        <f aca="false">AVERAGEIFS($N$2:$N$2705,$B$2:$B$2705,B419)</f>
        <v>13.6639123335508</v>
      </c>
      <c r="P419" s="21" t="n">
        <f aca="false">N419-O419</f>
        <v>0.608390875769237</v>
      </c>
      <c r="Q419" s="7" t="n">
        <v>0</v>
      </c>
      <c r="R419" s="3" t="n">
        <f aca="false">IF(AND(Q419=1,B419-_xlfn.MINIFS($B$2:$B$2705,$A$2:$A$2705,A419)&lt;10),1,0)</f>
        <v>0</v>
      </c>
      <c r="S419" s="7" t="n">
        <v>0</v>
      </c>
      <c r="T419" s="3" t="n">
        <f aca="false">_xlfn.MINIFS($B$2:$B$2705,$A$2:$A$2705,A419)</f>
        <v>1901</v>
      </c>
      <c r="U419" s="3" t="n">
        <f aca="false">B419-T419</f>
        <v>26</v>
      </c>
      <c r="V419" s="3" t="str">
        <f aca="false">INDEX(Pop_Inputs!$Q$2:$Q$29,MATCH(C419,Pop_Inputs!$A$2:$A$29,0))</f>
        <v>Midwest</v>
      </c>
      <c r="W419" s="30"/>
      <c r="X419" s="3" t="str">
        <f aca="false">IF(W419="","",LN(W419))</f>
        <v/>
      </c>
      <c r="Y419" s="3" t="str">
        <f aca="false">IF(X419="","",X419-AVERAGEIFS($X$2:$X$2705,$B$2:$B$2705,B419))</f>
        <v/>
      </c>
      <c r="Z419" s="21" t="n">
        <f aca="false">P419</f>
        <v>0.608390875769237</v>
      </c>
      <c r="AA419" s="3" t="n">
        <f aca="false">R419</f>
        <v>0</v>
      </c>
      <c r="AB419" s="21" t="n">
        <f aca="false">P419</f>
        <v>0.608390875769237</v>
      </c>
      <c r="AC419" s="3" t="str">
        <f aca="false">Y419</f>
        <v/>
      </c>
      <c r="AD419" s="3" t="n">
        <f aca="false">R419</f>
        <v>0</v>
      </c>
    </row>
    <row r="420" customFormat="false" ht="15" hidden="false" customHeight="true" outlineLevel="0" collapsed="false">
      <c r="A420" s="7" t="s">
        <v>65</v>
      </c>
      <c r="B420" s="7" t="n">
        <v>1927</v>
      </c>
      <c r="C420" s="7" t="s">
        <v>142</v>
      </c>
      <c r="D420" s="7" t="n">
        <v>70</v>
      </c>
      <c r="E420" s="7" t="n">
        <v>83</v>
      </c>
      <c r="F420" s="3" t="n">
        <f aca="false">COUNTIFS($B$2:$B$2705,B420,$C$2:$C$2705,C420)</f>
        <v>2</v>
      </c>
      <c r="G420" s="3" t="n">
        <f aca="false">MIN(INT((MIN(B420,2020)-1900)/10)+1,12)</f>
        <v>3</v>
      </c>
      <c r="H420" s="3" t="n">
        <f aca="false">(MIN(B420,2020)-1900-10*(G420-1))/10</f>
        <v>0.7</v>
      </c>
      <c r="I420" s="20" t="n">
        <f aca="false">EXP(LN(INDEX(Pop_Inputs!$B$2:$N$29,MATCH(C420,Pop_Inputs!$A$2:$A$29,0),G420))*(1-H420)+LN(INDEX(Pop_Inputs!$B$2:$N$29,MATCH(C420,Pop_Inputs!$A$2:$A$29,0),G420+1))*H420)</f>
        <v>3158002.89298913</v>
      </c>
      <c r="J420" s="20" t="n">
        <f aca="false">I420/F420</f>
        <v>1579001.44649457</v>
      </c>
      <c r="K420" s="21" t="n">
        <f aca="false">D420/(D420+E420)</f>
        <v>0.457516339869281</v>
      </c>
      <c r="L420" s="21" t="n">
        <f aca="false">AVERAGEIFS($K$2:$K$2705,$B$2:$B$2705,B420)</f>
        <v>0.499952253628724</v>
      </c>
      <c r="M420" s="21" t="n">
        <f aca="false">K420-L420</f>
        <v>-0.0424359137594432</v>
      </c>
      <c r="N420" s="21" t="n">
        <f aca="false">LN(J420)</f>
        <v>14.27230320932</v>
      </c>
      <c r="O420" s="21" t="n">
        <f aca="false">AVERAGEIFS($N$2:$N$2705,$B$2:$B$2705,B420)</f>
        <v>13.6639123335508</v>
      </c>
      <c r="P420" s="21" t="n">
        <f aca="false">N420-O420</f>
        <v>0.608390875769237</v>
      </c>
      <c r="Q420" s="7" t="n">
        <v>0</v>
      </c>
      <c r="R420" s="3" t="n">
        <f aca="false">IF(AND(Q420=1,B420-_xlfn.MINIFS($B$2:$B$2705,$A$2:$A$2705,A420)&lt;10),1,0)</f>
        <v>0</v>
      </c>
      <c r="S420" s="7" t="n">
        <v>0</v>
      </c>
      <c r="T420" s="3" t="n">
        <f aca="false">_xlfn.MINIFS($B$2:$B$2705,$A$2:$A$2705,A420)</f>
        <v>1901</v>
      </c>
      <c r="U420" s="3" t="n">
        <f aca="false">B420-T420</f>
        <v>26</v>
      </c>
      <c r="V420" s="3" t="str">
        <f aca="false">INDEX(Pop_Inputs!$Q$2:$Q$29,MATCH(C420,Pop_Inputs!$A$2:$A$29,0))</f>
        <v>Midwest</v>
      </c>
      <c r="W420" s="30"/>
      <c r="X420" s="3" t="str">
        <f aca="false">IF(W420="","",LN(W420))</f>
        <v/>
      </c>
      <c r="Y420" s="3" t="str">
        <f aca="false">IF(X420="","",X420-AVERAGEIFS($X$2:$X$2705,$B$2:$B$2705,B420))</f>
        <v/>
      </c>
      <c r="Z420" s="21" t="n">
        <f aca="false">P420</f>
        <v>0.608390875769237</v>
      </c>
      <c r="AA420" s="3" t="n">
        <f aca="false">R420</f>
        <v>0</v>
      </c>
      <c r="AB420" s="21" t="n">
        <f aca="false">P420</f>
        <v>0.608390875769237</v>
      </c>
      <c r="AC420" s="3" t="str">
        <f aca="false">Y420</f>
        <v/>
      </c>
      <c r="AD420" s="3" t="n">
        <f aca="false">R420</f>
        <v>0</v>
      </c>
    </row>
    <row r="421" customFormat="false" ht="15" hidden="false" customHeight="true" outlineLevel="0" collapsed="false">
      <c r="A421" s="7" t="s">
        <v>57</v>
      </c>
      <c r="B421" s="7" t="n">
        <v>1927</v>
      </c>
      <c r="C421" s="7" t="s">
        <v>143</v>
      </c>
      <c r="D421" s="7" t="n">
        <v>75</v>
      </c>
      <c r="E421" s="7" t="n">
        <v>78</v>
      </c>
      <c r="F421" s="3" t="n">
        <f aca="false">COUNTIFS($B$2:$B$2705,B421,$C$2:$C$2705,C421)</f>
        <v>1</v>
      </c>
      <c r="G421" s="3" t="n">
        <f aca="false">MIN(INT((MIN(B421,2020)-1900)/10)+1,12)</f>
        <v>3</v>
      </c>
      <c r="H421" s="3" t="n">
        <f aca="false">(MIN(B421,2020)-1900-10*(G421-1))/10</f>
        <v>0.7</v>
      </c>
      <c r="I421" s="20" t="n">
        <f aca="false">EXP(LN(INDEX(Pop_Inputs!$B$2:$N$29,MATCH(C421,Pop_Inputs!$A$2:$A$29,0),G421))*(1-H421)+LN(INDEX(Pop_Inputs!$B$2:$N$29,MATCH(C421,Pop_Inputs!$A$2:$A$29,0),G421+1))*H421)</f>
        <v>435566.982299051</v>
      </c>
      <c r="J421" s="20" t="n">
        <f aca="false">I421/F421</f>
        <v>435566.982299051</v>
      </c>
      <c r="K421" s="21" t="n">
        <f aca="false">D421/(D421+E421)</f>
        <v>0.490196078431373</v>
      </c>
      <c r="L421" s="21" t="n">
        <f aca="false">AVERAGEIFS($K$2:$K$2705,$B$2:$B$2705,B421)</f>
        <v>0.499952253628724</v>
      </c>
      <c r="M421" s="21" t="n">
        <f aca="false">K421-L421</f>
        <v>-0.00975617519735167</v>
      </c>
      <c r="N421" s="21" t="n">
        <f aca="false">LN(J421)</f>
        <v>12.9844038689566</v>
      </c>
      <c r="O421" s="21" t="n">
        <f aca="false">AVERAGEIFS($N$2:$N$2705,$B$2:$B$2705,B421)</f>
        <v>13.6639123335508</v>
      </c>
      <c r="P421" s="21" t="n">
        <f aca="false">N421-O421</f>
        <v>-0.679508464594244</v>
      </c>
      <c r="Q421" s="7" t="n">
        <v>0</v>
      </c>
      <c r="R421" s="3" t="n">
        <f aca="false">IF(AND(Q421=1,B421-_xlfn.MINIFS($B$2:$B$2705,$A$2:$A$2705,A421)&lt;10),1,0)</f>
        <v>0</v>
      </c>
      <c r="S421" s="7" t="n">
        <v>0</v>
      </c>
      <c r="T421" s="3" t="n">
        <f aca="false">_xlfn.MINIFS($B$2:$B$2705,$A$2:$A$2705,A421)</f>
        <v>1901</v>
      </c>
      <c r="U421" s="3" t="n">
        <f aca="false">B421-T421</f>
        <v>26</v>
      </c>
      <c r="V421" s="3" t="str">
        <f aca="false">INDEX(Pop_Inputs!$Q$2:$Q$29,MATCH(C421,Pop_Inputs!$A$2:$A$29,0))</f>
        <v>Midwest</v>
      </c>
      <c r="W421" s="30"/>
      <c r="X421" s="3" t="str">
        <f aca="false">IF(W421="","",LN(W421))</f>
        <v/>
      </c>
      <c r="Y421" s="3" t="str">
        <f aca="false">IF(X421="","",X421-AVERAGEIFS($X$2:$X$2705,$B$2:$B$2705,B421))</f>
        <v/>
      </c>
      <c r="Z421" s="21" t="n">
        <f aca="false">P421</f>
        <v>-0.679508464594244</v>
      </c>
      <c r="AA421" s="3" t="n">
        <f aca="false">R421</f>
        <v>0</v>
      </c>
      <c r="AB421" s="21" t="n">
        <f aca="false">P421</f>
        <v>-0.679508464594244</v>
      </c>
      <c r="AC421" s="3" t="str">
        <f aca="false">Y421</f>
        <v/>
      </c>
      <c r="AD421" s="3" t="n">
        <f aca="false">R421</f>
        <v>0</v>
      </c>
    </row>
    <row r="422" customFormat="false" ht="15" hidden="false" customHeight="true" outlineLevel="0" collapsed="false">
      <c r="A422" s="7" t="s">
        <v>66</v>
      </c>
      <c r="B422" s="7" t="n">
        <v>1927</v>
      </c>
      <c r="C422" s="7" t="s">
        <v>151</v>
      </c>
      <c r="D422" s="7" t="n">
        <v>66</v>
      </c>
      <c r="E422" s="7" t="n">
        <v>87</v>
      </c>
      <c r="F422" s="3" t="n">
        <f aca="false">COUNTIFS($B$2:$B$2705,B422,$C$2:$C$2705,C422)</f>
        <v>1</v>
      </c>
      <c r="G422" s="3" t="n">
        <f aca="false">MIN(INT((MIN(B422,2020)-1900)/10)+1,12)</f>
        <v>3</v>
      </c>
      <c r="H422" s="3" t="n">
        <f aca="false">(MIN(B422,2020)-1900-10*(G422-1))/10</f>
        <v>0.7</v>
      </c>
      <c r="I422" s="20" t="n">
        <f aca="false">EXP(LN(INDEX(Pop_Inputs!$B$2:$N$29,MATCH(C422,Pop_Inputs!$A$2:$A$29,0),G422))*(1-H422)+LN(INDEX(Pop_Inputs!$B$2:$N$29,MATCH(C422,Pop_Inputs!$A$2:$A$29,0),G422+1))*H422)</f>
        <v>868012.807491489</v>
      </c>
      <c r="J422" s="20" t="n">
        <f aca="false">I422/F422</f>
        <v>868012.807491489</v>
      </c>
      <c r="K422" s="21" t="n">
        <f aca="false">D422/(D422+E422)</f>
        <v>0.431372549019608</v>
      </c>
      <c r="L422" s="21" t="n">
        <f aca="false">AVERAGEIFS($K$2:$K$2705,$B$2:$B$2705,B422)</f>
        <v>0.499952253628724</v>
      </c>
      <c r="M422" s="21" t="n">
        <f aca="false">K422-L422</f>
        <v>-0.0685797046091163</v>
      </c>
      <c r="N422" s="21" t="n">
        <f aca="false">LN(J422)</f>
        <v>13.6739617487082</v>
      </c>
      <c r="O422" s="21" t="n">
        <f aca="false">AVERAGEIFS($N$2:$N$2705,$B$2:$B$2705,B422)</f>
        <v>13.6639123335508</v>
      </c>
      <c r="P422" s="21" t="n">
        <f aca="false">N422-O422</f>
        <v>0.0100494151573454</v>
      </c>
      <c r="Q422" s="7" t="n">
        <v>0</v>
      </c>
      <c r="R422" s="3" t="n">
        <f aca="false">IF(AND(Q422=1,B422-_xlfn.MINIFS($B$2:$B$2705,$A$2:$A$2705,A422)&lt;10),1,0)</f>
        <v>0</v>
      </c>
      <c r="S422" s="7" t="n">
        <v>0</v>
      </c>
      <c r="T422" s="3" t="n">
        <f aca="false">_xlfn.MINIFS($B$2:$B$2705,$A$2:$A$2705,A422)</f>
        <v>1901</v>
      </c>
      <c r="U422" s="3" t="n">
        <f aca="false">B422-T422</f>
        <v>26</v>
      </c>
      <c r="V422" s="3" t="str">
        <f aca="false">INDEX(Pop_Inputs!$Q$2:$Q$29,MATCH(C422,Pop_Inputs!$A$2:$A$29,0))</f>
        <v>Midwest</v>
      </c>
      <c r="W422" s="30"/>
      <c r="X422" s="3" t="str">
        <f aca="false">IF(W422="","",LN(W422))</f>
        <v/>
      </c>
      <c r="Y422" s="3" t="str">
        <f aca="false">IF(X422="","",X422-AVERAGEIFS($X$2:$X$2705,$B$2:$B$2705,B422))</f>
        <v/>
      </c>
      <c r="Z422" s="21" t="n">
        <f aca="false">P422</f>
        <v>0.0100494151573454</v>
      </c>
      <c r="AA422" s="3" t="n">
        <f aca="false">R422</f>
        <v>0</v>
      </c>
      <c r="AB422" s="21" t="n">
        <f aca="false">P422</f>
        <v>0.0100494151573454</v>
      </c>
      <c r="AC422" s="3" t="str">
        <f aca="false">Y422</f>
        <v/>
      </c>
      <c r="AD422" s="3" t="n">
        <f aca="false">R422</f>
        <v>0</v>
      </c>
    </row>
    <row r="423" customFormat="false" ht="15" hidden="false" customHeight="true" outlineLevel="0" collapsed="false">
      <c r="A423" s="7" t="s">
        <v>67</v>
      </c>
      <c r="B423" s="7" t="n">
        <v>1927</v>
      </c>
      <c r="C423" s="7" t="s">
        <v>152</v>
      </c>
      <c r="D423" s="7" t="n">
        <v>82</v>
      </c>
      <c r="E423" s="7" t="n">
        <v>71</v>
      </c>
      <c r="F423" s="3" t="n">
        <f aca="false">COUNTIFS($B$2:$B$2705,B423,$C$2:$C$2705,C423)</f>
        <v>1</v>
      </c>
      <c r="G423" s="3" t="n">
        <f aca="false">MIN(INT((MIN(B423,2020)-1900)/10)+1,12)</f>
        <v>3</v>
      </c>
      <c r="H423" s="3" t="n">
        <f aca="false">(MIN(B423,2020)-1900-10*(G423-1))/10</f>
        <v>0.7</v>
      </c>
      <c r="I423" s="20" t="n">
        <f aca="false">EXP(LN(INDEX(Pop_Inputs!$B$2:$N$29,MATCH(C423,Pop_Inputs!$A$2:$A$29,0),G423))*(1-H423)+LN(INDEX(Pop_Inputs!$B$2:$N$29,MATCH(C423,Pop_Inputs!$A$2:$A$29,0),G423+1))*H423)</f>
        <v>1367868.23915479</v>
      </c>
      <c r="J423" s="20" t="n">
        <f aca="false">I423/F423</f>
        <v>1367868.23915479</v>
      </c>
      <c r="K423" s="21" t="n">
        <f aca="false">D423/(D423+E423)</f>
        <v>0.535947712418301</v>
      </c>
      <c r="L423" s="21" t="n">
        <f aca="false">AVERAGEIFS($K$2:$K$2705,$B$2:$B$2705,B423)</f>
        <v>0.499952253628724</v>
      </c>
      <c r="M423" s="21" t="n">
        <f aca="false">K423-L423</f>
        <v>0.0359954587895764</v>
      </c>
      <c r="N423" s="21" t="n">
        <f aca="false">LN(J423)</f>
        <v>14.1287640561186</v>
      </c>
      <c r="O423" s="21" t="n">
        <f aca="false">AVERAGEIFS($N$2:$N$2705,$B$2:$B$2705,B423)</f>
        <v>13.6639123335508</v>
      </c>
      <c r="P423" s="21" t="n">
        <f aca="false">N423-O423</f>
        <v>0.464851722567783</v>
      </c>
      <c r="Q423" s="7" t="n">
        <v>0</v>
      </c>
      <c r="R423" s="3" t="n">
        <f aca="false">IF(AND(Q423=1,B423-_xlfn.MINIFS($B$2:$B$2705,$A$2:$A$2705,A423)&lt;10),1,0)</f>
        <v>0</v>
      </c>
      <c r="S423" s="7" t="n">
        <v>0</v>
      </c>
      <c r="T423" s="3" t="n">
        <f aca="false">_xlfn.MINIFS($B$2:$B$2705,$A$2:$A$2705,A423)</f>
        <v>1901</v>
      </c>
      <c r="U423" s="3" t="n">
        <f aca="false">B423-T423</f>
        <v>26</v>
      </c>
      <c r="V423" s="3" t="str">
        <f aca="false">INDEX(Pop_Inputs!$Q$2:$Q$29,MATCH(C423,Pop_Inputs!$A$2:$A$29,0))</f>
        <v>Midwest</v>
      </c>
      <c r="W423" s="30"/>
      <c r="X423" s="3" t="str">
        <f aca="false">IF(W423="","",LN(W423))</f>
        <v/>
      </c>
      <c r="Y423" s="3" t="str">
        <f aca="false">IF(X423="","",X423-AVERAGEIFS($X$2:$X$2705,$B$2:$B$2705,B423))</f>
        <v/>
      </c>
      <c r="Z423" s="21" t="n">
        <f aca="false">P423</f>
        <v>0.464851722567783</v>
      </c>
      <c r="AA423" s="3" t="n">
        <f aca="false">R423</f>
        <v>0</v>
      </c>
      <c r="AB423" s="21" t="n">
        <f aca="false">P423</f>
        <v>0.464851722567783</v>
      </c>
      <c r="AC423" s="3" t="str">
        <f aca="false">Y423</f>
        <v/>
      </c>
      <c r="AD423" s="3" t="n">
        <f aca="false">R423</f>
        <v>0</v>
      </c>
    </row>
    <row r="424" customFormat="false" ht="15" hidden="false" customHeight="true" outlineLevel="0" collapsed="false">
      <c r="A424" s="7" t="s">
        <v>62</v>
      </c>
      <c r="B424" s="7" t="n">
        <v>1927</v>
      </c>
      <c r="C424" s="7" t="s">
        <v>154</v>
      </c>
      <c r="D424" s="7" t="n">
        <v>65</v>
      </c>
      <c r="E424" s="7" t="n">
        <v>88</v>
      </c>
      <c r="F424" s="3" t="n">
        <f aca="false">COUNTIFS($B$2:$B$2705,B424,$C$2:$C$2705,C424)</f>
        <v>3</v>
      </c>
      <c r="G424" s="3" t="n">
        <f aca="false">MIN(INT((MIN(B424,2020)-1900)/10)+1,12)</f>
        <v>3</v>
      </c>
      <c r="H424" s="3" t="n">
        <f aca="false">(MIN(B424,2020)-1900-10*(G424-1))/10</f>
        <v>0.7</v>
      </c>
      <c r="I424" s="20" t="n">
        <f aca="false">EXP(LN(INDEX(Pop_Inputs!$B$2:$N$29,MATCH(C424,Pop_Inputs!$A$2:$A$29,0),G424))*(1-H424)+LN(INDEX(Pop_Inputs!$B$2:$N$29,MATCH(C424,Pop_Inputs!$A$2:$A$29,0),G424+1))*H424)</f>
        <v>6508109.27269888</v>
      </c>
      <c r="J424" s="20" t="n">
        <f aca="false">I424/F424</f>
        <v>2169369.75756629</v>
      </c>
      <c r="K424" s="21" t="n">
        <f aca="false">D424/(D424+E424)</f>
        <v>0.42483660130719</v>
      </c>
      <c r="L424" s="21" t="n">
        <f aca="false">AVERAGEIFS($K$2:$K$2705,$B$2:$B$2705,B424)</f>
        <v>0.499952253628724</v>
      </c>
      <c r="M424" s="21" t="n">
        <f aca="false">K424-L424</f>
        <v>-0.0751156523215347</v>
      </c>
      <c r="N424" s="21" t="n">
        <f aca="false">LN(J424)</f>
        <v>14.5899472490312</v>
      </c>
      <c r="O424" s="21" t="n">
        <f aca="false">AVERAGEIFS($N$2:$N$2705,$B$2:$B$2705,B424)</f>
        <v>13.6639123335508</v>
      </c>
      <c r="P424" s="21" t="n">
        <f aca="false">N424-O424</f>
        <v>0.926034915480374</v>
      </c>
      <c r="Q424" s="7" t="n">
        <v>0</v>
      </c>
      <c r="R424" s="3" t="n">
        <f aca="false">IF(AND(Q424=1,B424-_xlfn.MINIFS($B$2:$B$2705,$A$2:$A$2705,A424)&lt;10),1,0)</f>
        <v>0</v>
      </c>
      <c r="S424" s="7" t="n">
        <v>0</v>
      </c>
      <c r="T424" s="3" t="n">
        <f aca="false">_xlfn.MINIFS($B$2:$B$2705,$A$2:$A$2705,A424)</f>
        <v>1901</v>
      </c>
      <c r="U424" s="3" t="n">
        <f aca="false">B424-T424</f>
        <v>26</v>
      </c>
      <c r="V424" s="3" t="str">
        <f aca="false">INDEX(Pop_Inputs!$Q$2:$Q$29,MATCH(C424,Pop_Inputs!$A$2:$A$29,0))</f>
        <v>Northeast</v>
      </c>
      <c r="W424" s="30"/>
      <c r="X424" s="3" t="str">
        <f aca="false">IF(W424="","",LN(W424))</f>
        <v/>
      </c>
      <c r="Y424" s="3" t="str">
        <f aca="false">IF(X424="","",X424-AVERAGEIFS($X$2:$X$2705,$B$2:$B$2705,B424))</f>
        <v/>
      </c>
      <c r="Z424" s="21" t="n">
        <f aca="false">P424</f>
        <v>0.926034915480374</v>
      </c>
      <c r="AA424" s="3" t="n">
        <f aca="false">R424</f>
        <v>0</v>
      </c>
      <c r="AB424" s="21" t="n">
        <f aca="false">P424</f>
        <v>0.926034915480374</v>
      </c>
      <c r="AC424" s="3" t="str">
        <f aca="false">Y424</f>
        <v/>
      </c>
      <c r="AD424" s="3" t="n">
        <f aca="false">R424</f>
        <v>0</v>
      </c>
    </row>
    <row r="425" customFormat="false" ht="15" hidden="false" customHeight="true" outlineLevel="0" collapsed="false">
      <c r="A425" s="7" t="s">
        <v>68</v>
      </c>
      <c r="B425" s="7" t="n">
        <v>1927</v>
      </c>
      <c r="C425" s="7" t="s">
        <v>160</v>
      </c>
      <c r="D425" s="7" t="n">
        <v>85</v>
      </c>
      <c r="E425" s="7" t="n">
        <v>69</v>
      </c>
      <c r="F425" s="3" t="n">
        <f aca="false">COUNTIFS($B$2:$B$2705,B425,$C$2:$C$2705,C425)</f>
        <v>1</v>
      </c>
      <c r="G425" s="3" t="n">
        <f aca="false">MIN(INT((MIN(B425,2020)-1900)/10)+1,12)</f>
        <v>3</v>
      </c>
      <c r="H425" s="3" t="n">
        <f aca="false">(MIN(B425,2020)-1900-10*(G425-1))/10</f>
        <v>0.7</v>
      </c>
      <c r="I425" s="20" t="n">
        <f aca="false">EXP(LN(INDEX(Pop_Inputs!$B$2:$N$29,MATCH(C425,Pop_Inputs!$A$2:$A$29,0),G425))*(1-H425)+LN(INDEX(Pop_Inputs!$B$2:$N$29,MATCH(C425,Pop_Inputs!$A$2:$A$29,0),G425+1))*H425)</f>
        <v>471523.177892517</v>
      </c>
      <c r="J425" s="20" t="n">
        <f aca="false">I425/F425</f>
        <v>471523.177892517</v>
      </c>
      <c r="K425" s="21" t="n">
        <f aca="false">D425/(D425+E425)</f>
        <v>0.551948051948052</v>
      </c>
      <c r="L425" s="21" t="n">
        <f aca="false">AVERAGEIFS($K$2:$K$2705,$B$2:$B$2705,B425)</f>
        <v>0.499952253628724</v>
      </c>
      <c r="M425" s="21" t="n">
        <f aca="false">K425-L425</f>
        <v>0.0519957983193278</v>
      </c>
      <c r="N425" s="21" t="n">
        <f aca="false">LN(J425)</f>
        <v>13.0637235376258</v>
      </c>
      <c r="O425" s="21" t="n">
        <f aca="false">AVERAGEIFS($N$2:$N$2705,$B$2:$B$2705,B425)</f>
        <v>13.6639123335508</v>
      </c>
      <c r="P425" s="21" t="n">
        <f aca="false">N425-O425</f>
        <v>-0.600188795924964</v>
      </c>
      <c r="Q425" s="7" t="n">
        <v>0</v>
      </c>
      <c r="R425" s="3" t="n">
        <f aca="false">IF(AND(Q425=1,B425-_xlfn.MINIFS($B$2:$B$2705,$A$2:$A$2705,A425)&lt;10),1,0)</f>
        <v>0</v>
      </c>
      <c r="S425" s="7" t="n">
        <v>0</v>
      </c>
      <c r="T425" s="3" t="n">
        <f aca="false">_xlfn.MINIFS($B$2:$B$2705,$A$2:$A$2705,A425)</f>
        <v>1901</v>
      </c>
      <c r="U425" s="3" t="n">
        <f aca="false">B425-T425</f>
        <v>26</v>
      </c>
      <c r="V425" s="3" t="str">
        <f aca="false">INDEX(Pop_Inputs!$Q$2:$Q$29,MATCH(C425,Pop_Inputs!$A$2:$A$29,0))</f>
        <v>South</v>
      </c>
      <c r="W425" s="30"/>
      <c r="X425" s="3" t="str">
        <f aca="false">IF(W425="","",LN(W425))</f>
        <v/>
      </c>
      <c r="Y425" s="3" t="str">
        <f aca="false">IF(X425="","",X425-AVERAGEIFS($X$2:$X$2705,$B$2:$B$2705,B425))</f>
        <v/>
      </c>
      <c r="Z425" s="21" t="n">
        <f aca="false">P425</f>
        <v>-0.600188795924964</v>
      </c>
      <c r="AA425" s="3" t="n">
        <f aca="false">R425</f>
        <v>0</v>
      </c>
      <c r="AB425" s="21" t="n">
        <f aca="false">P425</f>
        <v>-0.600188795924964</v>
      </c>
      <c r="AC425" s="3" t="str">
        <f aca="false">Y425</f>
        <v/>
      </c>
      <c r="AD425" s="3" t="n">
        <f aca="false">R425</f>
        <v>0</v>
      </c>
    </row>
    <row r="426" customFormat="false" ht="15" hidden="false" customHeight="true" outlineLevel="0" collapsed="false">
      <c r="A426" s="7" t="s">
        <v>70</v>
      </c>
      <c r="B426" s="7" t="n">
        <v>1927</v>
      </c>
      <c r="C426" s="7" t="s">
        <v>154</v>
      </c>
      <c r="D426" s="7" t="n">
        <v>110</v>
      </c>
      <c r="E426" s="7" t="n">
        <v>44</v>
      </c>
      <c r="F426" s="3" t="n">
        <f aca="false">COUNTIFS($B$2:$B$2705,B426,$C$2:$C$2705,C426)</f>
        <v>3</v>
      </c>
      <c r="G426" s="3" t="n">
        <f aca="false">MIN(INT((MIN(B426,2020)-1900)/10)+1,12)</f>
        <v>3</v>
      </c>
      <c r="H426" s="3" t="n">
        <f aca="false">(MIN(B426,2020)-1900-10*(G426-1))/10</f>
        <v>0.7</v>
      </c>
      <c r="I426" s="20" t="n">
        <f aca="false">EXP(LN(INDEX(Pop_Inputs!$B$2:$N$29,MATCH(C426,Pop_Inputs!$A$2:$A$29,0),G426))*(1-H426)+LN(INDEX(Pop_Inputs!$B$2:$N$29,MATCH(C426,Pop_Inputs!$A$2:$A$29,0),G426+1))*H426)</f>
        <v>6508109.27269888</v>
      </c>
      <c r="J426" s="20" t="n">
        <f aca="false">I426/F426</f>
        <v>2169369.75756629</v>
      </c>
      <c r="K426" s="21" t="n">
        <f aca="false">D426/(D426+E426)</f>
        <v>0.714285714285714</v>
      </c>
      <c r="L426" s="21" t="n">
        <f aca="false">AVERAGEIFS($K$2:$K$2705,$B$2:$B$2705,B426)</f>
        <v>0.499952253628724</v>
      </c>
      <c r="M426" s="21" t="n">
        <f aca="false">K426-L426</f>
        <v>0.21433346065699</v>
      </c>
      <c r="N426" s="21" t="n">
        <f aca="false">LN(J426)</f>
        <v>14.5899472490312</v>
      </c>
      <c r="O426" s="21" t="n">
        <f aca="false">AVERAGEIFS($N$2:$N$2705,$B$2:$B$2705,B426)</f>
        <v>13.6639123335508</v>
      </c>
      <c r="P426" s="21" t="n">
        <f aca="false">N426-O426</f>
        <v>0.926034915480374</v>
      </c>
      <c r="Q426" s="7" t="n">
        <v>0</v>
      </c>
      <c r="R426" s="3" t="n">
        <f aca="false">IF(AND(Q426=1,B426-_xlfn.MINIFS($B$2:$B$2705,$A$2:$A$2705,A426)&lt;10),1,0)</f>
        <v>0</v>
      </c>
      <c r="S426" s="7" t="n">
        <v>1</v>
      </c>
      <c r="T426" s="3" t="n">
        <f aca="false">_xlfn.MINIFS($B$2:$B$2705,$A$2:$A$2705,A426)</f>
        <v>1903</v>
      </c>
      <c r="U426" s="3" t="n">
        <f aca="false">B426-T426</f>
        <v>24</v>
      </c>
      <c r="V426" s="3" t="str">
        <f aca="false">INDEX(Pop_Inputs!$Q$2:$Q$29,MATCH(C426,Pop_Inputs!$A$2:$A$29,0))</f>
        <v>Northeast</v>
      </c>
      <c r="W426" s="30"/>
      <c r="X426" s="3" t="str">
        <f aca="false">IF(W426="","",LN(W426))</f>
        <v/>
      </c>
      <c r="Y426" s="3" t="str">
        <f aca="false">IF(X426="","",X426-AVERAGEIFS($X$2:$X$2705,$B$2:$B$2705,B426))</f>
        <v/>
      </c>
      <c r="Z426" s="21" t="n">
        <f aca="false">P426</f>
        <v>0.926034915480374</v>
      </c>
      <c r="AA426" s="3" t="n">
        <f aca="false">R426</f>
        <v>0</v>
      </c>
      <c r="AB426" s="21" t="n">
        <f aca="false">P426</f>
        <v>0.926034915480374</v>
      </c>
      <c r="AC426" s="3" t="str">
        <f aca="false">Y426</f>
        <v/>
      </c>
      <c r="AD426" s="3" t="n">
        <f aca="false">R426</f>
        <v>0</v>
      </c>
    </row>
    <row r="427" customFormat="false" ht="15" hidden="false" customHeight="true" outlineLevel="0" collapsed="false">
      <c r="A427" s="7" t="s">
        <v>69</v>
      </c>
      <c r="B427" s="7" t="n">
        <v>1927</v>
      </c>
      <c r="C427" s="7" t="s">
        <v>146</v>
      </c>
      <c r="D427" s="7" t="n">
        <v>91</v>
      </c>
      <c r="E427" s="7" t="n">
        <v>63</v>
      </c>
      <c r="F427" s="3" t="n">
        <f aca="false">COUNTIFS($B$2:$B$2705,B427,$C$2:$C$2705,C427)</f>
        <v>2</v>
      </c>
      <c r="G427" s="3" t="n">
        <f aca="false">MIN(INT((MIN(B427,2020)-1900)/10)+1,12)</f>
        <v>3</v>
      </c>
      <c r="H427" s="3" t="n">
        <f aca="false">(MIN(B427,2020)-1900-10*(G427-1))/10</f>
        <v>0.7</v>
      </c>
      <c r="I427" s="20" t="n">
        <f aca="false">EXP(LN(INDEX(Pop_Inputs!$B$2:$N$29,MATCH(C427,Pop_Inputs!$A$2:$A$29,0),G427))*(1-H427)+LN(INDEX(Pop_Inputs!$B$2:$N$29,MATCH(C427,Pop_Inputs!$A$2:$A$29,0),G427+1))*H427)</f>
        <v>1911902.20783972</v>
      </c>
      <c r="J427" s="20" t="n">
        <f aca="false">I427/F427</f>
        <v>955951.10391986</v>
      </c>
      <c r="K427" s="21" t="n">
        <f aca="false">D427/(D427+E427)</f>
        <v>0.590909090909091</v>
      </c>
      <c r="L427" s="21" t="n">
        <f aca="false">AVERAGEIFS($K$2:$K$2705,$B$2:$B$2705,B427)</f>
        <v>0.499952253628724</v>
      </c>
      <c r="M427" s="21" t="n">
        <f aca="false">K427-L427</f>
        <v>0.0909568372803667</v>
      </c>
      <c r="N427" s="21" t="n">
        <f aca="false">LN(J427)</f>
        <v>13.7704620441982</v>
      </c>
      <c r="O427" s="21" t="n">
        <f aca="false">AVERAGEIFS($N$2:$N$2705,$B$2:$B$2705,B427)</f>
        <v>13.6639123335508</v>
      </c>
      <c r="P427" s="21" t="n">
        <f aca="false">N427-O427</f>
        <v>0.106549710647355</v>
      </c>
      <c r="Q427" s="7" t="n">
        <v>0</v>
      </c>
      <c r="R427" s="3" t="n">
        <f aca="false">IF(AND(Q427=1,B427-_xlfn.MINIFS($B$2:$B$2705,$A$2:$A$2705,A427)&lt;10),1,0)</f>
        <v>0</v>
      </c>
      <c r="S427" s="7" t="n">
        <v>0</v>
      </c>
      <c r="T427" s="3" t="n">
        <f aca="false">_xlfn.MINIFS($B$2:$B$2705,$A$2:$A$2705,A427)</f>
        <v>1901</v>
      </c>
      <c r="U427" s="3" t="n">
        <f aca="false">B427-T427</f>
        <v>26</v>
      </c>
      <c r="V427" s="3" t="str">
        <f aca="false">INDEX(Pop_Inputs!$Q$2:$Q$29,MATCH(C427,Pop_Inputs!$A$2:$A$29,0))</f>
        <v>Northeast</v>
      </c>
      <c r="W427" s="30"/>
      <c r="X427" s="3" t="str">
        <f aca="false">IF(W427="","",LN(W427))</f>
        <v/>
      </c>
      <c r="Y427" s="3" t="str">
        <f aca="false">IF(X427="","",X427-AVERAGEIFS($X$2:$X$2705,$B$2:$B$2705,B427))</f>
        <v/>
      </c>
      <c r="Z427" s="21" t="n">
        <f aca="false">P427</f>
        <v>0.106549710647355</v>
      </c>
      <c r="AA427" s="3" t="n">
        <f aca="false">R427</f>
        <v>0</v>
      </c>
      <c r="AB427" s="21" t="n">
        <f aca="false">P427</f>
        <v>0.106549710647355</v>
      </c>
      <c r="AC427" s="3" t="str">
        <f aca="false">Y427</f>
        <v/>
      </c>
      <c r="AD427" s="3" t="n">
        <f aca="false">R427</f>
        <v>0</v>
      </c>
    </row>
    <row r="428" customFormat="false" ht="15" hidden="false" customHeight="true" outlineLevel="0" collapsed="false">
      <c r="A428" s="7" t="s">
        <v>60</v>
      </c>
      <c r="B428" s="7" t="n">
        <v>1927</v>
      </c>
      <c r="C428" s="7" t="s">
        <v>146</v>
      </c>
      <c r="D428" s="7" t="n">
        <v>51</v>
      </c>
      <c r="E428" s="7" t="n">
        <v>103</v>
      </c>
      <c r="F428" s="3" t="n">
        <f aca="false">COUNTIFS($B$2:$B$2705,B428,$C$2:$C$2705,C428)</f>
        <v>2</v>
      </c>
      <c r="G428" s="3" t="n">
        <f aca="false">MIN(INT((MIN(B428,2020)-1900)/10)+1,12)</f>
        <v>3</v>
      </c>
      <c r="H428" s="3" t="n">
        <f aca="false">(MIN(B428,2020)-1900-10*(G428-1))/10</f>
        <v>0.7</v>
      </c>
      <c r="I428" s="20" t="n">
        <f aca="false">EXP(LN(INDEX(Pop_Inputs!$B$2:$N$29,MATCH(C428,Pop_Inputs!$A$2:$A$29,0),G428))*(1-H428)+LN(INDEX(Pop_Inputs!$B$2:$N$29,MATCH(C428,Pop_Inputs!$A$2:$A$29,0),G428+1))*H428)</f>
        <v>1911902.20783972</v>
      </c>
      <c r="J428" s="20" t="n">
        <f aca="false">I428/F428</f>
        <v>955951.10391986</v>
      </c>
      <c r="K428" s="21" t="n">
        <f aca="false">D428/(D428+E428)</f>
        <v>0.331168831168831</v>
      </c>
      <c r="L428" s="21" t="n">
        <f aca="false">AVERAGEIFS($K$2:$K$2705,$B$2:$B$2705,B428)</f>
        <v>0.499952253628724</v>
      </c>
      <c r="M428" s="21" t="n">
        <f aca="false">K428-L428</f>
        <v>-0.168783422459893</v>
      </c>
      <c r="N428" s="21" t="n">
        <f aca="false">LN(J428)</f>
        <v>13.7704620441982</v>
      </c>
      <c r="O428" s="21" t="n">
        <f aca="false">AVERAGEIFS($N$2:$N$2705,$B$2:$B$2705,B428)</f>
        <v>13.6639123335508</v>
      </c>
      <c r="P428" s="21" t="n">
        <f aca="false">N428-O428</f>
        <v>0.106549710647355</v>
      </c>
      <c r="Q428" s="7" t="n">
        <v>0</v>
      </c>
      <c r="R428" s="3" t="n">
        <f aca="false">IF(AND(Q428=1,B428-_xlfn.MINIFS($B$2:$B$2705,$A$2:$A$2705,A428)&lt;10),1,0)</f>
        <v>0</v>
      </c>
      <c r="S428" s="7" t="n">
        <v>0</v>
      </c>
      <c r="T428" s="3" t="n">
        <f aca="false">_xlfn.MINIFS($B$2:$B$2705,$A$2:$A$2705,A428)</f>
        <v>1901</v>
      </c>
      <c r="U428" s="3" t="n">
        <f aca="false">B428-T428</f>
        <v>26</v>
      </c>
      <c r="V428" s="3" t="str">
        <f aca="false">INDEX(Pop_Inputs!$Q$2:$Q$29,MATCH(C428,Pop_Inputs!$A$2:$A$29,0))</f>
        <v>Northeast</v>
      </c>
      <c r="W428" s="30"/>
      <c r="X428" s="3" t="str">
        <f aca="false">IF(W428="","",LN(W428))</f>
        <v/>
      </c>
      <c r="Y428" s="3" t="str">
        <f aca="false">IF(X428="","",X428-AVERAGEIFS($X$2:$X$2705,$B$2:$B$2705,B428))</f>
        <v/>
      </c>
      <c r="Z428" s="21" t="n">
        <f aca="false">P428</f>
        <v>0.106549710647355</v>
      </c>
      <c r="AA428" s="3" t="n">
        <f aca="false">R428</f>
        <v>0</v>
      </c>
      <c r="AB428" s="21" t="n">
        <f aca="false">P428</f>
        <v>0.106549710647355</v>
      </c>
      <c r="AC428" s="3" t="str">
        <f aca="false">Y428</f>
        <v/>
      </c>
      <c r="AD428" s="3" t="n">
        <f aca="false">R428</f>
        <v>0</v>
      </c>
    </row>
    <row r="429" customFormat="false" ht="15" hidden="false" customHeight="true" outlineLevel="0" collapsed="false">
      <c r="A429" s="7" t="s">
        <v>58</v>
      </c>
      <c r="B429" s="7" t="n">
        <v>1927</v>
      </c>
      <c r="C429" s="7" t="s">
        <v>144</v>
      </c>
      <c r="D429" s="7" t="n">
        <v>94</v>
      </c>
      <c r="E429" s="7" t="n">
        <v>60</v>
      </c>
      <c r="F429" s="3" t="n">
        <f aca="false">COUNTIFS($B$2:$B$2705,B429,$C$2:$C$2705,C429)</f>
        <v>1</v>
      </c>
      <c r="G429" s="3" t="n">
        <f aca="false">MIN(INT((MIN(B429,2020)-1900)/10)+1,12)</f>
        <v>3</v>
      </c>
      <c r="H429" s="3" t="n">
        <f aca="false">(MIN(B429,2020)-1900-10*(G429-1))/10</f>
        <v>0.7</v>
      </c>
      <c r="I429" s="20" t="n">
        <f aca="false">EXP(LN(INDEX(Pop_Inputs!$B$2:$N$29,MATCH(C429,Pop_Inputs!$A$2:$A$29,0),G429))*(1-H429)+LN(INDEX(Pop_Inputs!$B$2:$N$29,MATCH(C429,Pop_Inputs!$A$2:$A$29,0),G429+1))*H429)</f>
        <v>644256.031715371</v>
      </c>
      <c r="J429" s="20" t="n">
        <f aca="false">I429/F429</f>
        <v>644256.031715371</v>
      </c>
      <c r="K429" s="21" t="n">
        <f aca="false">D429/(D429+E429)</f>
        <v>0.61038961038961</v>
      </c>
      <c r="L429" s="21" t="n">
        <f aca="false">AVERAGEIFS($K$2:$K$2705,$B$2:$B$2705,B429)</f>
        <v>0.499952253628724</v>
      </c>
      <c r="M429" s="21" t="n">
        <f aca="false">K429-L429</f>
        <v>0.110437356760886</v>
      </c>
      <c r="N429" s="21" t="n">
        <f aca="false">LN(J429)</f>
        <v>13.375851490854</v>
      </c>
      <c r="O429" s="21" t="n">
        <f aca="false">AVERAGEIFS($N$2:$N$2705,$B$2:$B$2705,B429)</f>
        <v>13.6639123335508</v>
      </c>
      <c r="P429" s="21" t="n">
        <f aca="false">N429-O429</f>
        <v>-0.288060842696837</v>
      </c>
      <c r="Q429" s="7" t="n">
        <v>0</v>
      </c>
      <c r="R429" s="3" t="n">
        <f aca="false">IF(AND(Q429=1,B429-_xlfn.MINIFS($B$2:$B$2705,$A$2:$A$2705,A429)&lt;10),1,0)</f>
        <v>0</v>
      </c>
      <c r="S429" s="7" t="n">
        <v>0</v>
      </c>
      <c r="T429" s="3" t="n">
        <f aca="false">_xlfn.MINIFS($B$2:$B$2705,$A$2:$A$2705,A429)</f>
        <v>1901</v>
      </c>
      <c r="U429" s="3" t="n">
        <f aca="false">B429-T429</f>
        <v>26</v>
      </c>
      <c r="V429" s="3" t="str">
        <f aca="false">INDEX(Pop_Inputs!$Q$2:$Q$29,MATCH(C429,Pop_Inputs!$A$2:$A$29,0))</f>
        <v>Northeast</v>
      </c>
      <c r="W429" s="30"/>
      <c r="X429" s="3" t="str">
        <f aca="false">IF(W429="","",LN(W429))</f>
        <v/>
      </c>
      <c r="Y429" s="3" t="str">
        <f aca="false">IF(X429="","",X429-AVERAGEIFS($X$2:$X$2705,$B$2:$B$2705,B429))</f>
        <v/>
      </c>
      <c r="Z429" s="21" t="n">
        <f aca="false">P429</f>
        <v>-0.288060842696837</v>
      </c>
      <c r="AA429" s="3" t="n">
        <f aca="false">R429</f>
        <v>0</v>
      </c>
      <c r="AB429" s="21" t="n">
        <f aca="false">P429</f>
        <v>-0.288060842696837</v>
      </c>
      <c r="AC429" s="3" t="str">
        <f aca="false">Y429</f>
        <v/>
      </c>
      <c r="AD429" s="3" t="n">
        <f aca="false">R429</f>
        <v>0</v>
      </c>
    </row>
    <row r="430" customFormat="false" ht="15" hidden="false" customHeight="true" outlineLevel="0" collapsed="false">
      <c r="A430" s="7" t="s">
        <v>61</v>
      </c>
      <c r="B430" s="7" t="n">
        <v>1927</v>
      </c>
      <c r="C430" s="7" t="s">
        <v>154</v>
      </c>
      <c r="D430" s="7" t="n">
        <v>92</v>
      </c>
      <c r="E430" s="7" t="n">
        <v>62</v>
      </c>
      <c r="F430" s="3" t="n">
        <f aca="false">COUNTIFS($B$2:$B$2705,B430,$C$2:$C$2705,C430)</f>
        <v>3</v>
      </c>
      <c r="G430" s="3" t="n">
        <f aca="false">MIN(INT((MIN(B430,2020)-1900)/10)+1,12)</f>
        <v>3</v>
      </c>
      <c r="H430" s="3" t="n">
        <f aca="false">(MIN(B430,2020)-1900-10*(G430-1))/10</f>
        <v>0.7</v>
      </c>
      <c r="I430" s="20" t="n">
        <f aca="false">EXP(LN(INDEX(Pop_Inputs!$B$2:$N$29,MATCH(C430,Pop_Inputs!$A$2:$A$29,0),G430))*(1-H430)+LN(INDEX(Pop_Inputs!$B$2:$N$29,MATCH(C430,Pop_Inputs!$A$2:$A$29,0),G430+1))*H430)</f>
        <v>6508109.27269888</v>
      </c>
      <c r="J430" s="20" t="n">
        <f aca="false">I430/F430</f>
        <v>2169369.75756629</v>
      </c>
      <c r="K430" s="21" t="n">
        <f aca="false">D430/(D430+E430)</f>
        <v>0.597402597402597</v>
      </c>
      <c r="L430" s="21" t="n">
        <f aca="false">AVERAGEIFS($K$2:$K$2705,$B$2:$B$2705,B430)</f>
        <v>0.499952253628724</v>
      </c>
      <c r="M430" s="21" t="n">
        <f aca="false">K430-L430</f>
        <v>0.0974503437738732</v>
      </c>
      <c r="N430" s="21" t="n">
        <f aca="false">LN(J430)</f>
        <v>14.5899472490312</v>
      </c>
      <c r="O430" s="21" t="n">
        <f aca="false">AVERAGEIFS($N$2:$N$2705,$B$2:$B$2705,B430)</f>
        <v>13.6639123335508</v>
      </c>
      <c r="P430" s="21" t="n">
        <f aca="false">N430-O430</f>
        <v>0.926034915480374</v>
      </c>
      <c r="Q430" s="7" t="n">
        <v>0</v>
      </c>
      <c r="R430" s="3" t="n">
        <f aca="false">IF(AND(Q430=1,B430-_xlfn.MINIFS($B$2:$B$2705,$A$2:$A$2705,A430)&lt;10),1,0)</f>
        <v>0</v>
      </c>
      <c r="S430" s="7" t="n">
        <v>0</v>
      </c>
      <c r="T430" s="3" t="n">
        <f aca="false">_xlfn.MINIFS($B$2:$B$2705,$A$2:$A$2705,A430)</f>
        <v>1901</v>
      </c>
      <c r="U430" s="3" t="n">
        <f aca="false">B430-T430</f>
        <v>26</v>
      </c>
      <c r="V430" s="3" t="str">
        <f aca="false">INDEX(Pop_Inputs!$Q$2:$Q$29,MATCH(C430,Pop_Inputs!$A$2:$A$29,0))</f>
        <v>Northeast</v>
      </c>
      <c r="W430" s="30"/>
      <c r="X430" s="3" t="str">
        <f aca="false">IF(W430="","",LN(W430))</f>
        <v/>
      </c>
      <c r="Y430" s="3" t="str">
        <f aca="false">IF(X430="","",X430-AVERAGEIFS($X$2:$X$2705,$B$2:$B$2705,B430))</f>
        <v/>
      </c>
      <c r="Z430" s="21" t="n">
        <f aca="false">P430</f>
        <v>0.926034915480374</v>
      </c>
      <c r="AA430" s="3" t="n">
        <f aca="false">R430</f>
        <v>0</v>
      </c>
      <c r="AB430" s="21" t="n">
        <f aca="false">P430</f>
        <v>0.926034915480374</v>
      </c>
      <c r="AC430" s="3" t="str">
        <f aca="false">Y430</f>
        <v/>
      </c>
      <c r="AD430" s="3" t="n">
        <f aca="false">R430</f>
        <v>0</v>
      </c>
    </row>
    <row r="431" customFormat="false" ht="15" hidden="false" customHeight="true" outlineLevel="0" collapsed="false">
      <c r="A431" s="7" t="s">
        <v>59</v>
      </c>
      <c r="B431" s="7" t="n">
        <v>1927</v>
      </c>
      <c r="C431" s="7" t="s">
        <v>145</v>
      </c>
      <c r="D431" s="7" t="n">
        <v>92</v>
      </c>
      <c r="E431" s="7" t="n">
        <v>61</v>
      </c>
      <c r="F431" s="3" t="n">
        <f aca="false">COUNTIFS($B$2:$B$2705,B431,$C$2:$C$2705,C431)</f>
        <v>2</v>
      </c>
      <c r="G431" s="3" t="n">
        <f aca="false">MIN(INT((MIN(B431,2020)-1900)/10)+1,12)</f>
        <v>3</v>
      </c>
      <c r="H431" s="3" t="n">
        <f aca="false">(MIN(B431,2020)-1900-10*(G431-1))/10</f>
        <v>0.7</v>
      </c>
      <c r="I431" s="20" t="n">
        <f aca="false">EXP(LN(INDEX(Pop_Inputs!$B$2:$N$29,MATCH(C431,Pop_Inputs!$A$2:$A$29,0),G431))*(1-H431)+LN(INDEX(Pop_Inputs!$B$2:$N$29,MATCH(C431,Pop_Inputs!$A$2:$A$29,0),G431+1))*H431)</f>
        <v>806922.75924346</v>
      </c>
      <c r="J431" s="20" t="n">
        <f aca="false">I431/F431</f>
        <v>403461.37962173</v>
      </c>
      <c r="K431" s="21" t="n">
        <f aca="false">D431/(D431+E431)</f>
        <v>0.601307189542484</v>
      </c>
      <c r="L431" s="21" t="n">
        <f aca="false">AVERAGEIFS($K$2:$K$2705,$B$2:$B$2705,B431)</f>
        <v>0.499952253628724</v>
      </c>
      <c r="M431" s="21" t="n">
        <f aca="false">K431-L431</f>
        <v>0.101354935913759</v>
      </c>
      <c r="N431" s="21" t="n">
        <f aca="false">LN(J431)</f>
        <v>12.9078360486584</v>
      </c>
      <c r="O431" s="21" t="n">
        <f aca="false">AVERAGEIFS($N$2:$N$2705,$B$2:$B$2705,B431)</f>
        <v>13.6639123335508</v>
      </c>
      <c r="P431" s="21" t="n">
        <f aca="false">N431-O431</f>
        <v>-0.756076284892458</v>
      </c>
      <c r="Q431" s="7" t="n">
        <v>0</v>
      </c>
      <c r="R431" s="3" t="n">
        <f aca="false">IF(AND(Q431=1,B431-_xlfn.MINIFS($B$2:$B$2705,$A$2:$A$2705,A431)&lt;10),1,0)</f>
        <v>0</v>
      </c>
      <c r="S431" s="7" t="n">
        <v>0</v>
      </c>
      <c r="T431" s="3" t="n">
        <f aca="false">_xlfn.MINIFS($B$2:$B$2705,$A$2:$A$2705,A431)</f>
        <v>1901</v>
      </c>
      <c r="U431" s="3" t="n">
        <f aca="false">B431-T431</f>
        <v>26</v>
      </c>
      <c r="V431" s="3" t="str">
        <f aca="false">INDEX(Pop_Inputs!$Q$2:$Q$29,MATCH(C431,Pop_Inputs!$A$2:$A$29,0))</f>
        <v>Midwest</v>
      </c>
      <c r="W431" s="30"/>
      <c r="X431" s="3" t="str">
        <f aca="false">IF(W431="","",LN(W431))</f>
        <v/>
      </c>
      <c r="Y431" s="3" t="str">
        <f aca="false">IF(X431="","",X431-AVERAGEIFS($X$2:$X$2705,$B$2:$B$2705,B431))</f>
        <v/>
      </c>
      <c r="Z431" s="21" t="n">
        <f aca="false">P431</f>
        <v>-0.756076284892458</v>
      </c>
      <c r="AA431" s="3" t="n">
        <f aca="false">R431</f>
        <v>0</v>
      </c>
      <c r="AB431" s="21" t="n">
        <f aca="false">P431</f>
        <v>-0.756076284892458</v>
      </c>
      <c r="AC431" s="3" t="str">
        <f aca="false">Y431</f>
        <v/>
      </c>
      <c r="AD431" s="3" t="n">
        <f aca="false">R431</f>
        <v>0</v>
      </c>
    </row>
    <row r="432" customFormat="false" ht="15" hidden="false" customHeight="true" outlineLevel="0" collapsed="false">
      <c r="A432" s="7" t="s">
        <v>54</v>
      </c>
      <c r="B432" s="7" t="n">
        <v>1928</v>
      </c>
      <c r="C432" s="7" t="s">
        <v>150</v>
      </c>
      <c r="D432" s="7" t="n">
        <v>50</v>
      </c>
      <c r="E432" s="7" t="n">
        <v>103</v>
      </c>
      <c r="F432" s="3" t="n">
        <f aca="false">COUNTIFS($B$2:$B$2705,B432,$C$2:$C$2705,C432)</f>
        <v>2</v>
      </c>
      <c r="G432" s="3" t="n">
        <f aca="false">MIN(INT((MIN(B432,2020)-1900)/10)+1,12)</f>
        <v>3</v>
      </c>
      <c r="H432" s="3" t="n">
        <f aca="false">(MIN(B432,2020)-1900-10*(G432-1))/10</f>
        <v>0.8</v>
      </c>
      <c r="I432" s="20" t="n">
        <f aca="false">EXP(LN(INDEX(Pop_Inputs!$B$2:$N$29,MATCH(C432,Pop_Inputs!$A$2:$A$29,0),G432))*(1-H432)+LN(INDEX(Pop_Inputs!$B$2:$N$29,MATCH(C432,Pop_Inputs!$A$2:$A$29,0),G432+1))*H432)</f>
        <v>774447.063337353</v>
      </c>
      <c r="J432" s="20" t="n">
        <f aca="false">I432/F432</f>
        <v>387223.531668677</v>
      </c>
      <c r="K432" s="21" t="n">
        <f aca="false">D432/(D432+E432)</f>
        <v>0.326797385620915</v>
      </c>
      <c r="L432" s="21" t="n">
        <f aca="false">AVERAGEIFS($K$2:$K$2705,$B$2:$B$2705,B432)</f>
        <v>0.499818856968625</v>
      </c>
      <c r="M432" s="21" t="n">
        <f aca="false">K432-L432</f>
        <v>-0.17302147134771</v>
      </c>
      <c r="N432" s="21" t="n">
        <f aca="false">LN(J432)</f>
        <v>12.8667574064756</v>
      </c>
      <c r="O432" s="21" t="n">
        <f aca="false">AVERAGEIFS($N$2:$N$2705,$B$2:$B$2705,B432)</f>
        <v>13.6786103642718</v>
      </c>
      <c r="P432" s="21" t="n">
        <f aca="false">N432-O432</f>
        <v>-0.811852957796198</v>
      </c>
      <c r="Q432" s="7" t="n">
        <v>0</v>
      </c>
      <c r="R432" s="3" t="n">
        <f aca="false">IF(AND(Q432=1,B432-_xlfn.MINIFS($B$2:$B$2705,$A$2:$A$2705,A432)&lt;10),1,0)</f>
        <v>0</v>
      </c>
      <c r="S432" s="7" t="n">
        <v>0</v>
      </c>
      <c r="T432" s="3" t="n">
        <f aca="false">_xlfn.MINIFS($B$2:$B$2705,$A$2:$A$2705,A432)</f>
        <v>1901</v>
      </c>
      <c r="U432" s="3" t="n">
        <f aca="false">B432-T432</f>
        <v>27</v>
      </c>
      <c r="V432" s="3" t="str">
        <f aca="false">INDEX(Pop_Inputs!$Q$2:$Q$29,MATCH(C432,Pop_Inputs!$A$2:$A$29,0))</f>
        <v>Northeast</v>
      </c>
      <c r="W432" s="30"/>
      <c r="X432" s="3" t="str">
        <f aca="false">IF(W432="","",LN(W432))</f>
        <v/>
      </c>
      <c r="Y432" s="3" t="str">
        <f aca="false">IF(X432="","",X432-AVERAGEIFS($X$2:$X$2705,$B$2:$B$2705,B432))</f>
        <v/>
      </c>
      <c r="Z432" s="21" t="n">
        <f aca="false">P432</f>
        <v>-0.811852957796198</v>
      </c>
      <c r="AA432" s="3" t="n">
        <f aca="false">R432</f>
        <v>0</v>
      </c>
      <c r="AB432" s="21" t="n">
        <f aca="false">P432</f>
        <v>-0.811852957796198</v>
      </c>
      <c r="AC432" s="3" t="str">
        <f aca="false">Y432</f>
        <v/>
      </c>
      <c r="AD432" s="3" t="n">
        <f aca="false">R432</f>
        <v>0</v>
      </c>
    </row>
    <row r="433" customFormat="false" ht="15" hidden="false" customHeight="true" outlineLevel="0" collapsed="false">
      <c r="A433" s="7" t="s">
        <v>63</v>
      </c>
      <c r="B433" s="7" t="n">
        <v>1928</v>
      </c>
      <c r="C433" s="7" t="s">
        <v>145</v>
      </c>
      <c r="D433" s="7" t="n">
        <v>82</v>
      </c>
      <c r="E433" s="7" t="n">
        <v>72</v>
      </c>
      <c r="F433" s="3" t="n">
        <f aca="false">COUNTIFS($B$2:$B$2705,B433,$C$2:$C$2705,C433)</f>
        <v>2</v>
      </c>
      <c r="G433" s="3" t="n">
        <f aca="false">MIN(INT((MIN(B433,2020)-1900)/10)+1,12)</f>
        <v>3</v>
      </c>
      <c r="H433" s="3" t="n">
        <f aca="false">(MIN(B433,2020)-1900-10*(G433-1))/10</f>
        <v>0.8</v>
      </c>
      <c r="I433" s="20" t="n">
        <f aca="false">EXP(LN(INDEX(Pop_Inputs!$B$2:$N$29,MATCH(C433,Pop_Inputs!$A$2:$A$29,0),G433))*(1-H433)+LN(INDEX(Pop_Inputs!$B$2:$N$29,MATCH(C433,Pop_Inputs!$A$2:$A$29,0),G433+1))*H433)</f>
        <v>811904.35529735</v>
      </c>
      <c r="J433" s="20" t="n">
        <f aca="false">I433/F433</f>
        <v>405952.177648675</v>
      </c>
      <c r="K433" s="21" t="n">
        <f aca="false">D433/(D433+E433)</f>
        <v>0.532467532467532</v>
      </c>
      <c r="L433" s="21" t="n">
        <f aca="false">AVERAGEIFS($K$2:$K$2705,$B$2:$B$2705,B433)</f>
        <v>0.499818856968625</v>
      </c>
      <c r="M433" s="21" t="n">
        <f aca="false">K433-L433</f>
        <v>0.0326486754989077</v>
      </c>
      <c r="N433" s="21" t="n">
        <f aca="false">LN(J433)</f>
        <v>12.9139906426035</v>
      </c>
      <c r="O433" s="21" t="n">
        <f aca="false">AVERAGEIFS($N$2:$N$2705,$B$2:$B$2705,B433)</f>
        <v>13.6786103642718</v>
      </c>
      <c r="P433" s="21" t="n">
        <f aca="false">N433-O433</f>
        <v>-0.764619721668272</v>
      </c>
      <c r="Q433" s="7" t="n">
        <v>0</v>
      </c>
      <c r="R433" s="3" t="n">
        <f aca="false">IF(AND(Q433=1,B433-_xlfn.MINIFS($B$2:$B$2705,$A$2:$A$2705,A433)&lt;10),1,0)</f>
        <v>0</v>
      </c>
      <c r="S433" s="7" t="n">
        <v>0</v>
      </c>
      <c r="T433" s="3" t="n">
        <f aca="false">_xlfn.MINIFS($B$2:$B$2705,$A$2:$A$2705,A433)</f>
        <v>1901</v>
      </c>
      <c r="U433" s="3" t="n">
        <f aca="false">B433-T433</f>
        <v>27</v>
      </c>
      <c r="V433" s="3" t="str">
        <f aca="false">INDEX(Pop_Inputs!$Q$2:$Q$29,MATCH(C433,Pop_Inputs!$A$2:$A$29,0))</f>
        <v>Midwest</v>
      </c>
      <c r="W433" s="30"/>
      <c r="X433" s="3" t="str">
        <f aca="false">IF(W433="","",LN(W433))</f>
        <v/>
      </c>
      <c r="Y433" s="3" t="str">
        <f aca="false">IF(X433="","",X433-AVERAGEIFS($X$2:$X$2705,$B$2:$B$2705,B433))</f>
        <v/>
      </c>
      <c r="Z433" s="21" t="n">
        <f aca="false">P433</f>
        <v>-0.764619721668272</v>
      </c>
      <c r="AA433" s="3" t="n">
        <f aca="false">R433</f>
        <v>0</v>
      </c>
      <c r="AB433" s="21" t="n">
        <f aca="false">P433</f>
        <v>-0.764619721668272</v>
      </c>
      <c r="AC433" s="3" t="str">
        <f aca="false">Y433</f>
        <v/>
      </c>
      <c r="AD433" s="3" t="n">
        <f aca="false">R433</f>
        <v>0</v>
      </c>
    </row>
    <row r="434" customFormat="false" ht="15" hidden="false" customHeight="true" outlineLevel="0" collapsed="false">
      <c r="A434" s="7" t="s">
        <v>64</v>
      </c>
      <c r="B434" s="7" t="n">
        <v>1928</v>
      </c>
      <c r="C434" s="7" t="s">
        <v>150</v>
      </c>
      <c r="D434" s="7" t="n">
        <v>57</v>
      </c>
      <c r="E434" s="7" t="n">
        <v>96</v>
      </c>
      <c r="F434" s="3" t="n">
        <f aca="false">COUNTIFS($B$2:$B$2705,B434,$C$2:$C$2705,C434)</f>
        <v>2</v>
      </c>
      <c r="G434" s="3" t="n">
        <f aca="false">MIN(INT((MIN(B434,2020)-1900)/10)+1,12)</f>
        <v>3</v>
      </c>
      <c r="H434" s="3" t="n">
        <f aca="false">(MIN(B434,2020)-1900-10*(G434-1))/10</f>
        <v>0.8</v>
      </c>
      <c r="I434" s="20" t="n">
        <f aca="false">EXP(LN(INDEX(Pop_Inputs!$B$2:$N$29,MATCH(C434,Pop_Inputs!$A$2:$A$29,0),G434))*(1-H434)+LN(INDEX(Pop_Inputs!$B$2:$N$29,MATCH(C434,Pop_Inputs!$A$2:$A$29,0),G434+1))*H434)</f>
        <v>774447.063337353</v>
      </c>
      <c r="J434" s="20" t="n">
        <f aca="false">I434/F434</f>
        <v>387223.531668677</v>
      </c>
      <c r="K434" s="21" t="n">
        <f aca="false">D434/(D434+E434)</f>
        <v>0.372549019607843</v>
      </c>
      <c r="L434" s="21" t="n">
        <f aca="false">AVERAGEIFS($K$2:$K$2705,$B$2:$B$2705,B434)</f>
        <v>0.499818856968625</v>
      </c>
      <c r="M434" s="21" t="n">
        <f aca="false">K434-L434</f>
        <v>-0.127269837360782</v>
      </c>
      <c r="N434" s="21" t="n">
        <f aca="false">LN(J434)</f>
        <v>12.8667574064756</v>
      </c>
      <c r="O434" s="21" t="n">
        <f aca="false">AVERAGEIFS($N$2:$N$2705,$B$2:$B$2705,B434)</f>
        <v>13.6786103642718</v>
      </c>
      <c r="P434" s="21" t="n">
        <f aca="false">N434-O434</f>
        <v>-0.811852957796198</v>
      </c>
      <c r="Q434" s="7" t="n">
        <v>0</v>
      </c>
      <c r="R434" s="3" t="n">
        <f aca="false">IF(AND(Q434=1,B434-_xlfn.MINIFS($B$2:$B$2705,$A$2:$A$2705,A434)&lt;10),1,0)</f>
        <v>0</v>
      </c>
      <c r="S434" s="7" t="n">
        <v>0</v>
      </c>
      <c r="T434" s="3" t="n">
        <f aca="false">_xlfn.MINIFS($B$2:$B$2705,$A$2:$A$2705,A434)</f>
        <v>1901</v>
      </c>
      <c r="U434" s="3" t="n">
        <f aca="false">B434-T434</f>
        <v>27</v>
      </c>
      <c r="V434" s="3" t="str">
        <f aca="false">INDEX(Pop_Inputs!$Q$2:$Q$29,MATCH(C434,Pop_Inputs!$A$2:$A$29,0))</f>
        <v>Northeast</v>
      </c>
      <c r="W434" s="30"/>
      <c r="X434" s="3" t="str">
        <f aca="false">IF(W434="","",LN(W434))</f>
        <v/>
      </c>
      <c r="Y434" s="3" t="str">
        <f aca="false">IF(X434="","",X434-AVERAGEIFS($X$2:$X$2705,$B$2:$B$2705,B434))</f>
        <v/>
      </c>
      <c r="Z434" s="21" t="n">
        <f aca="false">P434</f>
        <v>-0.811852957796198</v>
      </c>
      <c r="AA434" s="3" t="n">
        <f aca="false">R434</f>
        <v>0</v>
      </c>
      <c r="AB434" s="21" t="n">
        <f aca="false">P434</f>
        <v>-0.811852957796198</v>
      </c>
      <c r="AC434" s="3" t="str">
        <f aca="false">Y434</f>
        <v/>
      </c>
      <c r="AD434" s="3" t="n">
        <f aca="false">R434</f>
        <v>0</v>
      </c>
    </row>
    <row r="435" customFormat="false" ht="15" hidden="false" customHeight="true" outlineLevel="0" collapsed="false">
      <c r="A435" s="7" t="s">
        <v>56</v>
      </c>
      <c r="B435" s="7" t="n">
        <v>1928</v>
      </c>
      <c r="C435" s="7" t="s">
        <v>142</v>
      </c>
      <c r="D435" s="7" t="n">
        <v>91</v>
      </c>
      <c r="E435" s="7" t="n">
        <v>63</v>
      </c>
      <c r="F435" s="3" t="n">
        <f aca="false">COUNTIFS($B$2:$B$2705,B435,$C$2:$C$2705,C435)</f>
        <v>2</v>
      </c>
      <c r="G435" s="3" t="n">
        <f aca="false">MIN(INT((MIN(B435,2020)-1900)/10)+1,12)</f>
        <v>3</v>
      </c>
      <c r="H435" s="3" t="n">
        <f aca="false">(MIN(B435,2020)-1900-10*(G435-1))/10</f>
        <v>0.8</v>
      </c>
      <c r="I435" s="20" t="n">
        <f aca="false">EXP(LN(INDEX(Pop_Inputs!$B$2:$N$29,MATCH(C435,Pop_Inputs!$A$2:$A$29,0),G435))*(1-H435)+LN(INDEX(Pop_Inputs!$B$2:$N$29,MATCH(C435,Pop_Inputs!$A$2:$A$29,0),G435+1))*H435)</f>
        <v>3229197.50907148</v>
      </c>
      <c r="J435" s="20" t="n">
        <f aca="false">I435/F435</f>
        <v>1614598.75453574</v>
      </c>
      <c r="K435" s="21" t="n">
        <f aca="false">D435/(D435+E435)</f>
        <v>0.590909090909091</v>
      </c>
      <c r="L435" s="21" t="n">
        <f aca="false">AVERAGEIFS($K$2:$K$2705,$B$2:$B$2705,B435)</f>
        <v>0.499818856968625</v>
      </c>
      <c r="M435" s="21" t="n">
        <f aca="false">K435-L435</f>
        <v>0.0910902339404662</v>
      </c>
      <c r="N435" s="21" t="n">
        <f aca="false">LN(J435)</f>
        <v>14.2945970345664</v>
      </c>
      <c r="O435" s="21" t="n">
        <f aca="false">AVERAGEIFS($N$2:$N$2705,$B$2:$B$2705,B435)</f>
        <v>13.6786103642718</v>
      </c>
      <c r="P435" s="21" t="n">
        <f aca="false">N435-O435</f>
        <v>0.615986670294609</v>
      </c>
      <c r="Q435" s="7" t="n">
        <v>0</v>
      </c>
      <c r="R435" s="3" t="n">
        <f aca="false">IF(AND(Q435=1,B435-_xlfn.MINIFS($B$2:$B$2705,$A$2:$A$2705,A435)&lt;10),1,0)</f>
        <v>0</v>
      </c>
      <c r="S435" s="7" t="n">
        <v>0</v>
      </c>
      <c r="T435" s="3" t="n">
        <f aca="false">_xlfn.MINIFS($B$2:$B$2705,$A$2:$A$2705,A435)</f>
        <v>1901</v>
      </c>
      <c r="U435" s="3" t="n">
        <f aca="false">B435-T435</f>
        <v>27</v>
      </c>
      <c r="V435" s="3" t="str">
        <f aca="false">INDEX(Pop_Inputs!$Q$2:$Q$29,MATCH(C435,Pop_Inputs!$A$2:$A$29,0))</f>
        <v>Midwest</v>
      </c>
      <c r="W435" s="30"/>
      <c r="X435" s="3" t="str">
        <f aca="false">IF(W435="","",LN(W435))</f>
        <v/>
      </c>
      <c r="Y435" s="3" t="str">
        <f aca="false">IF(X435="","",X435-AVERAGEIFS($X$2:$X$2705,$B$2:$B$2705,B435))</f>
        <v/>
      </c>
      <c r="Z435" s="21" t="n">
        <f aca="false">P435</f>
        <v>0.615986670294609</v>
      </c>
      <c r="AA435" s="3" t="n">
        <f aca="false">R435</f>
        <v>0</v>
      </c>
      <c r="AB435" s="21" t="n">
        <f aca="false">P435</f>
        <v>0.615986670294609</v>
      </c>
      <c r="AC435" s="3" t="str">
        <f aca="false">Y435</f>
        <v/>
      </c>
      <c r="AD435" s="3" t="n">
        <f aca="false">R435</f>
        <v>0</v>
      </c>
    </row>
    <row r="436" customFormat="false" ht="15" hidden="false" customHeight="true" outlineLevel="0" collapsed="false">
      <c r="A436" s="7" t="s">
        <v>65</v>
      </c>
      <c r="B436" s="7" t="n">
        <v>1928</v>
      </c>
      <c r="C436" s="7" t="s">
        <v>142</v>
      </c>
      <c r="D436" s="7" t="n">
        <v>72</v>
      </c>
      <c r="E436" s="7" t="n">
        <v>82</v>
      </c>
      <c r="F436" s="3" t="n">
        <f aca="false">COUNTIFS($B$2:$B$2705,B436,$C$2:$C$2705,C436)</f>
        <v>2</v>
      </c>
      <c r="G436" s="3" t="n">
        <f aca="false">MIN(INT((MIN(B436,2020)-1900)/10)+1,12)</f>
        <v>3</v>
      </c>
      <c r="H436" s="3" t="n">
        <f aca="false">(MIN(B436,2020)-1900-10*(G436-1))/10</f>
        <v>0.8</v>
      </c>
      <c r="I436" s="20" t="n">
        <f aca="false">EXP(LN(INDEX(Pop_Inputs!$B$2:$N$29,MATCH(C436,Pop_Inputs!$A$2:$A$29,0),G436))*(1-H436)+LN(INDEX(Pop_Inputs!$B$2:$N$29,MATCH(C436,Pop_Inputs!$A$2:$A$29,0),G436+1))*H436)</f>
        <v>3229197.50907148</v>
      </c>
      <c r="J436" s="20" t="n">
        <f aca="false">I436/F436</f>
        <v>1614598.75453574</v>
      </c>
      <c r="K436" s="21" t="n">
        <f aca="false">D436/(D436+E436)</f>
        <v>0.467532467532468</v>
      </c>
      <c r="L436" s="21" t="n">
        <f aca="false">AVERAGEIFS($K$2:$K$2705,$B$2:$B$2705,B436)</f>
        <v>0.499818856968625</v>
      </c>
      <c r="M436" s="21" t="n">
        <f aca="false">K436-L436</f>
        <v>-0.0322863894361573</v>
      </c>
      <c r="N436" s="21" t="n">
        <f aca="false">LN(J436)</f>
        <v>14.2945970345664</v>
      </c>
      <c r="O436" s="21" t="n">
        <f aca="false">AVERAGEIFS($N$2:$N$2705,$B$2:$B$2705,B436)</f>
        <v>13.6786103642718</v>
      </c>
      <c r="P436" s="21" t="n">
        <f aca="false">N436-O436</f>
        <v>0.615986670294609</v>
      </c>
      <c r="Q436" s="7" t="n">
        <v>0</v>
      </c>
      <c r="R436" s="3" t="n">
        <f aca="false">IF(AND(Q436=1,B436-_xlfn.MINIFS($B$2:$B$2705,$A$2:$A$2705,A436)&lt;10),1,0)</f>
        <v>0</v>
      </c>
      <c r="S436" s="7" t="n">
        <v>0</v>
      </c>
      <c r="T436" s="3" t="n">
        <f aca="false">_xlfn.MINIFS($B$2:$B$2705,$A$2:$A$2705,A436)</f>
        <v>1901</v>
      </c>
      <c r="U436" s="3" t="n">
        <f aca="false">B436-T436</f>
        <v>27</v>
      </c>
      <c r="V436" s="3" t="str">
        <f aca="false">INDEX(Pop_Inputs!$Q$2:$Q$29,MATCH(C436,Pop_Inputs!$A$2:$A$29,0))</f>
        <v>Midwest</v>
      </c>
      <c r="W436" s="30"/>
      <c r="X436" s="3" t="str">
        <f aca="false">IF(W436="","",LN(W436))</f>
        <v/>
      </c>
      <c r="Y436" s="3" t="str">
        <f aca="false">IF(X436="","",X436-AVERAGEIFS($X$2:$X$2705,$B$2:$B$2705,B436))</f>
        <v/>
      </c>
      <c r="Z436" s="21" t="n">
        <f aca="false">P436</f>
        <v>0.615986670294609</v>
      </c>
      <c r="AA436" s="3" t="n">
        <f aca="false">R436</f>
        <v>0</v>
      </c>
      <c r="AB436" s="21" t="n">
        <f aca="false">P436</f>
        <v>0.615986670294609</v>
      </c>
      <c r="AC436" s="3" t="str">
        <f aca="false">Y436</f>
        <v/>
      </c>
      <c r="AD436" s="3" t="n">
        <f aca="false">R436</f>
        <v>0</v>
      </c>
    </row>
    <row r="437" customFormat="false" ht="15" hidden="false" customHeight="true" outlineLevel="0" collapsed="false">
      <c r="A437" s="7" t="s">
        <v>57</v>
      </c>
      <c r="B437" s="7" t="n">
        <v>1928</v>
      </c>
      <c r="C437" s="7" t="s">
        <v>143</v>
      </c>
      <c r="D437" s="7" t="n">
        <v>78</v>
      </c>
      <c r="E437" s="7" t="n">
        <v>74</v>
      </c>
      <c r="F437" s="3" t="n">
        <f aca="false">COUNTIFS($B$2:$B$2705,B437,$C$2:$C$2705,C437)</f>
        <v>1</v>
      </c>
      <c r="G437" s="3" t="n">
        <f aca="false">MIN(INT((MIN(B437,2020)-1900)/10)+1,12)</f>
        <v>3</v>
      </c>
      <c r="H437" s="3" t="n">
        <f aca="false">(MIN(B437,2020)-1900-10*(G437-1))/10</f>
        <v>0.8</v>
      </c>
      <c r="I437" s="20" t="n">
        <f aca="false">EXP(LN(INDEX(Pop_Inputs!$B$2:$N$29,MATCH(C437,Pop_Inputs!$A$2:$A$29,0),G437))*(1-H437)+LN(INDEX(Pop_Inputs!$B$2:$N$29,MATCH(C437,Pop_Inputs!$A$2:$A$29,0),G437+1))*H437)</f>
        <v>440703.835307854</v>
      </c>
      <c r="J437" s="20" t="n">
        <f aca="false">I437/F437</f>
        <v>440703.835307854</v>
      </c>
      <c r="K437" s="21" t="n">
        <f aca="false">D437/(D437+E437)</f>
        <v>0.513157894736842</v>
      </c>
      <c r="L437" s="21" t="n">
        <f aca="false">AVERAGEIFS($K$2:$K$2705,$B$2:$B$2705,B437)</f>
        <v>0.499818856968625</v>
      </c>
      <c r="M437" s="21" t="n">
        <f aca="false">K437-L437</f>
        <v>0.0133390377682174</v>
      </c>
      <c r="N437" s="21" t="n">
        <f aca="false">LN(J437)</f>
        <v>12.9961283535557</v>
      </c>
      <c r="O437" s="21" t="n">
        <f aca="false">AVERAGEIFS($N$2:$N$2705,$B$2:$B$2705,B437)</f>
        <v>13.6786103642718</v>
      </c>
      <c r="P437" s="21" t="n">
        <f aca="false">N437-O437</f>
        <v>-0.682482010716131</v>
      </c>
      <c r="Q437" s="7" t="n">
        <v>0</v>
      </c>
      <c r="R437" s="3" t="n">
        <f aca="false">IF(AND(Q437=1,B437-_xlfn.MINIFS($B$2:$B$2705,$A$2:$A$2705,A437)&lt;10),1,0)</f>
        <v>0</v>
      </c>
      <c r="S437" s="7" t="n">
        <v>0</v>
      </c>
      <c r="T437" s="3" t="n">
        <f aca="false">_xlfn.MINIFS($B$2:$B$2705,$A$2:$A$2705,A437)</f>
        <v>1901</v>
      </c>
      <c r="U437" s="3" t="n">
        <f aca="false">B437-T437</f>
        <v>27</v>
      </c>
      <c r="V437" s="3" t="str">
        <f aca="false">INDEX(Pop_Inputs!$Q$2:$Q$29,MATCH(C437,Pop_Inputs!$A$2:$A$29,0))</f>
        <v>Midwest</v>
      </c>
      <c r="W437" s="30"/>
      <c r="X437" s="3" t="str">
        <f aca="false">IF(W437="","",LN(W437))</f>
        <v/>
      </c>
      <c r="Y437" s="3" t="str">
        <f aca="false">IF(X437="","",X437-AVERAGEIFS($X$2:$X$2705,$B$2:$B$2705,B437))</f>
        <v/>
      </c>
      <c r="Z437" s="21" t="n">
        <f aca="false">P437</f>
        <v>-0.682482010716131</v>
      </c>
      <c r="AA437" s="3" t="n">
        <f aca="false">R437</f>
        <v>0</v>
      </c>
      <c r="AB437" s="21" t="n">
        <f aca="false">P437</f>
        <v>-0.682482010716131</v>
      </c>
      <c r="AC437" s="3" t="str">
        <f aca="false">Y437</f>
        <v/>
      </c>
      <c r="AD437" s="3" t="n">
        <f aca="false">R437</f>
        <v>0</v>
      </c>
    </row>
    <row r="438" customFormat="false" ht="15" hidden="false" customHeight="true" outlineLevel="0" collapsed="false">
      <c r="A438" s="7" t="s">
        <v>66</v>
      </c>
      <c r="B438" s="7" t="n">
        <v>1928</v>
      </c>
      <c r="C438" s="7" t="s">
        <v>151</v>
      </c>
      <c r="D438" s="7" t="n">
        <v>62</v>
      </c>
      <c r="E438" s="7" t="n">
        <v>92</v>
      </c>
      <c r="F438" s="3" t="n">
        <f aca="false">COUNTIFS($B$2:$B$2705,B438,$C$2:$C$2705,C438)</f>
        <v>1</v>
      </c>
      <c r="G438" s="3" t="n">
        <f aca="false">MIN(INT((MIN(B438,2020)-1900)/10)+1,12)</f>
        <v>3</v>
      </c>
      <c r="H438" s="3" t="n">
        <f aca="false">(MIN(B438,2020)-1900-10*(G438-1))/10</f>
        <v>0.8</v>
      </c>
      <c r="I438" s="20" t="n">
        <f aca="false">EXP(LN(INDEX(Pop_Inputs!$B$2:$N$29,MATCH(C438,Pop_Inputs!$A$2:$A$29,0),G438))*(1-H438)+LN(INDEX(Pop_Inputs!$B$2:$N$29,MATCH(C438,Pop_Inputs!$A$2:$A$29,0),G438+1))*H438)</f>
        <v>878686.417854005</v>
      </c>
      <c r="J438" s="20" t="n">
        <f aca="false">I438/F438</f>
        <v>878686.417854005</v>
      </c>
      <c r="K438" s="21" t="n">
        <f aca="false">D438/(D438+E438)</f>
        <v>0.402597402597403</v>
      </c>
      <c r="L438" s="21" t="n">
        <f aca="false">AVERAGEIFS($K$2:$K$2705,$B$2:$B$2705,B438)</f>
        <v>0.499818856968625</v>
      </c>
      <c r="M438" s="21" t="n">
        <f aca="false">K438-L438</f>
        <v>-0.0972214543712222</v>
      </c>
      <c r="N438" s="21" t="n">
        <f aca="false">LN(J438)</f>
        <v>13.6861833642733</v>
      </c>
      <c r="O438" s="21" t="n">
        <f aca="false">AVERAGEIFS($N$2:$N$2705,$B$2:$B$2705,B438)</f>
        <v>13.6786103642718</v>
      </c>
      <c r="P438" s="21" t="n">
        <f aca="false">N438-O438</f>
        <v>0.00757300000152661</v>
      </c>
      <c r="Q438" s="7" t="n">
        <v>0</v>
      </c>
      <c r="R438" s="3" t="n">
        <f aca="false">IF(AND(Q438=1,B438-_xlfn.MINIFS($B$2:$B$2705,$A$2:$A$2705,A438)&lt;10),1,0)</f>
        <v>0</v>
      </c>
      <c r="S438" s="7" t="n">
        <v>0</v>
      </c>
      <c r="T438" s="3" t="n">
        <f aca="false">_xlfn.MINIFS($B$2:$B$2705,$A$2:$A$2705,A438)</f>
        <v>1901</v>
      </c>
      <c r="U438" s="3" t="n">
        <f aca="false">B438-T438</f>
        <v>27</v>
      </c>
      <c r="V438" s="3" t="str">
        <f aca="false">INDEX(Pop_Inputs!$Q$2:$Q$29,MATCH(C438,Pop_Inputs!$A$2:$A$29,0))</f>
        <v>Midwest</v>
      </c>
      <c r="W438" s="30"/>
      <c r="X438" s="3" t="str">
        <f aca="false">IF(W438="","",LN(W438))</f>
        <v/>
      </c>
      <c r="Y438" s="3" t="str">
        <f aca="false">IF(X438="","",X438-AVERAGEIFS($X$2:$X$2705,$B$2:$B$2705,B438))</f>
        <v/>
      </c>
      <c r="Z438" s="21" t="n">
        <f aca="false">P438</f>
        <v>0.00757300000152661</v>
      </c>
      <c r="AA438" s="3" t="n">
        <f aca="false">R438</f>
        <v>0</v>
      </c>
      <c r="AB438" s="21" t="n">
        <f aca="false">P438</f>
        <v>0.00757300000152661</v>
      </c>
      <c r="AC438" s="3" t="str">
        <f aca="false">Y438</f>
        <v/>
      </c>
      <c r="AD438" s="3" t="n">
        <f aca="false">R438</f>
        <v>0</v>
      </c>
    </row>
    <row r="439" customFormat="false" ht="15" hidden="false" customHeight="true" outlineLevel="0" collapsed="false">
      <c r="A439" s="7" t="s">
        <v>67</v>
      </c>
      <c r="B439" s="7" t="n">
        <v>1928</v>
      </c>
      <c r="C439" s="7" t="s">
        <v>152</v>
      </c>
      <c r="D439" s="7" t="n">
        <v>68</v>
      </c>
      <c r="E439" s="7" t="n">
        <v>86</v>
      </c>
      <c r="F439" s="3" t="n">
        <f aca="false">COUNTIFS($B$2:$B$2705,B439,$C$2:$C$2705,C439)</f>
        <v>1</v>
      </c>
      <c r="G439" s="3" t="n">
        <f aca="false">MIN(INT((MIN(B439,2020)-1900)/10)+1,12)</f>
        <v>3</v>
      </c>
      <c r="H439" s="3" t="n">
        <f aca="false">(MIN(B439,2020)-1900-10*(G439-1))/10</f>
        <v>0.8</v>
      </c>
      <c r="I439" s="20" t="n">
        <f aca="false">EXP(LN(INDEX(Pop_Inputs!$B$2:$N$29,MATCH(C439,Pop_Inputs!$A$2:$A$29,0),G439))*(1-H439)+LN(INDEX(Pop_Inputs!$B$2:$N$29,MATCH(C439,Pop_Inputs!$A$2:$A$29,0),G439+1))*H439)</f>
        <v>1431767.94764288</v>
      </c>
      <c r="J439" s="20" t="n">
        <f aca="false">I439/F439</f>
        <v>1431767.94764288</v>
      </c>
      <c r="K439" s="21" t="n">
        <f aca="false">D439/(D439+E439)</f>
        <v>0.441558441558442</v>
      </c>
      <c r="L439" s="21" t="n">
        <f aca="false">AVERAGEIFS($K$2:$K$2705,$B$2:$B$2705,B439)</f>
        <v>0.499818856968625</v>
      </c>
      <c r="M439" s="21" t="n">
        <f aca="false">K439-L439</f>
        <v>-0.0582604154101832</v>
      </c>
      <c r="N439" s="21" t="n">
        <f aca="false">LN(J439)</f>
        <v>14.1744205656362</v>
      </c>
      <c r="O439" s="21" t="n">
        <f aca="false">AVERAGEIFS($N$2:$N$2705,$B$2:$B$2705,B439)</f>
        <v>13.6786103642718</v>
      </c>
      <c r="P439" s="21" t="n">
        <f aca="false">N439-O439</f>
        <v>0.495810201364364</v>
      </c>
      <c r="Q439" s="7" t="n">
        <v>0</v>
      </c>
      <c r="R439" s="3" t="n">
        <f aca="false">IF(AND(Q439=1,B439-_xlfn.MINIFS($B$2:$B$2705,$A$2:$A$2705,A439)&lt;10),1,0)</f>
        <v>0</v>
      </c>
      <c r="S439" s="7" t="n">
        <v>0</v>
      </c>
      <c r="T439" s="3" t="n">
        <f aca="false">_xlfn.MINIFS($B$2:$B$2705,$A$2:$A$2705,A439)</f>
        <v>1901</v>
      </c>
      <c r="U439" s="3" t="n">
        <f aca="false">B439-T439</f>
        <v>27</v>
      </c>
      <c r="V439" s="3" t="str">
        <f aca="false">INDEX(Pop_Inputs!$Q$2:$Q$29,MATCH(C439,Pop_Inputs!$A$2:$A$29,0))</f>
        <v>Midwest</v>
      </c>
      <c r="W439" s="30"/>
      <c r="X439" s="3" t="str">
        <f aca="false">IF(W439="","",LN(W439))</f>
        <v/>
      </c>
      <c r="Y439" s="3" t="str">
        <f aca="false">IF(X439="","",X439-AVERAGEIFS($X$2:$X$2705,$B$2:$B$2705,B439))</f>
        <v/>
      </c>
      <c r="Z439" s="21" t="n">
        <f aca="false">P439</f>
        <v>0.495810201364364</v>
      </c>
      <c r="AA439" s="3" t="n">
        <f aca="false">R439</f>
        <v>0</v>
      </c>
      <c r="AB439" s="21" t="n">
        <f aca="false">P439</f>
        <v>0.495810201364364</v>
      </c>
      <c r="AC439" s="3" t="str">
        <f aca="false">Y439</f>
        <v/>
      </c>
      <c r="AD439" s="3" t="n">
        <f aca="false">R439</f>
        <v>0</v>
      </c>
    </row>
    <row r="440" customFormat="false" ht="15" hidden="false" customHeight="true" outlineLevel="0" collapsed="false">
      <c r="A440" s="7" t="s">
        <v>62</v>
      </c>
      <c r="B440" s="7" t="n">
        <v>1928</v>
      </c>
      <c r="C440" s="7" t="s">
        <v>154</v>
      </c>
      <c r="D440" s="7" t="n">
        <v>77</v>
      </c>
      <c r="E440" s="7" t="n">
        <v>76</v>
      </c>
      <c r="F440" s="3" t="n">
        <f aca="false">COUNTIFS($B$2:$B$2705,B440,$C$2:$C$2705,C440)</f>
        <v>3</v>
      </c>
      <c r="G440" s="3" t="n">
        <f aca="false">MIN(INT((MIN(B440,2020)-1900)/10)+1,12)</f>
        <v>3</v>
      </c>
      <c r="H440" s="3" t="n">
        <f aca="false">(MIN(B440,2020)-1900-10*(G440-1))/10</f>
        <v>0.8</v>
      </c>
      <c r="I440" s="20" t="n">
        <f aca="false">EXP(LN(INDEX(Pop_Inputs!$B$2:$N$29,MATCH(C440,Pop_Inputs!$A$2:$A$29,0),G440))*(1-H440)+LN(INDEX(Pop_Inputs!$B$2:$N$29,MATCH(C440,Pop_Inputs!$A$2:$A$29,0),G440+1))*H440)</f>
        <v>6645948.20275798</v>
      </c>
      <c r="J440" s="20" t="n">
        <f aca="false">I440/F440</f>
        <v>2215316.06758599</v>
      </c>
      <c r="K440" s="21" t="n">
        <f aca="false">D440/(D440+E440)</f>
        <v>0.503267973856209</v>
      </c>
      <c r="L440" s="21" t="n">
        <f aca="false">AVERAGEIFS($K$2:$K$2705,$B$2:$B$2705,B440)</f>
        <v>0.499818856968625</v>
      </c>
      <c r="M440" s="21" t="n">
        <f aca="false">K440-L440</f>
        <v>0.00344911688758437</v>
      </c>
      <c r="N440" s="21" t="n">
        <f aca="false">LN(J440)</f>
        <v>14.6109056454513</v>
      </c>
      <c r="O440" s="21" t="n">
        <f aca="false">AVERAGEIFS($N$2:$N$2705,$B$2:$B$2705,B440)</f>
        <v>13.6786103642718</v>
      </c>
      <c r="P440" s="21" t="n">
        <f aca="false">N440-O440</f>
        <v>0.932295281179483</v>
      </c>
      <c r="Q440" s="7" t="n">
        <v>0</v>
      </c>
      <c r="R440" s="3" t="n">
        <f aca="false">IF(AND(Q440=1,B440-_xlfn.MINIFS($B$2:$B$2705,$A$2:$A$2705,A440)&lt;10),1,0)</f>
        <v>0</v>
      </c>
      <c r="S440" s="7" t="n">
        <v>0</v>
      </c>
      <c r="T440" s="3" t="n">
        <f aca="false">_xlfn.MINIFS($B$2:$B$2705,$A$2:$A$2705,A440)</f>
        <v>1901</v>
      </c>
      <c r="U440" s="3" t="n">
        <f aca="false">B440-T440</f>
        <v>27</v>
      </c>
      <c r="V440" s="3" t="str">
        <f aca="false">INDEX(Pop_Inputs!$Q$2:$Q$29,MATCH(C440,Pop_Inputs!$A$2:$A$29,0))</f>
        <v>Northeast</v>
      </c>
      <c r="W440" s="30"/>
      <c r="X440" s="3" t="str">
        <f aca="false">IF(W440="","",LN(W440))</f>
        <v/>
      </c>
      <c r="Y440" s="3" t="str">
        <f aca="false">IF(X440="","",X440-AVERAGEIFS($X$2:$X$2705,$B$2:$B$2705,B440))</f>
        <v/>
      </c>
      <c r="Z440" s="21" t="n">
        <f aca="false">P440</f>
        <v>0.932295281179483</v>
      </c>
      <c r="AA440" s="3" t="n">
        <f aca="false">R440</f>
        <v>0</v>
      </c>
      <c r="AB440" s="21" t="n">
        <f aca="false">P440</f>
        <v>0.932295281179483</v>
      </c>
      <c r="AC440" s="3" t="str">
        <f aca="false">Y440</f>
        <v/>
      </c>
      <c r="AD440" s="3" t="n">
        <f aca="false">R440</f>
        <v>0</v>
      </c>
    </row>
    <row r="441" customFormat="false" ht="15" hidden="false" customHeight="true" outlineLevel="0" collapsed="false">
      <c r="A441" s="7" t="s">
        <v>68</v>
      </c>
      <c r="B441" s="7" t="n">
        <v>1928</v>
      </c>
      <c r="C441" s="7" t="s">
        <v>160</v>
      </c>
      <c r="D441" s="7" t="n">
        <v>75</v>
      </c>
      <c r="E441" s="7" t="n">
        <v>79</v>
      </c>
      <c r="F441" s="3" t="n">
        <f aca="false">COUNTIFS($B$2:$B$2705,B441,$C$2:$C$2705,C441)</f>
        <v>1</v>
      </c>
      <c r="G441" s="3" t="n">
        <f aca="false">MIN(INT((MIN(B441,2020)-1900)/10)+1,12)</f>
        <v>3</v>
      </c>
      <c r="H441" s="3" t="n">
        <f aca="false">(MIN(B441,2020)-1900-10*(G441-1))/10</f>
        <v>0.8</v>
      </c>
      <c r="I441" s="20" t="n">
        <f aca="false">EXP(LN(INDEX(Pop_Inputs!$B$2:$N$29,MATCH(C441,Pop_Inputs!$A$2:$A$29,0),G441))*(1-H441)+LN(INDEX(Pop_Inputs!$B$2:$N$29,MATCH(C441,Pop_Inputs!$A$2:$A$29,0),G441+1))*H441)</f>
        <v>476583.941448161</v>
      </c>
      <c r="J441" s="20" t="n">
        <f aca="false">I441/F441</f>
        <v>476583.941448161</v>
      </c>
      <c r="K441" s="21" t="n">
        <f aca="false">D441/(D441+E441)</f>
        <v>0.487012987012987</v>
      </c>
      <c r="L441" s="21" t="n">
        <f aca="false">AVERAGEIFS($K$2:$K$2705,$B$2:$B$2705,B441)</f>
        <v>0.499818856968625</v>
      </c>
      <c r="M441" s="21" t="n">
        <f aca="false">K441-L441</f>
        <v>-0.0128058699556378</v>
      </c>
      <c r="N441" s="21" t="n">
        <f aca="false">LN(J441)</f>
        <v>13.0743991490971</v>
      </c>
      <c r="O441" s="21" t="n">
        <f aca="false">AVERAGEIFS($N$2:$N$2705,$B$2:$B$2705,B441)</f>
        <v>13.6786103642718</v>
      </c>
      <c r="P441" s="21" t="n">
        <f aca="false">N441-O441</f>
        <v>-0.604211215174708</v>
      </c>
      <c r="Q441" s="7" t="n">
        <v>0</v>
      </c>
      <c r="R441" s="3" t="n">
        <f aca="false">IF(AND(Q441=1,B441-_xlfn.MINIFS($B$2:$B$2705,$A$2:$A$2705,A441)&lt;10),1,0)</f>
        <v>0</v>
      </c>
      <c r="S441" s="7" t="n">
        <v>0</v>
      </c>
      <c r="T441" s="3" t="n">
        <f aca="false">_xlfn.MINIFS($B$2:$B$2705,$A$2:$A$2705,A441)</f>
        <v>1901</v>
      </c>
      <c r="U441" s="3" t="n">
        <f aca="false">B441-T441</f>
        <v>27</v>
      </c>
      <c r="V441" s="3" t="str">
        <f aca="false">INDEX(Pop_Inputs!$Q$2:$Q$29,MATCH(C441,Pop_Inputs!$A$2:$A$29,0))</f>
        <v>South</v>
      </c>
      <c r="W441" s="30"/>
      <c r="X441" s="3" t="str">
        <f aca="false">IF(W441="","",LN(W441))</f>
        <v/>
      </c>
      <c r="Y441" s="3" t="str">
        <f aca="false">IF(X441="","",X441-AVERAGEIFS($X$2:$X$2705,$B$2:$B$2705,B441))</f>
        <v/>
      </c>
      <c r="Z441" s="21" t="n">
        <f aca="false">P441</f>
        <v>-0.604211215174708</v>
      </c>
      <c r="AA441" s="3" t="n">
        <f aca="false">R441</f>
        <v>0</v>
      </c>
      <c r="AB441" s="21" t="n">
        <f aca="false">P441</f>
        <v>-0.604211215174708</v>
      </c>
      <c r="AC441" s="3" t="str">
        <f aca="false">Y441</f>
        <v/>
      </c>
      <c r="AD441" s="3" t="n">
        <f aca="false">R441</f>
        <v>0</v>
      </c>
    </row>
    <row r="442" customFormat="false" ht="15" hidden="false" customHeight="true" outlineLevel="0" collapsed="false">
      <c r="A442" s="7" t="s">
        <v>70</v>
      </c>
      <c r="B442" s="7" t="n">
        <v>1928</v>
      </c>
      <c r="C442" s="7" t="s">
        <v>154</v>
      </c>
      <c r="D442" s="7" t="n">
        <v>101</v>
      </c>
      <c r="E442" s="7" t="n">
        <v>53</v>
      </c>
      <c r="F442" s="3" t="n">
        <f aca="false">COUNTIFS($B$2:$B$2705,B442,$C$2:$C$2705,C442)</f>
        <v>3</v>
      </c>
      <c r="G442" s="3" t="n">
        <f aca="false">MIN(INT((MIN(B442,2020)-1900)/10)+1,12)</f>
        <v>3</v>
      </c>
      <c r="H442" s="3" t="n">
        <f aca="false">(MIN(B442,2020)-1900-10*(G442-1))/10</f>
        <v>0.8</v>
      </c>
      <c r="I442" s="20" t="n">
        <f aca="false">EXP(LN(INDEX(Pop_Inputs!$B$2:$N$29,MATCH(C442,Pop_Inputs!$A$2:$A$29,0),G442))*(1-H442)+LN(INDEX(Pop_Inputs!$B$2:$N$29,MATCH(C442,Pop_Inputs!$A$2:$A$29,0),G442+1))*H442)</f>
        <v>6645948.20275798</v>
      </c>
      <c r="J442" s="20" t="n">
        <f aca="false">I442/F442</f>
        <v>2215316.06758599</v>
      </c>
      <c r="K442" s="21" t="n">
        <f aca="false">D442/(D442+E442)</f>
        <v>0.655844155844156</v>
      </c>
      <c r="L442" s="21" t="n">
        <f aca="false">AVERAGEIFS($K$2:$K$2705,$B$2:$B$2705,B442)</f>
        <v>0.499818856968625</v>
      </c>
      <c r="M442" s="21" t="n">
        <f aca="false">K442-L442</f>
        <v>0.156025298875531</v>
      </c>
      <c r="N442" s="21" t="n">
        <f aca="false">LN(J442)</f>
        <v>14.6109056454513</v>
      </c>
      <c r="O442" s="21" t="n">
        <f aca="false">AVERAGEIFS($N$2:$N$2705,$B$2:$B$2705,B442)</f>
        <v>13.6786103642718</v>
      </c>
      <c r="P442" s="21" t="n">
        <f aca="false">N442-O442</f>
        <v>0.932295281179483</v>
      </c>
      <c r="Q442" s="7" t="n">
        <v>0</v>
      </c>
      <c r="R442" s="3" t="n">
        <f aca="false">IF(AND(Q442=1,B442-_xlfn.MINIFS($B$2:$B$2705,$A$2:$A$2705,A442)&lt;10),1,0)</f>
        <v>0</v>
      </c>
      <c r="S442" s="7" t="n">
        <v>1</v>
      </c>
      <c r="T442" s="3" t="n">
        <f aca="false">_xlfn.MINIFS($B$2:$B$2705,$A$2:$A$2705,A442)</f>
        <v>1903</v>
      </c>
      <c r="U442" s="3" t="n">
        <f aca="false">B442-T442</f>
        <v>25</v>
      </c>
      <c r="V442" s="3" t="str">
        <f aca="false">INDEX(Pop_Inputs!$Q$2:$Q$29,MATCH(C442,Pop_Inputs!$A$2:$A$29,0))</f>
        <v>Northeast</v>
      </c>
      <c r="W442" s="30"/>
      <c r="X442" s="3" t="str">
        <f aca="false">IF(W442="","",LN(W442))</f>
        <v/>
      </c>
      <c r="Y442" s="3" t="str">
        <f aca="false">IF(X442="","",X442-AVERAGEIFS($X$2:$X$2705,$B$2:$B$2705,B442))</f>
        <v/>
      </c>
      <c r="Z442" s="21" t="n">
        <f aca="false">P442</f>
        <v>0.932295281179483</v>
      </c>
      <c r="AA442" s="3" t="n">
        <f aca="false">R442</f>
        <v>0</v>
      </c>
      <c r="AB442" s="21" t="n">
        <f aca="false">P442</f>
        <v>0.932295281179483</v>
      </c>
      <c r="AC442" s="3" t="str">
        <f aca="false">Y442</f>
        <v/>
      </c>
      <c r="AD442" s="3" t="n">
        <f aca="false">R442</f>
        <v>0</v>
      </c>
    </row>
    <row r="443" customFormat="false" ht="15" hidden="false" customHeight="true" outlineLevel="0" collapsed="false">
      <c r="A443" s="7" t="s">
        <v>69</v>
      </c>
      <c r="B443" s="7" t="n">
        <v>1928</v>
      </c>
      <c r="C443" s="7" t="s">
        <v>146</v>
      </c>
      <c r="D443" s="7" t="n">
        <v>98</v>
      </c>
      <c r="E443" s="7" t="n">
        <v>55</v>
      </c>
      <c r="F443" s="3" t="n">
        <f aca="false">COUNTIFS($B$2:$B$2705,B443,$C$2:$C$2705,C443)</f>
        <v>2</v>
      </c>
      <c r="G443" s="3" t="n">
        <f aca="false">MIN(INT((MIN(B443,2020)-1900)/10)+1,12)</f>
        <v>3</v>
      </c>
      <c r="H443" s="3" t="n">
        <f aca="false">(MIN(B443,2020)-1900-10*(G443-1))/10</f>
        <v>0.8</v>
      </c>
      <c r="I443" s="20" t="n">
        <f aca="false">EXP(LN(INDEX(Pop_Inputs!$B$2:$N$29,MATCH(C443,Pop_Inputs!$A$2:$A$29,0),G443))*(1-H443)+LN(INDEX(Pop_Inputs!$B$2:$N$29,MATCH(C443,Pop_Inputs!$A$2:$A$29,0),G443+1))*H443)</f>
        <v>1924834.13763494</v>
      </c>
      <c r="J443" s="20" t="n">
        <f aca="false">I443/F443</f>
        <v>962417.068817472</v>
      </c>
      <c r="K443" s="21" t="n">
        <f aca="false">D443/(D443+E443)</f>
        <v>0.640522875816993</v>
      </c>
      <c r="L443" s="21" t="n">
        <f aca="false">AVERAGEIFS($K$2:$K$2705,$B$2:$B$2705,B443)</f>
        <v>0.499818856968625</v>
      </c>
      <c r="M443" s="21" t="n">
        <f aca="false">K443-L443</f>
        <v>0.140704018848369</v>
      </c>
      <c r="N443" s="21" t="n">
        <f aca="false">LN(J443)</f>
        <v>13.7772031791643</v>
      </c>
      <c r="O443" s="21" t="n">
        <f aca="false">AVERAGEIFS($N$2:$N$2705,$B$2:$B$2705,B443)</f>
        <v>13.6786103642718</v>
      </c>
      <c r="P443" s="21" t="n">
        <f aca="false">N443-O443</f>
        <v>0.0985928148925392</v>
      </c>
      <c r="Q443" s="7" t="n">
        <v>0</v>
      </c>
      <c r="R443" s="3" t="n">
        <f aca="false">IF(AND(Q443=1,B443-_xlfn.MINIFS($B$2:$B$2705,$A$2:$A$2705,A443)&lt;10),1,0)</f>
        <v>0</v>
      </c>
      <c r="S443" s="7" t="n">
        <v>0</v>
      </c>
      <c r="T443" s="3" t="n">
        <f aca="false">_xlfn.MINIFS($B$2:$B$2705,$A$2:$A$2705,A443)</f>
        <v>1901</v>
      </c>
      <c r="U443" s="3" t="n">
        <f aca="false">B443-T443</f>
        <v>27</v>
      </c>
      <c r="V443" s="3" t="str">
        <f aca="false">INDEX(Pop_Inputs!$Q$2:$Q$29,MATCH(C443,Pop_Inputs!$A$2:$A$29,0))</f>
        <v>Northeast</v>
      </c>
      <c r="W443" s="30"/>
      <c r="X443" s="3" t="str">
        <f aca="false">IF(W443="","",LN(W443))</f>
        <v/>
      </c>
      <c r="Y443" s="3" t="str">
        <f aca="false">IF(X443="","",X443-AVERAGEIFS($X$2:$X$2705,$B$2:$B$2705,B443))</f>
        <v/>
      </c>
      <c r="Z443" s="21" t="n">
        <f aca="false">P443</f>
        <v>0.0985928148925392</v>
      </c>
      <c r="AA443" s="3" t="n">
        <f aca="false">R443</f>
        <v>0</v>
      </c>
      <c r="AB443" s="21" t="n">
        <f aca="false">P443</f>
        <v>0.0985928148925392</v>
      </c>
      <c r="AC443" s="3" t="str">
        <f aca="false">Y443</f>
        <v/>
      </c>
      <c r="AD443" s="3" t="n">
        <f aca="false">R443</f>
        <v>0</v>
      </c>
    </row>
    <row r="444" customFormat="false" ht="15" hidden="false" customHeight="true" outlineLevel="0" collapsed="false">
      <c r="A444" s="7" t="s">
        <v>60</v>
      </c>
      <c r="B444" s="7" t="n">
        <v>1928</v>
      </c>
      <c r="C444" s="7" t="s">
        <v>146</v>
      </c>
      <c r="D444" s="7" t="n">
        <v>43</v>
      </c>
      <c r="E444" s="7" t="n">
        <v>109</v>
      </c>
      <c r="F444" s="3" t="n">
        <f aca="false">COUNTIFS($B$2:$B$2705,B444,$C$2:$C$2705,C444)</f>
        <v>2</v>
      </c>
      <c r="G444" s="3" t="n">
        <f aca="false">MIN(INT((MIN(B444,2020)-1900)/10)+1,12)</f>
        <v>3</v>
      </c>
      <c r="H444" s="3" t="n">
        <f aca="false">(MIN(B444,2020)-1900-10*(G444-1))/10</f>
        <v>0.8</v>
      </c>
      <c r="I444" s="20" t="n">
        <f aca="false">EXP(LN(INDEX(Pop_Inputs!$B$2:$N$29,MATCH(C444,Pop_Inputs!$A$2:$A$29,0),G444))*(1-H444)+LN(INDEX(Pop_Inputs!$B$2:$N$29,MATCH(C444,Pop_Inputs!$A$2:$A$29,0),G444+1))*H444)</f>
        <v>1924834.13763494</v>
      </c>
      <c r="J444" s="20" t="n">
        <f aca="false">I444/F444</f>
        <v>962417.068817472</v>
      </c>
      <c r="K444" s="21" t="n">
        <f aca="false">D444/(D444+E444)</f>
        <v>0.282894736842105</v>
      </c>
      <c r="L444" s="21" t="n">
        <f aca="false">AVERAGEIFS($K$2:$K$2705,$B$2:$B$2705,B444)</f>
        <v>0.499818856968625</v>
      </c>
      <c r="M444" s="21" t="n">
        <f aca="false">K444-L444</f>
        <v>-0.21692412012652</v>
      </c>
      <c r="N444" s="21" t="n">
        <f aca="false">LN(J444)</f>
        <v>13.7772031791643</v>
      </c>
      <c r="O444" s="21" t="n">
        <f aca="false">AVERAGEIFS($N$2:$N$2705,$B$2:$B$2705,B444)</f>
        <v>13.6786103642718</v>
      </c>
      <c r="P444" s="21" t="n">
        <f aca="false">N444-O444</f>
        <v>0.0985928148925392</v>
      </c>
      <c r="Q444" s="7" t="n">
        <v>0</v>
      </c>
      <c r="R444" s="3" t="n">
        <f aca="false">IF(AND(Q444=1,B444-_xlfn.MINIFS($B$2:$B$2705,$A$2:$A$2705,A444)&lt;10),1,0)</f>
        <v>0</v>
      </c>
      <c r="S444" s="7" t="n">
        <v>0</v>
      </c>
      <c r="T444" s="3" t="n">
        <f aca="false">_xlfn.MINIFS($B$2:$B$2705,$A$2:$A$2705,A444)</f>
        <v>1901</v>
      </c>
      <c r="U444" s="3" t="n">
        <f aca="false">B444-T444</f>
        <v>27</v>
      </c>
      <c r="V444" s="3" t="str">
        <f aca="false">INDEX(Pop_Inputs!$Q$2:$Q$29,MATCH(C444,Pop_Inputs!$A$2:$A$29,0))</f>
        <v>Northeast</v>
      </c>
      <c r="W444" s="30"/>
      <c r="X444" s="3" t="str">
        <f aca="false">IF(W444="","",LN(W444))</f>
        <v/>
      </c>
      <c r="Y444" s="3" t="str">
        <f aca="false">IF(X444="","",X444-AVERAGEIFS($X$2:$X$2705,$B$2:$B$2705,B444))</f>
        <v/>
      </c>
      <c r="Z444" s="21" t="n">
        <f aca="false">P444</f>
        <v>0.0985928148925392</v>
      </c>
      <c r="AA444" s="3" t="n">
        <f aca="false">R444</f>
        <v>0</v>
      </c>
      <c r="AB444" s="21" t="n">
        <f aca="false">P444</f>
        <v>0.0985928148925392</v>
      </c>
      <c r="AC444" s="3" t="str">
        <f aca="false">Y444</f>
        <v/>
      </c>
      <c r="AD444" s="3" t="n">
        <f aca="false">R444</f>
        <v>0</v>
      </c>
    </row>
    <row r="445" customFormat="false" ht="15" hidden="false" customHeight="true" outlineLevel="0" collapsed="false">
      <c r="A445" s="7" t="s">
        <v>58</v>
      </c>
      <c r="B445" s="7" t="n">
        <v>1928</v>
      </c>
      <c r="C445" s="7" t="s">
        <v>144</v>
      </c>
      <c r="D445" s="7" t="n">
        <v>85</v>
      </c>
      <c r="E445" s="7" t="n">
        <v>67</v>
      </c>
      <c r="F445" s="3" t="n">
        <f aca="false">COUNTIFS($B$2:$B$2705,B445,$C$2:$C$2705,C445)</f>
        <v>1</v>
      </c>
      <c r="G445" s="3" t="n">
        <f aca="false">MIN(INT((MIN(B445,2020)-1900)/10)+1,12)</f>
        <v>3</v>
      </c>
      <c r="H445" s="3" t="n">
        <f aca="false">(MIN(B445,2020)-1900-10*(G445-1))/10</f>
        <v>0.8</v>
      </c>
      <c r="I445" s="20" t="n">
        <f aca="false">EXP(LN(INDEX(Pop_Inputs!$B$2:$N$29,MATCH(C445,Pop_Inputs!$A$2:$A$29,0),G445))*(1-H445)+LN(INDEX(Pop_Inputs!$B$2:$N$29,MATCH(C445,Pop_Inputs!$A$2:$A$29,0),G445+1))*H445)</f>
        <v>652666.092586828</v>
      </c>
      <c r="J445" s="20" t="n">
        <f aca="false">I445/F445</f>
        <v>652666.092586828</v>
      </c>
      <c r="K445" s="21" t="n">
        <f aca="false">D445/(D445+E445)</f>
        <v>0.55921052631579</v>
      </c>
      <c r="L445" s="21" t="n">
        <f aca="false">AVERAGEIFS($K$2:$K$2705,$B$2:$B$2705,B445)</f>
        <v>0.499818856968625</v>
      </c>
      <c r="M445" s="21" t="n">
        <f aca="false">K445-L445</f>
        <v>0.0593916693471647</v>
      </c>
      <c r="N445" s="21" t="n">
        <f aca="false">LN(J445)</f>
        <v>13.3888209338129</v>
      </c>
      <c r="O445" s="21" t="n">
        <f aca="false">AVERAGEIFS($N$2:$N$2705,$B$2:$B$2705,B445)</f>
        <v>13.6786103642718</v>
      </c>
      <c r="P445" s="21" t="n">
        <f aca="false">N445-O445</f>
        <v>-0.289789430458871</v>
      </c>
      <c r="Q445" s="7" t="n">
        <v>0</v>
      </c>
      <c r="R445" s="3" t="n">
        <f aca="false">IF(AND(Q445=1,B445-_xlfn.MINIFS($B$2:$B$2705,$A$2:$A$2705,A445)&lt;10),1,0)</f>
        <v>0</v>
      </c>
      <c r="S445" s="7" t="n">
        <v>0</v>
      </c>
      <c r="T445" s="3" t="n">
        <f aca="false">_xlfn.MINIFS($B$2:$B$2705,$A$2:$A$2705,A445)</f>
        <v>1901</v>
      </c>
      <c r="U445" s="3" t="n">
        <f aca="false">B445-T445</f>
        <v>27</v>
      </c>
      <c r="V445" s="3" t="str">
        <f aca="false">INDEX(Pop_Inputs!$Q$2:$Q$29,MATCH(C445,Pop_Inputs!$A$2:$A$29,0))</f>
        <v>Northeast</v>
      </c>
      <c r="W445" s="30"/>
      <c r="X445" s="3" t="str">
        <f aca="false">IF(W445="","",LN(W445))</f>
        <v/>
      </c>
      <c r="Y445" s="3" t="str">
        <f aca="false">IF(X445="","",X445-AVERAGEIFS($X$2:$X$2705,$B$2:$B$2705,B445))</f>
        <v/>
      </c>
      <c r="Z445" s="21" t="n">
        <f aca="false">P445</f>
        <v>-0.289789430458871</v>
      </c>
      <c r="AA445" s="3" t="n">
        <f aca="false">R445</f>
        <v>0</v>
      </c>
      <c r="AB445" s="21" t="n">
        <f aca="false">P445</f>
        <v>-0.289789430458871</v>
      </c>
      <c r="AC445" s="3" t="str">
        <f aca="false">Y445</f>
        <v/>
      </c>
      <c r="AD445" s="3" t="n">
        <f aca="false">R445</f>
        <v>0</v>
      </c>
    </row>
    <row r="446" customFormat="false" ht="15" hidden="false" customHeight="true" outlineLevel="0" collapsed="false">
      <c r="A446" s="7" t="s">
        <v>61</v>
      </c>
      <c r="B446" s="7" t="n">
        <v>1928</v>
      </c>
      <c r="C446" s="7" t="s">
        <v>154</v>
      </c>
      <c r="D446" s="7" t="n">
        <v>93</v>
      </c>
      <c r="E446" s="7" t="n">
        <v>61</v>
      </c>
      <c r="F446" s="3" t="n">
        <f aca="false">COUNTIFS($B$2:$B$2705,B446,$C$2:$C$2705,C446)</f>
        <v>3</v>
      </c>
      <c r="G446" s="3" t="n">
        <f aca="false">MIN(INT((MIN(B446,2020)-1900)/10)+1,12)</f>
        <v>3</v>
      </c>
      <c r="H446" s="3" t="n">
        <f aca="false">(MIN(B446,2020)-1900-10*(G446-1))/10</f>
        <v>0.8</v>
      </c>
      <c r="I446" s="20" t="n">
        <f aca="false">EXP(LN(INDEX(Pop_Inputs!$B$2:$N$29,MATCH(C446,Pop_Inputs!$A$2:$A$29,0),G446))*(1-H446)+LN(INDEX(Pop_Inputs!$B$2:$N$29,MATCH(C446,Pop_Inputs!$A$2:$A$29,0),G446+1))*H446)</f>
        <v>6645948.20275798</v>
      </c>
      <c r="J446" s="20" t="n">
        <f aca="false">I446/F446</f>
        <v>2215316.06758599</v>
      </c>
      <c r="K446" s="21" t="n">
        <f aca="false">D446/(D446+E446)</f>
        <v>0.603896103896104</v>
      </c>
      <c r="L446" s="21" t="n">
        <f aca="false">AVERAGEIFS($K$2:$K$2705,$B$2:$B$2705,B446)</f>
        <v>0.499818856968625</v>
      </c>
      <c r="M446" s="21" t="n">
        <f aca="false">K446-L446</f>
        <v>0.104077246927479</v>
      </c>
      <c r="N446" s="21" t="n">
        <f aca="false">LN(J446)</f>
        <v>14.6109056454513</v>
      </c>
      <c r="O446" s="21" t="n">
        <f aca="false">AVERAGEIFS($N$2:$N$2705,$B$2:$B$2705,B446)</f>
        <v>13.6786103642718</v>
      </c>
      <c r="P446" s="21" t="n">
        <f aca="false">N446-O446</f>
        <v>0.932295281179483</v>
      </c>
      <c r="Q446" s="7" t="n">
        <v>0</v>
      </c>
      <c r="R446" s="3" t="n">
        <f aca="false">IF(AND(Q446=1,B446-_xlfn.MINIFS($B$2:$B$2705,$A$2:$A$2705,A446)&lt;10),1,0)</f>
        <v>0</v>
      </c>
      <c r="S446" s="7" t="n">
        <v>0</v>
      </c>
      <c r="T446" s="3" t="n">
        <f aca="false">_xlfn.MINIFS($B$2:$B$2705,$A$2:$A$2705,A446)</f>
        <v>1901</v>
      </c>
      <c r="U446" s="3" t="n">
        <f aca="false">B446-T446</f>
        <v>27</v>
      </c>
      <c r="V446" s="3" t="str">
        <f aca="false">INDEX(Pop_Inputs!$Q$2:$Q$29,MATCH(C446,Pop_Inputs!$A$2:$A$29,0))</f>
        <v>Northeast</v>
      </c>
      <c r="W446" s="30"/>
      <c r="X446" s="3" t="str">
        <f aca="false">IF(W446="","",LN(W446))</f>
        <v/>
      </c>
      <c r="Y446" s="3" t="str">
        <f aca="false">IF(X446="","",X446-AVERAGEIFS($X$2:$X$2705,$B$2:$B$2705,B446))</f>
        <v/>
      </c>
      <c r="Z446" s="21" t="n">
        <f aca="false">P446</f>
        <v>0.932295281179483</v>
      </c>
      <c r="AA446" s="3" t="n">
        <f aca="false">R446</f>
        <v>0</v>
      </c>
      <c r="AB446" s="21" t="n">
        <f aca="false">P446</f>
        <v>0.932295281179483</v>
      </c>
      <c r="AC446" s="3" t="str">
        <f aca="false">Y446</f>
        <v/>
      </c>
      <c r="AD446" s="3" t="n">
        <f aca="false">R446</f>
        <v>0</v>
      </c>
    </row>
    <row r="447" customFormat="false" ht="15" hidden="false" customHeight="true" outlineLevel="0" collapsed="false">
      <c r="A447" s="7" t="s">
        <v>59</v>
      </c>
      <c r="B447" s="7" t="n">
        <v>1928</v>
      </c>
      <c r="C447" s="7" t="s">
        <v>145</v>
      </c>
      <c r="D447" s="7" t="n">
        <v>95</v>
      </c>
      <c r="E447" s="7" t="n">
        <v>59</v>
      </c>
      <c r="F447" s="3" t="n">
        <f aca="false">COUNTIFS($B$2:$B$2705,B447,$C$2:$C$2705,C447)</f>
        <v>2</v>
      </c>
      <c r="G447" s="3" t="n">
        <f aca="false">MIN(INT((MIN(B447,2020)-1900)/10)+1,12)</f>
        <v>3</v>
      </c>
      <c r="H447" s="3" t="n">
        <f aca="false">(MIN(B447,2020)-1900-10*(G447-1))/10</f>
        <v>0.8</v>
      </c>
      <c r="I447" s="20" t="n">
        <f aca="false">EXP(LN(INDEX(Pop_Inputs!$B$2:$N$29,MATCH(C447,Pop_Inputs!$A$2:$A$29,0),G447))*(1-H447)+LN(INDEX(Pop_Inputs!$B$2:$N$29,MATCH(C447,Pop_Inputs!$A$2:$A$29,0),G447+1))*H447)</f>
        <v>811904.35529735</v>
      </c>
      <c r="J447" s="20" t="n">
        <f aca="false">I447/F447</f>
        <v>405952.177648675</v>
      </c>
      <c r="K447" s="21" t="n">
        <f aca="false">D447/(D447+E447)</f>
        <v>0.616883116883117</v>
      </c>
      <c r="L447" s="21" t="n">
        <f aca="false">AVERAGEIFS($K$2:$K$2705,$B$2:$B$2705,B447)</f>
        <v>0.499818856968625</v>
      </c>
      <c r="M447" s="21" t="n">
        <f aca="false">K447-L447</f>
        <v>0.117064259914492</v>
      </c>
      <c r="N447" s="21" t="n">
        <f aca="false">LN(J447)</f>
        <v>12.9139906426035</v>
      </c>
      <c r="O447" s="21" t="n">
        <f aca="false">AVERAGEIFS($N$2:$N$2705,$B$2:$B$2705,B447)</f>
        <v>13.6786103642718</v>
      </c>
      <c r="P447" s="21" t="n">
        <f aca="false">N447-O447</f>
        <v>-0.764619721668272</v>
      </c>
      <c r="Q447" s="7" t="n">
        <v>0</v>
      </c>
      <c r="R447" s="3" t="n">
        <f aca="false">IF(AND(Q447=1,B447-_xlfn.MINIFS($B$2:$B$2705,$A$2:$A$2705,A447)&lt;10),1,0)</f>
        <v>0</v>
      </c>
      <c r="S447" s="7" t="n">
        <v>0</v>
      </c>
      <c r="T447" s="3" t="n">
        <f aca="false">_xlfn.MINIFS($B$2:$B$2705,$A$2:$A$2705,A447)</f>
        <v>1901</v>
      </c>
      <c r="U447" s="3" t="n">
        <f aca="false">B447-T447</f>
        <v>27</v>
      </c>
      <c r="V447" s="3" t="str">
        <f aca="false">INDEX(Pop_Inputs!$Q$2:$Q$29,MATCH(C447,Pop_Inputs!$A$2:$A$29,0))</f>
        <v>Midwest</v>
      </c>
      <c r="W447" s="30"/>
      <c r="X447" s="3" t="str">
        <f aca="false">IF(W447="","",LN(W447))</f>
        <v/>
      </c>
      <c r="Y447" s="3" t="str">
        <f aca="false">IF(X447="","",X447-AVERAGEIFS($X$2:$X$2705,$B$2:$B$2705,B447))</f>
        <v/>
      </c>
      <c r="Z447" s="21" t="n">
        <f aca="false">P447</f>
        <v>-0.764619721668272</v>
      </c>
      <c r="AA447" s="3" t="n">
        <f aca="false">R447</f>
        <v>0</v>
      </c>
      <c r="AB447" s="21" t="n">
        <f aca="false">P447</f>
        <v>-0.764619721668272</v>
      </c>
      <c r="AC447" s="3" t="str">
        <f aca="false">Y447</f>
        <v/>
      </c>
      <c r="AD447" s="3" t="n">
        <f aca="false">R447</f>
        <v>0</v>
      </c>
    </row>
    <row r="448" customFormat="false" ht="15" hidden="false" customHeight="true" outlineLevel="0" collapsed="false">
      <c r="A448" s="7" t="s">
        <v>54</v>
      </c>
      <c r="B448" s="7" t="n">
        <v>1929</v>
      </c>
      <c r="C448" s="7" t="s">
        <v>150</v>
      </c>
      <c r="D448" s="7" t="n">
        <v>56</v>
      </c>
      <c r="E448" s="7" t="n">
        <v>98</v>
      </c>
      <c r="F448" s="3" t="n">
        <f aca="false">COUNTIFS($B$2:$B$2705,B448,$C$2:$C$2705,C448)</f>
        <v>2</v>
      </c>
      <c r="G448" s="3" t="n">
        <f aca="false">MIN(INT((MIN(B448,2020)-1900)/10)+1,12)</f>
        <v>3</v>
      </c>
      <c r="H448" s="3" t="n">
        <f aca="false">(MIN(B448,2020)-1900-10*(G448-1))/10</f>
        <v>0.9</v>
      </c>
      <c r="I448" s="20" t="n">
        <f aca="false">EXP(LN(INDEX(Pop_Inputs!$B$2:$N$29,MATCH(C448,Pop_Inputs!$A$2:$A$29,0),G448))*(1-H448)+LN(INDEX(Pop_Inputs!$B$2:$N$29,MATCH(C448,Pop_Inputs!$A$2:$A$29,0),G448+1))*H448)</f>
        <v>777810.229114003</v>
      </c>
      <c r="J448" s="20" t="n">
        <f aca="false">I448/F448</f>
        <v>388905.114557002</v>
      </c>
      <c r="K448" s="21" t="n">
        <f aca="false">D448/(D448+E448)</f>
        <v>0.363636363636364</v>
      </c>
      <c r="L448" s="21" t="n">
        <f aca="false">AVERAGEIFS($K$2:$K$2705,$B$2:$B$2705,B448)</f>
        <v>0.500434463668438</v>
      </c>
      <c r="M448" s="21" t="n">
        <f aca="false">K448-L448</f>
        <v>-0.136798100032074</v>
      </c>
      <c r="N448" s="21" t="n">
        <f aca="false">LN(J448)</f>
        <v>12.8710906713996</v>
      </c>
      <c r="O448" s="21" t="n">
        <f aca="false">AVERAGEIFS($N$2:$N$2705,$B$2:$B$2705,B448)</f>
        <v>13.6933083949928</v>
      </c>
      <c r="P448" s="21" t="n">
        <f aca="false">N448-O448</f>
        <v>-0.822217723593161</v>
      </c>
      <c r="Q448" s="7" t="n">
        <v>0</v>
      </c>
      <c r="R448" s="3" t="n">
        <f aca="false">IF(AND(Q448=1,B448-_xlfn.MINIFS($B$2:$B$2705,$A$2:$A$2705,A448)&lt;10),1,0)</f>
        <v>0</v>
      </c>
      <c r="S448" s="7" t="n">
        <v>0</v>
      </c>
      <c r="T448" s="3" t="n">
        <f aca="false">_xlfn.MINIFS($B$2:$B$2705,$A$2:$A$2705,A448)</f>
        <v>1901</v>
      </c>
      <c r="U448" s="3" t="n">
        <f aca="false">B448-T448</f>
        <v>28</v>
      </c>
      <c r="V448" s="3" t="str">
        <f aca="false">INDEX(Pop_Inputs!$Q$2:$Q$29,MATCH(C448,Pop_Inputs!$A$2:$A$29,0))</f>
        <v>Northeast</v>
      </c>
      <c r="W448" s="30"/>
      <c r="X448" s="3" t="str">
        <f aca="false">IF(W448="","",LN(W448))</f>
        <v/>
      </c>
      <c r="Y448" s="3" t="str">
        <f aca="false">IF(X448="","",X448-AVERAGEIFS($X$2:$X$2705,$B$2:$B$2705,B448))</f>
        <v/>
      </c>
      <c r="Z448" s="21" t="n">
        <f aca="false">P448</f>
        <v>-0.822217723593161</v>
      </c>
      <c r="AA448" s="3" t="n">
        <f aca="false">R448</f>
        <v>0</v>
      </c>
      <c r="AB448" s="21" t="n">
        <f aca="false">P448</f>
        <v>-0.822217723593161</v>
      </c>
      <c r="AC448" s="3" t="str">
        <f aca="false">Y448</f>
        <v/>
      </c>
      <c r="AD448" s="3" t="n">
        <f aca="false">R448</f>
        <v>0</v>
      </c>
    </row>
    <row r="449" customFormat="false" ht="15" hidden="false" customHeight="true" outlineLevel="0" collapsed="false">
      <c r="A449" s="7" t="s">
        <v>63</v>
      </c>
      <c r="B449" s="7" t="n">
        <v>1929</v>
      </c>
      <c r="C449" s="7" t="s">
        <v>145</v>
      </c>
      <c r="D449" s="7" t="n">
        <v>79</v>
      </c>
      <c r="E449" s="7" t="n">
        <v>73</v>
      </c>
      <c r="F449" s="3" t="n">
        <f aca="false">COUNTIFS($B$2:$B$2705,B449,$C$2:$C$2705,C449)</f>
        <v>2</v>
      </c>
      <c r="G449" s="3" t="n">
        <f aca="false">MIN(INT((MIN(B449,2020)-1900)/10)+1,12)</f>
        <v>3</v>
      </c>
      <c r="H449" s="3" t="n">
        <f aca="false">(MIN(B449,2020)-1900-10*(G449-1))/10</f>
        <v>0.9</v>
      </c>
      <c r="I449" s="20" t="n">
        <f aca="false">EXP(LN(INDEX(Pop_Inputs!$B$2:$N$29,MATCH(C449,Pop_Inputs!$A$2:$A$29,0),G449))*(1-H449)+LN(INDEX(Pop_Inputs!$B$2:$N$29,MATCH(C449,Pop_Inputs!$A$2:$A$29,0),G449+1))*H449)</f>
        <v>816916.705595012</v>
      </c>
      <c r="J449" s="20" t="n">
        <f aca="false">I449/F449</f>
        <v>408458.352797506</v>
      </c>
      <c r="K449" s="21" t="n">
        <f aca="false">D449/(D449+E449)</f>
        <v>0.519736842105263</v>
      </c>
      <c r="L449" s="21" t="n">
        <f aca="false">AVERAGEIFS($K$2:$K$2705,$B$2:$B$2705,B449)</f>
        <v>0.500434463668438</v>
      </c>
      <c r="M449" s="21" t="n">
        <f aca="false">K449-L449</f>
        <v>0.0193023784368253</v>
      </c>
      <c r="N449" s="21" t="n">
        <f aca="false">LN(J449)</f>
        <v>12.9201452365487</v>
      </c>
      <c r="O449" s="21" t="n">
        <f aca="false">AVERAGEIFS($N$2:$N$2705,$B$2:$B$2705,B449)</f>
        <v>13.6933083949928</v>
      </c>
      <c r="P449" s="21" t="n">
        <f aca="false">N449-O449</f>
        <v>-0.773163158444083</v>
      </c>
      <c r="Q449" s="7" t="n">
        <v>0</v>
      </c>
      <c r="R449" s="3" t="n">
        <f aca="false">IF(AND(Q449=1,B449-_xlfn.MINIFS($B$2:$B$2705,$A$2:$A$2705,A449)&lt;10),1,0)</f>
        <v>0</v>
      </c>
      <c r="S449" s="7" t="n">
        <v>0</v>
      </c>
      <c r="T449" s="3" t="n">
        <f aca="false">_xlfn.MINIFS($B$2:$B$2705,$A$2:$A$2705,A449)</f>
        <v>1901</v>
      </c>
      <c r="U449" s="3" t="n">
        <f aca="false">B449-T449</f>
        <v>28</v>
      </c>
      <c r="V449" s="3" t="str">
        <f aca="false">INDEX(Pop_Inputs!$Q$2:$Q$29,MATCH(C449,Pop_Inputs!$A$2:$A$29,0))</f>
        <v>Midwest</v>
      </c>
      <c r="W449" s="30"/>
      <c r="X449" s="3" t="str">
        <f aca="false">IF(W449="","",LN(W449))</f>
        <v/>
      </c>
      <c r="Y449" s="3" t="str">
        <f aca="false">IF(X449="","",X449-AVERAGEIFS($X$2:$X$2705,$B$2:$B$2705,B449))</f>
        <v/>
      </c>
      <c r="Z449" s="21" t="n">
        <f aca="false">P449</f>
        <v>-0.773163158444083</v>
      </c>
      <c r="AA449" s="3" t="n">
        <f aca="false">R449</f>
        <v>0</v>
      </c>
      <c r="AB449" s="21" t="n">
        <f aca="false">P449</f>
        <v>-0.773163158444083</v>
      </c>
      <c r="AC449" s="3" t="str">
        <f aca="false">Y449</f>
        <v/>
      </c>
      <c r="AD449" s="3" t="n">
        <f aca="false">R449</f>
        <v>0</v>
      </c>
    </row>
    <row r="450" customFormat="false" ht="15" hidden="false" customHeight="true" outlineLevel="0" collapsed="false">
      <c r="A450" s="7" t="s">
        <v>64</v>
      </c>
      <c r="B450" s="7" t="n">
        <v>1929</v>
      </c>
      <c r="C450" s="7" t="s">
        <v>150</v>
      </c>
      <c r="D450" s="7" t="n">
        <v>58</v>
      </c>
      <c r="E450" s="7" t="n">
        <v>96</v>
      </c>
      <c r="F450" s="3" t="n">
        <f aca="false">COUNTIFS($B$2:$B$2705,B450,$C$2:$C$2705,C450)</f>
        <v>2</v>
      </c>
      <c r="G450" s="3" t="n">
        <f aca="false">MIN(INT((MIN(B450,2020)-1900)/10)+1,12)</f>
        <v>3</v>
      </c>
      <c r="H450" s="3" t="n">
        <f aca="false">(MIN(B450,2020)-1900-10*(G450-1))/10</f>
        <v>0.9</v>
      </c>
      <c r="I450" s="20" t="n">
        <f aca="false">EXP(LN(INDEX(Pop_Inputs!$B$2:$N$29,MATCH(C450,Pop_Inputs!$A$2:$A$29,0),G450))*(1-H450)+LN(INDEX(Pop_Inputs!$B$2:$N$29,MATCH(C450,Pop_Inputs!$A$2:$A$29,0),G450+1))*H450)</f>
        <v>777810.229114003</v>
      </c>
      <c r="J450" s="20" t="n">
        <f aca="false">I450/F450</f>
        <v>388905.114557002</v>
      </c>
      <c r="K450" s="21" t="n">
        <f aca="false">D450/(D450+E450)</f>
        <v>0.376623376623377</v>
      </c>
      <c r="L450" s="21" t="n">
        <f aca="false">AVERAGEIFS($K$2:$K$2705,$B$2:$B$2705,B450)</f>
        <v>0.500434463668438</v>
      </c>
      <c r="M450" s="21" t="n">
        <f aca="false">K450-L450</f>
        <v>-0.123811087045061</v>
      </c>
      <c r="N450" s="21" t="n">
        <f aca="false">LN(J450)</f>
        <v>12.8710906713996</v>
      </c>
      <c r="O450" s="21" t="n">
        <f aca="false">AVERAGEIFS($N$2:$N$2705,$B$2:$B$2705,B450)</f>
        <v>13.6933083949928</v>
      </c>
      <c r="P450" s="21" t="n">
        <f aca="false">N450-O450</f>
        <v>-0.822217723593161</v>
      </c>
      <c r="Q450" s="7" t="n">
        <v>0</v>
      </c>
      <c r="R450" s="3" t="n">
        <f aca="false">IF(AND(Q450=1,B450-_xlfn.MINIFS($B$2:$B$2705,$A$2:$A$2705,A450)&lt;10),1,0)</f>
        <v>0</v>
      </c>
      <c r="S450" s="7" t="n">
        <v>0</v>
      </c>
      <c r="T450" s="3" t="n">
        <f aca="false">_xlfn.MINIFS($B$2:$B$2705,$A$2:$A$2705,A450)</f>
        <v>1901</v>
      </c>
      <c r="U450" s="3" t="n">
        <f aca="false">B450-T450</f>
        <v>28</v>
      </c>
      <c r="V450" s="3" t="str">
        <f aca="false">INDEX(Pop_Inputs!$Q$2:$Q$29,MATCH(C450,Pop_Inputs!$A$2:$A$29,0))</f>
        <v>Northeast</v>
      </c>
      <c r="W450" s="30"/>
      <c r="X450" s="3" t="str">
        <f aca="false">IF(W450="","",LN(W450))</f>
        <v/>
      </c>
      <c r="Y450" s="3" t="str">
        <f aca="false">IF(X450="","",X450-AVERAGEIFS($X$2:$X$2705,$B$2:$B$2705,B450))</f>
        <v/>
      </c>
      <c r="Z450" s="21" t="n">
        <f aca="false">P450</f>
        <v>-0.822217723593161</v>
      </c>
      <c r="AA450" s="3" t="n">
        <f aca="false">R450</f>
        <v>0</v>
      </c>
      <c r="AB450" s="21" t="n">
        <f aca="false">P450</f>
        <v>-0.822217723593161</v>
      </c>
      <c r="AC450" s="3" t="str">
        <f aca="false">Y450</f>
        <v/>
      </c>
      <c r="AD450" s="3" t="n">
        <f aca="false">R450</f>
        <v>0</v>
      </c>
    </row>
    <row r="451" customFormat="false" ht="15" hidden="false" customHeight="true" outlineLevel="0" collapsed="false">
      <c r="A451" s="7" t="s">
        <v>56</v>
      </c>
      <c r="B451" s="7" t="n">
        <v>1929</v>
      </c>
      <c r="C451" s="7" t="s">
        <v>142</v>
      </c>
      <c r="D451" s="7" t="n">
        <v>98</v>
      </c>
      <c r="E451" s="7" t="n">
        <v>54</v>
      </c>
      <c r="F451" s="3" t="n">
        <f aca="false">COUNTIFS($B$2:$B$2705,B451,$C$2:$C$2705,C451)</f>
        <v>2</v>
      </c>
      <c r="G451" s="3" t="n">
        <f aca="false">MIN(INT((MIN(B451,2020)-1900)/10)+1,12)</f>
        <v>3</v>
      </c>
      <c r="H451" s="3" t="n">
        <f aca="false">(MIN(B451,2020)-1900-10*(G451-1))/10</f>
        <v>0.9</v>
      </c>
      <c r="I451" s="20" t="n">
        <f aca="false">EXP(LN(INDEX(Pop_Inputs!$B$2:$N$29,MATCH(C451,Pop_Inputs!$A$2:$A$29,0),G451))*(1-H451)+LN(INDEX(Pop_Inputs!$B$2:$N$29,MATCH(C451,Pop_Inputs!$A$2:$A$29,0),G451+1))*H451)</f>
        <v>3301997.15007968</v>
      </c>
      <c r="J451" s="20" t="n">
        <f aca="false">I451/F451</f>
        <v>1650998.57503984</v>
      </c>
      <c r="K451" s="21" t="n">
        <f aca="false">D451/(D451+E451)</f>
        <v>0.644736842105263</v>
      </c>
      <c r="L451" s="21" t="n">
        <f aca="false">AVERAGEIFS($K$2:$K$2705,$B$2:$B$2705,B451)</f>
        <v>0.500434463668438</v>
      </c>
      <c r="M451" s="21" t="n">
        <f aca="false">K451-L451</f>
        <v>0.144302378436825</v>
      </c>
      <c r="N451" s="21" t="n">
        <f aca="false">LN(J451)</f>
        <v>14.3168908598128</v>
      </c>
      <c r="O451" s="21" t="n">
        <f aca="false">AVERAGEIFS($N$2:$N$2705,$B$2:$B$2705,B451)</f>
        <v>13.6933083949928</v>
      </c>
      <c r="P451" s="21" t="n">
        <f aca="false">N451-O451</f>
        <v>0.623582464819986</v>
      </c>
      <c r="Q451" s="7" t="n">
        <v>0</v>
      </c>
      <c r="R451" s="3" t="n">
        <f aca="false">IF(AND(Q451=1,B451-_xlfn.MINIFS($B$2:$B$2705,$A$2:$A$2705,A451)&lt;10),1,0)</f>
        <v>0</v>
      </c>
      <c r="S451" s="7" t="n">
        <v>0</v>
      </c>
      <c r="T451" s="3" t="n">
        <f aca="false">_xlfn.MINIFS($B$2:$B$2705,$A$2:$A$2705,A451)</f>
        <v>1901</v>
      </c>
      <c r="U451" s="3" t="n">
        <f aca="false">B451-T451</f>
        <v>28</v>
      </c>
      <c r="V451" s="3" t="str">
        <f aca="false">INDEX(Pop_Inputs!$Q$2:$Q$29,MATCH(C451,Pop_Inputs!$A$2:$A$29,0))</f>
        <v>Midwest</v>
      </c>
      <c r="W451" s="30"/>
      <c r="X451" s="3" t="str">
        <f aca="false">IF(W451="","",LN(W451))</f>
        <v/>
      </c>
      <c r="Y451" s="3" t="str">
        <f aca="false">IF(X451="","",X451-AVERAGEIFS($X$2:$X$2705,$B$2:$B$2705,B451))</f>
        <v/>
      </c>
      <c r="Z451" s="21" t="n">
        <f aca="false">P451</f>
        <v>0.623582464819986</v>
      </c>
      <c r="AA451" s="3" t="n">
        <f aca="false">R451</f>
        <v>0</v>
      </c>
      <c r="AB451" s="21" t="n">
        <f aca="false">P451</f>
        <v>0.623582464819986</v>
      </c>
      <c r="AC451" s="3" t="str">
        <f aca="false">Y451</f>
        <v/>
      </c>
      <c r="AD451" s="3" t="n">
        <f aca="false">R451</f>
        <v>0</v>
      </c>
    </row>
    <row r="452" customFormat="false" ht="15" hidden="false" customHeight="true" outlineLevel="0" collapsed="false">
      <c r="A452" s="7" t="s">
        <v>65</v>
      </c>
      <c r="B452" s="7" t="n">
        <v>1929</v>
      </c>
      <c r="C452" s="7" t="s">
        <v>142</v>
      </c>
      <c r="D452" s="7" t="n">
        <v>59</v>
      </c>
      <c r="E452" s="7" t="n">
        <v>93</v>
      </c>
      <c r="F452" s="3" t="n">
        <f aca="false">COUNTIFS($B$2:$B$2705,B452,$C$2:$C$2705,C452)</f>
        <v>2</v>
      </c>
      <c r="G452" s="3" t="n">
        <f aca="false">MIN(INT((MIN(B452,2020)-1900)/10)+1,12)</f>
        <v>3</v>
      </c>
      <c r="H452" s="3" t="n">
        <f aca="false">(MIN(B452,2020)-1900-10*(G452-1))/10</f>
        <v>0.9</v>
      </c>
      <c r="I452" s="20" t="n">
        <f aca="false">EXP(LN(INDEX(Pop_Inputs!$B$2:$N$29,MATCH(C452,Pop_Inputs!$A$2:$A$29,0),G452))*(1-H452)+LN(INDEX(Pop_Inputs!$B$2:$N$29,MATCH(C452,Pop_Inputs!$A$2:$A$29,0),G452+1))*H452)</f>
        <v>3301997.15007968</v>
      </c>
      <c r="J452" s="20" t="n">
        <f aca="false">I452/F452</f>
        <v>1650998.57503984</v>
      </c>
      <c r="K452" s="21" t="n">
        <f aca="false">D452/(D452+E452)</f>
        <v>0.388157894736842</v>
      </c>
      <c r="L452" s="21" t="n">
        <f aca="false">AVERAGEIFS($K$2:$K$2705,$B$2:$B$2705,B452)</f>
        <v>0.500434463668438</v>
      </c>
      <c r="M452" s="21" t="n">
        <f aca="false">K452-L452</f>
        <v>-0.112276568931596</v>
      </c>
      <c r="N452" s="21" t="n">
        <f aca="false">LN(J452)</f>
        <v>14.3168908598128</v>
      </c>
      <c r="O452" s="21" t="n">
        <f aca="false">AVERAGEIFS($N$2:$N$2705,$B$2:$B$2705,B452)</f>
        <v>13.6933083949928</v>
      </c>
      <c r="P452" s="21" t="n">
        <f aca="false">N452-O452</f>
        <v>0.623582464819986</v>
      </c>
      <c r="Q452" s="7" t="n">
        <v>0</v>
      </c>
      <c r="R452" s="3" t="n">
        <f aca="false">IF(AND(Q452=1,B452-_xlfn.MINIFS($B$2:$B$2705,$A$2:$A$2705,A452)&lt;10),1,0)</f>
        <v>0</v>
      </c>
      <c r="S452" s="7" t="n">
        <v>0</v>
      </c>
      <c r="T452" s="3" t="n">
        <f aca="false">_xlfn.MINIFS($B$2:$B$2705,$A$2:$A$2705,A452)</f>
        <v>1901</v>
      </c>
      <c r="U452" s="3" t="n">
        <f aca="false">B452-T452</f>
        <v>28</v>
      </c>
      <c r="V452" s="3" t="str">
        <f aca="false">INDEX(Pop_Inputs!$Q$2:$Q$29,MATCH(C452,Pop_Inputs!$A$2:$A$29,0))</f>
        <v>Midwest</v>
      </c>
      <c r="W452" s="30"/>
      <c r="X452" s="3" t="str">
        <f aca="false">IF(W452="","",LN(W452))</f>
        <v/>
      </c>
      <c r="Y452" s="3" t="str">
        <f aca="false">IF(X452="","",X452-AVERAGEIFS($X$2:$X$2705,$B$2:$B$2705,B452))</f>
        <v/>
      </c>
      <c r="Z452" s="21" t="n">
        <f aca="false">P452</f>
        <v>0.623582464819986</v>
      </c>
      <c r="AA452" s="3" t="n">
        <f aca="false">R452</f>
        <v>0</v>
      </c>
      <c r="AB452" s="21" t="n">
        <f aca="false">P452</f>
        <v>0.623582464819986</v>
      </c>
      <c r="AC452" s="3" t="str">
        <f aca="false">Y452</f>
        <v/>
      </c>
      <c r="AD452" s="3" t="n">
        <f aca="false">R452</f>
        <v>0</v>
      </c>
    </row>
    <row r="453" customFormat="false" ht="15" hidden="false" customHeight="true" outlineLevel="0" collapsed="false">
      <c r="A453" s="7" t="s">
        <v>57</v>
      </c>
      <c r="B453" s="7" t="n">
        <v>1929</v>
      </c>
      <c r="C453" s="7" t="s">
        <v>143</v>
      </c>
      <c r="D453" s="7" t="n">
        <v>66</v>
      </c>
      <c r="E453" s="7" t="n">
        <v>88</v>
      </c>
      <c r="F453" s="3" t="n">
        <f aca="false">COUNTIFS($B$2:$B$2705,B453,$C$2:$C$2705,C453)</f>
        <v>1</v>
      </c>
      <c r="G453" s="3" t="n">
        <f aca="false">MIN(INT((MIN(B453,2020)-1900)/10)+1,12)</f>
        <v>3</v>
      </c>
      <c r="H453" s="3" t="n">
        <f aca="false">(MIN(B453,2020)-1900-10*(G453-1))/10</f>
        <v>0.9</v>
      </c>
      <c r="I453" s="20" t="n">
        <f aca="false">EXP(LN(INDEX(Pop_Inputs!$B$2:$N$29,MATCH(C453,Pop_Inputs!$A$2:$A$29,0),G453))*(1-H453)+LN(INDEX(Pop_Inputs!$B$2:$N$29,MATCH(C453,Pop_Inputs!$A$2:$A$29,0),G453+1))*H453)</f>
        <v>445901.269719533</v>
      </c>
      <c r="J453" s="20" t="n">
        <f aca="false">I453/F453</f>
        <v>445901.269719533</v>
      </c>
      <c r="K453" s="21" t="n">
        <f aca="false">D453/(D453+E453)</f>
        <v>0.428571428571429</v>
      </c>
      <c r="L453" s="21" t="n">
        <f aca="false">AVERAGEIFS($K$2:$K$2705,$B$2:$B$2705,B453)</f>
        <v>0.500434463668438</v>
      </c>
      <c r="M453" s="21" t="n">
        <f aca="false">K453-L453</f>
        <v>-0.0718630350970094</v>
      </c>
      <c r="N453" s="21" t="n">
        <f aca="false">LN(J453)</f>
        <v>13.0078528381548</v>
      </c>
      <c r="O453" s="21" t="n">
        <f aca="false">AVERAGEIFS($N$2:$N$2705,$B$2:$B$2705,B453)</f>
        <v>13.6933083949928</v>
      </c>
      <c r="P453" s="21" t="n">
        <f aca="false">N453-O453</f>
        <v>-0.685455556838015</v>
      </c>
      <c r="Q453" s="7" t="n">
        <v>0</v>
      </c>
      <c r="R453" s="3" t="n">
        <f aca="false">IF(AND(Q453=1,B453-_xlfn.MINIFS($B$2:$B$2705,$A$2:$A$2705,A453)&lt;10),1,0)</f>
        <v>0</v>
      </c>
      <c r="S453" s="7" t="n">
        <v>0</v>
      </c>
      <c r="T453" s="3" t="n">
        <f aca="false">_xlfn.MINIFS($B$2:$B$2705,$A$2:$A$2705,A453)</f>
        <v>1901</v>
      </c>
      <c r="U453" s="3" t="n">
        <f aca="false">B453-T453</f>
        <v>28</v>
      </c>
      <c r="V453" s="3" t="str">
        <f aca="false">INDEX(Pop_Inputs!$Q$2:$Q$29,MATCH(C453,Pop_Inputs!$A$2:$A$29,0))</f>
        <v>Midwest</v>
      </c>
      <c r="W453" s="30"/>
      <c r="X453" s="3" t="str">
        <f aca="false">IF(W453="","",LN(W453))</f>
        <v/>
      </c>
      <c r="Y453" s="3" t="str">
        <f aca="false">IF(X453="","",X453-AVERAGEIFS($X$2:$X$2705,$B$2:$B$2705,B453))</f>
        <v/>
      </c>
      <c r="Z453" s="21" t="n">
        <f aca="false">P453</f>
        <v>-0.685455556838015</v>
      </c>
      <c r="AA453" s="3" t="n">
        <f aca="false">R453</f>
        <v>0</v>
      </c>
      <c r="AB453" s="21" t="n">
        <f aca="false">P453</f>
        <v>-0.685455556838015</v>
      </c>
      <c r="AC453" s="3" t="str">
        <f aca="false">Y453</f>
        <v/>
      </c>
      <c r="AD453" s="3" t="n">
        <f aca="false">R453</f>
        <v>0</v>
      </c>
    </row>
    <row r="454" customFormat="false" ht="15" hidden="false" customHeight="true" outlineLevel="0" collapsed="false">
      <c r="A454" s="7" t="s">
        <v>66</v>
      </c>
      <c r="B454" s="7" t="n">
        <v>1929</v>
      </c>
      <c r="C454" s="7" t="s">
        <v>151</v>
      </c>
      <c r="D454" s="7" t="n">
        <v>81</v>
      </c>
      <c r="E454" s="7" t="n">
        <v>71</v>
      </c>
      <c r="F454" s="3" t="n">
        <f aca="false">COUNTIFS($B$2:$B$2705,B454,$C$2:$C$2705,C454)</f>
        <v>1</v>
      </c>
      <c r="G454" s="3" t="n">
        <f aca="false">MIN(INT((MIN(B454,2020)-1900)/10)+1,12)</f>
        <v>3</v>
      </c>
      <c r="H454" s="3" t="n">
        <f aca="false">(MIN(B454,2020)-1900-10*(G454-1))/10</f>
        <v>0.9</v>
      </c>
      <c r="I454" s="20" t="n">
        <f aca="false">EXP(LN(INDEX(Pop_Inputs!$B$2:$N$29,MATCH(C454,Pop_Inputs!$A$2:$A$29,0),G454))*(1-H454)+LN(INDEX(Pop_Inputs!$B$2:$N$29,MATCH(C454,Pop_Inputs!$A$2:$A$29,0),G454+1))*H454)</f>
        <v>889491.2773838</v>
      </c>
      <c r="J454" s="20" t="n">
        <f aca="false">I454/F454</f>
        <v>889491.2773838</v>
      </c>
      <c r="K454" s="21" t="n">
        <f aca="false">D454/(D454+E454)</f>
        <v>0.532894736842105</v>
      </c>
      <c r="L454" s="21" t="n">
        <f aca="false">AVERAGEIFS($K$2:$K$2705,$B$2:$B$2705,B454)</f>
        <v>0.500434463668438</v>
      </c>
      <c r="M454" s="21" t="n">
        <f aca="false">K454-L454</f>
        <v>0.0324602731736674</v>
      </c>
      <c r="N454" s="21" t="n">
        <f aca="false">LN(J454)</f>
        <v>13.6984049798385</v>
      </c>
      <c r="O454" s="21" t="n">
        <f aca="false">AVERAGEIFS($N$2:$N$2705,$B$2:$B$2705,B454)</f>
        <v>13.6933083949928</v>
      </c>
      <c r="P454" s="21" t="n">
        <f aca="false">N454-O454</f>
        <v>0.00509658484571141</v>
      </c>
      <c r="Q454" s="7" t="n">
        <v>0</v>
      </c>
      <c r="R454" s="3" t="n">
        <f aca="false">IF(AND(Q454=1,B454-_xlfn.MINIFS($B$2:$B$2705,$A$2:$A$2705,A454)&lt;10),1,0)</f>
        <v>0</v>
      </c>
      <c r="S454" s="7" t="n">
        <v>0</v>
      </c>
      <c r="T454" s="3" t="n">
        <f aca="false">_xlfn.MINIFS($B$2:$B$2705,$A$2:$A$2705,A454)</f>
        <v>1901</v>
      </c>
      <c r="U454" s="3" t="n">
        <f aca="false">B454-T454</f>
        <v>28</v>
      </c>
      <c r="V454" s="3" t="str">
        <f aca="false">INDEX(Pop_Inputs!$Q$2:$Q$29,MATCH(C454,Pop_Inputs!$A$2:$A$29,0))</f>
        <v>Midwest</v>
      </c>
      <c r="W454" s="30"/>
      <c r="X454" s="3" t="str">
        <f aca="false">IF(W454="","",LN(W454))</f>
        <v/>
      </c>
      <c r="Y454" s="3" t="str">
        <f aca="false">IF(X454="","",X454-AVERAGEIFS($X$2:$X$2705,$B$2:$B$2705,B454))</f>
        <v/>
      </c>
      <c r="Z454" s="21" t="n">
        <f aca="false">P454</f>
        <v>0.00509658484571141</v>
      </c>
      <c r="AA454" s="3" t="n">
        <f aca="false">R454</f>
        <v>0</v>
      </c>
      <c r="AB454" s="21" t="n">
        <f aca="false">P454</f>
        <v>0.00509658484571141</v>
      </c>
      <c r="AC454" s="3" t="str">
        <f aca="false">Y454</f>
        <v/>
      </c>
      <c r="AD454" s="3" t="n">
        <f aca="false">R454</f>
        <v>0</v>
      </c>
    </row>
    <row r="455" customFormat="false" ht="15" hidden="false" customHeight="true" outlineLevel="0" collapsed="false">
      <c r="A455" s="7" t="s">
        <v>67</v>
      </c>
      <c r="B455" s="7" t="n">
        <v>1929</v>
      </c>
      <c r="C455" s="7" t="s">
        <v>152</v>
      </c>
      <c r="D455" s="7" t="n">
        <v>70</v>
      </c>
      <c r="E455" s="7" t="n">
        <v>84</v>
      </c>
      <c r="F455" s="3" t="n">
        <f aca="false">COUNTIFS($B$2:$B$2705,B455,$C$2:$C$2705,C455)</f>
        <v>1</v>
      </c>
      <c r="G455" s="3" t="n">
        <f aca="false">MIN(INT((MIN(B455,2020)-1900)/10)+1,12)</f>
        <v>3</v>
      </c>
      <c r="H455" s="3" t="n">
        <f aca="false">(MIN(B455,2020)-1900-10*(G455-1))/10</f>
        <v>0.9</v>
      </c>
      <c r="I455" s="20" t="n">
        <f aca="false">EXP(LN(INDEX(Pop_Inputs!$B$2:$N$29,MATCH(C455,Pop_Inputs!$A$2:$A$29,0),G455))*(1-H455)+LN(INDEX(Pop_Inputs!$B$2:$N$29,MATCH(C455,Pop_Inputs!$A$2:$A$29,0),G455+1))*H455)</f>
        <v>1498652.7190398</v>
      </c>
      <c r="J455" s="20" t="n">
        <f aca="false">I455/F455</f>
        <v>1498652.7190398</v>
      </c>
      <c r="K455" s="21" t="n">
        <f aca="false">D455/(D455+E455)</f>
        <v>0.454545454545455</v>
      </c>
      <c r="L455" s="21" t="n">
        <f aca="false">AVERAGEIFS($K$2:$K$2705,$B$2:$B$2705,B455)</f>
        <v>0.500434463668438</v>
      </c>
      <c r="M455" s="21" t="n">
        <f aca="false">K455-L455</f>
        <v>-0.0458890091229834</v>
      </c>
      <c r="N455" s="21" t="n">
        <f aca="false">LN(J455)</f>
        <v>14.2200770751537</v>
      </c>
      <c r="O455" s="21" t="n">
        <f aca="false">AVERAGEIFS($N$2:$N$2705,$B$2:$B$2705,B455)</f>
        <v>13.6933083949928</v>
      </c>
      <c r="P455" s="21" t="n">
        <f aca="false">N455-O455</f>
        <v>0.526768680160949</v>
      </c>
      <c r="Q455" s="7" t="n">
        <v>0</v>
      </c>
      <c r="R455" s="3" t="n">
        <f aca="false">IF(AND(Q455=1,B455-_xlfn.MINIFS($B$2:$B$2705,$A$2:$A$2705,A455)&lt;10),1,0)</f>
        <v>0</v>
      </c>
      <c r="S455" s="7" t="n">
        <v>0</v>
      </c>
      <c r="T455" s="3" t="n">
        <f aca="false">_xlfn.MINIFS($B$2:$B$2705,$A$2:$A$2705,A455)</f>
        <v>1901</v>
      </c>
      <c r="U455" s="3" t="n">
        <f aca="false">B455-T455</f>
        <v>28</v>
      </c>
      <c r="V455" s="3" t="str">
        <f aca="false">INDEX(Pop_Inputs!$Q$2:$Q$29,MATCH(C455,Pop_Inputs!$A$2:$A$29,0))</f>
        <v>Midwest</v>
      </c>
      <c r="W455" s="30"/>
      <c r="X455" s="3" t="str">
        <f aca="false">IF(W455="","",LN(W455))</f>
        <v/>
      </c>
      <c r="Y455" s="3" t="str">
        <f aca="false">IF(X455="","",X455-AVERAGEIFS($X$2:$X$2705,$B$2:$B$2705,B455))</f>
        <v/>
      </c>
      <c r="Z455" s="21" t="n">
        <f aca="false">P455</f>
        <v>0.526768680160949</v>
      </c>
      <c r="AA455" s="3" t="n">
        <f aca="false">R455</f>
        <v>0</v>
      </c>
      <c r="AB455" s="21" t="n">
        <f aca="false">P455</f>
        <v>0.526768680160949</v>
      </c>
      <c r="AC455" s="3" t="str">
        <f aca="false">Y455</f>
        <v/>
      </c>
      <c r="AD455" s="3" t="n">
        <f aca="false">R455</f>
        <v>0</v>
      </c>
    </row>
    <row r="456" customFormat="false" ht="15" hidden="false" customHeight="true" outlineLevel="0" collapsed="false">
      <c r="A456" s="7" t="s">
        <v>62</v>
      </c>
      <c r="B456" s="7" t="n">
        <v>1929</v>
      </c>
      <c r="C456" s="7" t="s">
        <v>154</v>
      </c>
      <c r="D456" s="7" t="n">
        <v>70</v>
      </c>
      <c r="E456" s="7" t="n">
        <v>83</v>
      </c>
      <c r="F456" s="3" t="n">
        <f aca="false">COUNTIFS($B$2:$B$2705,B456,$C$2:$C$2705,C456)</f>
        <v>3</v>
      </c>
      <c r="G456" s="3" t="n">
        <f aca="false">MIN(INT((MIN(B456,2020)-1900)/10)+1,12)</f>
        <v>3</v>
      </c>
      <c r="H456" s="3" t="n">
        <f aca="false">(MIN(B456,2020)-1900-10*(G456-1))/10</f>
        <v>0.9</v>
      </c>
      <c r="I456" s="20" t="n">
        <f aca="false">EXP(LN(INDEX(Pop_Inputs!$B$2:$N$29,MATCH(C456,Pop_Inputs!$A$2:$A$29,0),G456))*(1-H456)+LN(INDEX(Pop_Inputs!$B$2:$N$29,MATCH(C456,Pop_Inputs!$A$2:$A$29,0),G456+1))*H456)</f>
        <v>6786706.50153749</v>
      </c>
      <c r="J456" s="20" t="n">
        <f aca="false">I456/F456</f>
        <v>2262235.5005125</v>
      </c>
      <c r="K456" s="21" t="n">
        <f aca="false">D456/(D456+E456)</f>
        <v>0.457516339869281</v>
      </c>
      <c r="L456" s="21" t="n">
        <f aca="false">AVERAGEIFS($K$2:$K$2705,$B$2:$B$2705,B456)</f>
        <v>0.500434463668438</v>
      </c>
      <c r="M456" s="21" t="n">
        <f aca="false">K456-L456</f>
        <v>-0.0429181237991569</v>
      </c>
      <c r="N456" s="21" t="n">
        <f aca="false">LN(J456)</f>
        <v>14.6318640418714</v>
      </c>
      <c r="O456" s="21" t="n">
        <f aca="false">AVERAGEIFS($N$2:$N$2705,$B$2:$B$2705,B456)</f>
        <v>13.6933083949928</v>
      </c>
      <c r="P456" s="21" t="n">
        <f aca="false">N456-O456</f>
        <v>0.938555646878594</v>
      </c>
      <c r="Q456" s="7" t="n">
        <v>0</v>
      </c>
      <c r="R456" s="3" t="n">
        <f aca="false">IF(AND(Q456=1,B456-_xlfn.MINIFS($B$2:$B$2705,$A$2:$A$2705,A456)&lt;10),1,0)</f>
        <v>0</v>
      </c>
      <c r="S456" s="7" t="n">
        <v>0</v>
      </c>
      <c r="T456" s="3" t="n">
        <f aca="false">_xlfn.MINIFS($B$2:$B$2705,$A$2:$A$2705,A456)</f>
        <v>1901</v>
      </c>
      <c r="U456" s="3" t="n">
        <f aca="false">B456-T456</f>
        <v>28</v>
      </c>
      <c r="V456" s="3" t="str">
        <f aca="false">INDEX(Pop_Inputs!$Q$2:$Q$29,MATCH(C456,Pop_Inputs!$A$2:$A$29,0))</f>
        <v>Northeast</v>
      </c>
      <c r="W456" s="30"/>
      <c r="X456" s="3" t="str">
        <f aca="false">IF(W456="","",LN(W456))</f>
        <v/>
      </c>
      <c r="Y456" s="3" t="str">
        <f aca="false">IF(X456="","",X456-AVERAGEIFS($X$2:$X$2705,$B$2:$B$2705,B456))</f>
        <v/>
      </c>
      <c r="Z456" s="21" t="n">
        <f aca="false">P456</f>
        <v>0.938555646878594</v>
      </c>
      <c r="AA456" s="3" t="n">
        <f aca="false">R456</f>
        <v>0</v>
      </c>
      <c r="AB456" s="21" t="n">
        <f aca="false">P456</f>
        <v>0.938555646878594</v>
      </c>
      <c r="AC456" s="3" t="str">
        <f aca="false">Y456</f>
        <v/>
      </c>
      <c r="AD456" s="3" t="n">
        <f aca="false">R456</f>
        <v>0</v>
      </c>
    </row>
    <row r="457" customFormat="false" ht="15" hidden="false" customHeight="true" outlineLevel="0" collapsed="false">
      <c r="A457" s="7" t="s">
        <v>68</v>
      </c>
      <c r="B457" s="7" t="n">
        <v>1929</v>
      </c>
      <c r="C457" s="7" t="s">
        <v>160</v>
      </c>
      <c r="D457" s="7" t="n">
        <v>71</v>
      </c>
      <c r="E457" s="7" t="n">
        <v>81</v>
      </c>
      <c r="F457" s="3" t="n">
        <f aca="false">COUNTIFS($B$2:$B$2705,B457,$C$2:$C$2705,C457)</f>
        <v>1</v>
      </c>
      <c r="G457" s="3" t="n">
        <f aca="false">MIN(INT((MIN(B457,2020)-1900)/10)+1,12)</f>
        <v>3</v>
      </c>
      <c r="H457" s="3" t="n">
        <f aca="false">(MIN(B457,2020)-1900-10*(G457-1))/10</f>
        <v>0.9</v>
      </c>
      <c r="I457" s="20" t="n">
        <f aca="false">EXP(LN(INDEX(Pop_Inputs!$B$2:$N$29,MATCH(C457,Pop_Inputs!$A$2:$A$29,0),G457))*(1-H457)+LN(INDEX(Pop_Inputs!$B$2:$N$29,MATCH(C457,Pop_Inputs!$A$2:$A$29,0),G457+1))*H457)</f>
        <v>481699.021162514</v>
      </c>
      <c r="J457" s="20" t="n">
        <f aca="false">I457/F457</f>
        <v>481699.021162514</v>
      </c>
      <c r="K457" s="21" t="n">
        <f aca="false">D457/(D457+E457)</f>
        <v>0.467105263157895</v>
      </c>
      <c r="L457" s="21" t="n">
        <f aca="false">AVERAGEIFS($K$2:$K$2705,$B$2:$B$2705,B457)</f>
        <v>0.500434463668438</v>
      </c>
      <c r="M457" s="21" t="n">
        <f aca="false">K457-L457</f>
        <v>-0.0333292005105432</v>
      </c>
      <c r="N457" s="21" t="n">
        <f aca="false">LN(J457)</f>
        <v>13.0850747605683</v>
      </c>
      <c r="O457" s="21" t="n">
        <f aca="false">AVERAGEIFS($N$2:$N$2705,$B$2:$B$2705,B457)</f>
        <v>13.6933083949928</v>
      </c>
      <c r="P457" s="21" t="n">
        <f aca="false">N457-O457</f>
        <v>-0.608233634424451</v>
      </c>
      <c r="Q457" s="7" t="n">
        <v>0</v>
      </c>
      <c r="R457" s="3" t="n">
        <f aca="false">IF(AND(Q457=1,B457-_xlfn.MINIFS($B$2:$B$2705,$A$2:$A$2705,A457)&lt;10),1,0)</f>
        <v>0</v>
      </c>
      <c r="S457" s="7" t="n">
        <v>0</v>
      </c>
      <c r="T457" s="3" t="n">
        <f aca="false">_xlfn.MINIFS($B$2:$B$2705,$A$2:$A$2705,A457)</f>
        <v>1901</v>
      </c>
      <c r="U457" s="3" t="n">
        <f aca="false">B457-T457</f>
        <v>28</v>
      </c>
      <c r="V457" s="3" t="str">
        <f aca="false">INDEX(Pop_Inputs!$Q$2:$Q$29,MATCH(C457,Pop_Inputs!$A$2:$A$29,0))</f>
        <v>South</v>
      </c>
      <c r="W457" s="30"/>
      <c r="X457" s="3" t="str">
        <f aca="false">IF(W457="","",LN(W457))</f>
        <v/>
      </c>
      <c r="Y457" s="3" t="str">
        <f aca="false">IF(X457="","",X457-AVERAGEIFS($X$2:$X$2705,$B$2:$B$2705,B457))</f>
        <v/>
      </c>
      <c r="Z457" s="21" t="n">
        <f aca="false">P457</f>
        <v>-0.608233634424451</v>
      </c>
      <c r="AA457" s="3" t="n">
        <f aca="false">R457</f>
        <v>0</v>
      </c>
      <c r="AB457" s="21" t="n">
        <f aca="false">P457</f>
        <v>-0.608233634424451</v>
      </c>
      <c r="AC457" s="3" t="str">
        <f aca="false">Y457</f>
        <v/>
      </c>
      <c r="AD457" s="3" t="n">
        <f aca="false">R457</f>
        <v>0</v>
      </c>
    </row>
    <row r="458" customFormat="false" ht="15" hidden="false" customHeight="true" outlineLevel="0" collapsed="false">
      <c r="A458" s="7" t="s">
        <v>70</v>
      </c>
      <c r="B458" s="7" t="n">
        <v>1929</v>
      </c>
      <c r="C458" s="7" t="s">
        <v>154</v>
      </c>
      <c r="D458" s="7" t="n">
        <v>88</v>
      </c>
      <c r="E458" s="7" t="n">
        <v>66</v>
      </c>
      <c r="F458" s="3" t="n">
        <f aca="false">COUNTIFS($B$2:$B$2705,B458,$C$2:$C$2705,C458)</f>
        <v>3</v>
      </c>
      <c r="G458" s="3" t="n">
        <f aca="false">MIN(INT((MIN(B458,2020)-1900)/10)+1,12)</f>
        <v>3</v>
      </c>
      <c r="H458" s="3" t="n">
        <f aca="false">(MIN(B458,2020)-1900-10*(G458-1))/10</f>
        <v>0.9</v>
      </c>
      <c r="I458" s="20" t="n">
        <f aca="false">EXP(LN(INDEX(Pop_Inputs!$B$2:$N$29,MATCH(C458,Pop_Inputs!$A$2:$A$29,0),G458))*(1-H458)+LN(INDEX(Pop_Inputs!$B$2:$N$29,MATCH(C458,Pop_Inputs!$A$2:$A$29,0),G458+1))*H458)</f>
        <v>6786706.50153749</v>
      </c>
      <c r="J458" s="20" t="n">
        <f aca="false">I458/F458</f>
        <v>2262235.5005125</v>
      </c>
      <c r="K458" s="21" t="n">
        <f aca="false">D458/(D458+E458)</f>
        <v>0.571428571428571</v>
      </c>
      <c r="L458" s="21" t="n">
        <f aca="false">AVERAGEIFS($K$2:$K$2705,$B$2:$B$2705,B458)</f>
        <v>0.500434463668438</v>
      </c>
      <c r="M458" s="21" t="n">
        <f aca="false">K458-L458</f>
        <v>0.0709941077601335</v>
      </c>
      <c r="N458" s="21" t="n">
        <f aca="false">LN(J458)</f>
        <v>14.6318640418714</v>
      </c>
      <c r="O458" s="21" t="n">
        <f aca="false">AVERAGEIFS($N$2:$N$2705,$B$2:$B$2705,B458)</f>
        <v>13.6933083949928</v>
      </c>
      <c r="P458" s="21" t="n">
        <f aca="false">N458-O458</f>
        <v>0.938555646878594</v>
      </c>
      <c r="Q458" s="7" t="n">
        <v>0</v>
      </c>
      <c r="R458" s="3" t="n">
        <f aca="false">IF(AND(Q458=1,B458-_xlfn.MINIFS($B$2:$B$2705,$A$2:$A$2705,A458)&lt;10),1,0)</f>
        <v>0</v>
      </c>
      <c r="S458" s="7" t="n">
        <v>1</v>
      </c>
      <c r="T458" s="3" t="n">
        <f aca="false">_xlfn.MINIFS($B$2:$B$2705,$A$2:$A$2705,A458)</f>
        <v>1903</v>
      </c>
      <c r="U458" s="3" t="n">
        <f aca="false">B458-T458</f>
        <v>26</v>
      </c>
      <c r="V458" s="3" t="str">
        <f aca="false">INDEX(Pop_Inputs!$Q$2:$Q$29,MATCH(C458,Pop_Inputs!$A$2:$A$29,0))</f>
        <v>Northeast</v>
      </c>
      <c r="W458" s="30"/>
      <c r="X458" s="3" t="str">
        <f aca="false">IF(W458="","",LN(W458))</f>
        <v/>
      </c>
      <c r="Y458" s="3" t="str">
        <f aca="false">IF(X458="","",X458-AVERAGEIFS($X$2:$X$2705,$B$2:$B$2705,B458))</f>
        <v/>
      </c>
      <c r="Z458" s="21" t="n">
        <f aca="false">P458</f>
        <v>0.938555646878594</v>
      </c>
      <c r="AA458" s="3" t="n">
        <f aca="false">R458</f>
        <v>0</v>
      </c>
      <c r="AB458" s="21" t="n">
        <f aca="false">P458</f>
        <v>0.938555646878594</v>
      </c>
      <c r="AC458" s="3" t="str">
        <f aca="false">Y458</f>
        <v/>
      </c>
      <c r="AD458" s="3" t="n">
        <f aca="false">R458</f>
        <v>0</v>
      </c>
    </row>
    <row r="459" customFormat="false" ht="15" hidden="false" customHeight="true" outlineLevel="0" collapsed="false">
      <c r="A459" s="7" t="s">
        <v>69</v>
      </c>
      <c r="B459" s="7" t="n">
        <v>1929</v>
      </c>
      <c r="C459" s="7" t="s">
        <v>146</v>
      </c>
      <c r="D459" s="7" t="n">
        <v>104</v>
      </c>
      <c r="E459" s="7" t="n">
        <v>46</v>
      </c>
      <c r="F459" s="3" t="n">
        <f aca="false">COUNTIFS($B$2:$B$2705,B459,$C$2:$C$2705,C459)</f>
        <v>2</v>
      </c>
      <c r="G459" s="3" t="n">
        <f aca="false">MIN(INT((MIN(B459,2020)-1900)/10)+1,12)</f>
        <v>3</v>
      </c>
      <c r="H459" s="3" t="n">
        <f aca="false">(MIN(B459,2020)-1900-10*(G459-1))/10</f>
        <v>0.9</v>
      </c>
      <c r="I459" s="20" t="n">
        <f aca="false">EXP(LN(INDEX(Pop_Inputs!$B$2:$N$29,MATCH(C459,Pop_Inputs!$A$2:$A$29,0),G459))*(1-H459)+LN(INDEX(Pop_Inputs!$B$2:$N$29,MATCH(C459,Pop_Inputs!$A$2:$A$29,0),G459+1))*H459)</f>
        <v>1937853.53780785</v>
      </c>
      <c r="J459" s="20" t="n">
        <f aca="false">I459/F459</f>
        <v>968926.768903926</v>
      </c>
      <c r="K459" s="21" t="n">
        <f aca="false">D459/(D459+E459)</f>
        <v>0.693333333333333</v>
      </c>
      <c r="L459" s="21" t="n">
        <f aca="false">AVERAGEIFS($K$2:$K$2705,$B$2:$B$2705,B459)</f>
        <v>0.500434463668438</v>
      </c>
      <c r="M459" s="21" t="n">
        <f aca="false">K459-L459</f>
        <v>0.192898869664895</v>
      </c>
      <c r="N459" s="21" t="n">
        <f aca="false">LN(J459)</f>
        <v>13.7839443141305</v>
      </c>
      <c r="O459" s="21" t="n">
        <f aca="false">AVERAGEIFS($N$2:$N$2705,$B$2:$B$2705,B459)</f>
        <v>13.6933083949928</v>
      </c>
      <c r="P459" s="21" t="n">
        <f aca="false">N459-O459</f>
        <v>0.0906359191377231</v>
      </c>
      <c r="Q459" s="7" t="n">
        <v>0</v>
      </c>
      <c r="R459" s="3" t="n">
        <f aca="false">IF(AND(Q459=1,B459-_xlfn.MINIFS($B$2:$B$2705,$A$2:$A$2705,A459)&lt;10),1,0)</f>
        <v>0</v>
      </c>
      <c r="S459" s="7" t="n">
        <v>0</v>
      </c>
      <c r="T459" s="3" t="n">
        <f aca="false">_xlfn.MINIFS($B$2:$B$2705,$A$2:$A$2705,A459)</f>
        <v>1901</v>
      </c>
      <c r="U459" s="3" t="n">
        <f aca="false">B459-T459</f>
        <v>28</v>
      </c>
      <c r="V459" s="3" t="str">
        <f aca="false">INDEX(Pop_Inputs!$Q$2:$Q$29,MATCH(C459,Pop_Inputs!$A$2:$A$29,0))</f>
        <v>Northeast</v>
      </c>
      <c r="W459" s="30"/>
      <c r="X459" s="3" t="str">
        <f aca="false">IF(W459="","",LN(W459))</f>
        <v/>
      </c>
      <c r="Y459" s="3" t="str">
        <f aca="false">IF(X459="","",X459-AVERAGEIFS($X$2:$X$2705,$B$2:$B$2705,B459))</f>
        <v/>
      </c>
      <c r="Z459" s="21" t="n">
        <f aca="false">P459</f>
        <v>0.0906359191377231</v>
      </c>
      <c r="AA459" s="3" t="n">
        <f aca="false">R459</f>
        <v>0</v>
      </c>
      <c r="AB459" s="21" t="n">
        <f aca="false">P459</f>
        <v>0.0906359191377231</v>
      </c>
      <c r="AC459" s="3" t="str">
        <f aca="false">Y459</f>
        <v/>
      </c>
      <c r="AD459" s="3" t="n">
        <f aca="false">R459</f>
        <v>0</v>
      </c>
    </row>
    <row r="460" customFormat="false" ht="15" hidden="false" customHeight="true" outlineLevel="0" collapsed="false">
      <c r="A460" s="7" t="s">
        <v>60</v>
      </c>
      <c r="B460" s="7" t="n">
        <v>1929</v>
      </c>
      <c r="C460" s="7" t="s">
        <v>146</v>
      </c>
      <c r="D460" s="7" t="n">
        <v>71</v>
      </c>
      <c r="E460" s="7" t="n">
        <v>82</v>
      </c>
      <c r="F460" s="3" t="n">
        <f aca="false">COUNTIFS($B$2:$B$2705,B460,$C$2:$C$2705,C460)</f>
        <v>2</v>
      </c>
      <c r="G460" s="3" t="n">
        <f aca="false">MIN(INT((MIN(B460,2020)-1900)/10)+1,12)</f>
        <v>3</v>
      </c>
      <c r="H460" s="3" t="n">
        <f aca="false">(MIN(B460,2020)-1900-10*(G460-1))/10</f>
        <v>0.9</v>
      </c>
      <c r="I460" s="20" t="n">
        <f aca="false">EXP(LN(INDEX(Pop_Inputs!$B$2:$N$29,MATCH(C460,Pop_Inputs!$A$2:$A$29,0),G460))*(1-H460)+LN(INDEX(Pop_Inputs!$B$2:$N$29,MATCH(C460,Pop_Inputs!$A$2:$A$29,0),G460+1))*H460)</f>
        <v>1937853.53780785</v>
      </c>
      <c r="J460" s="20" t="n">
        <f aca="false">I460/F460</f>
        <v>968926.768903926</v>
      </c>
      <c r="K460" s="21" t="n">
        <f aca="false">D460/(D460+E460)</f>
        <v>0.464052287581699</v>
      </c>
      <c r="L460" s="21" t="n">
        <f aca="false">AVERAGEIFS($K$2:$K$2705,$B$2:$B$2705,B460)</f>
        <v>0.500434463668438</v>
      </c>
      <c r="M460" s="21" t="n">
        <f aca="false">K460-L460</f>
        <v>-0.0363821760867386</v>
      </c>
      <c r="N460" s="21" t="n">
        <f aca="false">LN(J460)</f>
        <v>13.7839443141305</v>
      </c>
      <c r="O460" s="21" t="n">
        <f aca="false">AVERAGEIFS($N$2:$N$2705,$B$2:$B$2705,B460)</f>
        <v>13.6933083949928</v>
      </c>
      <c r="P460" s="21" t="n">
        <f aca="false">N460-O460</f>
        <v>0.0906359191377231</v>
      </c>
      <c r="Q460" s="7" t="n">
        <v>0</v>
      </c>
      <c r="R460" s="3" t="n">
        <f aca="false">IF(AND(Q460=1,B460-_xlfn.MINIFS($B$2:$B$2705,$A$2:$A$2705,A460)&lt;10),1,0)</f>
        <v>0</v>
      </c>
      <c r="S460" s="7" t="n">
        <v>0</v>
      </c>
      <c r="T460" s="3" t="n">
        <f aca="false">_xlfn.MINIFS($B$2:$B$2705,$A$2:$A$2705,A460)</f>
        <v>1901</v>
      </c>
      <c r="U460" s="3" t="n">
        <f aca="false">B460-T460</f>
        <v>28</v>
      </c>
      <c r="V460" s="3" t="str">
        <f aca="false">INDEX(Pop_Inputs!$Q$2:$Q$29,MATCH(C460,Pop_Inputs!$A$2:$A$29,0))</f>
        <v>Northeast</v>
      </c>
      <c r="W460" s="30"/>
      <c r="X460" s="3" t="str">
        <f aca="false">IF(W460="","",LN(W460))</f>
        <v/>
      </c>
      <c r="Y460" s="3" t="str">
        <f aca="false">IF(X460="","",X460-AVERAGEIFS($X$2:$X$2705,$B$2:$B$2705,B460))</f>
        <v/>
      </c>
      <c r="Z460" s="21" t="n">
        <f aca="false">P460</f>
        <v>0.0906359191377231</v>
      </c>
      <c r="AA460" s="3" t="n">
        <f aca="false">R460</f>
        <v>0</v>
      </c>
      <c r="AB460" s="21" t="n">
        <f aca="false">P460</f>
        <v>0.0906359191377231</v>
      </c>
      <c r="AC460" s="3" t="str">
        <f aca="false">Y460</f>
        <v/>
      </c>
      <c r="AD460" s="3" t="n">
        <f aca="false">R460</f>
        <v>0</v>
      </c>
    </row>
    <row r="461" customFormat="false" ht="15" hidden="false" customHeight="true" outlineLevel="0" collapsed="false">
      <c r="A461" s="7" t="s">
        <v>58</v>
      </c>
      <c r="B461" s="7" t="n">
        <v>1929</v>
      </c>
      <c r="C461" s="7" t="s">
        <v>144</v>
      </c>
      <c r="D461" s="7" t="n">
        <v>88</v>
      </c>
      <c r="E461" s="7" t="n">
        <v>65</v>
      </c>
      <c r="F461" s="3" t="n">
        <f aca="false">COUNTIFS($B$2:$B$2705,B461,$C$2:$C$2705,C461)</f>
        <v>1</v>
      </c>
      <c r="G461" s="3" t="n">
        <f aca="false">MIN(INT((MIN(B461,2020)-1900)/10)+1,12)</f>
        <v>3</v>
      </c>
      <c r="H461" s="3" t="n">
        <f aca="false">(MIN(B461,2020)-1900-10*(G461-1))/10</f>
        <v>0.9</v>
      </c>
      <c r="I461" s="20" t="n">
        <f aca="false">EXP(LN(INDEX(Pop_Inputs!$B$2:$N$29,MATCH(C461,Pop_Inputs!$A$2:$A$29,0),G461))*(1-H461)+LN(INDEX(Pop_Inputs!$B$2:$N$29,MATCH(C461,Pop_Inputs!$A$2:$A$29,0),G461+1))*H461)</f>
        <v>661185.937644042</v>
      </c>
      <c r="J461" s="20" t="n">
        <f aca="false">I461/F461</f>
        <v>661185.937644042</v>
      </c>
      <c r="K461" s="21" t="n">
        <f aca="false">D461/(D461+E461)</f>
        <v>0.57516339869281</v>
      </c>
      <c r="L461" s="21" t="n">
        <f aca="false">AVERAGEIFS($K$2:$K$2705,$B$2:$B$2705,B461)</f>
        <v>0.500434463668438</v>
      </c>
      <c r="M461" s="21" t="n">
        <f aca="false">K461-L461</f>
        <v>0.0747289350243725</v>
      </c>
      <c r="N461" s="21" t="n">
        <f aca="false">LN(J461)</f>
        <v>13.4017903767719</v>
      </c>
      <c r="O461" s="21" t="n">
        <f aca="false">AVERAGEIFS($N$2:$N$2705,$B$2:$B$2705,B461)</f>
        <v>13.6933083949928</v>
      </c>
      <c r="P461" s="21" t="n">
        <f aca="false">N461-O461</f>
        <v>-0.291518018220904</v>
      </c>
      <c r="Q461" s="7" t="n">
        <v>0</v>
      </c>
      <c r="R461" s="3" t="n">
        <f aca="false">IF(AND(Q461=1,B461-_xlfn.MINIFS($B$2:$B$2705,$A$2:$A$2705,A461)&lt;10),1,0)</f>
        <v>0</v>
      </c>
      <c r="S461" s="7" t="n">
        <v>0</v>
      </c>
      <c r="T461" s="3" t="n">
        <f aca="false">_xlfn.MINIFS($B$2:$B$2705,$A$2:$A$2705,A461)</f>
        <v>1901</v>
      </c>
      <c r="U461" s="3" t="n">
        <f aca="false">B461-T461</f>
        <v>28</v>
      </c>
      <c r="V461" s="3" t="str">
        <f aca="false">INDEX(Pop_Inputs!$Q$2:$Q$29,MATCH(C461,Pop_Inputs!$A$2:$A$29,0))</f>
        <v>Northeast</v>
      </c>
      <c r="W461" s="30"/>
      <c r="X461" s="3" t="str">
        <f aca="false">IF(W461="","",LN(W461))</f>
        <v/>
      </c>
      <c r="Y461" s="3" t="str">
        <f aca="false">IF(X461="","",X461-AVERAGEIFS($X$2:$X$2705,$B$2:$B$2705,B461))</f>
        <v/>
      </c>
      <c r="Z461" s="21" t="n">
        <f aca="false">P461</f>
        <v>-0.291518018220904</v>
      </c>
      <c r="AA461" s="3" t="n">
        <f aca="false">R461</f>
        <v>0</v>
      </c>
      <c r="AB461" s="21" t="n">
        <f aca="false">P461</f>
        <v>-0.291518018220904</v>
      </c>
      <c r="AC461" s="3" t="str">
        <f aca="false">Y461</f>
        <v/>
      </c>
      <c r="AD461" s="3" t="n">
        <f aca="false">R461</f>
        <v>0</v>
      </c>
    </row>
    <row r="462" customFormat="false" ht="15" hidden="false" customHeight="true" outlineLevel="0" collapsed="false">
      <c r="A462" s="7" t="s">
        <v>61</v>
      </c>
      <c r="B462" s="7" t="n">
        <v>1929</v>
      </c>
      <c r="C462" s="7" t="s">
        <v>154</v>
      </c>
      <c r="D462" s="7" t="n">
        <v>84</v>
      </c>
      <c r="E462" s="7" t="n">
        <v>67</v>
      </c>
      <c r="F462" s="3" t="n">
        <f aca="false">COUNTIFS($B$2:$B$2705,B462,$C$2:$C$2705,C462)</f>
        <v>3</v>
      </c>
      <c r="G462" s="3" t="n">
        <f aca="false">MIN(INT((MIN(B462,2020)-1900)/10)+1,12)</f>
        <v>3</v>
      </c>
      <c r="H462" s="3" t="n">
        <f aca="false">(MIN(B462,2020)-1900-10*(G462-1))/10</f>
        <v>0.9</v>
      </c>
      <c r="I462" s="20" t="n">
        <f aca="false">EXP(LN(INDEX(Pop_Inputs!$B$2:$N$29,MATCH(C462,Pop_Inputs!$A$2:$A$29,0),G462))*(1-H462)+LN(INDEX(Pop_Inputs!$B$2:$N$29,MATCH(C462,Pop_Inputs!$A$2:$A$29,0),G462+1))*H462)</f>
        <v>6786706.50153749</v>
      </c>
      <c r="J462" s="20" t="n">
        <f aca="false">I462/F462</f>
        <v>2262235.5005125</v>
      </c>
      <c r="K462" s="21" t="n">
        <f aca="false">D462/(D462+E462)</f>
        <v>0.556291390728477</v>
      </c>
      <c r="L462" s="21" t="n">
        <f aca="false">AVERAGEIFS($K$2:$K$2705,$B$2:$B$2705,B462)</f>
        <v>0.500434463668438</v>
      </c>
      <c r="M462" s="21" t="n">
        <f aca="false">K462-L462</f>
        <v>0.0558569270600389</v>
      </c>
      <c r="N462" s="21" t="n">
        <f aca="false">LN(J462)</f>
        <v>14.6318640418714</v>
      </c>
      <c r="O462" s="21" t="n">
        <f aca="false">AVERAGEIFS($N$2:$N$2705,$B$2:$B$2705,B462)</f>
        <v>13.6933083949928</v>
      </c>
      <c r="P462" s="21" t="n">
        <f aca="false">N462-O462</f>
        <v>0.938555646878594</v>
      </c>
      <c r="Q462" s="7" t="n">
        <v>0</v>
      </c>
      <c r="R462" s="3" t="n">
        <f aca="false">IF(AND(Q462=1,B462-_xlfn.MINIFS($B$2:$B$2705,$A$2:$A$2705,A462)&lt;10),1,0)</f>
        <v>0</v>
      </c>
      <c r="S462" s="7" t="n">
        <v>0</v>
      </c>
      <c r="T462" s="3" t="n">
        <f aca="false">_xlfn.MINIFS($B$2:$B$2705,$A$2:$A$2705,A462)</f>
        <v>1901</v>
      </c>
      <c r="U462" s="3" t="n">
        <f aca="false">B462-T462</f>
        <v>28</v>
      </c>
      <c r="V462" s="3" t="str">
        <f aca="false">INDEX(Pop_Inputs!$Q$2:$Q$29,MATCH(C462,Pop_Inputs!$A$2:$A$29,0))</f>
        <v>Northeast</v>
      </c>
      <c r="W462" s="30"/>
      <c r="X462" s="3" t="str">
        <f aca="false">IF(W462="","",LN(W462))</f>
        <v/>
      </c>
      <c r="Y462" s="3" t="str">
        <f aca="false">IF(X462="","",X462-AVERAGEIFS($X$2:$X$2705,$B$2:$B$2705,B462))</f>
        <v/>
      </c>
      <c r="Z462" s="21" t="n">
        <f aca="false">P462</f>
        <v>0.938555646878594</v>
      </c>
      <c r="AA462" s="3" t="n">
        <f aca="false">R462</f>
        <v>0</v>
      </c>
      <c r="AB462" s="21" t="n">
        <f aca="false">P462</f>
        <v>0.938555646878594</v>
      </c>
      <c r="AC462" s="3" t="str">
        <f aca="false">Y462</f>
        <v/>
      </c>
      <c r="AD462" s="3" t="n">
        <f aca="false">R462</f>
        <v>0</v>
      </c>
    </row>
    <row r="463" customFormat="false" ht="15" hidden="false" customHeight="true" outlineLevel="0" collapsed="false">
      <c r="A463" s="7" t="s">
        <v>59</v>
      </c>
      <c r="B463" s="7" t="n">
        <v>1929</v>
      </c>
      <c r="C463" s="7" t="s">
        <v>145</v>
      </c>
      <c r="D463" s="7" t="n">
        <v>78</v>
      </c>
      <c r="E463" s="7" t="n">
        <v>74</v>
      </c>
      <c r="F463" s="3" t="n">
        <f aca="false">COUNTIFS($B$2:$B$2705,B463,$C$2:$C$2705,C463)</f>
        <v>2</v>
      </c>
      <c r="G463" s="3" t="n">
        <f aca="false">MIN(INT((MIN(B463,2020)-1900)/10)+1,12)</f>
        <v>3</v>
      </c>
      <c r="H463" s="3" t="n">
        <f aca="false">(MIN(B463,2020)-1900-10*(G463-1))/10</f>
        <v>0.9</v>
      </c>
      <c r="I463" s="20" t="n">
        <f aca="false">EXP(LN(INDEX(Pop_Inputs!$B$2:$N$29,MATCH(C463,Pop_Inputs!$A$2:$A$29,0),G463))*(1-H463)+LN(INDEX(Pop_Inputs!$B$2:$N$29,MATCH(C463,Pop_Inputs!$A$2:$A$29,0),G463+1))*H463)</f>
        <v>816916.705595012</v>
      </c>
      <c r="J463" s="20" t="n">
        <f aca="false">I463/F463</f>
        <v>408458.352797506</v>
      </c>
      <c r="K463" s="21" t="n">
        <f aca="false">D463/(D463+E463)</f>
        <v>0.513157894736842</v>
      </c>
      <c r="L463" s="21" t="n">
        <f aca="false">AVERAGEIFS($K$2:$K$2705,$B$2:$B$2705,B463)</f>
        <v>0.500434463668438</v>
      </c>
      <c r="M463" s="21" t="n">
        <f aca="false">K463-L463</f>
        <v>0.0127234310684042</v>
      </c>
      <c r="N463" s="21" t="n">
        <f aca="false">LN(J463)</f>
        <v>12.9201452365487</v>
      </c>
      <c r="O463" s="21" t="n">
        <f aca="false">AVERAGEIFS($N$2:$N$2705,$B$2:$B$2705,B463)</f>
        <v>13.6933083949928</v>
      </c>
      <c r="P463" s="21" t="n">
        <f aca="false">N463-O463</f>
        <v>-0.773163158444083</v>
      </c>
      <c r="Q463" s="7" t="n">
        <v>0</v>
      </c>
      <c r="R463" s="3" t="n">
        <f aca="false">IF(AND(Q463=1,B463-_xlfn.MINIFS($B$2:$B$2705,$A$2:$A$2705,A463)&lt;10),1,0)</f>
        <v>0</v>
      </c>
      <c r="S463" s="7" t="n">
        <v>0</v>
      </c>
      <c r="T463" s="3" t="n">
        <f aca="false">_xlfn.MINIFS($B$2:$B$2705,$A$2:$A$2705,A463)</f>
        <v>1901</v>
      </c>
      <c r="U463" s="3" t="n">
        <f aca="false">B463-T463</f>
        <v>28</v>
      </c>
      <c r="V463" s="3" t="str">
        <f aca="false">INDEX(Pop_Inputs!$Q$2:$Q$29,MATCH(C463,Pop_Inputs!$A$2:$A$29,0))</f>
        <v>Midwest</v>
      </c>
      <c r="W463" s="30"/>
      <c r="X463" s="3" t="str">
        <f aca="false">IF(W463="","",LN(W463))</f>
        <v/>
      </c>
      <c r="Y463" s="3" t="str">
        <f aca="false">IF(X463="","",X463-AVERAGEIFS($X$2:$X$2705,$B$2:$B$2705,B463))</f>
        <v/>
      </c>
      <c r="Z463" s="21" t="n">
        <f aca="false">P463</f>
        <v>-0.773163158444083</v>
      </c>
      <c r="AA463" s="3" t="n">
        <f aca="false">R463</f>
        <v>0</v>
      </c>
      <c r="AB463" s="21" t="n">
        <f aca="false">P463</f>
        <v>-0.773163158444083</v>
      </c>
      <c r="AC463" s="3" t="str">
        <f aca="false">Y463</f>
        <v/>
      </c>
      <c r="AD463" s="3" t="n">
        <f aca="false">R463</f>
        <v>0</v>
      </c>
    </row>
    <row r="464" customFormat="false" ht="15" hidden="false" customHeight="true" outlineLevel="0" collapsed="false">
      <c r="A464" s="7" t="s">
        <v>54</v>
      </c>
      <c r="B464" s="7" t="n">
        <v>1930</v>
      </c>
      <c r="C464" s="7" t="s">
        <v>150</v>
      </c>
      <c r="D464" s="7" t="n">
        <v>70</v>
      </c>
      <c r="E464" s="7" t="n">
        <v>84</v>
      </c>
      <c r="F464" s="3" t="n">
        <f aca="false">COUNTIFS($B$2:$B$2705,B464,$C$2:$C$2705,C464)</f>
        <v>2</v>
      </c>
      <c r="G464" s="3" t="n">
        <f aca="false">MIN(INT((MIN(B464,2020)-1900)/10)+1,12)</f>
        <v>4</v>
      </c>
      <c r="H464" s="3" t="n">
        <f aca="false">(MIN(B464,2020)-1900-10*(G464-1))/10</f>
        <v>0</v>
      </c>
      <c r="I464" s="20" t="n">
        <f aca="false">EXP(LN(INDEX(Pop_Inputs!$B$2:$N$29,MATCH(C464,Pop_Inputs!$A$2:$A$29,0),G464))*(1-H464)+LN(INDEX(Pop_Inputs!$B$2:$N$29,MATCH(C464,Pop_Inputs!$A$2:$A$29,0),G464+1))*H464)</f>
        <v>781188</v>
      </c>
      <c r="J464" s="20" t="n">
        <f aca="false">I464/F464</f>
        <v>390594</v>
      </c>
      <c r="K464" s="21" t="n">
        <f aca="false">D464/(D464+E464)</f>
        <v>0.454545454545455</v>
      </c>
      <c r="L464" s="21" t="n">
        <f aca="false">AVERAGEIFS($K$2:$K$2705,$B$2:$B$2705,B464)</f>
        <v>0.5</v>
      </c>
      <c r="M464" s="21" t="n">
        <f aca="false">K464-L464</f>
        <v>-0.0454545454545455</v>
      </c>
      <c r="N464" s="21" t="n">
        <f aca="false">LN(J464)</f>
        <v>12.8754239363236</v>
      </c>
      <c r="O464" s="21" t="n">
        <f aca="false">AVERAGEIFS($N$2:$N$2705,$B$2:$B$2705,B464)</f>
        <v>13.7080064257138</v>
      </c>
      <c r="P464" s="21" t="n">
        <f aca="false">N464-O464</f>
        <v>-0.832582489390122</v>
      </c>
      <c r="Q464" s="7" t="n">
        <v>0</v>
      </c>
      <c r="R464" s="3" t="n">
        <f aca="false">IF(AND(Q464=1,B464-_xlfn.MINIFS($B$2:$B$2705,$A$2:$A$2705,A464)&lt;10),1,0)</f>
        <v>0</v>
      </c>
      <c r="S464" s="7" t="n">
        <v>0</v>
      </c>
      <c r="T464" s="3" t="n">
        <f aca="false">_xlfn.MINIFS($B$2:$B$2705,$A$2:$A$2705,A464)</f>
        <v>1901</v>
      </c>
      <c r="U464" s="3" t="n">
        <f aca="false">B464-T464</f>
        <v>29</v>
      </c>
      <c r="V464" s="3" t="str">
        <f aca="false">INDEX(Pop_Inputs!$Q$2:$Q$29,MATCH(C464,Pop_Inputs!$A$2:$A$29,0))</f>
        <v>Northeast</v>
      </c>
      <c r="W464" s="30"/>
      <c r="X464" s="3" t="str">
        <f aca="false">IF(W464="","",LN(W464))</f>
        <v/>
      </c>
      <c r="Y464" s="3" t="str">
        <f aca="false">IF(X464="","",X464-AVERAGEIFS($X$2:$X$2705,$B$2:$B$2705,B464))</f>
        <v/>
      </c>
      <c r="Z464" s="21" t="n">
        <f aca="false">P464</f>
        <v>-0.832582489390122</v>
      </c>
      <c r="AA464" s="3" t="n">
        <f aca="false">R464</f>
        <v>0</v>
      </c>
      <c r="AB464" s="21" t="n">
        <f aca="false">P464</f>
        <v>-0.832582489390122</v>
      </c>
      <c r="AC464" s="3" t="str">
        <f aca="false">Y464</f>
        <v/>
      </c>
      <c r="AD464" s="3" t="n">
        <f aca="false">R464</f>
        <v>0</v>
      </c>
    </row>
    <row r="465" customFormat="false" ht="15" hidden="false" customHeight="true" outlineLevel="0" collapsed="false">
      <c r="A465" s="7" t="s">
        <v>63</v>
      </c>
      <c r="B465" s="7" t="n">
        <v>1930</v>
      </c>
      <c r="C465" s="7" t="s">
        <v>145</v>
      </c>
      <c r="D465" s="7" t="n">
        <v>64</v>
      </c>
      <c r="E465" s="7" t="n">
        <v>90</v>
      </c>
      <c r="F465" s="3" t="n">
        <f aca="false">COUNTIFS($B$2:$B$2705,B465,$C$2:$C$2705,C465)</f>
        <v>2</v>
      </c>
      <c r="G465" s="3" t="n">
        <f aca="false">MIN(INT((MIN(B465,2020)-1900)/10)+1,12)</f>
        <v>4</v>
      </c>
      <c r="H465" s="3" t="n">
        <f aca="false">(MIN(B465,2020)-1900-10*(G465-1))/10</f>
        <v>0</v>
      </c>
      <c r="I465" s="20" t="n">
        <f aca="false">EXP(LN(INDEX(Pop_Inputs!$B$2:$N$29,MATCH(C465,Pop_Inputs!$A$2:$A$29,0),G465))*(1-H465)+LN(INDEX(Pop_Inputs!$B$2:$N$29,MATCH(C465,Pop_Inputs!$A$2:$A$29,0),G465+1))*H465)</f>
        <v>821960</v>
      </c>
      <c r="J465" s="20" t="n">
        <f aca="false">I465/F465</f>
        <v>410980</v>
      </c>
      <c r="K465" s="21" t="n">
        <f aca="false">D465/(D465+E465)</f>
        <v>0.415584415584416</v>
      </c>
      <c r="L465" s="21" t="n">
        <f aca="false">AVERAGEIFS($K$2:$K$2705,$B$2:$B$2705,B465)</f>
        <v>0.5</v>
      </c>
      <c r="M465" s="21" t="n">
        <f aca="false">K465-L465</f>
        <v>-0.0844155844155844</v>
      </c>
      <c r="N465" s="21" t="n">
        <f aca="false">LN(J465)</f>
        <v>12.9262998304939</v>
      </c>
      <c r="O465" s="21" t="n">
        <f aca="false">AVERAGEIFS($N$2:$N$2705,$B$2:$B$2705,B465)</f>
        <v>13.7080064257138</v>
      </c>
      <c r="P465" s="21" t="n">
        <f aca="false">N465-O465</f>
        <v>-0.781706595219893</v>
      </c>
      <c r="Q465" s="7" t="n">
        <v>0</v>
      </c>
      <c r="R465" s="3" t="n">
        <f aca="false">IF(AND(Q465=1,B465-_xlfn.MINIFS($B$2:$B$2705,$A$2:$A$2705,A465)&lt;10),1,0)</f>
        <v>0</v>
      </c>
      <c r="S465" s="7" t="n">
        <v>0</v>
      </c>
      <c r="T465" s="3" t="n">
        <f aca="false">_xlfn.MINIFS($B$2:$B$2705,$A$2:$A$2705,A465)</f>
        <v>1901</v>
      </c>
      <c r="U465" s="3" t="n">
        <f aca="false">B465-T465</f>
        <v>29</v>
      </c>
      <c r="V465" s="3" t="str">
        <f aca="false">INDEX(Pop_Inputs!$Q$2:$Q$29,MATCH(C465,Pop_Inputs!$A$2:$A$29,0))</f>
        <v>Midwest</v>
      </c>
      <c r="W465" s="30"/>
      <c r="X465" s="3" t="str">
        <f aca="false">IF(W465="","",LN(W465))</f>
        <v/>
      </c>
      <c r="Y465" s="3" t="str">
        <f aca="false">IF(X465="","",X465-AVERAGEIFS($X$2:$X$2705,$B$2:$B$2705,B465))</f>
        <v/>
      </c>
      <c r="Z465" s="21" t="n">
        <f aca="false">P465</f>
        <v>-0.781706595219893</v>
      </c>
      <c r="AA465" s="3" t="n">
        <f aca="false">R465</f>
        <v>0</v>
      </c>
      <c r="AB465" s="21" t="n">
        <f aca="false">P465</f>
        <v>-0.781706595219893</v>
      </c>
      <c r="AC465" s="3" t="str">
        <f aca="false">Y465</f>
        <v/>
      </c>
      <c r="AD465" s="3" t="n">
        <f aca="false">R465</f>
        <v>0</v>
      </c>
    </row>
    <row r="466" customFormat="false" ht="15" hidden="false" customHeight="true" outlineLevel="0" collapsed="false">
      <c r="A466" s="7" t="s">
        <v>64</v>
      </c>
      <c r="B466" s="7" t="n">
        <v>1930</v>
      </c>
      <c r="C466" s="7" t="s">
        <v>150</v>
      </c>
      <c r="D466" s="7" t="n">
        <v>52</v>
      </c>
      <c r="E466" s="7" t="n">
        <v>102</v>
      </c>
      <c r="F466" s="3" t="n">
        <f aca="false">COUNTIFS($B$2:$B$2705,B466,$C$2:$C$2705,C466)</f>
        <v>2</v>
      </c>
      <c r="G466" s="3" t="n">
        <f aca="false">MIN(INT((MIN(B466,2020)-1900)/10)+1,12)</f>
        <v>4</v>
      </c>
      <c r="H466" s="3" t="n">
        <f aca="false">(MIN(B466,2020)-1900-10*(G466-1))/10</f>
        <v>0</v>
      </c>
      <c r="I466" s="20" t="n">
        <f aca="false">EXP(LN(INDEX(Pop_Inputs!$B$2:$N$29,MATCH(C466,Pop_Inputs!$A$2:$A$29,0),G466))*(1-H466)+LN(INDEX(Pop_Inputs!$B$2:$N$29,MATCH(C466,Pop_Inputs!$A$2:$A$29,0),G466+1))*H466)</f>
        <v>781188</v>
      </c>
      <c r="J466" s="20" t="n">
        <f aca="false">I466/F466</f>
        <v>390594</v>
      </c>
      <c r="K466" s="21" t="n">
        <f aca="false">D466/(D466+E466)</f>
        <v>0.337662337662338</v>
      </c>
      <c r="L466" s="21" t="n">
        <f aca="false">AVERAGEIFS($K$2:$K$2705,$B$2:$B$2705,B466)</f>
        <v>0.5</v>
      </c>
      <c r="M466" s="21" t="n">
        <f aca="false">K466-L466</f>
        <v>-0.162337662337662</v>
      </c>
      <c r="N466" s="21" t="n">
        <f aca="false">LN(J466)</f>
        <v>12.8754239363236</v>
      </c>
      <c r="O466" s="21" t="n">
        <f aca="false">AVERAGEIFS($N$2:$N$2705,$B$2:$B$2705,B466)</f>
        <v>13.7080064257138</v>
      </c>
      <c r="P466" s="21" t="n">
        <f aca="false">N466-O466</f>
        <v>-0.832582489390122</v>
      </c>
      <c r="Q466" s="7" t="n">
        <v>0</v>
      </c>
      <c r="R466" s="3" t="n">
        <f aca="false">IF(AND(Q466=1,B466-_xlfn.MINIFS($B$2:$B$2705,$A$2:$A$2705,A466)&lt;10),1,0)</f>
        <v>0</v>
      </c>
      <c r="S466" s="7" t="n">
        <v>0</v>
      </c>
      <c r="T466" s="3" t="n">
        <f aca="false">_xlfn.MINIFS($B$2:$B$2705,$A$2:$A$2705,A466)</f>
        <v>1901</v>
      </c>
      <c r="U466" s="3" t="n">
        <f aca="false">B466-T466</f>
        <v>29</v>
      </c>
      <c r="V466" s="3" t="str">
        <f aca="false">INDEX(Pop_Inputs!$Q$2:$Q$29,MATCH(C466,Pop_Inputs!$A$2:$A$29,0))</f>
        <v>Northeast</v>
      </c>
      <c r="W466" s="30"/>
      <c r="X466" s="3" t="str">
        <f aca="false">IF(W466="","",LN(W466))</f>
        <v/>
      </c>
      <c r="Y466" s="3" t="str">
        <f aca="false">IF(X466="","",X466-AVERAGEIFS($X$2:$X$2705,$B$2:$B$2705,B466))</f>
        <v/>
      </c>
      <c r="Z466" s="21" t="n">
        <f aca="false">P466</f>
        <v>-0.832582489390122</v>
      </c>
      <c r="AA466" s="3" t="n">
        <f aca="false">R466</f>
        <v>0</v>
      </c>
      <c r="AB466" s="21" t="n">
        <f aca="false">P466</f>
        <v>-0.832582489390122</v>
      </c>
      <c r="AC466" s="3" t="str">
        <f aca="false">Y466</f>
        <v/>
      </c>
      <c r="AD466" s="3" t="n">
        <f aca="false">R466</f>
        <v>0</v>
      </c>
    </row>
    <row r="467" customFormat="false" ht="15" hidden="false" customHeight="true" outlineLevel="0" collapsed="false">
      <c r="A467" s="7" t="s">
        <v>56</v>
      </c>
      <c r="B467" s="7" t="n">
        <v>1930</v>
      </c>
      <c r="C467" s="7" t="s">
        <v>142</v>
      </c>
      <c r="D467" s="7" t="n">
        <v>90</v>
      </c>
      <c r="E467" s="7" t="n">
        <v>64</v>
      </c>
      <c r="F467" s="3" t="n">
        <f aca="false">COUNTIFS($B$2:$B$2705,B467,$C$2:$C$2705,C467)</f>
        <v>2</v>
      </c>
      <c r="G467" s="3" t="n">
        <f aca="false">MIN(INT((MIN(B467,2020)-1900)/10)+1,12)</f>
        <v>4</v>
      </c>
      <c r="H467" s="3" t="n">
        <f aca="false">(MIN(B467,2020)-1900-10*(G467-1))/10</f>
        <v>0</v>
      </c>
      <c r="I467" s="20" t="n">
        <f aca="false">EXP(LN(INDEX(Pop_Inputs!$B$2:$N$29,MATCH(C467,Pop_Inputs!$A$2:$A$29,0),G467))*(1-H467)+LN(INDEX(Pop_Inputs!$B$2:$N$29,MATCH(C467,Pop_Inputs!$A$2:$A$29,0),G467+1))*H467)</f>
        <v>3376438</v>
      </c>
      <c r="J467" s="20" t="n">
        <f aca="false">I467/F467</f>
        <v>1688219</v>
      </c>
      <c r="K467" s="21" t="n">
        <f aca="false">D467/(D467+E467)</f>
        <v>0.584415584415584</v>
      </c>
      <c r="L467" s="21" t="n">
        <f aca="false">AVERAGEIFS($K$2:$K$2705,$B$2:$B$2705,B467)</f>
        <v>0.5</v>
      </c>
      <c r="M467" s="21" t="n">
        <f aca="false">K467-L467</f>
        <v>0.0844155844155844</v>
      </c>
      <c r="N467" s="21" t="n">
        <f aca="false">LN(J467)</f>
        <v>14.3391846850591</v>
      </c>
      <c r="O467" s="21" t="n">
        <f aca="false">AVERAGEIFS($N$2:$N$2705,$B$2:$B$2705,B467)</f>
        <v>13.7080064257138</v>
      </c>
      <c r="P467" s="21" t="n">
        <f aca="false">N467-O467</f>
        <v>0.63117825934536</v>
      </c>
      <c r="Q467" s="7" t="n">
        <v>0</v>
      </c>
      <c r="R467" s="3" t="n">
        <f aca="false">IF(AND(Q467=1,B467-_xlfn.MINIFS($B$2:$B$2705,$A$2:$A$2705,A467)&lt;10),1,0)</f>
        <v>0</v>
      </c>
      <c r="S467" s="7" t="n">
        <v>0</v>
      </c>
      <c r="T467" s="3" t="n">
        <f aca="false">_xlfn.MINIFS($B$2:$B$2705,$A$2:$A$2705,A467)</f>
        <v>1901</v>
      </c>
      <c r="U467" s="3" t="n">
        <f aca="false">B467-T467</f>
        <v>29</v>
      </c>
      <c r="V467" s="3" t="str">
        <f aca="false">INDEX(Pop_Inputs!$Q$2:$Q$29,MATCH(C467,Pop_Inputs!$A$2:$A$29,0))</f>
        <v>Midwest</v>
      </c>
      <c r="W467" s="30"/>
      <c r="X467" s="3" t="str">
        <f aca="false">IF(W467="","",LN(W467))</f>
        <v/>
      </c>
      <c r="Y467" s="3" t="str">
        <f aca="false">IF(X467="","",X467-AVERAGEIFS($X$2:$X$2705,$B$2:$B$2705,B467))</f>
        <v/>
      </c>
      <c r="Z467" s="21" t="n">
        <f aca="false">P467</f>
        <v>0.63117825934536</v>
      </c>
      <c r="AA467" s="3" t="n">
        <f aca="false">R467</f>
        <v>0</v>
      </c>
      <c r="AB467" s="21" t="n">
        <f aca="false">P467</f>
        <v>0.63117825934536</v>
      </c>
      <c r="AC467" s="3" t="str">
        <f aca="false">Y467</f>
        <v/>
      </c>
      <c r="AD467" s="3" t="n">
        <f aca="false">R467</f>
        <v>0</v>
      </c>
    </row>
    <row r="468" customFormat="false" ht="15" hidden="false" customHeight="true" outlineLevel="0" collapsed="false">
      <c r="A468" s="7" t="s">
        <v>65</v>
      </c>
      <c r="B468" s="7" t="n">
        <v>1930</v>
      </c>
      <c r="C468" s="7" t="s">
        <v>142</v>
      </c>
      <c r="D468" s="7" t="n">
        <v>62</v>
      </c>
      <c r="E468" s="7" t="n">
        <v>92</v>
      </c>
      <c r="F468" s="3" t="n">
        <f aca="false">COUNTIFS($B$2:$B$2705,B468,$C$2:$C$2705,C468)</f>
        <v>2</v>
      </c>
      <c r="G468" s="3" t="n">
        <f aca="false">MIN(INT((MIN(B468,2020)-1900)/10)+1,12)</f>
        <v>4</v>
      </c>
      <c r="H468" s="3" t="n">
        <f aca="false">(MIN(B468,2020)-1900-10*(G468-1))/10</f>
        <v>0</v>
      </c>
      <c r="I468" s="20" t="n">
        <f aca="false">EXP(LN(INDEX(Pop_Inputs!$B$2:$N$29,MATCH(C468,Pop_Inputs!$A$2:$A$29,0),G468))*(1-H468)+LN(INDEX(Pop_Inputs!$B$2:$N$29,MATCH(C468,Pop_Inputs!$A$2:$A$29,0),G468+1))*H468)</f>
        <v>3376438</v>
      </c>
      <c r="J468" s="20" t="n">
        <f aca="false">I468/F468</f>
        <v>1688219</v>
      </c>
      <c r="K468" s="21" t="n">
        <f aca="false">D468/(D468+E468)</f>
        <v>0.402597402597403</v>
      </c>
      <c r="L468" s="21" t="n">
        <f aca="false">AVERAGEIFS($K$2:$K$2705,$B$2:$B$2705,B468)</f>
        <v>0.5</v>
      </c>
      <c r="M468" s="21" t="n">
        <f aca="false">K468-L468</f>
        <v>-0.0974025974025974</v>
      </c>
      <c r="N468" s="21" t="n">
        <f aca="false">LN(J468)</f>
        <v>14.3391846850591</v>
      </c>
      <c r="O468" s="21" t="n">
        <f aca="false">AVERAGEIFS($N$2:$N$2705,$B$2:$B$2705,B468)</f>
        <v>13.7080064257138</v>
      </c>
      <c r="P468" s="21" t="n">
        <f aca="false">N468-O468</f>
        <v>0.63117825934536</v>
      </c>
      <c r="Q468" s="7" t="n">
        <v>0</v>
      </c>
      <c r="R468" s="3" t="n">
        <f aca="false">IF(AND(Q468=1,B468-_xlfn.MINIFS($B$2:$B$2705,$A$2:$A$2705,A468)&lt;10),1,0)</f>
        <v>0</v>
      </c>
      <c r="S468" s="7" t="n">
        <v>0</v>
      </c>
      <c r="T468" s="3" t="n">
        <f aca="false">_xlfn.MINIFS($B$2:$B$2705,$A$2:$A$2705,A468)</f>
        <v>1901</v>
      </c>
      <c r="U468" s="3" t="n">
        <f aca="false">B468-T468</f>
        <v>29</v>
      </c>
      <c r="V468" s="3" t="str">
        <f aca="false">INDEX(Pop_Inputs!$Q$2:$Q$29,MATCH(C468,Pop_Inputs!$A$2:$A$29,0))</f>
        <v>Midwest</v>
      </c>
      <c r="W468" s="30"/>
      <c r="X468" s="3" t="str">
        <f aca="false">IF(W468="","",LN(W468))</f>
        <v/>
      </c>
      <c r="Y468" s="3" t="str">
        <f aca="false">IF(X468="","",X468-AVERAGEIFS($X$2:$X$2705,$B$2:$B$2705,B468))</f>
        <v/>
      </c>
      <c r="Z468" s="21" t="n">
        <f aca="false">P468</f>
        <v>0.63117825934536</v>
      </c>
      <c r="AA468" s="3" t="n">
        <f aca="false">R468</f>
        <v>0</v>
      </c>
      <c r="AB468" s="21" t="n">
        <f aca="false">P468</f>
        <v>0.63117825934536</v>
      </c>
      <c r="AC468" s="3" t="str">
        <f aca="false">Y468</f>
        <v/>
      </c>
      <c r="AD468" s="3" t="n">
        <f aca="false">R468</f>
        <v>0</v>
      </c>
    </row>
    <row r="469" customFormat="false" ht="15" hidden="false" customHeight="true" outlineLevel="0" collapsed="false">
      <c r="A469" s="7" t="s">
        <v>57</v>
      </c>
      <c r="B469" s="7" t="n">
        <v>1930</v>
      </c>
      <c r="C469" s="7" t="s">
        <v>143</v>
      </c>
      <c r="D469" s="7" t="n">
        <v>59</v>
      </c>
      <c r="E469" s="7" t="n">
        <v>95</v>
      </c>
      <c r="F469" s="3" t="n">
        <f aca="false">COUNTIFS($B$2:$B$2705,B469,$C$2:$C$2705,C469)</f>
        <v>1</v>
      </c>
      <c r="G469" s="3" t="n">
        <f aca="false">MIN(INT((MIN(B469,2020)-1900)/10)+1,12)</f>
        <v>4</v>
      </c>
      <c r="H469" s="3" t="n">
        <f aca="false">(MIN(B469,2020)-1900-10*(G469-1))/10</f>
        <v>0</v>
      </c>
      <c r="I469" s="20" t="n">
        <f aca="false">EXP(LN(INDEX(Pop_Inputs!$B$2:$N$29,MATCH(C469,Pop_Inputs!$A$2:$A$29,0),G469))*(1-H469)+LN(INDEX(Pop_Inputs!$B$2:$N$29,MATCH(C469,Pop_Inputs!$A$2:$A$29,0),G469+1))*H469)</f>
        <v>451160</v>
      </c>
      <c r="J469" s="20" t="n">
        <f aca="false">I469/F469</f>
        <v>451160</v>
      </c>
      <c r="K469" s="21" t="n">
        <f aca="false">D469/(D469+E469)</f>
        <v>0.383116883116883</v>
      </c>
      <c r="L469" s="21" t="n">
        <f aca="false">AVERAGEIFS($K$2:$K$2705,$B$2:$B$2705,B469)</f>
        <v>0.5</v>
      </c>
      <c r="M469" s="21" t="n">
        <f aca="false">K469-L469</f>
        <v>-0.116883116883117</v>
      </c>
      <c r="N469" s="21" t="n">
        <f aca="false">LN(J469)</f>
        <v>13.0195773227539</v>
      </c>
      <c r="O469" s="21" t="n">
        <f aca="false">AVERAGEIFS($N$2:$N$2705,$B$2:$B$2705,B469)</f>
        <v>13.7080064257138</v>
      </c>
      <c r="P469" s="21" t="n">
        <f aca="false">N469-O469</f>
        <v>-0.6884291029599</v>
      </c>
      <c r="Q469" s="7" t="n">
        <v>0</v>
      </c>
      <c r="R469" s="3" t="n">
        <f aca="false">IF(AND(Q469=1,B469-_xlfn.MINIFS($B$2:$B$2705,$A$2:$A$2705,A469)&lt;10),1,0)</f>
        <v>0</v>
      </c>
      <c r="S469" s="7" t="n">
        <v>0</v>
      </c>
      <c r="T469" s="3" t="n">
        <f aca="false">_xlfn.MINIFS($B$2:$B$2705,$A$2:$A$2705,A469)</f>
        <v>1901</v>
      </c>
      <c r="U469" s="3" t="n">
        <f aca="false">B469-T469</f>
        <v>29</v>
      </c>
      <c r="V469" s="3" t="str">
        <f aca="false">INDEX(Pop_Inputs!$Q$2:$Q$29,MATCH(C469,Pop_Inputs!$A$2:$A$29,0))</f>
        <v>Midwest</v>
      </c>
      <c r="W469" s="30"/>
      <c r="X469" s="3" t="str">
        <f aca="false">IF(W469="","",LN(W469))</f>
        <v/>
      </c>
      <c r="Y469" s="3" t="str">
        <f aca="false">IF(X469="","",X469-AVERAGEIFS($X$2:$X$2705,$B$2:$B$2705,B469))</f>
        <v/>
      </c>
      <c r="Z469" s="21" t="n">
        <f aca="false">P469</f>
        <v>-0.6884291029599</v>
      </c>
      <c r="AA469" s="3" t="n">
        <f aca="false">R469</f>
        <v>0</v>
      </c>
      <c r="AB469" s="21" t="n">
        <f aca="false">P469</f>
        <v>-0.6884291029599</v>
      </c>
      <c r="AC469" s="3" t="str">
        <f aca="false">Y469</f>
        <v/>
      </c>
      <c r="AD469" s="3" t="n">
        <f aca="false">R469</f>
        <v>0</v>
      </c>
    </row>
    <row r="470" customFormat="false" ht="15" hidden="false" customHeight="true" outlineLevel="0" collapsed="false">
      <c r="A470" s="7" t="s">
        <v>66</v>
      </c>
      <c r="B470" s="7" t="n">
        <v>1930</v>
      </c>
      <c r="C470" s="7" t="s">
        <v>151</v>
      </c>
      <c r="D470" s="7" t="n">
        <v>81</v>
      </c>
      <c r="E470" s="7" t="n">
        <v>73</v>
      </c>
      <c r="F470" s="3" t="n">
        <f aca="false">COUNTIFS($B$2:$B$2705,B470,$C$2:$C$2705,C470)</f>
        <v>1</v>
      </c>
      <c r="G470" s="3" t="n">
        <f aca="false">MIN(INT((MIN(B470,2020)-1900)/10)+1,12)</f>
        <v>4</v>
      </c>
      <c r="H470" s="3" t="n">
        <f aca="false">(MIN(B470,2020)-1900-10*(G470-1))/10</f>
        <v>0</v>
      </c>
      <c r="I470" s="20" t="n">
        <f aca="false">EXP(LN(INDEX(Pop_Inputs!$B$2:$N$29,MATCH(C470,Pop_Inputs!$A$2:$A$29,0),G470))*(1-H470)+LN(INDEX(Pop_Inputs!$B$2:$N$29,MATCH(C470,Pop_Inputs!$A$2:$A$29,0),G470+1))*H470)</f>
        <v>900429</v>
      </c>
      <c r="J470" s="20" t="n">
        <f aca="false">I470/F470</f>
        <v>900429</v>
      </c>
      <c r="K470" s="21" t="n">
        <f aca="false">D470/(D470+E470)</f>
        <v>0.525974025974026</v>
      </c>
      <c r="L470" s="21" t="n">
        <f aca="false">AVERAGEIFS($K$2:$K$2705,$B$2:$B$2705,B470)</f>
        <v>0.5</v>
      </c>
      <c r="M470" s="21" t="n">
        <f aca="false">K470-L470</f>
        <v>0.025974025974026</v>
      </c>
      <c r="N470" s="21" t="n">
        <f aca="false">LN(J470)</f>
        <v>13.7106265954036</v>
      </c>
      <c r="O470" s="21" t="n">
        <f aca="false">AVERAGEIFS($N$2:$N$2705,$B$2:$B$2705,B470)</f>
        <v>13.7080064257138</v>
      </c>
      <c r="P470" s="21" t="n">
        <f aca="false">N470-O470</f>
        <v>0.00262016968989443</v>
      </c>
      <c r="Q470" s="7" t="n">
        <v>0</v>
      </c>
      <c r="R470" s="3" t="n">
        <f aca="false">IF(AND(Q470=1,B470-_xlfn.MINIFS($B$2:$B$2705,$A$2:$A$2705,A470)&lt;10),1,0)</f>
        <v>0</v>
      </c>
      <c r="S470" s="7" t="n">
        <v>0</v>
      </c>
      <c r="T470" s="3" t="n">
        <f aca="false">_xlfn.MINIFS($B$2:$B$2705,$A$2:$A$2705,A470)</f>
        <v>1901</v>
      </c>
      <c r="U470" s="3" t="n">
        <f aca="false">B470-T470</f>
        <v>29</v>
      </c>
      <c r="V470" s="3" t="str">
        <f aca="false">INDEX(Pop_Inputs!$Q$2:$Q$29,MATCH(C470,Pop_Inputs!$A$2:$A$29,0))</f>
        <v>Midwest</v>
      </c>
      <c r="W470" s="30"/>
      <c r="X470" s="3" t="str">
        <f aca="false">IF(W470="","",LN(W470))</f>
        <v/>
      </c>
      <c r="Y470" s="3" t="str">
        <f aca="false">IF(X470="","",X470-AVERAGEIFS($X$2:$X$2705,$B$2:$B$2705,B470))</f>
        <v/>
      </c>
      <c r="Z470" s="21" t="n">
        <f aca="false">P470</f>
        <v>0.00262016968989443</v>
      </c>
      <c r="AA470" s="3" t="n">
        <f aca="false">R470</f>
        <v>0</v>
      </c>
      <c r="AB470" s="21" t="n">
        <f aca="false">P470</f>
        <v>0.00262016968989443</v>
      </c>
      <c r="AC470" s="3" t="str">
        <f aca="false">Y470</f>
        <v/>
      </c>
      <c r="AD470" s="3" t="n">
        <f aca="false">R470</f>
        <v>0</v>
      </c>
    </row>
    <row r="471" customFormat="false" ht="15" hidden="false" customHeight="true" outlineLevel="0" collapsed="false">
      <c r="A471" s="7" t="s">
        <v>67</v>
      </c>
      <c r="B471" s="7" t="n">
        <v>1930</v>
      </c>
      <c r="C471" s="7" t="s">
        <v>152</v>
      </c>
      <c r="D471" s="7" t="n">
        <v>75</v>
      </c>
      <c r="E471" s="7" t="n">
        <v>79</v>
      </c>
      <c r="F471" s="3" t="n">
        <f aca="false">COUNTIFS($B$2:$B$2705,B471,$C$2:$C$2705,C471)</f>
        <v>1</v>
      </c>
      <c r="G471" s="3" t="n">
        <f aca="false">MIN(INT((MIN(B471,2020)-1900)/10)+1,12)</f>
        <v>4</v>
      </c>
      <c r="H471" s="3" t="n">
        <f aca="false">(MIN(B471,2020)-1900-10*(G471-1))/10</f>
        <v>0</v>
      </c>
      <c r="I471" s="20" t="n">
        <f aca="false">EXP(LN(INDEX(Pop_Inputs!$B$2:$N$29,MATCH(C471,Pop_Inputs!$A$2:$A$29,0),G471))*(1-H471)+LN(INDEX(Pop_Inputs!$B$2:$N$29,MATCH(C471,Pop_Inputs!$A$2:$A$29,0),G471+1))*H471)</f>
        <v>1568662</v>
      </c>
      <c r="J471" s="20" t="n">
        <f aca="false">I471/F471</f>
        <v>1568662</v>
      </c>
      <c r="K471" s="21" t="n">
        <f aca="false">D471/(D471+E471)</f>
        <v>0.487012987012987</v>
      </c>
      <c r="L471" s="21" t="n">
        <f aca="false">AVERAGEIFS($K$2:$K$2705,$B$2:$B$2705,B471)</f>
        <v>0.5</v>
      </c>
      <c r="M471" s="21" t="n">
        <f aca="false">K471-L471</f>
        <v>-0.012987012987013</v>
      </c>
      <c r="N471" s="21" t="n">
        <f aca="false">LN(J471)</f>
        <v>14.2657335846713</v>
      </c>
      <c r="O471" s="21" t="n">
        <f aca="false">AVERAGEIFS($N$2:$N$2705,$B$2:$B$2705,B471)</f>
        <v>13.7080064257138</v>
      </c>
      <c r="P471" s="21" t="n">
        <f aca="false">N471-O471</f>
        <v>0.55772715895753</v>
      </c>
      <c r="Q471" s="7" t="n">
        <v>0</v>
      </c>
      <c r="R471" s="3" t="n">
        <f aca="false">IF(AND(Q471=1,B471-_xlfn.MINIFS($B$2:$B$2705,$A$2:$A$2705,A471)&lt;10),1,0)</f>
        <v>0</v>
      </c>
      <c r="S471" s="7" t="n">
        <v>0</v>
      </c>
      <c r="T471" s="3" t="n">
        <f aca="false">_xlfn.MINIFS($B$2:$B$2705,$A$2:$A$2705,A471)</f>
        <v>1901</v>
      </c>
      <c r="U471" s="3" t="n">
        <f aca="false">B471-T471</f>
        <v>29</v>
      </c>
      <c r="V471" s="3" t="str">
        <f aca="false">INDEX(Pop_Inputs!$Q$2:$Q$29,MATCH(C471,Pop_Inputs!$A$2:$A$29,0))</f>
        <v>Midwest</v>
      </c>
      <c r="W471" s="30"/>
      <c r="X471" s="3" t="str">
        <f aca="false">IF(W471="","",LN(W471))</f>
        <v/>
      </c>
      <c r="Y471" s="3" t="str">
        <f aca="false">IF(X471="","",X471-AVERAGEIFS($X$2:$X$2705,$B$2:$B$2705,B471))</f>
        <v/>
      </c>
      <c r="Z471" s="21" t="n">
        <f aca="false">P471</f>
        <v>0.55772715895753</v>
      </c>
      <c r="AA471" s="3" t="n">
        <f aca="false">R471</f>
        <v>0</v>
      </c>
      <c r="AB471" s="21" t="n">
        <f aca="false">P471</f>
        <v>0.55772715895753</v>
      </c>
      <c r="AC471" s="3" t="str">
        <f aca="false">Y471</f>
        <v/>
      </c>
      <c r="AD471" s="3" t="n">
        <f aca="false">R471</f>
        <v>0</v>
      </c>
    </row>
    <row r="472" customFormat="false" ht="15" hidden="false" customHeight="true" outlineLevel="0" collapsed="false">
      <c r="A472" s="7" t="s">
        <v>62</v>
      </c>
      <c r="B472" s="7" t="n">
        <v>1930</v>
      </c>
      <c r="C472" s="7" t="s">
        <v>154</v>
      </c>
      <c r="D472" s="7" t="n">
        <v>86</v>
      </c>
      <c r="E472" s="7" t="n">
        <v>68</v>
      </c>
      <c r="F472" s="3" t="n">
        <f aca="false">COUNTIFS($B$2:$B$2705,B472,$C$2:$C$2705,C472)</f>
        <v>3</v>
      </c>
      <c r="G472" s="3" t="n">
        <f aca="false">MIN(INT((MIN(B472,2020)-1900)/10)+1,12)</f>
        <v>4</v>
      </c>
      <c r="H472" s="3" t="n">
        <f aca="false">(MIN(B472,2020)-1900-10*(G472-1))/10</f>
        <v>0</v>
      </c>
      <c r="I472" s="20" t="n">
        <f aca="false">EXP(LN(INDEX(Pop_Inputs!$B$2:$N$29,MATCH(C472,Pop_Inputs!$A$2:$A$29,0),G472))*(1-H472)+LN(INDEX(Pop_Inputs!$B$2:$N$29,MATCH(C472,Pop_Inputs!$A$2:$A$29,0),G472+1))*H472)</f>
        <v>6930446.00000001</v>
      </c>
      <c r="J472" s="20" t="n">
        <f aca="false">I472/F472</f>
        <v>2310148.66666667</v>
      </c>
      <c r="K472" s="21" t="n">
        <f aca="false">D472/(D472+E472)</f>
        <v>0.558441558441558</v>
      </c>
      <c r="L472" s="21" t="n">
        <f aca="false">AVERAGEIFS($K$2:$K$2705,$B$2:$B$2705,B472)</f>
        <v>0.5</v>
      </c>
      <c r="M472" s="21" t="n">
        <f aca="false">K472-L472</f>
        <v>0.0584415584415584</v>
      </c>
      <c r="N472" s="21" t="n">
        <f aca="false">LN(J472)</f>
        <v>14.6528224382915</v>
      </c>
      <c r="O472" s="21" t="n">
        <f aca="false">AVERAGEIFS($N$2:$N$2705,$B$2:$B$2705,B472)</f>
        <v>13.7080064257138</v>
      </c>
      <c r="P472" s="21" t="n">
        <f aca="false">N472-O472</f>
        <v>0.944816012577704</v>
      </c>
      <c r="Q472" s="7" t="n">
        <v>0</v>
      </c>
      <c r="R472" s="3" t="n">
        <f aca="false">IF(AND(Q472=1,B472-_xlfn.MINIFS($B$2:$B$2705,$A$2:$A$2705,A472)&lt;10),1,0)</f>
        <v>0</v>
      </c>
      <c r="S472" s="7" t="n">
        <v>0</v>
      </c>
      <c r="T472" s="3" t="n">
        <f aca="false">_xlfn.MINIFS($B$2:$B$2705,$A$2:$A$2705,A472)</f>
        <v>1901</v>
      </c>
      <c r="U472" s="3" t="n">
        <f aca="false">B472-T472</f>
        <v>29</v>
      </c>
      <c r="V472" s="3" t="str">
        <f aca="false">INDEX(Pop_Inputs!$Q$2:$Q$29,MATCH(C472,Pop_Inputs!$A$2:$A$29,0))</f>
        <v>Northeast</v>
      </c>
      <c r="W472" s="30"/>
      <c r="X472" s="3" t="str">
        <f aca="false">IF(W472="","",LN(W472))</f>
        <v/>
      </c>
      <c r="Y472" s="3" t="str">
        <f aca="false">IF(X472="","",X472-AVERAGEIFS($X$2:$X$2705,$B$2:$B$2705,B472))</f>
        <v/>
      </c>
      <c r="Z472" s="21" t="n">
        <f aca="false">P472</f>
        <v>0.944816012577704</v>
      </c>
      <c r="AA472" s="3" t="n">
        <f aca="false">R472</f>
        <v>0</v>
      </c>
      <c r="AB472" s="21" t="n">
        <f aca="false">P472</f>
        <v>0.944816012577704</v>
      </c>
      <c r="AC472" s="3" t="str">
        <f aca="false">Y472</f>
        <v/>
      </c>
      <c r="AD472" s="3" t="n">
        <f aca="false">R472</f>
        <v>0</v>
      </c>
    </row>
    <row r="473" customFormat="false" ht="15" hidden="false" customHeight="true" outlineLevel="0" collapsed="false">
      <c r="A473" s="7" t="s">
        <v>68</v>
      </c>
      <c r="B473" s="7" t="n">
        <v>1930</v>
      </c>
      <c r="C473" s="7" t="s">
        <v>160</v>
      </c>
      <c r="D473" s="7" t="n">
        <v>94</v>
      </c>
      <c r="E473" s="7" t="n">
        <v>60</v>
      </c>
      <c r="F473" s="3" t="n">
        <f aca="false">COUNTIFS($B$2:$B$2705,B473,$C$2:$C$2705,C473)</f>
        <v>1</v>
      </c>
      <c r="G473" s="3" t="n">
        <f aca="false">MIN(INT((MIN(B473,2020)-1900)/10)+1,12)</f>
        <v>4</v>
      </c>
      <c r="H473" s="3" t="n">
        <f aca="false">(MIN(B473,2020)-1900-10*(G473-1))/10</f>
        <v>0</v>
      </c>
      <c r="I473" s="20" t="n">
        <f aca="false">EXP(LN(INDEX(Pop_Inputs!$B$2:$N$29,MATCH(C473,Pop_Inputs!$A$2:$A$29,0),G473))*(1-H473)+LN(INDEX(Pop_Inputs!$B$2:$N$29,MATCH(C473,Pop_Inputs!$A$2:$A$29,0),G473+1))*H473)</f>
        <v>486869</v>
      </c>
      <c r="J473" s="20" t="n">
        <f aca="false">I473/F473</f>
        <v>486869</v>
      </c>
      <c r="K473" s="21" t="n">
        <f aca="false">D473/(D473+E473)</f>
        <v>0.61038961038961</v>
      </c>
      <c r="L473" s="21" t="n">
        <f aca="false">AVERAGEIFS($K$2:$K$2705,$B$2:$B$2705,B473)</f>
        <v>0.5</v>
      </c>
      <c r="M473" s="21" t="n">
        <f aca="false">K473-L473</f>
        <v>0.11038961038961</v>
      </c>
      <c r="N473" s="21" t="n">
        <f aca="false">LN(J473)</f>
        <v>13.0957503720396</v>
      </c>
      <c r="O473" s="21" t="n">
        <f aca="false">AVERAGEIFS($N$2:$N$2705,$B$2:$B$2705,B473)</f>
        <v>13.7080064257138</v>
      </c>
      <c r="P473" s="21" t="n">
        <f aca="false">N473-O473</f>
        <v>-0.612256053674194</v>
      </c>
      <c r="Q473" s="7" t="n">
        <v>0</v>
      </c>
      <c r="R473" s="3" t="n">
        <f aca="false">IF(AND(Q473=1,B473-_xlfn.MINIFS($B$2:$B$2705,$A$2:$A$2705,A473)&lt;10),1,0)</f>
        <v>0</v>
      </c>
      <c r="S473" s="7" t="n">
        <v>0</v>
      </c>
      <c r="T473" s="3" t="n">
        <f aca="false">_xlfn.MINIFS($B$2:$B$2705,$A$2:$A$2705,A473)</f>
        <v>1901</v>
      </c>
      <c r="U473" s="3" t="n">
        <f aca="false">B473-T473</f>
        <v>29</v>
      </c>
      <c r="V473" s="3" t="str">
        <f aca="false">INDEX(Pop_Inputs!$Q$2:$Q$29,MATCH(C473,Pop_Inputs!$A$2:$A$29,0))</f>
        <v>South</v>
      </c>
      <c r="W473" s="30"/>
      <c r="X473" s="3" t="str">
        <f aca="false">IF(W473="","",LN(W473))</f>
        <v/>
      </c>
      <c r="Y473" s="3" t="str">
        <f aca="false">IF(X473="","",X473-AVERAGEIFS($X$2:$X$2705,$B$2:$B$2705,B473))</f>
        <v/>
      </c>
      <c r="Z473" s="21" t="n">
        <f aca="false">P473</f>
        <v>-0.612256053674194</v>
      </c>
      <c r="AA473" s="3" t="n">
        <f aca="false">R473</f>
        <v>0</v>
      </c>
      <c r="AB473" s="21" t="n">
        <f aca="false">P473</f>
        <v>-0.612256053674194</v>
      </c>
      <c r="AC473" s="3" t="str">
        <f aca="false">Y473</f>
        <v/>
      </c>
      <c r="AD473" s="3" t="n">
        <f aca="false">R473</f>
        <v>0</v>
      </c>
    </row>
    <row r="474" customFormat="false" ht="15" hidden="false" customHeight="true" outlineLevel="0" collapsed="false">
      <c r="A474" s="7" t="s">
        <v>70</v>
      </c>
      <c r="B474" s="7" t="n">
        <v>1930</v>
      </c>
      <c r="C474" s="7" t="s">
        <v>154</v>
      </c>
      <c r="D474" s="7" t="n">
        <v>86</v>
      </c>
      <c r="E474" s="7" t="n">
        <v>68</v>
      </c>
      <c r="F474" s="3" t="n">
        <f aca="false">COUNTIFS($B$2:$B$2705,B474,$C$2:$C$2705,C474)</f>
        <v>3</v>
      </c>
      <c r="G474" s="3" t="n">
        <f aca="false">MIN(INT((MIN(B474,2020)-1900)/10)+1,12)</f>
        <v>4</v>
      </c>
      <c r="H474" s="3" t="n">
        <f aca="false">(MIN(B474,2020)-1900-10*(G474-1))/10</f>
        <v>0</v>
      </c>
      <c r="I474" s="20" t="n">
        <f aca="false">EXP(LN(INDEX(Pop_Inputs!$B$2:$N$29,MATCH(C474,Pop_Inputs!$A$2:$A$29,0),G474))*(1-H474)+LN(INDEX(Pop_Inputs!$B$2:$N$29,MATCH(C474,Pop_Inputs!$A$2:$A$29,0),G474+1))*H474)</f>
        <v>6930446.00000001</v>
      </c>
      <c r="J474" s="20" t="n">
        <f aca="false">I474/F474</f>
        <v>2310148.66666667</v>
      </c>
      <c r="K474" s="21" t="n">
        <f aca="false">D474/(D474+E474)</f>
        <v>0.558441558441558</v>
      </c>
      <c r="L474" s="21" t="n">
        <f aca="false">AVERAGEIFS($K$2:$K$2705,$B$2:$B$2705,B474)</f>
        <v>0.5</v>
      </c>
      <c r="M474" s="21" t="n">
        <f aca="false">K474-L474</f>
        <v>0.0584415584415584</v>
      </c>
      <c r="N474" s="21" t="n">
        <f aca="false">LN(J474)</f>
        <v>14.6528224382915</v>
      </c>
      <c r="O474" s="21" t="n">
        <f aca="false">AVERAGEIFS($N$2:$N$2705,$B$2:$B$2705,B474)</f>
        <v>13.7080064257138</v>
      </c>
      <c r="P474" s="21" t="n">
        <f aca="false">N474-O474</f>
        <v>0.944816012577704</v>
      </c>
      <c r="Q474" s="7" t="n">
        <v>0</v>
      </c>
      <c r="R474" s="3" t="n">
        <f aca="false">IF(AND(Q474=1,B474-_xlfn.MINIFS($B$2:$B$2705,$A$2:$A$2705,A474)&lt;10),1,0)</f>
        <v>0</v>
      </c>
      <c r="S474" s="7" t="n">
        <v>1</v>
      </c>
      <c r="T474" s="3" t="n">
        <f aca="false">_xlfn.MINIFS($B$2:$B$2705,$A$2:$A$2705,A474)</f>
        <v>1903</v>
      </c>
      <c r="U474" s="3" t="n">
        <f aca="false">B474-T474</f>
        <v>27</v>
      </c>
      <c r="V474" s="3" t="str">
        <f aca="false">INDEX(Pop_Inputs!$Q$2:$Q$29,MATCH(C474,Pop_Inputs!$A$2:$A$29,0))</f>
        <v>Northeast</v>
      </c>
      <c r="W474" s="30"/>
      <c r="X474" s="3" t="str">
        <f aca="false">IF(W474="","",LN(W474))</f>
        <v/>
      </c>
      <c r="Y474" s="3" t="str">
        <f aca="false">IF(X474="","",X474-AVERAGEIFS($X$2:$X$2705,$B$2:$B$2705,B474))</f>
        <v/>
      </c>
      <c r="Z474" s="21" t="n">
        <f aca="false">P474</f>
        <v>0.944816012577704</v>
      </c>
      <c r="AA474" s="3" t="n">
        <f aca="false">R474</f>
        <v>0</v>
      </c>
      <c r="AB474" s="21" t="n">
        <f aca="false">P474</f>
        <v>0.944816012577704</v>
      </c>
      <c r="AC474" s="3" t="str">
        <f aca="false">Y474</f>
        <v/>
      </c>
      <c r="AD474" s="3" t="n">
        <f aca="false">R474</f>
        <v>0</v>
      </c>
    </row>
    <row r="475" customFormat="false" ht="15" hidden="false" customHeight="true" outlineLevel="0" collapsed="false">
      <c r="A475" s="7" t="s">
        <v>69</v>
      </c>
      <c r="B475" s="7" t="n">
        <v>1930</v>
      </c>
      <c r="C475" s="7" t="s">
        <v>146</v>
      </c>
      <c r="D475" s="7" t="n">
        <v>102</v>
      </c>
      <c r="E475" s="7" t="n">
        <v>52</v>
      </c>
      <c r="F475" s="3" t="n">
        <f aca="false">COUNTIFS($B$2:$B$2705,B475,$C$2:$C$2705,C475)</f>
        <v>2</v>
      </c>
      <c r="G475" s="3" t="n">
        <f aca="false">MIN(INT((MIN(B475,2020)-1900)/10)+1,12)</f>
        <v>4</v>
      </c>
      <c r="H475" s="3" t="n">
        <f aca="false">(MIN(B475,2020)-1900-10*(G475-1))/10</f>
        <v>0</v>
      </c>
      <c r="I475" s="20" t="n">
        <f aca="false">EXP(LN(INDEX(Pop_Inputs!$B$2:$N$29,MATCH(C475,Pop_Inputs!$A$2:$A$29,0),G475))*(1-H475)+LN(INDEX(Pop_Inputs!$B$2:$N$29,MATCH(C475,Pop_Inputs!$A$2:$A$29,0),G475+1))*H475)</f>
        <v>1950961</v>
      </c>
      <c r="J475" s="20" t="n">
        <f aca="false">I475/F475</f>
        <v>975480.5</v>
      </c>
      <c r="K475" s="21" t="n">
        <f aca="false">D475/(D475+E475)</f>
        <v>0.662337662337662</v>
      </c>
      <c r="L475" s="21" t="n">
        <f aca="false">AVERAGEIFS($K$2:$K$2705,$B$2:$B$2705,B475)</f>
        <v>0.5</v>
      </c>
      <c r="M475" s="21" t="n">
        <f aca="false">K475-L475</f>
        <v>0.162337662337662</v>
      </c>
      <c r="N475" s="21" t="n">
        <f aca="false">LN(J475)</f>
        <v>13.7906854490967</v>
      </c>
      <c r="O475" s="21" t="n">
        <f aca="false">AVERAGEIFS($N$2:$N$2705,$B$2:$B$2705,B475)</f>
        <v>13.7080064257138</v>
      </c>
      <c r="P475" s="21" t="n">
        <f aca="false">N475-O475</f>
        <v>0.0826790233829051</v>
      </c>
      <c r="Q475" s="7" t="n">
        <v>0</v>
      </c>
      <c r="R475" s="3" t="n">
        <f aca="false">IF(AND(Q475=1,B475-_xlfn.MINIFS($B$2:$B$2705,$A$2:$A$2705,A475)&lt;10),1,0)</f>
        <v>0</v>
      </c>
      <c r="S475" s="7" t="n">
        <v>0</v>
      </c>
      <c r="T475" s="3" t="n">
        <f aca="false">_xlfn.MINIFS($B$2:$B$2705,$A$2:$A$2705,A475)</f>
        <v>1901</v>
      </c>
      <c r="U475" s="3" t="n">
        <f aca="false">B475-T475</f>
        <v>29</v>
      </c>
      <c r="V475" s="3" t="str">
        <f aca="false">INDEX(Pop_Inputs!$Q$2:$Q$29,MATCH(C475,Pop_Inputs!$A$2:$A$29,0))</f>
        <v>Northeast</v>
      </c>
      <c r="W475" s="30"/>
      <c r="X475" s="3" t="str">
        <f aca="false">IF(W475="","",LN(W475))</f>
        <v/>
      </c>
      <c r="Y475" s="3" t="str">
        <f aca="false">IF(X475="","",X475-AVERAGEIFS($X$2:$X$2705,$B$2:$B$2705,B475))</f>
        <v/>
      </c>
      <c r="Z475" s="21" t="n">
        <f aca="false">P475</f>
        <v>0.0826790233829051</v>
      </c>
      <c r="AA475" s="3" t="n">
        <f aca="false">R475</f>
        <v>0</v>
      </c>
      <c r="AB475" s="21" t="n">
        <f aca="false">P475</f>
        <v>0.0826790233829051</v>
      </c>
      <c r="AC475" s="3" t="str">
        <f aca="false">Y475</f>
        <v/>
      </c>
      <c r="AD475" s="3" t="n">
        <f aca="false">R475</f>
        <v>0</v>
      </c>
    </row>
    <row r="476" customFormat="false" ht="15" hidden="false" customHeight="true" outlineLevel="0" collapsed="false">
      <c r="A476" s="7" t="s">
        <v>60</v>
      </c>
      <c r="B476" s="7" t="n">
        <v>1930</v>
      </c>
      <c r="C476" s="7" t="s">
        <v>146</v>
      </c>
      <c r="D476" s="7" t="n">
        <v>52</v>
      </c>
      <c r="E476" s="7" t="n">
        <v>102</v>
      </c>
      <c r="F476" s="3" t="n">
        <f aca="false">COUNTIFS($B$2:$B$2705,B476,$C$2:$C$2705,C476)</f>
        <v>2</v>
      </c>
      <c r="G476" s="3" t="n">
        <f aca="false">MIN(INT((MIN(B476,2020)-1900)/10)+1,12)</f>
        <v>4</v>
      </c>
      <c r="H476" s="3" t="n">
        <f aca="false">(MIN(B476,2020)-1900-10*(G476-1))/10</f>
        <v>0</v>
      </c>
      <c r="I476" s="20" t="n">
        <f aca="false">EXP(LN(INDEX(Pop_Inputs!$B$2:$N$29,MATCH(C476,Pop_Inputs!$A$2:$A$29,0),G476))*(1-H476)+LN(INDEX(Pop_Inputs!$B$2:$N$29,MATCH(C476,Pop_Inputs!$A$2:$A$29,0),G476+1))*H476)</f>
        <v>1950961</v>
      </c>
      <c r="J476" s="20" t="n">
        <f aca="false">I476/F476</f>
        <v>975480.5</v>
      </c>
      <c r="K476" s="21" t="n">
        <f aca="false">D476/(D476+E476)</f>
        <v>0.337662337662338</v>
      </c>
      <c r="L476" s="21" t="n">
        <f aca="false">AVERAGEIFS($K$2:$K$2705,$B$2:$B$2705,B476)</f>
        <v>0.5</v>
      </c>
      <c r="M476" s="21" t="n">
        <f aca="false">K476-L476</f>
        <v>-0.162337662337662</v>
      </c>
      <c r="N476" s="21" t="n">
        <f aca="false">LN(J476)</f>
        <v>13.7906854490967</v>
      </c>
      <c r="O476" s="21" t="n">
        <f aca="false">AVERAGEIFS($N$2:$N$2705,$B$2:$B$2705,B476)</f>
        <v>13.7080064257138</v>
      </c>
      <c r="P476" s="21" t="n">
        <f aca="false">N476-O476</f>
        <v>0.0826790233829051</v>
      </c>
      <c r="Q476" s="7" t="n">
        <v>0</v>
      </c>
      <c r="R476" s="3" t="n">
        <f aca="false">IF(AND(Q476=1,B476-_xlfn.MINIFS($B$2:$B$2705,$A$2:$A$2705,A476)&lt;10),1,0)</f>
        <v>0</v>
      </c>
      <c r="S476" s="7" t="n">
        <v>0</v>
      </c>
      <c r="T476" s="3" t="n">
        <f aca="false">_xlfn.MINIFS($B$2:$B$2705,$A$2:$A$2705,A476)</f>
        <v>1901</v>
      </c>
      <c r="U476" s="3" t="n">
        <f aca="false">B476-T476</f>
        <v>29</v>
      </c>
      <c r="V476" s="3" t="str">
        <f aca="false">INDEX(Pop_Inputs!$Q$2:$Q$29,MATCH(C476,Pop_Inputs!$A$2:$A$29,0))</f>
        <v>Northeast</v>
      </c>
      <c r="W476" s="30"/>
      <c r="X476" s="3" t="str">
        <f aca="false">IF(W476="","",LN(W476))</f>
        <v/>
      </c>
      <c r="Y476" s="3" t="str">
        <f aca="false">IF(X476="","",X476-AVERAGEIFS($X$2:$X$2705,$B$2:$B$2705,B476))</f>
        <v/>
      </c>
      <c r="Z476" s="21" t="n">
        <f aca="false">P476</f>
        <v>0.0826790233829051</v>
      </c>
      <c r="AA476" s="3" t="n">
        <f aca="false">R476</f>
        <v>0</v>
      </c>
      <c r="AB476" s="21" t="n">
        <f aca="false">P476</f>
        <v>0.0826790233829051</v>
      </c>
      <c r="AC476" s="3" t="str">
        <f aca="false">Y476</f>
        <v/>
      </c>
      <c r="AD476" s="3" t="n">
        <f aca="false">R476</f>
        <v>0</v>
      </c>
    </row>
    <row r="477" customFormat="false" ht="15" hidden="false" customHeight="true" outlineLevel="0" collapsed="false">
      <c r="A477" s="7" t="s">
        <v>58</v>
      </c>
      <c r="B477" s="7" t="n">
        <v>1930</v>
      </c>
      <c r="C477" s="7" t="s">
        <v>144</v>
      </c>
      <c r="D477" s="7" t="n">
        <v>80</v>
      </c>
      <c r="E477" s="7" t="n">
        <v>74</v>
      </c>
      <c r="F477" s="3" t="n">
        <f aca="false">COUNTIFS($B$2:$B$2705,B477,$C$2:$C$2705,C477)</f>
        <v>1</v>
      </c>
      <c r="G477" s="3" t="n">
        <f aca="false">MIN(INT((MIN(B477,2020)-1900)/10)+1,12)</f>
        <v>4</v>
      </c>
      <c r="H477" s="3" t="n">
        <f aca="false">(MIN(B477,2020)-1900-10*(G477-1))/10</f>
        <v>0</v>
      </c>
      <c r="I477" s="20" t="n">
        <f aca="false">EXP(LN(INDEX(Pop_Inputs!$B$2:$N$29,MATCH(C477,Pop_Inputs!$A$2:$A$29,0),G477))*(1-H477)+LN(INDEX(Pop_Inputs!$B$2:$N$29,MATCH(C477,Pop_Inputs!$A$2:$A$29,0),G477+1))*H477)</f>
        <v>669817</v>
      </c>
      <c r="J477" s="20" t="n">
        <f aca="false">I477/F477</f>
        <v>669817</v>
      </c>
      <c r="K477" s="21" t="n">
        <f aca="false">D477/(D477+E477)</f>
        <v>0.519480519480519</v>
      </c>
      <c r="L477" s="21" t="n">
        <f aca="false">AVERAGEIFS($K$2:$K$2705,$B$2:$B$2705,B477)</f>
        <v>0.5</v>
      </c>
      <c r="M477" s="21" t="n">
        <f aca="false">K477-L477</f>
        <v>0.0194805194805194</v>
      </c>
      <c r="N477" s="21" t="n">
        <f aca="false">LN(J477)</f>
        <v>13.4147598197308</v>
      </c>
      <c r="O477" s="21" t="n">
        <f aca="false">AVERAGEIFS($N$2:$N$2705,$B$2:$B$2705,B477)</f>
        <v>13.7080064257138</v>
      </c>
      <c r="P477" s="21" t="n">
        <f aca="false">N477-O477</f>
        <v>-0.293246605982937</v>
      </c>
      <c r="Q477" s="7" t="n">
        <v>0</v>
      </c>
      <c r="R477" s="3" t="n">
        <f aca="false">IF(AND(Q477=1,B477-_xlfn.MINIFS($B$2:$B$2705,$A$2:$A$2705,A477)&lt;10),1,0)</f>
        <v>0</v>
      </c>
      <c r="S477" s="7" t="n">
        <v>0</v>
      </c>
      <c r="T477" s="3" t="n">
        <f aca="false">_xlfn.MINIFS($B$2:$B$2705,$A$2:$A$2705,A477)</f>
        <v>1901</v>
      </c>
      <c r="U477" s="3" t="n">
        <f aca="false">B477-T477</f>
        <v>29</v>
      </c>
      <c r="V477" s="3" t="str">
        <f aca="false">INDEX(Pop_Inputs!$Q$2:$Q$29,MATCH(C477,Pop_Inputs!$A$2:$A$29,0))</f>
        <v>Northeast</v>
      </c>
      <c r="W477" s="30"/>
      <c r="X477" s="3" t="str">
        <f aca="false">IF(W477="","",LN(W477))</f>
        <v/>
      </c>
      <c r="Y477" s="3" t="str">
        <f aca="false">IF(X477="","",X477-AVERAGEIFS($X$2:$X$2705,$B$2:$B$2705,B477))</f>
        <v/>
      </c>
      <c r="Z477" s="21" t="n">
        <f aca="false">P477</f>
        <v>-0.293246605982937</v>
      </c>
      <c r="AA477" s="3" t="n">
        <f aca="false">R477</f>
        <v>0</v>
      </c>
      <c r="AB477" s="21" t="n">
        <f aca="false">P477</f>
        <v>-0.293246605982937</v>
      </c>
      <c r="AC477" s="3" t="str">
        <f aca="false">Y477</f>
        <v/>
      </c>
      <c r="AD477" s="3" t="n">
        <f aca="false">R477</f>
        <v>0</v>
      </c>
    </row>
    <row r="478" customFormat="false" ht="15" hidden="false" customHeight="true" outlineLevel="0" collapsed="false">
      <c r="A478" s="7" t="s">
        <v>61</v>
      </c>
      <c r="B478" s="7" t="n">
        <v>1930</v>
      </c>
      <c r="C478" s="7" t="s">
        <v>154</v>
      </c>
      <c r="D478" s="7" t="n">
        <v>87</v>
      </c>
      <c r="E478" s="7" t="n">
        <v>67</v>
      </c>
      <c r="F478" s="3" t="n">
        <f aca="false">COUNTIFS($B$2:$B$2705,B478,$C$2:$C$2705,C478)</f>
        <v>3</v>
      </c>
      <c r="G478" s="3" t="n">
        <f aca="false">MIN(INT((MIN(B478,2020)-1900)/10)+1,12)</f>
        <v>4</v>
      </c>
      <c r="H478" s="3" t="n">
        <f aca="false">(MIN(B478,2020)-1900-10*(G478-1))/10</f>
        <v>0</v>
      </c>
      <c r="I478" s="20" t="n">
        <f aca="false">EXP(LN(INDEX(Pop_Inputs!$B$2:$N$29,MATCH(C478,Pop_Inputs!$A$2:$A$29,0),G478))*(1-H478)+LN(INDEX(Pop_Inputs!$B$2:$N$29,MATCH(C478,Pop_Inputs!$A$2:$A$29,0),G478+1))*H478)</f>
        <v>6930446.00000001</v>
      </c>
      <c r="J478" s="20" t="n">
        <f aca="false">I478/F478</f>
        <v>2310148.66666667</v>
      </c>
      <c r="K478" s="21" t="n">
        <f aca="false">D478/(D478+E478)</f>
        <v>0.564935064935065</v>
      </c>
      <c r="L478" s="21" t="n">
        <f aca="false">AVERAGEIFS($K$2:$K$2705,$B$2:$B$2705,B478)</f>
        <v>0.5</v>
      </c>
      <c r="M478" s="21" t="n">
        <f aca="false">K478-L478</f>
        <v>0.064935064935065</v>
      </c>
      <c r="N478" s="21" t="n">
        <f aca="false">LN(J478)</f>
        <v>14.6528224382915</v>
      </c>
      <c r="O478" s="21" t="n">
        <f aca="false">AVERAGEIFS($N$2:$N$2705,$B$2:$B$2705,B478)</f>
        <v>13.7080064257138</v>
      </c>
      <c r="P478" s="21" t="n">
        <f aca="false">N478-O478</f>
        <v>0.944816012577704</v>
      </c>
      <c r="Q478" s="7" t="n">
        <v>0</v>
      </c>
      <c r="R478" s="3" t="n">
        <f aca="false">IF(AND(Q478=1,B478-_xlfn.MINIFS($B$2:$B$2705,$A$2:$A$2705,A478)&lt;10),1,0)</f>
        <v>0</v>
      </c>
      <c r="S478" s="7" t="n">
        <v>0</v>
      </c>
      <c r="T478" s="3" t="n">
        <f aca="false">_xlfn.MINIFS($B$2:$B$2705,$A$2:$A$2705,A478)</f>
        <v>1901</v>
      </c>
      <c r="U478" s="3" t="n">
        <f aca="false">B478-T478</f>
        <v>29</v>
      </c>
      <c r="V478" s="3" t="str">
        <f aca="false">INDEX(Pop_Inputs!$Q$2:$Q$29,MATCH(C478,Pop_Inputs!$A$2:$A$29,0))</f>
        <v>Northeast</v>
      </c>
      <c r="W478" s="30"/>
      <c r="X478" s="3" t="str">
        <f aca="false">IF(W478="","",LN(W478))</f>
        <v/>
      </c>
      <c r="Y478" s="3" t="str">
        <f aca="false">IF(X478="","",X478-AVERAGEIFS($X$2:$X$2705,$B$2:$B$2705,B478))</f>
        <v/>
      </c>
      <c r="Z478" s="21" t="n">
        <f aca="false">P478</f>
        <v>0.944816012577704</v>
      </c>
      <c r="AA478" s="3" t="n">
        <f aca="false">R478</f>
        <v>0</v>
      </c>
      <c r="AB478" s="21" t="n">
        <f aca="false">P478</f>
        <v>0.944816012577704</v>
      </c>
      <c r="AC478" s="3" t="str">
        <f aca="false">Y478</f>
        <v/>
      </c>
      <c r="AD478" s="3" t="n">
        <f aca="false">R478</f>
        <v>0</v>
      </c>
    </row>
    <row r="479" customFormat="false" ht="15" hidden="false" customHeight="true" outlineLevel="0" collapsed="false">
      <c r="A479" s="7" t="s">
        <v>59</v>
      </c>
      <c r="B479" s="7" t="n">
        <v>1930</v>
      </c>
      <c r="C479" s="7" t="s">
        <v>145</v>
      </c>
      <c r="D479" s="7" t="n">
        <v>92</v>
      </c>
      <c r="E479" s="7" t="n">
        <v>62</v>
      </c>
      <c r="F479" s="3" t="n">
        <f aca="false">COUNTIFS($B$2:$B$2705,B479,$C$2:$C$2705,C479)</f>
        <v>2</v>
      </c>
      <c r="G479" s="3" t="n">
        <f aca="false">MIN(INT((MIN(B479,2020)-1900)/10)+1,12)</f>
        <v>4</v>
      </c>
      <c r="H479" s="3" t="n">
        <f aca="false">(MIN(B479,2020)-1900-10*(G479-1))/10</f>
        <v>0</v>
      </c>
      <c r="I479" s="20" t="n">
        <f aca="false">EXP(LN(INDEX(Pop_Inputs!$B$2:$N$29,MATCH(C479,Pop_Inputs!$A$2:$A$29,0),G479))*(1-H479)+LN(INDEX(Pop_Inputs!$B$2:$N$29,MATCH(C479,Pop_Inputs!$A$2:$A$29,0),G479+1))*H479)</f>
        <v>821960</v>
      </c>
      <c r="J479" s="20" t="n">
        <f aca="false">I479/F479</f>
        <v>410980</v>
      </c>
      <c r="K479" s="21" t="n">
        <f aca="false">D479/(D479+E479)</f>
        <v>0.597402597402597</v>
      </c>
      <c r="L479" s="21" t="n">
        <f aca="false">AVERAGEIFS($K$2:$K$2705,$B$2:$B$2705,B479)</f>
        <v>0.5</v>
      </c>
      <c r="M479" s="21" t="n">
        <f aca="false">K479-L479</f>
        <v>0.0974025974025974</v>
      </c>
      <c r="N479" s="21" t="n">
        <f aca="false">LN(J479)</f>
        <v>12.9262998304939</v>
      </c>
      <c r="O479" s="21" t="n">
        <f aca="false">AVERAGEIFS($N$2:$N$2705,$B$2:$B$2705,B479)</f>
        <v>13.7080064257138</v>
      </c>
      <c r="P479" s="21" t="n">
        <f aca="false">N479-O479</f>
        <v>-0.781706595219893</v>
      </c>
      <c r="Q479" s="7" t="n">
        <v>0</v>
      </c>
      <c r="R479" s="3" t="n">
        <f aca="false">IF(AND(Q479=1,B479-_xlfn.MINIFS($B$2:$B$2705,$A$2:$A$2705,A479)&lt;10),1,0)</f>
        <v>0</v>
      </c>
      <c r="S479" s="7" t="n">
        <v>0</v>
      </c>
      <c r="T479" s="3" t="n">
        <f aca="false">_xlfn.MINIFS($B$2:$B$2705,$A$2:$A$2705,A479)</f>
        <v>1901</v>
      </c>
      <c r="U479" s="3" t="n">
        <f aca="false">B479-T479</f>
        <v>29</v>
      </c>
      <c r="V479" s="3" t="str">
        <f aca="false">INDEX(Pop_Inputs!$Q$2:$Q$29,MATCH(C479,Pop_Inputs!$A$2:$A$29,0))</f>
        <v>Midwest</v>
      </c>
      <c r="W479" s="30"/>
      <c r="X479" s="3" t="str">
        <f aca="false">IF(W479="","",LN(W479))</f>
        <v/>
      </c>
      <c r="Y479" s="3" t="str">
        <f aca="false">IF(X479="","",X479-AVERAGEIFS($X$2:$X$2705,$B$2:$B$2705,B479))</f>
        <v/>
      </c>
      <c r="Z479" s="21" t="n">
        <f aca="false">P479</f>
        <v>-0.781706595219893</v>
      </c>
      <c r="AA479" s="3" t="n">
        <f aca="false">R479</f>
        <v>0</v>
      </c>
      <c r="AB479" s="21" t="n">
        <f aca="false">P479</f>
        <v>-0.781706595219893</v>
      </c>
      <c r="AC479" s="3" t="str">
        <f aca="false">Y479</f>
        <v/>
      </c>
      <c r="AD479" s="3" t="n">
        <f aca="false">R479</f>
        <v>0</v>
      </c>
    </row>
    <row r="480" customFormat="false" ht="15" hidden="false" customHeight="true" outlineLevel="0" collapsed="false">
      <c r="A480" s="7" t="s">
        <v>54</v>
      </c>
      <c r="B480" s="7" t="n">
        <v>1931</v>
      </c>
      <c r="C480" s="7" t="s">
        <v>150</v>
      </c>
      <c r="D480" s="7" t="n">
        <v>64</v>
      </c>
      <c r="E480" s="7" t="n">
        <v>90</v>
      </c>
      <c r="F480" s="3" t="n">
        <f aca="false">COUNTIFS($B$2:$B$2705,B480,$C$2:$C$2705,C480)</f>
        <v>2</v>
      </c>
      <c r="G480" s="3" t="n">
        <f aca="false">MIN(INT((MIN(B480,2020)-1900)/10)+1,12)</f>
        <v>4</v>
      </c>
      <c r="H480" s="3" t="n">
        <f aca="false">(MIN(B480,2020)-1900-10*(G480-1))/10</f>
        <v>0.1</v>
      </c>
      <c r="I480" s="20" t="n">
        <f aca="false">EXP(LN(INDEX(Pop_Inputs!$B$2:$N$29,MATCH(C480,Pop_Inputs!$A$2:$A$29,0),G480))*(1-H480)+LN(INDEX(Pop_Inputs!$B$2:$N$29,MATCH(C480,Pop_Inputs!$A$2:$A$29,0),G480+1))*H480)</f>
        <v>780144.550376403</v>
      </c>
      <c r="J480" s="20" t="n">
        <f aca="false">I480/F480</f>
        <v>390072.275188202</v>
      </c>
      <c r="K480" s="21" t="n">
        <f aca="false">D480/(D480+E480)</f>
        <v>0.415584415584416</v>
      </c>
      <c r="L480" s="21" t="n">
        <f aca="false">AVERAGEIFS($K$2:$K$2705,$B$2:$B$2705,B480)</f>
        <v>0.500157583966601</v>
      </c>
      <c r="M480" s="21" t="n">
        <f aca="false">K480-L480</f>
        <v>-0.0845731683821854</v>
      </c>
      <c r="N480" s="21" t="n">
        <f aca="false">LN(J480)</f>
        <v>12.8740873219314</v>
      </c>
      <c r="O480" s="21" t="n">
        <f aca="false">AVERAGEIFS($N$2:$N$2705,$B$2:$B$2705,B480)</f>
        <v>13.7111344665623</v>
      </c>
      <c r="P480" s="21" t="n">
        <f aca="false">N480-O480</f>
        <v>-0.837047144630864</v>
      </c>
      <c r="Q480" s="7" t="n">
        <v>0</v>
      </c>
      <c r="R480" s="3" t="n">
        <f aca="false">IF(AND(Q480=1,B480-_xlfn.MINIFS($B$2:$B$2705,$A$2:$A$2705,A480)&lt;10),1,0)</f>
        <v>0</v>
      </c>
      <c r="S480" s="7" t="n">
        <v>0</v>
      </c>
      <c r="T480" s="3" t="n">
        <f aca="false">_xlfn.MINIFS($B$2:$B$2705,$A$2:$A$2705,A480)</f>
        <v>1901</v>
      </c>
      <c r="U480" s="3" t="n">
        <f aca="false">B480-T480</f>
        <v>30</v>
      </c>
      <c r="V480" s="3" t="str">
        <f aca="false">INDEX(Pop_Inputs!$Q$2:$Q$29,MATCH(C480,Pop_Inputs!$A$2:$A$29,0))</f>
        <v>Northeast</v>
      </c>
      <c r="W480" s="30"/>
      <c r="X480" s="3" t="str">
        <f aca="false">IF(W480="","",LN(W480))</f>
        <v/>
      </c>
      <c r="Y480" s="3" t="str">
        <f aca="false">IF(X480="","",X480-AVERAGEIFS($X$2:$X$2705,$B$2:$B$2705,B480))</f>
        <v/>
      </c>
      <c r="Z480" s="21" t="n">
        <f aca="false">P480</f>
        <v>-0.837047144630864</v>
      </c>
      <c r="AA480" s="3" t="n">
        <f aca="false">R480</f>
        <v>0</v>
      </c>
      <c r="AB480" s="21" t="n">
        <f aca="false">P480</f>
        <v>-0.837047144630864</v>
      </c>
      <c r="AC480" s="3" t="str">
        <f aca="false">Y480</f>
        <v/>
      </c>
      <c r="AD480" s="3" t="n">
        <f aca="false">R480</f>
        <v>0</v>
      </c>
    </row>
    <row r="481" customFormat="false" ht="15" hidden="false" customHeight="true" outlineLevel="0" collapsed="false">
      <c r="A481" s="7" t="s">
        <v>63</v>
      </c>
      <c r="B481" s="7" t="n">
        <v>1931</v>
      </c>
      <c r="C481" s="7" t="s">
        <v>145</v>
      </c>
      <c r="D481" s="7" t="n">
        <v>63</v>
      </c>
      <c r="E481" s="7" t="n">
        <v>91</v>
      </c>
      <c r="F481" s="3" t="n">
        <f aca="false">COUNTIFS($B$2:$B$2705,B481,$C$2:$C$2705,C481)</f>
        <v>2</v>
      </c>
      <c r="G481" s="3" t="n">
        <f aca="false">MIN(INT((MIN(B481,2020)-1900)/10)+1,12)</f>
        <v>4</v>
      </c>
      <c r="H481" s="3" t="n">
        <f aca="false">(MIN(B481,2020)-1900-10*(G481-1))/10</f>
        <v>0.1</v>
      </c>
      <c r="I481" s="20" t="n">
        <f aca="false">EXP(LN(INDEX(Pop_Inputs!$B$2:$N$29,MATCH(C481,Pop_Inputs!$A$2:$A$29,0),G481))*(1-H481)+LN(INDEX(Pop_Inputs!$B$2:$N$29,MATCH(C481,Pop_Inputs!$A$2:$A$29,0),G481+1))*H481)</f>
        <v>821366.87772794</v>
      </c>
      <c r="J481" s="20" t="n">
        <f aca="false">I481/F481</f>
        <v>410683.43886397</v>
      </c>
      <c r="K481" s="21" t="n">
        <f aca="false">D481/(D481+E481)</f>
        <v>0.409090909090909</v>
      </c>
      <c r="L481" s="21" t="n">
        <f aca="false">AVERAGEIFS($K$2:$K$2705,$B$2:$B$2705,B481)</f>
        <v>0.500157583966601</v>
      </c>
      <c r="M481" s="21" t="n">
        <f aca="false">K481-L481</f>
        <v>-0.0910666748756919</v>
      </c>
      <c r="N481" s="21" t="n">
        <f aca="false">LN(J481)</f>
        <v>12.925577974963</v>
      </c>
      <c r="O481" s="21" t="n">
        <f aca="false">AVERAGEIFS($N$2:$N$2705,$B$2:$B$2705,B481)</f>
        <v>13.7111344665623</v>
      </c>
      <c r="P481" s="21" t="n">
        <f aca="false">N481-O481</f>
        <v>-0.785556491599225</v>
      </c>
      <c r="Q481" s="7" t="n">
        <v>0</v>
      </c>
      <c r="R481" s="3" t="n">
        <f aca="false">IF(AND(Q481=1,B481-_xlfn.MINIFS($B$2:$B$2705,$A$2:$A$2705,A481)&lt;10),1,0)</f>
        <v>0</v>
      </c>
      <c r="S481" s="7" t="n">
        <v>0</v>
      </c>
      <c r="T481" s="3" t="n">
        <f aca="false">_xlfn.MINIFS($B$2:$B$2705,$A$2:$A$2705,A481)</f>
        <v>1901</v>
      </c>
      <c r="U481" s="3" t="n">
        <f aca="false">B481-T481</f>
        <v>30</v>
      </c>
      <c r="V481" s="3" t="str">
        <f aca="false">INDEX(Pop_Inputs!$Q$2:$Q$29,MATCH(C481,Pop_Inputs!$A$2:$A$29,0))</f>
        <v>Midwest</v>
      </c>
      <c r="W481" s="30"/>
      <c r="X481" s="3" t="str">
        <f aca="false">IF(W481="","",LN(W481))</f>
        <v/>
      </c>
      <c r="Y481" s="3" t="str">
        <f aca="false">IF(X481="","",X481-AVERAGEIFS($X$2:$X$2705,$B$2:$B$2705,B481))</f>
        <v/>
      </c>
      <c r="Z481" s="21" t="n">
        <f aca="false">P481</f>
        <v>-0.785556491599225</v>
      </c>
      <c r="AA481" s="3" t="n">
        <f aca="false">R481</f>
        <v>0</v>
      </c>
      <c r="AB481" s="21" t="n">
        <f aca="false">P481</f>
        <v>-0.785556491599225</v>
      </c>
      <c r="AC481" s="3" t="str">
        <f aca="false">Y481</f>
        <v/>
      </c>
      <c r="AD481" s="3" t="n">
        <f aca="false">R481</f>
        <v>0</v>
      </c>
    </row>
    <row r="482" customFormat="false" ht="15" hidden="false" customHeight="true" outlineLevel="0" collapsed="false">
      <c r="A482" s="7" t="s">
        <v>64</v>
      </c>
      <c r="B482" s="7" t="n">
        <v>1931</v>
      </c>
      <c r="C482" s="7" t="s">
        <v>150</v>
      </c>
      <c r="D482" s="7" t="n">
        <v>62</v>
      </c>
      <c r="E482" s="7" t="n">
        <v>90</v>
      </c>
      <c r="F482" s="3" t="n">
        <f aca="false">COUNTIFS($B$2:$B$2705,B482,$C$2:$C$2705,C482)</f>
        <v>2</v>
      </c>
      <c r="G482" s="3" t="n">
        <f aca="false">MIN(INT((MIN(B482,2020)-1900)/10)+1,12)</f>
        <v>4</v>
      </c>
      <c r="H482" s="3" t="n">
        <f aca="false">(MIN(B482,2020)-1900-10*(G482-1))/10</f>
        <v>0.1</v>
      </c>
      <c r="I482" s="20" t="n">
        <f aca="false">EXP(LN(INDEX(Pop_Inputs!$B$2:$N$29,MATCH(C482,Pop_Inputs!$A$2:$A$29,0),G482))*(1-H482)+LN(INDEX(Pop_Inputs!$B$2:$N$29,MATCH(C482,Pop_Inputs!$A$2:$A$29,0),G482+1))*H482)</f>
        <v>780144.550376403</v>
      </c>
      <c r="J482" s="20" t="n">
        <f aca="false">I482/F482</f>
        <v>390072.275188202</v>
      </c>
      <c r="K482" s="21" t="n">
        <f aca="false">D482/(D482+E482)</f>
        <v>0.407894736842105</v>
      </c>
      <c r="L482" s="21" t="n">
        <f aca="false">AVERAGEIFS($K$2:$K$2705,$B$2:$B$2705,B482)</f>
        <v>0.500157583966601</v>
      </c>
      <c r="M482" s="21" t="n">
        <f aca="false">K482-L482</f>
        <v>-0.0922628471244958</v>
      </c>
      <c r="N482" s="21" t="n">
        <f aca="false">LN(J482)</f>
        <v>12.8740873219314</v>
      </c>
      <c r="O482" s="21" t="n">
        <f aca="false">AVERAGEIFS($N$2:$N$2705,$B$2:$B$2705,B482)</f>
        <v>13.7111344665623</v>
      </c>
      <c r="P482" s="21" t="n">
        <f aca="false">N482-O482</f>
        <v>-0.837047144630864</v>
      </c>
      <c r="Q482" s="7" t="n">
        <v>0</v>
      </c>
      <c r="R482" s="3" t="n">
        <f aca="false">IF(AND(Q482=1,B482-_xlfn.MINIFS($B$2:$B$2705,$A$2:$A$2705,A482)&lt;10),1,0)</f>
        <v>0</v>
      </c>
      <c r="S482" s="7" t="n">
        <v>0</v>
      </c>
      <c r="T482" s="3" t="n">
        <f aca="false">_xlfn.MINIFS($B$2:$B$2705,$A$2:$A$2705,A482)</f>
        <v>1901</v>
      </c>
      <c r="U482" s="3" t="n">
        <f aca="false">B482-T482</f>
        <v>30</v>
      </c>
      <c r="V482" s="3" t="str">
        <f aca="false">INDEX(Pop_Inputs!$Q$2:$Q$29,MATCH(C482,Pop_Inputs!$A$2:$A$29,0))</f>
        <v>Northeast</v>
      </c>
      <c r="W482" s="30"/>
      <c r="X482" s="3" t="str">
        <f aca="false">IF(W482="","",LN(W482))</f>
        <v/>
      </c>
      <c r="Y482" s="3" t="str">
        <f aca="false">IF(X482="","",X482-AVERAGEIFS($X$2:$X$2705,$B$2:$B$2705,B482))</f>
        <v/>
      </c>
      <c r="Z482" s="21" t="n">
        <f aca="false">P482</f>
        <v>-0.837047144630864</v>
      </c>
      <c r="AA482" s="3" t="n">
        <f aca="false">R482</f>
        <v>0</v>
      </c>
      <c r="AB482" s="21" t="n">
        <f aca="false">P482</f>
        <v>-0.837047144630864</v>
      </c>
      <c r="AC482" s="3" t="str">
        <f aca="false">Y482</f>
        <v/>
      </c>
      <c r="AD482" s="3" t="n">
        <f aca="false">R482</f>
        <v>0</v>
      </c>
    </row>
    <row r="483" customFormat="false" ht="15" hidden="false" customHeight="true" outlineLevel="0" collapsed="false">
      <c r="A483" s="7" t="s">
        <v>56</v>
      </c>
      <c r="B483" s="7" t="n">
        <v>1931</v>
      </c>
      <c r="C483" s="7" t="s">
        <v>142</v>
      </c>
      <c r="D483" s="7" t="n">
        <v>84</v>
      </c>
      <c r="E483" s="7" t="n">
        <v>70</v>
      </c>
      <c r="F483" s="3" t="n">
        <f aca="false">COUNTIFS($B$2:$B$2705,B483,$C$2:$C$2705,C483)</f>
        <v>2</v>
      </c>
      <c r="G483" s="3" t="n">
        <f aca="false">MIN(INT((MIN(B483,2020)-1900)/10)+1,12)</f>
        <v>4</v>
      </c>
      <c r="H483" s="3" t="n">
        <f aca="false">(MIN(B483,2020)-1900-10*(G483-1))/10</f>
        <v>0.1</v>
      </c>
      <c r="I483" s="20" t="n">
        <f aca="false">EXP(LN(INDEX(Pop_Inputs!$B$2:$N$29,MATCH(C483,Pop_Inputs!$A$2:$A$29,0),G483))*(1-H483)+LN(INDEX(Pop_Inputs!$B$2:$N$29,MATCH(C483,Pop_Inputs!$A$2:$A$29,0),G483+1))*H483)</f>
        <v>3378469.49090231</v>
      </c>
      <c r="J483" s="20" t="n">
        <f aca="false">I483/F483</f>
        <v>1689234.74545115</v>
      </c>
      <c r="K483" s="21" t="n">
        <f aca="false">D483/(D483+E483)</f>
        <v>0.545454545454545</v>
      </c>
      <c r="L483" s="21" t="n">
        <f aca="false">AVERAGEIFS($K$2:$K$2705,$B$2:$B$2705,B483)</f>
        <v>0.500157583966601</v>
      </c>
      <c r="M483" s="21" t="n">
        <f aca="false">K483-L483</f>
        <v>0.0452969614879444</v>
      </c>
      <c r="N483" s="21" t="n">
        <f aca="false">LN(J483)</f>
        <v>14.3397861710058</v>
      </c>
      <c r="O483" s="21" t="n">
        <f aca="false">AVERAGEIFS($N$2:$N$2705,$B$2:$B$2705,B483)</f>
        <v>13.7111344665623</v>
      </c>
      <c r="P483" s="21" t="n">
        <f aca="false">N483-O483</f>
        <v>0.628651704443556</v>
      </c>
      <c r="Q483" s="7" t="n">
        <v>0</v>
      </c>
      <c r="R483" s="3" t="n">
        <f aca="false">IF(AND(Q483=1,B483-_xlfn.MINIFS($B$2:$B$2705,$A$2:$A$2705,A483)&lt;10),1,0)</f>
        <v>0</v>
      </c>
      <c r="S483" s="7" t="n">
        <v>0</v>
      </c>
      <c r="T483" s="3" t="n">
        <f aca="false">_xlfn.MINIFS($B$2:$B$2705,$A$2:$A$2705,A483)</f>
        <v>1901</v>
      </c>
      <c r="U483" s="3" t="n">
        <f aca="false">B483-T483</f>
        <v>30</v>
      </c>
      <c r="V483" s="3" t="str">
        <f aca="false">INDEX(Pop_Inputs!$Q$2:$Q$29,MATCH(C483,Pop_Inputs!$A$2:$A$29,0))</f>
        <v>Midwest</v>
      </c>
      <c r="W483" s="30"/>
      <c r="X483" s="3" t="str">
        <f aca="false">IF(W483="","",LN(W483))</f>
        <v/>
      </c>
      <c r="Y483" s="3" t="str">
        <f aca="false">IF(X483="","",X483-AVERAGEIFS($X$2:$X$2705,$B$2:$B$2705,B483))</f>
        <v/>
      </c>
      <c r="Z483" s="21" t="n">
        <f aca="false">P483</f>
        <v>0.628651704443556</v>
      </c>
      <c r="AA483" s="3" t="n">
        <f aca="false">R483</f>
        <v>0</v>
      </c>
      <c r="AB483" s="21" t="n">
        <f aca="false">P483</f>
        <v>0.628651704443556</v>
      </c>
      <c r="AC483" s="3" t="str">
        <f aca="false">Y483</f>
        <v/>
      </c>
      <c r="AD483" s="3" t="n">
        <f aca="false">R483</f>
        <v>0</v>
      </c>
    </row>
    <row r="484" customFormat="false" ht="15" hidden="false" customHeight="true" outlineLevel="0" collapsed="false">
      <c r="A484" s="7" t="s">
        <v>65</v>
      </c>
      <c r="B484" s="7" t="n">
        <v>1931</v>
      </c>
      <c r="C484" s="7" t="s">
        <v>142</v>
      </c>
      <c r="D484" s="7" t="n">
        <v>56</v>
      </c>
      <c r="E484" s="7" t="n">
        <v>97</v>
      </c>
      <c r="F484" s="3" t="n">
        <f aca="false">COUNTIFS($B$2:$B$2705,B484,$C$2:$C$2705,C484)</f>
        <v>2</v>
      </c>
      <c r="G484" s="3" t="n">
        <f aca="false">MIN(INT((MIN(B484,2020)-1900)/10)+1,12)</f>
        <v>4</v>
      </c>
      <c r="H484" s="3" t="n">
        <f aca="false">(MIN(B484,2020)-1900-10*(G484-1))/10</f>
        <v>0.1</v>
      </c>
      <c r="I484" s="20" t="n">
        <f aca="false">EXP(LN(INDEX(Pop_Inputs!$B$2:$N$29,MATCH(C484,Pop_Inputs!$A$2:$A$29,0),G484))*(1-H484)+LN(INDEX(Pop_Inputs!$B$2:$N$29,MATCH(C484,Pop_Inputs!$A$2:$A$29,0),G484+1))*H484)</f>
        <v>3378469.49090231</v>
      </c>
      <c r="J484" s="20" t="n">
        <f aca="false">I484/F484</f>
        <v>1689234.74545115</v>
      </c>
      <c r="K484" s="21" t="n">
        <f aca="false">D484/(D484+E484)</f>
        <v>0.366013071895425</v>
      </c>
      <c r="L484" s="21" t="n">
        <f aca="false">AVERAGEIFS($K$2:$K$2705,$B$2:$B$2705,B484)</f>
        <v>0.500157583966601</v>
      </c>
      <c r="M484" s="21" t="n">
        <f aca="false">K484-L484</f>
        <v>-0.134144512071176</v>
      </c>
      <c r="N484" s="21" t="n">
        <f aca="false">LN(J484)</f>
        <v>14.3397861710058</v>
      </c>
      <c r="O484" s="21" t="n">
        <f aca="false">AVERAGEIFS($N$2:$N$2705,$B$2:$B$2705,B484)</f>
        <v>13.7111344665623</v>
      </c>
      <c r="P484" s="21" t="n">
        <f aca="false">N484-O484</f>
        <v>0.628651704443556</v>
      </c>
      <c r="Q484" s="7" t="n">
        <v>0</v>
      </c>
      <c r="R484" s="3" t="n">
        <f aca="false">IF(AND(Q484=1,B484-_xlfn.MINIFS($B$2:$B$2705,$A$2:$A$2705,A484)&lt;10),1,0)</f>
        <v>0</v>
      </c>
      <c r="S484" s="7" t="n">
        <v>0</v>
      </c>
      <c r="T484" s="3" t="n">
        <f aca="false">_xlfn.MINIFS($B$2:$B$2705,$A$2:$A$2705,A484)</f>
        <v>1901</v>
      </c>
      <c r="U484" s="3" t="n">
        <f aca="false">B484-T484</f>
        <v>30</v>
      </c>
      <c r="V484" s="3" t="str">
        <f aca="false">INDEX(Pop_Inputs!$Q$2:$Q$29,MATCH(C484,Pop_Inputs!$A$2:$A$29,0))</f>
        <v>Midwest</v>
      </c>
      <c r="W484" s="30"/>
      <c r="X484" s="3" t="str">
        <f aca="false">IF(W484="","",LN(W484))</f>
        <v/>
      </c>
      <c r="Y484" s="3" t="str">
        <f aca="false">IF(X484="","",X484-AVERAGEIFS($X$2:$X$2705,$B$2:$B$2705,B484))</f>
        <v/>
      </c>
      <c r="Z484" s="21" t="n">
        <f aca="false">P484</f>
        <v>0.628651704443556</v>
      </c>
      <c r="AA484" s="3" t="n">
        <f aca="false">R484</f>
        <v>0</v>
      </c>
      <c r="AB484" s="21" t="n">
        <f aca="false">P484</f>
        <v>0.628651704443556</v>
      </c>
      <c r="AC484" s="3" t="str">
        <f aca="false">Y484</f>
        <v/>
      </c>
      <c r="AD484" s="3" t="n">
        <f aca="false">R484</f>
        <v>0</v>
      </c>
    </row>
    <row r="485" customFormat="false" ht="15" hidden="false" customHeight="true" outlineLevel="0" collapsed="false">
      <c r="A485" s="7" t="s">
        <v>57</v>
      </c>
      <c r="B485" s="7" t="n">
        <v>1931</v>
      </c>
      <c r="C485" s="7" t="s">
        <v>143</v>
      </c>
      <c r="D485" s="7" t="n">
        <v>58</v>
      </c>
      <c r="E485" s="7" t="n">
        <v>96</v>
      </c>
      <c r="F485" s="3" t="n">
        <f aca="false">COUNTIFS($B$2:$B$2705,B485,$C$2:$C$2705,C485)</f>
        <v>1</v>
      </c>
      <c r="G485" s="3" t="n">
        <f aca="false">MIN(INT((MIN(B485,2020)-1900)/10)+1,12)</f>
        <v>4</v>
      </c>
      <c r="H485" s="3" t="n">
        <f aca="false">(MIN(B485,2020)-1900-10*(G485-1))/10</f>
        <v>0.1</v>
      </c>
      <c r="I485" s="20" t="n">
        <f aca="false">EXP(LN(INDEX(Pop_Inputs!$B$2:$N$29,MATCH(C485,Pop_Inputs!$A$2:$A$29,0),G485))*(1-H485)+LN(INDEX(Pop_Inputs!$B$2:$N$29,MATCH(C485,Pop_Inputs!$A$2:$A$29,0),G485+1))*H485)</f>
        <v>451603.037092499</v>
      </c>
      <c r="J485" s="20" t="n">
        <f aca="false">I485/F485</f>
        <v>451603.037092499</v>
      </c>
      <c r="K485" s="21" t="n">
        <f aca="false">D485/(D485+E485)</f>
        <v>0.376623376623377</v>
      </c>
      <c r="L485" s="21" t="n">
        <f aca="false">AVERAGEIFS($K$2:$K$2705,$B$2:$B$2705,B485)</f>
        <v>0.500157583966601</v>
      </c>
      <c r="M485" s="21" t="n">
        <f aca="false">K485-L485</f>
        <v>-0.123534207343224</v>
      </c>
      <c r="N485" s="21" t="n">
        <f aca="false">LN(J485)</f>
        <v>13.0205588364177</v>
      </c>
      <c r="O485" s="21" t="n">
        <f aca="false">AVERAGEIFS($N$2:$N$2705,$B$2:$B$2705,B485)</f>
        <v>13.7111344665623</v>
      </c>
      <c r="P485" s="21" t="n">
        <f aca="false">N485-O485</f>
        <v>-0.690575630144556</v>
      </c>
      <c r="Q485" s="7" t="n">
        <v>0</v>
      </c>
      <c r="R485" s="3" t="n">
        <f aca="false">IF(AND(Q485=1,B485-_xlfn.MINIFS($B$2:$B$2705,$A$2:$A$2705,A485)&lt;10),1,0)</f>
        <v>0</v>
      </c>
      <c r="S485" s="7" t="n">
        <v>0</v>
      </c>
      <c r="T485" s="3" t="n">
        <f aca="false">_xlfn.MINIFS($B$2:$B$2705,$A$2:$A$2705,A485)</f>
        <v>1901</v>
      </c>
      <c r="U485" s="3" t="n">
        <f aca="false">B485-T485</f>
        <v>30</v>
      </c>
      <c r="V485" s="3" t="str">
        <f aca="false">INDEX(Pop_Inputs!$Q$2:$Q$29,MATCH(C485,Pop_Inputs!$A$2:$A$29,0))</f>
        <v>Midwest</v>
      </c>
      <c r="W485" s="30"/>
      <c r="X485" s="3" t="str">
        <f aca="false">IF(W485="","",LN(W485))</f>
        <v/>
      </c>
      <c r="Y485" s="3" t="str">
        <f aca="false">IF(X485="","",X485-AVERAGEIFS($X$2:$X$2705,$B$2:$B$2705,B485))</f>
        <v/>
      </c>
      <c r="Z485" s="21" t="n">
        <f aca="false">P485</f>
        <v>-0.690575630144556</v>
      </c>
      <c r="AA485" s="3" t="n">
        <f aca="false">R485</f>
        <v>0</v>
      </c>
      <c r="AB485" s="21" t="n">
        <f aca="false">P485</f>
        <v>-0.690575630144556</v>
      </c>
      <c r="AC485" s="3" t="str">
        <f aca="false">Y485</f>
        <v/>
      </c>
      <c r="AD485" s="3" t="n">
        <f aca="false">R485</f>
        <v>0</v>
      </c>
    </row>
    <row r="486" customFormat="false" ht="15" hidden="false" customHeight="true" outlineLevel="0" collapsed="false">
      <c r="A486" s="7" t="s">
        <v>66</v>
      </c>
      <c r="B486" s="7" t="n">
        <v>1931</v>
      </c>
      <c r="C486" s="7" t="s">
        <v>151</v>
      </c>
      <c r="D486" s="7" t="n">
        <v>78</v>
      </c>
      <c r="E486" s="7" t="n">
        <v>76</v>
      </c>
      <c r="F486" s="3" t="n">
        <f aca="false">COUNTIFS($B$2:$B$2705,B486,$C$2:$C$2705,C486)</f>
        <v>1</v>
      </c>
      <c r="G486" s="3" t="n">
        <f aca="false">MIN(INT((MIN(B486,2020)-1900)/10)+1,12)</f>
        <v>4</v>
      </c>
      <c r="H486" s="3" t="n">
        <f aca="false">(MIN(B486,2020)-1900-10*(G486-1))/10</f>
        <v>0.1</v>
      </c>
      <c r="I486" s="20" t="n">
        <f aca="false">EXP(LN(INDEX(Pop_Inputs!$B$2:$N$29,MATCH(C486,Pop_Inputs!$A$2:$A$29,0),G486))*(1-H486)+LN(INDEX(Pop_Inputs!$B$2:$N$29,MATCH(C486,Pop_Inputs!$A$2:$A$29,0),G486+1))*H486)</f>
        <v>898194.920658611</v>
      </c>
      <c r="J486" s="20" t="n">
        <f aca="false">I486/F486</f>
        <v>898194.920658611</v>
      </c>
      <c r="K486" s="21" t="n">
        <f aca="false">D486/(D486+E486)</f>
        <v>0.506493506493506</v>
      </c>
      <c r="L486" s="21" t="n">
        <f aca="false">AVERAGEIFS($K$2:$K$2705,$B$2:$B$2705,B486)</f>
        <v>0.500157583966601</v>
      </c>
      <c r="M486" s="21" t="n">
        <f aca="false">K486-L486</f>
        <v>0.0063359225269054</v>
      </c>
      <c r="N486" s="21" t="n">
        <f aca="false">LN(J486)</f>
        <v>13.7081423845971</v>
      </c>
      <c r="O486" s="21" t="n">
        <f aca="false">AVERAGEIFS($N$2:$N$2705,$B$2:$B$2705,B486)</f>
        <v>13.7111344665623</v>
      </c>
      <c r="P486" s="21" t="n">
        <f aca="false">N486-O486</f>
        <v>-0.00299208196518208</v>
      </c>
      <c r="Q486" s="7" t="n">
        <v>0</v>
      </c>
      <c r="R486" s="3" t="n">
        <f aca="false">IF(AND(Q486=1,B486-_xlfn.MINIFS($B$2:$B$2705,$A$2:$A$2705,A486)&lt;10),1,0)</f>
        <v>0</v>
      </c>
      <c r="S486" s="7" t="n">
        <v>0</v>
      </c>
      <c r="T486" s="3" t="n">
        <f aca="false">_xlfn.MINIFS($B$2:$B$2705,$A$2:$A$2705,A486)</f>
        <v>1901</v>
      </c>
      <c r="U486" s="3" t="n">
        <f aca="false">B486-T486</f>
        <v>30</v>
      </c>
      <c r="V486" s="3" t="str">
        <f aca="false">INDEX(Pop_Inputs!$Q$2:$Q$29,MATCH(C486,Pop_Inputs!$A$2:$A$29,0))</f>
        <v>Midwest</v>
      </c>
      <c r="W486" s="30"/>
      <c r="X486" s="3" t="str">
        <f aca="false">IF(W486="","",LN(W486))</f>
        <v/>
      </c>
      <c r="Y486" s="3" t="str">
        <f aca="false">IF(X486="","",X486-AVERAGEIFS($X$2:$X$2705,$B$2:$B$2705,B486))</f>
        <v/>
      </c>
      <c r="Z486" s="21" t="n">
        <f aca="false">P486</f>
        <v>-0.00299208196518208</v>
      </c>
      <c r="AA486" s="3" t="n">
        <f aca="false">R486</f>
        <v>0</v>
      </c>
      <c r="AB486" s="21" t="n">
        <f aca="false">P486</f>
        <v>-0.00299208196518208</v>
      </c>
      <c r="AC486" s="3" t="str">
        <f aca="false">Y486</f>
        <v/>
      </c>
      <c r="AD486" s="3" t="n">
        <f aca="false">R486</f>
        <v>0</v>
      </c>
    </row>
    <row r="487" customFormat="false" ht="15" hidden="false" customHeight="true" outlineLevel="0" collapsed="false">
      <c r="A487" s="7" t="s">
        <v>67</v>
      </c>
      <c r="B487" s="7" t="n">
        <v>1931</v>
      </c>
      <c r="C487" s="7" t="s">
        <v>152</v>
      </c>
      <c r="D487" s="7" t="n">
        <v>61</v>
      </c>
      <c r="E487" s="7" t="n">
        <v>93</v>
      </c>
      <c r="F487" s="3" t="n">
        <f aca="false">COUNTIFS($B$2:$B$2705,B487,$C$2:$C$2705,C487)</f>
        <v>1</v>
      </c>
      <c r="G487" s="3" t="n">
        <f aca="false">MIN(INT((MIN(B487,2020)-1900)/10)+1,12)</f>
        <v>4</v>
      </c>
      <c r="H487" s="3" t="n">
        <f aca="false">(MIN(B487,2020)-1900-10*(G487-1))/10</f>
        <v>0.1</v>
      </c>
      <c r="I487" s="20" t="n">
        <f aca="false">EXP(LN(INDEX(Pop_Inputs!$B$2:$N$29,MATCH(C487,Pop_Inputs!$A$2:$A$29,0),G487))*(1-H487)+LN(INDEX(Pop_Inputs!$B$2:$N$29,MATCH(C487,Pop_Inputs!$A$2:$A$29,0),G487+1))*H487)</f>
        <v>1574056.74164216</v>
      </c>
      <c r="J487" s="20" t="n">
        <f aca="false">I487/F487</f>
        <v>1574056.74164216</v>
      </c>
      <c r="K487" s="21" t="n">
        <f aca="false">D487/(D487+E487)</f>
        <v>0.396103896103896</v>
      </c>
      <c r="L487" s="21" t="n">
        <f aca="false">AVERAGEIFS($K$2:$K$2705,$B$2:$B$2705,B487)</f>
        <v>0.500157583966601</v>
      </c>
      <c r="M487" s="21" t="n">
        <f aca="false">K487-L487</f>
        <v>-0.104053687862705</v>
      </c>
      <c r="N487" s="21" t="n">
        <f aca="false">LN(J487)</f>
        <v>14.2691667566377</v>
      </c>
      <c r="O487" s="21" t="n">
        <f aca="false">AVERAGEIFS($N$2:$N$2705,$B$2:$B$2705,B487)</f>
        <v>13.7111344665623</v>
      </c>
      <c r="P487" s="21" t="n">
        <f aca="false">N487-O487</f>
        <v>0.558032290075385</v>
      </c>
      <c r="Q487" s="7" t="n">
        <v>0</v>
      </c>
      <c r="R487" s="3" t="n">
        <f aca="false">IF(AND(Q487=1,B487-_xlfn.MINIFS($B$2:$B$2705,$A$2:$A$2705,A487)&lt;10),1,0)</f>
        <v>0</v>
      </c>
      <c r="S487" s="7" t="n">
        <v>0</v>
      </c>
      <c r="T487" s="3" t="n">
        <f aca="false">_xlfn.MINIFS($B$2:$B$2705,$A$2:$A$2705,A487)</f>
        <v>1901</v>
      </c>
      <c r="U487" s="3" t="n">
        <f aca="false">B487-T487</f>
        <v>30</v>
      </c>
      <c r="V487" s="3" t="str">
        <f aca="false">INDEX(Pop_Inputs!$Q$2:$Q$29,MATCH(C487,Pop_Inputs!$A$2:$A$29,0))</f>
        <v>Midwest</v>
      </c>
      <c r="W487" s="30"/>
      <c r="X487" s="3" t="str">
        <f aca="false">IF(W487="","",LN(W487))</f>
        <v/>
      </c>
      <c r="Y487" s="3" t="str">
        <f aca="false">IF(X487="","",X487-AVERAGEIFS($X$2:$X$2705,$B$2:$B$2705,B487))</f>
        <v/>
      </c>
      <c r="Z487" s="21" t="n">
        <f aca="false">P487</f>
        <v>0.558032290075385</v>
      </c>
      <c r="AA487" s="3" t="n">
        <f aca="false">R487</f>
        <v>0</v>
      </c>
      <c r="AB487" s="21" t="n">
        <f aca="false">P487</f>
        <v>0.558032290075385</v>
      </c>
      <c r="AC487" s="3" t="str">
        <f aca="false">Y487</f>
        <v/>
      </c>
      <c r="AD487" s="3" t="n">
        <f aca="false">R487</f>
        <v>0</v>
      </c>
    </row>
    <row r="488" customFormat="false" ht="15" hidden="false" customHeight="true" outlineLevel="0" collapsed="false">
      <c r="A488" s="7" t="s">
        <v>62</v>
      </c>
      <c r="B488" s="7" t="n">
        <v>1931</v>
      </c>
      <c r="C488" s="7" t="s">
        <v>154</v>
      </c>
      <c r="D488" s="7" t="n">
        <v>79</v>
      </c>
      <c r="E488" s="7" t="n">
        <v>73</v>
      </c>
      <c r="F488" s="3" t="n">
        <f aca="false">COUNTIFS($B$2:$B$2705,B488,$C$2:$C$2705,C488)</f>
        <v>3</v>
      </c>
      <c r="G488" s="3" t="n">
        <f aca="false">MIN(INT((MIN(B488,2020)-1900)/10)+1,12)</f>
        <v>4</v>
      </c>
      <c r="H488" s="3" t="n">
        <f aca="false">(MIN(B488,2020)-1900-10*(G488-1))/10</f>
        <v>0.1</v>
      </c>
      <c r="I488" s="20" t="n">
        <f aca="false">EXP(LN(INDEX(Pop_Inputs!$B$2:$N$29,MATCH(C488,Pop_Inputs!$A$2:$A$29,0),G488))*(1-H488)+LN(INDEX(Pop_Inputs!$B$2:$N$29,MATCH(C488,Pop_Inputs!$A$2:$A$29,0),G488+1))*H488)</f>
        <v>6981195.51862804</v>
      </c>
      <c r="J488" s="20" t="n">
        <f aca="false">I488/F488</f>
        <v>2327065.17287601</v>
      </c>
      <c r="K488" s="21" t="n">
        <f aca="false">D488/(D488+E488)</f>
        <v>0.519736842105263</v>
      </c>
      <c r="L488" s="21" t="n">
        <f aca="false">AVERAGEIFS($K$2:$K$2705,$B$2:$B$2705,B488)</f>
        <v>0.500157583966601</v>
      </c>
      <c r="M488" s="21" t="n">
        <f aca="false">K488-L488</f>
        <v>0.0195792581386621</v>
      </c>
      <c r="N488" s="21" t="n">
        <f aca="false">LN(J488)</f>
        <v>14.6601184491445</v>
      </c>
      <c r="O488" s="21" t="n">
        <f aca="false">AVERAGEIFS($N$2:$N$2705,$B$2:$B$2705,B488)</f>
        <v>13.7111344665623</v>
      </c>
      <c r="P488" s="21" t="n">
        <f aca="false">N488-O488</f>
        <v>0.948983982582227</v>
      </c>
      <c r="Q488" s="7" t="n">
        <v>0</v>
      </c>
      <c r="R488" s="3" t="n">
        <f aca="false">IF(AND(Q488=1,B488-_xlfn.MINIFS($B$2:$B$2705,$A$2:$A$2705,A488)&lt;10),1,0)</f>
        <v>0</v>
      </c>
      <c r="S488" s="7" t="n">
        <v>0</v>
      </c>
      <c r="T488" s="3" t="n">
        <f aca="false">_xlfn.MINIFS($B$2:$B$2705,$A$2:$A$2705,A488)</f>
        <v>1901</v>
      </c>
      <c r="U488" s="3" t="n">
        <f aca="false">B488-T488</f>
        <v>30</v>
      </c>
      <c r="V488" s="3" t="str">
        <f aca="false">INDEX(Pop_Inputs!$Q$2:$Q$29,MATCH(C488,Pop_Inputs!$A$2:$A$29,0))</f>
        <v>Northeast</v>
      </c>
      <c r="W488" s="30"/>
      <c r="X488" s="3" t="str">
        <f aca="false">IF(W488="","",LN(W488))</f>
        <v/>
      </c>
      <c r="Y488" s="3" t="str">
        <f aca="false">IF(X488="","",X488-AVERAGEIFS($X$2:$X$2705,$B$2:$B$2705,B488))</f>
        <v/>
      </c>
      <c r="Z488" s="21" t="n">
        <f aca="false">P488</f>
        <v>0.948983982582227</v>
      </c>
      <c r="AA488" s="3" t="n">
        <f aca="false">R488</f>
        <v>0</v>
      </c>
      <c r="AB488" s="21" t="n">
        <f aca="false">P488</f>
        <v>0.948983982582227</v>
      </c>
      <c r="AC488" s="3" t="str">
        <f aca="false">Y488</f>
        <v/>
      </c>
      <c r="AD488" s="3" t="n">
        <f aca="false">R488</f>
        <v>0</v>
      </c>
    </row>
    <row r="489" customFormat="false" ht="15" hidden="false" customHeight="true" outlineLevel="0" collapsed="false">
      <c r="A489" s="7" t="s">
        <v>68</v>
      </c>
      <c r="B489" s="7" t="n">
        <v>1931</v>
      </c>
      <c r="C489" s="7" t="s">
        <v>160</v>
      </c>
      <c r="D489" s="7" t="n">
        <v>92</v>
      </c>
      <c r="E489" s="7" t="n">
        <v>62</v>
      </c>
      <c r="F489" s="3" t="n">
        <f aca="false">COUNTIFS($B$2:$B$2705,B489,$C$2:$C$2705,C489)</f>
        <v>1</v>
      </c>
      <c r="G489" s="3" t="n">
        <f aca="false">MIN(INT((MIN(B489,2020)-1900)/10)+1,12)</f>
        <v>4</v>
      </c>
      <c r="H489" s="3" t="n">
        <f aca="false">(MIN(B489,2020)-1900-10*(G489-1))/10</f>
        <v>0.1</v>
      </c>
      <c r="I489" s="20" t="n">
        <f aca="false">EXP(LN(INDEX(Pop_Inputs!$B$2:$N$29,MATCH(C489,Pop_Inputs!$A$2:$A$29,0),G489))*(1-H489)+LN(INDEX(Pop_Inputs!$B$2:$N$29,MATCH(C489,Pop_Inputs!$A$2:$A$29,0),G489+1))*H489)</f>
        <v>502143.937820301</v>
      </c>
      <c r="J489" s="20" t="n">
        <f aca="false">I489/F489</f>
        <v>502143.937820301</v>
      </c>
      <c r="K489" s="21" t="n">
        <f aca="false">D489/(D489+E489)</f>
        <v>0.597402597402597</v>
      </c>
      <c r="L489" s="21" t="n">
        <f aca="false">AVERAGEIFS($K$2:$K$2705,$B$2:$B$2705,B489)</f>
        <v>0.500157583966601</v>
      </c>
      <c r="M489" s="21" t="n">
        <f aca="false">K489-L489</f>
        <v>0.0972450134359963</v>
      </c>
      <c r="N489" s="21" t="n">
        <f aca="false">LN(J489)</f>
        <v>13.1266420863007</v>
      </c>
      <c r="O489" s="21" t="n">
        <f aca="false">AVERAGEIFS($N$2:$N$2705,$B$2:$B$2705,B489)</f>
        <v>13.7111344665623</v>
      </c>
      <c r="P489" s="21" t="n">
        <f aca="false">N489-O489</f>
        <v>-0.584492380261528</v>
      </c>
      <c r="Q489" s="7" t="n">
        <v>0</v>
      </c>
      <c r="R489" s="3" t="n">
        <f aca="false">IF(AND(Q489=1,B489-_xlfn.MINIFS($B$2:$B$2705,$A$2:$A$2705,A489)&lt;10),1,0)</f>
        <v>0</v>
      </c>
      <c r="S489" s="7" t="n">
        <v>0</v>
      </c>
      <c r="T489" s="3" t="n">
        <f aca="false">_xlfn.MINIFS($B$2:$B$2705,$A$2:$A$2705,A489)</f>
        <v>1901</v>
      </c>
      <c r="U489" s="3" t="n">
        <f aca="false">B489-T489</f>
        <v>30</v>
      </c>
      <c r="V489" s="3" t="str">
        <f aca="false">INDEX(Pop_Inputs!$Q$2:$Q$29,MATCH(C489,Pop_Inputs!$A$2:$A$29,0))</f>
        <v>South</v>
      </c>
      <c r="W489" s="30"/>
      <c r="X489" s="3" t="str">
        <f aca="false">IF(W489="","",LN(W489))</f>
        <v/>
      </c>
      <c r="Y489" s="3" t="str">
        <f aca="false">IF(X489="","",X489-AVERAGEIFS($X$2:$X$2705,$B$2:$B$2705,B489))</f>
        <v/>
      </c>
      <c r="Z489" s="21" t="n">
        <f aca="false">P489</f>
        <v>-0.584492380261528</v>
      </c>
      <c r="AA489" s="3" t="n">
        <f aca="false">R489</f>
        <v>0</v>
      </c>
      <c r="AB489" s="21" t="n">
        <f aca="false">P489</f>
        <v>-0.584492380261528</v>
      </c>
      <c r="AC489" s="3" t="str">
        <f aca="false">Y489</f>
        <v/>
      </c>
      <c r="AD489" s="3" t="n">
        <f aca="false">R489</f>
        <v>0</v>
      </c>
    </row>
    <row r="490" customFormat="false" ht="15" hidden="false" customHeight="true" outlineLevel="0" collapsed="false">
      <c r="A490" s="7" t="s">
        <v>70</v>
      </c>
      <c r="B490" s="7" t="n">
        <v>1931</v>
      </c>
      <c r="C490" s="7" t="s">
        <v>154</v>
      </c>
      <c r="D490" s="7" t="n">
        <v>94</v>
      </c>
      <c r="E490" s="7" t="n">
        <v>59</v>
      </c>
      <c r="F490" s="3" t="n">
        <f aca="false">COUNTIFS($B$2:$B$2705,B490,$C$2:$C$2705,C490)</f>
        <v>3</v>
      </c>
      <c r="G490" s="3" t="n">
        <f aca="false">MIN(INT((MIN(B490,2020)-1900)/10)+1,12)</f>
        <v>4</v>
      </c>
      <c r="H490" s="3" t="n">
        <f aca="false">(MIN(B490,2020)-1900-10*(G490-1))/10</f>
        <v>0.1</v>
      </c>
      <c r="I490" s="20" t="n">
        <f aca="false">EXP(LN(INDEX(Pop_Inputs!$B$2:$N$29,MATCH(C490,Pop_Inputs!$A$2:$A$29,0),G490))*(1-H490)+LN(INDEX(Pop_Inputs!$B$2:$N$29,MATCH(C490,Pop_Inputs!$A$2:$A$29,0),G490+1))*H490)</f>
        <v>6981195.51862804</v>
      </c>
      <c r="J490" s="20" t="n">
        <f aca="false">I490/F490</f>
        <v>2327065.17287601</v>
      </c>
      <c r="K490" s="21" t="n">
        <f aca="false">D490/(D490+E490)</f>
        <v>0.61437908496732</v>
      </c>
      <c r="L490" s="21" t="n">
        <f aca="false">AVERAGEIFS($K$2:$K$2705,$B$2:$B$2705,B490)</f>
        <v>0.500157583966601</v>
      </c>
      <c r="M490" s="21" t="n">
        <f aca="false">K490-L490</f>
        <v>0.114221501000719</v>
      </c>
      <c r="N490" s="21" t="n">
        <f aca="false">LN(J490)</f>
        <v>14.6601184491445</v>
      </c>
      <c r="O490" s="21" t="n">
        <f aca="false">AVERAGEIFS($N$2:$N$2705,$B$2:$B$2705,B490)</f>
        <v>13.7111344665623</v>
      </c>
      <c r="P490" s="21" t="n">
        <f aca="false">N490-O490</f>
        <v>0.948983982582227</v>
      </c>
      <c r="Q490" s="7" t="n">
        <v>0</v>
      </c>
      <c r="R490" s="3" t="n">
        <f aca="false">IF(AND(Q490=1,B490-_xlfn.MINIFS($B$2:$B$2705,$A$2:$A$2705,A490)&lt;10),1,0)</f>
        <v>0</v>
      </c>
      <c r="S490" s="7" t="n">
        <v>1</v>
      </c>
      <c r="T490" s="3" t="n">
        <f aca="false">_xlfn.MINIFS($B$2:$B$2705,$A$2:$A$2705,A490)</f>
        <v>1903</v>
      </c>
      <c r="U490" s="3" t="n">
        <f aca="false">B490-T490</f>
        <v>28</v>
      </c>
      <c r="V490" s="3" t="str">
        <f aca="false">INDEX(Pop_Inputs!$Q$2:$Q$29,MATCH(C490,Pop_Inputs!$A$2:$A$29,0))</f>
        <v>Northeast</v>
      </c>
      <c r="W490" s="30"/>
      <c r="X490" s="3" t="str">
        <f aca="false">IF(W490="","",LN(W490))</f>
        <v/>
      </c>
      <c r="Y490" s="3" t="str">
        <f aca="false">IF(X490="","",X490-AVERAGEIFS($X$2:$X$2705,$B$2:$B$2705,B490))</f>
        <v/>
      </c>
      <c r="Z490" s="21" t="n">
        <f aca="false">P490</f>
        <v>0.948983982582227</v>
      </c>
      <c r="AA490" s="3" t="n">
        <f aca="false">R490</f>
        <v>0</v>
      </c>
      <c r="AB490" s="21" t="n">
        <f aca="false">P490</f>
        <v>0.948983982582227</v>
      </c>
      <c r="AC490" s="3" t="str">
        <f aca="false">Y490</f>
        <v/>
      </c>
      <c r="AD490" s="3" t="n">
        <f aca="false">R490</f>
        <v>0</v>
      </c>
    </row>
    <row r="491" customFormat="false" ht="15" hidden="false" customHeight="true" outlineLevel="0" collapsed="false">
      <c r="A491" s="7" t="s">
        <v>69</v>
      </c>
      <c r="B491" s="7" t="n">
        <v>1931</v>
      </c>
      <c r="C491" s="7" t="s">
        <v>146</v>
      </c>
      <c r="D491" s="7" t="n">
        <v>107</v>
      </c>
      <c r="E491" s="7" t="n">
        <v>45</v>
      </c>
      <c r="F491" s="3" t="n">
        <f aca="false">COUNTIFS($B$2:$B$2705,B491,$C$2:$C$2705,C491)</f>
        <v>2</v>
      </c>
      <c r="G491" s="3" t="n">
        <f aca="false">MIN(INT((MIN(B491,2020)-1900)/10)+1,12)</f>
        <v>4</v>
      </c>
      <c r="H491" s="3" t="n">
        <f aca="false">(MIN(B491,2020)-1900-10*(G491-1))/10</f>
        <v>0.1</v>
      </c>
      <c r="I491" s="20" t="n">
        <f aca="false">EXP(LN(INDEX(Pop_Inputs!$B$2:$N$29,MATCH(C491,Pop_Inputs!$A$2:$A$29,0),G491))*(1-H491)+LN(INDEX(Pop_Inputs!$B$2:$N$29,MATCH(C491,Pop_Inputs!$A$2:$A$29,0),G491+1))*H491)</f>
        <v>1948989.35767835</v>
      </c>
      <c r="J491" s="20" t="n">
        <f aca="false">I491/F491</f>
        <v>974494.678839175</v>
      </c>
      <c r="K491" s="21" t="n">
        <f aca="false">D491/(D491+E491)</f>
        <v>0.703947368421053</v>
      </c>
      <c r="L491" s="21" t="n">
        <f aca="false">AVERAGEIFS($K$2:$K$2705,$B$2:$B$2705,B491)</f>
        <v>0.500157583966601</v>
      </c>
      <c r="M491" s="21" t="n">
        <f aca="false">K491-L491</f>
        <v>0.203789784454452</v>
      </c>
      <c r="N491" s="21" t="n">
        <f aca="false">LN(J491)</f>
        <v>13.7896743375138</v>
      </c>
      <c r="O491" s="21" t="n">
        <f aca="false">AVERAGEIFS($N$2:$N$2705,$B$2:$B$2705,B491)</f>
        <v>13.7111344665623</v>
      </c>
      <c r="P491" s="21" t="n">
        <f aca="false">N491-O491</f>
        <v>0.0785398709515253</v>
      </c>
      <c r="Q491" s="7" t="n">
        <v>0</v>
      </c>
      <c r="R491" s="3" t="n">
        <f aca="false">IF(AND(Q491=1,B491-_xlfn.MINIFS($B$2:$B$2705,$A$2:$A$2705,A491)&lt;10),1,0)</f>
        <v>0</v>
      </c>
      <c r="S491" s="7" t="n">
        <v>0</v>
      </c>
      <c r="T491" s="3" t="n">
        <f aca="false">_xlfn.MINIFS($B$2:$B$2705,$A$2:$A$2705,A491)</f>
        <v>1901</v>
      </c>
      <c r="U491" s="3" t="n">
        <f aca="false">B491-T491</f>
        <v>30</v>
      </c>
      <c r="V491" s="3" t="str">
        <f aca="false">INDEX(Pop_Inputs!$Q$2:$Q$29,MATCH(C491,Pop_Inputs!$A$2:$A$29,0))</f>
        <v>Northeast</v>
      </c>
      <c r="W491" s="30"/>
      <c r="X491" s="3" t="str">
        <f aca="false">IF(W491="","",LN(W491))</f>
        <v/>
      </c>
      <c r="Y491" s="3" t="str">
        <f aca="false">IF(X491="","",X491-AVERAGEIFS($X$2:$X$2705,$B$2:$B$2705,B491))</f>
        <v/>
      </c>
      <c r="Z491" s="21" t="n">
        <f aca="false">P491</f>
        <v>0.0785398709515253</v>
      </c>
      <c r="AA491" s="3" t="n">
        <f aca="false">R491</f>
        <v>0</v>
      </c>
      <c r="AB491" s="21" t="n">
        <f aca="false">P491</f>
        <v>0.0785398709515253</v>
      </c>
      <c r="AC491" s="3" t="str">
        <f aca="false">Y491</f>
        <v/>
      </c>
      <c r="AD491" s="3" t="n">
        <f aca="false">R491</f>
        <v>0</v>
      </c>
    </row>
    <row r="492" customFormat="false" ht="15" hidden="false" customHeight="true" outlineLevel="0" collapsed="false">
      <c r="A492" s="7" t="s">
        <v>60</v>
      </c>
      <c r="B492" s="7" t="n">
        <v>1931</v>
      </c>
      <c r="C492" s="7" t="s">
        <v>146</v>
      </c>
      <c r="D492" s="7" t="n">
        <v>66</v>
      </c>
      <c r="E492" s="7" t="n">
        <v>88</v>
      </c>
      <c r="F492" s="3" t="n">
        <f aca="false">COUNTIFS($B$2:$B$2705,B492,$C$2:$C$2705,C492)</f>
        <v>2</v>
      </c>
      <c r="G492" s="3" t="n">
        <f aca="false">MIN(INT((MIN(B492,2020)-1900)/10)+1,12)</f>
        <v>4</v>
      </c>
      <c r="H492" s="3" t="n">
        <f aca="false">(MIN(B492,2020)-1900-10*(G492-1))/10</f>
        <v>0.1</v>
      </c>
      <c r="I492" s="20" t="n">
        <f aca="false">EXP(LN(INDEX(Pop_Inputs!$B$2:$N$29,MATCH(C492,Pop_Inputs!$A$2:$A$29,0),G492))*(1-H492)+LN(INDEX(Pop_Inputs!$B$2:$N$29,MATCH(C492,Pop_Inputs!$A$2:$A$29,0),G492+1))*H492)</f>
        <v>1948989.35767835</v>
      </c>
      <c r="J492" s="20" t="n">
        <f aca="false">I492/F492</f>
        <v>974494.678839175</v>
      </c>
      <c r="K492" s="21" t="n">
        <f aca="false">D492/(D492+E492)</f>
        <v>0.428571428571429</v>
      </c>
      <c r="L492" s="21" t="n">
        <f aca="false">AVERAGEIFS($K$2:$K$2705,$B$2:$B$2705,B492)</f>
        <v>0.500157583966601</v>
      </c>
      <c r="M492" s="21" t="n">
        <f aca="false">K492-L492</f>
        <v>-0.0715861553951725</v>
      </c>
      <c r="N492" s="21" t="n">
        <f aca="false">LN(J492)</f>
        <v>13.7896743375138</v>
      </c>
      <c r="O492" s="21" t="n">
        <f aca="false">AVERAGEIFS($N$2:$N$2705,$B$2:$B$2705,B492)</f>
        <v>13.7111344665623</v>
      </c>
      <c r="P492" s="21" t="n">
        <f aca="false">N492-O492</f>
        <v>0.0785398709515253</v>
      </c>
      <c r="Q492" s="7" t="n">
        <v>0</v>
      </c>
      <c r="R492" s="3" t="n">
        <f aca="false">IF(AND(Q492=1,B492-_xlfn.MINIFS($B$2:$B$2705,$A$2:$A$2705,A492)&lt;10),1,0)</f>
        <v>0</v>
      </c>
      <c r="S492" s="7" t="n">
        <v>0</v>
      </c>
      <c r="T492" s="3" t="n">
        <f aca="false">_xlfn.MINIFS($B$2:$B$2705,$A$2:$A$2705,A492)</f>
        <v>1901</v>
      </c>
      <c r="U492" s="3" t="n">
        <f aca="false">B492-T492</f>
        <v>30</v>
      </c>
      <c r="V492" s="3" t="str">
        <f aca="false">INDEX(Pop_Inputs!$Q$2:$Q$29,MATCH(C492,Pop_Inputs!$A$2:$A$29,0))</f>
        <v>Northeast</v>
      </c>
      <c r="W492" s="30"/>
      <c r="X492" s="3" t="str">
        <f aca="false">IF(W492="","",LN(W492))</f>
        <v/>
      </c>
      <c r="Y492" s="3" t="str">
        <f aca="false">IF(X492="","",X492-AVERAGEIFS($X$2:$X$2705,$B$2:$B$2705,B492))</f>
        <v/>
      </c>
      <c r="Z492" s="21" t="n">
        <f aca="false">P492</f>
        <v>0.0785398709515253</v>
      </c>
      <c r="AA492" s="3" t="n">
        <f aca="false">R492</f>
        <v>0</v>
      </c>
      <c r="AB492" s="21" t="n">
        <f aca="false">P492</f>
        <v>0.0785398709515253</v>
      </c>
      <c r="AC492" s="3" t="str">
        <f aca="false">Y492</f>
        <v/>
      </c>
      <c r="AD492" s="3" t="n">
        <f aca="false">R492</f>
        <v>0</v>
      </c>
    </row>
    <row r="493" customFormat="false" ht="15" hidden="false" customHeight="true" outlineLevel="0" collapsed="false">
      <c r="A493" s="7" t="s">
        <v>58</v>
      </c>
      <c r="B493" s="7" t="n">
        <v>1931</v>
      </c>
      <c r="C493" s="7" t="s">
        <v>144</v>
      </c>
      <c r="D493" s="7" t="n">
        <v>75</v>
      </c>
      <c r="E493" s="7" t="n">
        <v>79</v>
      </c>
      <c r="F493" s="3" t="n">
        <f aca="false">COUNTIFS($B$2:$B$2705,B493,$C$2:$C$2705,C493)</f>
        <v>1</v>
      </c>
      <c r="G493" s="3" t="n">
        <f aca="false">MIN(INT((MIN(B493,2020)-1900)/10)+1,12)</f>
        <v>4</v>
      </c>
      <c r="H493" s="3" t="n">
        <f aca="false">(MIN(B493,2020)-1900-10*(G493-1))/10</f>
        <v>0.1</v>
      </c>
      <c r="I493" s="20" t="n">
        <f aca="false">EXP(LN(INDEX(Pop_Inputs!$B$2:$N$29,MATCH(C493,Pop_Inputs!$A$2:$A$29,0),G493))*(1-H493)+LN(INDEX(Pop_Inputs!$B$2:$N$29,MATCH(C493,Pop_Inputs!$A$2:$A$29,0),G493+1))*H493)</f>
        <v>670000.972448318</v>
      </c>
      <c r="J493" s="20" t="n">
        <f aca="false">I493/F493</f>
        <v>670000.972448318</v>
      </c>
      <c r="K493" s="21" t="n">
        <f aca="false">D493/(D493+E493)</f>
        <v>0.487012987012987</v>
      </c>
      <c r="L493" s="21" t="n">
        <f aca="false">AVERAGEIFS($K$2:$K$2705,$B$2:$B$2705,B493)</f>
        <v>0.500157583966601</v>
      </c>
      <c r="M493" s="21" t="n">
        <f aca="false">K493-L493</f>
        <v>-0.013144596953614</v>
      </c>
      <c r="N493" s="21" t="n">
        <f aca="false">LN(J493)</f>
        <v>13.4150344427815</v>
      </c>
      <c r="O493" s="21" t="n">
        <f aca="false">AVERAGEIFS($N$2:$N$2705,$B$2:$B$2705,B493)</f>
        <v>13.7111344665623</v>
      </c>
      <c r="P493" s="21" t="n">
        <f aca="false">N493-O493</f>
        <v>-0.296100023780772</v>
      </c>
      <c r="Q493" s="7" t="n">
        <v>0</v>
      </c>
      <c r="R493" s="3" t="n">
        <f aca="false">IF(AND(Q493=1,B493-_xlfn.MINIFS($B$2:$B$2705,$A$2:$A$2705,A493)&lt;10),1,0)</f>
        <v>0</v>
      </c>
      <c r="S493" s="7" t="n">
        <v>0</v>
      </c>
      <c r="T493" s="3" t="n">
        <f aca="false">_xlfn.MINIFS($B$2:$B$2705,$A$2:$A$2705,A493)</f>
        <v>1901</v>
      </c>
      <c r="U493" s="3" t="n">
        <f aca="false">B493-T493</f>
        <v>30</v>
      </c>
      <c r="V493" s="3" t="str">
        <f aca="false">INDEX(Pop_Inputs!$Q$2:$Q$29,MATCH(C493,Pop_Inputs!$A$2:$A$29,0))</f>
        <v>Northeast</v>
      </c>
      <c r="W493" s="30"/>
      <c r="X493" s="3" t="str">
        <f aca="false">IF(W493="","",LN(W493))</f>
        <v/>
      </c>
      <c r="Y493" s="3" t="str">
        <f aca="false">IF(X493="","",X493-AVERAGEIFS($X$2:$X$2705,$B$2:$B$2705,B493))</f>
        <v/>
      </c>
      <c r="Z493" s="21" t="n">
        <f aca="false">P493</f>
        <v>-0.296100023780772</v>
      </c>
      <c r="AA493" s="3" t="n">
        <f aca="false">R493</f>
        <v>0</v>
      </c>
      <c r="AB493" s="21" t="n">
        <f aca="false">P493</f>
        <v>-0.296100023780772</v>
      </c>
      <c r="AC493" s="3" t="str">
        <f aca="false">Y493</f>
        <v/>
      </c>
      <c r="AD493" s="3" t="n">
        <f aca="false">R493</f>
        <v>0</v>
      </c>
    </row>
    <row r="494" customFormat="false" ht="15" hidden="false" customHeight="true" outlineLevel="0" collapsed="false">
      <c r="A494" s="7" t="s">
        <v>61</v>
      </c>
      <c r="B494" s="7" t="n">
        <v>1931</v>
      </c>
      <c r="C494" s="7" t="s">
        <v>154</v>
      </c>
      <c r="D494" s="7" t="n">
        <v>87</v>
      </c>
      <c r="E494" s="7" t="n">
        <v>65</v>
      </c>
      <c r="F494" s="3" t="n">
        <f aca="false">COUNTIFS($B$2:$B$2705,B494,$C$2:$C$2705,C494)</f>
        <v>3</v>
      </c>
      <c r="G494" s="3" t="n">
        <f aca="false">MIN(INT((MIN(B494,2020)-1900)/10)+1,12)</f>
        <v>4</v>
      </c>
      <c r="H494" s="3" t="n">
        <f aca="false">(MIN(B494,2020)-1900-10*(G494-1))/10</f>
        <v>0.1</v>
      </c>
      <c r="I494" s="20" t="n">
        <f aca="false">EXP(LN(INDEX(Pop_Inputs!$B$2:$N$29,MATCH(C494,Pop_Inputs!$A$2:$A$29,0),G494))*(1-H494)+LN(INDEX(Pop_Inputs!$B$2:$N$29,MATCH(C494,Pop_Inputs!$A$2:$A$29,0),G494+1))*H494)</f>
        <v>6981195.51862804</v>
      </c>
      <c r="J494" s="20" t="n">
        <f aca="false">I494/F494</f>
        <v>2327065.17287601</v>
      </c>
      <c r="K494" s="21" t="n">
        <f aca="false">D494/(D494+E494)</f>
        <v>0.572368421052632</v>
      </c>
      <c r="L494" s="21" t="n">
        <f aca="false">AVERAGEIFS($K$2:$K$2705,$B$2:$B$2705,B494)</f>
        <v>0.500157583966601</v>
      </c>
      <c r="M494" s="21" t="n">
        <f aca="false">K494-L494</f>
        <v>0.0722108370860305</v>
      </c>
      <c r="N494" s="21" t="n">
        <f aca="false">LN(J494)</f>
        <v>14.6601184491445</v>
      </c>
      <c r="O494" s="21" t="n">
        <f aca="false">AVERAGEIFS($N$2:$N$2705,$B$2:$B$2705,B494)</f>
        <v>13.7111344665623</v>
      </c>
      <c r="P494" s="21" t="n">
        <f aca="false">N494-O494</f>
        <v>0.948983982582227</v>
      </c>
      <c r="Q494" s="7" t="n">
        <v>0</v>
      </c>
      <c r="R494" s="3" t="n">
        <f aca="false">IF(AND(Q494=1,B494-_xlfn.MINIFS($B$2:$B$2705,$A$2:$A$2705,A494)&lt;10),1,0)</f>
        <v>0</v>
      </c>
      <c r="S494" s="7" t="n">
        <v>0</v>
      </c>
      <c r="T494" s="3" t="n">
        <f aca="false">_xlfn.MINIFS($B$2:$B$2705,$A$2:$A$2705,A494)</f>
        <v>1901</v>
      </c>
      <c r="U494" s="3" t="n">
        <f aca="false">B494-T494</f>
        <v>30</v>
      </c>
      <c r="V494" s="3" t="str">
        <f aca="false">INDEX(Pop_Inputs!$Q$2:$Q$29,MATCH(C494,Pop_Inputs!$A$2:$A$29,0))</f>
        <v>Northeast</v>
      </c>
      <c r="W494" s="30"/>
      <c r="X494" s="3" t="str">
        <f aca="false">IF(W494="","",LN(W494))</f>
        <v/>
      </c>
      <c r="Y494" s="3" t="str">
        <f aca="false">IF(X494="","",X494-AVERAGEIFS($X$2:$X$2705,$B$2:$B$2705,B494))</f>
        <v/>
      </c>
      <c r="Z494" s="21" t="n">
        <f aca="false">P494</f>
        <v>0.948983982582227</v>
      </c>
      <c r="AA494" s="3" t="n">
        <f aca="false">R494</f>
        <v>0</v>
      </c>
      <c r="AB494" s="21" t="n">
        <f aca="false">P494</f>
        <v>0.948983982582227</v>
      </c>
      <c r="AC494" s="3" t="str">
        <f aca="false">Y494</f>
        <v/>
      </c>
      <c r="AD494" s="3" t="n">
        <f aca="false">R494</f>
        <v>0</v>
      </c>
    </row>
    <row r="495" customFormat="false" ht="15" hidden="false" customHeight="true" outlineLevel="0" collapsed="false">
      <c r="A495" s="7" t="s">
        <v>59</v>
      </c>
      <c r="B495" s="7" t="n">
        <v>1931</v>
      </c>
      <c r="C495" s="7" t="s">
        <v>145</v>
      </c>
      <c r="D495" s="7" t="n">
        <v>101</v>
      </c>
      <c r="E495" s="7" t="n">
        <v>53</v>
      </c>
      <c r="F495" s="3" t="n">
        <f aca="false">COUNTIFS($B$2:$B$2705,B495,$C$2:$C$2705,C495)</f>
        <v>2</v>
      </c>
      <c r="G495" s="3" t="n">
        <f aca="false">MIN(INT((MIN(B495,2020)-1900)/10)+1,12)</f>
        <v>4</v>
      </c>
      <c r="H495" s="3" t="n">
        <f aca="false">(MIN(B495,2020)-1900-10*(G495-1))/10</f>
        <v>0.1</v>
      </c>
      <c r="I495" s="20" t="n">
        <f aca="false">EXP(LN(INDEX(Pop_Inputs!$B$2:$N$29,MATCH(C495,Pop_Inputs!$A$2:$A$29,0),G495))*(1-H495)+LN(INDEX(Pop_Inputs!$B$2:$N$29,MATCH(C495,Pop_Inputs!$A$2:$A$29,0),G495+1))*H495)</f>
        <v>821366.87772794</v>
      </c>
      <c r="J495" s="20" t="n">
        <f aca="false">I495/F495</f>
        <v>410683.43886397</v>
      </c>
      <c r="K495" s="21" t="n">
        <f aca="false">D495/(D495+E495)</f>
        <v>0.655844155844156</v>
      </c>
      <c r="L495" s="21" t="n">
        <f aca="false">AVERAGEIFS($K$2:$K$2705,$B$2:$B$2705,B495)</f>
        <v>0.500157583966601</v>
      </c>
      <c r="M495" s="21" t="n">
        <f aca="false">K495-L495</f>
        <v>0.155686571877555</v>
      </c>
      <c r="N495" s="21" t="n">
        <f aca="false">LN(J495)</f>
        <v>12.925577974963</v>
      </c>
      <c r="O495" s="21" t="n">
        <f aca="false">AVERAGEIFS($N$2:$N$2705,$B$2:$B$2705,B495)</f>
        <v>13.7111344665623</v>
      </c>
      <c r="P495" s="21" t="n">
        <f aca="false">N495-O495</f>
        <v>-0.785556491599225</v>
      </c>
      <c r="Q495" s="7" t="n">
        <v>0</v>
      </c>
      <c r="R495" s="3" t="n">
        <f aca="false">IF(AND(Q495=1,B495-_xlfn.MINIFS($B$2:$B$2705,$A$2:$A$2705,A495)&lt;10),1,0)</f>
        <v>0</v>
      </c>
      <c r="S495" s="7" t="n">
        <v>0</v>
      </c>
      <c r="T495" s="3" t="n">
        <f aca="false">_xlfn.MINIFS($B$2:$B$2705,$A$2:$A$2705,A495)</f>
        <v>1901</v>
      </c>
      <c r="U495" s="3" t="n">
        <f aca="false">B495-T495</f>
        <v>30</v>
      </c>
      <c r="V495" s="3" t="str">
        <f aca="false">INDEX(Pop_Inputs!$Q$2:$Q$29,MATCH(C495,Pop_Inputs!$A$2:$A$29,0))</f>
        <v>Midwest</v>
      </c>
      <c r="W495" s="30"/>
      <c r="X495" s="3" t="str">
        <f aca="false">IF(W495="","",LN(W495))</f>
        <v/>
      </c>
      <c r="Y495" s="3" t="str">
        <f aca="false">IF(X495="","",X495-AVERAGEIFS($X$2:$X$2705,$B$2:$B$2705,B495))</f>
        <v/>
      </c>
      <c r="Z495" s="21" t="n">
        <f aca="false">P495</f>
        <v>-0.785556491599225</v>
      </c>
      <c r="AA495" s="3" t="n">
        <f aca="false">R495</f>
        <v>0</v>
      </c>
      <c r="AB495" s="21" t="n">
        <f aca="false">P495</f>
        <v>-0.785556491599225</v>
      </c>
      <c r="AC495" s="3" t="str">
        <f aca="false">Y495</f>
        <v/>
      </c>
      <c r="AD495" s="3" t="n">
        <f aca="false">R495</f>
        <v>0</v>
      </c>
    </row>
    <row r="496" customFormat="false" ht="15" hidden="false" customHeight="true" outlineLevel="0" collapsed="false">
      <c r="A496" s="7" t="s">
        <v>54</v>
      </c>
      <c r="B496" s="7" t="n">
        <v>1932</v>
      </c>
      <c r="C496" s="7" t="s">
        <v>150</v>
      </c>
      <c r="D496" s="7" t="n">
        <v>77</v>
      </c>
      <c r="E496" s="7" t="n">
        <v>77</v>
      </c>
      <c r="F496" s="3" t="n">
        <f aca="false">COUNTIFS($B$2:$B$2705,B496,$C$2:$C$2705,C496)</f>
        <v>2</v>
      </c>
      <c r="G496" s="3" t="n">
        <f aca="false">MIN(INT((MIN(B496,2020)-1900)/10)+1,12)</f>
        <v>4</v>
      </c>
      <c r="H496" s="3" t="n">
        <f aca="false">(MIN(B496,2020)-1900-10*(G496-1))/10</f>
        <v>0.2</v>
      </c>
      <c r="I496" s="20" t="n">
        <f aca="false">EXP(LN(INDEX(Pop_Inputs!$B$2:$N$29,MATCH(C496,Pop_Inputs!$A$2:$A$29,0),G496))*(1-H496)+LN(INDEX(Pop_Inputs!$B$2:$N$29,MATCH(C496,Pop_Inputs!$A$2:$A$29,0),G496+1))*H496)</f>
        <v>779102.494510926</v>
      </c>
      <c r="J496" s="20" t="n">
        <f aca="false">I496/F496</f>
        <v>389551.247255463</v>
      </c>
      <c r="K496" s="21" t="n">
        <f aca="false">D496/(D496+E496)</f>
        <v>0.5</v>
      </c>
      <c r="L496" s="21" t="n">
        <f aca="false">AVERAGEIFS($K$2:$K$2705,$B$2:$B$2705,B496)</f>
        <v>0.499849099249478</v>
      </c>
      <c r="M496" s="21" t="n">
        <f aca="false">K496-L496</f>
        <v>0.00015090075052171</v>
      </c>
      <c r="N496" s="21" t="n">
        <f aca="false">LN(J496)</f>
        <v>12.8727507075392</v>
      </c>
      <c r="O496" s="21" t="n">
        <f aca="false">AVERAGEIFS($N$2:$N$2705,$B$2:$B$2705,B496)</f>
        <v>13.7142625074108</v>
      </c>
      <c r="P496" s="21" t="n">
        <f aca="false">N496-O496</f>
        <v>-0.841511799871606</v>
      </c>
      <c r="Q496" s="7" t="n">
        <v>0</v>
      </c>
      <c r="R496" s="3" t="n">
        <f aca="false">IF(AND(Q496=1,B496-_xlfn.MINIFS($B$2:$B$2705,$A$2:$A$2705,A496)&lt;10),1,0)</f>
        <v>0</v>
      </c>
      <c r="S496" s="7" t="n">
        <v>0</v>
      </c>
      <c r="T496" s="3" t="n">
        <f aca="false">_xlfn.MINIFS($B$2:$B$2705,$A$2:$A$2705,A496)</f>
        <v>1901</v>
      </c>
      <c r="U496" s="3" t="n">
        <f aca="false">B496-T496</f>
        <v>31</v>
      </c>
      <c r="V496" s="3" t="str">
        <f aca="false">INDEX(Pop_Inputs!$Q$2:$Q$29,MATCH(C496,Pop_Inputs!$A$2:$A$29,0))</f>
        <v>Northeast</v>
      </c>
      <c r="W496" s="30"/>
      <c r="X496" s="3" t="str">
        <f aca="false">IF(W496="","",LN(W496))</f>
        <v/>
      </c>
      <c r="Y496" s="3" t="str">
        <f aca="false">IF(X496="","",X496-AVERAGEIFS($X$2:$X$2705,$B$2:$B$2705,B496))</f>
        <v/>
      </c>
      <c r="Z496" s="21" t="n">
        <f aca="false">P496</f>
        <v>-0.841511799871606</v>
      </c>
      <c r="AA496" s="3" t="n">
        <f aca="false">R496</f>
        <v>0</v>
      </c>
      <c r="AB496" s="21" t="n">
        <f aca="false">P496</f>
        <v>-0.841511799871606</v>
      </c>
      <c r="AC496" s="3" t="str">
        <f aca="false">Y496</f>
        <v/>
      </c>
      <c r="AD496" s="3" t="n">
        <f aca="false">R496</f>
        <v>0</v>
      </c>
    </row>
    <row r="497" customFormat="false" ht="15" hidden="false" customHeight="true" outlineLevel="0" collapsed="false">
      <c r="A497" s="7" t="s">
        <v>63</v>
      </c>
      <c r="B497" s="7" t="n">
        <v>1932</v>
      </c>
      <c r="C497" s="7" t="s">
        <v>145</v>
      </c>
      <c r="D497" s="7" t="n">
        <v>63</v>
      </c>
      <c r="E497" s="7" t="n">
        <v>91</v>
      </c>
      <c r="F497" s="3" t="n">
        <f aca="false">COUNTIFS($B$2:$B$2705,B497,$C$2:$C$2705,C497)</f>
        <v>2</v>
      </c>
      <c r="G497" s="3" t="n">
        <f aca="false">MIN(INT((MIN(B497,2020)-1900)/10)+1,12)</f>
        <v>4</v>
      </c>
      <c r="H497" s="3" t="n">
        <f aca="false">(MIN(B497,2020)-1900-10*(G497-1))/10</f>
        <v>0.2</v>
      </c>
      <c r="I497" s="20" t="n">
        <f aca="false">EXP(LN(INDEX(Pop_Inputs!$B$2:$N$29,MATCH(C497,Pop_Inputs!$A$2:$A$29,0),G497))*(1-H497)+LN(INDEX(Pop_Inputs!$B$2:$N$29,MATCH(C497,Pop_Inputs!$A$2:$A$29,0),G497+1))*H497)</f>
        <v>820774.183449979</v>
      </c>
      <c r="J497" s="20" t="n">
        <f aca="false">I497/F497</f>
        <v>410387.091724989</v>
      </c>
      <c r="K497" s="21" t="n">
        <f aca="false">D497/(D497+E497)</f>
        <v>0.409090909090909</v>
      </c>
      <c r="L497" s="21" t="n">
        <f aca="false">AVERAGEIFS($K$2:$K$2705,$B$2:$B$2705,B497)</f>
        <v>0.499849099249478</v>
      </c>
      <c r="M497" s="21" t="n">
        <f aca="false">K497-L497</f>
        <v>-0.0907581901585692</v>
      </c>
      <c r="N497" s="21" t="n">
        <f aca="false">LN(J497)</f>
        <v>12.9248561194322</v>
      </c>
      <c r="O497" s="21" t="n">
        <f aca="false">AVERAGEIFS($N$2:$N$2705,$B$2:$B$2705,B497)</f>
        <v>13.7142625074108</v>
      </c>
      <c r="P497" s="21" t="n">
        <f aca="false">N497-O497</f>
        <v>-0.789406387978559</v>
      </c>
      <c r="Q497" s="7" t="n">
        <v>0</v>
      </c>
      <c r="R497" s="3" t="n">
        <f aca="false">IF(AND(Q497=1,B497-_xlfn.MINIFS($B$2:$B$2705,$A$2:$A$2705,A497)&lt;10),1,0)</f>
        <v>0</v>
      </c>
      <c r="S497" s="7" t="n">
        <v>0</v>
      </c>
      <c r="T497" s="3" t="n">
        <f aca="false">_xlfn.MINIFS($B$2:$B$2705,$A$2:$A$2705,A497)</f>
        <v>1901</v>
      </c>
      <c r="U497" s="3" t="n">
        <f aca="false">B497-T497</f>
        <v>31</v>
      </c>
      <c r="V497" s="3" t="str">
        <f aca="false">INDEX(Pop_Inputs!$Q$2:$Q$29,MATCH(C497,Pop_Inputs!$A$2:$A$29,0))</f>
        <v>Midwest</v>
      </c>
      <c r="W497" s="30"/>
      <c r="X497" s="3" t="str">
        <f aca="false">IF(W497="","",LN(W497))</f>
        <v/>
      </c>
      <c r="Y497" s="3" t="str">
        <f aca="false">IF(X497="","",X497-AVERAGEIFS($X$2:$X$2705,$B$2:$B$2705,B497))</f>
        <v/>
      </c>
      <c r="Z497" s="21" t="n">
        <f aca="false">P497</f>
        <v>-0.789406387978559</v>
      </c>
      <c r="AA497" s="3" t="n">
        <f aca="false">R497</f>
        <v>0</v>
      </c>
      <c r="AB497" s="21" t="n">
        <f aca="false">P497</f>
        <v>-0.789406387978559</v>
      </c>
      <c r="AC497" s="3" t="str">
        <f aca="false">Y497</f>
        <v/>
      </c>
      <c r="AD497" s="3" t="n">
        <f aca="false">R497</f>
        <v>0</v>
      </c>
    </row>
    <row r="498" customFormat="false" ht="15" hidden="false" customHeight="true" outlineLevel="0" collapsed="false">
      <c r="A498" s="7" t="s">
        <v>64</v>
      </c>
      <c r="B498" s="7" t="n">
        <v>1932</v>
      </c>
      <c r="C498" s="7" t="s">
        <v>150</v>
      </c>
      <c r="D498" s="7" t="n">
        <v>43</v>
      </c>
      <c r="E498" s="7" t="n">
        <v>111</v>
      </c>
      <c r="F498" s="3" t="n">
        <f aca="false">COUNTIFS($B$2:$B$2705,B498,$C$2:$C$2705,C498)</f>
        <v>2</v>
      </c>
      <c r="G498" s="3" t="n">
        <f aca="false">MIN(INT((MIN(B498,2020)-1900)/10)+1,12)</f>
        <v>4</v>
      </c>
      <c r="H498" s="3" t="n">
        <f aca="false">(MIN(B498,2020)-1900-10*(G498-1))/10</f>
        <v>0.2</v>
      </c>
      <c r="I498" s="20" t="n">
        <f aca="false">EXP(LN(INDEX(Pop_Inputs!$B$2:$N$29,MATCH(C498,Pop_Inputs!$A$2:$A$29,0),G498))*(1-H498)+LN(INDEX(Pop_Inputs!$B$2:$N$29,MATCH(C498,Pop_Inputs!$A$2:$A$29,0),G498+1))*H498)</f>
        <v>779102.494510926</v>
      </c>
      <c r="J498" s="20" t="n">
        <f aca="false">I498/F498</f>
        <v>389551.247255463</v>
      </c>
      <c r="K498" s="21" t="n">
        <f aca="false">D498/(D498+E498)</f>
        <v>0.279220779220779</v>
      </c>
      <c r="L498" s="21" t="n">
        <f aca="false">AVERAGEIFS($K$2:$K$2705,$B$2:$B$2705,B498)</f>
        <v>0.499849099249478</v>
      </c>
      <c r="M498" s="21" t="n">
        <f aca="false">K498-L498</f>
        <v>-0.220628320028699</v>
      </c>
      <c r="N498" s="21" t="n">
        <f aca="false">LN(J498)</f>
        <v>12.8727507075392</v>
      </c>
      <c r="O498" s="21" t="n">
        <f aca="false">AVERAGEIFS($N$2:$N$2705,$B$2:$B$2705,B498)</f>
        <v>13.7142625074108</v>
      </c>
      <c r="P498" s="21" t="n">
        <f aca="false">N498-O498</f>
        <v>-0.841511799871606</v>
      </c>
      <c r="Q498" s="7" t="n">
        <v>0</v>
      </c>
      <c r="R498" s="3" t="n">
        <f aca="false">IF(AND(Q498=1,B498-_xlfn.MINIFS($B$2:$B$2705,$A$2:$A$2705,A498)&lt;10),1,0)</f>
        <v>0</v>
      </c>
      <c r="S498" s="7" t="n">
        <v>0</v>
      </c>
      <c r="T498" s="3" t="n">
        <f aca="false">_xlfn.MINIFS($B$2:$B$2705,$A$2:$A$2705,A498)</f>
        <v>1901</v>
      </c>
      <c r="U498" s="3" t="n">
        <f aca="false">B498-T498</f>
        <v>31</v>
      </c>
      <c r="V498" s="3" t="str">
        <f aca="false">INDEX(Pop_Inputs!$Q$2:$Q$29,MATCH(C498,Pop_Inputs!$A$2:$A$29,0))</f>
        <v>Northeast</v>
      </c>
      <c r="W498" s="30"/>
      <c r="X498" s="3" t="str">
        <f aca="false">IF(W498="","",LN(W498))</f>
        <v/>
      </c>
      <c r="Y498" s="3" t="str">
        <f aca="false">IF(X498="","",X498-AVERAGEIFS($X$2:$X$2705,$B$2:$B$2705,B498))</f>
        <v/>
      </c>
      <c r="Z498" s="21" t="n">
        <f aca="false">P498</f>
        <v>-0.841511799871606</v>
      </c>
      <c r="AA498" s="3" t="n">
        <f aca="false">R498</f>
        <v>0</v>
      </c>
      <c r="AB498" s="21" t="n">
        <f aca="false">P498</f>
        <v>-0.841511799871606</v>
      </c>
      <c r="AC498" s="3" t="str">
        <f aca="false">Y498</f>
        <v/>
      </c>
      <c r="AD498" s="3" t="n">
        <f aca="false">R498</f>
        <v>0</v>
      </c>
    </row>
    <row r="499" customFormat="false" ht="15" hidden="false" customHeight="true" outlineLevel="0" collapsed="false">
      <c r="A499" s="7" t="s">
        <v>56</v>
      </c>
      <c r="B499" s="7" t="n">
        <v>1932</v>
      </c>
      <c r="C499" s="7" t="s">
        <v>142</v>
      </c>
      <c r="D499" s="7" t="n">
        <v>90</v>
      </c>
      <c r="E499" s="7" t="n">
        <v>64</v>
      </c>
      <c r="F499" s="3" t="n">
        <f aca="false">COUNTIFS($B$2:$B$2705,B499,$C$2:$C$2705,C499)</f>
        <v>2</v>
      </c>
      <c r="G499" s="3" t="n">
        <f aca="false">MIN(INT((MIN(B499,2020)-1900)/10)+1,12)</f>
        <v>4</v>
      </c>
      <c r="H499" s="3" t="n">
        <f aca="false">(MIN(B499,2020)-1900-10*(G499-1))/10</f>
        <v>0.2</v>
      </c>
      <c r="I499" s="20" t="n">
        <f aca="false">EXP(LN(INDEX(Pop_Inputs!$B$2:$N$29,MATCH(C499,Pop_Inputs!$A$2:$A$29,0),G499))*(1-H499)+LN(INDEX(Pop_Inputs!$B$2:$N$29,MATCH(C499,Pop_Inputs!$A$2:$A$29,0),G499+1))*H499)</f>
        <v>3380502.2040854</v>
      </c>
      <c r="J499" s="20" t="n">
        <f aca="false">I499/F499</f>
        <v>1690251.1020427</v>
      </c>
      <c r="K499" s="21" t="n">
        <f aca="false">D499/(D499+E499)</f>
        <v>0.584415584415584</v>
      </c>
      <c r="L499" s="21" t="n">
        <f aca="false">AVERAGEIFS($K$2:$K$2705,$B$2:$B$2705,B499)</f>
        <v>0.499849099249478</v>
      </c>
      <c r="M499" s="21" t="n">
        <f aca="false">K499-L499</f>
        <v>0.0845664851661061</v>
      </c>
      <c r="N499" s="21" t="n">
        <f aca="false">LN(J499)</f>
        <v>14.3403876569525</v>
      </c>
      <c r="O499" s="21" t="n">
        <f aca="false">AVERAGEIFS($N$2:$N$2705,$B$2:$B$2705,B499)</f>
        <v>13.7142625074108</v>
      </c>
      <c r="P499" s="21" t="n">
        <f aca="false">N499-O499</f>
        <v>0.62612514954175</v>
      </c>
      <c r="Q499" s="7" t="n">
        <v>0</v>
      </c>
      <c r="R499" s="3" t="n">
        <f aca="false">IF(AND(Q499=1,B499-_xlfn.MINIFS($B$2:$B$2705,$A$2:$A$2705,A499)&lt;10),1,0)</f>
        <v>0</v>
      </c>
      <c r="S499" s="7" t="n">
        <v>0</v>
      </c>
      <c r="T499" s="3" t="n">
        <f aca="false">_xlfn.MINIFS($B$2:$B$2705,$A$2:$A$2705,A499)</f>
        <v>1901</v>
      </c>
      <c r="U499" s="3" t="n">
        <f aca="false">B499-T499</f>
        <v>31</v>
      </c>
      <c r="V499" s="3" t="str">
        <f aca="false">INDEX(Pop_Inputs!$Q$2:$Q$29,MATCH(C499,Pop_Inputs!$A$2:$A$29,0))</f>
        <v>Midwest</v>
      </c>
      <c r="W499" s="30"/>
      <c r="X499" s="3" t="str">
        <f aca="false">IF(W499="","",LN(W499))</f>
        <v/>
      </c>
      <c r="Y499" s="3" t="str">
        <f aca="false">IF(X499="","",X499-AVERAGEIFS($X$2:$X$2705,$B$2:$B$2705,B499))</f>
        <v/>
      </c>
      <c r="Z499" s="21" t="n">
        <f aca="false">P499</f>
        <v>0.62612514954175</v>
      </c>
      <c r="AA499" s="3" t="n">
        <f aca="false">R499</f>
        <v>0</v>
      </c>
      <c r="AB499" s="21" t="n">
        <f aca="false">P499</f>
        <v>0.62612514954175</v>
      </c>
      <c r="AC499" s="3" t="str">
        <f aca="false">Y499</f>
        <v/>
      </c>
      <c r="AD499" s="3" t="n">
        <f aca="false">R499</f>
        <v>0</v>
      </c>
    </row>
    <row r="500" customFormat="false" ht="15" hidden="false" customHeight="true" outlineLevel="0" collapsed="false">
      <c r="A500" s="7" t="s">
        <v>65</v>
      </c>
      <c r="B500" s="7" t="n">
        <v>1932</v>
      </c>
      <c r="C500" s="7" t="s">
        <v>142</v>
      </c>
      <c r="D500" s="7" t="n">
        <v>49</v>
      </c>
      <c r="E500" s="7" t="n">
        <v>102</v>
      </c>
      <c r="F500" s="3" t="n">
        <f aca="false">COUNTIFS($B$2:$B$2705,B500,$C$2:$C$2705,C500)</f>
        <v>2</v>
      </c>
      <c r="G500" s="3" t="n">
        <f aca="false">MIN(INT((MIN(B500,2020)-1900)/10)+1,12)</f>
        <v>4</v>
      </c>
      <c r="H500" s="3" t="n">
        <f aca="false">(MIN(B500,2020)-1900-10*(G500-1))/10</f>
        <v>0.2</v>
      </c>
      <c r="I500" s="20" t="n">
        <f aca="false">EXP(LN(INDEX(Pop_Inputs!$B$2:$N$29,MATCH(C500,Pop_Inputs!$A$2:$A$29,0),G500))*(1-H500)+LN(INDEX(Pop_Inputs!$B$2:$N$29,MATCH(C500,Pop_Inputs!$A$2:$A$29,0),G500+1))*H500)</f>
        <v>3380502.2040854</v>
      </c>
      <c r="J500" s="20" t="n">
        <f aca="false">I500/F500</f>
        <v>1690251.1020427</v>
      </c>
      <c r="K500" s="21" t="n">
        <f aca="false">D500/(D500+E500)</f>
        <v>0.324503311258278</v>
      </c>
      <c r="L500" s="21" t="n">
        <f aca="false">AVERAGEIFS($K$2:$K$2705,$B$2:$B$2705,B500)</f>
        <v>0.499849099249478</v>
      </c>
      <c r="M500" s="21" t="n">
        <f aca="false">K500-L500</f>
        <v>-0.1753457879912</v>
      </c>
      <c r="N500" s="21" t="n">
        <f aca="false">LN(J500)</f>
        <v>14.3403876569525</v>
      </c>
      <c r="O500" s="21" t="n">
        <f aca="false">AVERAGEIFS($N$2:$N$2705,$B$2:$B$2705,B500)</f>
        <v>13.7142625074108</v>
      </c>
      <c r="P500" s="21" t="n">
        <f aca="false">N500-O500</f>
        <v>0.62612514954175</v>
      </c>
      <c r="Q500" s="7" t="n">
        <v>0</v>
      </c>
      <c r="R500" s="3" t="n">
        <f aca="false">IF(AND(Q500=1,B500-_xlfn.MINIFS($B$2:$B$2705,$A$2:$A$2705,A500)&lt;10),1,0)</f>
        <v>0</v>
      </c>
      <c r="S500" s="7" t="n">
        <v>0</v>
      </c>
      <c r="T500" s="3" t="n">
        <f aca="false">_xlfn.MINIFS($B$2:$B$2705,$A$2:$A$2705,A500)</f>
        <v>1901</v>
      </c>
      <c r="U500" s="3" t="n">
        <f aca="false">B500-T500</f>
        <v>31</v>
      </c>
      <c r="V500" s="3" t="str">
        <f aca="false">INDEX(Pop_Inputs!$Q$2:$Q$29,MATCH(C500,Pop_Inputs!$A$2:$A$29,0))</f>
        <v>Midwest</v>
      </c>
      <c r="W500" s="30"/>
      <c r="X500" s="3" t="str">
        <f aca="false">IF(W500="","",LN(W500))</f>
        <v/>
      </c>
      <c r="Y500" s="3" t="str">
        <f aca="false">IF(X500="","",X500-AVERAGEIFS($X$2:$X$2705,$B$2:$B$2705,B500))</f>
        <v/>
      </c>
      <c r="Z500" s="21" t="n">
        <f aca="false">P500</f>
        <v>0.62612514954175</v>
      </c>
      <c r="AA500" s="3" t="n">
        <f aca="false">R500</f>
        <v>0</v>
      </c>
      <c r="AB500" s="21" t="n">
        <f aca="false">P500</f>
        <v>0.62612514954175</v>
      </c>
      <c r="AC500" s="3" t="str">
        <f aca="false">Y500</f>
        <v/>
      </c>
      <c r="AD500" s="3" t="n">
        <f aca="false">R500</f>
        <v>0</v>
      </c>
    </row>
    <row r="501" customFormat="false" ht="15" hidden="false" customHeight="true" outlineLevel="0" collapsed="false">
      <c r="A501" s="7" t="s">
        <v>57</v>
      </c>
      <c r="B501" s="7" t="n">
        <v>1932</v>
      </c>
      <c r="C501" s="7" t="s">
        <v>143</v>
      </c>
      <c r="D501" s="7" t="n">
        <v>60</v>
      </c>
      <c r="E501" s="7" t="n">
        <v>94</v>
      </c>
      <c r="F501" s="3" t="n">
        <f aca="false">COUNTIFS($B$2:$B$2705,B501,$C$2:$C$2705,C501)</f>
        <v>1</v>
      </c>
      <c r="G501" s="3" t="n">
        <f aca="false">MIN(INT((MIN(B501,2020)-1900)/10)+1,12)</f>
        <v>4</v>
      </c>
      <c r="H501" s="3" t="n">
        <f aca="false">(MIN(B501,2020)-1900-10*(G501-1))/10</f>
        <v>0.2</v>
      </c>
      <c r="I501" s="20" t="n">
        <f aca="false">EXP(LN(INDEX(Pop_Inputs!$B$2:$N$29,MATCH(C501,Pop_Inputs!$A$2:$A$29,0),G501))*(1-H501)+LN(INDEX(Pop_Inputs!$B$2:$N$29,MATCH(C501,Pop_Inputs!$A$2:$A$29,0),G501+1))*H501)</f>
        <v>452046.509245431</v>
      </c>
      <c r="J501" s="20" t="n">
        <f aca="false">I501/F501</f>
        <v>452046.509245431</v>
      </c>
      <c r="K501" s="21" t="n">
        <f aca="false">D501/(D501+E501)</f>
        <v>0.38961038961039</v>
      </c>
      <c r="L501" s="21" t="n">
        <f aca="false">AVERAGEIFS($K$2:$K$2705,$B$2:$B$2705,B501)</f>
        <v>0.499849099249478</v>
      </c>
      <c r="M501" s="21" t="n">
        <f aca="false">K501-L501</f>
        <v>-0.110238709639089</v>
      </c>
      <c r="N501" s="21" t="n">
        <f aca="false">LN(J501)</f>
        <v>13.0215403500816</v>
      </c>
      <c r="O501" s="21" t="n">
        <f aca="false">AVERAGEIFS($N$2:$N$2705,$B$2:$B$2705,B501)</f>
        <v>13.7142625074108</v>
      </c>
      <c r="P501" s="21" t="n">
        <f aca="false">N501-O501</f>
        <v>-0.692722157329214</v>
      </c>
      <c r="Q501" s="7" t="n">
        <v>0</v>
      </c>
      <c r="R501" s="3" t="n">
        <f aca="false">IF(AND(Q501=1,B501-_xlfn.MINIFS($B$2:$B$2705,$A$2:$A$2705,A501)&lt;10),1,0)</f>
        <v>0</v>
      </c>
      <c r="S501" s="7" t="n">
        <v>0</v>
      </c>
      <c r="T501" s="3" t="n">
        <f aca="false">_xlfn.MINIFS($B$2:$B$2705,$A$2:$A$2705,A501)</f>
        <v>1901</v>
      </c>
      <c r="U501" s="3" t="n">
        <f aca="false">B501-T501</f>
        <v>31</v>
      </c>
      <c r="V501" s="3" t="str">
        <f aca="false">INDEX(Pop_Inputs!$Q$2:$Q$29,MATCH(C501,Pop_Inputs!$A$2:$A$29,0))</f>
        <v>Midwest</v>
      </c>
      <c r="W501" s="30"/>
      <c r="X501" s="3" t="str">
        <f aca="false">IF(W501="","",LN(W501))</f>
        <v/>
      </c>
      <c r="Y501" s="3" t="str">
        <f aca="false">IF(X501="","",X501-AVERAGEIFS($X$2:$X$2705,$B$2:$B$2705,B501))</f>
        <v/>
      </c>
      <c r="Z501" s="21" t="n">
        <f aca="false">P501</f>
        <v>-0.692722157329214</v>
      </c>
      <c r="AA501" s="3" t="n">
        <f aca="false">R501</f>
        <v>0</v>
      </c>
      <c r="AB501" s="21" t="n">
        <f aca="false">P501</f>
        <v>-0.692722157329214</v>
      </c>
      <c r="AC501" s="3" t="str">
        <f aca="false">Y501</f>
        <v/>
      </c>
      <c r="AD501" s="3" t="n">
        <f aca="false">R501</f>
        <v>0</v>
      </c>
    </row>
    <row r="502" customFormat="false" ht="15" hidden="false" customHeight="true" outlineLevel="0" collapsed="false">
      <c r="A502" s="7" t="s">
        <v>66</v>
      </c>
      <c r="B502" s="7" t="n">
        <v>1932</v>
      </c>
      <c r="C502" s="7" t="s">
        <v>151</v>
      </c>
      <c r="D502" s="7" t="n">
        <v>87</v>
      </c>
      <c r="E502" s="7" t="n">
        <v>65</v>
      </c>
      <c r="F502" s="3" t="n">
        <f aca="false">COUNTIFS($B$2:$B$2705,B502,$C$2:$C$2705,C502)</f>
        <v>1</v>
      </c>
      <c r="G502" s="3" t="n">
        <f aca="false">MIN(INT((MIN(B502,2020)-1900)/10)+1,12)</f>
        <v>4</v>
      </c>
      <c r="H502" s="3" t="n">
        <f aca="false">(MIN(B502,2020)-1900-10*(G502-1))/10</f>
        <v>0.2</v>
      </c>
      <c r="I502" s="20" t="n">
        <f aca="false">EXP(LN(INDEX(Pop_Inputs!$B$2:$N$29,MATCH(C502,Pop_Inputs!$A$2:$A$29,0),G502))*(1-H502)+LN(INDEX(Pop_Inputs!$B$2:$N$29,MATCH(C502,Pop_Inputs!$A$2:$A$29,0),G502+1))*H502)</f>
        <v>895966.384353377</v>
      </c>
      <c r="J502" s="20" t="n">
        <f aca="false">I502/F502</f>
        <v>895966.384353377</v>
      </c>
      <c r="K502" s="21" t="n">
        <f aca="false">D502/(D502+E502)</f>
        <v>0.572368421052632</v>
      </c>
      <c r="L502" s="21" t="n">
        <f aca="false">AVERAGEIFS($K$2:$K$2705,$B$2:$B$2705,B502)</f>
        <v>0.499849099249478</v>
      </c>
      <c r="M502" s="21" t="n">
        <f aca="false">K502-L502</f>
        <v>0.0725193218031532</v>
      </c>
      <c r="N502" s="21" t="n">
        <f aca="false">LN(J502)</f>
        <v>13.7056581737905</v>
      </c>
      <c r="O502" s="21" t="n">
        <f aca="false">AVERAGEIFS($N$2:$N$2705,$B$2:$B$2705,B502)</f>
        <v>13.7142625074108</v>
      </c>
      <c r="P502" s="21" t="n">
        <f aca="false">N502-O502</f>
        <v>-0.00860433362026214</v>
      </c>
      <c r="Q502" s="7" t="n">
        <v>0</v>
      </c>
      <c r="R502" s="3" t="n">
        <f aca="false">IF(AND(Q502=1,B502-_xlfn.MINIFS($B$2:$B$2705,$A$2:$A$2705,A502)&lt;10),1,0)</f>
        <v>0</v>
      </c>
      <c r="S502" s="7" t="n">
        <v>0</v>
      </c>
      <c r="T502" s="3" t="n">
        <f aca="false">_xlfn.MINIFS($B$2:$B$2705,$A$2:$A$2705,A502)</f>
        <v>1901</v>
      </c>
      <c r="U502" s="3" t="n">
        <f aca="false">B502-T502</f>
        <v>31</v>
      </c>
      <c r="V502" s="3" t="str">
        <f aca="false">INDEX(Pop_Inputs!$Q$2:$Q$29,MATCH(C502,Pop_Inputs!$A$2:$A$29,0))</f>
        <v>Midwest</v>
      </c>
      <c r="W502" s="30"/>
      <c r="X502" s="3" t="str">
        <f aca="false">IF(W502="","",LN(W502))</f>
        <v/>
      </c>
      <c r="Y502" s="3" t="str">
        <f aca="false">IF(X502="","",X502-AVERAGEIFS($X$2:$X$2705,$B$2:$B$2705,B502))</f>
        <v/>
      </c>
      <c r="Z502" s="21" t="n">
        <f aca="false">P502</f>
        <v>-0.00860433362026214</v>
      </c>
      <c r="AA502" s="3" t="n">
        <f aca="false">R502</f>
        <v>0</v>
      </c>
      <c r="AB502" s="21" t="n">
        <f aca="false">P502</f>
        <v>-0.00860433362026214</v>
      </c>
      <c r="AC502" s="3" t="str">
        <f aca="false">Y502</f>
        <v/>
      </c>
      <c r="AD502" s="3" t="n">
        <f aca="false">R502</f>
        <v>0</v>
      </c>
    </row>
    <row r="503" customFormat="false" ht="15" hidden="false" customHeight="true" outlineLevel="0" collapsed="false">
      <c r="A503" s="7" t="s">
        <v>67</v>
      </c>
      <c r="B503" s="7" t="n">
        <v>1932</v>
      </c>
      <c r="C503" s="7" t="s">
        <v>152</v>
      </c>
      <c r="D503" s="7" t="n">
        <v>76</v>
      </c>
      <c r="E503" s="7" t="n">
        <v>75</v>
      </c>
      <c r="F503" s="3" t="n">
        <f aca="false">COUNTIFS($B$2:$B$2705,B503,$C$2:$C$2705,C503)</f>
        <v>1</v>
      </c>
      <c r="G503" s="3" t="n">
        <f aca="false">MIN(INT((MIN(B503,2020)-1900)/10)+1,12)</f>
        <v>4</v>
      </c>
      <c r="H503" s="3" t="n">
        <f aca="false">(MIN(B503,2020)-1900-10*(G503-1))/10</f>
        <v>0.2</v>
      </c>
      <c r="I503" s="20" t="n">
        <f aca="false">EXP(LN(INDEX(Pop_Inputs!$B$2:$N$29,MATCH(C503,Pop_Inputs!$A$2:$A$29,0),G503))*(1-H503)+LN(INDEX(Pop_Inputs!$B$2:$N$29,MATCH(C503,Pop_Inputs!$A$2:$A$29,0),G503+1))*H503)</f>
        <v>1579470.03618952</v>
      </c>
      <c r="J503" s="20" t="n">
        <f aca="false">I503/F503</f>
        <v>1579470.03618952</v>
      </c>
      <c r="K503" s="21" t="n">
        <f aca="false">D503/(D503+E503)</f>
        <v>0.503311258278146</v>
      </c>
      <c r="L503" s="21" t="n">
        <f aca="false">AVERAGEIFS($K$2:$K$2705,$B$2:$B$2705,B503)</f>
        <v>0.499849099249478</v>
      </c>
      <c r="M503" s="21" t="n">
        <f aca="false">K503-L503</f>
        <v>0.00346215902866742</v>
      </c>
      <c r="N503" s="21" t="n">
        <f aca="false">LN(J503)</f>
        <v>14.272599928604</v>
      </c>
      <c r="O503" s="21" t="n">
        <f aca="false">AVERAGEIFS($N$2:$N$2705,$B$2:$B$2705,B503)</f>
        <v>13.7142625074108</v>
      </c>
      <c r="P503" s="21" t="n">
        <f aca="false">N503-O503</f>
        <v>0.558337421193235</v>
      </c>
      <c r="Q503" s="7" t="n">
        <v>0</v>
      </c>
      <c r="R503" s="3" t="n">
        <f aca="false">IF(AND(Q503=1,B503-_xlfn.MINIFS($B$2:$B$2705,$A$2:$A$2705,A503)&lt;10),1,0)</f>
        <v>0</v>
      </c>
      <c r="S503" s="7" t="n">
        <v>0</v>
      </c>
      <c r="T503" s="3" t="n">
        <f aca="false">_xlfn.MINIFS($B$2:$B$2705,$A$2:$A$2705,A503)</f>
        <v>1901</v>
      </c>
      <c r="U503" s="3" t="n">
        <f aca="false">B503-T503</f>
        <v>31</v>
      </c>
      <c r="V503" s="3" t="str">
        <f aca="false">INDEX(Pop_Inputs!$Q$2:$Q$29,MATCH(C503,Pop_Inputs!$A$2:$A$29,0))</f>
        <v>Midwest</v>
      </c>
      <c r="W503" s="30"/>
      <c r="X503" s="3" t="str">
        <f aca="false">IF(W503="","",LN(W503))</f>
        <v/>
      </c>
      <c r="Y503" s="3" t="str">
        <f aca="false">IF(X503="","",X503-AVERAGEIFS($X$2:$X$2705,$B$2:$B$2705,B503))</f>
        <v/>
      </c>
      <c r="Z503" s="21" t="n">
        <f aca="false">P503</f>
        <v>0.558337421193235</v>
      </c>
      <c r="AA503" s="3" t="n">
        <f aca="false">R503</f>
        <v>0</v>
      </c>
      <c r="AB503" s="21" t="n">
        <f aca="false">P503</f>
        <v>0.558337421193235</v>
      </c>
      <c r="AC503" s="3" t="str">
        <f aca="false">Y503</f>
        <v/>
      </c>
      <c r="AD503" s="3" t="n">
        <f aca="false">R503</f>
        <v>0</v>
      </c>
    </row>
    <row r="504" customFormat="false" ht="15" hidden="false" customHeight="true" outlineLevel="0" collapsed="false">
      <c r="A504" s="7" t="s">
        <v>62</v>
      </c>
      <c r="B504" s="7" t="n">
        <v>1932</v>
      </c>
      <c r="C504" s="7" t="s">
        <v>154</v>
      </c>
      <c r="D504" s="7" t="n">
        <v>81</v>
      </c>
      <c r="E504" s="7" t="n">
        <v>73</v>
      </c>
      <c r="F504" s="3" t="n">
        <f aca="false">COUNTIFS($B$2:$B$2705,B504,$C$2:$C$2705,C504)</f>
        <v>3</v>
      </c>
      <c r="G504" s="3" t="n">
        <f aca="false">MIN(INT((MIN(B504,2020)-1900)/10)+1,12)</f>
        <v>4</v>
      </c>
      <c r="H504" s="3" t="n">
        <f aca="false">(MIN(B504,2020)-1900-10*(G504-1))/10</f>
        <v>0.2</v>
      </c>
      <c r="I504" s="20" t="n">
        <f aca="false">EXP(LN(INDEX(Pop_Inputs!$B$2:$N$29,MATCH(C504,Pop_Inputs!$A$2:$A$29,0),G504))*(1-H504)+LN(INDEX(Pop_Inputs!$B$2:$N$29,MATCH(C504,Pop_Inputs!$A$2:$A$29,0),G504+1))*H504)</f>
        <v>7032316.66032924</v>
      </c>
      <c r="J504" s="20" t="n">
        <f aca="false">I504/F504</f>
        <v>2344105.55344308</v>
      </c>
      <c r="K504" s="21" t="n">
        <f aca="false">D504/(D504+E504)</f>
        <v>0.525974025974026</v>
      </c>
      <c r="L504" s="21" t="n">
        <f aca="false">AVERAGEIFS($K$2:$K$2705,$B$2:$B$2705,B504)</f>
        <v>0.499849099249478</v>
      </c>
      <c r="M504" s="21" t="n">
        <f aca="false">K504-L504</f>
        <v>0.0261249267245477</v>
      </c>
      <c r="N504" s="21" t="n">
        <f aca="false">LN(J504)</f>
        <v>14.6674144599975</v>
      </c>
      <c r="O504" s="21" t="n">
        <f aca="false">AVERAGEIFS($N$2:$N$2705,$B$2:$B$2705,B504)</f>
        <v>13.7142625074108</v>
      </c>
      <c r="P504" s="21" t="n">
        <f aca="false">N504-O504</f>
        <v>0.953151952586749</v>
      </c>
      <c r="Q504" s="7" t="n">
        <v>0</v>
      </c>
      <c r="R504" s="3" t="n">
        <f aca="false">IF(AND(Q504=1,B504-_xlfn.MINIFS($B$2:$B$2705,$A$2:$A$2705,A504)&lt;10),1,0)</f>
        <v>0</v>
      </c>
      <c r="S504" s="7" t="n">
        <v>0</v>
      </c>
      <c r="T504" s="3" t="n">
        <f aca="false">_xlfn.MINIFS($B$2:$B$2705,$A$2:$A$2705,A504)</f>
        <v>1901</v>
      </c>
      <c r="U504" s="3" t="n">
        <f aca="false">B504-T504</f>
        <v>31</v>
      </c>
      <c r="V504" s="3" t="str">
        <f aca="false">INDEX(Pop_Inputs!$Q$2:$Q$29,MATCH(C504,Pop_Inputs!$A$2:$A$29,0))</f>
        <v>Northeast</v>
      </c>
      <c r="W504" s="30"/>
      <c r="X504" s="3" t="str">
        <f aca="false">IF(W504="","",LN(W504))</f>
        <v/>
      </c>
      <c r="Y504" s="3" t="str">
        <f aca="false">IF(X504="","",X504-AVERAGEIFS($X$2:$X$2705,$B$2:$B$2705,B504))</f>
        <v/>
      </c>
      <c r="Z504" s="21" t="n">
        <f aca="false">P504</f>
        <v>0.953151952586749</v>
      </c>
      <c r="AA504" s="3" t="n">
        <f aca="false">R504</f>
        <v>0</v>
      </c>
      <c r="AB504" s="21" t="n">
        <f aca="false">P504</f>
        <v>0.953151952586749</v>
      </c>
      <c r="AC504" s="3" t="str">
        <f aca="false">Y504</f>
        <v/>
      </c>
      <c r="AD504" s="3" t="n">
        <f aca="false">R504</f>
        <v>0</v>
      </c>
    </row>
    <row r="505" customFormat="false" ht="15" hidden="false" customHeight="true" outlineLevel="0" collapsed="false">
      <c r="A505" s="7" t="s">
        <v>68</v>
      </c>
      <c r="B505" s="7" t="n">
        <v>1932</v>
      </c>
      <c r="C505" s="7" t="s">
        <v>160</v>
      </c>
      <c r="D505" s="7" t="n">
        <v>93</v>
      </c>
      <c r="E505" s="7" t="n">
        <v>61</v>
      </c>
      <c r="F505" s="3" t="n">
        <f aca="false">COUNTIFS($B$2:$B$2705,B505,$C$2:$C$2705,C505)</f>
        <v>1</v>
      </c>
      <c r="G505" s="3" t="n">
        <f aca="false">MIN(INT((MIN(B505,2020)-1900)/10)+1,12)</f>
        <v>4</v>
      </c>
      <c r="H505" s="3" t="n">
        <f aca="false">(MIN(B505,2020)-1900-10*(G505-1))/10</f>
        <v>0.2</v>
      </c>
      <c r="I505" s="20" t="n">
        <f aca="false">EXP(LN(INDEX(Pop_Inputs!$B$2:$N$29,MATCH(C505,Pop_Inputs!$A$2:$A$29,0),G505))*(1-H505)+LN(INDEX(Pop_Inputs!$B$2:$N$29,MATCH(C505,Pop_Inputs!$A$2:$A$29,0),G505+1))*H505)</f>
        <v>517898.108710307</v>
      </c>
      <c r="J505" s="20" t="n">
        <f aca="false">I505/F505</f>
        <v>517898.108710307</v>
      </c>
      <c r="K505" s="21" t="n">
        <f aca="false">D505/(D505+E505)</f>
        <v>0.603896103896104</v>
      </c>
      <c r="L505" s="21" t="n">
        <f aca="false">AVERAGEIFS($K$2:$K$2705,$B$2:$B$2705,B505)</f>
        <v>0.499849099249478</v>
      </c>
      <c r="M505" s="21" t="n">
        <f aca="false">K505-L505</f>
        <v>0.104047004646626</v>
      </c>
      <c r="N505" s="21" t="n">
        <f aca="false">LN(J505)</f>
        <v>13.1575338005619</v>
      </c>
      <c r="O505" s="21" t="n">
        <f aca="false">AVERAGEIFS($N$2:$N$2705,$B$2:$B$2705,B505)</f>
        <v>13.7142625074108</v>
      </c>
      <c r="P505" s="21" t="n">
        <f aca="false">N505-O505</f>
        <v>-0.556728706848862</v>
      </c>
      <c r="Q505" s="7" t="n">
        <v>0</v>
      </c>
      <c r="R505" s="3" t="n">
        <f aca="false">IF(AND(Q505=1,B505-_xlfn.MINIFS($B$2:$B$2705,$A$2:$A$2705,A505)&lt;10),1,0)</f>
        <v>0</v>
      </c>
      <c r="S505" s="7" t="n">
        <v>0</v>
      </c>
      <c r="T505" s="3" t="n">
        <f aca="false">_xlfn.MINIFS($B$2:$B$2705,$A$2:$A$2705,A505)</f>
        <v>1901</v>
      </c>
      <c r="U505" s="3" t="n">
        <f aca="false">B505-T505</f>
        <v>31</v>
      </c>
      <c r="V505" s="3" t="str">
        <f aca="false">INDEX(Pop_Inputs!$Q$2:$Q$29,MATCH(C505,Pop_Inputs!$A$2:$A$29,0))</f>
        <v>South</v>
      </c>
      <c r="W505" s="30"/>
      <c r="X505" s="3" t="str">
        <f aca="false">IF(W505="","",LN(W505))</f>
        <v/>
      </c>
      <c r="Y505" s="3" t="str">
        <f aca="false">IF(X505="","",X505-AVERAGEIFS($X$2:$X$2705,$B$2:$B$2705,B505))</f>
        <v/>
      </c>
      <c r="Z505" s="21" t="n">
        <f aca="false">P505</f>
        <v>-0.556728706848862</v>
      </c>
      <c r="AA505" s="3" t="n">
        <f aca="false">R505</f>
        <v>0</v>
      </c>
      <c r="AB505" s="21" t="n">
        <f aca="false">P505</f>
        <v>-0.556728706848862</v>
      </c>
      <c r="AC505" s="3" t="str">
        <f aca="false">Y505</f>
        <v/>
      </c>
      <c r="AD505" s="3" t="n">
        <f aca="false">R505</f>
        <v>0</v>
      </c>
    </row>
    <row r="506" customFormat="false" ht="15" hidden="false" customHeight="true" outlineLevel="0" collapsed="false">
      <c r="A506" s="7" t="s">
        <v>70</v>
      </c>
      <c r="B506" s="7" t="n">
        <v>1932</v>
      </c>
      <c r="C506" s="7" t="s">
        <v>154</v>
      </c>
      <c r="D506" s="7" t="n">
        <v>107</v>
      </c>
      <c r="E506" s="7" t="n">
        <v>47</v>
      </c>
      <c r="F506" s="3" t="n">
        <f aca="false">COUNTIFS($B$2:$B$2705,B506,$C$2:$C$2705,C506)</f>
        <v>3</v>
      </c>
      <c r="G506" s="3" t="n">
        <f aca="false">MIN(INT((MIN(B506,2020)-1900)/10)+1,12)</f>
        <v>4</v>
      </c>
      <c r="H506" s="3" t="n">
        <f aca="false">(MIN(B506,2020)-1900-10*(G506-1))/10</f>
        <v>0.2</v>
      </c>
      <c r="I506" s="20" t="n">
        <f aca="false">EXP(LN(INDEX(Pop_Inputs!$B$2:$N$29,MATCH(C506,Pop_Inputs!$A$2:$A$29,0),G506))*(1-H506)+LN(INDEX(Pop_Inputs!$B$2:$N$29,MATCH(C506,Pop_Inputs!$A$2:$A$29,0),G506+1))*H506)</f>
        <v>7032316.66032924</v>
      </c>
      <c r="J506" s="20" t="n">
        <f aca="false">I506/F506</f>
        <v>2344105.55344308</v>
      </c>
      <c r="K506" s="21" t="n">
        <f aca="false">D506/(D506+E506)</f>
        <v>0.694805194805195</v>
      </c>
      <c r="L506" s="21" t="n">
        <f aca="false">AVERAGEIFS($K$2:$K$2705,$B$2:$B$2705,B506)</f>
        <v>0.499849099249478</v>
      </c>
      <c r="M506" s="21" t="n">
        <f aca="false">K506-L506</f>
        <v>0.194956095555716</v>
      </c>
      <c r="N506" s="21" t="n">
        <f aca="false">LN(J506)</f>
        <v>14.6674144599975</v>
      </c>
      <c r="O506" s="21" t="n">
        <f aca="false">AVERAGEIFS($N$2:$N$2705,$B$2:$B$2705,B506)</f>
        <v>13.7142625074108</v>
      </c>
      <c r="P506" s="21" t="n">
        <f aca="false">N506-O506</f>
        <v>0.953151952586749</v>
      </c>
      <c r="Q506" s="7" t="n">
        <v>0</v>
      </c>
      <c r="R506" s="3" t="n">
        <f aca="false">IF(AND(Q506=1,B506-_xlfn.MINIFS($B$2:$B$2705,$A$2:$A$2705,A506)&lt;10),1,0)</f>
        <v>0</v>
      </c>
      <c r="S506" s="7" t="n">
        <v>1</v>
      </c>
      <c r="T506" s="3" t="n">
        <f aca="false">_xlfn.MINIFS($B$2:$B$2705,$A$2:$A$2705,A506)</f>
        <v>1903</v>
      </c>
      <c r="U506" s="3" t="n">
        <f aca="false">B506-T506</f>
        <v>29</v>
      </c>
      <c r="V506" s="3" t="str">
        <f aca="false">INDEX(Pop_Inputs!$Q$2:$Q$29,MATCH(C506,Pop_Inputs!$A$2:$A$29,0))</f>
        <v>Northeast</v>
      </c>
      <c r="W506" s="30"/>
      <c r="X506" s="3" t="str">
        <f aca="false">IF(W506="","",LN(W506))</f>
        <v/>
      </c>
      <c r="Y506" s="3" t="str">
        <f aca="false">IF(X506="","",X506-AVERAGEIFS($X$2:$X$2705,$B$2:$B$2705,B506))</f>
        <v/>
      </c>
      <c r="Z506" s="21" t="n">
        <f aca="false">P506</f>
        <v>0.953151952586749</v>
      </c>
      <c r="AA506" s="3" t="n">
        <f aca="false">R506</f>
        <v>0</v>
      </c>
      <c r="AB506" s="21" t="n">
        <f aca="false">P506</f>
        <v>0.953151952586749</v>
      </c>
      <c r="AC506" s="3" t="str">
        <f aca="false">Y506</f>
        <v/>
      </c>
      <c r="AD506" s="3" t="n">
        <f aca="false">R506</f>
        <v>0</v>
      </c>
    </row>
    <row r="507" customFormat="false" ht="15" hidden="false" customHeight="true" outlineLevel="0" collapsed="false">
      <c r="A507" s="7" t="s">
        <v>69</v>
      </c>
      <c r="B507" s="7" t="n">
        <v>1932</v>
      </c>
      <c r="C507" s="7" t="s">
        <v>146</v>
      </c>
      <c r="D507" s="7" t="n">
        <v>94</v>
      </c>
      <c r="E507" s="7" t="n">
        <v>60</v>
      </c>
      <c r="F507" s="3" t="n">
        <f aca="false">COUNTIFS($B$2:$B$2705,B507,$C$2:$C$2705,C507)</f>
        <v>2</v>
      </c>
      <c r="G507" s="3" t="n">
        <f aca="false">MIN(INT((MIN(B507,2020)-1900)/10)+1,12)</f>
        <v>4</v>
      </c>
      <c r="H507" s="3" t="n">
        <f aca="false">(MIN(B507,2020)-1900-10*(G507-1))/10</f>
        <v>0.2</v>
      </c>
      <c r="I507" s="20" t="n">
        <f aca="false">EXP(LN(INDEX(Pop_Inputs!$B$2:$N$29,MATCH(C507,Pop_Inputs!$A$2:$A$29,0),G507))*(1-H507)+LN(INDEX(Pop_Inputs!$B$2:$N$29,MATCH(C507,Pop_Inputs!$A$2:$A$29,0),G507+1))*H507)</f>
        <v>1947019.70789958</v>
      </c>
      <c r="J507" s="20" t="n">
        <f aca="false">I507/F507</f>
        <v>973509.853949789</v>
      </c>
      <c r="K507" s="21" t="n">
        <f aca="false">D507/(D507+E507)</f>
        <v>0.61038961038961</v>
      </c>
      <c r="L507" s="21" t="n">
        <f aca="false">AVERAGEIFS($K$2:$K$2705,$B$2:$B$2705,B507)</f>
        <v>0.499849099249478</v>
      </c>
      <c r="M507" s="21" t="n">
        <f aca="false">K507-L507</f>
        <v>0.110540511140132</v>
      </c>
      <c r="N507" s="21" t="n">
        <f aca="false">LN(J507)</f>
        <v>13.7886632259309</v>
      </c>
      <c r="O507" s="21" t="n">
        <f aca="false">AVERAGEIFS($N$2:$N$2705,$B$2:$B$2705,B507)</f>
        <v>13.7142625074108</v>
      </c>
      <c r="P507" s="21" t="n">
        <f aca="false">N507-O507</f>
        <v>0.0744007185201436</v>
      </c>
      <c r="Q507" s="7" t="n">
        <v>0</v>
      </c>
      <c r="R507" s="3" t="n">
        <f aca="false">IF(AND(Q507=1,B507-_xlfn.MINIFS($B$2:$B$2705,$A$2:$A$2705,A507)&lt;10),1,0)</f>
        <v>0</v>
      </c>
      <c r="S507" s="7" t="n">
        <v>0</v>
      </c>
      <c r="T507" s="3" t="n">
        <f aca="false">_xlfn.MINIFS($B$2:$B$2705,$A$2:$A$2705,A507)</f>
        <v>1901</v>
      </c>
      <c r="U507" s="3" t="n">
        <f aca="false">B507-T507</f>
        <v>31</v>
      </c>
      <c r="V507" s="3" t="str">
        <f aca="false">INDEX(Pop_Inputs!$Q$2:$Q$29,MATCH(C507,Pop_Inputs!$A$2:$A$29,0))</f>
        <v>Northeast</v>
      </c>
      <c r="W507" s="30"/>
      <c r="X507" s="3" t="str">
        <f aca="false">IF(W507="","",LN(W507))</f>
        <v/>
      </c>
      <c r="Y507" s="3" t="str">
        <f aca="false">IF(X507="","",X507-AVERAGEIFS($X$2:$X$2705,$B$2:$B$2705,B507))</f>
        <v/>
      </c>
      <c r="Z507" s="21" t="n">
        <f aca="false">P507</f>
        <v>0.0744007185201436</v>
      </c>
      <c r="AA507" s="3" t="n">
        <f aca="false">R507</f>
        <v>0</v>
      </c>
      <c r="AB507" s="21" t="n">
        <f aca="false">P507</f>
        <v>0.0744007185201436</v>
      </c>
      <c r="AC507" s="3" t="str">
        <f aca="false">Y507</f>
        <v/>
      </c>
      <c r="AD507" s="3" t="n">
        <f aca="false">R507</f>
        <v>0</v>
      </c>
    </row>
    <row r="508" customFormat="false" ht="15" hidden="false" customHeight="true" outlineLevel="0" collapsed="false">
      <c r="A508" s="7" t="s">
        <v>60</v>
      </c>
      <c r="B508" s="7" t="n">
        <v>1932</v>
      </c>
      <c r="C508" s="7" t="s">
        <v>146</v>
      </c>
      <c r="D508" s="7" t="n">
        <v>78</v>
      </c>
      <c r="E508" s="7" t="n">
        <v>76</v>
      </c>
      <c r="F508" s="3" t="n">
        <f aca="false">COUNTIFS($B$2:$B$2705,B508,$C$2:$C$2705,C508)</f>
        <v>2</v>
      </c>
      <c r="G508" s="3" t="n">
        <f aca="false">MIN(INT((MIN(B508,2020)-1900)/10)+1,12)</f>
        <v>4</v>
      </c>
      <c r="H508" s="3" t="n">
        <f aca="false">(MIN(B508,2020)-1900-10*(G508-1))/10</f>
        <v>0.2</v>
      </c>
      <c r="I508" s="20" t="n">
        <f aca="false">EXP(LN(INDEX(Pop_Inputs!$B$2:$N$29,MATCH(C508,Pop_Inputs!$A$2:$A$29,0),G508))*(1-H508)+LN(INDEX(Pop_Inputs!$B$2:$N$29,MATCH(C508,Pop_Inputs!$A$2:$A$29,0),G508+1))*H508)</f>
        <v>1947019.70789958</v>
      </c>
      <c r="J508" s="20" t="n">
        <f aca="false">I508/F508</f>
        <v>973509.853949789</v>
      </c>
      <c r="K508" s="21" t="n">
        <f aca="false">D508/(D508+E508)</f>
        <v>0.506493506493506</v>
      </c>
      <c r="L508" s="21" t="n">
        <f aca="false">AVERAGEIFS($K$2:$K$2705,$B$2:$B$2705,B508)</f>
        <v>0.499849099249478</v>
      </c>
      <c r="M508" s="21" t="n">
        <f aca="false">K508-L508</f>
        <v>0.00664440724402815</v>
      </c>
      <c r="N508" s="21" t="n">
        <f aca="false">LN(J508)</f>
        <v>13.7886632259309</v>
      </c>
      <c r="O508" s="21" t="n">
        <f aca="false">AVERAGEIFS($N$2:$N$2705,$B$2:$B$2705,B508)</f>
        <v>13.7142625074108</v>
      </c>
      <c r="P508" s="21" t="n">
        <f aca="false">N508-O508</f>
        <v>0.0744007185201436</v>
      </c>
      <c r="Q508" s="7" t="n">
        <v>0</v>
      </c>
      <c r="R508" s="3" t="n">
        <f aca="false">IF(AND(Q508=1,B508-_xlfn.MINIFS($B$2:$B$2705,$A$2:$A$2705,A508)&lt;10),1,0)</f>
        <v>0</v>
      </c>
      <c r="S508" s="7" t="n">
        <v>0</v>
      </c>
      <c r="T508" s="3" t="n">
        <f aca="false">_xlfn.MINIFS($B$2:$B$2705,$A$2:$A$2705,A508)</f>
        <v>1901</v>
      </c>
      <c r="U508" s="3" t="n">
        <f aca="false">B508-T508</f>
        <v>31</v>
      </c>
      <c r="V508" s="3" t="str">
        <f aca="false">INDEX(Pop_Inputs!$Q$2:$Q$29,MATCH(C508,Pop_Inputs!$A$2:$A$29,0))</f>
        <v>Northeast</v>
      </c>
      <c r="W508" s="30"/>
      <c r="X508" s="3" t="str">
        <f aca="false">IF(W508="","",LN(W508))</f>
        <v/>
      </c>
      <c r="Y508" s="3" t="str">
        <f aca="false">IF(X508="","",X508-AVERAGEIFS($X$2:$X$2705,$B$2:$B$2705,B508))</f>
        <v/>
      </c>
      <c r="Z508" s="21" t="n">
        <f aca="false">P508</f>
        <v>0.0744007185201436</v>
      </c>
      <c r="AA508" s="3" t="n">
        <f aca="false">R508</f>
        <v>0</v>
      </c>
      <c r="AB508" s="21" t="n">
        <f aca="false">P508</f>
        <v>0.0744007185201436</v>
      </c>
      <c r="AC508" s="3" t="str">
        <f aca="false">Y508</f>
        <v/>
      </c>
      <c r="AD508" s="3" t="n">
        <f aca="false">R508</f>
        <v>0</v>
      </c>
    </row>
    <row r="509" customFormat="false" ht="15" hidden="false" customHeight="true" outlineLevel="0" collapsed="false">
      <c r="A509" s="7" t="s">
        <v>58</v>
      </c>
      <c r="B509" s="7" t="n">
        <v>1932</v>
      </c>
      <c r="C509" s="7" t="s">
        <v>144</v>
      </c>
      <c r="D509" s="7" t="n">
        <v>86</v>
      </c>
      <c r="E509" s="7" t="n">
        <v>68</v>
      </c>
      <c r="F509" s="3" t="n">
        <f aca="false">COUNTIFS($B$2:$B$2705,B509,$C$2:$C$2705,C509)</f>
        <v>1</v>
      </c>
      <c r="G509" s="3" t="n">
        <f aca="false">MIN(INT((MIN(B509,2020)-1900)/10)+1,12)</f>
        <v>4</v>
      </c>
      <c r="H509" s="3" t="n">
        <f aca="false">(MIN(B509,2020)-1900-10*(G509-1))/10</f>
        <v>0.2</v>
      </c>
      <c r="I509" s="20" t="n">
        <f aca="false">EXP(LN(INDEX(Pop_Inputs!$B$2:$N$29,MATCH(C509,Pop_Inputs!$A$2:$A$29,0),G509))*(1-H509)+LN(INDEX(Pop_Inputs!$B$2:$N$29,MATCH(C509,Pop_Inputs!$A$2:$A$29,0),G509+1))*H509)</f>
        <v>670184.99542665</v>
      </c>
      <c r="J509" s="20" t="n">
        <f aca="false">I509/F509</f>
        <v>670184.99542665</v>
      </c>
      <c r="K509" s="21" t="n">
        <f aca="false">D509/(D509+E509)</f>
        <v>0.558441558441558</v>
      </c>
      <c r="L509" s="21" t="n">
        <f aca="false">AVERAGEIFS($K$2:$K$2705,$B$2:$B$2705,B509)</f>
        <v>0.499849099249478</v>
      </c>
      <c r="M509" s="21" t="n">
        <f aca="false">K509-L509</f>
        <v>0.0585924591920801</v>
      </c>
      <c r="N509" s="21" t="n">
        <f aca="false">LN(J509)</f>
        <v>13.4153090658322</v>
      </c>
      <c r="O509" s="21" t="n">
        <f aca="false">AVERAGEIFS($N$2:$N$2705,$B$2:$B$2705,B509)</f>
        <v>13.7142625074108</v>
      </c>
      <c r="P509" s="21" t="n">
        <f aca="false">N509-O509</f>
        <v>-0.298953441578608</v>
      </c>
      <c r="Q509" s="7" t="n">
        <v>0</v>
      </c>
      <c r="R509" s="3" t="n">
        <f aca="false">IF(AND(Q509=1,B509-_xlfn.MINIFS($B$2:$B$2705,$A$2:$A$2705,A509)&lt;10),1,0)</f>
        <v>0</v>
      </c>
      <c r="S509" s="7" t="n">
        <v>0</v>
      </c>
      <c r="T509" s="3" t="n">
        <f aca="false">_xlfn.MINIFS($B$2:$B$2705,$A$2:$A$2705,A509)</f>
        <v>1901</v>
      </c>
      <c r="U509" s="3" t="n">
        <f aca="false">B509-T509</f>
        <v>31</v>
      </c>
      <c r="V509" s="3" t="str">
        <f aca="false">INDEX(Pop_Inputs!$Q$2:$Q$29,MATCH(C509,Pop_Inputs!$A$2:$A$29,0))</f>
        <v>Northeast</v>
      </c>
      <c r="W509" s="30"/>
      <c r="X509" s="3" t="str">
        <f aca="false">IF(W509="","",LN(W509))</f>
        <v/>
      </c>
      <c r="Y509" s="3" t="str">
        <f aca="false">IF(X509="","",X509-AVERAGEIFS($X$2:$X$2705,$B$2:$B$2705,B509))</f>
        <v/>
      </c>
      <c r="Z509" s="21" t="n">
        <f aca="false">P509</f>
        <v>-0.298953441578608</v>
      </c>
      <c r="AA509" s="3" t="n">
        <f aca="false">R509</f>
        <v>0</v>
      </c>
      <c r="AB509" s="21" t="n">
        <f aca="false">P509</f>
        <v>-0.298953441578608</v>
      </c>
      <c r="AC509" s="3" t="str">
        <f aca="false">Y509</f>
        <v/>
      </c>
      <c r="AD509" s="3" t="n">
        <f aca="false">R509</f>
        <v>0</v>
      </c>
    </row>
    <row r="510" customFormat="false" ht="15" hidden="false" customHeight="true" outlineLevel="0" collapsed="false">
      <c r="A510" s="7" t="s">
        <v>61</v>
      </c>
      <c r="B510" s="7" t="n">
        <v>1932</v>
      </c>
      <c r="C510" s="7" t="s">
        <v>154</v>
      </c>
      <c r="D510" s="7" t="n">
        <v>72</v>
      </c>
      <c r="E510" s="7" t="n">
        <v>82</v>
      </c>
      <c r="F510" s="3" t="n">
        <f aca="false">COUNTIFS($B$2:$B$2705,B510,$C$2:$C$2705,C510)</f>
        <v>3</v>
      </c>
      <c r="G510" s="3" t="n">
        <f aca="false">MIN(INT((MIN(B510,2020)-1900)/10)+1,12)</f>
        <v>4</v>
      </c>
      <c r="H510" s="3" t="n">
        <f aca="false">(MIN(B510,2020)-1900-10*(G510-1))/10</f>
        <v>0.2</v>
      </c>
      <c r="I510" s="20" t="n">
        <f aca="false">EXP(LN(INDEX(Pop_Inputs!$B$2:$N$29,MATCH(C510,Pop_Inputs!$A$2:$A$29,0),G510))*(1-H510)+LN(INDEX(Pop_Inputs!$B$2:$N$29,MATCH(C510,Pop_Inputs!$A$2:$A$29,0),G510+1))*H510)</f>
        <v>7032316.66032924</v>
      </c>
      <c r="J510" s="20" t="n">
        <f aca="false">I510/F510</f>
        <v>2344105.55344308</v>
      </c>
      <c r="K510" s="21" t="n">
        <f aca="false">D510/(D510+E510)</f>
        <v>0.467532467532468</v>
      </c>
      <c r="L510" s="21" t="n">
        <f aca="false">AVERAGEIFS($K$2:$K$2705,$B$2:$B$2705,B510)</f>
        <v>0.499849099249478</v>
      </c>
      <c r="M510" s="21" t="n">
        <f aca="false">K510-L510</f>
        <v>-0.0323166317170108</v>
      </c>
      <c r="N510" s="21" t="n">
        <f aca="false">LN(J510)</f>
        <v>14.6674144599975</v>
      </c>
      <c r="O510" s="21" t="n">
        <f aca="false">AVERAGEIFS($N$2:$N$2705,$B$2:$B$2705,B510)</f>
        <v>13.7142625074108</v>
      </c>
      <c r="P510" s="21" t="n">
        <f aca="false">N510-O510</f>
        <v>0.953151952586749</v>
      </c>
      <c r="Q510" s="7" t="n">
        <v>0</v>
      </c>
      <c r="R510" s="3" t="n">
        <f aca="false">IF(AND(Q510=1,B510-_xlfn.MINIFS($B$2:$B$2705,$A$2:$A$2705,A510)&lt;10),1,0)</f>
        <v>0</v>
      </c>
      <c r="S510" s="7" t="n">
        <v>0</v>
      </c>
      <c r="T510" s="3" t="n">
        <f aca="false">_xlfn.MINIFS($B$2:$B$2705,$A$2:$A$2705,A510)</f>
        <v>1901</v>
      </c>
      <c r="U510" s="3" t="n">
        <f aca="false">B510-T510</f>
        <v>31</v>
      </c>
      <c r="V510" s="3" t="str">
        <f aca="false">INDEX(Pop_Inputs!$Q$2:$Q$29,MATCH(C510,Pop_Inputs!$A$2:$A$29,0))</f>
        <v>Northeast</v>
      </c>
      <c r="W510" s="30"/>
      <c r="X510" s="3" t="str">
        <f aca="false">IF(W510="","",LN(W510))</f>
        <v/>
      </c>
      <c r="Y510" s="3" t="str">
        <f aca="false">IF(X510="","",X510-AVERAGEIFS($X$2:$X$2705,$B$2:$B$2705,B510))</f>
        <v/>
      </c>
      <c r="Z510" s="21" t="n">
        <f aca="false">P510</f>
        <v>0.953151952586749</v>
      </c>
      <c r="AA510" s="3" t="n">
        <f aca="false">R510</f>
        <v>0</v>
      </c>
      <c r="AB510" s="21" t="n">
        <f aca="false">P510</f>
        <v>0.953151952586749</v>
      </c>
      <c r="AC510" s="3" t="str">
        <f aca="false">Y510</f>
        <v/>
      </c>
      <c r="AD510" s="3" t="n">
        <f aca="false">R510</f>
        <v>0</v>
      </c>
    </row>
    <row r="511" customFormat="false" ht="15" hidden="false" customHeight="true" outlineLevel="0" collapsed="false">
      <c r="A511" s="7" t="s">
        <v>59</v>
      </c>
      <c r="B511" s="7" t="n">
        <v>1932</v>
      </c>
      <c r="C511" s="7" t="s">
        <v>145</v>
      </c>
      <c r="D511" s="7" t="n">
        <v>72</v>
      </c>
      <c r="E511" s="7" t="n">
        <v>82</v>
      </c>
      <c r="F511" s="3" t="n">
        <f aca="false">COUNTIFS($B$2:$B$2705,B511,$C$2:$C$2705,C511)</f>
        <v>2</v>
      </c>
      <c r="G511" s="3" t="n">
        <f aca="false">MIN(INT((MIN(B511,2020)-1900)/10)+1,12)</f>
        <v>4</v>
      </c>
      <c r="H511" s="3" t="n">
        <f aca="false">(MIN(B511,2020)-1900-10*(G511-1))/10</f>
        <v>0.2</v>
      </c>
      <c r="I511" s="20" t="n">
        <f aca="false">EXP(LN(INDEX(Pop_Inputs!$B$2:$N$29,MATCH(C511,Pop_Inputs!$A$2:$A$29,0),G511))*(1-H511)+LN(INDEX(Pop_Inputs!$B$2:$N$29,MATCH(C511,Pop_Inputs!$A$2:$A$29,0),G511+1))*H511)</f>
        <v>820774.183449979</v>
      </c>
      <c r="J511" s="20" t="n">
        <f aca="false">I511/F511</f>
        <v>410387.091724989</v>
      </c>
      <c r="K511" s="21" t="n">
        <f aca="false">D511/(D511+E511)</f>
        <v>0.467532467532468</v>
      </c>
      <c r="L511" s="21" t="n">
        <f aca="false">AVERAGEIFS($K$2:$K$2705,$B$2:$B$2705,B511)</f>
        <v>0.499849099249478</v>
      </c>
      <c r="M511" s="21" t="n">
        <f aca="false">K511-L511</f>
        <v>-0.0323166317170108</v>
      </c>
      <c r="N511" s="21" t="n">
        <f aca="false">LN(J511)</f>
        <v>12.9248561194322</v>
      </c>
      <c r="O511" s="21" t="n">
        <f aca="false">AVERAGEIFS($N$2:$N$2705,$B$2:$B$2705,B511)</f>
        <v>13.7142625074108</v>
      </c>
      <c r="P511" s="21" t="n">
        <f aca="false">N511-O511</f>
        <v>-0.789406387978559</v>
      </c>
      <c r="Q511" s="7" t="n">
        <v>0</v>
      </c>
      <c r="R511" s="3" t="n">
        <f aca="false">IF(AND(Q511=1,B511-_xlfn.MINIFS($B$2:$B$2705,$A$2:$A$2705,A511)&lt;10),1,0)</f>
        <v>0</v>
      </c>
      <c r="S511" s="7" t="n">
        <v>0</v>
      </c>
      <c r="T511" s="3" t="n">
        <f aca="false">_xlfn.MINIFS($B$2:$B$2705,$A$2:$A$2705,A511)</f>
        <v>1901</v>
      </c>
      <c r="U511" s="3" t="n">
        <f aca="false">B511-T511</f>
        <v>31</v>
      </c>
      <c r="V511" s="3" t="str">
        <f aca="false">INDEX(Pop_Inputs!$Q$2:$Q$29,MATCH(C511,Pop_Inputs!$A$2:$A$29,0))</f>
        <v>Midwest</v>
      </c>
      <c r="W511" s="30"/>
      <c r="X511" s="3" t="str">
        <f aca="false">IF(W511="","",LN(W511))</f>
        <v/>
      </c>
      <c r="Y511" s="3" t="str">
        <f aca="false">IF(X511="","",X511-AVERAGEIFS($X$2:$X$2705,$B$2:$B$2705,B511))</f>
        <v/>
      </c>
      <c r="Z511" s="21" t="n">
        <f aca="false">P511</f>
        <v>-0.789406387978559</v>
      </c>
      <c r="AA511" s="3" t="n">
        <f aca="false">R511</f>
        <v>0</v>
      </c>
      <c r="AB511" s="21" t="n">
        <f aca="false">P511</f>
        <v>-0.789406387978559</v>
      </c>
      <c r="AC511" s="3" t="str">
        <f aca="false">Y511</f>
        <v/>
      </c>
      <c r="AD511" s="3" t="n">
        <f aca="false">R511</f>
        <v>0</v>
      </c>
    </row>
    <row r="512" customFormat="false" ht="15" hidden="false" customHeight="true" outlineLevel="0" collapsed="false">
      <c r="A512" s="7" t="s">
        <v>54</v>
      </c>
      <c r="B512" s="7" t="n">
        <v>1933</v>
      </c>
      <c r="C512" s="7" t="s">
        <v>150</v>
      </c>
      <c r="D512" s="7" t="n">
        <v>83</v>
      </c>
      <c r="E512" s="7" t="n">
        <v>71</v>
      </c>
      <c r="F512" s="3" t="n">
        <f aca="false">COUNTIFS($B$2:$B$2705,B512,$C$2:$C$2705,C512)</f>
        <v>2</v>
      </c>
      <c r="G512" s="3" t="n">
        <f aca="false">MIN(INT((MIN(B512,2020)-1900)/10)+1,12)</f>
        <v>4</v>
      </c>
      <c r="H512" s="3" t="n">
        <f aca="false">(MIN(B512,2020)-1900-10*(G512-1))/10</f>
        <v>0.3</v>
      </c>
      <c r="I512" s="20" t="n">
        <f aca="false">EXP(LN(INDEX(Pop_Inputs!$B$2:$N$29,MATCH(C512,Pop_Inputs!$A$2:$A$29,0),G512))*(1-H512)+LN(INDEX(Pop_Inputs!$B$2:$N$29,MATCH(C512,Pop_Inputs!$A$2:$A$29,0),G512+1))*H512)</f>
        <v>778061.830541892</v>
      </c>
      <c r="J512" s="20" t="n">
        <f aca="false">I512/F512</f>
        <v>389030.915270946</v>
      </c>
      <c r="K512" s="21" t="n">
        <f aca="false">D512/(D512+E512)</f>
        <v>0.538961038961039</v>
      </c>
      <c r="L512" s="21" t="n">
        <f aca="false">AVERAGEIFS($K$2:$K$2705,$B$2:$B$2705,B512)</f>
        <v>0.499794302380898</v>
      </c>
      <c r="M512" s="21" t="n">
        <f aca="false">K512-L512</f>
        <v>0.0391667365801411</v>
      </c>
      <c r="N512" s="21" t="n">
        <f aca="false">LN(J512)</f>
        <v>12.8714140931469</v>
      </c>
      <c r="O512" s="21" t="n">
        <f aca="false">AVERAGEIFS($N$2:$N$2705,$B$2:$B$2705,B512)</f>
        <v>13.7173905482593</v>
      </c>
      <c r="P512" s="21" t="n">
        <f aca="false">N512-O512</f>
        <v>-0.845976455112348</v>
      </c>
      <c r="Q512" s="7" t="n">
        <v>0</v>
      </c>
      <c r="R512" s="3" t="n">
        <f aca="false">IF(AND(Q512=1,B512-_xlfn.MINIFS($B$2:$B$2705,$A$2:$A$2705,A512)&lt;10),1,0)</f>
        <v>0</v>
      </c>
      <c r="S512" s="7" t="n">
        <v>0</v>
      </c>
      <c r="T512" s="3" t="n">
        <f aca="false">_xlfn.MINIFS($B$2:$B$2705,$A$2:$A$2705,A512)</f>
        <v>1901</v>
      </c>
      <c r="U512" s="3" t="n">
        <f aca="false">B512-T512</f>
        <v>32</v>
      </c>
      <c r="V512" s="3" t="str">
        <f aca="false">INDEX(Pop_Inputs!$Q$2:$Q$29,MATCH(C512,Pop_Inputs!$A$2:$A$29,0))</f>
        <v>Northeast</v>
      </c>
      <c r="W512" s="30"/>
      <c r="X512" s="3" t="str">
        <f aca="false">IF(W512="","",LN(W512))</f>
        <v/>
      </c>
      <c r="Y512" s="3" t="str">
        <f aca="false">IF(X512="","",X512-AVERAGEIFS($X$2:$X$2705,$B$2:$B$2705,B512))</f>
        <v/>
      </c>
      <c r="Z512" s="21" t="n">
        <f aca="false">P512</f>
        <v>-0.845976455112348</v>
      </c>
      <c r="AA512" s="3" t="n">
        <f aca="false">R512</f>
        <v>0</v>
      </c>
      <c r="AB512" s="21" t="n">
        <f aca="false">P512</f>
        <v>-0.845976455112348</v>
      </c>
      <c r="AC512" s="3" t="str">
        <f aca="false">Y512</f>
        <v/>
      </c>
      <c r="AD512" s="3" t="n">
        <f aca="false">R512</f>
        <v>0</v>
      </c>
    </row>
    <row r="513" customFormat="false" ht="15" hidden="false" customHeight="true" outlineLevel="0" collapsed="false">
      <c r="A513" s="7" t="s">
        <v>63</v>
      </c>
      <c r="B513" s="7" t="n">
        <v>1933</v>
      </c>
      <c r="C513" s="7" t="s">
        <v>145</v>
      </c>
      <c r="D513" s="7" t="n">
        <v>55</v>
      </c>
      <c r="E513" s="7" t="n">
        <v>96</v>
      </c>
      <c r="F513" s="3" t="n">
        <f aca="false">COUNTIFS($B$2:$B$2705,B513,$C$2:$C$2705,C513)</f>
        <v>2</v>
      </c>
      <c r="G513" s="3" t="n">
        <f aca="false">MIN(INT((MIN(B513,2020)-1900)/10)+1,12)</f>
        <v>4</v>
      </c>
      <c r="H513" s="3" t="n">
        <f aca="false">(MIN(B513,2020)-1900-10*(G513-1))/10</f>
        <v>0.3</v>
      </c>
      <c r="I513" s="20" t="n">
        <f aca="false">EXP(LN(INDEX(Pop_Inputs!$B$2:$N$29,MATCH(C513,Pop_Inputs!$A$2:$A$29,0),G513))*(1-H513)+LN(INDEX(Pop_Inputs!$B$2:$N$29,MATCH(C513,Pop_Inputs!$A$2:$A$29,0),G513+1))*H513)</f>
        <v>820181.916857277</v>
      </c>
      <c r="J513" s="20" t="n">
        <f aca="false">I513/F513</f>
        <v>410090.958428638</v>
      </c>
      <c r="K513" s="21" t="n">
        <f aca="false">D513/(D513+E513)</f>
        <v>0.364238410596026</v>
      </c>
      <c r="L513" s="21" t="n">
        <f aca="false">AVERAGEIFS($K$2:$K$2705,$B$2:$B$2705,B513)</f>
        <v>0.499794302380898</v>
      </c>
      <c r="M513" s="21" t="n">
        <f aca="false">K513-L513</f>
        <v>-0.135555891784871</v>
      </c>
      <c r="N513" s="21" t="n">
        <f aca="false">LN(J513)</f>
        <v>12.9241342639014</v>
      </c>
      <c r="O513" s="21" t="n">
        <f aca="false">AVERAGEIFS($N$2:$N$2705,$B$2:$B$2705,B513)</f>
        <v>13.7173905482593</v>
      </c>
      <c r="P513" s="21" t="n">
        <f aca="false">N513-O513</f>
        <v>-0.793256284357891</v>
      </c>
      <c r="Q513" s="7" t="n">
        <v>0</v>
      </c>
      <c r="R513" s="3" t="n">
        <f aca="false">IF(AND(Q513=1,B513-_xlfn.MINIFS($B$2:$B$2705,$A$2:$A$2705,A513)&lt;10),1,0)</f>
        <v>0</v>
      </c>
      <c r="S513" s="7" t="n">
        <v>0</v>
      </c>
      <c r="T513" s="3" t="n">
        <f aca="false">_xlfn.MINIFS($B$2:$B$2705,$A$2:$A$2705,A513)</f>
        <v>1901</v>
      </c>
      <c r="U513" s="3" t="n">
        <f aca="false">B513-T513</f>
        <v>32</v>
      </c>
      <c r="V513" s="3" t="str">
        <f aca="false">INDEX(Pop_Inputs!$Q$2:$Q$29,MATCH(C513,Pop_Inputs!$A$2:$A$29,0))</f>
        <v>Midwest</v>
      </c>
      <c r="W513" s="30"/>
      <c r="X513" s="3" t="str">
        <f aca="false">IF(W513="","",LN(W513))</f>
        <v/>
      </c>
      <c r="Y513" s="3" t="str">
        <f aca="false">IF(X513="","",X513-AVERAGEIFS($X$2:$X$2705,$B$2:$B$2705,B513))</f>
        <v/>
      </c>
      <c r="Z513" s="21" t="n">
        <f aca="false">P513</f>
        <v>-0.793256284357891</v>
      </c>
      <c r="AA513" s="3" t="n">
        <f aca="false">R513</f>
        <v>0</v>
      </c>
      <c r="AB513" s="21" t="n">
        <f aca="false">P513</f>
        <v>-0.793256284357891</v>
      </c>
      <c r="AC513" s="3" t="str">
        <f aca="false">Y513</f>
        <v/>
      </c>
      <c r="AD513" s="3" t="n">
        <f aca="false">R513</f>
        <v>0</v>
      </c>
    </row>
    <row r="514" customFormat="false" ht="15" hidden="false" customHeight="true" outlineLevel="0" collapsed="false">
      <c r="A514" s="7" t="s">
        <v>64</v>
      </c>
      <c r="B514" s="7" t="n">
        <v>1933</v>
      </c>
      <c r="C514" s="7" t="s">
        <v>150</v>
      </c>
      <c r="D514" s="7" t="n">
        <v>63</v>
      </c>
      <c r="E514" s="7" t="n">
        <v>86</v>
      </c>
      <c r="F514" s="3" t="n">
        <f aca="false">COUNTIFS($B$2:$B$2705,B514,$C$2:$C$2705,C514)</f>
        <v>2</v>
      </c>
      <c r="G514" s="3" t="n">
        <f aca="false">MIN(INT((MIN(B514,2020)-1900)/10)+1,12)</f>
        <v>4</v>
      </c>
      <c r="H514" s="3" t="n">
        <f aca="false">(MIN(B514,2020)-1900-10*(G514-1))/10</f>
        <v>0.3</v>
      </c>
      <c r="I514" s="20" t="n">
        <f aca="false">EXP(LN(INDEX(Pop_Inputs!$B$2:$N$29,MATCH(C514,Pop_Inputs!$A$2:$A$29,0),G514))*(1-H514)+LN(INDEX(Pop_Inputs!$B$2:$N$29,MATCH(C514,Pop_Inputs!$A$2:$A$29,0),G514+1))*H514)</f>
        <v>778061.830541892</v>
      </c>
      <c r="J514" s="20" t="n">
        <f aca="false">I514/F514</f>
        <v>389030.915270946</v>
      </c>
      <c r="K514" s="21" t="n">
        <f aca="false">D514/(D514+E514)</f>
        <v>0.422818791946309</v>
      </c>
      <c r="L514" s="21" t="n">
        <f aca="false">AVERAGEIFS($K$2:$K$2705,$B$2:$B$2705,B514)</f>
        <v>0.499794302380898</v>
      </c>
      <c r="M514" s="21" t="n">
        <f aca="false">K514-L514</f>
        <v>-0.0769755104345892</v>
      </c>
      <c r="N514" s="21" t="n">
        <f aca="false">LN(J514)</f>
        <v>12.8714140931469</v>
      </c>
      <c r="O514" s="21" t="n">
        <f aca="false">AVERAGEIFS($N$2:$N$2705,$B$2:$B$2705,B514)</f>
        <v>13.7173905482593</v>
      </c>
      <c r="P514" s="21" t="n">
        <f aca="false">N514-O514</f>
        <v>-0.845976455112348</v>
      </c>
      <c r="Q514" s="7" t="n">
        <v>0</v>
      </c>
      <c r="R514" s="3" t="n">
        <f aca="false">IF(AND(Q514=1,B514-_xlfn.MINIFS($B$2:$B$2705,$A$2:$A$2705,A514)&lt;10),1,0)</f>
        <v>0</v>
      </c>
      <c r="S514" s="7" t="n">
        <v>0</v>
      </c>
      <c r="T514" s="3" t="n">
        <f aca="false">_xlfn.MINIFS($B$2:$B$2705,$A$2:$A$2705,A514)</f>
        <v>1901</v>
      </c>
      <c r="U514" s="3" t="n">
        <f aca="false">B514-T514</f>
        <v>32</v>
      </c>
      <c r="V514" s="3" t="str">
        <f aca="false">INDEX(Pop_Inputs!$Q$2:$Q$29,MATCH(C514,Pop_Inputs!$A$2:$A$29,0))</f>
        <v>Northeast</v>
      </c>
      <c r="W514" s="30"/>
      <c r="X514" s="3" t="str">
        <f aca="false">IF(W514="","",LN(W514))</f>
        <v/>
      </c>
      <c r="Y514" s="3" t="str">
        <f aca="false">IF(X514="","",X514-AVERAGEIFS($X$2:$X$2705,$B$2:$B$2705,B514))</f>
        <v/>
      </c>
      <c r="Z514" s="21" t="n">
        <f aca="false">P514</f>
        <v>-0.845976455112348</v>
      </c>
      <c r="AA514" s="3" t="n">
        <f aca="false">R514</f>
        <v>0</v>
      </c>
      <c r="AB514" s="21" t="n">
        <f aca="false">P514</f>
        <v>-0.845976455112348</v>
      </c>
      <c r="AC514" s="3" t="str">
        <f aca="false">Y514</f>
        <v/>
      </c>
      <c r="AD514" s="3" t="n">
        <f aca="false">R514</f>
        <v>0</v>
      </c>
    </row>
    <row r="515" customFormat="false" ht="15" hidden="false" customHeight="true" outlineLevel="0" collapsed="false">
      <c r="A515" s="7" t="s">
        <v>56</v>
      </c>
      <c r="B515" s="7" t="n">
        <v>1933</v>
      </c>
      <c r="C515" s="7" t="s">
        <v>142</v>
      </c>
      <c r="D515" s="7" t="n">
        <v>86</v>
      </c>
      <c r="E515" s="7" t="n">
        <v>68</v>
      </c>
      <c r="F515" s="3" t="n">
        <f aca="false">COUNTIFS($B$2:$B$2705,B515,$C$2:$C$2705,C515)</f>
        <v>2</v>
      </c>
      <c r="G515" s="3" t="n">
        <f aca="false">MIN(INT((MIN(B515,2020)-1900)/10)+1,12)</f>
        <v>4</v>
      </c>
      <c r="H515" s="3" t="n">
        <f aca="false">(MIN(B515,2020)-1900-10*(G515-1))/10</f>
        <v>0.3</v>
      </c>
      <c r="I515" s="20" t="n">
        <f aca="false">EXP(LN(INDEX(Pop_Inputs!$B$2:$N$29,MATCH(C515,Pop_Inputs!$A$2:$A$29,0),G515))*(1-H515)+LN(INDEX(Pop_Inputs!$B$2:$N$29,MATCH(C515,Pop_Inputs!$A$2:$A$29,0),G515+1))*H515)</f>
        <v>3382536.14028467</v>
      </c>
      <c r="J515" s="20" t="n">
        <f aca="false">I515/F515</f>
        <v>1691268.07014233</v>
      </c>
      <c r="K515" s="21" t="n">
        <f aca="false">D515/(D515+E515)</f>
        <v>0.558441558441558</v>
      </c>
      <c r="L515" s="21" t="n">
        <f aca="false">AVERAGEIFS($K$2:$K$2705,$B$2:$B$2705,B515)</f>
        <v>0.499794302380898</v>
      </c>
      <c r="M515" s="21" t="n">
        <f aca="false">K515-L515</f>
        <v>0.0586472560606605</v>
      </c>
      <c r="N515" s="21" t="n">
        <f aca="false">LN(J515)</f>
        <v>14.3409891428992</v>
      </c>
      <c r="O515" s="21" t="n">
        <f aca="false">AVERAGEIFS($N$2:$N$2705,$B$2:$B$2705,B515)</f>
        <v>13.7173905482593</v>
      </c>
      <c r="P515" s="21" t="n">
        <f aca="false">N515-O515</f>
        <v>0.623598594639946</v>
      </c>
      <c r="Q515" s="7" t="n">
        <v>0</v>
      </c>
      <c r="R515" s="3" t="n">
        <f aca="false">IF(AND(Q515=1,B515-_xlfn.MINIFS($B$2:$B$2705,$A$2:$A$2705,A515)&lt;10),1,0)</f>
        <v>0</v>
      </c>
      <c r="S515" s="7" t="n">
        <v>0</v>
      </c>
      <c r="T515" s="3" t="n">
        <f aca="false">_xlfn.MINIFS($B$2:$B$2705,$A$2:$A$2705,A515)</f>
        <v>1901</v>
      </c>
      <c r="U515" s="3" t="n">
        <f aca="false">B515-T515</f>
        <v>32</v>
      </c>
      <c r="V515" s="3" t="str">
        <f aca="false">INDEX(Pop_Inputs!$Q$2:$Q$29,MATCH(C515,Pop_Inputs!$A$2:$A$29,0))</f>
        <v>Midwest</v>
      </c>
      <c r="W515" s="30"/>
      <c r="X515" s="3" t="str">
        <f aca="false">IF(W515="","",LN(W515))</f>
        <v/>
      </c>
      <c r="Y515" s="3" t="str">
        <f aca="false">IF(X515="","",X515-AVERAGEIFS($X$2:$X$2705,$B$2:$B$2705,B515))</f>
        <v/>
      </c>
      <c r="Z515" s="21" t="n">
        <f aca="false">P515</f>
        <v>0.623598594639946</v>
      </c>
      <c r="AA515" s="3" t="n">
        <f aca="false">R515</f>
        <v>0</v>
      </c>
      <c r="AB515" s="21" t="n">
        <f aca="false">P515</f>
        <v>0.623598594639946</v>
      </c>
      <c r="AC515" s="3" t="str">
        <f aca="false">Y515</f>
        <v/>
      </c>
      <c r="AD515" s="3" t="n">
        <f aca="false">R515</f>
        <v>0</v>
      </c>
    </row>
    <row r="516" customFormat="false" ht="15" hidden="false" customHeight="true" outlineLevel="0" collapsed="false">
      <c r="A516" s="7" t="s">
        <v>65</v>
      </c>
      <c r="B516" s="7" t="n">
        <v>1933</v>
      </c>
      <c r="C516" s="7" t="s">
        <v>142</v>
      </c>
      <c r="D516" s="7" t="n">
        <v>67</v>
      </c>
      <c r="E516" s="7" t="n">
        <v>83</v>
      </c>
      <c r="F516" s="3" t="n">
        <f aca="false">COUNTIFS($B$2:$B$2705,B516,$C$2:$C$2705,C516)</f>
        <v>2</v>
      </c>
      <c r="G516" s="3" t="n">
        <f aca="false">MIN(INT((MIN(B516,2020)-1900)/10)+1,12)</f>
        <v>4</v>
      </c>
      <c r="H516" s="3" t="n">
        <f aca="false">(MIN(B516,2020)-1900-10*(G516-1))/10</f>
        <v>0.3</v>
      </c>
      <c r="I516" s="20" t="n">
        <f aca="false">EXP(LN(INDEX(Pop_Inputs!$B$2:$N$29,MATCH(C516,Pop_Inputs!$A$2:$A$29,0),G516))*(1-H516)+LN(INDEX(Pop_Inputs!$B$2:$N$29,MATCH(C516,Pop_Inputs!$A$2:$A$29,0),G516+1))*H516)</f>
        <v>3382536.14028467</v>
      </c>
      <c r="J516" s="20" t="n">
        <f aca="false">I516/F516</f>
        <v>1691268.07014233</v>
      </c>
      <c r="K516" s="21" t="n">
        <f aca="false">D516/(D516+E516)</f>
        <v>0.446666666666667</v>
      </c>
      <c r="L516" s="21" t="n">
        <f aca="false">AVERAGEIFS($K$2:$K$2705,$B$2:$B$2705,B516)</f>
        <v>0.499794302380898</v>
      </c>
      <c r="M516" s="21" t="n">
        <f aca="false">K516-L516</f>
        <v>-0.0531276357142312</v>
      </c>
      <c r="N516" s="21" t="n">
        <f aca="false">LN(J516)</f>
        <v>14.3409891428992</v>
      </c>
      <c r="O516" s="21" t="n">
        <f aca="false">AVERAGEIFS($N$2:$N$2705,$B$2:$B$2705,B516)</f>
        <v>13.7173905482593</v>
      </c>
      <c r="P516" s="21" t="n">
        <f aca="false">N516-O516</f>
        <v>0.623598594639946</v>
      </c>
      <c r="Q516" s="7" t="n">
        <v>0</v>
      </c>
      <c r="R516" s="3" t="n">
        <f aca="false">IF(AND(Q516=1,B516-_xlfn.MINIFS($B$2:$B$2705,$A$2:$A$2705,A516)&lt;10),1,0)</f>
        <v>0</v>
      </c>
      <c r="S516" s="7" t="n">
        <v>0</v>
      </c>
      <c r="T516" s="3" t="n">
        <f aca="false">_xlfn.MINIFS($B$2:$B$2705,$A$2:$A$2705,A516)</f>
        <v>1901</v>
      </c>
      <c r="U516" s="3" t="n">
        <f aca="false">B516-T516</f>
        <v>32</v>
      </c>
      <c r="V516" s="3" t="str">
        <f aca="false">INDEX(Pop_Inputs!$Q$2:$Q$29,MATCH(C516,Pop_Inputs!$A$2:$A$29,0))</f>
        <v>Midwest</v>
      </c>
      <c r="W516" s="30"/>
      <c r="X516" s="3" t="str">
        <f aca="false">IF(W516="","",LN(W516))</f>
        <v/>
      </c>
      <c r="Y516" s="3" t="str">
        <f aca="false">IF(X516="","",X516-AVERAGEIFS($X$2:$X$2705,$B$2:$B$2705,B516))</f>
        <v/>
      </c>
      <c r="Z516" s="21" t="n">
        <f aca="false">P516</f>
        <v>0.623598594639946</v>
      </c>
      <c r="AA516" s="3" t="n">
        <f aca="false">R516</f>
        <v>0</v>
      </c>
      <c r="AB516" s="21" t="n">
        <f aca="false">P516</f>
        <v>0.623598594639946</v>
      </c>
      <c r="AC516" s="3" t="str">
        <f aca="false">Y516</f>
        <v/>
      </c>
      <c r="AD516" s="3" t="n">
        <f aca="false">R516</f>
        <v>0</v>
      </c>
    </row>
    <row r="517" customFormat="false" ht="15" hidden="false" customHeight="true" outlineLevel="0" collapsed="false">
      <c r="A517" s="7" t="s">
        <v>57</v>
      </c>
      <c r="B517" s="7" t="n">
        <v>1933</v>
      </c>
      <c r="C517" s="7" t="s">
        <v>143</v>
      </c>
      <c r="D517" s="7" t="n">
        <v>58</v>
      </c>
      <c r="E517" s="7" t="n">
        <v>94</v>
      </c>
      <c r="F517" s="3" t="n">
        <f aca="false">COUNTIFS($B$2:$B$2705,B517,$C$2:$C$2705,C517)</f>
        <v>1</v>
      </c>
      <c r="G517" s="3" t="n">
        <f aca="false">MIN(INT((MIN(B517,2020)-1900)/10)+1,12)</f>
        <v>4</v>
      </c>
      <c r="H517" s="3" t="n">
        <f aca="false">(MIN(B517,2020)-1900-10*(G517-1))/10</f>
        <v>0.3</v>
      </c>
      <c r="I517" s="20" t="n">
        <f aca="false">EXP(LN(INDEX(Pop_Inputs!$B$2:$N$29,MATCH(C517,Pop_Inputs!$A$2:$A$29,0),G517))*(1-H517)+LN(INDEX(Pop_Inputs!$B$2:$N$29,MATCH(C517,Pop_Inputs!$A$2:$A$29,0),G517+1))*H517)</f>
        <v>452490.416886024</v>
      </c>
      <c r="J517" s="20" t="n">
        <f aca="false">I517/F517</f>
        <v>452490.416886024</v>
      </c>
      <c r="K517" s="21" t="n">
        <f aca="false">D517/(D517+E517)</f>
        <v>0.381578947368421</v>
      </c>
      <c r="L517" s="21" t="n">
        <f aca="false">AVERAGEIFS($K$2:$K$2705,$B$2:$B$2705,B517)</f>
        <v>0.499794302380898</v>
      </c>
      <c r="M517" s="21" t="n">
        <f aca="false">K517-L517</f>
        <v>-0.118215355012477</v>
      </c>
      <c r="N517" s="21" t="n">
        <f aca="false">LN(J517)</f>
        <v>13.0225218637454</v>
      </c>
      <c r="O517" s="21" t="n">
        <f aca="false">AVERAGEIFS($N$2:$N$2705,$B$2:$B$2705,B517)</f>
        <v>13.7173905482593</v>
      </c>
      <c r="P517" s="21" t="n">
        <f aca="false">N517-O517</f>
        <v>-0.694868684513871</v>
      </c>
      <c r="Q517" s="7" t="n">
        <v>0</v>
      </c>
      <c r="R517" s="3" t="n">
        <f aca="false">IF(AND(Q517=1,B517-_xlfn.MINIFS($B$2:$B$2705,$A$2:$A$2705,A517)&lt;10),1,0)</f>
        <v>0</v>
      </c>
      <c r="S517" s="7" t="n">
        <v>0</v>
      </c>
      <c r="T517" s="3" t="n">
        <f aca="false">_xlfn.MINIFS($B$2:$B$2705,$A$2:$A$2705,A517)</f>
        <v>1901</v>
      </c>
      <c r="U517" s="3" t="n">
        <f aca="false">B517-T517</f>
        <v>32</v>
      </c>
      <c r="V517" s="3" t="str">
        <f aca="false">INDEX(Pop_Inputs!$Q$2:$Q$29,MATCH(C517,Pop_Inputs!$A$2:$A$29,0))</f>
        <v>Midwest</v>
      </c>
      <c r="W517" s="30"/>
      <c r="X517" s="3" t="str">
        <f aca="false">IF(W517="","",LN(W517))</f>
        <v/>
      </c>
      <c r="Y517" s="3" t="str">
        <f aca="false">IF(X517="","",X517-AVERAGEIFS($X$2:$X$2705,$B$2:$B$2705,B517))</f>
        <v/>
      </c>
      <c r="Z517" s="21" t="n">
        <f aca="false">P517</f>
        <v>-0.694868684513871</v>
      </c>
      <c r="AA517" s="3" t="n">
        <f aca="false">R517</f>
        <v>0</v>
      </c>
      <c r="AB517" s="21" t="n">
        <f aca="false">P517</f>
        <v>-0.694868684513871</v>
      </c>
      <c r="AC517" s="3" t="str">
        <f aca="false">Y517</f>
        <v/>
      </c>
      <c r="AD517" s="3" t="n">
        <f aca="false">R517</f>
        <v>0</v>
      </c>
    </row>
    <row r="518" customFormat="false" ht="15" hidden="false" customHeight="true" outlineLevel="0" collapsed="false">
      <c r="A518" s="7" t="s">
        <v>66</v>
      </c>
      <c r="B518" s="7" t="n">
        <v>1933</v>
      </c>
      <c r="C518" s="7" t="s">
        <v>151</v>
      </c>
      <c r="D518" s="7" t="n">
        <v>75</v>
      </c>
      <c r="E518" s="7" t="n">
        <v>76</v>
      </c>
      <c r="F518" s="3" t="n">
        <f aca="false">COUNTIFS($B$2:$B$2705,B518,$C$2:$C$2705,C518)</f>
        <v>1</v>
      </c>
      <c r="G518" s="3" t="n">
        <f aca="false">MIN(INT((MIN(B518,2020)-1900)/10)+1,12)</f>
        <v>4</v>
      </c>
      <c r="H518" s="3" t="n">
        <f aca="false">(MIN(B518,2020)-1900-10*(G518-1))/10</f>
        <v>0.3</v>
      </c>
      <c r="I518" s="20" t="n">
        <f aca="false">EXP(LN(INDEX(Pop_Inputs!$B$2:$N$29,MATCH(C518,Pop_Inputs!$A$2:$A$29,0),G518))*(1-H518)+LN(INDEX(Pop_Inputs!$B$2:$N$29,MATCH(C518,Pop_Inputs!$A$2:$A$29,0),G518+1))*H518)</f>
        <v>893743.377331319</v>
      </c>
      <c r="J518" s="20" t="n">
        <f aca="false">I518/F518</f>
        <v>893743.377331319</v>
      </c>
      <c r="K518" s="21" t="n">
        <f aca="false">D518/(D518+E518)</f>
        <v>0.496688741721854</v>
      </c>
      <c r="L518" s="21" t="n">
        <f aca="false">AVERAGEIFS($K$2:$K$2705,$B$2:$B$2705,B518)</f>
        <v>0.499794302380898</v>
      </c>
      <c r="M518" s="21" t="n">
        <f aca="false">K518-L518</f>
        <v>-0.0031055606590436</v>
      </c>
      <c r="N518" s="21" t="n">
        <f aca="false">LN(J518)</f>
        <v>13.703173962984</v>
      </c>
      <c r="O518" s="21" t="n">
        <f aca="false">AVERAGEIFS($N$2:$N$2705,$B$2:$B$2705,B518)</f>
        <v>13.7173905482593</v>
      </c>
      <c r="P518" s="21" t="n">
        <f aca="false">N518-O518</f>
        <v>-0.0142165852753386</v>
      </c>
      <c r="Q518" s="7" t="n">
        <v>0</v>
      </c>
      <c r="R518" s="3" t="n">
        <f aca="false">IF(AND(Q518=1,B518-_xlfn.MINIFS($B$2:$B$2705,$A$2:$A$2705,A518)&lt;10),1,0)</f>
        <v>0</v>
      </c>
      <c r="S518" s="7" t="n">
        <v>0</v>
      </c>
      <c r="T518" s="3" t="n">
        <f aca="false">_xlfn.MINIFS($B$2:$B$2705,$A$2:$A$2705,A518)</f>
        <v>1901</v>
      </c>
      <c r="U518" s="3" t="n">
        <f aca="false">B518-T518</f>
        <v>32</v>
      </c>
      <c r="V518" s="3" t="str">
        <f aca="false">INDEX(Pop_Inputs!$Q$2:$Q$29,MATCH(C518,Pop_Inputs!$A$2:$A$29,0))</f>
        <v>Midwest</v>
      </c>
      <c r="W518" s="30"/>
      <c r="X518" s="3" t="str">
        <f aca="false">IF(W518="","",LN(W518))</f>
        <v/>
      </c>
      <c r="Y518" s="3" t="str">
        <f aca="false">IF(X518="","",X518-AVERAGEIFS($X$2:$X$2705,$B$2:$B$2705,B518))</f>
        <v/>
      </c>
      <c r="Z518" s="21" t="n">
        <f aca="false">P518</f>
        <v>-0.0142165852753386</v>
      </c>
      <c r="AA518" s="3" t="n">
        <f aca="false">R518</f>
        <v>0</v>
      </c>
      <c r="AB518" s="21" t="n">
        <f aca="false">P518</f>
        <v>-0.0142165852753386</v>
      </c>
      <c r="AC518" s="3" t="str">
        <f aca="false">Y518</f>
        <v/>
      </c>
      <c r="AD518" s="3" t="n">
        <f aca="false">R518</f>
        <v>0</v>
      </c>
    </row>
    <row r="519" customFormat="false" ht="15" hidden="false" customHeight="true" outlineLevel="0" collapsed="false">
      <c r="A519" s="7" t="s">
        <v>67</v>
      </c>
      <c r="B519" s="7" t="n">
        <v>1933</v>
      </c>
      <c r="C519" s="7" t="s">
        <v>152</v>
      </c>
      <c r="D519" s="7" t="n">
        <v>75</v>
      </c>
      <c r="E519" s="7" t="n">
        <v>79</v>
      </c>
      <c r="F519" s="3" t="n">
        <f aca="false">COUNTIFS($B$2:$B$2705,B519,$C$2:$C$2705,C519)</f>
        <v>1</v>
      </c>
      <c r="G519" s="3" t="n">
        <f aca="false">MIN(INT((MIN(B519,2020)-1900)/10)+1,12)</f>
        <v>4</v>
      </c>
      <c r="H519" s="3" t="n">
        <f aca="false">(MIN(B519,2020)-1900-10*(G519-1))/10</f>
        <v>0.3</v>
      </c>
      <c r="I519" s="20" t="n">
        <f aca="false">EXP(LN(INDEX(Pop_Inputs!$B$2:$N$29,MATCH(C519,Pop_Inputs!$A$2:$A$29,0),G519))*(1-H519)+LN(INDEX(Pop_Inputs!$B$2:$N$29,MATCH(C519,Pop_Inputs!$A$2:$A$29,0),G519+1))*H519)</f>
        <v>1584901.94744686</v>
      </c>
      <c r="J519" s="20" t="n">
        <f aca="false">I519/F519</f>
        <v>1584901.94744686</v>
      </c>
      <c r="K519" s="21" t="n">
        <f aca="false">D519/(D519+E519)</f>
        <v>0.487012987012987</v>
      </c>
      <c r="L519" s="21" t="n">
        <f aca="false">AVERAGEIFS($K$2:$K$2705,$B$2:$B$2705,B519)</f>
        <v>0.499794302380898</v>
      </c>
      <c r="M519" s="21" t="n">
        <f aca="false">K519-L519</f>
        <v>-0.0127813153679109</v>
      </c>
      <c r="N519" s="21" t="n">
        <f aca="false">LN(J519)</f>
        <v>14.2760331005704</v>
      </c>
      <c r="O519" s="21" t="n">
        <f aca="false">AVERAGEIFS($N$2:$N$2705,$B$2:$B$2705,B519)</f>
        <v>13.7173905482593</v>
      </c>
      <c r="P519" s="21" t="n">
        <f aca="false">N519-O519</f>
        <v>0.558642552311088</v>
      </c>
      <c r="Q519" s="7" t="n">
        <v>0</v>
      </c>
      <c r="R519" s="3" t="n">
        <f aca="false">IF(AND(Q519=1,B519-_xlfn.MINIFS($B$2:$B$2705,$A$2:$A$2705,A519)&lt;10),1,0)</f>
        <v>0</v>
      </c>
      <c r="S519" s="7" t="n">
        <v>0</v>
      </c>
      <c r="T519" s="3" t="n">
        <f aca="false">_xlfn.MINIFS($B$2:$B$2705,$A$2:$A$2705,A519)</f>
        <v>1901</v>
      </c>
      <c r="U519" s="3" t="n">
        <f aca="false">B519-T519</f>
        <v>32</v>
      </c>
      <c r="V519" s="3" t="str">
        <f aca="false">INDEX(Pop_Inputs!$Q$2:$Q$29,MATCH(C519,Pop_Inputs!$A$2:$A$29,0))</f>
        <v>Midwest</v>
      </c>
      <c r="W519" s="30"/>
      <c r="X519" s="3" t="str">
        <f aca="false">IF(W519="","",LN(W519))</f>
        <v/>
      </c>
      <c r="Y519" s="3" t="str">
        <f aca="false">IF(X519="","",X519-AVERAGEIFS($X$2:$X$2705,$B$2:$B$2705,B519))</f>
        <v/>
      </c>
      <c r="Z519" s="21" t="n">
        <f aca="false">P519</f>
        <v>0.558642552311088</v>
      </c>
      <c r="AA519" s="3" t="n">
        <f aca="false">R519</f>
        <v>0</v>
      </c>
      <c r="AB519" s="21" t="n">
        <f aca="false">P519</f>
        <v>0.558642552311088</v>
      </c>
      <c r="AC519" s="3" t="str">
        <f aca="false">Y519</f>
        <v/>
      </c>
      <c r="AD519" s="3" t="n">
        <f aca="false">R519</f>
        <v>0</v>
      </c>
    </row>
    <row r="520" customFormat="false" ht="15" hidden="false" customHeight="true" outlineLevel="0" collapsed="false">
      <c r="A520" s="7" t="s">
        <v>62</v>
      </c>
      <c r="B520" s="7" t="n">
        <v>1933</v>
      </c>
      <c r="C520" s="7" t="s">
        <v>154</v>
      </c>
      <c r="D520" s="7" t="n">
        <v>65</v>
      </c>
      <c r="E520" s="7" t="n">
        <v>88</v>
      </c>
      <c r="F520" s="3" t="n">
        <f aca="false">COUNTIFS($B$2:$B$2705,B520,$C$2:$C$2705,C520)</f>
        <v>3</v>
      </c>
      <c r="G520" s="3" t="n">
        <f aca="false">MIN(INT((MIN(B520,2020)-1900)/10)+1,12)</f>
        <v>4</v>
      </c>
      <c r="H520" s="3" t="n">
        <f aca="false">(MIN(B520,2020)-1900-10*(G520-1))/10</f>
        <v>0.3</v>
      </c>
      <c r="I520" s="20" t="n">
        <f aca="false">EXP(LN(INDEX(Pop_Inputs!$B$2:$N$29,MATCH(C520,Pop_Inputs!$A$2:$A$29,0),G520))*(1-H520)+LN(INDEX(Pop_Inputs!$B$2:$N$29,MATCH(C520,Pop_Inputs!$A$2:$A$29,0),G520+1))*H520)</f>
        <v>7083812.14638475</v>
      </c>
      <c r="J520" s="20" t="n">
        <f aca="false">I520/F520</f>
        <v>2361270.71546158</v>
      </c>
      <c r="K520" s="21" t="n">
        <f aca="false">D520/(D520+E520)</f>
        <v>0.42483660130719</v>
      </c>
      <c r="L520" s="21" t="n">
        <f aca="false">AVERAGEIFS($K$2:$K$2705,$B$2:$B$2705,B520)</f>
        <v>0.499794302380898</v>
      </c>
      <c r="M520" s="21" t="n">
        <f aca="false">K520-L520</f>
        <v>-0.0749577010737084</v>
      </c>
      <c r="N520" s="21" t="n">
        <f aca="false">LN(J520)</f>
        <v>14.6747104708506</v>
      </c>
      <c r="O520" s="21" t="n">
        <f aca="false">AVERAGEIFS($N$2:$N$2705,$B$2:$B$2705,B520)</f>
        <v>13.7173905482593</v>
      </c>
      <c r="P520" s="21" t="n">
        <f aca="false">N520-O520</f>
        <v>0.957319922591273</v>
      </c>
      <c r="Q520" s="7" t="n">
        <v>0</v>
      </c>
      <c r="R520" s="3" t="n">
        <f aca="false">IF(AND(Q520=1,B520-_xlfn.MINIFS($B$2:$B$2705,$A$2:$A$2705,A520)&lt;10),1,0)</f>
        <v>0</v>
      </c>
      <c r="S520" s="7" t="n">
        <v>0</v>
      </c>
      <c r="T520" s="3" t="n">
        <f aca="false">_xlfn.MINIFS($B$2:$B$2705,$A$2:$A$2705,A520)</f>
        <v>1901</v>
      </c>
      <c r="U520" s="3" t="n">
        <f aca="false">B520-T520</f>
        <v>32</v>
      </c>
      <c r="V520" s="3" t="str">
        <f aca="false">INDEX(Pop_Inputs!$Q$2:$Q$29,MATCH(C520,Pop_Inputs!$A$2:$A$29,0))</f>
        <v>Northeast</v>
      </c>
      <c r="W520" s="30"/>
      <c r="X520" s="3" t="str">
        <f aca="false">IF(W520="","",LN(W520))</f>
        <v/>
      </c>
      <c r="Y520" s="3" t="str">
        <f aca="false">IF(X520="","",X520-AVERAGEIFS($X$2:$X$2705,$B$2:$B$2705,B520))</f>
        <v/>
      </c>
      <c r="Z520" s="21" t="n">
        <f aca="false">P520</f>
        <v>0.957319922591273</v>
      </c>
      <c r="AA520" s="3" t="n">
        <f aca="false">R520</f>
        <v>0</v>
      </c>
      <c r="AB520" s="21" t="n">
        <f aca="false">P520</f>
        <v>0.957319922591273</v>
      </c>
      <c r="AC520" s="3" t="str">
        <f aca="false">Y520</f>
        <v/>
      </c>
      <c r="AD520" s="3" t="n">
        <f aca="false">R520</f>
        <v>0</v>
      </c>
    </row>
    <row r="521" customFormat="false" ht="15" hidden="false" customHeight="true" outlineLevel="0" collapsed="false">
      <c r="A521" s="7" t="s">
        <v>68</v>
      </c>
      <c r="B521" s="7" t="n">
        <v>1933</v>
      </c>
      <c r="C521" s="7" t="s">
        <v>160</v>
      </c>
      <c r="D521" s="7" t="n">
        <v>99</v>
      </c>
      <c r="E521" s="7" t="n">
        <v>53</v>
      </c>
      <c r="F521" s="3" t="n">
        <f aca="false">COUNTIFS($B$2:$B$2705,B521,$C$2:$C$2705,C521)</f>
        <v>1</v>
      </c>
      <c r="G521" s="3" t="n">
        <f aca="false">MIN(INT((MIN(B521,2020)-1900)/10)+1,12)</f>
        <v>4</v>
      </c>
      <c r="H521" s="3" t="n">
        <f aca="false">(MIN(B521,2020)-1900-10*(G521-1))/10</f>
        <v>0.3</v>
      </c>
      <c r="I521" s="20" t="n">
        <f aca="false">EXP(LN(INDEX(Pop_Inputs!$B$2:$N$29,MATCH(C521,Pop_Inputs!$A$2:$A$29,0),G521))*(1-H521)+LN(INDEX(Pop_Inputs!$B$2:$N$29,MATCH(C521,Pop_Inputs!$A$2:$A$29,0),G521+1))*H521)</f>
        <v>534146.548039574</v>
      </c>
      <c r="J521" s="20" t="n">
        <f aca="false">I521/F521</f>
        <v>534146.548039574</v>
      </c>
      <c r="K521" s="21" t="n">
        <f aca="false">D521/(D521+E521)</f>
        <v>0.651315789473684</v>
      </c>
      <c r="L521" s="21" t="n">
        <f aca="false">AVERAGEIFS($K$2:$K$2705,$B$2:$B$2705,B521)</f>
        <v>0.499794302380898</v>
      </c>
      <c r="M521" s="21" t="n">
        <f aca="false">K521-L521</f>
        <v>0.151521487092786</v>
      </c>
      <c r="N521" s="21" t="n">
        <f aca="false">LN(J521)</f>
        <v>13.1884255148231</v>
      </c>
      <c r="O521" s="21" t="n">
        <f aca="false">AVERAGEIFS($N$2:$N$2705,$B$2:$B$2705,B521)</f>
        <v>13.7173905482593</v>
      </c>
      <c r="P521" s="21" t="n">
        <f aca="false">N521-O521</f>
        <v>-0.528965033436194</v>
      </c>
      <c r="Q521" s="7" t="n">
        <v>0</v>
      </c>
      <c r="R521" s="3" t="n">
        <f aca="false">IF(AND(Q521=1,B521-_xlfn.MINIFS($B$2:$B$2705,$A$2:$A$2705,A521)&lt;10),1,0)</f>
        <v>0</v>
      </c>
      <c r="S521" s="7" t="n">
        <v>0</v>
      </c>
      <c r="T521" s="3" t="n">
        <f aca="false">_xlfn.MINIFS($B$2:$B$2705,$A$2:$A$2705,A521)</f>
        <v>1901</v>
      </c>
      <c r="U521" s="3" t="n">
        <f aca="false">B521-T521</f>
        <v>32</v>
      </c>
      <c r="V521" s="3" t="str">
        <f aca="false">INDEX(Pop_Inputs!$Q$2:$Q$29,MATCH(C521,Pop_Inputs!$A$2:$A$29,0))</f>
        <v>South</v>
      </c>
      <c r="W521" s="30"/>
      <c r="X521" s="3" t="str">
        <f aca="false">IF(W521="","",LN(W521))</f>
        <v/>
      </c>
      <c r="Y521" s="3" t="str">
        <f aca="false">IF(X521="","",X521-AVERAGEIFS($X$2:$X$2705,$B$2:$B$2705,B521))</f>
        <v/>
      </c>
      <c r="Z521" s="21" t="n">
        <f aca="false">P521</f>
        <v>-0.528965033436194</v>
      </c>
      <c r="AA521" s="3" t="n">
        <f aca="false">R521</f>
        <v>0</v>
      </c>
      <c r="AB521" s="21" t="n">
        <f aca="false">P521</f>
        <v>-0.528965033436194</v>
      </c>
      <c r="AC521" s="3" t="str">
        <f aca="false">Y521</f>
        <v/>
      </c>
      <c r="AD521" s="3" t="n">
        <f aca="false">R521</f>
        <v>0</v>
      </c>
    </row>
    <row r="522" customFormat="false" ht="15" hidden="false" customHeight="true" outlineLevel="0" collapsed="false">
      <c r="A522" s="7" t="s">
        <v>70</v>
      </c>
      <c r="B522" s="7" t="n">
        <v>1933</v>
      </c>
      <c r="C522" s="7" t="s">
        <v>154</v>
      </c>
      <c r="D522" s="7" t="n">
        <v>91</v>
      </c>
      <c r="E522" s="7" t="n">
        <v>59</v>
      </c>
      <c r="F522" s="3" t="n">
        <f aca="false">COUNTIFS($B$2:$B$2705,B522,$C$2:$C$2705,C522)</f>
        <v>3</v>
      </c>
      <c r="G522" s="3" t="n">
        <f aca="false">MIN(INT((MIN(B522,2020)-1900)/10)+1,12)</f>
        <v>4</v>
      </c>
      <c r="H522" s="3" t="n">
        <f aca="false">(MIN(B522,2020)-1900-10*(G522-1))/10</f>
        <v>0.3</v>
      </c>
      <c r="I522" s="20" t="n">
        <f aca="false">EXP(LN(INDEX(Pop_Inputs!$B$2:$N$29,MATCH(C522,Pop_Inputs!$A$2:$A$29,0),G522))*(1-H522)+LN(INDEX(Pop_Inputs!$B$2:$N$29,MATCH(C522,Pop_Inputs!$A$2:$A$29,0),G522+1))*H522)</f>
        <v>7083812.14638475</v>
      </c>
      <c r="J522" s="20" t="n">
        <f aca="false">I522/F522</f>
        <v>2361270.71546158</v>
      </c>
      <c r="K522" s="21" t="n">
        <f aca="false">D522/(D522+E522)</f>
        <v>0.606666666666667</v>
      </c>
      <c r="L522" s="21" t="n">
        <f aca="false">AVERAGEIFS($K$2:$K$2705,$B$2:$B$2705,B522)</f>
        <v>0.499794302380898</v>
      </c>
      <c r="M522" s="21" t="n">
        <f aca="false">K522-L522</f>
        <v>0.106872364285769</v>
      </c>
      <c r="N522" s="21" t="n">
        <f aca="false">LN(J522)</f>
        <v>14.6747104708506</v>
      </c>
      <c r="O522" s="21" t="n">
        <f aca="false">AVERAGEIFS($N$2:$N$2705,$B$2:$B$2705,B522)</f>
        <v>13.7173905482593</v>
      </c>
      <c r="P522" s="21" t="n">
        <f aca="false">N522-O522</f>
        <v>0.957319922591273</v>
      </c>
      <c r="Q522" s="7" t="n">
        <v>0</v>
      </c>
      <c r="R522" s="3" t="n">
        <f aca="false">IF(AND(Q522=1,B522-_xlfn.MINIFS($B$2:$B$2705,$A$2:$A$2705,A522)&lt;10),1,0)</f>
        <v>0</v>
      </c>
      <c r="S522" s="7" t="n">
        <v>1</v>
      </c>
      <c r="T522" s="3" t="n">
        <f aca="false">_xlfn.MINIFS($B$2:$B$2705,$A$2:$A$2705,A522)</f>
        <v>1903</v>
      </c>
      <c r="U522" s="3" t="n">
        <f aca="false">B522-T522</f>
        <v>30</v>
      </c>
      <c r="V522" s="3" t="str">
        <f aca="false">INDEX(Pop_Inputs!$Q$2:$Q$29,MATCH(C522,Pop_Inputs!$A$2:$A$29,0))</f>
        <v>Northeast</v>
      </c>
      <c r="W522" s="30"/>
      <c r="X522" s="3" t="str">
        <f aca="false">IF(W522="","",LN(W522))</f>
        <v/>
      </c>
      <c r="Y522" s="3" t="str">
        <f aca="false">IF(X522="","",X522-AVERAGEIFS($X$2:$X$2705,$B$2:$B$2705,B522))</f>
        <v/>
      </c>
      <c r="Z522" s="21" t="n">
        <f aca="false">P522</f>
        <v>0.957319922591273</v>
      </c>
      <c r="AA522" s="3" t="n">
        <f aca="false">R522</f>
        <v>0</v>
      </c>
      <c r="AB522" s="21" t="n">
        <f aca="false">P522</f>
        <v>0.957319922591273</v>
      </c>
      <c r="AC522" s="3" t="str">
        <f aca="false">Y522</f>
        <v/>
      </c>
      <c r="AD522" s="3" t="n">
        <f aca="false">R522</f>
        <v>0</v>
      </c>
    </row>
    <row r="523" customFormat="false" ht="15" hidden="false" customHeight="true" outlineLevel="0" collapsed="false">
      <c r="A523" s="7" t="s">
        <v>69</v>
      </c>
      <c r="B523" s="7" t="n">
        <v>1933</v>
      </c>
      <c r="C523" s="7" t="s">
        <v>146</v>
      </c>
      <c r="D523" s="7" t="n">
        <v>79</v>
      </c>
      <c r="E523" s="7" t="n">
        <v>72</v>
      </c>
      <c r="F523" s="3" t="n">
        <f aca="false">COUNTIFS($B$2:$B$2705,B523,$C$2:$C$2705,C523)</f>
        <v>2</v>
      </c>
      <c r="G523" s="3" t="n">
        <f aca="false">MIN(INT((MIN(B523,2020)-1900)/10)+1,12)</f>
        <v>4</v>
      </c>
      <c r="H523" s="3" t="n">
        <f aca="false">(MIN(B523,2020)-1900-10*(G523-1))/10</f>
        <v>0.3</v>
      </c>
      <c r="I523" s="20" t="n">
        <f aca="false">EXP(LN(INDEX(Pop_Inputs!$B$2:$N$29,MATCH(C523,Pop_Inputs!$A$2:$A$29,0),G523))*(1-H523)+LN(INDEX(Pop_Inputs!$B$2:$N$29,MATCH(C523,Pop_Inputs!$A$2:$A$29,0),G523+1))*H523)</f>
        <v>1945052.04865001</v>
      </c>
      <c r="J523" s="20" t="n">
        <f aca="false">I523/F523</f>
        <v>972526.024325005</v>
      </c>
      <c r="K523" s="21" t="n">
        <f aca="false">D523/(D523+E523)</f>
        <v>0.52317880794702</v>
      </c>
      <c r="L523" s="21" t="n">
        <f aca="false">AVERAGEIFS($K$2:$K$2705,$B$2:$B$2705,B523)</f>
        <v>0.499794302380898</v>
      </c>
      <c r="M523" s="21" t="n">
        <f aca="false">K523-L523</f>
        <v>0.023384505566122</v>
      </c>
      <c r="N523" s="21" t="n">
        <f aca="false">LN(J523)</f>
        <v>13.7876521143481</v>
      </c>
      <c r="O523" s="21" t="n">
        <f aca="false">AVERAGEIFS($N$2:$N$2705,$B$2:$B$2705,B523)</f>
        <v>13.7173905482593</v>
      </c>
      <c r="P523" s="21" t="n">
        <f aca="false">N523-O523</f>
        <v>0.070261566088762</v>
      </c>
      <c r="Q523" s="7" t="n">
        <v>0</v>
      </c>
      <c r="R523" s="3" t="n">
        <f aca="false">IF(AND(Q523=1,B523-_xlfn.MINIFS($B$2:$B$2705,$A$2:$A$2705,A523)&lt;10),1,0)</f>
        <v>0</v>
      </c>
      <c r="S523" s="7" t="n">
        <v>0</v>
      </c>
      <c r="T523" s="3" t="n">
        <f aca="false">_xlfn.MINIFS($B$2:$B$2705,$A$2:$A$2705,A523)</f>
        <v>1901</v>
      </c>
      <c r="U523" s="3" t="n">
        <f aca="false">B523-T523</f>
        <v>32</v>
      </c>
      <c r="V523" s="3" t="str">
        <f aca="false">INDEX(Pop_Inputs!$Q$2:$Q$29,MATCH(C523,Pop_Inputs!$A$2:$A$29,0))</f>
        <v>Northeast</v>
      </c>
      <c r="W523" s="30"/>
      <c r="X523" s="3" t="str">
        <f aca="false">IF(W523="","",LN(W523))</f>
        <v/>
      </c>
      <c r="Y523" s="3" t="str">
        <f aca="false">IF(X523="","",X523-AVERAGEIFS($X$2:$X$2705,$B$2:$B$2705,B523))</f>
        <v/>
      </c>
      <c r="Z523" s="21" t="n">
        <f aca="false">P523</f>
        <v>0.070261566088762</v>
      </c>
      <c r="AA523" s="3" t="n">
        <f aca="false">R523</f>
        <v>0</v>
      </c>
      <c r="AB523" s="21" t="n">
        <f aca="false">P523</f>
        <v>0.070261566088762</v>
      </c>
      <c r="AC523" s="3" t="str">
        <f aca="false">Y523</f>
        <v/>
      </c>
      <c r="AD523" s="3" t="n">
        <f aca="false">R523</f>
        <v>0</v>
      </c>
    </row>
    <row r="524" customFormat="false" ht="15" hidden="false" customHeight="true" outlineLevel="0" collapsed="false">
      <c r="A524" s="7" t="s">
        <v>60</v>
      </c>
      <c r="B524" s="7" t="n">
        <v>1933</v>
      </c>
      <c r="C524" s="7" t="s">
        <v>146</v>
      </c>
      <c r="D524" s="7" t="n">
        <v>60</v>
      </c>
      <c r="E524" s="7" t="n">
        <v>92</v>
      </c>
      <c r="F524" s="3" t="n">
        <f aca="false">COUNTIFS($B$2:$B$2705,B524,$C$2:$C$2705,C524)</f>
        <v>2</v>
      </c>
      <c r="G524" s="3" t="n">
        <f aca="false">MIN(INT((MIN(B524,2020)-1900)/10)+1,12)</f>
        <v>4</v>
      </c>
      <c r="H524" s="3" t="n">
        <f aca="false">(MIN(B524,2020)-1900-10*(G524-1))/10</f>
        <v>0.3</v>
      </c>
      <c r="I524" s="20" t="n">
        <f aca="false">EXP(LN(INDEX(Pop_Inputs!$B$2:$N$29,MATCH(C524,Pop_Inputs!$A$2:$A$29,0),G524))*(1-H524)+LN(INDEX(Pop_Inputs!$B$2:$N$29,MATCH(C524,Pop_Inputs!$A$2:$A$29,0),G524+1))*H524)</f>
        <v>1945052.04865001</v>
      </c>
      <c r="J524" s="20" t="n">
        <f aca="false">I524/F524</f>
        <v>972526.024325005</v>
      </c>
      <c r="K524" s="21" t="n">
        <f aca="false">D524/(D524+E524)</f>
        <v>0.394736842105263</v>
      </c>
      <c r="L524" s="21" t="n">
        <f aca="false">AVERAGEIFS($K$2:$K$2705,$B$2:$B$2705,B524)</f>
        <v>0.499794302380898</v>
      </c>
      <c r="M524" s="21" t="n">
        <f aca="false">K524-L524</f>
        <v>-0.105057460275635</v>
      </c>
      <c r="N524" s="21" t="n">
        <f aca="false">LN(J524)</f>
        <v>13.7876521143481</v>
      </c>
      <c r="O524" s="21" t="n">
        <f aca="false">AVERAGEIFS($N$2:$N$2705,$B$2:$B$2705,B524)</f>
        <v>13.7173905482593</v>
      </c>
      <c r="P524" s="21" t="n">
        <f aca="false">N524-O524</f>
        <v>0.070261566088762</v>
      </c>
      <c r="Q524" s="7" t="n">
        <v>0</v>
      </c>
      <c r="R524" s="3" t="n">
        <f aca="false">IF(AND(Q524=1,B524-_xlfn.MINIFS($B$2:$B$2705,$A$2:$A$2705,A524)&lt;10),1,0)</f>
        <v>0</v>
      </c>
      <c r="S524" s="7" t="n">
        <v>0</v>
      </c>
      <c r="T524" s="3" t="n">
        <f aca="false">_xlfn.MINIFS($B$2:$B$2705,$A$2:$A$2705,A524)</f>
        <v>1901</v>
      </c>
      <c r="U524" s="3" t="n">
        <f aca="false">B524-T524</f>
        <v>32</v>
      </c>
      <c r="V524" s="3" t="str">
        <f aca="false">INDEX(Pop_Inputs!$Q$2:$Q$29,MATCH(C524,Pop_Inputs!$A$2:$A$29,0))</f>
        <v>Northeast</v>
      </c>
      <c r="W524" s="30"/>
      <c r="X524" s="3" t="str">
        <f aca="false">IF(W524="","",LN(W524))</f>
        <v/>
      </c>
      <c r="Y524" s="3" t="str">
        <f aca="false">IF(X524="","",X524-AVERAGEIFS($X$2:$X$2705,$B$2:$B$2705,B524))</f>
        <v/>
      </c>
      <c r="Z524" s="21" t="n">
        <f aca="false">P524</f>
        <v>0.070261566088762</v>
      </c>
      <c r="AA524" s="3" t="n">
        <f aca="false">R524</f>
        <v>0</v>
      </c>
      <c r="AB524" s="21" t="n">
        <f aca="false">P524</f>
        <v>0.070261566088762</v>
      </c>
      <c r="AC524" s="3" t="str">
        <f aca="false">Y524</f>
        <v/>
      </c>
      <c r="AD524" s="3" t="n">
        <f aca="false">R524</f>
        <v>0</v>
      </c>
    </row>
    <row r="525" customFormat="false" ht="15" hidden="false" customHeight="true" outlineLevel="0" collapsed="false">
      <c r="A525" s="7" t="s">
        <v>58</v>
      </c>
      <c r="B525" s="7" t="n">
        <v>1933</v>
      </c>
      <c r="C525" s="7" t="s">
        <v>144</v>
      </c>
      <c r="D525" s="7" t="n">
        <v>87</v>
      </c>
      <c r="E525" s="7" t="n">
        <v>67</v>
      </c>
      <c r="F525" s="3" t="n">
        <f aca="false">COUNTIFS($B$2:$B$2705,B525,$C$2:$C$2705,C525)</f>
        <v>1</v>
      </c>
      <c r="G525" s="3" t="n">
        <f aca="false">MIN(INT((MIN(B525,2020)-1900)/10)+1,12)</f>
        <v>4</v>
      </c>
      <c r="H525" s="3" t="n">
        <f aca="false">(MIN(B525,2020)-1900-10*(G525-1))/10</f>
        <v>0.3</v>
      </c>
      <c r="I525" s="20" t="n">
        <f aca="false">EXP(LN(INDEX(Pop_Inputs!$B$2:$N$29,MATCH(C525,Pop_Inputs!$A$2:$A$29,0),G525))*(1-H525)+LN(INDEX(Pop_Inputs!$B$2:$N$29,MATCH(C525,Pop_Inputs!$A$2:$A$29,0),G525+1))*H525)</f>
        <v>670369.068948871</v>
      </c>
      <c r="J525" s="20" t="n">
        <f aca="false">I525/F525</f>
        <v>670369.068948871</v>
      </c>
      <c r="K525" s="21" t="n">
        <f aca="false">D525/(D525+E525)</f>
        <v>0.564935064935065</v>
      </c>
      <c r="L525" s="21" t="n">
        <f aca="false">AVERAGEIFS($K$2:$K$2705,$B$2:$B$2705,B525)</f>
        <v>0.499794302380898</v>
      </c>
      <c r="M525" s="21" t="n">
        <f aca="false">K525-L525</f>
        <v>0.0651407625541671</v>
      </c>
      <c r="N525" s="21" t="n">
        <f aca="false">LN(J525)</f>
        <v>13.4155836888829</v>
      </c>
      <c r="O525" s="21" t="n">
        <f aca="false">AVERAGEIFS($N$2:$N$2705,$B$2:$B$2705,B525)</f>
        <v>13.7173905482593</v>
      </c>
      <c r="P525" s="21" t="n">
        <f aca="false">N525-O525</f>
        <v>-0.301806859376443</v>
      </c>
      <c r="Q525" s="7" t="n">
        <v>0</v>
      </c>
      <c r="R525" s="3" t="n">
        <f aca="false">IF(AND(Q525=1,B525-_xlfn.MINIFS($B$2:$B$2705,$A$2:$A$2705,A525)&lt;10),1,0)</f>
        <v>0</v>
      </c>
      <c r="S525" s="7" t="n">
        <v>0</v>
      </c>
      <c r="T525" s="3" t="n">
        <f aca="false">_xlfn.MINIFS($B$2:$B$2705,$A$2:$A$2705,A525)</f>
        <v>1901</v>
      </c>
      <c r="U525" s="3" t="n">
        <f aca="false">B525-T525</f>
        <v>32</v>
      </c>
      <c r="V525" s="3" t="str">
        <f aca="false">INDEX(Pop_Inputs!$Q$2:$Q$29,MATCH(C525,Pop_Inputs!$A$2:$A$29,0))</f>
        <v>Northeast</v>
      </c>
      <c r="W525" s="30"/>
      <c r="X525" s="3" t="str">
        <f aca="false">IF(W525="","",LN(W525))</f>
        <v/>
      </c>
      <c r="Y525" s="3" t="str">
        <f aca="false">IF(X525="","",X525-AVERAGEIFS($X$2:$X$2705,$B$2:$B$2705,B525))</f>
        <v/>
      </c>
      <c r="Z525" s="21" t="n">
        <f aca="false">P525</f>
        <v>-0.301806859376443</v>
      </c>
      <c r="AA525" s="3" t="n">
        <f aca="false">R525</f>
        <v>0</v>
      </c>
      <c r="AB525" s="21" t="n">
        <f aca="false">P525</f>
        <v>-0.301806859376443</v>
      </c>
      <c r="AC525" s="3" t="str">
        <f aca="false">Y525</f>
        <v/>
      </c>
      <c r="AD525" s="3" t="n">
        <f aca="false">R525</f>
        <v>0</v>
      </c>
    </row>
    <row r="526" customFormat="false" ht="15" hidden="false" customHeight="true" outlineLevel="0" collapsed="false">
      <c r="A526" s="7" t="s">
        <v>61</v>
      </c>
      <c r="B526" s="7" t="n">
        <v>1933</v>
      </c>
      <c r="C526" s="7" t="s">
        <v>154</v>
      </c>
      <c r="D526" s="7" t="n">
        <v>91</v>
      </c>
      <c r="E526" s="7" t="n">
        <v>61</v>
      </c>
      <c r="F526" s="3" t="n">
        <f aca="false">COUNTIFS($B$2:$B$2705,B526,$C$2:$C$2705,C526)</f>
        <v>3</v>
      </c>
      <c r="G526" s="3" t="n">
        <f aca="false">MIN(INT((MIN(B526,2020)-1900)/10)+1,12)</f>
        <v>4</v>
      </c>
      <c r="H526" s="3" t="n">
        <f aca="false">(MIN(B526,2020)-1900-10*(G526-1))/10</f>
        <v>0.3</v>
      </c>
      <c r="I526" s="20" t="n">
        <f aca="false">EXP(LN(INDEX(Pop_Inputs!$B$2:$N$29,MATCH(C526,Pop_Inputs!$A$2:$A$29,0),G526))*(1-H526)+LN(INDEX(Pop_Inputs!$B$2:$N$29,MATCH(C526,Pop_Inputs!$A$2:$A$29,0),G526+1))*H526)</f>
        <v>7083812.14638475</v>
      </c>
      <c r="J526" s="20" t="n">
        <f aca="false">I526/F526</f>
        <v>2361270.71546158</v>
      </c>
      <c r="K526" s="21" t="n">
        <f aca="false">D526/(D526+E526)</f>
        <v>0.598684210526316</v>
      </c>
      <c r="L526" s="21" t="n">
        <f aca="false">AVERAGEIFS($K$2:$K$2705,$B$2:$B$2705,B526)</f>
        <v>0.499794302380898</v>
      </c>
      <c r="M526" s="21" t="n">
        <f aca="false">K526-L526</f>
        <v>0.0988899081454179</v>
      </c>
      <c r="N526" s="21" t="n">
        <f aca="false">LN(J526)</f>
        <v>14.6747104708506</v>
      </c>
      <c r="O526" s="21" t="n">
        <f aca="false">AVERAGEIFS($N$2:$N$2705,$B$2:$B$2705,B526)</f>
        <v>13.7173905482593</v>
      </c>
      <c r="P526" s="21" t="n">
        <f aca="false">N526-O526</f>
        <v>0.957319922591273</v>
      </c>
      <c r="Q526" s="7" t="n">
        <v>0</v>
      </c>
      <c r="R526" s="3" t="n">
        <f aca="false">IF(AND(Q526=1,B526-_xlfn.MINIFS($B$2:$B$2705,$A$2:$A$2705,A526)&lt;10),1,0)</f>
        <v>0</v>
      </c>
      <c r="S526" s="7" t="n">
        <v>0</v>
      </c>
      <c r="T526" s="3" t="n">
        <f aca="false">_xlfn.MINIFS($B$2:$B$2705,$A$2:$A$2705,A526)</f>
        <v>1901</v>
      </c>
      <c r="U526" s="3" t="n">
        <f aca="false">B526-T526</f>
        <v>32</v>
      </c>
      <c r="V526" s="3" t="str">
        <f aca="false">INDEX(Pop_Inputs!$Q$2:$Q$29,MATCH(C526,Pop_Inputs!$A$2:$A$29,0))</f>
        <v>Northeast</v>
      </c>
      <c r="W526" s="30"/>
      <c r="X526" s="3" t="str">
        <f aca="false">IF(W526="","",LN(W526))</f>
        <v/>
      </c>
      <c r="Y526" s="3" t="str">
        <f aca="false">IF(X526="","",X526-AVERAGEIFS($X$2:$X$2705,$B$2:$B$2705,B526))</f>
        <v/>
      </c>
      <c r="Z526" s="21" t="n">
        <f aca="false">P526</f>
        <v>0.957319922591273</v>
      </c>
      <c r="AA526" s="3" t="n">
        <f aca="false">R526</f>
        <v>0</v>
      </c>
      <c r="AB526" s="21" t="n">
        <f aca="false">P526</f>
        <v>0.957319922591273</v>
      </c>
      <c r="AC526" s="3" t="str">
        <f aca="false">Y526</f>
        <v/>
      </c>
      <c r="AD526" s="3" t="n">
        <f aca="false">R526</f>
        <v>0</v>
      </c>
    </row>
    <row r="527" customFormat="false" ht="15" hidden="false" customHeight="true" outlineLevel="0" collapsed="false">
      <c r="A527" s="7" t="s">
        <v>59</v>
      </c>
      <c r="B527" s="7" t="n">
        <v>1933</v>
      </c>
      <c r="C527" s="7" t="s">
        <v>145</v>
      </c>
      <c r="D527" s="7" t="n">
        <v>82</v>
      </c>
      <c r="E527" s="7" t="n">
        <v>71</v>
      </c>
      <c r="F527" s="3" t="n">
        <f aca="false">COUNTIFS($B$2:$B$2705,B527,$C$2:$C$2705,C527)</f>
        <v>2</v>
      </c>
      <c r="G527" s="3" t="n">
        <f aca="false">MIN(INT((MIN(B527,2020)-1900)/10)+1,12)</f>
        <v>4</v>
      </c>
      <c r="H527" s="3" t="n">
        <f aca="false">(MIN(B527,2020)-1900-10*(G527-1))/10</f>
        <v>0.3</v>
      </c>
      <c r="I527" s="20" t="n">
        <f aca="false">EXP(LN(INDEX(Pop_Inputs!$B$2:$N$29,MATCH(C527,Pop_Inputs!$A$2:$A$29,0),G527))*(1-H527)+LN(INDEX(Pop_Inputs!$B$2:$N$29,MATCH(C527,Pop_Inputs!$A$2:$A$29,0),G527+1))*H527)</f>
        <v>820181.916857277</v>
      </c>
      <c r="J527" s="20" t="n">
        <f aca="false">I527/F527</f>
        <v>410090.958428638</v>
      </c>
      <c r="K527" s="21" t="n">
        <f aca="false">D527/(D527+E527)</f>
        <v>0.535947712418301</v>
      </c>
      <c r="L527" s="21" t="n">
        <f aca="false">AVERAGEIFS($K$2:$K$2705,$B$2:$B$2705,B527)</f>
        <v>0.499794302380898</v>
      </c>
      <c r="M527" s="21" t="n">
        <f aca="false">K527-L527</f>
        <v>0.0361534100374027</v>
      </c>
      <c r="N527" s="21" t="n">
        <f aca="false">LN(J527)</f>
        <v>12.9241342639014</v>
      </c>
      <c r="O527" s="21" t="n">
        <f aca="false">AVERAGEIFS($N$2:$N$2705,$B$2:$B$2705,B527)</f>
        <v>13.7173905482593</v>
      </c>
      <c r="P527" s="21" t="n">
        <f aca="false">N527-O527</f>
        <v>-0.793256284357891</v>
      </c>
      <c r="Q527" s="7" t="n">
        <v>0</v>
      </c>
      <c r="R527" s="3" t="n">
        <f aca="false">IF(AND(Q527=1,B527-_xlfn.MINIFS($B$2:$B$2705,$A$2:$A$2705,A527)&lt;10),1,0)</f>
        <v>0</v>
      </c>
      <c r="S527" s="7" t="n">
        <v>0</v>
      </c>
      <c r="T527" s="3" t="n">
        <f aca="false">_xlfn.MINIFS($B$2:$B$2705,$A$2:$A$2705,A527)</f>
        <v>1901</v>
      </c>
      <c r="U527" s="3" t="n">
        <f aca="false">B527-T527</f>
        <v>32</v>
      </c>
      <c r="V527" s="3" t="str">
        <f aca="false">INDEX(Pop_Inputs!$Q$2:$Q$29,MATCH(C527,Pop_Inputs!$A$2:$A$29,0))</f>
        <v>Midwest</v>
      </c>
      <c r="W527" s="30"/>
      <c r="X527" s="3" t="str">
        <f aca="false">IF(W527="","",LN(W527))</f>
        <v/>
      </c>
      <c r="Y527" s="3" t="str">
        <f aca="false">IF(X527="","",X527-AVERAGEIFS($X$2:$X$2705,$B$2:$B$2705,B527))</f>
        <v/>
      </c>
      <c r="Z527" s="21" t="n">
        <f aca="false">P527</f>
        <v>-0.793256284357891</v>
      </c>
      <c r="AA527" s="3" t="n">
        <f aca="false">R527</f>
        <v>0</v>
      </c>
      <c r="AB527" s="21" t="n">
        <f aca="false">P527</f>
        <v>-0.793256284357891</v>
      </c>
      <c r="AC527" s="3" t="str">
        <f aca="false">Y527</f>
        <v/>
      </c>
      <c r="AD527" s="3" t="n">
        <f aca="false">R527</f>
        <v>0</v>
      </c>
    </row>
    <row r="528" customFormat="false" ht="15" hidden="false" customHeight="true" outlineLevel="0" collapsed="false">
      <c r="A528" s="7" t="s">
        <v>54</v>
      </c>
      <c r="B528" s="7" t="n">
        <v>1934</v>
      </c>
      <c r="C528" s="7" t="s">
        <v>150</v>
      </c>
      <c r="D528" s="7" t="n">
        <v>78</v>
      </c>
      <c r="E528" s="7" t="n">
        <v>73</v>
      </c>
      <c r="F528" s="3" t="n">
        <f aca="false">COUNTIFS($B$2:$B$2705,B528,$C$2:$C$2705,C528)</f>
        <v>2</v>
      </c>
      <c r="G528" s="3" t="n">
        <f aca="false">MIN(INT((MIN(B528,2020)-1900)/10)+1,12)</f>
        <v>4</v>
      </c>
      <c r="H528" s="3" t="n">
        <f aca="false">(MIN(B528,2020)-1900-10*(G528-1))/10</f>
        <v>0.4</v>
      </c>
      <c r="I528" s="20" t="n">
        <f aca="false">EXP(LN(INDEX(Pop_Inputs!$B$2:$N$29,MATCH(C528,Pop_Inputs!$A$2:$A$29,0),G528))*(1-H528)+LN(INDEX(Pop_Inputs!$B$2:$N$29,MATCH(C528,Pop_Inputs!$A$2:$A$29,0),G528+1))*H528)</f>
        <v>777022.556610119</v>
      </c>
      <c r="J528" s="20" t="n">
        <f aca="false">I528/F528</f>
        <v>388511.27830506</v>
      </c>
      <c r="K528" s="21" t="n">
        <f aca="false">D528/(D528+E528)</f>
        <v>0.516556291390729</v>
      </c>
      <c r="L528" s="21" t="n">
        <f aca="false">AVERAGEIFS($K$2:$K$2705,$B$2:$B$2705,B528)</f>
        <v>0.499418664425048</v>
      </c>
      <c r="M528" s="21" t="n">
        <f aca="false">K528-L528</f>
        <v>0.0171376269656802</v>
      </c>
      <c r="N528" s="21" t="n">
        <f aca="false">LN(J528)</f>
        <v>12.8700774787547</v>
      </c>
      <c r="O528" s="21" t="n">
        <f aca="false">AVERAGEIFS($N$2:$N$2705,$B$2:$B$2705,B528)</f>
        <v>13.7205185891078</v>
      </c>
      <c r="P528" s="21" t="n">
        <f aca="false">N528-O528</f>
        <v>-0.85044111035309</v>
      </c>
      <c r="Q528" s="7" t="n">
        <v>0</v>
      </c>
      <c r="R528" s="3" t="n">
        <f aca="false">IF(AND(Q528=1,B528-_xlfn.MINIFS($B$2:$B$2705,$A$2:$A$2705,A528)&lt;10),1,0)</f>
        <v>0</v>
      </c>
      <c r="S528" s="7" t="n">
        <v>0</v>
      </c>
      <c r="T528" s="3" t="n">
        <f aca="false">_xlfn.MINIFS($B$2:$B$2705,$A$2:$A$2705,A528)</f>
        <v>1901</v>
      </c>
      <c r="U528" s="3" t="n">
        <f aca="false">B528-T528</f>
        <v>33</v>
      </c>
      <c r="V528" s="3" t="str">
        <f aca="false">INDEX(Pop_Inputs!$Q$2:$Q$29,MATCH(C528,Pop_Inputs!$A$2:$A$29,0))</f>
        <v>Northeast</v>
      </c>
      <c r="W528" s="30"/>
      <c r="X528" s="3" t="str">
        <f aca="false">IF(W528="","",LN(W528))</f>
        <v/>
      </c>
      <c r="Y528" s="3" t="str">
        <f aca="false">IF(X528="","",X528-AVERAGEIFS($X$2:$X$2705,$B$2:$B$2705,B528))</f>
        <v/>
      </c>
      <c r="Z528" s="21" t="n">
        <f aca="false">P528</f>
        <v>-0.85044111035309</v>
      </c>
      <c r="AA528" s="3" t="n">
        <f aca="false">R528</f>
        <v>0</v>
      </c>
      <c r="AB528" s="21" t="n">
        <f aca="false">P528</f>
        <v>-0.85044111035309</v>
      </c>
      <c r="AC528" s="3" t="str">
        <f aca="false">Y528</f>
        <v/>
      </c>
      <c r="AD528" s="3" t="n">
        <f aca="false">R528</f>
        <v>0</v>
      </c>
    </row>
    <row r="529" customFormat="false" ht="15" hidden="false" customHeight="true" outlineLevel="0" collapsed="false">
      <c r="A529" s="7" t="s">
        <v>63</v>
      </c>
      <c r="B529" s="7" t="n">
        <v>1934</v>
      </c>
      <c r="C529" s="7" t="s">
        <v>145</v>
      </c>
      <c r="D529" s="7" t="n">
        <v>67</v>
      </c>
      <c r="E529" s="7" t="n">
        <v>85</v>
      </c>
      <c r="F529" s="3" t="n">
        <f aca="false">COUNTIFS($B$2:$B$2705,B529,$C$2:$C$2705,C529)</f>
        <v>2</v>
      </c>
      <c r="G529" s="3" t="n">
        <f aca="false">MIN(INT((MIN(B529,2020)-1900)/10)+1,12)</f>
        <v>4</v>
      </c>
      <c r="H529" s="3" t="n">
        <f aca="false">(MIN(B529,2020)-1900-10*(G529-1))/10</f>
        <v>0.4</v>
      </c>
      <c r="I529" s="20" t="n">
        <f aca="false">EXP(LN(INDEX(Pop_Inputs!$B$2:$N$29,MATCH(C529,Pop_Inputs!$A$2:$A$29,0),G529))*(1-H529)+LN(INDEX(Pop_Inputs!$B$2:$N$29,MATCH(C529,Pop_Inputs!$A$2:$A$29,0),G529+1))*H529)</f>
        <v>819590.077641222</v>
      </c>
      <c r="J529" s="20" t="n">
        <f aca="false">I529/F529</f>
        <v>409795.038820611</v>
      </c>
      <c r="K529" s="21" t="n">
        <f aca="false">D529/(D529+E529)</f>
        <v>0.440789473684211</v>
      </c>
      <c r="L529" s="21" t="n">
        <f aca="false">AVERAGEIFS($K$2:$K$2705,$B$2:$B$2705,B529)</f>
        <v>0.499418664425048</v>
      </c>
      <c r="M529" s="21" t="n">
        <f aca="false">K529-L529</f>
        <v>-0.0586291907408378</v>
      </c>
      <c r="N529" s="21" t="n">
        <f aca="false">LN(J529)</f>
        <v>12.9234124083706</v>
      </c>
      <c r="O529" s="21" t="n">
        <f aca="false">AVERAGEIFS($N$2:$N$2705,$B$2:$B$2705,B529)</f>
        <v>13.7205185891078</v>
      </c>
      <c r="P529" s="21" t="n">
        <f aca="false">N529-O529</f>
        <v>-0.797106180737224</v>
      </c>
      <c r="Q529" s="7" t="n">
        <v>0</v>
      </c>
      <c r="R529" s="3" t="n">
        <f aca="false">IF(AND(Q529=1,B529-_xlfn.MINIFS($B$2:$B$2705,$A$2:$A$2705,A529)&lt;10),1,0)</f>
        <v>0</v>
      </c>
      <c r="S529" s="7" t="n">
        <v>0</v>
      </c>
      <c r="T529" s="3" t="n">
        <f aca="false">_xlfn.MINIFS($B$2:$B$2705,$A$2:$A$2705,A529)</f>
        <v>1901</v>
      </c>
      <c r="U529" s="3" t="n">
        <f aca="false">B529-T529</f>
        <v>33</v>
      </c>
      <c r="V529" s="3" t="str">
        <f aca="false">INDEX(Pop_Inputs!$Q$2:$Q$29,MATCH(C529,Pop_Inputs!$A$2:$A$29,0))</f>
        <v>Midwest</v>
      </c>
      <c r="W529" s="30"/>
      <c r="X529" s="3" t="str">
        <f aca="false">IF(W529="","",LN(W529))</f>
        <v/>
      </c>
      <c r="Y529" s="3" t="str">
        <f aca="false">IF(X529="","",X529-AVERAGEIFS($X$2:$X$2705,$B$2:$B$2705,B529))</f>
        <v/>
      </c>
      <c r="Z529" s="21" t="n">
        <f aca="false">P529</f>
        <v>-0.797106180737224</v>
      </c>
      <c r="AA529" s="3" t="n">
        <f aca="false">R529</f>
        <v>0</v>
      </c>
      <c r="AB529" s="21" t="n">
        <f aca="false">P529</f>
        <v>-0.797106180737224</v>
      </c>
      <c r="AC529" s="3" t="str">
        <f aca="false">Y529</f>
        <v/>
      </c>
      <c r="AD529" s="3" t="n">
        <f aca="false">R529</f>
        <v>0</v>
      </c>
    </row>
    <row r="530" customFormat="false" ht="15" hidden="false" customHeight="true" outlineLevel="0" collapsed="false">
      <c r="A530" s="7" t="s">
        <v>64</v>
      </c>
      <c r="B530" s="7" t="n">
        <v>1934</v>
      </c>
      <c r="C530" s="7" t="s">
        <v>150</v>
      </c>
      <c r="D530" s="7" t="n">
        <v>76</v>
      </c>
      <c r="E530" s="7" t="n">
        <v>76</v>
      </c>
      <c r="F530" s="3" t="n">
        <f aca="false">COUNTIFS($B$2:$B$2705,B530,$C$2:$C$2705,C530)</f>
        <v>2</v>
      </c>
      <c r="G530" s="3" t="n">
        <f aca="false">MIN(INT((MIN(B530,2020)-1900)/10)+1,12)</f>
        <v>4</v>
      </c>
      <c r="H530" s="3" t="n">
        <f aca="false">(MIN(B530,2020)-1900-10*(G530-1))/10</f>
        <v>0.4</v>
      </c>
      <c r="I530" s="20" t="n">
        <f aca="false">EXP(LN(INDEX(Pop_Inputs!$B$2:$N$29,MATCH(C530,Pop_Inputs!$A$2:$A$29,0),G530))*(1-H530)+LN(INDEX(Pop_Inputs!$B$2:$N$29,MATCH(C530,Pop_Inputs!$A$2:$A$29,0),G530+1))*H530)</f>
        <v>777022.556610119</v>
      </c>
      <c r="J530" s="20" t="n">
        <f aca="false">I530/F530</f>
        <v>388511.27830506</v>
      </c>
      <c r="K530" s="21" t="n">
        <f aca="false">D530/(D530+E530)</f>
        <v>0.5</v>
      </c>
      <c r="L530" s="21" t="n">
        <f aca="false">AVERAGEIFS($K$2:$K$2705,$B$2:$B$2705,B530)</f>
        <v>0.499418664425048</v>
      </c>
      <c r="M530" s="21" t="n">
        <f aca="false">K530-L530</f>
        <v>0.000581335574951714</v>
      </c>
      <c r="N530" s="21" t="n">
        <f aca="false">LN(J530)</f>
        <v>12.8700774787547</v>
      </c>
      <c r="O530" s="21" t="n">
        <f aca="false">AVERAGEIFS($N$2:$N$2705,$B$2:$B$2705,B530)</f>
        <v>13.7205185891078</v>
      </c>
      <c r="P530" s="21" t="n">
        <f aca="false">N530-O530</f>
        <v>-0.85044111035309</v>
      </c>
      <c r="Q530" s="7" t="n">
        <v>0</v>
      </c>
      <c r="R530" s="3" t="n">
        <f aca="false">IF(AND(Q530=1,B530-_xlfn.MINIFS($B$2:$B$2705,$A$2:$A$2705,A530)&lt;10),1,0)</f>
        <v>0</v>
      </c>
      <c r="S530" s="7" t="n">
        <v>0</v>
      </c>
      <c r="T530" s="3" t="n">
        <f aca="false">_xlfn.MINIFS($B$2:$B$2705,$A$2:$A$2705,A530)</f>
        <v>1901</v>
      </c>
      <c r="U530" s="3" t="n">
        <f aca="false">B530-T530</f>
        <v>33</v>
      </c>
      <c r="V530" s="3" t="str">
        <f aca="false">INDEX(Pop_Inputs!$Q$2:$Q$29,MATCH(C530,Pop_Inputs!$A$2:$A$29,0))</f>
        <v>Northeast</v>
      </c>
      <c r="W530" s="30"/>
      <c r="X530" s="3" t="str">
        <f aca="false">IF(W530="","",LN(W530))</f>
        <v/>
      </c>
      <c r="Y530" s="3" t="str">
        <f aca="false">IF(X530="","",X530-AVERAGEIFS($X$2:$X$2705,$B$2:$B$2705,B530))</f>
        <v/>
      </c>
      <c r="Z530" s="21" t="n">
        <f aca="false">P530</f>
        <v>-0.85044111035309</v>
      </c>
      <c r="AA530" s="3" t="n">
        <f aca="false">R530</f>
        <v>0</v>
      </c>
      <c r="AB530" s="21" t="n">
        <f aca="false">P530</f>
        <v>-0.85044111035309</v>
      </c>
      <c r="AC530" s="3" t="str">
        <f aca="false">Y530</f>
        <v/>
      </c>
      <c r="AD530" s="3" t="n">
        <f aca="false">R530</f>
        <v>0</v>
      </c>
    </row>
    <row r="531" customFormat="false" ht="15" hidden="false" customHeight="true" outlineLevel="0" collapsed="false">
      <c r="A531" s="7" t="s">
        <v>56</v>
      </c>
      <c r="B531" s="7" t="n">
        <v>1934</v>
      </c>
      <c r="C531" s="7" t="s">
        <v>142</v>
      </c>
      <c r="D531" s="7" t="n">
        <v>86</v>
      </c>
      <c r="E531" s="7" t="n">
        <v>65</v>
      </c>
      <c r="F531" s="3" t="n">
        <f aca="false">COUNTIFS($B$2:$B$2705,B531,$C$2:$C$2705,C531)</f>
        <v>2</v>
      </c>
      <c r="G531" s="3" t="n">
        <f aca="false">MIN(INT((MIN(B531,2020)-1900)/10)+1,12)</f>
        <v>4</v>
      </c>
      <c r="H531" s="3" t="n">
        <f aca="false">(MIN(B531,2020)-1900-10*(G531-1))/10</f>
        <v>0.4</v>
      </c>
      <c r="I531" s="20" t="n">
        <f aca="false">EXP(LN(INDEX(Pop_Inputs!$B$2:$N$29,MATCH(C531,Pop_Inputs!$A$2:$A$29,0),G531))*(1-H531)+LN(INDEX(Pop_Inputs!$B$2:$N$29,MATCH(C531,Pop_Inputs!$A$2:$A$29,0),G531+1))*H531)</f>
        <v>3384571.30023599</v>
      </c>
      <c r="J531" s="20" t="n">
        <f aca="false">I531/F531</f>
        <v>1692285.65011799</v>
      </c>
      <c r="K531" s="21" t="n">
        <f aca="false">D531/(D531+E531)</f>
        <v>0.56953642384106</v>
      </c>
      <c r="L531" s="21" t="n">
        <f aca="false">AVERAGEIFS($K$2:$K$2705,$B$2:$B$2705,B531)</f>
        <v>0.499418664425048</v>
      </c>
      <c r="M531" s="21" t="n">
        <f aca="false">K531-L531</f>
        <v>0.0701177594160113</v>
      </c>
      <c r="N531" s="21" t="n">
        <f aca="false">LN(J531)</f>
        <v>14.341590628846</v>
      </c>
      <c r="O531" s="21" t="n">
        <f aca="false">AVERAGEIFS($N$2:$N$2705,$B$2:$B$2705,B531)</f>
        <v>13.7205185891078</v>
      </c>
      <c r="P531" s="21" t="n">
        <f aca="false">N531-O531</f>
        <v>0.621072039738142</v>
      </c>
      <c r="Q531" s="7" t="n">
        <v>0</v>
      </c>
      <c r="R531" s="3" t="n">
        <f aca="false">IF(AND(Q531=1,B531-_xlfn.MINIFS($B$2:$B$2705,$A$2:$A$2705,A531)&lt;10),1,0)</f>
        <v>0</v>
      </c>
      <c r="S531" s="7" t="n">
        <v>0</v>
      </c>
      <c r="T531" s="3" t="n">
        <f aca="false">_xlfn.MINIFS($B$2:$B$2705,$A$2:$A$2705,A531)</f>
        <v>1901</v>
      </c>
      <c r="U531" s="3" t="n">
        <f aca="false">B531-T531</f>
        <v>33</v>
      </c>
      <c r="V531" s="3" t="str">
        <f aca="false">INDEX(Pop_Inputs!$Q$2:$Q$29,MATCH(C531,Pop_Inputs!$A$2:$A$29,0))</f>
        <v>Midwest</v>
      </c>
      <c r="W531" s="30"/>
      <c r="X531" s="3" t="str">
        <f aca="false">IF(W531="","",LN(W531))</f>
        <v/>
      </c>
      <c r="Y531" s="3" t="str">
        <f aca="false">IF(X531="","",X531-AVERAGEIFS($X$2:$X$2705,$B$2:$B$2705,B531))</f>
        <v/>
      </c>
      <c r="Z531" s="21" t="n">
        <f aca="false">P531</f>
        <v>0.621072039738142</v>
      </c>
      <c r="AA531" s="3" t="n">
        <f aca="false">R531</f>
        <v>0</v>
      </c>
      <c r="AB531" s="21" t="n">
        <f aca="false">P531</f>
        <v>0.621072039738142</v>
      </c>
      <c r="AC531" s="3" t="str">
        <f aca="false">Y531</f>
        <v/>
      </c>
      <c r="AD531" s="3" t="n">
        <f aca="false">R531</f>
        <v>0</v>
      </c>
    </row>
    <row r="532" customFormat="false" ht="15" hidden="false" customHeight="true" outlineLevel="0" collapsed="false">
      <c r="A532" s="7" t="s">
        <v>65</v>
      </c>
      <c r="B532" s="7" t="n">
        <v>1934</v>
      </c>
      <c r="C532" s="7" t="s">
        <v>142</v>
      </c>
      <c r="D532" s="7" t="n">
        <v>53</v>
      </c>
      <c r="E532" s="7" t="n">
        <v>99</v>
      </c>
      <c r="F532" s="3" t="n">
        <f aca="false">COUNTIFS($B$2:$B$2705,B532,$C$2:$C$2705,C532)</f>
        <v>2</v>
      </c>
      <c r="G532" s="3" t="n">
        <f aca="false">MIN(INT((MIN(B532,2020)-1900)/10)+1,12)</f>
        <v>4</v>
      </c>
      <c r="H532" s="3" t="n">
        <f aca="false">(MIN(B532,2020)-1900-10*(G532-1))/10</f>
        <v>0.4</v>
      </c>
      <c r="I532" s="20" t="n">
        <f aca="false">EXP(LN(INDEX(Pop_Inputs!$B$2:$N$29,MATCH(C532,Pop_Inputs!$A$2:$A$29,0),G532))*(1-H532)+LN(INDEX(Pop_Inputs!$B$2:$N$29,MATCH(C532,Pop_Inputs!$A$2:$A$29,0),G532+1))*H532)</f>
        <v>3384571.30023599</v>
      </c>
      <c r="J532" s="20" t="n">
        <f aca="false">I532/F532</f>
        <v>1692285.65011799</v>
      </c>
      <c r="K532" s="21" t="n">
        <f aca="false">D532/(D532+E532)</f>
        <v>0.348684210526316</v>
      </c>
      <c r="L532" s="21" t="n">
        <f aca="false">AVERAGEIFS($K$2:$K$2705,$B$2:$B$2705,B532)</f>
        <v>0.499418664425048</v>
      </c>
      <c r="M532" s="21" t="n">
        <f aca="false">K532-L532</f>
        <v>-0.150734453898733</v>
      </c>
      <c r="N532" s="21" t="n">
        <f aca="false">LN(J532)</f>
        <v>14.341590628846</v>
      </c>
      <c r="O532" s="21" t="n">
        <f aca="false">AVERAGEIFS($N$2:$N$2705,$B$2:$B$2705,B532)</f>
        <v>13.7205185891078</v>
      </c>
      <c r="P532" s="21" t="n">
        <f aca="false">N532-O532</f>
        <v>0.621072039738142</v>
      </c>
      <c r="Q532" s="7" t="n">
        <v>0</v>
      </c>
      <c r="R532" s="3" t="n">
        <f aca="false">IF(AND(Q532=1,B532-_xlfn.MINIFS($B$2:$B$2705,$A$2:$A$2705,A532)&lt;10),1,0)</f>
        <v>0</v>
      </c>
      <c r="S532" s="7" t="n">
        <v>0</v>
      </c>
      <c r="T532" s="3" t="n">
        <f aca="false">_xlfn.MINIFS($B$2:$B$2705,$A$2:$A$2705,A532)</f>
        <v>1901</v>
      </c>
      <c r="U532" s="3" t="n">
        <f aca="false">B532-T532</f>
        <v>33</v>
      </c>
      <c r="V532" s="3" t="str">
        <f aca="false">INDEX(Pop_Inputs!$Q$2:$Q$29,MATCH(C532,Pop_Inputs!$A$2:$A$29,0))</f>
        <v>Midwest</v>
      </c>
      <c r="W532" s="30"/>
      <c r="X532" s="3" t="str">
        <f aca="false">IF(W532="","",LN(W532))</f>
        <v/>
      </c>
      <c r="Y532" s="3" t="str">
        <f aca="false">IF(X532="","",X532-AVERAGEIFS($X$2:$X$2705,$B$2:$B$2705,B532))</f>
        <v/>
      </c>
      <c r="Z532" s="21" t="n">
        <f aca="false">P532</f>
        <v>0.621072039738142</v>
      </c>
      <c r="AA532" s="3" t="n">
        <f aca="false">R532</f>
        <v>0</v>
      </c>
      <c r="AB532" s="21" t="n">
        <f aca="false">P532</f>
        <v>0.621072039738142</v>
      </c>
      <c r="AC532" s="3" t="str">
        <f aca="false">Y532</f>
        <v/>
      </c>
      <c r="AD532" s="3" t="n">
        <f aca="false">R532</f>
        <v>0</v>
      </c>
    </row>
    <row r="533" customFormat="false" ht="15" hidden="false" customHeight="true" outlineLevel="0" collapsed="false">
      <c r="A533" s="7" t="s">
        <v>57</v>
      </c>
      <c r="B533" s="7" t="n">
        <v>1934</v>
      </c>
      <c r="C533" s="7" t="s">
        <v>143</v>
      </c>
      <c r="D533" s="7" t="n">
        <v>52</v>
      </c>
      <c r="E533" s="7" t="n">
        <v>99</v>
      </c>
      <c r="F533" s="3" t="n">
        <f aca="false">COUNTIFS($B$2:$B$2705,B533,$C$2:$C$2705,C533)</f>
        <v>1</v>
      </c>
      <c r="G533" s="3" t="n">
        <f aca="false">MIN(INT((MIN(B533,2020)-1900)/10)+1,12)</f>
        <v>4</v>
      </c>
      <c r="H533" s="3" t="n">
        <f aca="false">(MIN(B533,2020)-1900-10*(G533-1))/10</f>
        <v>0.4</v>
      </c>
      <c r="I533" s="20" t="n">
        <f aca="false">EXP(LN(INDEX(Pop_Inputs!$B$2:$N$29,MATCH(C533,Pop_Inputs!$A$2:$A$29,0),G533))*(1-H533)+LN(INDEX(Pop_Inputs!$B$2:$N$29,MATCH(C533,Pop_Inputs!$A$2:$A$29,0),G533+1))*H533)</f>
        <v>452934.760441926</v>
      </c>
      <c r="J533" s="20" t="n">
        <f aca="false">I533/F533</f>
        <v>452934.760441926</v>
      </c>
      <c r="K533" s="21" t="n">
        <f aca="false">D533/(D533+E533)</f>
        <v>0.344370860927152</v>
      </c>
      <c r="L533" s="21" t="n">
        <f aca="false">AVERAGEIFS($K$2:$K$2705,$B$2:$B$2705,B533)</f>
        <v>0.499418664425048</v>
      </c>
      <c r="M533" s="21" t="n">
        <f aca="false">K533-L533</f>
        <v>-0.155047803497896</v>
      </c>
      <c r="N533" s="21" t="n">
        <f aca="false">LN(J533)</f>
        <v>13.0235033774093</v>
      </c>
      <c r="O533" s="21" t="n">
        <f aca="false">AVERAGEIFS($N$2:$N$2705,$B$2:$B$2705,B533)</f>
        <v>13.7205185891078</v>
      </c>
      <c r="P533" s="21" t="n">
        <f aca="false">N533-O533</f>
        <v>-0.697015211698528</v>
      </c>
      <c r="Q533" s="7" t="n">
        <v>0</v>
      </c>
      <c r="R533" s="3" t="n">
        <f aca="false">IF(AND(Q533=1,B533-_xlfn.MINIFS($B$2:$B$2705,$A$2:$A$2705,A533)&lt;10),1,0)</f>
        <v>0</v>
      </c>
      <c r="S533" s="7" t="n">
        <v>0</v>
      </c>
      <c r="T533" s="3" t="n">
        <f aca="false">_xlfn.MINIFS($B$2:$B$2705,$A$2:$A$2705,A533)</f>
        <v>1901</v>
      </c>
      <c r="U533" s="3" t="n">
        <f aca="false">B533-T533</f>
        <v>33</v>
      </c>
      <c r="V533" s="3" t="str">
        <f aca="false">INDEX(Pop_Inputs!$Q$2:$Q$29,MATCH(C533,Pop_Inputs!$A$2:$A$29,0))</f>
        <v>Midwest</v>
      </c>
      <c r="W533" s="30"/>
      <c r="X533" s="3" t="str">
        <f aca="false">IF(W533="","",LN(W533))</f>
        <v/>
      </c>
      <c r="Y533" s="3" t="str">
        <f aca="false">IF(X533="","",X533-AVERAGEIFS($X$2:$X$2705,$B$2:$B$2705,B533))</f>
        <v/>
      </c>
      <c r="Z533" s="21" t="n">
        <f aca="false">P533</f>
        <v>-0.697015211698528</v>
      </c>
      <c r="AA533" s="3" t="n">
        <f aca="false">R533</f>
        <v>0</v>
      </c>
      <c r="AB533" s="21" t="n">
        <f aca="false">P533</f>
        <v>-0.697015211698528</v>
      </c>
      <c r="AC533" s="3" t="str">
        <f aca="false">Y533</f>
        <v/>
      </c>
      <c r="AD533" s="3" t="n">
        <f aca="false">R533</f>
        <v>0</v>
      </c>
    </row>
    <row r="534" customFormat="false" ht="15" hidden="false" customHeight="true" outlineLevel="0" collapsed="false">
      <c r="A534" s="7" t="s">
        <v>66</v>
      </c>
      <c r="B534" s="7" t="n">
        <v>1934</v>
      </c>
      <c r="C534" s="7" t="s">
        <v>151</v>
      </c>
      <c r="D534" s="7" t="n">
        <v>85</v>
      </c>
      <c r="E534" s="7" t="n">
        <v>69</v>
      </c>
      <c r="F534" s="3" t="n">
        <f aca="false">COUNTIFS($B$2:$B$2705,B534,$C$2:$C$2705,C534)</f>
        <v>1</v>
      </c>
      <c r="G534" s="3" t="n">
        <f aca="false">MIN(INT((MIN(B534,2020)-1900)/10)+1,12)</f>
        <v>4</v>
      </c>
      <c r="H534" s="3" t="n">
        <f aca="false">(MIN(B534,2020)-1900-10*(G534-1))/10</f>
        <v>0.4</v>
      </c>
      <c r="I534" s="20" t="n">
        <f aca="false">EXP(LN(INDEX(Pop_Inputs!$B$2:$N$29,MATCH(C534,Pop_Inputs!$A$2:$A$29,0),G534))*(1-H534)+LN(INDEX(Pop_Inputs!$B$2:$N$29,MATCH(C534,Pop_Inputs!$A$2:$A$29,0),G534+1))*H534)</f>
        <v>891525.88587358</v>
      </c>
      <c r="J534" s="20" t="n">
        <f aca="false">I534/F534</f>
        <v>891525.88587358</v>
      </c>
      <c r="K534" s="21" t="n">
        <f aca="false">D534/(D534+E534)</f>
        <v>0.551948051948052</v>
      </c>
      <c r="L534" s="21" t="n">
        <f aca="false">AVERAGEIFS($K$2:$K$2705,$B$2:$B$2705,B534)</f>
        <v>0.499418664425048</v>
      </c>
      <c r="M534" s="21" t="n">
        <f aca="false">K534-L534</f>
        <v>0.0525293875230037</v>
      </c>
      <c r="N534" s="21" t="n">
        <f aca="false">LN(J534)</f>
        <v>13.7006897521774</v>
      </c>
      <c r="O534" s="21" t="n">
        <f aca="false">AVERAGEIFS($N$2:$N$2705,$B$2:$B$2705,B534)</f>
        <v>13.7205185891078</v>
      </c>
      <c r="P534" s="21" t="n">
        <f aca="false">N534-O534</f>
        <v>-0.0198288369304169</v>
      </c>
      <c r="Q534" s="7" t="n">
        <v>0</v>
      </c>
      <c r="R534" s="3" t="n">
        <f aca="false">IF(AND(Q534=1,B534-_xlfn.MINIFS($B$2:$B$2705,$A$2:$A$2705,A534)&lt;10),1,0)</f>
        <v>0</v>
      </c>
      <c r="S534" s="7" t="n">
        <v>0</v>
      </c>
      <c r="T534" s="3" t="n">
        <f aca="false">_xlfn.MINIFS($B$2:$B$2705,$A$2:$A$2705,A534)</f>
        <v>1901</v>
      </c>
      <c r="U534" s="3" t="n">
        <f aca="false">B534-T534</f>
        <v>33</v>
      </c>
      <c r="V534" s="3" t="str">
        <f aca="false">INDEX(Pop_Inputs!$Q$2:$Q$29,MATCH(C534,Pop_Inputs!$A$2:$A$29,0))</f>
        <v>Midwest</v>
      </c>
      <c r="W534" s="30"/>
      <c r="X534" s="3" t="str">
        <f aca="false">IF(W534="","",LN(W534))</f>
        <v/>
      </c>
      <c r="Y534" s="3" t="str">
        <f aca="false">IF(X534="","",X534-AVERAGEIFS($X$2:$X$2705,$B$2:$B$2705,B534))</f>
        <v/>
      </c>
      <c r="Z534" s="21" t="n">
        <f aca="false">P534</f>
        <v>-0.0198288369304169</v>
      </c>
      <c r="AA534" s="3" t="n">
        <f aca="false">R534</f>
        <v>0</v>
      </c>
      <c r="AB534" s="21" t="n">
        <f aca="false">P534</f>
        <v>-0.0198288369304169</v>
      </c>
      <c r="AC534" s="3" t="str">
        <f aca="false">Y534</f>
        <v/>
      </c>
      <c r="AD534" s="3" t="n">
        <f aca="false">R534</f>
        <v>0</v>
      </c>
    </row>
    <row r="535" customFormat="false" ht="15" hidden="false" customHeight="true" outlineLevel="0" collapsed="false">
      <c r="A535" s="7" t="s">
        <v>67</v>
      </c>
      <c r="B535" s="7" t="n">
        <v>1934</v>
      </c>
      <c r="C535" s="7" t="s">
        <v>152</v>
      </c>
      <c r="D535" s="7" t="n">
        <v>101</v>
      </c>
      <c r="E535" s="7" t="n">
        <v>53</v>
      </c>
      <c r="F535" s="3" t="n">
        <f aca="false">COUNTIFS($B$2:$B$2705,B535,$C$2:$C$2705,C535)</f>
        <v>1</v>
      </c>
      <c r="G535" s="3" t="n">
        <f aca="false">MIN(INT((MIN(B535,2020)-1900)/10)+1,12)</f>
        <v>4</v>
      </c>
      <c r="H535" s="3" t="n">
        <f aca="false">(MIN(B535,2020)-1900-10*(G535-1))/10</f>
        <v>0.4</v>
      </c>
      <c r="I535" s="20" t="n">
        <f aca="false">EXP(LN(INDEX(Pop_Inputs!$B$2:$N$29,MATCH(C535,Pop_Inputs!$A$2:$A$29,0),G535))*(1-H535)+LN(INDEX(Pop_Inputs!$B$2:$N$29,MATCH(C535,Pop_Inputs!$A$2:$A$29,0),G535+1))*H535)</f>
        <v>1590352.5394384</v>
      </c>
      <c r="J535" s="20" t="n">
        <f aca="false">I535/F535</f>
        <v>1590352.5394384</v>
      </c>
      <c r="K535" s="21" t="n">
        <f aca="false">D535/(D535+E535)</f>
        <v>0.655844155844156</v>
      </c>
      <c r="L535" s="21" t="n">
        <f aca="false">AVERAGEIFS($K$2:$K$2705,$B$2:$B$2705,B535)</f>
        <v>0.499418664425048</v>
      </c>
      <c r="M535" s="21" t="n">
        <f aca="false">K535-L535</f>
        <v>0.156425491419108</v>
      </c>
      <c r="N535" s="21" t="n">
        <f aca="false">LN(J535)</f>
        <v>14.2794662725368</v>
      </c>
      <c r="O535" s="21" t="n">
        <f aca="false">AVERAGEIFS($N$2:$N$2705,$B$2:$B$2705,B535)</f>
        <v>13.7205185891078</v>
      </c>
      <c r="P535" s="21" t="n">
        <f aca="false">N535-O535</f>
        <v>0.558947683428944</v>
      </c>
      <c r="Q535" s="7" t="n">
        <v>0</v>
      </c>
      <c r="R535" s="3" t="n">
        <f aca="false">IF(AND(Q535=1,B535-_xlfn.MINIFS($B$2:$B$2705,$A$2:$A$2705,A535)&lt;10),1,0)</f>
        <v>0</v>
      </c>
      <c r="S535" s="7" t="n">
        <v>0</v>
      </c>
      <c r="T535" s="3" t="n">
        <f aca="false">_xlfn.MINIFS($B$2:$B$2705,$A$2:$A$2705,A535)</f>
        <v>1901</v>
      </c>
      <c r="U535" s="3" t="n">
        <f aca="false">B535-T535</f>
        <v>33</v>
      </c>
      <c r="V535" s="3" t="str">
        <f aca="false">INDEX(Pop_Inputs!$Q$2:$Q$29,MATCH(C535,Pop_Inputs!$A$2:$A$29,0))</f>
        <v>Midwest</v>
      </c>
      <c r="W535" s="30"/>
      <c r="X535" s="3" t="str">
        <f aca="false">IF(W535="","",LN(W535))</f>
        <v/>
      </c>
      <c r="Y535" s="3" t="str">
        <f aca="false">IF(X535="","",X535-AVERAGEIFS($X$2:$X$2705,$B$2:$B$2705,B535))</f>
        <v/>
      </c>
      <c r="Z535" s="21" t="n">
        <f aca="false">P535</f>
        <v>0.558947683428944</v>
      </c>
      <c r="AA535" s="3" t="n">
        <f aca="false">R535</f>
        <v>0</v>
      </c>
      <c r="AB535" s="21" t="n">
        <f aca="false">P535</f>
        <v>0.558947683428944</v>
      </c>
      <c r="AC535" s="3" t="str">
        <f aca="false">Y535</f>
        <v/>
      </c>
      <c r="AD535" s="3" t="n">
        <f aca="false">R535</f>
        <v>0</v>
      </c>
    </row>
    <row r="536" customFormat="false" ht="15" hidden="false" customHeight="true" outlineLevel="0" collapsed="false">
      <c r="A536" s="7" t="s">
        <v>62</v>
      </c>
      <c r="B536" s="7" t="n">
        <v>1934</v>
      </c>
      <c r="C536" s="7" t="s">
        <v>154</v>
      </c>
      <c r="D536" s="7" t="n">
        <v>71</v>
      </c>
      <c r="E536" s="7" t="n">
        <v>81</v>
      </c>
      <c r="F536" s="3" t="n">
        <f aca="false">COUNTIFS($B$2:$B$2705,B536,$C$2:$C$2705,C536)</f>
        <v>3</v>
      </c>
      <c r="G536" s="3" t="n">
        <f aca="false">MIN(INT((MIN(B536,2020)-1900)/10)+1,12)</f>
        <v>4</v>
      </c>
      <c r="H536" s="3" t="n">
        <f aca="false">(MIN(B536,2020)-1900-10*(G536-1))/10</f>
        <v>0.4</v>
      </c>
      <c r="I536" s="20" t="n">
        <f aca="false">EXP(LN(INDEX(Pop_Inputs!$B$2:$N$29,MATCH(C536,Pop_Inputs!$A$2:$A$29,0),G536))*(1-H536)+LN(INDEX(Pop_Inputs!$B$2:$N$29,MATCH(C536,Pop_Inputs!$A$2:$A$29,0),G536+1))*H536)</f>
        <v>7135684.71800286</v>
      </c>
      <c r="J536" s="20" t="n">
        <f aca="false">I536/F536</f>
        <v>2378561.57266762</v>
      </c>
      <c r="K536" s="21" t="n">
        <f aca="false">D536/(D536+E536)</f>
        <v>0.467105263157895</v>
      </c>
      <c r="L536" s="21" t="n">
        <f aca="false">AVERAGEIFS($K$2:$K$2705,$B$2:$B$2705,B536)</f>
        <v>0.499418664425048</v>
      </c>
      <c r="M536" s="21" t="n">
        <f aca="false">K536-L536</f>
        <v>-0.0323134012671535</v>
      </c>
      <c r="N536" s="21" t="n">
        <f aca="false">LN(J536)</f>
        <v>14.6820064817036</v>
      </c>
      <c r="O536" s="21" t="n">
        <f aca="false">AVERAGEIFS($N$2:$N$2705,$B$2:$B$2705,B536)</f>
        <v>13.7205185891078</v>
      </c>
      <c r="P536" s="21" t="n">
        <f aca="false">N536-O536</f>
        <v>0.961487892595796</v>
      </c>
      <c r="Q536" s="7" t="n">
        <v>0</v>
      </c>
      <c r="R536" s="3" t="n">
        <f aca="false">IF(AND(Q536=1,B536-_xlfn.MINIFS($B$2:$B$2705,$A$2:$A$2705,A536)&lt;10),1,0)</f>
        <v>0</v>
      </c>
      <c r="S536" s="7" t="n">
        <v>0</v>
      </c>
      <c r="T536" s="3" t="n">
        <f aca="false">_xlfn.MINIFS($B$2:$B$2705,$A$2:$A$2705,A536)</f>
        <v>1901</v>
      </c>
      <c r="U536" s="3" t="n">
        <f aca="false">B536-T536</f>
        <v>33</v>
      </c>
      <c r="V536" s="3" t="str">
        <f aca="false">INDEX(Pop_Inputs!$Q$2:$Q$29,MATCH(C536,Pop_Inputs!$A$2:$A$29,0))</f>
        <v>Northeast</v>
      </c>
      <c r="W536" s="30"/>
      <c r="X536" s="3" t="str">
        <f aca="false">IF(W536="","",LN(W536))</f>
        <v/>
      </c>
      <c r="Y536" s="3" t="str">
        <f aca="false">IF(X536="","",X536-AVERAGEIFS($X$2:$X$2705,$B$2:$B$2705,B536))</f>
        <v/>
      </c>
      <c r="Z536" s="21" t="n">
        <f aca="false">P536</f>
        <v>0.961487892595796</v>
      </c>
      <c r="AA536" s="3" t="n">
        <f aca="false">R536</f>
        <v>0</v>
      </c>
      <c r="AB536" s="21" t="n">
        <f aca="false">P536</f>
        <v>0.961487892595796</v>
      </c>
      <c r="AC536" s="3" t="str">
        <f aca="false">Y536</f>
        <v/>
      </c>
      <c r="AD536" s="3" t="n">
        <f aca="false">R536</f>
        <v>0</v>
      </c>
    </row>
    <row r="537" customFormat="false" ht="15" hidden="false" customHeight="true" outlineLevel="0" collapsed="false">
      <c r="A537" s="7" t="s">
        <v>68</v>
      </c>
      <c r="B537" s="7" t="n">
        <v>1934</v>
      </c>
      <c r="C537" s="7" t="s">
        <v>160</v>
      </c>
      <c r="D537" s="7" t="n">
        <v>66</v>
      </c>
      <c r="E537" s="7" t="n">
        <v>86</v>
      </c>
      <c r="F537" s="3" t="n">
        <f aca="false">COUNTIFS($B$2:$B$2705,B537,$C$2:$C$2705,C537)</f>
        <v>1</v>
      </c>
      <c r="G537" s="3" t="n">
        <f aca="false">MIN(INT((MIN(B537,2020)-1900)/10)+1,12)</f>
        <v>4</v>
      </c>
      <c r="H537" s="3" t="n">
        <f aca="false">(MIN(B537,2020)-1900-10*(G537-1))/10</f>
        <v>0.4</v>
      </c>
      <c r="I537" s="20" t="n">
        <f aca="false">EXP(LN(INDEX(Pop_Inputs!$B$2:$N$29,MATCH(C537,Pop_Inputs!$A$2:$A$29,0),G537))*(1-H537)+LN(INDEX(Pop_Inputs!$B$2:$N$29,MATCH(C537,Pop_Inputs!$A$2:$A$29,0),G537+1))*H537)</f>
        <v>550904.762894561</v>
      </c>
      <c r="J537" s="20" t="n">
        <f aca="false">I537/F537</f>
        <v>550904.762894561</v>
      </c>
      <c r="K537" s="21" t="n">
        <f aca="false">D537/(D537+E537)</f>
        <v>0.43421052631579</v>
      </c>
      <c r="L537" s="21" t="n">
        <f aca="false">AVERAGEIFS($K$2:$K$2705,$B$2:$B$2705,B537)</f>
        <v>0.499418664425048</v>
      </c>
      <c r="M537" s="21" t="n">
        <f aca="false">K537-L537</f>
        <v>-0.0652081381092588</v>
      </c>
      <c r="N537" s="21" t="n">
        <f aca="false">LN(J537)</f>
        <v>13.2193172290843</v>
      </c>
      <c r="O537" s="21" t="n">
        <f aca="false">AVERAGEIFS($N$2:$N$2705,$B$2:$B$2705,B537)</f>
        <v>13.7205185891078</v>
      </c>
      <c r="P537" s="21" t="n">
        <f aca="false">N537-O537</f>
        <v>-0.501201360023527</v>
      </c>
      <c r="Q537" s="7" t="n">
        <v>0</v>
      </c>
      <c r="R537" s="3" t="n">
        <f aca="false">IF(AND(Q537=1,B537-_xlfn.MINIFS($B$2:$B$2705,$A$2:$A$2705,A537)&lt;10),1,0)</f>
        <v>0</v>
      </c>
      <c r="S537" s="7" t="n">
        <v>0</v>
      </c>
      <c r="T537" s="3" t="n">
        <f aca="false">_xlfn.MINIFS($B$2:$B$2705,$A$2:$A$2705,A537)</f>
        <v>1901</v>
      </c>
      <c r="U537" s="3" t="n">
        <f aca="false">B537-T537</f>
        <v>33</v>
      </c>
      <c r="V537" s="3" t="str">
        <f aca="false">INDEX(Pop_Inputs!$Q$2:$Q$29,MATCH(C537,Pop_Inputs!$A$2:$A$29,0))</f>
        <v>South</v>
      </c>
      <c r="W537" s="30"/>
      <c r="X537" s="3" t="str">
        <f aca="false">IF(W537="","",LN(W537))</f>
        <v/>
      </c>
      <c r="Y537" s="3" t="str">
        <f aca="false">IF(X537="","",X537-AVERAGEIFS($X$2:$X$2705,$B$2:$B$2705,B537))</f>
        <v/>
      </c>
      <c r="Z537" s="21" t="n">
        <f aca="false">P537</f>
        <v>-0.501201360023527</v>
      </c>
      <c r="AA537" s="3" t="n">
        <f aca="false">R537</f>
        <v>0</v>
      </c>
      <c r="AB537" s="21" t="n">
        <f aca="false">P537</f>
        <v>-0.501201360023527</v>
      </c>
      <c r="AC537" s="3" t="str">
        <f aca="false">Y537</f>
        <v/>
      </c>
      <c r="AD537" s="3" t="n">
        <f aca="false">R537</f>
        <v>0</v>
      </c>
    </row>
    <row r="538" customFormat="false" ht="15" hidden="false" customHeight="true" outlineLevel="0" collapsed="false">
      <c r="A538" s="7" t="s">
        <v>70</v>
      </c>
      <c r="B538" s="7" t="n">
        <v>1934</v>
      </c>
      <c r="C538" s="7" t="s">
        <v>154</v>
      </c>
      <c r="D538" s="7" t="n">
        <v>94</v>
      </c>
      <c r="E538" s="7" t="n">
        <v>60</v>
      </c>
      <c r="F538" s="3" t="n">
        <f aca="false">COUNTIFS($B$2:$B$2705,B538,$C$2:$C$2705,C538)</f>
        <v>3</v>
      </c>
      <c r="G538" s="3" t="n">
        <f aca="false">MIN(INT((MIN(B538,2020)-1900)/10)+1,12)</f>
        <v>4</v>
      </c>
      <c r="H538" s="3" t="n">
        <f aca="false">(MIN(B538,2020)-1900-10*(G538-1))/10</f>
        <v>0.4</v>
      </c>
      <c r="I538" s="20" t="n">
        <f aca="false">EXP(LN(INDEX(Pop_Inputs!$B$2:$N$29,MATCH(C538,Pop_Inputs!$A$2:$A$29,0),G538))*(1-H538)+LN(INDEX(Pop_Inputs!$B$2:$N$29,MATCH(C538,Pop_Inputs!$A$2:$A$29,0),G538+1))*H538)</f>
        <v>7135684.71800286</v>
      </c>
      <c r="J538" s="20" t="n">
        <f aca="false">I538/F538</f>
        <v>2378561.57266762</v>
      </c>
      <c r="K538" s="21" t="n">
        <f aca="false">D538/(D538+E538)</f>
        <v>0.61038961038961</v>
      </c>
      <c r="L538" s="21" t="n">
        <f aca="false">AVERAGEIFS($K$2:$K$2705,$B$2:$B$2705,B538)</f>
        <v>0.499418664425048</v>
      </c>
      <c r="M538" s="21" t="n">
        <f aca="false">K538-L538</f>
        <v>0.110970945964562</v>
      </c>
      <c r="N538" s="21" t="n">
        <f aca="false">LN(J538)</f>
        <v>14.6820064817036</v>
      </c>
      <c r="O538" s="21" t="n">
        <f aca="false">AVERAGEIFS($N$2:$N$2705,$B$2:$B$2705,B538)</f>
        <v>13.7205185891078</v>
      </c>
      <c r="P538" s="21" t="n">
        <f aca="false">N538-O538</f>
        <v>0.961487892595796</v>
      </c>
      <c r="Q538" s="7" t="n">
        <v>0</v>
      </c>
      <c r="R538" s="3" t="n">
        <f aca="false">IF(AND(Q538=1,B538-_xlfn.MINIFS($B$2:$B$2705,$A$2:$A$2705,A538)&lt;10),1,0)</f>
        <v>0</v>
      </c>
      <c r="S538" s="7" t="n">
        <v>1</v>
      </c>
      <c r="T538" s="3" t="n">
        <f aca="false">_xlfn.MINIFS($B$2:$B$2705,$A$2:$A$2705,A538)</f>
        <v>1903</v>
      </c>
      <c r="U538" s="3" t="n">
        <f aca="false">B538-T538</f>
        <v>31</v>
      </c>
      <c r="V538" s="3" t="str">
        <f aca="false">INDEX(Pop_Inputs!$Q$2:$Q$29,MATCH(C538,Pop_Inputs!$A$2:$A$29,0))</f>
        <v>Northeast</v>
      </c>
      <c r="W538" s="30"/>
      <c r="X538" s="3" t="str">
        <f aca="false">IF(W538="","",LN(W538))</f>
        <v/>
      </c>
      <c r="Y538" s="3" t="str">
        <f aca="false">IF(X538="","",X538-AVERAGEIFS($X$2:$X$2705,$B$2:$B$2705,B538))</f>
        <v/>
      </c>
      <c r="Z538" s="21" t="n">
        <f aca="false">P538</f>
        <v>0.961487892595796</v>
      </c>
      <c r="AA538" s="3" t="n">
        <f aca="false">R538</f>
        <v>0</v>
      </c>
      <c r="AB538" s="21" t="n">
        <f aca="false">P538</f>
        <v>0.961487892595796</v>
      </c>
      <c r="AC538" s="3" t="str">
        <f aca="false">Y538</f>
        <v/>
      </c>
      <c r="AD538" s="3" t="n">
        <f aca="false">R538</f>
        <v>0</v>
      </c>
    </row>
    <row r="539" customFormat="false" ht="15" hidden="false" customHeight="true" outlineLevel="0" collapsed="false">
      <c r="A539" s="7" t="s">
        <v>69</v>
      </c>
      <c r="B539" s="7" t="n">
        <v>1934</v>
      </c>
      <c r="C539" s="7" t="s">
        <v>146</v>
      </c>
      <c r="D539" s="7" t="n">
        <v>68</v>
      </c>
      <c r="E539" s="7" t="n">
        <v>82</v>
      </c>
      <c r="F539" s="3" t="n">
        <f aca="false">COUNTIFS($B$2:$B$2705,B539,$C$2:$C$2705,C539)</f>
        <v>2</v>
      </c>
      <c r="G539" s="3" t="n">
        <f aca="false">MIN(INT((MIN(B539,2020)-1900)/10)+1,12)</f>
        <v>4</v>
      </c>
      <c r="H539" s="3" t="n">
        <f aca="false">(MIN(B539,2020)-1900-10*(G539-1))/10</f>
        <v>0.4</v>
      </c>
      <c r="I539" s="20" t="n">
        <f aca="false">EXP(LN(INDEX(Pop_Inputs!$B$2:$N$29,MATCH(C539,Pop_Inputs!$A$2:$A$29,0),G539))*(1-H539)+LN(INDEX(Pop_Inputs!$B$2:$N$29,MATCH(C539,Pop_Inputs!$A$2:$A$29,0),G539+1))*H539)</f>
        <v>1943086.37791803</v>
      </c>
      <c r="J539" s="20" t="n">
        <f aca="false">I539/F539</f>
        <v>971543.188959017</v>
      </c>
      <c r="K539" s="21" t="n">
        <f aca="false">D539/(D539+E539)</f>
        <v>0.453333333333333</v>
      </c>
      <c r="L539" s="21" t="n">
        <f aca="false">AVERAGEIFS($K$2:$K$2705,$B$2:$B$2705,B539)</f>
        <v>0.499418664425048</v>
      </c>
      <c r="M539" s="21" t="n">
        <f aca="false">K539-L539</f>
        <v>-0.046085331091715</v>
      </c>
      <c r="N539" s="21" t="n">
        <f aca="false">LN(J539)</f>
        <v>13.7866410027652</v>
      </c>
      <c r="O539" s="21" t="n">
        <f aca="false">AVERAGEIFS($N$2:$N$2705,$B$2:$B$2705,B539)</f>
        <v>13.7205185891078</v>
      </c>
      <c r="P539" s="21" t="n">
        <f aca="false">N539-O539</f>
        <v>0.0661224136573821</v>
      </c>
      <c r="Q539" s="7" t="n">
        <v>0</v>
      </c>
      <c r="R539" s="3" t="n">
        <f aca="false">IF(AND(Q539=1,B539-_xlfn.MINIFS($B$2:$B$2705,$A$2:$A$2705,A539)&lt;10),1,0)</f>
        <v>0</v>
      </c>
      <c r="S539" s="7" t="n">
        <v>0</v>
      </c>
      <c r="T539" s="3" t="n">
        <f aca="false">_xlfn.MINIFS($B$2:$B$2705,$A$2:$A$2705,A539)</f>
        <v>1901</v>
      </c>
      <c r="U539" s="3" t="n">
        <f aca="false">B539-T539</f>
        <v>33</v>
      </c>
      <c r="V539" s="3" t="str">
        <f aca="false">INDEX(Pop_Inputs!$Q$2:$Q$29,MATCH(C539,Pop_Inputs!$A$2:$A$29,0))</f>
        <v>Northeast</v>
      </c>
      <c r="W539" s="30"/>
      <c r="X539" s="3" t="str">
        <f aca="false">IF(W539="","",LN(W539))</f>
        <v/>
      </c>
      <c r="Y539" s="3" t="str">
        <f aca="false">IF(X539="","",X539-AVERAGEIFS($X$2:$X$2705,$B$2:$B$2705,B539))</f>
        <v/>
      </c>
      <c r="Z539" s="21" t="n">
        <f aca="false">P539</f>
        <v>0.0661224136573821</v>
      </c>
      <c r="AA539" s="3" t="n">
        <f aca="false">R539</f>
        <v>0</v>
      </c>
      <c r="AB539" s="21" t="n">
        <f aca="false">P539</f>
        <v>0.0661224136573821</v>
      </c>
      <c r="AC539" s="3" t="str">
        <f aca="false">Y539</f>
        <v/>
      </c>
      <c r="AD539" s="3" t="n">
        <f aca="false">R539</f>
        <v>0</v>
      </c>
    </row>
    <row r="540" customFormat="false" ht="15" hidden="false" customHeight="true" outlineLevel="0" collapsed="false">
      <c r="A540" s="7" t="s">
        <v>60</v>
      </c>
      <c r="B540" s="7" t="n">
        <v>1934</v>
      </c>
      <c r="C540" s="7" t="s">
        <v>146</v>
      </c>
      <c r="D540" s="7" t="n">
        <v>56</v>
      </c>
      <c r="E540" s="7" t="n">
        <v>93</v>
      </c>
      <c r="F540" s="3" t="n">
        <f aca="false">COUNTIFS($B$2:$B$2705,B540,$C$2:$C$2705,C540)</f>
        <v>2</v>
      </c>
      <c r="G540" s="3" t="n">
        <f aca="false">MIN(INT((MIN(B540,2020)-1900)/10)+1,12)</f>
        <v>4</v>
      </c>
      <c r="H540" s="3" t="n">
        <f aca="false">(MIN(B540,2020)-1900-10*(G540-1))/10</f>
        <v>0.4</v>
      </c>
      <c r="I540" s="20" t="n">
        <f aca="false">EXP(LN(INDEX(Pop_Inputs!$B$2:$N$29,MATCH(C540,Pop_Inputs!$A$2:$A$29,0),G540))*(1-H540)+LN(INDEX(Pop_Inputs!$B$2:$N$29,MATCH(C540,Pop_Inputs!$A$2:$A$29,0),G540+1))*H540)</f>
        <v>1943086.37791803</v>
      </c>
      <c r="J540" s="20" t="n">
        <f aca="false">I540/F540</f>
        <v>971543.188959017</v>
      </c>
      <c r="K540" s="21" t="n">
        <f aca="false">D540/(D540+E540)</f>
        <v>0.375838926174497</v>
      </c>
      <c r="L540" s="21" t="n">
        <f aca="false">AVERAGEIFS($K$2:$K$2705,$B$2:$B$2705,B540)</f>
        <v>0.499418664425048</v>
      </c>
      <c r="M540" s="21" t="n">
        <f aca="false">K540-L540</f>
        <v>-0.123579738250552</v>
      </c>
      <c r="N540" s="21" t="n">
        <f aca="false">LN(J540)</f>
        <v>13.7866410027652</v>
      </c>
      <c r="O540" s="21" t="n">
        <f aca="false">AVERAGEIFS($N$2:$N$2705,$B$2:$B$2705,B540)</f>
        <v>13.7205185891078</v>
      </c>
      <c r="P540" s="21" t="n">
        <f aca="false">N540-O540</f>
        <v>0.0661224136573821</v>
      </c>
      <c r="Q540" s="7" t="n">
        <v>0</v>
      </c>
      <c r="R540" s="3" t="n">
        <f aca="false">IF(AND(Q540=1,B540-_xlfn.MINIFS($B$2:$B$2705,$A$2:$A$2705,A540)&lt;10),1,0)</f>
        <v>0</v>
      </c>
      <c r="S540" s="7" t="n">
        <v>0</v>
      </c>
      <c r="T540" s="3" t="n">
        <f aca="false">_xlfn.MINIFS($B$2:$B$2705,$A$2:$A$2705,A540)</f>
        <v>1901</v>
      </c>
      <c r="U540" s="3" t="n">
        <f aca="false">B540-T540</f>
        <v>33</v>
      </c>
      <c r="V540" s="3" t="str">
        <f aca="false">INDEX(Pop_Inputs!$Q$2:$Q$29,MATCH(C540,Pop_Inputs!$A$2:$A$29,0))</f>
        <v>Northeast</v>
      </c>
      <c r="W540" s="30"/>
      <c r="X540" s="3" t="str">
        <f aca="false">IF(W540="","",LN(W540))</f>
        <v/>
      </c>
      <c r="Y540" s="3" t="str">
        <f aca="false">IF(X540="","",X540-AVERAGEIFS($X$2:$X$2705,$B$2:$B$2705,B540))</f>
        <v/>
      </c>
      <c r="Z540" s="21" t="n">
        <f aca="false">P540</f>
        <v>0.0661224136573821</v>
      </c>
      <c r="AA540" s="3" t="n">
        <f aca="false">R540</f>
        <v>0</v>
      </c>
      <c r="AB540" s="21" t="n">
        <f aca="false">P540</f>
        <v>0.0661224136573821</v>
      </c>
      <c r="AC540" s="3" t="str">
        <f aca="false">Y540</f>
        <v/>
      </c>
      <c r="AD540" s="3" t="n">
        <f aca="false">R540</f>
        <v>0</v>
      </c>
    </row>
    <row r="541" customFormat="false" ht="15" hidden="false" customHeight="true" outlineLevel="0" collapsed="false">
      <c r="A541" s="7" t="s">
        <v>58</v>
      </c>
      <c r="B541" s="7" t="n">
        <v>1934</v>
      </c>
      <c r="C541" s="7" t="s">
        <v>144</v>
      </c>
      <c r="D541" s="7" t="n">
        <v>74</v>
      </c>
      <c r="E541" s="7" t="n">
        <v>76</v>
      </c>
      <c r="F541" s="3" t="n">
        <f aca="false">COUNTIFS($B$2:$B$2705,B541,$C$2:$C$2705,C541)</f>
        <v>1</v>
      </c>
      <c r="G541" s="3" t="n">
        <f aca="false">MIN(INT((MIN(B541,2020)-1900)/10)+1,12)</f>
        <v>4</v>
      </c>
      <c r="H541" s="3" t="n">
        <f aca="false">(MIN(B541,2020)-1900-10*(G541-1))/10</f>
        <v>0.4</v>
      </c>
      <c r="I541" s="20" t="n">
        <f aca="false">EXP(LN(INDEX(Pop_Inputs!$B$2:$N$29,MATCH(C541,Pop_Inputs!$A$2:$A$29,0),G541))*(1-H541)+LN(INDEX(Pop_Inputs!$B$2:$N$29,MATCH(C541,Pop_Inputs!$A$2:$A$29,0),G541+1))*H541)</f>
        <v>670553.193028869</v>
      </c>
      <c r="J541" s="20" t="n">
        <f aca="false">I541/F541</f>
        <v>670553.193028869</v>
      </c>
      <c r="K541" s="21" t="n">
        <f aca="false">D541/(D541+E541)</f>
        <v>0.493333333333333</v>
      </c>
      <c r="L541" s="21" t="n">
        <f aca="false">AVERAGEIFS($K$2:$K$2705,$B$2:$B$2705,B541)</f>
        <v>0.499418664425048</v>
      </c>
      <c r="M541" s="21" t="n">
        <f aca="false">K541-L541</f>
        <v>-0.00608533109171494</v>
      </c>
      <c r="N541" s="21" t="n">
        <f aca="false">LN(J541)</f>
        <v>13.4158583119335</v>
      </c>
      <c r="O541" s="21" t="n">
        <f aca="false">AVERAGEIFS($N$2:$N$2705,$B$2:$B$2705,B541)</f>
        <v>13.7205185891078</v>
      </c>
      <c r="P541" s="21" t="n">
        <f aca="false">N541-O541</f>
        <v>-0.304660277174277</v>
      </c>
      <c r="Q541" s="7" t="n">
        <v>0</v>
      </c>
      <c r="R541" s="3" t="n">
        <f aca="false">IF(AND(Q541=1,B541-_xlfn.MINIFS($B$2:$B$2705,$A$2:$A$2705,A541)&lt;10),1,0)</f>
        <v>0</v>
      </c>
      <c r="S541" s="7" t="n">
        <v>0</v>
      </c>
      <c r="T541" s="3" t="n">
        <f aca="false">_xlfn.MINIFS($B$2:$B$2705,$A$2:$A$2705,A541)</f>
        <v>1901</v>
      </c>
      <c r="U541" s="3" t="n">
        <f aca="false">B541-T541</f>
        <v>33</v>
      </c>
      <c r="V541" s="3" t="str">
        <f aca="false">INDEX(Pop_Inputs!$Q$2:$Q$29,MATCH(C541,Pop_Inputs!$A$2:$A$29,0))</f>
        <v>Northeast</v>
      </c>
      <c r="W541" s="30"/>
      <c r="X541" s="3" t="str">
        <f aca="false">IF(W541="","",LN(W541))</f>
        <v/>
      </c>
      <c r="Y541" s="3" t="str">
        <f aca="false">IF(X541="","",X541-AVERAGEIFS($X$2:$X$2705,$B$2:$B$2705,B541))</f>
        <v/>
      </c>
      <c r="Z541" s="21" t="n">
        <f aca="false">P541</f>
        <v>-0.304660277174277</v>
      </c>
      <c r="AA541" s="3" t="n">
        <f aca="false">R541</f>
        <v>0</v>
      </c>
      <c r="AB541" s="21" t="n">
        <f aca="false">P541</f>
        <v>-0.304660277174277</v>
      </c>
      <c r="AC541" s="3" t="str">
        <f aca="false">Y541</f>
        <v/>
      </c>
      <c r="AD541" s="3" t="n">
        <f aca="false">R541</f>
        <v>0</v>
      </c>
    </row>
    <row r="542" customFormat="false" ht="15" hidden="false" customHeight="true" outlineLevel="0" collapsed="false">
      <c r="A542" s="7" t="s">
        <v>61</v>
      </c>
      <c r="B542" s="7" t="n">
        <v>1934</v>
      </c>
      <c r="C542" s="7" t="s">
        <v>154</v>
      </c>
      <c r="D542" s="7" t="n">
        <v>93</v>
      </c>
      <c r="E542" s="7" t="n">
        <v>60</v>
      </c>
      <c r="F542" s="3" t="n">
        <f aca="false">COUNTIFS($B$2:$B$2705,B542,$C$2:$C$2705,C542)</f>
        <v>3</v>
      </c>
      <c r="G542" s="3" t="n">
        <f aca="false">MIN(INT((MIN(B542,2020)-1900)/10)+1,12)</f>
        <v>4</v>
      </c>
      <c r="H542" s="3" t="n">
        <f aca="false">(MIN(B542,2020)-1900-10*(G542-1))/10</f>
        <v>0.4</v>
      </c>
      <c r="I542" s="20" t="n">
        <f aca="false">EXP(LN(INDEX(Pop_Inputs!$B$2:$N$29,MATCH(C542,Pop_Inputs!$A$2:$A$29,0),G542))*(1-H542)+LN(INDEX(Pop_Inputs!$B$2:$N$29,MATCH(C542,Pop_Inputs!$A$2:$A$29,0),G542+1))*H542)</f>
        <v>7135684.71800286</v>
      </c>
      <c r="J542" s="20" t="n">
        <f aca="false">I542/F542</f>
        <v>2378561.57266762</v>
      </c>
      <c r="K542" s="21" t="n">
        <f aca="false">D542/(D542+E542)</f>
        <v>0.607843137254902</v>
      </c>
      <c r="L542" s="21" t="n">
        <f aca="false">AVERAGEIFS($K$2:$K$2705,$B$2:$B$2705,B542)</f>
        <v>0.499418664425048</v>
      </c>
      <c r="M542" s="21" t="n">
        <f aca="false">K542-L542</f>
        <v>0.108424472829854</v>
      </c>
      <c r="N542" s="21" t="n">
        <f aca="false">LN(J542)</f>
        <v>14.6820064817036</v>
      </c>
      <c r="O542" s="21" t="n">
        <f aca="false">AVERAGEIFS($N$2:$N$2705,$B$2:$B$2705,B542)</f>
        <v>13.7205185891078</v>
      </c>
      <c r="P542" s="21" t="n">
        <f aca="false">N542-O542</f>
        <v>0.961487892595796</v>
      </c>
      <c r="Q542" s="7" t="n">
        <v>0</v>
      </c>
      <c r="R542" s="3" t="n">
        <f aca="false">IF(AND(Q542=1,B542-_xlfn.MINIFS($B$2:$B$2705,$A$2:$A$2705,A542)&lt;10),1,0)</f>
        <v>0</v>
      </c>
      <c r="S542" s="7" t="n">
        <v>0</v>
      </c>
      <c r="T542" s="3" t="n">
        <f aca="false">_xlfn.MINIFS($B$2:$B$2705,$A$2:$A$2705,A542)</f>
        <v>1901</v>
      </c>
      <c r="U542" s="3" t="n">
        <f aca="false">B542-T542</f>
        <v>33</v>
      </c>
      <c r="V542" s="3" t="str">
        <f aca="false">INDEX(Pop_Inputs!$Q$2:$Q$29,MATCH(C542,Pop_Inputs!$A$2:$A$29,0))</f>
        <v>Northeast</v>
      </c>
      <c r="W542" s="30"/>
      <c r="X542" s="3" t="str">
        <f aca="false">IF(W542="","",LN(W542))</f>
        <v/>
      </c>
      <c r="Y542" s="3" t="str">
        <f aca="false">IF(X542="","",X542-AVERAGEIFS($X$2:$X$2705,$B$2:$B$2705,B542))</f>
        <v/>
      </c>
      <c r="Z542" s="21" t="n">
        <f aca="false">P542</f>
        <v>0.961487892595796</v>
      </c>
      <c r="AA542" s="3" t="n">
        <f aca="false">R542</f>
        <v>0</v>
      </c>
      <c r="AB542" s="21" t="n">
        <f aca="false">P542</f>
        <v>0.961487892595796</v>
      </c>
      <c r="AC542" s="3" t="str">
        <f aca="false">Y542</f>
        <v/>
      </c>
      <c r="AD542" s="3" t="n">
        <f aca="false">R542</f>
        <v>0</v>
      </c>
    </row>
    <row r="543" customFormat="false" ht="15" hidden="false" customHeight="true" outlineLevel="0" collapsed="false">
      <c r="A543" s="7" t="s">
        <v>59</v>
      </c>
      <c r="B543" s="7" t="n">
        <v>1934</v>
      </c>
      <c r="C543" s="7" t="s">
        <v>145</v>
      </c>
      <c r="D543" s="7" t="n">
        <v>95</v>
      </c>
      <c r="E543" s="7" t="n">
        <v>58</v>
      </c>
      <c r="F543" s="3" t="n">
        <f aca="false">COUNTIFS($B$2:$B$2705,B543,$C$2:$C$2705,C543)</f>
        <v>2</v>
      </c>
      <c r="G543" s="3" t="n">
        <f aca="false">MIN(INT((MIN(B543,2020)-1900)/10)+1,12)</f>
        <v>4</v>
      </c>
      <c r="H543" s="3" t="n">
        <f aca="false">(MIN(B543,2020)-1900-10*(G543-1))/10</f>
        <v>0.4</v>
      </c>
      <c r="I543" s="20" t="n">
        <f aca="false">EXP(LN(INDEX(Pop_Inputs!$B$2:$N$29,MATCH(C543,Pop_Inputs!$A$2:$A$29,0),G543))*(1-H543)+LN(INDEX(Pop_Inputs!$B$2:$N$29,MATCH(C543,Pop_Inputs!$A$2:$A$29,0),G543+1))*H543)</f>
        <v>819590.077641222</v>
      </c>
      <c r="J543" s="20" t="n">
        <f aca="false">I543/F543</f>
        <v>409795.038820611</v>
      </c>
      <c r="K543" s="21" t="n">
        <f aca="false">D543/(D543+E543)</f>
        <v>0.620915032679739</v>
      </c>
      <c r="L543" s="21" t="n">
        <f aca="false">AVERAGEIFS($K$2:$K$2705,$B$2:$B$2705,B543)</f>
        <v>0.499418664425048</v>
      </c>
      <c r="M543" s="21" t="n">
        <f aca="false">K543-L543</f>
        <v>0.12149636825469</v>
      </c>
      <c r="N543" s="21" t="n">
        <f aca="false">LN(J543)</f>
        <v>12.9234124083706</v>
      </c>
      <c r="O543" s="21" t="n">
        <f aca="false">AVERAGEIFS($N$2:$N$2705,$B$2:$B$2705,B543)</f>
        <v>13.7205185891078</v>
      </c>
      <c r="P543" s="21" t="n">
        <f aca="false">N543-O543</f>
        <v>-0.797106180737224</v>
      </c>
      <c r="Q543" s="7" t="n">
        <v>0</v>
      </c>
      <c r="R543" s="3" t="n">
        <f aca="false">IF(AND(Q543=1,B543-_xlfn.MINIFS($B$2:$B$2705,$A$2:$A$2705,A543)&lt;10),1,0)</f>
        <v>0</v>
      </c>
      <c r="S543" s="7" t="n">
        <v>0</v>
      </c>
      <c r="T543" s="3" t="n">
        <f aca="false">_xlfn.MINIFS($B$2:$B$2705,$A$2:$A$2705,A543)</f>
        <v>1901</v>
      </c>
      <c r="U543" s="3" t="n">
        <f aca="false">B543-T543</f>
        <v>33</v>
      </c>
      <c r="V543" s="3" t="str">
        <f aca="false">INDEX(Pop_Inputs!$Q$2:$Q$29,MATCH(C543,Pop_Inputs!$A$2:$A$29,0))</f>
        <v>Midwest</v>
      </c>
      <c r="W543" s="30"/>
      <c r="X543" s="3" t="str">
        <f aca="false">IF(W543="","",LN(W543))</f>
        <v/>
      </c>
      <c r="Y543" s="3" t="str">
        <f aca="false">IF(X543="","",X543-AVERAGEIFS($X$2:$X$2705,$B$2:$B$2705,B543))</f>
        <v/>
      </c>
      <c r="Z543" s="21" t="n">
        <f aca="false">P543</f>
        <v>-0.797106180737224</v>
      </c>
      <c r="AA543" s="3" t="n">
        <f aca="false">R543</f>
        <v>0</v>
      </c>
      <c r="AB543" s="21" t="n">
        <f aca="false">P543</f>
        <v>-0.797106180737224</v>
      </c>
      <c r="AC543" s="3" t="str">
        <f aca="false">Y543</f>
        <v/>
      </c>
      <c r="AD543" s="3" t="n">
        <f aca="false">R543</f>
        <v>0</v>
      </c>
    </row>
    <row r="544" customFormat="false" ht="15" hidden="false" customHeight="true" outlineLevel="0" collapsed="false">
      <c r="A544" s="7" t="s">
        <v>54</v>
      </c>
      <c r="B544" s="7" t="n">
        <v>1935</v>
      </c>
      <c r="C544" s="7" t="s">
        <v>150</v>
      </c>
      <c r="D544" s="7" t="n">
        <v>38</v>
      </c>
      <c r="E544" s="7" t="n">
        <v>115</v>
      </c>
      <c r="F544" s="3" t="n">
        <f aca="false">COUNTIFS($B$2:$B$2705,B544,$C$2:$C$2705,C544)</f>
        <v>2</v>
      </c>
      <c r="G544" s="3" t="n">
        <f aca="false">MIN(INT((MIN(B544,2020)-1900)/10)+1,12)</f>
        <v>4</v>
      </c>
      <c r="H544" s="3" t="n">
        <f aca="false">(MIN(B544,2020)-1900-10*(G544-1))/10</f>
        <v>0.5</v>
      </c>
      <c r="I544" s="20" t="n">
        <f aca="false">EXP(LN(INDEX(Pop_Inputs!$B$2:$N$29,MATCH(C544,Pop_Inputs!$A$2:$A$29,0),G544))*(1-H544)+LN(INDEX(Pop_Inputs!$B$2:$N$29,MATCH(C544,Pop_Inputs!$A$2:$A$29,0),G544+1))*H544)</f>
        <v>775984.670858903</v>
      </c>
      <c r="J544" s="20" t="n">
        <f aca="false">I544/F544</f>
        <v>387992.335429452</v>
      </c>
      <c r="K544" s="21" t="n">
        <f aca="false">D544/(D544+E544)</f>
        <v>0.248366013071895</v>
      </c>
      <c r="L544" s="21" t="n">
        <f aca="false">AVERAGEIFS($K$2:$K$2705,$B$2:$B$2705,B544)</f>
        <v>0.499926406542396</v>
      </c>
      <c r="M544" s="21" t="n">
        <f aca="false">K544-L544</f>
        <v>-0.251560393470501</v>
      </c>
      <c r="N544" s="21" t="n">
        <f aca="false">LN(J544)</f>
        <v>12.8687408643625</v>
      </c>
      <c r="O544" s="21" t="n">
        <f aca="false">AVERAGEIFS($N$2:$N$2705,$B$2:$B$2705,B544)</f>
        <v>13.7236466299563</v>
      </c>
      <c r="P544" s="21" t="n">
        <f aca="false">N544-O544</f>
        <v>-0.854905765593832</v>
      </c>
      <c r="Q544" s="7" t="n">
        <v>0</v>
      </c>
      <c r="R544" s="3" t="n">
        <f aca="false">IF(AND(Q544=1,B544-_xlfn.MINIFS($B$2:$B$2705,$A$2:$A$2705,A544)&lt;10),1,0)</f>
        <v>0</v>
      </c>
      <c r="S544" s="7" t="n">
        <v>0</v>
      </c>
      <c r="T544" s="3" t="n">
        <f aca="false">_xlfn.MINIFS($B$2:$B$2705,$A$2:$A$2705,A544)</f>
        <v>1901</v>
      </c>
      <c r="U544" s="3" t="n">
        <f aca="false">B544-T544</f>
        <v>34</v>
      </c>
      <c r="V544" s="3" t="str">
        <f aca="false">INDEX(Pop_Inputs!$Q$2:$Q$29,MATCH(C544,Pop_Inputs!$A$2:$A$29,0))</f>
        <v>Northeast</v>
      </c>
      <c r="W544" s="30"/>
      <c r="X544" s="3" t="str">
        <f aca="false">IF(W544="","",LN(W544))</f>
        <v/>
      </c>
      <c r="Y544" s="3" t="str">
        <f aca="false">IF(X544="","",X544-AVERAGEIFS($X$2:$X$2705,$B$2:$B$2705,B544))</f>
        <v/>
      </c>
      <c r="Z544" s="21" t="n">
        <f aca="false">P544</f>
        <v>-0.854905765593832</v>
      </c>
      <c r="AA544" s="3" t="n">
        <f aca="false">R544</f>
        <v>0</v>
      </c>
      <c r="AB544" s="21" t="n">
        <f aca="false">P544</f>
        <v>-0.854905765593832</v>
      </c>
      <c r="AC544" s="3" t="str">
        <f aca="false">Y544</f>
        <v/>
      </c>
      <c r="AD544" s="3" t="n">
        <f aca="false">R544</f>
        <v>0</v>
      </c>
    </row>
    <row r="545" customFormat="false" ht="15" hidden="false" customHeight="true" outlineLevel="0" collapsed="false">
      <c r="A545" s="7" t="s">
        <v>63</v>
      </c>
      <c r="B545" s="7" t="n">
        <v>1935</v>
      </c>
      <c r="C545" s="7" t="s">
        <v>145</v>
      </c>
      <c r="D545" s="7" t="n">
        <v>65</v>
      </c>
      <c r="E545" s="7" t="n">
        <v>87</v>
      </c>
      <c r="F545" s="3" t="n">
        <f aca="false">COUNTIFS($B$2:$B$2705,B545,$C$2:$C$2705,C545)</f>
        <v>2</v>
      </c>
      <c r="G545" s="3" t="n">
        <f aca="false">MIN(INT((MIN(B545,2020)-1900)/10)+1,12)</f>
        <v>4</v>
      </c>
      <c r="H545" s="3" t="n">
        <f aca="false">(MIN(B545,2020)-1900-10*(G545-1))/10</f>
        <v>0.5</v>
      </c>
      <c r="I545" s="20" t="n">
        <f aca="false">EXP(LN(INDEX(Pop_Inputs!$B$2:$N$29,MATCH(C545,Pop_Inputs!$A$2:$A$29,0),G545))*(1-H545)+LN(INDEX(Pop_Inputs!$B$2:$N$29,MATCH(C545,Pop_Inputs!$A$2:$A$29,0),G545+1))*H545)</f>
        <v>818998.665493417</v>
      </c>
      <c r="J545" s="20" t="n">
        <f aca="false">I545/F545</f>
        <v>409499.332746709</v>
      </c>
      <c r="K545" s="21" t="n">
        <f aca="false">D545/(D545+E545)</f>
        <v>0.427631578947368</v>
      </c>
      <c r="L545" s="21" t="n">
        <f aca="false">AVERAGEIFS($K$2:$K$2705,$B$2:$B$2705,B545)</f>
        <v>0.499926406542396</v>
      </c>
      <c r="M545" s="21" t="n">
        <f aca="false">K545-L545</f>
        <v>-0.0722948275950277</v>
      </c>
      <c r="N545" s="21" t="n">
        <f aca="false">LN(J545)</f>
        <v>12.9226905528398</v>
      </c>
      <c r="O545" s="21" t="n">
        <f aca="false">AVERAGEIFS($N$2:$N$2705,$B$2:$B$2705,B545)</f>
        <v>13.7236466299563</v>
      </c>
      <c r="P545" s="21" t="n">
        <f aca="false">N545-O545</f>
        <v>-0.800956077116558</v>
      </c>
      <c r="Q545" s="7" t="n">
        <v>0</v>
      </c>
      <c r="R545" s="3" t="n">
        <f aca="false">IF(AND(Q545=1,B545-_xlfn.MINIFS($B$2:$B$2705,$A$2:$A$2705,A545)&lt;10),1,0)</f>
        <v>0</v>
      </c>
      <c r="S545" s="7" t="n">
        <v>0</v>
      </c>
      <c r="T545" s="3" t="n">
        <f aca="false">_xlfn.MINIFS($B$2:$B$2705,$A$2:$A$2705,A545)</f>
        <v>1901</v>
      </c>
      <c r="U545" s="3" t="n">
        <f aca="false">B545-T545</f>
        <v>34</v>
      </c>
      <c r="V545" s="3" t="str">
        <f aca="false">INDEX(Pop_Inputs!$Q$2:$Q$29,MATCH(C545,Pop_Inputs!$A$2:$A$29,0))</f>
        <v>Midwest</v>
      </c>
      <c r="W545" s="30"/>
      <c r="X545" s="3" t="str">
        <f aca="false">IF(W545="","",LN(W545))</f>
        <v/>
      </c>
      <c r="Y545" s="3" t="str">
        <f aca="false">IF(X545="","",X545-AVERAGEIFS($X$2:$X$2705,$B$2:$B$2705,B545))</f>
        <v/>
      </c>
      <c r="Z545" s="21" t="n">
        <f aca="false">P545</f>
        <v>-0.800956077116558</v>
      </c>
      <c r="AA545" s="3" t="n">
        <f aca="false">R545</f>
        <v>0</v>
      </c>
      <c r="AB545" s="21" t="n">
        <f aca="false">P545</f>
        <v>-0.800956077116558</v>
      </c>
      <c r="AC545" s="3" t="str">
        <f aca="false">Y545</f>
        <v/>
      </c>
      <c r="AD545" s="3" t="n">
        <f aca="false">R545</f>
        <v>0</v>
      </c>
    </row>
    <row r="546" customFormat="false" ht="15" hidden="false" customHeight="true" outlineLevel="0" collapsed="false">
      <c r="A546" s="7" t="s">
        <v>64</v>
      </c>
      <c r="B546" s="7" t="n">
        <v>1935</v>
      </c>
      <c r="C546" s="7" t="s">
        <v>150</v>
      </c>
      <c r="D546" s="7" t="n">
        <v>78</v>
      </c>
      <c r="E546" s="7" t="n">
        <v>75</v>
      </c>
      <c r="F546" s="3" t="n">
        <f aca="false">COUNTIFS($B$2:$B$2705,B546,$C$2:$C$2705,C546)</f>
        <v>2</v>
      </c>
      <c r="G546" s="3" t="n">
        <f aca="false">MIN(INT((MIN(B546,2020)-1900)/10)+1,12)</f>
        <v>4</v>
      </c>
      <c r="H546" s="3" t="n">
        <f aca="false">(MIN(B546,2020)-1900-10*(G546-1))/10</f>
        <v>0.5</v>
      </c>
      <c r="I546" s="20" t="n">
        <f aca="false">EXP(LN(INDEX(Pop_Inputs!$B$2:$N$29,MATCH(C546,Pop_Inputs!$A$2:$A$29,0),G546))*(1-H546)+LN(INDEX(Pop_Inputs!$B$2:$N$29,MATCH(C546,Pop_Inputs!$A$2:$A$29,0),G546+1))*H546)</f>
        <v>775984.670858903</v>
      </c>
      <c r="J546" s="20" t="n">
        <f aca="false">I546/F546</f>
        <v>387992.335429452</v>
      </c>
      <c r="K546" s="21" t="n">
        <f aca="false">D546/(D546+E546)</f>
        <v>0.509803921568627</v>
      </c>
      <c r="L546" s="21" t="n">
        <f aca="false">AVERAGEIFS($K$2:$K$2705,$B$2:$B$2705,B546)</f>
        <v>0.499926406542396</v>
      </c>
      <c r="M546" s="21" t="n">
        <f aca="false">K546-L546</f>
        <v>0.0098775150262313</v>
      </c>
      <c r="N546" s="21" t="n">
        <f aca="false">LN(J546)</f>
        <v>12.8687408643625</v>
      </c>
      <c r="O546" s="21" t="n">
        <f aca="false">AVERAGEIFS($N$2:$N$2705,$B$2:$B$2705,B546)</f>
        <v>13.7236466299563</v>
      </c>
      <c r="P546" s="21" t="n">
        <f aca="false">N546-O546</f>
        <v>-0.854905765593832</v>
      </c>
      <c r="Q546" s="7" t="n">
        <v>0</v>
      </c>
      <c r="R546" s="3" t="n">
        <f aca="false">IF(AND(Q546=1,B546-_xlfn.MINIFS($B$2:$B$2705,$A$2:$A$2705,A546)&lt;10),1,0)</f>
        <v>0</v>
      </c>
      <c r="S546" s="7" t="n">
        <v>0</v>
      </c>
      <c r="T546" s="3" t="n">
        <f aca="false">_xlfn.MINIFS($B$2:$B$2705,$A$2:$A$2705,A546)</f>
        <v>1901</v>
      </c>
      <c r="U546" s="3" t="n">
        <f aca="false">B546-T546</f>
        <v>34</v>
      </c>
      <c r="V546" s="3" t="str">
        <f aca="false">INDEX(Pop_Inputs!$Q$2:$Q$29,MATCH(C546,Pop_Inputs!$A$2:$A$29,0))</f>
        <v>Northeast</v>
      </c>
      <c r="W546" s="30"/>
      <c r="X546" s="3" t="str">
        <f aca="false">IF(W546="","",LN(W546))</f>
        <v/>
      </c>
      <c r="Y546" s="3" t="str">
        <f aca="false">IF(X546="","",X546-AVERAGEIFS($X$2:$X$2705,$B$2:$B$2705,B546))</f>
        <v/>
      </c>
      <c r="Z546" s="21" t="n">
        <f aca="false">P546</f>
        <v>-0.854905765593832</v>
      </c>
      <c r="AA546" s="3" t="n">
        <f aca="false">R546</f>
        <v>0</v>
      </c>
      <c r="AB546" s="21" t="n">
        <f aca="false">P546</f>
        <v>-0.854905765593832</v>
      </c>
      <c r="AC546" s="3" t="str">
        <f aca="false">Y546</f>
        <v/>
      </c>
      <c r="AD546" s="3" t="n">
        <f aca="false">R546</f>
        <v>0</v>
      </c>
    </row>
    <row r="547" customFormat="false" ht="15" hidden="false" customHeight="true" outlineLevel="0" collapsed="false">
      <c r="A547" s="7" t="s">
        <v>56</v>
      </c>
      <c r="B547" s="7" t="n">
        <v>1935</v>
      </c>
      <c r="C547" s="7" t="s">
        <v>142</v>
      </c>
      <c r="D547" s="7" t="n">
        <v>100</v>
      </c>
      <c r="E547" s="7" t="n">
        <v>54</v>
      </c>
      <c r="F547" s="3" t="n">
        <f aca="false">COUNTIFS($B$2:$B$2705,B547,$C$2:$C$2705,C547)</f>
        <v>2</v>
      </c>
      <c r="G547" s="3" t="n">
        <f aca="false">MIN(INT((MIN(B547,2020)-1900)/10)+1,12)</f>
        <v>4</v>
      </c>
      <c r="H547" s="3" t="n">
        <f aca="false">(MIN(B547,2020)-1900-10*(G547-1))/10</f>
        <v>0.5</v>
      </c>
      <c r="I547" s="20" t="n">
        <f aca="false">EXP(LN(INDEX(Pop_Inputs!$B$2:$N$29,MATCH(C547,Pop_Inputs!$A$2:$A$29,0),G547))*(1-H547)+LN(INDEX(Pop_Inputs!$B$2:$N$29,MATCH(C547,Pop_Inputs!$A$2:$A$29,0),G547+1))*H547)</f>
        <v>3386607.68467563</v>
      </c>
      <c r="J547" s="20" t="n">
        <f aca="false">I547/F547</f>
        <v>1693303.84233781</v>
      </c>
      <c r="K547" s="21" t="n">
        <f aca="false">D547/(D547+E547)</f>
        <v>0.649350649350649</v>
      </c>
      <c r="L547" s="21" t="n">
        <f aca="false">AVERAGEIFS($K$2:$K$2705,$B$2:$B$2705,B547)</f>
        <v>0.499926406542396</v>
      </c>
      <c r="M547" s="21" t="n">
        <f aca="false">K547-L547</f>
        <v>0.149424242808253</v>
      </c>
      <c r="N547" s="21" t="n">
        <f aca="false">LN(J547)</f>
        <v>14.3421921147927</v>
      </c>
      <c r="O547" s="21" t="n">
        <f aca="false">AVERAGEIFS($N$2:$N$2705,$B$2:$B$2705,B547)</f>
        <v>13.7236466299563</v>
      </c>
      <c r="P547" s="21" t="n">
        <f aca="false">N547-O547</f>
        <v>0.618545484836336</v>
      </c>
      <c r="Q547" s="7" t="n">
        <v>0</v>
      </c>
      <c r="R547" s="3" t="n">
        <f aca="false">IF(AND(Q547=1,B547-_xlfn.MINIFS($B$2:$B$2705,$A$2:$A$2705,A547)&lt;10),1,0)</f>
        <v>0</v>
      </c>
      <c r="S547" s="7" t="n">
        <v>0</v>
      </c>
      <c r="T547" s="3" t="n">
        <f aca="false">_xlfn.MINIFS($B$2:$B$2705,$A$2:$A$2705,A547)</f>
        <v>1901</v>
      </c>
      <c r="U547" s="3" t="n">
        <f aca="false">B547-T547</f>
        <v>34</v>
      </c>
      <c r="V547" s="3" t="str">
        <f aca="false">INDEX(Pop_Inputs!$Q$2:$Q$29,MATCH(C547,Pop_Inputs!$A$2:$A$29,0))</f>
        <v>Midwest</v>
      </c>
      <c r="W547" s="30"/>
      <c r="X547" s="3" t="str">
        <f aca="false">IF(W547="","",LN(W547))</f>
        <v/>
      </c>
      <c r="Y547" s="3" t="str">
        <f aca="false">IF(X547="","",X547-AVERAGEIFS($X$2:$X$2705,$B$2:$B$2705,B547))</f>
        <v/>
      </c>
      <c r="Z547" s="21" t="n">
        <f aca="false">P547</f>
        <v>0.618545484836336</v>
      </c>
      <c r="AA547" s="3" t="n">
        <f aca="false">R547</f>
        <v>0</v>
      </c>
      <c r="AB547" s="21" t="n">
        <f aca="false">P547</f>
        <v>0.618545484836336</v>
      </c>
      <c r="AC547" s="3" t="str">
        <f aca="false">Y547</f>
        <v/>
      </c>
      <c r="AD547" s="3" t="n">
        <f aca="false">R547</f>
        <v>0</v>
      </c>
    </row>
    <row r="548" customFormat="false" ht="15" hidden="false" customHeight="true" outlineLevel="0" collapsed="false">
      <c r="A548" s="7" t="s">
        <v>65</v>
      </c>
      <c r="B548" s="7" t="n">
        <v>1935</v>
      </c>
      <c r="C548" s="7" t="s">
        <v>142</v>
      </c>
      <c r="D548" s="7" t="n">
        <v>74</v>
      </c>
      <c r="E548" s="7" t="n">
        <v>78</v>
      </c>
      <c r="F548" s="3" t="n">
        <f aca="false">COUNTIFS($B$2:$B$2705,B548,$C$2:$C$2705,C548)</f>
        <v>2</v>
      </c>
      <c r="G548" s="3" t="n">
        <f aca="false">MIN(INT((MIN(B548,2020)-1900)/10)+1,12)</f>
        <v>4</v>
      </c>
      <c r="H548" s="3" t="n">
        <f aca="false">(MIN(B548,2020)-1900-10*(G548-1))/10</f>
        <v>0.5</v>
      </c>
      <c r="I548" s="20" t="n">
        <f aca="false">EXP(LN(INDEX(Pop_Inputs!$B$2:$N$29,MATCH(C548,Pop_Inputs!$A$2:$A$29,0),G548))*(1-H548)+LN(INDEX(Pop_Inputs!$B$2:$N$29,MATCH(C548,Pop_Inputs!$A$2:$A$29,0),G548+1))*H548)</f>
        <v>3386607.68467563</v>
      </c>
      <c r="J548" s="20" t="n">
        <f aca="false">I548/F548</f>
        <v>1693303.84233781</v>
      </c>
      <c r="K548" s="21" t="n">
        <f aca="false">D548/(D548+E548)</f>
        <v>0.486842105263158</v>
      </c>
      <c r="L548" s="21" t="n">
        <f aca="false">AVERAGEIFS($K$2:$K$2705,$B$2:$B$2705,B548)</f>
        <v>0.499926406542396</v>
      </c>
      <c r="M548" s="21" t="n">
        <f aca="false">K548-L548</f>
        <v>-0.0130843012792382</v>
      </c>
      <c r="N548" s="21" t="n">
        <f aca="false">LN(J548)</f>
        <v>14.3421921147927</v>
      </c>
      <c r="O548" s="21" t="n">
        <f aca="false">AVERAGEIFS($N$2:$N$2705,$B$2:$B$2705,B548)</f>
        <v>13.7236466299563</v>
      </c>
      <c r="P548" s="21" t="n">
        <f aca="false">N548-O548</f>
        <v>0.618545484836336</v>
      </c>
      <c r="Q548" s="7" t="n">
        <v>0</v>
      </c>
      <c r="R548" s="3" t="n">
        <f aca="false">IF(AND(Q548=1,B548-_xlfn.MINIFS($B$2:$B$2705,$A$2:$A$2705,A548)&lt;10),1,0)</f>
        <v>0</v>
      </c>
      <c r="S548" s="7" t="n">
        <v>0</v>
      </c>
      <c r="T548" s="3" t="n">
        <f aca="false">_xlfn.MINIFS($B$2:$B$2705,$A$2:$A$2705,A548)</f>
        <v>1901</v>
      </c>
      <c r="U548" s="3" t="n">
        <f aca="false">B548-T548</f>
        <v>34</v>
      </c>
      <c r="V548" s="3" t="str">
        <f aca="false">INDEX(Pop_Inputs!$Q$2:$Q$29,MATCH(C548,Pop_Inputs!$A$2:$A$29,0))</f>
        <v>Midwest</v>
      </c>
      <c r="W548" s="30"/>
      <c r="X548" s="3" t="str">
        <f aca="false">IF(W548="","",LN(W548))</f>
        <v/>
      </c>
      <c r="Y548" s="3" t="str">
        <f aca="false">IF(X548="","",X548-AVERAGEIFS($X$2:$X$2705,$B$2:$B$2705,B548))</f>
        <v/>
      </c>
      <c r="Z548" s="21" t="n">
        <f aca="false">P548</f>
        <v>0.618545484836336</v>
      </c>
      <c r="AA548" s="3" t="n">
        <f aca="false">R548</f>
        <v>0</v>
      </c>
      <c r="AB548" s="21" t="n">
        <f aca="false">P548</f>
        <v>0.618545484836336</v>
      </c>
      <c r="AC548" s="3" t="str">
        <f aca="false">Y548</f>
        <v/>
      </c>
      <c r="AD548" s="3" t="n">
        <f aca="false">R548</f>
        <v>0</v>
      </c>
    </row>
    <row r="549" customFormat="false" ht="15" hidden="false" customHeight="true" outlineLevel="0" collapsed="false">
      <c r="A549" s="7" t="s">
        <v>57</v>
      </c>
      <c r="B549" s="7" t="n">
        <v>1935</v>
      </c>
      <c r="C549" s="7" t="s">
        <v>143</v>
      </c>
      <c r="D549" s="7" t="n">
        <v>68</v>
      </c>
      <c r="E549" s="7" t="n">
        <v>85</v>
      </c>
      <c r="F549" s="3" t="n">
        <f aca="false">COUNTIFS($B$2:$B$2705,B549,$C$2:$C$2705,C549)</f>
        <v>1</v>
      </c>
      <c r="G549" s="3" t="n">
        <f aca="false">MIN(INT((MIN(B549,2020)-1900)/10)+1,12)</f>
        <v>4</v>
      </c>
      <c r="H549" s="3" t="n">
        <f aca="false">(MIN(B549,2020)-1900-10*(G549-1))/10</f>
        <v>0.5</v>
      </c>
      <c r="I549" s="20" t="n">
        <f aca="false">EXP(LN(INDEX(Pop_Inputs!$B$2:$N$29,MATCH(C549,Pop_Inputs!$A$2:$A$29,0),G549))*(1-H549)+LN(INDEX(Pop_Inputs!$B$2:$N$29,MATCH(C549,Pop_Inputs!$A$2:$A$29,0),G549+1))*H549)</f>
        <v>453379.540341203</v>
      </c>
      <c r="J549" s="20" t="n">
        <f aca="false">I549/F549</f>
        <v>453379.540341203</v>
      </c>
      <c r="K549" s="21" t="n">
        <f aca="false">D549/(D549+E549)</f>
        <v>0.444444444444444</v>
      </c>
      <c r="L549" s="21" t="n">
        <f aca="false">AVERAGEIFS($K$2:$K$2705,$B$2:$B$2705,B549)</f>
        <v>0.499926406542396</v>
      </c>
      <c r="M549" s="21" t="n">
        <f aca="false">K549-L549</f>
        <v>-0.0554819620979517</v>
      </c>
      <c r="N549" s="21" t="n">
        <f aca="false">LN(J549)</f>
        <v>13.0244848910731</v>
      </c>
      <c r="O549" s="21" t="n">
        <f aca="false">AVERAGEIFS($N$2:$N$2705,$B$2:$B$2705,B549)</f>
        <v>13.7236466299563</v>
      </c>
      <c r="P549" s="21" t="n">
        <f aca="false">N549-O549</f>
        <v>-0.699161738883184</v>
      </c>
      <c r="Q549" s="7" t="n">
        <v>0</v>
      </c>
      <c r="R549" s="3" t="n">
        <f aca="false">IF(AND(Q549=1,B549-_xlfn.MINIFS($B$2:$B$2705,$A$2:$A$2705,A549)&lt;10),1,0)</f>
        <v>0</v>
      </c>
      <c r="S549" s="7" t="n">
        <v>0</v>
      </c>
      <c r="T549" s="3" t="n">
        <f aca="false">_xlfn.MINIFS($B$2:$B$2705,$A$2:$A$2705,A549)</f>
        <v>1901</v>
      </c>
      <c r="U549" s="3" t="n">
        <f aca="false">B549-T549</f>
        <v>34</v>
      </c>
      <c r="V549" s="3" t="str">
        <f aca="false">INDEX(Pop_Inputs!$Q$2:$Q$29,MATCH(C549,Pop_Inputs!$A$2:$A$29,0))</f>
        <v>Midwest</v>
      </c>
      <c r="W549" s="30"/>
      <c r="X549" s="3" t="str">
        <f aca="false">IF(W549="","",LN(W549))</f>
        <v/>
      </c>
      <c r="Y549" s="3" t="str">
        <f aca="false">IF(X549="","",X549-AVERAGEIFS($X$2:$X$2705,$B$2:$B$2705,B549))</f>
        <v/>
      </c>
      <c r="Z549" s="21" t="n">
        <f aca="false">P549</f>
        <v>-0.699161738883184</v>
      </c>
      <c r="AA549" s="3" t="n">
        <f aca="false">R549</f>
        <v>0</v>
      </c>
      <c r="AB549" s="21" t="n">
        <f aca="false">P549</f>
        <v>-0.699161738883184</v>
      </c>
      <c r="AC549" s="3" t="str">
        <f aca="false">Y549</f>
        <v/>
      </c>
      <c r="AD549" s="3" t="n">
        <f aca="false">R549</f>
        <v>0</v>
      </c>
    </row>
    <row r="550" customFormat="false" ht="15" hidden="false" customHeight="true" outlineLevel="0" collapsed="false">
      <c r="A550" s="7" t="s">
        <v>66</v>
      </c>
      <c r="B550" s="7" t="n">
        <v>1935</v>
      </c>
      <c r="C550" s="7" t="s">
        <v>151</v>
      </c>
      <c r="D550" s="7" t="n">
        <v>82</v>
      </c>
      <c r="E550" s="7" t="n">
        <v>71</v>
      </c>
      <c r="F550" s="3" t="n">
        <f aca="false">COUNTIFS($B$2:$B$2705,B550,$C$2:$C$2705,C550)</f>
        <v>1</v>
      </c>
      <c r="G550" s="3" t="n">
        <f aca="false">MIN(INT((MIN(B550,2020)-1900)/10)+1,12)</f>
        <v>4</v>
      </c>
      <c r="H550" s="3" t="n">
        <f aca="false">(MIN(B550,2020)-1900-10*(G550-1))/10</f>
        <v>0.5</v>
      </c>
      <c r="I550" s="20" t="n">
        <f aca="false">EXP(LN(INDEX(Pop_Inputs!$B$2:$N$29,MATCH(C550,Pop_Inputs!$A$2:$A$29,0),G550))*(1-H550)+LN(INDEX(Pop_Inputs!$B$2:$N$29,MATCH(C550,Pop_Inputs!$A$2:$A$29,0),G550+1))*H550)</f>
        <v>889313.89629534</v>
      </c>
      <c r="J550" s="20" t="n">
        <f aca="false">I550/F550</f>
        <v>889313.89629534</v>
      </c>
      <c r="K550" s="21" t="n">
        <f aca="false">D550/(D550+E550)</f>
        <v>0.535947712418301</v>
      </c>
      <c r="L550" s="21" t="n">
        <f aca="false">AVERAGEIFS($K$2:$K$2705,$B$2:$B$2705,B550)</f>
        <v>0.499926406542396</v>
      </c>
      <c r="M550" s="21" t="n">
        <f aca="false">K550-L550</f>
        <v>0.0360213058759045</v>
      </c>
      <c r="N550" s="21" t="n">
        <f aca="false">LN(J550)</f>
        <v>13.6982055413708</v>
      </c>
      <c r="O550" s="21" t="n">
        <f aca="false">AVERAGEIFS($N$2:$N$2705,$B$2:$B$2705,B550)</f>
        <v>13.7236466299563</v>
      </c>
      <c r="P550" s="21" t="n">
        <f aca="false">N550-O550</f>
        <v>-0.0254410885854952</v>
      </c>
      <c r="Q550" s="7" t="n">
        <v>0</v>
      </c>
      <c r="R550" s="3" t="n">
        <f aca="false">IF(AND(Q550=1,B550-_xlfn.MINIFS($B$2:$B$2705,$A$2:$A$2705,A550)&lt;10),1,0)</f>
        <v>0</v>
      </c>
      <c r="S550" s="7" t="n">
        <v>0</v>
      </c>
      <c r="T550" s="3" t="n">
        <f aca="false">_xlfn.MINIFS($B$2:$B$2705,$A$2:$A$2705,A550)</f>
        <v>1901</v>
      </c>
      <c r="U550" s="3" t="n">
        <f aca="false">B550-T550</f>
        <v>34</v>
      </c>
      <c r="V550" s="3" t="str">
        <f aca="false">INDEX(Pop_Inputs!$Q$2:$Q$29,MATCH(C550,Pop_Inputs!$A$2:$A$29,0))</f>
        <v>Midwest</v>
      </c>
      <c r="W550" s="30"/>
      <c r="X550" s="3" t="str">
        <f aca="false">IF(W550="","",LN(W550))</f>
        <v/>
      </c>
      <c r="Y550" s="3" t="str">
        <f aca="false">IF(X550="","",X550-AVERAGEIFS($X$2:$X$2705,$B$2:$B$2705,B550))</f>
        <v/>
      </c>
      <c r="Z550" s="21" t="n">
        <f aca="false">P550</f>
        <v>-0.0254410885854952</v>
      </c>
      <c r="AA550" s="3" t="n">
        <f aca="false">R550</f>
        <v>0</v>
      </c>
      <c r="AB550" s="21" t="n">
        <f aca="false">P550</f>
        <v>-0.0254410885854952</v>
      </c>
      <c r="AC550" s="3" t="str">
        <f aca="false">Y550</f>
        <v/>
      </c>
      <c r="AD550" s="3" t="n">
        <f aca="false">R550</f>
        <v>0</v>
      </c>
    </row>
    <row r="551" customFormat="false" ht="15" hidden="false" customHeight="true" outlineLevel="0" collapsed="false">
      <c r="A551" s="7" t="s">
        <v>67</v>
      </c>
      <c r="B551" s="7" t="n">
        <v>1935</v>
      </c>
      <c r="C551" s="7" t="s">
        <v>152</v>
      </c>
      <c r="D551" s="7" t="n">
        <v>93</v>
      </c>
      <c r="E551" s="7" t="n">
        <v>58</v>
      </c>
      <c r="F551" s="3" t="n">
        <f aca="false">COUNTIFS($B$2:$B$2705,B551,$C$2:$C$2705,C551)</f>
        <v>1</v>
      </c>
      <c r="G551" s="3" t="n">
        <f aca="false">MIN(INT((MIN(B551,2020)-1900)/10)+1,12)</f>
        <v>4</v>
      </c>
      <c r="H551" s="3" t="n">
        <f aca="false">(MIN(B551,2020)-1900-10*(G551-1))/10</f>
        <v>0.5</v>
      </c>
      <c r="I551" s="20" t="n">
        <f aca="false">EXP(LN(INDEX(Pop_Inputs!$B$2:$N$29,MATCH(C551,Pop_Inputs!$A$2:$A$29,0),G551))*(1-H551)+LN(INDEX(Pop_Inputs!$B$2:$N$29,MATCH(C551,Pop_Inputs!$A$2:$A$29,0),G551+1))*H551)</f>
        <v>1595821.87640852</v>
      </c>
      <c r="J551" s="20" t="n">
        <f aca="false">I551/F551</f>
        <v>1595821.87640852</v>
      </c>
      <c r="K551" s="21" t="n">
        <f aca="false">D551/(D551+E551)</f>
        <v>0.615894039735099</v>
      </c>
      <c r="L551" s="21" t="n">
        <f aca="false">AVERAGEIFS($K$2:$K$2705,$B$2:$B$2705,B551)</f>
        <v>0.499926406542396</v>
      </c>
      <c r="M551" s="21" t="n">
        <f aca="false">K551-L551</f>
        <v>0.115967633192703</v>
      </c>
      <c r="N551" s="21" t="n">
        <f aca="false">LN(J551)</f>
        <v>14.2828994445031</v>
      </c>
      <c r="O551" s="21" t="n">
        <f aca="false">AVERAGEIFS($N$2:$N$2705,$B$2:$B$2705,B551)</f>
        <v>13.7236466299563</v>
      </c>
      <c r="P551" s="21" t="n">
        <f aca="false">N551-O551</f>
        <v>0.559252814546797</v>
      </c>
      <c r="Q551" s="7" t="n">
        <v>0</v>
      </c>
      <c r="R551" s="3" t="n">
        <f aca="false">IF(AND(Q551=1,B551-_xlfn.MINIFS($B$2:$B$2705,$A$2:$A$2705,A551)&lt;10),1,0)</f>
        <v>0</v>
      </c>
      <c r="S551" s="7" t="n">
        <v>0</v>
      </c>
      <c r="T551" s="3" t="n">
        <f aca="false">_xlfn.MINIFS($B$2:$B$2705,$A$2:$A$2705,A551)</f>
        <v>1901</v>
      </c>
      <c r="U551" s="3" t="n">
        <f aca="false">B551-T551</f>
        <v>34</v>
      </c>
      <c r="V551" s="3" t="str">
        <f aca="false">INDEX(Pop_Inputs!$Q$2:$Q$29,MATCH(C551,Pop_Inputs!$A$2:$A$29,0))</f>
        <v>Midwest</v>
      </c>
      <c r="W551" s="30"/>
      <c r="X551" s="3" t="str">
        <f aca="false">IF(W551="","",LN(W551))</f>
        <v/>
      </c>
      <c r="Y551" s="3" t="str">
        <f aca="false">IF(X551="","",X551-AVERAGEIFS($X$2:$X$2705,$B$2:$B$2705,B551))</f>
        <v/>
      </c>
      <c r="Z551" s="21" t="n">
        <f aca="false">P551</f>
        <v>0.559252814546797</v>
      </c>
      <c r="AA551" s="3" t="n">
        <f aca="false">R551</f>
        <v>0</v>
      </c>
      <c r="AB551" s="21" t="n">
        <f aca="false">P551</f>
        <v>0.559252814546797</v>
      </c>
      <c r="AC551" s="3" t="str">
        <f aca="false">Y551</f>
        <v/>
      </c>
      <c r="AD551" s="3" t="n">
        <f aca="false">R551</f>
        <v>0</v>
      </c>
    </row>
    <row r="552" customFormat="false" ht="15" hidden="false" customHeight="true" outlineLevel="0" collapsed="false">
      <c r="A552" s="7" t="s">
        <v>62</v>
      </c>
      <c r="B552" s="7" t="n">
        <v>1935</v>
      </c>
      <c r="C552" s="7" t="s">
        <v>154</v>
      </c>
      <c r="D552" s="7" t="n">
        <v>70</v>
      </c>
      <c r="E552" s="7" t="n">
        <v>83</v>
      </c>
      <c r="F552" s="3" t="n">
        <f aca="false">COUNTIFS($B$2:$B$2705,B552,$C$2:$C$2705,C552)</f>
        <v>3</v>
      </c>
      <c r="G552" s="3" t="n">
        <f aca="false">MIN(INT((MIN(B552,2020)-1900)/10)+1,12)</f>
        <v>4</v>
      </c>
      <c r="H552" s="3" t="n">
        <f aca="false">(MIN(B552,2020)-1900-10*(G552-1))/10</f>
        <v>0.5</v>
      </c>
      <c r="I552" s="20" t="n">
        <f aca="false">EXP(LN(INDEX(Pop_Inputs!$B$2:$N$29,MATCH(C552,Pop_Inputs!$A$2:$A$29,0),G552))*(1-H552)+LN(INDEX(Pop_Inputs!$B$2:$N$29,MATCH(C552,Pop_Inputs!$A$2:$A$29,0),G552+1))*H552)</f>
        <v>7187937.13646482</v>
      </c>
      <c r="J552" s="20" t="n">
        <f aca="false">I552/F552</f>
        <v>2395979.04548827</v>
      </c>
      <c r="K552" s="21" t="n">
        <f aca="false">D552/(D552+E552)</f>
        <v>0.457516339869281</v>
      </c>
      <c r="L552" s="21" t="n">
        <f aca="false">AVERAGEIFS($K$2:$K$2705,$B$2:$B$2705,B552)</f>
        <v>0.499926406542396</v>
      </c>
      <c r="M552" s="21" t="n">
        <f aca="false">K552-L552</f>
        <v>-0.0424100666731151</v>
      </c>
      <c r="N552" s="21" t="n">
        <f aca="false">LN(J552)</f>
        <v>14.6893024925566</v>
      </c>
      <c r="O552" s="21" t="n">
        <f aca="false">AVERAGEIFS($N$2:$N$2705,$B$2:$B$2705,B552)</f>
        <v>13.7236466299563</v>
      </c>
      <c r="P552" s="21" t="n">
        <f aca="false">N552-O552</f>
        <v>0.96565586260032</v>
      </c>
      <c r="Q552" s="7" t="n">
        <v>0</v>
      </c>
      <c r="R552" s="3" t="n">
        <f aca="false">IF(AND(Q552=1,B552-_xlfn.MINIFS($B$2:$B$2705,$A$2:$A$2705,A552)&lt;10),1,0)</f>
        <v>0</v>
      </c>
      <c r="S552" s="7" t="n">
        <v>0</v>
      </c>
      <c r="T552" s="3" t="n">
        <f aca="false">_xlfn.MINIFS($B$2:$B$2705,$A$2:$A$2705,A552)</f>
        <v>1901</v>
      </c>
      <c r="U552" s="3" t="n">
        <f aca="false">B552-T552</f>
        <v>34</v>
      </c>
      <c r="V552" s="3" t="str">
        <f aca="false">INDEX(Pop_Inputs!$Q$2:$Q$29,MATCH(C552,Pop_Inputs!$A$2:$A$29,0))</f>
        <v>Northeast</v>
      </c>
      <c r="W552" s="30"/>
      <c r="X552" s="3" t="str">
        <f aca="false">IF(W552="","",LN(W552))</f>
        <v/>
      </c>
      <c r="Y552" s="3" t="str">
        <f aca="false">IF(X552="","",X552-AVERAGEIFS($X$2:$X$2705,$B$2:$B$2705,B552))</f>
        <v/>
      </c>
      <c r="Z552" s="21" t="n">
        <f aca="false">P552</f>
        <v>0.96565586260032</v>
      </c>
      <c r="AA552" s="3" t="n">
        <f aca="false">R552</f>
        <v>0</v>
      </c>
      <c r="AB552" s="21" t="n">
        <f aca="false">P552</f>
        <v>0.96565586260032</v>
      </c>
      <c r="AC552" s="3" t="str">
        <f aca="false">Y552</f>
        <v/>
      </c>
      <c r="AD552" s="3" t="n">
        <f aca="false">R552</f>
        <v>0</v>
      </c>
    </row>
    <row r="553" customFormat="false" ht="15" hidden="false" customHeight="true" outlineLevel="0" collapsed="false">
      <c r="A553" s="7" t="s">
        <v>68</v>
      </c>
      <c r="B553" s="7" t="n">
        <v>1935</v>
      </c>
      <c r="C553" s="7" t="s">
        <v>160</v>
      </c>
      <c r="D553" s="7" t="n">
        <v>67</v>
      </c>
      <c r="E553" s="7" t="n">
        <v>86</v>
      </c>
      <c r="F553" s="3" t="n">
        <f aca="false">COUNTIFS($B$2:$B$2705,B553,$C$2:$C$2705,C553)</f>
        <v>1</v>
      </c>
      <c r="G553" s="3" t="n">
        <f aca="false">MIN(INT((MIN(B553,2020)-1900)/10)+1,12)</f>
        <v>4</v>
      </c>
      <c r="H553" s="3" t="n">
        <f aca="false">(MIN(B553,2020)-1900-10*(G553-1))/10</f>
        <v>0.5</v>
      </c>
      <c r="I553" s="20" t="n">
        <f aca="false">EXP(LN(INDEX(Pop_Inputs!$B$2:$N$29,MATCH(C553,Pop_Inputs!$A$2:$A$29,0),G553))*(1-H553)+LN(INDEX(Pop_Inputs!$B$2:$N$29,MATCH(C553,Pop_Inputs!$A$2:$A$29,0),G553+1))*H553)</f>
        <v>568188.746878183</v>
      </c>
      <c r="J553" s="20" t="n">
        <f aca="false">I553/F553</f>
        <v>568188.746878183</v>
      </c>
      <c r="K553" s="21" t="n">
        <f aca="false">D553/(D553+E553)</f>
        <v>0.437908496732026</v>
      </c>
      <c r="L553" s="21" t="n">
        <f aca="false">AVERAGEIFS($K$2:$K$2705,$B$2:$B$2705,B553)</f>
        <v>0.499926406542396</v>
      </c>
      <c r="M553" s="21" t="n">
        <f aca="false">K553-L553</f>
        <v>-0.06201790981037</v>
      </c>
      <c r="N553" s="21" t="n">
        <f aca="false">LN(J553)</f>
        <v>13.2502089433455</v>
      </c>
      <c r="O553" s="21" t="n">
        <f aca="false">AVERAGEIFS($N$2:$N$2705,$B$2:$B$2705,B553)</f>
        <v>13.7236466299563</v>
      </c>
      <c r="P553" s="21" t="n">
        <f aca="false">N553-O553</f>
        <v>-0.473437686610861</v>
      </c>
      <c r="Q553" s="7" t="n">
        <v>0</v>
      </c>
      <c r="R553" s="3" t="n">
        <f aca="false">IF(AND(Q553=1,B553-_xlfn.MINIFS($B$2:$B$2705,$A$2:$A$2705,A553)&lt;10),1,0)</f>
        <v>0</v>
      </c>
      <c r="S553" s="7" t="n">
        <v>0</v>
      </c>
      <c r="T553" s="3" t="n">
        <f aca="false">_xlfn.MINIFS($B$2:$B$2705,$A$2:$A$2705,A553)</f>
        <v>1901</v>
      </c>
      <c r="U553" s="3" t="n">
        <f aca="false">B553-T553</f>
        <v>34</v>
      </c>
      <c r="V553" s="3" t="str">
        <f aca="false">INDEX(Pop_Inputs!$Q$2:$Q$29,MATCH(C553,Pop_Inputs!$A$2:$A$29,0))</f>
        <v>South</v>
      </c>
      <c r="W553" s="30"/>
      <c r="X553" s="3" t="str">
        <f aca="false">IF(W553="","",LN(W553))</f>
        <v/>
      </c>
      <c r="Y553" s="3" t="str">
        <f aca="false">IF(X553="","",X553-AVERAGEIFS($X$2:$X$2705,$B$2:$B$2705,B553))</f>
        <v/>
      </c>
      <c r="Z553" s="21" t="n">
        <f aca="false">P553</f>
        <v>-0.473437686610861</v>
      </c>
      <c r="AA553" s="3" t="n">
        <f aca="false">R553</f>
        <v>0</v>
      </c>
      <c r="AB553" s="21" t="n">
        <f aca="false">P553</f>
        <v>-0.473437686610861</v>
      </c>
      <c r="AC553" s="3" t="str">
        <f aca="false">Y553</f>
        <v/>
      </c>
      <c r="AD553" s="3" t="n">
        <f aca="false">R553</f>
        <v>0</v>
      </c>
    </row>
    <row r="554" customFormat="false" ht="15" hidden="false" customHeight="true" outlineLevel="0" collapsed="false">
      <c r="A554" s="7" t="s">
        <v>70</v>
      </c>
      <c r="B554" s="7" t="n">
        <v>1935</v>
      </c>
      <c r="C554" s="7" t="s">
        <v>154</v>
      </c>
      <c r="D554" s="7" t="n">
        <v>89</v>
      </c>
      <c r="E554" s="7" t="n">
        <v>60</v>
      </c>
      <c r="F554" s="3" t="n">
        <f aca="false">COUNTIFS($B$2:$B$2705,B554,$C$2:$C$2705,C554)</f>
        <v>3</v>
      </c>
      <c r="G554" s="3" t="n">
        <f aca="false">MIN(INT((MIN(B554,2020)-1900)/10)+1,12)</f>
        <v>4</v>
      </c>
      <c r="H554" s="3" t="n">
        <f aca="false">(MIN(B554,2020)-1900-10*(G554-1))/10</f>
        <v>0.5</v>
      </c>
      <c r="I554" s="20" t="n">
        <f aca="false">EXP(LN(INDEX(Pop_Inputs!$B$2:$N$29,MATCH(C554,Pop_Inputs!$A$2:$A$29,0),G554))*(1-H554)+LN(INDEX(Pop_Inputs!$B$2:$N$29,MATCH(C554,Pop_Inputs!$A$2:$A$29,0),G554+1))*H554)</f>
        <v>7187937.13646482</v>
      </c>
      <c r="J554" s="20" t="n">
        <f aca="false">I554/F554</f>
        <v>2395979.04548827</v>
      </c>
      <c r="K554" s="21" t="n">
        <f aca="false">D554/(D554+E554)</f>
        <v>0.597315436241611</v>
      </c>
      <c r="L554" s="21" t="n">
        <f aca="false">AVERAGEIFS($K$2:$K$2705,$B$2:$B$2705,B554)</f>
        <v>0.499926406542396</v>
      </c>
      <c r="M554" s="21" t="n">
        <f aca="false">K554-L554</f>
        <v>0.0973890296992147</v>
      </c>
      <c r="N554" s="21" t="n">
        <f aca="false">LN(J554)</f>
        <v>14.6893024925566</v>
      </c>
      <c r="O554" s="21" t="n">
        <f aca="false">AVERAGEIFS($N$2:$N$2705,$B$2:$B$2705,B554)</f>
        <v>13.7236466299563</v>
      </c>
      <c r="P554" s="21" t="n">
        <f aca="false">N554-O554</f>
        <v>0.96565586260032</v>
      </c>
      <c r="Q554" s="7" t="n">
        <v>0</v>
      </c>
      <c r="R554" s="3" t="n">
        <f aca="false">IF(AND(Q554=1,B554-_xlfn.MINIFS($B$2:$B$2705,$A$2:$A$2705,A554)&lt;10),1,0)</f>
        <v>0</v>
      </c>
      <c r="S554" s="7" t="n">
        <v>1</v>
      </c>
      <c r="T554" s="3" t="n">
        <f aca="false">_xlfn.MINIFS($B$2:$B$2705,$A$2:$A$2705,A554)</f>
        <v>1903</v>
      </c>
      <c r="U554" s="3" t="n">
        <f aca="false">B554-T554</f>
        <v>32</v>
      </c>
      <c r="V554" s="3" t="str">
        <f aca="false">INDEX(Pop_Inputs!$Q$2:$Q$29,MATCH(C554,Pop_Inputs!$A$2:$A$29,0))</f>
        <v>Northeast</v>
      </c>
      <c r="W554" s="30"/>
      <c r="X554" s="3" t="str">
        <f aca="false">IF(W554="","",LN(W554))</f>
        <v/>
      </c>
      <c r="Y554" s="3" t="str">
        <f aca="false">IF(X554="","",X554-AVERAGEIFS($X$2:$X$2705,$B$2:$B$2705,B554))</f>
        <v/>
      </c>
      <c r="Z554" s="21" t="n">
        <f aca="false">P554</f>
        <v>0.96565586260032</v>
      </c>
      <c r="AA554" s="3" t="n">
        <f aca="false">R554</f>
        <v>0</v>
      </c>
      <c r="AB554" s="21" t="n">
        <f aca="false">P554</f>
        <v>0.96565586260032</v>
      </c>
      <c r="AC554" s="3" t="str">
        <f aca="false">Y554</f>
        <v/>
      </c>
      <c r="AD554" s="3" t="n">
        <f aca="false">R554</f>
        <v>0</v>
      </c>
    </row>
    <row r="555" customFormat="false" ht="15" hidden="false" customHeight="true" outlineLevel="0" collapsed="false">
      <c r="A555" s="7" t="s">
        <v>69</v>
      </c>
      <c r="B555" s="7" t="n">
        <v>1935</v>
      </c>
      <c r="C555" s="7" t="s">
        <v>146</v>
      </c>
      <c r="D555" s="7" t="n">
        <v>58</v>
      </c>
      <c r="E555" s="7" t="n">
        <v>91</v>
      </c>
      <c r="F555" s="3" t="n">
        <f aca="false">COUNTIFS($B$2:$B$2705,B555,$C$2:$C$2705,C555)</f>
        <v>2</v>
      </c>
      <c r="G555" s="3" t="n">
        <f aca="false">MIN(INT((MIN(B555,2020)-1900)/10)+1,12)</f>
        <v>4</v>
      </c>
      <c r="H555" s="3" t="n">
        <f aca="false">(MIN(B555,2020)-1900-10*(G555-1))/10</f>
        <v>0.5</v>
      </c>
      <c r="I555" s="20" t="n">
        <f aca="false">EXP(LN(INDEX(Pop_Inputs!$B$2:$N$29,MATCH(C555,Pop_Inputs!$A$2:$A$29,0),G555))*(1-H555)+LN(INDEX(Pop_Inputs!$B$2:$N$29,MATCH(C555,Pop_Inputs!$A$2:$A$29,0),G555+1))*H555)</f>
        <v>1941122.69369404</v>
      </c>
      <c r="J555" s="20" t="n">
        <f aca="false">I555/F555</f>
        <v>970561.34684702</v>
      </c>
      <c r="K555" s="21" t="n">
        <f aca="false">D555/(D555+E555)</f>
        <v>0.389261744966443</v>
      </c>
      <c r="L555" s="21" t="n">
        <f aca="false">AVERAGEIFS($K$2:$K$2705,$B$2:$B$2705,B555)</f>
        <v>0.499926406542396</v>
      </c>
      <c r="M555" s="21" t="n">
        <f aca="false">K555-L555</f>
        <v>-0.110664661575953</v>
      </c>
      <c r="N555" s="21" t="n">
        <f aca="false">LN(J555)</f>
        <v>13.7856298911823</v>
      </c>
      <c r="O555" s="21" t="n">
        <f aca="false">AVERAGEIFS($N$2:$N$2705,$B$2:$B$2705,B555)</f>
        <v>13.7236466299563</v>
      </c>
      <c r="P555" s="21" t="n">
        <f aca="false">N555-O555</f>
        <v>0.0619832612260023</v>
      </c>
      <c r="Q555" s="7" t="n">
        <v>0</v>
      </c>
      <c r="R555" s="3" t="n">
        <f aca="false">IF(AND(Q555=1,B555-_xlfn.MINIFS($B$2:$B$2705,$A$2:$A$2705,A555)&lt;10),1,0)</f>
        <v>0</v>
      </c>
      <c r="S555" s="7" t="n">
        <v>0</v>
      </c>
      <c r="T555" s="3" t="n">
        <f aca="false">_xlfn.MINIFS($B$2:$B$2705,$A$2:$A$2705,A555)</f>
        <v>1901</v>
      </c>
      <c r="U555" s="3" t="n">
        <f aca="false">B555-T555</f>
        <v>34</v>
      </c>
      <c r="V555" s="3" t="str">
        <f aca="false">INDEX(Pop_Inputs!$Q$2:$Q$29,MATCH(C555,Pop_Inputs!$A$2:$A$29,0))</f>
        <v>Northeast</v>
      </c>
      <c r="W555" s="30"/>
      <c r="X555" s="3" t="str">
        <f aca="false">IF(W555="","",LN(W555))</f>
        <v/>
      </c>
      <c r="Y555" s="3" t="str">
        <f aca="false">IF(X555="","",X555-AVERAGEIFS($X$2:$X$2705,$B$2:$B$2705,B555))</f>
        <v/>
      </c>
      <c r="Z555" s="21" t="n">
        <f aca="false">P555</f>
        <v>0.0619832612260023</v>
      </c>
      <c r="AA555" s="3" t="n">
        <f aca="false">R555</f>
        <v>0</v>
      </c>
      <c r="AB555" s="21" t="n">
        <f aca="false">P555</f>
        <v>0.0619832612260023</v>
      </c>
      <c r="AC555" s="3" t="str">
        <f aca="false">Y555</f>
        <v/>
      </c>
      <c r="AD555" s="3" t="n">
        <f aca="false">R555</f>
        <v>0</v>
      </c>
    </row>
    <row r="556" customFormat="false" ht="15" hidden="false" customHeight="true" outlineLevel="0" collapsed="false">
      <c r="A556" s="7" t="s">
        <v>60</v>
      </c>
      <c r="B556" s="7" t="n">
        <v>1935</v>
      </c>
      <c r="C556" s="7" t="s">
        <v>146</v>
      </c>
      <c r="D556" s="7" t="n">
        <v>64</v>
      </c>
      <c r="E556" s="7" t="n">
        <v>89</v>
      </c>
      <c r="F556" s="3" t="n">
        <f aca="false">COUNTIFS($B$2:$B$2705,B556,$C$2:$C$2705,C556)</f>
        <v>2</v>
      </c>
      <c r="G556" s="3" t="n">
        <f aca="false">MIN(INT((MIN(B556,2020)-1900)/10)+1,12)</f>
        <v>4</v>
      </c>
      <c r="H556" s="3" t="n">
        <f aca="false">(MIN(B556,2020)-1900-10*(G556-1))/10</f>
        <v>0.5</v>
      </c>
      <c r="I556" s="20" t="n">
        <f aca="false">EXP(LN(INDEX(Pop_Inputs!$B$2:$N$29,MATCH(C556,Pop_Inputs!$A$2:$A$29,0),G556))*(1-H556)+LN(INDEX(Pop_Inputs!$B$2:$N$29,MATCH(C556,Pop_Inputs!$A$2:$A$29,0),G556+1))*H556)</f>
        <v>1941122.69369404</v>
      </c>
      <c r="J556" s="20" t="n">
        <f aca="false">I556/F556</f>
        <v>970561.34684702</v>
      </c>
      <c r="K556" s="21" t="n">
        <f aca="false">D556/(D556+E556)</f>
        <v>0.418300653594771</v>
      </c>
      <c r="L556" s="21" t="n">
        <f aca="false">AVERAGEIFS($K$2:$K$2705,$B$2:$B$2705,B556)</f>
        <v>0.499926406542396</v>
      </c>
      <c r="M556" s="21" t="n">
        <f aca="false">K556-L556</f>
        <v>-0.0816257529476249</v>
      </c>
      <c r="N556" s="21" t="n">
        <f aca="false">LN(J556)</f>
        <v>13.7856298911823</v>
      </c>
      <c r="O556" s="21" t="n">
        <f aca="false">AVERAGEIFS($N$2:$N$2705,$B$2:$B$2705,B556)</f>
        <v>13.7236466299563</v>
      </c>
      <c r="P556" s="21" t="n">
        <f aca="false">N556-O556</f>
        <v>0.0619832612260023</v>
      </c>
      <c r="Q556" s="7" t="n">
        <v>0</v>
      </c>
      <c r="R556" s="3" t="n">
        <f aca="false">IF(AND(Q556=1,B556-_xlfn.MINIFS($B$2:$B$2705,$A$2:$A$2705,A556)&lt;10),1,0)</f>
        <v>0</v>
      </c>
      <c r="S556" s="7" t="n">
        <v>0</v>
      </c>
      <c r="T556" s="3" t="n">
        <f aca="false">_xlfn.MINIFS($B$2:$B$2705,$A$2:$A$2705,A556)</f>
        <v>1901</v>
      </c>
      <c r="U556" s="3" t="n">
        <f aca="false">B556-T556</f>
        <v>34</v>
      </c>
      <c r="V556" s="3" t="str">
        <f aca="false">INDEX(Pop_Inputs!$Q$2:$Q$29,MATCH(C556,Pop_Inputs!$A$2:$A$29,0))</f>
        <v>Northeast</v>
      </c>
      <c r="W556" s="30"/>
      <c r="X556" s="3" t="str">
        <f aca="false">IF(W556="","",LN(W556))</f>
        <v/>
      </c>
      <c r="Y556" s="3" t="str">
        <f aca="false">IF(X556="","",X556-AVERAGEIFS($X$2:$X$2705,$B$2:$B$2705,B556))</f>
        <v/>
      </c>
      <c r="Z556" s="21" t="n">
        <f aca="false">P556</f>
        <v>0.0619832612260023</v>
      </c>
      <c r="AA556" s="3" t="n">
        <f aca="false">R556</f>
        <v>0</v>
      </c>
      <c r="AB556" s="21" t="n">
        <f aca="false">P556</f>
        <v>0.0619832612260023</v>
      </c>
      <c r="AC556" s="3" t="str">
        <f aca="false">Y556</f>
        <v/>
      </c>
      <c r="AD556" s="3" t="n">
        <f aca="false">R556</f>
        <v>0</v>
      </c>
    </row>
    <row r="557" customFormat="false" ht="15" hidden="false" customHeight="true" outlineLevel="0" collapsed="false">
      <c r="A557" s="7" t="s">
        <v>58</v>
      </c>
      <c r="B557" s="7" t="n">
        <v>1935</v>
      </c>
      <c r="C557" s="7" t="s">
        <v>144</v>
      </c>
      <c r="D557" s="7" t="n">
        <v>86</v>
      </c>
      <c r="E557" s="7" t="n">
        <v>67</v>
      </c>
      <c r="F557" s="3" t="n">
        <f aca="false">COUNTIFS($B$2:$B$2705,B557,$C$2:$C$2705,C557)</f>
        <v>1</v>
      </c>
      <c r="G557" s="3" t="n">
        <f aca="false">MIN(INT((MIN(B557,2020)-1900)/10)+1,12)</f>
        <v>4</v>
      </c>
      <c r="H557" s="3" t="n">
        <f aca="false">(MIN(B557,2020)-1900-10*(G557-1))/10</f>
        <v>0.5</v>
      </c>
      <c r="I557" s="20" t="n">
        <f aca="false">EXP(LN(INDEX(Pop_Inputs!$B$2:$N$29,MATCH(C557,Pop_Inputs!$A$2:$A$29,0),G557))*(1-H557)+LN(INDEX(Pop_Inputs!$B$2:$N$29,MATCH(C557,Pop_Inputs!$A$2:$A$29,0),G557+1))*H557)</f>
        <v>670737.367680526</v>
      </c>
      <c r="J557" s="20" t="n">
        <f aca="false">I557/F557</f>
        <v>670737.367680526</v>
      </c>
      <c r="K557" s="21" t="n">
        <f aca="false">D557/(D557+E557)</f>
        <v>0.562091503267974</v>
      </c>
      <c r="L557" s="21" t="n">
        <f aca="false">AVERAGEIFS($K$2:$K$2705,$B$2:$B$2705,B557)</f>
        <v>0.499926406542396</v>
      </c>
      <c r="M557" s="21" t="n">
        <f aca="false">K557-L557</f>
        <v>0.0621650967255777</v>
      </c>
      <c r="N557" s="21" t="n">
        <f aca="false">LN(J557)</f>
        <v>13.4161329349842</v>
      </c>
      <c r="O557" s="21" t="n">
        <f aca="false">AVERAGEIFS($N$2:$N$2705,$B$2:$B$2705,B557)</f>
        <v>13.7236466299563</v>
      </c>
      <c r="P557" s="21" t="n">
        <f aca="false">N557-O557</f>
        <v>-0.307513694972112</v>
      </c>
      <c r="Q557" s="7" t="n">
        <v>0</v>
      </c>
      <c r="R557" s="3" t="n">
        <f aca="false">IF(AND(Q557=1,B557-_xlfn.MINIFS($B$2:$B$2705,$A$2:$A$2705,A557)&lt;10),1,0)</f>
        <v>0</v>
      </c>
      <c r="S557" s="7" t="n">
        <v>0</v>
      </c>
      <c r="T557" s="3" t="n">
        <f aca="false">_xlfn.MINIFS($B$2:$B$2705,$A$2:$A$2705,A557)</f>
        <v>1901</v>
      </c>
      <c r="U557" s="3" t="n">
        <f aca="false">B557-T557</f>
        <v>34</v>
      </c>
      <c r="V557" s="3" t="str">
        <f aca="false">INDEX(Pop_Inputs!$Q$2:$Q$29,MATCH(C557,Pop_Inputs!$A$2:$A$29,0))</f>
        <v>Northeast</v>
      </c>
      <c r="W557" s="30"/>
      <c r="X557" s="3" t="str">
        <f aca="false">IF(W557="","",LN(W557))</f>
        <v/>
      </c>
      <c r="Y557" s="3" t="str">
        <f aca="false">IF(X557="","",X557-AVERAGEIFS($X$2:$X$2705,$B$2:$B$2705,B557))</f>
        <v/>
      </c>
      <c r="Z557" s="21" t="n">
        <f aca="false">P557</f>
        <v>-0.307513694972112</v>
      </c>
      <c r="AA557" s="3" t="n">
        <f aca="false">R557</f>
        <v>0</v>
      </c>
      <c r="AB557" s="21" t="n">
        <f aca="false">P557</f>
        <v>-0.307513694972112</v>
      </c>
      <c r="AC557" s="3" t="str">
        <f aca="false">Y557</f>
        <v/>
      </c>
      <c r="AD557" s="3" t="n">
        <f aca="false">R557</f>
        <v>0</v>
      </c>
    </row>
    <row r="558" customFormat="false" ht="15" hidden="false" customHeight="true" outlineLevel="0" collapsed="false">
      <c r="A558" s="7" t="s">
        <v>61</v>
      </c>
      <c r="B558" s="7" t="n">
        <v>1935</v>
      </c>
      <c r="C558" s="7" t="s">
        <v>154</v>
      </c>
      <c r="D558" s="7" t="n">
        <v>91</v>
      </c>
      <c r="E558" s="7" t="n">
        <v>62</v>
      </c>
      <c r="F558" s="3" t="n">
        <f aca="false">COUNTIFS($B$2:$B$2705,B558,$C$2:$C$2705,C558)</f>
        <v>3</v>
      </c>
      <c r="G558" s="3" t="n">
        <f aca="false">MIN(INT((MIN(B558,2020)-1900)/10)+1,12)</f>
        <v>4</v>
      </c>
      <c r="H558" s="3" t="n">
        <f aca="false">(MIN(B558,2020)-1900-10*(G558-1))/10</f>
        <v>0.5</v>
      </c>
      <c r="I558" s="20" t="n">
        <f aca="false">EXP(LN(INDEX(Pop_Inputs!$B$2:$N$29,MATCH(C558,Pop_Inputs!$A$2:$A$29,0),G558))*(1-H558)+LN(INDEX(Pop_Inputs!$B$2:$N$29,MATCH(C558,Pop_Inputs!$A$2:$A$29,0),G558+1))*H558)</f>
        <v>7187937.13646482</v>
      </c>
      <c r="J558" s="20" t="n">
        <f aca="false">I558/F558</f>
        <v>2395979.04548827</v>
      </c>
      <c r="K558" s="21" t="n">
        <f aca="false">D558/(D558+E558)</f>
        <v>0.594771241830065</v>
      </c>
      <c r="L558" s="21" t="n">
        <f aca="false">AVERAGEIFS($K$2:$K$2705,$B$2:$B$2705,B558)</f>
        <v>0.499926406542396</v>
      </c>
      <c r="M558" s="21" t="n">
        <f aca="false">K558-L558</f>
        <v>0.0948448352876692</v>
      </c>
      <c r="N558" s="21" t="n">
        <f aca="false">LN(J558)</f>
        <v>14.6893024925566</v>
      </c>
      <c r="O558" s="21" t="n">
        <f aca="false">AVERAGEIFS($N$2:$N$2705,$B$2:$B$2705,B558)</f>
        <v>13.7236466299563</v>
      </c>
      <c r="P558" s="21" t="n">
        <f aca="false">N558-O558</f>
        <v>0.96565586260032</v>
      </c>
      <c r="Q558" s="7" t="n">
        <v>0</v>
      </c>
      <c r="R558" s="3" t="n">
        <f aca="false">IF(AND(Q558=1,B558-_xlfn.MINIFS($B$2:$B$2705,$A$2:$A$2705,A558)&lt;10),1,0)</f>
        <v>0</v>
      </c>
      <c r="S558" s="7" t="n">
        <v>0</v>
      </c>
      <c r="T558" s="3" t="n">
        <f aca="false">_xlfn.MINIFS($B$2:$B$2705,$A$2:$A$2705,A558)</f>
        <v>1901</v>
      </c>
      <c r="U558" s="3" t="n">
        <f aca="false">B558-T558</f>
        <v>34</v>
      </c>
      <c r="V558" s="3" t="str">
        <f aca="false">INDEX(Pop_Inputs!$Q$2:$Q$29,MATCH(C558,Pop_Inputs!$A$2:$A$29,0))</f>
        <v>Northeast</v>
      </c>
      <c r="W558" s="30"/>
      <c r="X558" s="3" t="str">
        <f aca="false">IF(W558="","",LN(W558))</f>
        <v/>
      </c>
      <c r="Y558" s="3" t="str">
        <f aca="false">IF(X558="","",X558-AVERAGEIFS($X$2:$X$2705,$B$2:$B$2705,B558))</f>
        <v/>
      </c>
      <c r="Z558" s="21" t="n">
        <f aca="false">P558</f>
        <v>0.96565586260032</v>
      </c>
      <c r="AA558" s="3" t="n">
        <f aca="false">R558</f>
        <v>0</v>
      </c>
      <c r="AB558" s="21" t="n">
        <f aca="false">P558</f>
        <v>0.96565586260032</v>
      </c>
      <c r="AC558" s="3" t="str">
        <f aca="false">Y558</f>
        <v/>
      </c>
      <c r="AD558" s="3" t="n">
        <f aca="false">R558</f>
        <v>0</v>
      </c>
    </row>
    <row r="559" customFormat="false" ht="15" hidden="false" customHeight="true" outlineLevel="0" collapsed="false">
      <c r="A559" s="7" t="s">
        <v>59</v>
      </c>
      <c r="B559" s="7" t="n">
        <v>1935</v>
      </c>
      <c r="C559" s="7" t="s">
        <v>145</v>
      </c>
      <c r="D559" s="7" t="n">
        <v>96</v>
      </c>
      <c r="E559" s="7" t="n">
        <v>58</v>
      </c>
      <c r="F559" s="3" t="n">
        <f aca="false">COUNTIFS($B$2:$B$2705,B559,$C$2:$C$2705,C559)</f>
        <v>2</v>
      </c>
      <c r="G559" s="3" t="n">
        <f aca="false">MIN(INT((MIN(B559,2020)-1900)/10)+1,12)</f>
        <v>4</v>
      </c>
      <c r="H559" s="3" t="n">
        <f aca="false">(MIN(B559,2020)-1900-10*(G559-1))/10</f>
        <v>0.5</v>
      </c>
      <c r="I559" s="20" t="n">
        <f aca="false">EXP(LN(INDEX(Pop_Inputs!$B$2:$N$29,MATCH(C559,Pop_Inputs!$A$2:$A$29,0),G559))*(1-H559)+LN(INDEX(Pop_Inputs!$B$2:$N$29,MATCH(C559,Pop_Inputs!$A$2:$A$29,0),G559+1))*H559)</f>
        <v>818998.665493417</v>
      </c>
      <c r="J559" s="20" t="n">
        <f aca="false">I559/F559</f>
        <v>409499.332746709</v>
      </c>
      <c r="K559" s="21" t="n">
        <f aca="false">D559/(D559+E559)</f>
        <v>0.623376623376623</v>
      </c>
      <c r="L559" s="21" t="n">
        <f aca="false">AVERAGEIFS($K$2:$K$2705,$B$2:$B$2705,B559)</f>
        <v>0.499926406542396</v>
      </c>
      <c r="M559" s="21" t="n">
        <f aca="false">K559-L559</f>
        <v>0.123450216834227</v>
      </c>
      <c r="N559" s="21" t="n">
        <f aca="false">LN(J559)</f>
        <v>12.9226905528398</v>
      </c>
      <c r="O559" s="21" t="n">
        <f aca="false">AVERAGEIFS($N$2:$N$2705,$B$2:$B$2705,B559)</f>
        <v>13.7236466299563</v>
      </c>
      <c r="P559" s="21" t="n">
        <f aca="false">N559-O559</f>
        <v>-0.800956077116558</v>
      </c>
      <c r="Q559" s="7" t="n">
        <v>0</v>
      </c>
      <c r="R559" s="3" t="n">
        <f aca="false">IF(AND(Q559=1,B559-_xlfn.MINIFS($B$2:$B$2705,$A$2:$A$2705,A559)&lt;10),1,0)</f>
        <v>0</v>
      </c>
      <c r="S559" s="7" t="n">
        <v>0</v>
      </c>
      <c r="T559" s="3" t="n">
        <f aca="false">_xlfn.MINIFS($B$2:$B$2705,$A$2:$A$2705,A559)</f>
        <v>1901</v>
      </c>
      <c r="U559" s="3" t="n">
        <f aca="false">B559-T559</f>
        <v>34</v>
      </c>
      <c r="V559" s="3" t="str">
        <f aca="false">INDEX(Pop_Inputs!$Q$2:$Q$29,MATCH(C559,Pop_Inputs!$A$2:$A$29,0))</f>
        <v>Midwest</v>
      </c>
      <c r="W559" s="30"/>
      <c r="X559" s="3" t="str">
        <f aca="false">IF(W559="","",LN(W559))</f>
        <v/>
      </c>
      <c r="Y559" s="3" t="str">
        <f aca="false">IF(X559="","",X559-AVERAGEIFS($X$2:$X$2705,$B$2:$B$2705,B559))</f>
        <v/>
      </c>
      <c r="Z559" s="21" t="n">
        <f aca="false">P559</f>
        <v>-0.800956077116558</v>
      </c>
      <c r="AA559" s="3" t="n">
        <f aca="false">R559</f>
        <v>0</v>
      </c>
      <c r="AB559" s="21" t="n">
        <f aca="false">P559</f>
        <v>-0.800956077116558</v>
      </c>
      <c r="AC559" s="3" t="str">
        <f aca="false">Y559</f>
        <v/>
      </c>
      <c r="AD559" s="3" t="n">
        <f aca="false">R559</f>
        <v>0</v>
      </c>
    </row>
    <row r="560" customFormat="false" ht="15" hidden="false" customHeight="true" outlineLevel="0" collapsed="false">
      <c r="A560" s="7" t="s">
        <v>54</v>
      </c>
      <c r="B560" s="7" t="n">
        <v>1936</v>
      </c>
      <c r="C560" s="7" t="s">
        <v>150</v>
      </c>
      <c r="D560" s="7" t="n">
        <v>71</v>
      </c>
      <c r="E560" s="7" t="n">
        <v>83</v>
      </c>
      <c r="F560" s="3" t="n">
        <f aca="false">COUNTIFS($B$2:$B$2705,B560,$C$2:$C$2705,C560)</f>
        <v>2</v>
      </c>
      <c r="G560" s="3" t="n">
        <f aca="false">MIN(INT((MIN(B560,2020)-1900)/10)+1,12)</f>
        <v>4</v>
      </c>
      <c r="H560" s="3" t="n">
        <f aca="false">(MIN(B560,2020)-1900-10*(G560-1))/10</f>
        <v>0.6</v>
      </c>
      <c r="I560" s="20" t="n">
        <f aca="false">EXP(LN(INDEX(Pop_Inputs!$B$2:$N$29,MATCH(C560,Pop_Inputs!$A$2:$A$29,0),G560))*(1-H560)+LN(INDEX(Pop_Inputs!$B$2:$N$29,MATCH(C560,Pop_Inputs!$A$2:$A$29,0),G560+1))*H560)</f>
        <v>774948.171434022</v>
      </c>
      <c r="J560" s="20" t="n">
        <f aca="false">I560/F560</f>
        <v>387474.085717011</v>
      </c>
      <c r="K560" s="21" t="n">
        <f aca="false">D560/(D560+E560)</f>
        <v>0.461038961038961</v>
      </c>
      <c r="L560" s="21" t="n">
        <f aca="false">AVERAGEIFS($K$2:$K$2705,$B$2:$B$2705,B560)</f>
        <v>0.499962780491486</v>
      </c>
      <c r="M560" s="21" t="n">
        <f aca="false">K560-L560</f>
        <v>-0.0389238194525252</v>
      </c>
      <c r="N560" s="21" t="n">
        <f aca="false">LN(J560)</f>
        <v>12.8674042499703</v>
      </c>
      <c r="O560" s="21" t="n">
        <f aca="false">AVERAGEIFS($N$2:$N$2705,$B$2:$B$2705,B560)</f>
        <v>13.7267746708048</v>
      </c>
      <c r="P560" s="21" t="n">
        <f aca="false">N560-O560</f>
        <v>-0.859370420834575</v>
      </c>
      <c r="Q560" s="7" t="n">
        <v>0</v>
      </c>
      <c r="R560" s="3" t="n">
        <f aca="false">IF(AND(Q560=1,B560-_xlfn.MINIFS($B$2:$B$2705,$A$2:$A$2705,A560)&lt;10),1,0)</f>
        <v>0</v>
      </c>
      <c r="S560" s="7" t="n">
        <v>0</v>
      </c>
      <c r="T560" s="3" t="n">
        <f aca="false">_xlfn.MINIFS($B$2:$B$2705,$A$2:$A$2705,A560)</f>
        <v>1901</v>
      </c>
      <c r="U560" s="3" t="n">
        <f aca="false">B560-T560</f>
        <v>35</v>
      </c>
      <c r="V560" s="3" t="str">
        <f aca="false">INDEX(Pop_Inputs!$Q$2:$Q$29,MATCH(C560,Pop_Inputs!$A$2:$A$29,0))</f>
        <v>Northeast</v>
      </c>
      <c r="W560" s="30"/>
      <c r="X560" s="3" t="str">
        <f aca="false">IF(W560="","",LN(W560))</f>
        <v/>
      </c>
      <c r="Y560" s="3" t="str">
        <f aca="false">IF(X560="","",X560-AVERAGEIFS($X$2:$X$2705,$B$2:$B$2705,B560))</f>
        <v/>
      </c>
      <c r="Z560" s="21" t="n">
        <f aca="false">P560</f>
        <v>-0.859370420834575</v>
      </c>
      <c r="AA560" s="3" t="n">
        <f aca="false">R560</f>
        <v>0</v>
      </c>
      <c r="AB560" s="21" t="n">
        <f aca="false">P560</f>
        <v>-0.859370420834575</v>
      </c>
      <c r="AC560" s="3" t="str">
        <f aca="false">Y560</f>
        <v/>
      </c>
      <c r="AD560" s="3" t="n">
        <f aca="false">R560</f>
        <v>0</v>
      </c>
    </row>
    <row r="561" customFormat="false" ht="15" hidden="false" customHeight="true" outlineLevel="0" collapsed="false">
      <c r="A561" s="7" t="s">
        <v>63</v>
      </c>
      <c r="B561" s="7" t="n">
        <v>1936</v>
      </c>
      <c r="C561" s="7" t="s">
        <v>145</v>
      </c>
      <c r="D561" s="7" t="n">
        <v>57</v>
      </c>
      <c r="E561" s="7" t="n">
        <v>95</v>
      </c>
      <c r="F561" s="3" t="n">
        <f aca="false">COUNTIFS($B$2:$B$2705,B561,$C$2:$C$2705,C561)</f>
        <v>2</v>
      </c>
      <c r="G561" s="3" t="n">
        <f aca="false">MIN(INT((MIN(B561,2020)-1900)/10)+1,12)</f>
        <v>4</v>
      </c>
      <c r="H561" s="3" t="n">
        <f aca="false">(MIN(B561,2020)-1900-10*(G561-1))/10</f>
        <v>0.6</v>
      </c>
      <c r="I561" s="20" t="n">
        <f aca="false">EXP(LN(INDEX(Pop_Inputs!$B$2:$N$29,MATCH(C561,Pop_Inputs!$A$2:$A$29,0),G561))*(1-H561)+LN(INDEX(Pop_Inputs!$B$2:$N$29,MATCH(C561,Pop_Inputs!$A$2:$A$29,0),G561+1))*H561)</f>
        <v>818407.680105696</v>
      </c>
      <c r="J561" s="20" t="n">
        <f aca="false">I561/F561</f>
        <v>409203.840052848</v>
      </c>
      <c r="K561" s="21" t="n">
        <f aca="false">D561/(D561+E561)</f>
        <v>0.375</v>
      </c>
      <c r="L561" s="21" t="n">
        <f aca="false">AVERAGEIFS($K$2:$K$2705,$B$2:$B$2705,B561)</f>
        <v>0.499962780491486</v>
      </c>
      <c r="M561" s="21" t="n">
        <f aca="false">K561-L561</f>
        <v>-0.124962780491486</v>
      </c>
      <c r="N561" s="21" t="n">
        <f aca="false">LN(J561)</f>
        <v>12.9219686973089</v>
      </c>
      <c r="O561" s="21" t="n">
        <f aca="false">AVERAGEIFS($N$2:$N$2705,$B$2:$B$2705,B561)</f>
        <v>13.7267746708048</v>
      </c>
      <c r="P561" s="21" t="n">
        <f aca="false">N561-O561</f>
        <v>-0.80480597349589</v>
      </c>
      <c r="Q561" s="7" t="n">
        <v>0</v>
      </c>
      <c r="R561" s="3" t="n">
        <f aca="false">IF(AND(Q561=1,B561-_xlfn.MINIFS($B$2:$B$2705,$A$2:$A$2705,A561)&lt;10),1,0)</f>
        <v>0</v>
      </c>
      <c r="S561" s="7" t="n">
        <v>0</v>
      </c>
      <c r="T561" s="3" t="n">
        <f aca="false">_xlfn.MINIFS($B$2:$B$2705,$A$2:$A$2705,A561)</f>
        <v>1901</v>
      </c>
      <c r="U561" s="3" t="n">
        <f aca="false">B561-T561</f>
        <v>35</v>
      </c>
      <c r="V561" s="3" t="str">
        <f aca="false">INDEX(Pop_Inputs!$Q$2:$Q$29,MATCH(C561,Pop_Inputs!$A$2:$A$29,0))</f>
        <v>Midwest</v>
      </c>
      <c r="W561" s="30"/>
      <c r="X561" s="3" t="str">
        <f aca="false">IF(W561="","",LN(W561))</f>
        <v/>
      </c>
      <c r="Y561" s="3" t="str">
        <f aca="false">IF(X561="","",X561-AVERAGEIFS($X$2:$X$2705,$B$2:$B$2705,B561))</f>
        <v/>
      </c>
      <c r="Z561" s="21" t="n">
        <f aca="false">P561</f>
        <v>-0.80480597349589</v>
      </c>
      <c r="AA561" s="3" t="n">
        <f aca="false">R561</f>
        <v>0</v>
      </c>
      <c r="AB561" s="21" t="n">
        <f aca="false">P561</f>
        <v>-0.80480597349589</v>
      </c>
      <c r="AC561" s="3" t="str">
        <f aca="false">Y561</f>
        <v/>
      </c>
      <c r="AD561" s="3" t="n">
        <f aca="false">R561</f>
        <v>0</v>
      </c>
    </row>
    <row r="562" customFormat="false" ht="15" hidden="false" customHeight="true" outlineLevel="0" collapsed="false">
      <c r="A562" s="7" t="s">
        <v>64</v>
      </c>
      <c r="B562" s="7" t="n">
        <v>1936</v>
      </c>
      <c r="C562" s="7" t="s">
        <v>150</v>
      </c>
      <c r="D562" s="7" t="n">
        <v>74</v>
      </c>
      <c r="E562" s="7" t="n">
        <v>80</v>
      </c>
      <c r="F562" s="3" t="n">
        <f aca="false">COUNTIFS($B$2:$B$2705,B562,$C$2:$C$2705,C562)</f>
        <v>2</v>
      </c>
      <c r="G562" s="3" t="n">
        <f aca="false">MIN(INT((MIN(B562,2020)-1900)/10)+1,12)</f>
        <v>4</v>
      </c>
      <c r="H562" s="3" t="n">
        <f aca="false">(MIN(B562,2020)-1900-10*(G562-1))/10</f>
        <v>0.6</v>
      </c>
      <c r="I562" s="20" t="n">
        <f aca="false">EXP(LN(INDEX(Pop_Inputs!$B$2:$N$29,MATCH(C562,Pop_Inputs!$A$2:$A$29,0),G562))*(1-H562)+LN(INDEX(Pop_Inputs!$B$2:$N$29,MATCH(C562,Pop_Inputs!$A$2:$A$29,0),G562+1))*H562)</f>
        <v>774948.171434022</v>
      </c>
      <c r="J562" s="20" t="n">
        <f aca="false">I562/F562</f>
        <v>387474.085717011</v>
      </c>
      <c r="K562" s="21" t="n">
        <f aca="false">D562/(D562+E562)</f>
        <v>0.480519480519481</v>
      </c>
      <c r="L562" s="21" t="n">
        <f aca="false">AVERAGEIFS($K$2:$K$2705,$B$2:$B$2705,B562)</f>
        <v>0.499962780491486</v>
      </c>
      <c r="M562" s="21" t="n">
        <f aca="false">K562-L562</f>
        <v>-0.0194432999720057</v>
      </c>
      <c r="N562" s="21" t="n">
        <f aca="false">LN(J562)</f>
        <v>12.8674042499703</v>
      </c>
      <c r="O562" s="21" t="n">
        <f aca="false">AVERAGEIFS($N$2:$N$2705,$B$2:$B$2705,B562)</f>
        <v>13.7267746708048</v>
      </c>
      <c r="P562" s="21" t="n">
        <f aca="false">N562-O562</f>
        <v>-0.859370420834575</v>
      </c>
      <c r="Q562" s="7" t="n">
        <v>0</v>
      </c>
      <c r="R562" s="3" t="n">
        <f aca="false">IF(AND(Q562=1,B562-_xlfn.MINIFS($B$2:$B$2705,$A$2:$A$2705,A562)&lt;10),1,0)</f>
        <v>0</v>
      </c>
      <c r="S562" s="7" t="n">
        <v>0</v>
      </c>
      <c r="T562" s="3" t="n">
        <f aca="false">_xlfn.MINIFS($B$2:$B$2705,$A$2:$A$2705,A562)</f>
        <v>1901</v>
      </c>
      <c r="U562" s="3" t="n">
        <f aca="false">B562-T562</f>
        <v>35</v>
      </c>
      <c r="V562" s="3" t="str">
        <f aca="false">INDEX(Pop_Inputs!$Q$2:$Q$29,MATCH(C562,Pop_Inputs!$A$2:$A$29,0))</f>
        <v>Northeast</v>
      </c>
      <c r="W562" s="30"/>
      <c r="X562" s="3" t="str">
        <f aca="false">IF(W562="","",LN(W562))</f>
        <v/>
      </c>
      <c r="Y562" s="3" t="str">
        <f aca="false">IF(X562="","",X562-AVERAGEIFS($X$2:$X$2705,$B$2:$B$2705,B562))</f>
        <v/>
      </c>
      <c r="Z562" s="21" t="n">
        <f aca="false">P562</f>
        <v>-0.859370420834575</v>
      </c>
      <c r="AA562" s="3" t="n">
        <f aca="false">R562</f>
        <v>0</v>
      </c>
      <c r="AB562" s="21" t="n">
        <f aca="false">P562</f>
        <v>-0.859370420834575</v>
      </c>
      <c r="AC562" s="3" t="str">
        <f aca="false">Y562</f>
        <v/>
      </c>
      <c r="AD562" s="3" t="n">
        <f aca="false">R562</f>
        <v>0</v>
      </c>
    </row>
    <row r="563" customFormat="false" ht="15" hidden="false" customHeight="true" outlineLevel="0" collapsed="false">
      <c r="A563" s="7" t="s">
        <v>56</v>
      </c>
      <c r="B563" s="7" t="n">
        <v>1936</v>
      </c>
      <c r="C563" s="7" t="s">
        <v>142</v>
      </c>
      <c r="D563" s="7" t="n">
        <v>87</v>
      </c>
      <c r="E563" s="7" t="n">
        <v>67</v>
      </c>
      <c r="F563" s="3" t="n">
        <f aca="false">COUNTIFS($B$2:$B$2705,B563,$C$2:$C$2705,C563)</f>
        <v>2</v>
      </c>
      <c r="G563" s="3" t="n">
        <f aca="false">MIN(INT((MIN(B563,2020)-1900)/10)+1,12)</f>
        <v>4</v>
      </c>
      <c r="H563" s="3" t="n">
        <f aca="false">(MIN(B563,2020)-1900-10*(G563-1))/10</f>
        <v>0.6</v>
      </c>
      <c r="I563" s="20" t="n">
        <f aca="false">EXP(LN(INDEX(Pop_Inputs!$B$2:$N$29,MATCH(C563,Pop_Inputs!$A$2:$A$29,0),G563))*(1-H563)+LN(INDEX(Pop_Inputs!$B$2:$N$29,MATCH(C563,Pop_Inputs!$A$2:$A$29,0),G563+1))*H563)</f>
        <v>3388645.29434033</v>
      </c>
      <c r="J563" s="20" t="n">
        <f aca="false">I563/F563</f>
        <v>1694322.64717017</v>
      </c>
      <c r="K563" s="21" t="n">
        <f aca="false">D563/(D563+E563)</f>
        <v>0.564935064935065</v>
      </c>
      <c r="L563" s="21" t="n">
        <f aca="false">AVERAGEIFS($K$2:$K$2705,$B$2:$B$2705,B563)</f>
        <v>0.499962780491486</v>
      </c>
      <c r="M563" s="21" t="n">
        <f aca="false">K563-L563</f>
        <v>0.0649722844435788</v>
      </c>
      <c r="N563" s="21" t="n">
        <f aca="false">LN(J563)</f>
        <v>14.3427936007394</v>
      </c>
      <c r="O563" s="21" t="n">
        <f aca="false">AVERAGEIFS($N$2:$N$2705,$B$2:$B$2705,B563)</f>
        <v>13.7267746708048</v>
      </c>
      <c r="P563" s="21" t="n">
        <f aca="false">N563-O563</f>
        <v>0.61601892993453</v>
      </c>
      <c r="Q563" s="7" t="n">
        <v>0</v>
      </c>
      <c r="R563" s="3" t="n">
        <f aca="false">IF(AND(Q563=1,B563-_xlfn.MINIFS($B$2:$B$2705,$A$2:$A$2705,A563)&lt;10),1,0)</f>
        <v>0</v>
      </c>
      <c r="S563" s="7" t="n">
        <v>0</v>
      </c>
      <c r="T563" s="3" t="n">
        <f aca="false">_xlfn.MINIFS($B$2:$B$2705,$A$2:$A$2705,A563)</f>
        <v>1901</v>
      </c>
      <c r="U563" s="3" t="n">
        <f aca="false">B563-T563</f>
        <v>35</v>
      </c>
      <c r="V563" s="3" t="str">
        <f aca="false">INDEX(Pop_Inputs!$Q$2:$Q$29,MATCH(C563,Pop_Inputs!$A$2:$A$29,0))</f>
        <v>Midwest</v>
      </c>
      <c r="W563" s="30"/>
      <c r="X563" s="3" t="str">
        <f aca="false">IF(W563="","",LN(W563))</f>
        <v/>
      </c>
      <c r="Y563" s="3" t="str">
        <f aca="false">IF(X563="","",X563-AVERAGEIFS($X$2:$X$2705,$B$2:$B$2705,B563))</f>
        <v/>
      </c>
      <c r="Z563" s="21" t="n">
        <f aca="false">P563</f>
        <v>0.61601892993453</v>
      </c>
      <c r="AA563" s="3" t="n">
        <f aca="false">R563</f>
        <v>0</v>
      </c>
      <c r="AB563" s="21" t="n">
        <f aca="false">P563</f>
        <v>0.61601892993453</v>
      </c>
      <c r="AC563" s="3" t="str">
        <f aca="false">Y563</f>
        <v/>
      </c>
      <c r="AD563" s="3" t="n">
        <f aca="false">R563</f>
        <v>0</v>
      </c>
    </row>
    <row r="564" customFormat="false" ht="15" hidden="false" customHeight="true" outlineLevel="0" collapsed="false">
      <c r="A564" s="7" t="s">
        <v>65</v>
      </c>
      <c r="B564" s="7" t="n">
        <v>1936</v>
      </c>
      <c r="C564" s="7" t="s">
        <v>142</v>
      </c>
      <c r="D564" s="7" t="n">
        <v>81</v>
      </c>
      <c r="E564" s="7" t="n">
        <v>70</v>
      </c>
      <c r="F564" s="3" t="n">
        <f aca="false">COUNTIFS($B$2:$B$2705,B564,$C$2:$C$2705,C564)</f>
        <v>2</v>
      </c>
      <c r="G564" s="3" t="n">
        <f aca="false">MIN(INT((MIN(B564,2020)-1900)/10)+1,12)</f>
        <v>4</v>
      </c>
      <c r="H564" s="3" t="n">
        <f aca="false">(MIN(B564,2020)-1900-10*(G564-1))/10</f>
        <v>0.6</v>
      </c>
      <c r="I564" s="20" t="n">
        <f aca="false">EXP(LN(INDEX(Pop_Inputs!$B$2:$N$29,MATCH(C564,Pop_Inputs!$A$2:$A$29,0),G564))*(1-H564)+LN(INDEX(Pop_Inputs!$B$2:$N$29,MATCH(C564,Pop_Inputs!$A$2:$A$29,0),G564+1))*H564)</f>
        <v>3388645.29434033</v>
      </c>
      <c r="J564" s="20" t="n">
        <f aca="false">I564/F564</f>
        <v>1694322.64717017</v>
      </c>
      <c r="K564" s="21" t="n">
        <f aca="false">D564/(D564+E564)</f>
        <v>0.536423841059603</v>
      </c>
      <c r="L564" s="21" t="n">
        <f aca="false">AVERAGEIFS($K$2:$K$2705,$B$2:$B$2705,B564)</f>
        <v>0.499962780491486</v>
      </c>
      <c r="M564" s="21" t="n">
        <f aca="false">K564-L564</f>
        <v>0.0364610605681164</v>
      </c>
      <c r="N564" s="21" t="n">
        <f aca="false">LN(J564)</f>
        <v>14.3427936007394</v>
      </c>
      <c r="O564" s="21" t="n">
        <f aca="false">AVERAGEIFS($N$2:$N$2705,$B$2:$B$2705,B564)</f>
        <v>13.7267746708048</v>
      </c>
      <c r="P564" s="21" t="n">
        <f aca="false">N564-O564</f>
        <v>0.61601892993453</v>
      </c>
      <c r="Q564" s="7" t="n">
        <v>0</v>
      </c>
      <c r="R564" s="3" t="n">
        <f aca="false">IF(AND(Q564=1,B564-_xlfn.MINIFS($B$2:$B$2705,$A$2:$A$2705,A564)&lt;10),1,0)</f>
        <v>0</v>
      </c>
      <c r="S564" s="7" t="n">
        <v>0</v>
      </c>
      <c r="T564" s="3" t="n">
        <f aca="false">_xlfn.MINIFS($B$2:$B$2705,$A$2:$A$2705,A564)</f>
        <v>1901</v>
      </c>
      <c r="U564" s="3" t="n">
        <f aca="false">B564-T564</f>
        <v>35</v>
      </c>
      <c r="V564" s="3" t="str">
        <f aca="false">INDEX(Pop_Inputs!$Q$2:$Q$29,MATCH(C564,Pop_Inputs!$A$2:$A$29,0))</f>
        <v>Midwest</v>
      </c>
      <c r="W564" s="30"/>
      <c r="X564" s="3" t="str">
        <f aca="false">IF(W564="","",LN(W564))</f>
        <v/>
      </c>
      <c r="Y564" s="3" t="str">
        <f aca="false">IF(X564="","",X564-AVERAGEIFS($X$2:$X$2705,$B$2:$B$2705,B564))</f>
        <v/>
      </c>
      <c r="Z564" s="21" t="n">
        <f aca="false">P564</f>
        <v>0.61601892993453</v>
      </c>
      <c r="AA564" s="3" t="n">
        <f aca="false">R564</f>
        <v>0</v>
      </c>
      <c r="AB564" s="21" t="n">
        <f aca="false">P564</f>
        <v>0.61601892993453</v>
      </c>
      <c r="AC564" s="3" t="str">
        <f aca="false">Y564</f>
        <v/>
      </c>
      <c r="AD564" s="3" t="n">
        <f aca="false">R564</f>
        <v>0</v>
      </c>
    </row>
    <row r="565" customFormat="false" ht="15" hidden="false" customHeight="true" outlineLevel="0" collapsed="false">
      <c r="A565" s="7" t="s">
        <v>57</v>
      </c>
      <c r="B565" s="7" t="n">
        <v>1936</v>
      </c>
      <c r="C565" s="7" t="s">
        <v>143</v>
      </c>
      <c r="D565" s="7" t="n">
        <v>74</v>
      </c>
      <c r="E565" s="7" t="n">
        <v>80</v>
      </c>
      <c r="F565" s="3" t="n">
        <f aca="false">COUNTIFS($B$2:$B$2705,B565,$C$2:$C$2705,C565)</f>
        <v>1</v>
      </c>
      <c r="G565" s="3" t="n">
        <f aca="false">MIN(INT((MIN(B565,2020)-1900)/10)+1,12)</f>
        <v>4</v>
      </c>
      <c r="H565" s="3" t="n">
        <f aca="false">(MIN(B565,2020)-1900-10*(G565-1))/10</f>
        <v>0.6</v>
      </c>
      <c r="I565" s="20" t="n">
        <f aca="false">EXP(LN(INDEX(Pop_Inputs!$B$2:$N$29,MATCH(C565,Pop_Inputs!$A$2:$A$29,0),G565))*(1-H565)+LN(INDEX(Pop_Inputs!$B$2:$N$29,MATCH(C565,Pop_Inputs!$A$2:$A$29,0),G565+1))*H565)</f>
        <v>453824.757012342</v>
      </c>
      <c r="J565" s="20" t="n">
        <f aca="false">I565/F565</f>
        <v>453824.757012342</v>
      </c>
      <c r="K565" s="21" t="n">
        <f aca="false">D565/(D565+E565)</f>
        <v>0.480519480519481</v>
      </c>
      <c r="L565" s="21" t="n">
        <f aca="false">AVERAGEIFS($K$2:$K$2705,$B$2:$B$2705,B565)</f>
        <v>0.499962780491486</v>
      </c>
      <c r="M565" s="21" t="n">
        <f aca="false">K565-L565</f>
        <v>-0.0194432999720057</v>
      </c>
      <c r="N565" s="21" t="n">
        <f aca="false">LN(J565)</f>
        <v>13.025466404737</v>
      </c>
      <c r="O565" s="21" t="n">
        <f aca="false">AVERAGEIFS($N$2:$N$2705,$B$2:$B$2705,B565)</f>
        <v>13.7267746708048</v>
      </c>
      <c r="P565" s="21" t="n">
        <f aca="false">N565-O565</f>
        <v>-0.701308266067841</v>
      </c>
      <c r="Q565" s="7" t="n">
        <v>0</v>
      </c>
      <c r="R565" s="3" t="n">
        <f aca="false">IF(AND(Q565=1,B565-_xlfn.MINIFS($B$2:$B$2705,$A$2:$A$2705,A565)&lt;10),1,0)</f>
        <v>0</v>
      </c>
      <c r="S565" s="7" t="n">
        <v>0</v>
      </c>
      <c r="T565" s="3" t="n">
        <f aca="false">_xlfn.MINIFS($B$2:$B$2705,$A$2:$A$2705,A565)</f>
        <v>1901</v>
      </c>
      <c r="U565" s="3" t="n">
        <f aca="false">B565-T565</f>
        <v>35</v>
      </c>
      <c r="V565" s="3" t="str">
        <f aca="false">INDEX(Pop_Inputs!$Q$2:$Q$29,MATCH(C565,Pop_Inputs!$A$2:$A$29,0))</f>
        <v>Midwest</v>
      </c>
      <c r="W565" s="30"/>
      <c r="X565" s="3" t="str">
        <f aca="false">IF(W565="","",LN(W565))</f>
        <v/>
      </c>
      <c r="Y565" s="3" t="str">
        <f aca="false">IF(X565="","",X565-AVERAGEIFS($X$2:$X$2705,$B$2:$B$2705,B565))</f>
        <v/>
      </c>
      <c r="Z565" s="21" t="n">
        <f aca="false">P565</f>
        <v>-0.701308266067841</v>
      </c>
      <c r="AA565" s="3" t="n">
        <f aca="false">R565</f>
        <v>0</v>
      </c>
      <c r="AB565" s="21" t="n">
        <f aca="false">P565</f>
        <v>-0.701308266067841</v>
      </c>
      <c r="AC565" s="3" t="str">
        <f aca="false">Y565</f>
        <v/>
      </c>
      <c r="AD565" s="3" t="n">
        <f aca="false">R565</f>
        <v>0</v>
      </c>
    </row>
    <row r="566" customFormat="false" ht="15" hidden="false" customHeight="true" outlineLevel="0" collapsed="false">
      <c r="A566" s="7" t="s">
        <v>66</v>
      </c>
      <c r="B566" s="7" t="n">
        <v>1936</v>
      </c>
      <c r="C566" s="7" t="s">
        <v>151</v>
      </c>
      <c r="D566" s="7" t="n">
        <v>80</v>
      </c>
      <c r="E566" s="7" t="n">
        <v>74</v>
      </c>
      <c r="F566" s="3" t="n">
        <f aca="false">COUNTIFS($B$2:$B$2705,B566,$C$2:$C$2705,C566)</f>
        <v>1</v>
      </c>
      <c r="G566" s="3" t="n">
        <f aca="false">MIN(INT((MIN(B566,2020)-1900)/10)+1,12)</f>
        <v>4</v>
      </c>
      <c r="H566" s="3" t="n">
        <f aca="false">(MIN(B566,2020)-1900-10*(G566-1))/10</f>
        <v>0.6</v>
      </c>
      <c r="I566" s="20" t="n">
        <f aca="false">EXP(LN(INDEX(Pop_Inputs!$B$2:$N$29,MATCH(C566,Pop_Inputs!$A$2:$A$29,0),G566))*(1-H566)+LN(INDEX(Pop_Inputs!$B$2:$N$29,MATCH(C566,Pop_Inputs!$A$2:$A$29,0),G566+1))*H566)</f>
        <v>887107.394945735</v>
      </c>
      <c r="J566" s="20" t="n">
        <f aca="false">I566/F566</f>
        <v>887107.394945735</v>
      </c>
      <c r="K566" s="21" t="n">
        <f aca="false">D566/(D566+E566)</f>
        <v>0.519480519480519</v>
      </c>
      <c r="L566" s="21" t="n">
        <f aca="false">AVERAGEIFS($K$2:$K$2705,$B$2:$B$2705,B566)</f>
        <v>0.499962780491486</v>
      </c>
      <c r="M566" s="21" t="n">
        <f aca="false">K566-L566</f>
        <v>0.0195177389890333</v>
      </c>
      <c r="N566" s="21" t="n">
        <f aca="false">LN(J566)</f>
        <v>13.6957213305643</v>
      </c>
      <c r="O566" s="21" t="n">
        <f aca="false">AVERAGEIFS($N$2:$N$2705,$B$2:$B$2705,B566)</f>
        <v>13.7267746708048</v>
      </c>
      <c r="P566" s="21" t="n">
        <f aca="false">N566-O566</f>
        <v>-0.0310533402405717</v>
      </c>
      <c r="Q566" s="7" t="n">
        <v>0</v>
      </c>
      <c r="R566" s="3" t="n">
        <f aca="false">IF(AND(Q566=1,B566-_xlfn.MINIFS($B$2:$B$2705,$A$2:$A$2705,A566)&lt;10),1,0)</f>
        <v>0</v>
      </c>
      <c r="S566" s="7" t="n">
        <v>0</v>
      </c>
      <c r="T566" s="3" t="n">
        <f aca="false">_xlfn.MINIFS($B$2:$B$2705,$A$2:$A$2705,A566)</f>
        <v>1901</v>
      </c>
      <c r="U566" s="3" t="n">
        <f aca="false">B566-T566</f>
        <v>35</v>
      </c>
      <c r="V566" s="3" t="str">
        <f aca="false">INDEX(Pop_Inputs!$Q$2:$Q$29,MATCH(C566,Pop_Inputs!$A$2:$A$29,0))</f>
        <v>Midwest</v>
      </c>
      <c r="W566" s="30"/>
      <c r="X566" s="3" t="str">
        <f aca="false">IF(W566="","",LN(W566))</f>
        <v/>
      </c>
      <c r="Y566" s="3" t="str">
        <f aca="false">IF(X566="","",X566-AVERAGEIFS($X$2:$X$2705,$B$2:$B$2705,B566))</f>
        <v/>
      </c>
      <c r="Z566" s="21" t="n">
        <f aca="false">P566</f>
        <v>-0.0310533402405717</v>
      </c>
      <c r="AA566" s="3" t="n">
        <f aca="false">R566</f>
        <v>0</v>
      </c>
      <c r="AB566" s="21" t="n">
        <f aca="false">P566</f>
        <v>-0.0310533402405717</v>
      </c>
      <c r="AC566" s="3" t="str">
        <f aca="false">Y566</f>
        <v/>
      </c>
      <c r="AD566" s="3" t="n">
        <f aca="false">R566</f>
        <v>0</v>
      </c>
    </row>
    <row r="567" customFormat="false" ht="15" hidden="false" customHeight="true" outlineLevel="0" collapsed="false">
      <c r="A567" s="7" t="s">
        <v>67</v>
      </c>
      <c r="B567" s="7" t="n">
        <v>1936</v>
      </c>
      <c r="C567" s="7" t="s">
        <v>152</v>
      </c>
      <c r="D567" s="7" t="n">
        <v>83</v>
      </c>
      <c r="E567" s="7" t="n">
        <v>71</v>
      </c>
      <c r="F567" s="3" t="n">
        <f aca="false">COUNTIFS($B$2:$B$2705,B567,$C$2:$C$2705,C567)</f>
        <v>1</v>
      </c>
      <c r="G567" s="3" t="n">
        <f aca="false">MIN(INT((MIN(B567,2020)-1900)/10)+1,12)</f>
        <v>4</v>
      </c>
      <c r="H567" s="3" t="n">
        <f aca="false">(MIN(B567,2020)-1900-10*(G567-1))/10</f>
        <v>0.6</v>
      </c>
      <c r="I567" s="20" t="n">
        <f aca="false">EXP(LN(INDEX(Pop_Inputs!$B$2:$N$29,MATCH(C567,Pop_Inputs!$A$2:$A$29,0),G567))*(1-H567)+LN(INDEX(Pop_Inputs!$B$2:$N$29,MATCH(C567,Pop_Inputs!$A$2:$A$29,0),G567+1))*H567)</f>
        <v>1601310.02282255</v>
      </c>
      <c r="J567" s="20" t="n">
        <f aca="false">I567/F567</f>
        <v>1601310.02282255</v>
      </c>
      <c r="K567" s="21" t="n">
        <f aca="false">D567/(D567+E567)</f>
        <v>0.538961038961039</v>
      </c>
      <c r="L567" s="21" t="n">
        <f aca="false">AVERAGEIFS($K$2:$K$2705,$B$2:$B$2705,B567)</f>
        <v>0.499962780491486</v>
      </c>
      <c r="M567" s="21" t="n">
        <f aca="false">K567-L567</f>
        <v>0.0389982584695528</v>
      </c>
      <c r="N567" s="21" t="n">
        <f aca="false">LN(J567)</f>
        <v>14.2863326164695</v>
      </c>
      <c r="O567" s="21" t="n">
        <f aca="false">AVERAGEIFS($N$2:$N$2705,$B$2:$B$2705,B567)</f>
        <v>13.7267746708048</v>
      </c>
      <c r="P567" s="21" t="n">
        <f aca="false">N567-O567</f>
        <v>0.55955794566465</v>
      </c>
      <c r="Q567" s="7" t="n">
        <v>0</v>
      </c>
      <c r="R567" s="3" t="n">
        <f aca="false">IF(AND(Q567=1,B567-_xlfn.MINIFS($B$2:$B$2705,$A$2:$A$2705,A567)&lt;10),1,0)</f>
        <v>0</v>
      </c>
      <c r="S567" s="7" t="n">
        <v>0</v>
      </c>
      <c r="T567" s="3" t="n">
        <f aca="false">_xlfn.MINIFS($B$2:$B$2705,$A$2:$A$2705,A567)</f>
        <v>1901</v>
      </c>
      <c r="U567" s="3" t="n">
        <f aca="false">B567-T567</f>
        <v>35</v>
      </c>
      <c r="V567" s="3" t="str">
        <f aca="false">INDEX(Pop_Inputs!$Q$2:$Q$29,MATCH(C567,Pop_Inputs!$A$2:$A$29,0))</f>
        <v>Midwest</v>
      </c>
      <c r="W567" s="30"/>
      <c r="X567" s="3" t="str">
        <f aca="false">IF(W567="","",LN(W567))</f>
        <v/>
      </c>
      <c r="Y567" s="3" t="str">
        <f aca="false">IF(X567="","",X567-AVERAGEIFS($X$2:$X$2705,$B$2:$B$2705,B567))</f>
        <v/>
      </c>
      <c r="Z567" s="21" t="n">
        <f aca="false">P567</f>
        <v>0.55955794566465</v>
      </c>
      <c r="AA567" s="3" t="n">
        <f aca="false">R567</f>
        <v>0</v>
      </c>
      <c r="AB567" s="21" t="n">
        <f aca="false">P567</f>
        <v>0.55955794566465</v>
      </c>
      <c r="AC567" s="3" t="str">
        <f aca="false">Y567</f>
        <v/>
      </c>
      <c r="AD567" s="3" t="n">
        <f aca="false">R567</f>
        <v>0</v>
      </c>
    </row>
    <row r="568" customFormat="false" ht="15" hidden="false" customHeight="true" outlineLevel="0" collapsed="false">
      <c r="A568" s="7" t="s">
        <v>62</v>
      </c>
      <c r="B568" s="7" t="n">
        <v>1936</v>
      </c>
      <c r="C568" s="7" t="s">
        <v>154</v>
      </c>
      <c r="D568" s="7" t="n">
        <v>67</v>
      </c>
      <c r="E568" s="7" t="n">
        <v>87</v>
      </c>
      <c r="F568" s="3" t="n">
        <f aca="false">COUNTIFS($B$2:$B$2705,B568,$C$2:$C$2705,C568)</f>
        <v>3</v>
      </c>
      <c r="G568" s="3" t="n">
        <f aca="false">MIN(INT((MIN(B568,2020)-1900)/10)+1,12)</f>
        <v>4</v>
      </c>
      <c r="H568" s="3" t="n">
        <f aca="false">(MIN(B568,2020)-1900-10*(G568-1))/10</f>
        <v>0.6</v>
      </c>
      <c r="I568" s="20" t="n">
        <f aca="false">EXP(LN(INDEX(Pop_Inputs!$B$2:$N$29,MATCH(C568,Pop_Inputs!$A$2:$A$29,0),G568))*(1-H568)+LN(INDEX(Pop_Inputs!$B$2:$N$29,MATCH(C568,Pop_Inputs!$A$2:$A$29,0),G568+1))*H568)</f>
        <v>7240572.18327193</v>
      </c>
      <c r="J568" s="20" t="n">
        <f aca="false">I568/F568</f>
        <v>2413524.06109064</v>
      </c>
      <c r="K568" s="21" t="n">
        <f aca="false">D568/(D568+E568)</f>
        <v>0.435064935064935</v>
      </c>
      <c r="L568" s="21" t="n">
        <f aca="false">AVERAGEIFS($K$2:$K$2705,$B$2:$B$2705,B568)</f>
        <v>0.499962780491486</v>
      </c>
      <c r="M568" s="21" t="n">
        <f aca="false">K568-L568</f>
        <v>-0.0648978454265511</v>
      </c>
      <c r="N568" s="21" t="n">
        <f aca="false">LN(J568)</f>
        <v>14.6965985034097</v>
      </c>
      <c r="O568" s="21" t="n">
        <f aca="false">AVERAGEIFS($N$2:$N$2705,$B$2:$B$2705,B568)</f>
        <v>13.7267746708048</v>
      </c>
      <c r="P568" s="21" t="n">
        <f aca="false">N568-O568</f>
        <v>0.969823832604844</v>
      </c>
      <c r="Q568" s="7" t="n">
        <v>0</v>
      </c>
      <c r="R568" s="3" t="n">
        <f aca="false">IF(AND(Q568=1,B568-_xlfn.MINIFS($B$2:$B$2705,$A$2:$A$2705,A568)&lt;10),1,0)</f>
        <v>0</v>
      </c>
      <c r="S568" s="7" t="n">
        <v>0</v>
      </c>
      <c r="T568" s="3" t="n">
        <f aca="false">_xlfn.MINIFS($B$2:$B$2705,$A$2:$A$2705,A568)</f>
        <v>1901</v>
      </c>
      <c r="U568" s="3" t="n">
        <f aca="false">B568-T568</f>
        <v>35</v>
      </c>
      <c r="V568" s="3" t="str">
        <f aca="false">INDEX(Pop_Inputs!$Q$2:$Q$29,MATCH(C568,Pop_Inputs!$A$2:$A$29,0))</f>
        <v>Northeast</v>
      </c>
      <c r="W568" s="30"/>
      <c r="X568" s="3" t="str">
        <f aca="false">IF(W568="","",LN(W568))</f>
        <v/>
      </c>
      <c r="Y568" s="3" t="str">
        <f aca="false">IF(X568="","",X568-AVERAGEIFS($X$2:$X$2705,$B$2:$B$2705,B568))</f>
        <v/>
      </c>
      <c r="Z568" s="21" t="n">
        <f aca="false">P568</f>
        <v>0.969823832604844</v>
      </c>
      <c r="AA568" s="3" t="n">
        <f aca="false">R568</f>
        <v>0</v>
      </c>
      <c r="AB568" s="21" t="n">
        <f aca="false">P568</f>
        <v>0.969823832604844</v>
      </c>
      <c r="AC568" s="3" t="str">
        <f aca="false">Y568</f>
        <v/>
      </c>
      <c r="AD568" s="3" t="n">
        <f aca="false">R568</f>
        <v>0</v>
      </c>
    </row>
    <row r="569" customFormat="false" ht="15" hidden="false" customHeight="true" outlineLevel="0" collapsed="false">
      <c r="A569" s="7" t="s">
        <v>68</v>
      </c>
      <c r="B569" s="7" t="n">
        <v>1936</v>
      </c>
      <c r="C569" s="7" t="s">
        <v>160</v>
      </c>
      <c r="D569" s="7" t="n">
        <v>82</v>
      </c>
      <c r="E569" s="7" t="n">
        <v>71</v>
      </c>
      <c r="F569" s="3" t="n">
        <f aca="false">COUNTIFS($B$2:$B$2705,B569,$C$2:$C$2705,C569)</f>
        <v>1</v>
      </c>
      <c r="G569" s="3" t="n">
        <f aca="false">MIN(INT((MIN(B569,2020)-1900)/10)+1,12)</f>
        <v>4</v>
      </c>
      <c r="H569" s="3" t="n">
        <f aca="false">(MIN(B569,2020)-1900-10*(G569-1))/10</f>
        <v>0.6</v>
      </c>
      <c r="I569" s="20" t="n">
        <f aca="false">EXP(LN(INDEX(Pop_Inputs!$B$2:$N$29,MATCH(C569,Pop_Inputs!$A$2:$A$29,0),G569))*(1-H569)+LN(INDEX(Pop_Inputs!$B$2:$N$29,MATCH(C569,Pop_Inputs!$A$2:$A$29,0),G569+1))*H569)</f>
        <v>586014.99537369</v>
      </c>
      <c r="J569" s="20" t="n">
        <f aca="false">I569/F569</f>
        <v>586014.99537369</v>
      </c>
      <c r="K569" s="21" t="n">
        <f aca="false">D569/(D569+E569)</f>
        <v>0.535947712418301</v>
      </c>
      <c r="L569" s="21" t="n">
        <f aca="false">AVERAGEIFS($K$2:$K$2705,$B$2:$B$2705,B569)</f>
        <v>0.499962780491486</v>
      </c>
      <c r="M569" s="21" t="n">
        <f aca="false">K569-L569</f>
        <v>0.0359849319268145</v>
      </c>
      <c r="N569" s="21" t="n">
        <f aca="false">LN(J569)</f>
        <v>13.2811006576066</v>
      </c>
      <c r="O569" s="21" t="n">
        <f aca="false">AVERAGEIFS($N$2:$N$2705,$B$2:$B$2705,B569)</f>
        <v>13.7267746708048</v>
      </c>
      <c r="P569" s="21" t="n">
        <f aca="false">N569-O569</f>
        <v>-0.445674013198193</v>
      </c>
      <c r="Q569" s="7" t="n">
        <v>0</v>
      </c>
      <c r="R569" s="3" t="n">
        <f aca="false">IF(AND(Q569=1,B569-_xlfn.MINIFS($B$2:$B$2705,$A$2:$A$2705,A569)&lt;10),1,0)</f>
        <v>0</v>
      </c>
      <c r="S569" s="7" t="n">
        <v>0</v>
      </c>
      <c r="T569" s="3" t="n">
        <f aca="false">_xlfn.MINIFS($B$2:$B$2705,$A$2:$A$2705,A569)</f>
        <v>1901</v>
      </c>
      <c r="U569" s="3" t="n">
        <f aca="false">B569-T569</f>
        <v>35</v>
      </c>
      <c r="V569" s="3" t="str">
        <f aca="false">INDEX(Pop_Inputs!$Q$2:$Q$29,MATCH(C569,Pop_Inputs!$A$2:$A$29,0))</f>
        <v>South</v>
      </c>
      <c r="W569" s="30"/>
      <c r="X569" s="3" t="str">
        <f aca="false">IF(W569="","",LN(W569))</f>
        <v/>
      </c>
      <c r="Y569" s="3" t="str">
        <f aca="false">IF(X569="","",X569-AVERAGEIFS($X$2:$X$2705,$B$2:$B$2705,B569))</f>
        <v/>
      </c>
      <c r="Z569" s="21" t="n">
        <f aca="false">P569</f>
        <v>-0.445674013198193</v>
      </c>
      <c r="AA569" s="3" t="n">
        <f aca="false">R569</f>
        <v>0</v>
      </c>
      <c r="AB569" s="21" t="n">
        <f aca="false">P569</f>
        <v>-0.445674013198193</v>
      </c>
      <c r="AC569" s="3" t="str">
        <f aca="false">Y569</f>
        <v/>
      </c>
      <c r="AD569" s="3" t="n">
        <f aca="false">R569</f>
        <v>0</v>
      </c>
    </row>
    <row r="570" customFormat="false" ht="15" hidden="false" customHeight="true" outlineLevel="0" collapsed="false">
      <c r="A570" s="7" t="s">
        <v>70</v>
      </c>
      <c r="B570" s="7" t="n">
        <v>1936</v>
      </c>
      <c r="C570" s="7" t="s">
        <v>154</v>
      </c>
      <c r="D570" s="7" t="n">
        <v>102</v>
      </c>
      <c r="E570" s="7" t="n">
        <v>51</v>
      </c>
      <c r="F570" s="3" t="n">
        <f aca="false">COUNTIFS($B$2:$B$2705,B570,$C$2:$C$2705,C570)</f>
        <v>3</v>
      </c>
      <c r="G570" s="3" t="n">
        <f aca="false">MIN(INT((MIN(B570,2020)-1900)/10)+1,12)</f>
        <v>4</v>
      </c>
      <c r="H570" s="3" t="n">
        <f aca="false">(MIN(B570,2020)-1900-10*(G570-1))/10</f>
        <v>0.6</v>
      </c>
      <c r="I570" s="20" t="n">
        <f aca="false">EXP(LN(INDEX(Pop_Inputs!$B$2:$N$29,MATCH(C570,Pop_Inputs!$A$2:$A$29,0),G570))*(1-H570)+LN(INDEX(Pop_Inputs!$B$2:$N$29,MATCH(C570,Pop_Inputs!$A$2:$A$29,0),G570+1))*H570)</f>
        <v>7240572.18327193</v>
      </c>
      <c r="J570" s="20" t="n">
        <f aca="false">I570/F570</f>
        <v>2413524.06109064</v>
      </c>
      <c r="K570" s="21" t="n">
        <f aca="false">D570/(D570+E570)</f>
        <v>0.666666666666667</v>
      </c>
      <c r="L570" s="21" t="n">
        <f aca="false">AVERAGEIFS($K$2:$K$2705,$B$2:$B$2705,B570)</f>
        <v>0.499962780491486</v>
      </c>
      <c r="M570" s="21" t="n">
        <f aca="false">K570-L570</f>
        <v>0.16670388617518</v>
      </c>
      <c r="N570" s="21" t="n">
        <f aca="false">LN(J570)</f>
        <v>14.6965985034097</v>
      </c>
      <c r="O570" s="21" t="n">
        <f aca="false">AVERAGEIFS($N$2:$N$2705,$B$2:$B$2705,B570)</f>
        <v>13.7267746708048</v>
      </c>
      <c r="P570" s="21" t="n">
        <f aca="false">N570-O570</f>
        <v>0.969823832604844</v>
      </c>
      <c r="Q570" s="7" t="n">
        <v>0</v>
      </c>
      <c r="R570" s="3" t="n">
        <f aca="false">IF(AND(Q570=1,B570-_xlfn.MINIFS($B$2:$B$2705,$A$2:$A$2705,A570)&lt;10),1,0)</f>
        <v>0</v>
      </c>
      <c r="S570" s="7" t="n">
        <v>1</v>
      </c>
      <c r="T570" s="3" t="n">
        <f aca="false">_xlfn.MINIFS($B$2:$B$2705,$A$2:$A$2705,A570)</f>
        <v>1903</v>
      </c>
      <c r="U570" s="3" t="n">
        <f aca="false">B570-T570</f>
        <v>33</v>
      </c>
      <c r="V570" s="3" t="str">
        <f aca="false">INDEX(Pop_Inputs!$Q$2:$Q$29,MATCH(C570,Pop_Inputs!$A$2:$A$29,0))</f>
        <v>Northeast</v>
      </c>
      <c r="W570" s="30"/>
      <c r="X570" s="3" t="str">
        <f aca="false">IF(W570="","",LN(W570))</f>
        <v/>
      </c>
      <c r="Y570" s="3" t="str">
        <f aca="false">IF(X570="","",X570-AVERAGEIFS($X$2:$X$2705,$B$2:$B$2705,B570))</f>
        <v/>
      </c>
      <c r="Z570" s="21" t="n">
        <f aca="false">P570</f>
        <v>0.969823832604844</v>
      </c>
      <c r="AA570" s="3" t="n">
        <f aca="false">R570</f>
        <v>0</v>
      </c>
      <c r="AB570" s="21" t="n">
        <f aca="false">P570</f>
        <v>0.969823832604844</v>
      </c>
      <c r="AC570" s="3" t="str">
        <f aca="false">Y570</f>
        <v/>
      </c>
      <c r="AD570" s="3" t="n">
        <f aca="false">R570</f>
        <v>0</v>
      </c>
    </row>
    <row r="571" customFormat="false" ht="15" hidden="false" customHeight="true" outlineLevel="0" collapsed="false">
      <c r="A571" s="7" t="s">
        <v>69</v>
      </c>
      <c r="B571" s="7" t="n">
        <v>1936</v>
      </c>
      <c r="C571" s="7" t="s">
        <v>146</v>
      </c>
      <c r="D571" s="7" t="n">
        <v>53</v>
      </c>
      <c r="E571" s="7" t="n">
        <v>100</v>
      </c>
      <c r="F571" s="3" t="n">
        <f aca="false">COUNTIFS($B$2:$B$2705,B571,$C$2:$C$2705,C571)</f>
        <v>2</v>
      </c>
      <c r="G571" s="3" t="n">
        <f aca="false">MIN(INT((MIN(B571,2020)-1900)/10)+1,12)</f>
        <v>4</v>
      </c>
      <c r="H571" s="3" t="n">
        <f aca="false">(MIN(B571,2020)-1900-10*(G571-1))/10</f>
        <v>0.6</v>
      </c>
      <c r="I571" s="20" t="n">
        <f aca="false">EXP(LN(INDEX(Pop_Inputs!$B$2:$N$29,MATCH(C571,Pop_Inputs!$A$2:$A$29,0),G571))*(1-H571)+LN(INDEX(Pop_Inputs!$B$2:$N$29,MATCH(C571,Pop_Inputs!$A$2:$A$29,0),G571+1))*H571)</f>
        <v>1939160.99397046</v>
      </c>
      <c r="J571" s="20" t="n">
        <f aca="false">I571/F571</f>
        <v>969580.496985232</v>
      </c>
      <c r="K571" s="21" t="n">
        <f aca="false">D571/(D571+E571)</f>
        <v>0.34640522875817</v>
      </c>
      <c r="L571" s="21" t="n">
        <f aca="false">AVERAGEIFS($K$2:$K$2705,$B$2:$B$2705,B571)</f>
        <v>0.499962780491486</v>
      </c>
      <c r="M571" s="21" t="n">
        <f aca="false">K571-L571</f>
        <v>-0.153557551733316</v>
      </c>
      <c r="N571" s="21" t="n">
        <f aca="false">LN(J571)</f>
        <v>13.7846187795995</v>
      </c>
      <c r="O571" s="21" t="n">
        <f aca="false">AVERAGEIFS($N$2:$N$2705,$B$2:$B$2705,B571)</f>
        <v>13.7267746708048</v>
      </c>
      <c r="P571" s="21" t="n">
        <f aca="false">N571-O571</f>
        <v>0.0578441087946207</v>
      </c>
      <c r="Q571" s="7" t="n">
        <v>0</v>
      </c>
      <c r="R571" s="3" t="n">
        <f aca="false">IF(AND(Q571=1,B571-_xlfn.MINIFS($B$2:$B$2705,$A$2:$A$2705,A571)&lt;10),1,0)</f>
        <v>0</v>
      </c>
      <c r="S571" s="7" t="n">
        <v>0</v>
      </c>
      <c r="T571" s="3" t="n">
        <f aca="false">_xlfn.MINIFS($B$2:$B$2705,$A$2:$A$2705,A571)</f>
        <v>1901</v>
      </c>
      <c r="U571" s="3" t="n">
        <f aca="false">B571-T571</f>
        <v>35</v>
      </c>
      <c r="V571" s="3" t="str">
        <f aca="false">INDEX(Pop_Inputs!$Q$2:$Q$29,MATCH(C571,Pop_Inputs!$A$2:$A$29,0))</f>
        <v>Northeast</v>
      </c>
      <c r="W571" s="30"/>
      <c r="X571" s="3" t="str">
        <f aca="false">IF(W571="","",LN(W571))</f>
        <v/>
      </c>
      <c r="Y571" s="3" t="str">
        <f aca="false">IF(X571="","",X571-AVERAGEIFS($X$2:$X$2705,$B$2:$B$2705,B571))</f>
        <v/>
      </c>
      <c r="Z571" s="21" t="n">
        <f aca="false">P571</f>
        <v>0.0578441087946207</v>
      </c>
      <c r="AA571" s="3" t="n">
        <f aca="false">R571</f>
        <v>0</v>
      </c>
      <c r="AB571" s="21" t="n">
        <f aca="false">P571</f>
        <v>0.0578441087946207</v>
      </c>
      <c r="AC571" s="3" t="str">
        <f aca="false">Y571</f>
        <v/>
      </c>
      <c r="AD571" s="3" t="n">
        <f aca="false">R571</f>
        <v>0</v>
      </c>
    </row>
    <row r="572" customFormat="false" ht="15" hidden="false" customHeight="true" outlineLevel="0" collapsed="false">
      <c r="A572" s="7" t="s">
        <v>60</v>
      </c>
      <c r="B572" s="7" t="n">
        <v>1936</v>
      </c>
      <c r="C572" s="7" t="s">
        <v>146</v>
      </c>
      <c r="D572" s="7" t="n">
        <v>54</v>
      </c>
      <c r="E572" s="7" t="n">
        <v>100</v>
      </c>
      <c r="F572" s="3" t="n">
        <f aca="false">COUNTIFS($B$2:$B$2705,B572,$C$2:$C$2705,C572)</f>
        <v>2</v>
      </c>
      <c r="G572" s="3" t="n">
        <f aca="false">MIN(INT((MIN(B572,2020)-1900)/10)+1,12)</f>
        <v>4</v>
      </c>
      <c r="H572" s="3" t="n">
        <f aca="false">(MIN(B572,2020)-1900-10*(G572-1))/10</f>
        <v>0.6</v>
      </c>
      <c r="I572" s="20" t="n">
        <f aca="false">EXP(LN(INDEX(Pop_Inputs!$B$2:$N$29,MATCH(C572,Pop_Inputs!$A$2:$A$29,0),G572))*(1-H572)+LN(INDEX(Pop_Inputs!$B$2:$N$29,MATCH(C572,Pop_Inputs!$A$2:$A$29,0),G572+1))*H572)</f>
        <v>1939160.99397046</v>
      </c>
      <c r="J572" s="20" t="n">
        <f aca="false">I572/F572</f>
        <v>969580.496985232</v>
      </c>
      <c r="K572" s="21" t="n">
        <f aca="false">D572/(D572+E572)</f>
        <v>0.350649350649351</v>
      </c>
      <c r="L572" s="21" t="n">
        <f aca="false">AVERAGEIFS($K$2:$K$2705,$B$2:$B$2705,B572)</f>
        <v>0.499962780491486</v>
      </c>
      <c r="M572" s="21" t="n">
        <f aca="false">K572-L572</f>
        <v>-0.149313429842136</v>
      </c>
      <c r="N572" s="21" t="n">
        <f aca="false">LN(J572)</f>
        <v>13.7846187795995</v>
      </c>
      <c r="O572" s="21" t="n">
        <f aca="false">AVERAGEIFS($N$2:$N$2705,$B$2:$B$2705,B572)</f>
        <v>13.7267746708048</v>
      </c>
      <c r="P572" s="21" t="n">
        <f aca="false">N572-O572</f>
        <v>0.0578441087946207</v>
      </c>
      <c r="Q572" s="7" t="n">
        <v>0</v>
      </c>
      <c r="R572" s="3" t="n">
        <f aca="false">IF(AND(Q572=1,B572-_xlfn.MINIFS($B$2:$B$2705,$A$2:$A$2705,A572)&lt;10),1,0)</f>
        <v>0</v>
      </c>
      <c r="S572" s="7" t="n">
        <v>0</v>
      </c>
      <c r="T572" s="3" t="n">
        <f aca="false">_xlfn.MINIFS($B$2:$B$2705,$A$2:$A$2705,A572)</f>
        <v>1901</v>
      </c>
      <c r="U572" s="3" t="n">
        <f aca="false">B572-T572</f>
        <v>35</v>
      </c>
      <c r="V572" s="3" t="str">
        <f aca="false">INDEX(Pop_Inputs!$Q$2:$Q$29,MATCH(C572,Pop_Inputs!$A$2:$A$29,0))</f>
        <v>Northeast</v>
      </c>
      <c r="W572" s="30"/>
      <c r="X572" s="3" t="str">
        <f aca="false">IF(W572="","",LN(W572))</f>
        <v/>
      </c>
      <c r="Y572" s="3" t="str">
        <f aca="false">IF(X572="","",X572-AVERAGEIFS($X$2:$X$2705,$B$2:$B$2705,B572))</f>
        <v/>
      </c>
      <c r="Z572" s="21" t="n">
        <f aca="false">P572</f>
        <v>0.0578441087946207</v>
      </c>
      <c r="AA572" s="3" t="n">
        <f aca="false">R572</f>
        <v>0</v>
      </c>
      <c r="AB572" s="21" t="n">
        <f aca="false">P572</f>
        <v>0.0578441087946207</v>
      </c>
      <c r="AC572" s="3" t="str">
        <f aca="false">Y572</f>
        <v/>
      </c>
      <c r="AD572" s="3" t="n">
        <f aca="false">R572</f>
        <v>0</v>
      </c>
    </row>
    <row r="573" customFormat="false" ht="15" hidden="false" customHeight="true" outlineLevel="0" collapsed="false">
      <c r="A573" s="7" t="s">
        <v>58</v>
      </c>
      <c r="B573" s="7" t="n">
        <v>1936</v>
      </c>
      <c r="C573" s="7" t="s">
        <v>144</v>
      </c>
      <c r="D573" s="7" t="n">
        <v>84</v>
      </c>
      <c r="E573" s="7" t="n">
        <v>70</v>
      </c>
      <c r="F573" s="3" t="n">
        <f aca="false">COUNTIFS($B$2:$B$2705,B573,$C$2:$C$2705,C573)</f>
        <v>1</v>
      </c>
      <c r="G573" s="3" t="n">
        <f aca="false">MIN(INT((MIN(B573,2020)-1900)/10)+1,12)</f>
        <v>4</v>
      </c>
      <c r="H573" s="3" t="n">
        <f aca="false">(MIN(B573,2020)-1900-10*(G573-1))/10</f>
        <v>0.6</v>
      </c>
      <c r="I573" s="20" t="n">
        <f aca="false">EXP(LN(INDEX(Pop_Inputs!$B$2:$N$29,MATCH(C573,Pop_Inputs!$A$2:$A$29,0),G573))*(1-H573)+LN(INDEX(Pop_Inputs!$B$2:$N$29,MATCH(C573,Pop_Inputs!$A$2:$A$29,0),G573+1))*H573)</f>
        <v>670921.592917733</v>
      </c>
      <c r="J573" s="20" t="n">
        <f aca="false">I573/F573</f>
        <v>670921.592917733</v>
      </c>
      <c r="K573" s="21" t="n">
        <f aca="false">D573/(D573+E573)</f>
        <v>0.545454545454545</v>
      </c>
      <c r="L573" s="21" t="n">
        <f aca="false">AVERAGEIFS($K$2:$K$2705,$B$2:$B$2705,B573)</f>
        <v>0.499962780491486</v>
      </c>
      <c r="M573" s="21" t="n">
        <f aca="false">K573-L573</f>
        <v>0.0454917649630592</v>
      </c>
      <c r="N573" s="21" t="n">
        <f aca="false">LN(J573)</f>
        <v>13.4164075580349</v>
      </c>
      <c r="O573" s="21" t="n">
        <f aca="false">AVERAGEIFS($N$2:$N$2705,$B$2:$B$2705,B573)</f>
        <v>13.7267746708048</v>
      </c>
      <c r="P573" s="21" t="n">
        <f aca="false">N573-O573</f>
        <v>-0.310367112769947</v>
      </c>
      <c r="Q573" s="7" t="n">
        <v>0</v>
      </c>
      <c r="R573" s="3" t="n">
        <f aca="false">IF(AND(Q573=1,B573-_xlfn.MINIFS($B$2:$B$2705,$A$2:$A$2705,A573)&lt;10),1,0)</f>
        <v>0</v>
      </c>
      <c r="S573" s="7" t="n">
        <v>0</v>
      </c>
      <c r="T573" s="3" t="n">
        <f aca="false">_xlfn.MINIFS($B$2:$B$2705,$A$2:$A$2705,A573)</f>
        <v>1901</v>
      </c>
      <c r="U573" s="3" t="n">
        <f aca="false">B573-T573</f>
        <v>35</v>
      </c>
      <c r="V573" s="3" t="str">
        <f aca="false">INDEX(Pop_Inputs!$Q$2:$Q$29,MATCH(C573,Pop_Inputs!$A$2:$A$29,0))</f>
        <v>Northeast</v>
      </c>
      <c r="W573" s="30"/>
      <c r="X573" s="3" t="str">
        <f aca="false">IF(W573="","",LN(W573))</f>
        <v/>
      </c>
      <c r="Y573" s="3" t="str">
        <f aca="false">IF(X573="","",X573-AVERAGEIFS($X$2:$X$2705,$B$2:$B$2705,B573))</f>
        <v/>
      </c>
      <c r="Z573" s="21" t="n">
        <f aca="false">P573</f>
        <v>-0.310367112769947</v>
      </c>
      <c r="AA573" s="3" t="n">
        <f aca="false">R573</f>
        <v>0</v>
      </c>
      <c r="AB573" s="21" t="n">
        <f aca="false">P573</f>
        <v>-0.310367112769947</v>
      </c>
      <c r="AC573" s="3" t="str">
        <f aca="false">Y573</f>
        <v/>
      </c>
      <c r="AD573" s="3" t="n">
        <f aca="false">R573</f>
        <v>0</v>
      </c>
    </row>
    <row r="574" customFormat="false" ht="15" hidden="false" customHeight="true" outlineLevel="0" collapsed="false">
      <c r="A574" s="7" t="s">
        <v>61</v>
      </c>
      <c r="B574" s="7" t="n">
        <v>1936</v>
      </c>
      <c r="C574" s="7" t="s">
        <v>154</v>
      </c>
      <c r="D574" s="7" t="n">
        <v>92</v>
      </c>
      <c r="E574" s="7" t="n">
        <v>62</v>
      </c>
      <c r="F574" s="3" t="n">
        <f aca="false">COUNTIFS($B$2:$B$2705,B574,$C$2:$C$2705,C574)</f>
        <v>3</v>
      </c>
      <c r="G574" s="3" t="n">
        <f aca="false">MIN(INT((MIN(B574,2020)-1900)/10)+1,12)</f>
        <v>4</v>
      </c>
      <c r="H574" s="3" t="n">
        <f aca="false">(MIN(B574,2020)-1900-10*(G574-1))/10</f>
        <v>0.6</v>
      </c>
      <c r="I574" s="20" t="n">
        <f aca="false">EXP(LN(INDEX(Pop_Inputs!$B$2:$N$29,MATCH(C574,Pop_Inputs!$A$2:$A$29,0),G574))*(1-H574)+LN(INDEX(Pop_Inputs!$B$2:$N$29,MATCH(C574,Pop_Inputs!$A$2:$A$29,0),G574+1))*H574)</f>
        <v>7240572.18327193</v>
      </c>
      <c r="J574" s="20" t="n">
        <f aca="false">I574/F574</f>
        <v>2413524.06109064</v>
      </c>
      <c r="K574" s="21" t="n">
        <f aca="false">D574/(D574+E574)</f>
        <v>0.597402597402597</v>
      </c>
      <c r="L574" s="21" t="n">
        <f aca="false">AVERAGEIFS($K$2:$K$2705,$B$2:$B$2705,B574)</f>
        <v>0.499962780491486</v>
      </c>
      <c r="M574" s="21" t="n">
        <f aca="false">K574-L574</f>
        <v>0.0974398169111112</v>
      </c>
      <c r="N574" s="21" t="n">
        <f aca="false">LN(J574)</f>
        <v>14.6965985034097</v>
      </c>
      <c r="O574" s="21" t="n">
        <f aca="false">AVERAGEIFS($N$2:$N$2705,$B$2:$B$2705,B574)</f>
        <v>13.7267746708048</v>
      </c>
      <c r="P574" s="21" t="n">
        <f aca="false">N574-O574</f>
        <v>0.969823832604844</v>
      </c>
      <c r="Q574" s="7" t="n">
        <v>0</v>
      </c>
      <c r="R574" s="3" t="n">
        <f aca="false">IF(AND(Q574=1,B574-_xlfn.MINIFS($B$2:$B$2705,$A$2:$A$2705,A574)&lt;10),1,0)</f>
        <v>0</v>
      </c>
      <c r="S574" s="7" t="n">
        <v>0</v>
      </c>
      <c r="T574" s="3" t="n">
        <f aca="false">_xlfn.MINIFS($B$2:$B$2705,$A$2:$A$2705,A574)</f>
        <v>1901</v>
      </c>
      <c r="U574" s="3" t="n">
        <f aca="false">B574-T574</f>
        <v>35</v>
      </c>
      <c r="V574" s="3" t="str">
        <f aca="false">INDEX(Pop_Inputs!$Q$2:$Q$29,MATCH(C574,Pop_Inputs!$A$2:$A$29,0))</f>
        <v>Northeast</v>
      </c>
      <c r="W574" s="30"/>
      <c r="X574" s="3" t="str">
        <f aca="false">IF(W574="","",LN(W574))</f>
        <v/>
      </c>
      <c r="Y574" s="3" t="str">
        <f aca="false">IF(X574="","",X574-AVERAGEIFS($X$2:$X$2705,$B$2:$B$2705,B574))</f>
        <v/>
      </c>
      <c r="Z574" s="21" t="n">
        <f aca="false">P574</f>
        <v>0.969823832604844</v>
      </c>
      <c r="AA574" s="3" t="n">
        <f aca="false">R574</f>
        <v>0</v>
      </c>
      <c r="AB574" s="21" t="n">
        <f aca="false">P574</f>
        <v>0.969823832604844</v>
      </c>
      <c r="AC574" s="3" t="str">
        <f aca="false">Y574</f>
        <v/>
      </c>
      <c r="AD574" s="3" t="n">
        <f aca="false">R574</f>
        <v>0</v>
      </c>
    </row>
    <row r="575" customFormat="false" ht="15" hidden="false" customHeight="true" outlineLevel="0" collapsed="false">
      <c r="A575" s="7" t="s">
        <v>59</v>
      </c>
      <c r="B575" s="7" t="n">
        <v>1936</v>
      </c>
      <c r="C575" s="7" t="s">
        <v>145</v>
      </c>
      <c r="D575" s="7" t="n">
        <v>87</v>
      </c>
      <c r="E575" s="7" t="n">
        <v>67</v>
      </c>
      <c r="F575" s="3" t="n">
        <f aca="false">COUNTIFS($B$2:$B$2705,B575,$C$2:$C$2705,C575)</f>
        <v>2</v>
      </c>
      <c r="G575" s="3" t="n">
        <f aca="false">MIN(INT((MIN(B575,2020)-1900)/10)+1,12)</f>
        <v>4</v>
      </c>
      <c r="H575" s="3" t="n">
        <f aca="false">(MIN(B575,2020)-1900-10*(G575-1))/10</f>
        <v>0.6</v>
      </c>
      <c r="I575" s="20" t="n">
        <f aca="false">EXP(LN(INDEX(Pop_Inputs!$B$2:$N$29,MATCH(C575,Pop_Inputs!$A$2:$A$29,0),G575))*(1-H575)+LN(INDEX(Pop_Inputs!$B$2:$N$29,MATCH(C575,Pop_Inputs!$A$2:$A$29,0),G575+1))*H575)</f>
        <v>818407.680105696</v>
      </c>
      <c r="J575" s="20" t="n">
        <f aca="false">I575/F575</f>
        <v>409203.840052848</v>
      </c>
      <c r="K575" s="21" t="n">
        <f aca="false">D575/(D575+E575)</f>
        <v>0.564935064935065</v>
      </c>
      <c r="L575" s="21" t="n">
        <f aca="false">AVERAGEIFS($K$2:$K$2705,$B$2:$B$2705,B575)</f>
        <v>0.499962780491486</v>
      </c>
      <c r="M575" s="21" t="n">
        <f aca="false">K575-L575</f>
        <v>0.0649722844435788</v>
      </c>
      <c r="N575" s="21" t="n">
        <f aca="false">LN(J575)</f>
        <v>12.9219686973089</v>
      </c>
      <c r="O575" s="21" t="n">
        <f aca="false">AVERAGEIFS($N$2:$N$2705,$B$2:$B$2705,B575)</f>
        <v>13.7267746708048</v>
      </c>
      <c r="P575" s="21" t="n">
        <f aca="false">N575-O575</f>
        <v>-0.80480597349589</v>
      </c>
      <c r="Q575" s="7" t="n">
        <v>0</v>
      </c>
      <c r="R575" s="3" t="n">
        <f aca="false">IF(AND(Q575=1,B575-_xlfn.MINIFS($B$2:$B$2705,$A$2:$A$2705,A575)&lt;10),1,0)</f>
        <v>0</v>
      </c>
      <c r="S575" s="7" t="n">
        <v>0</v>
      </c>
      <c r="T575" s="3" t="n">
        <f aca="false">_xlfn.MINIFS($B$2:$B$2705,$A$2:$A$2705,A575)</f>
        <v>1901</v>
      </c>
      <c r="U575" s="3" t="n">
        <f aca="false">B575-T575</f>
        <v>35</v>
      </c>
      <c r="V575" s="3" t="str">
        <f aca="false">INDEX(Pop_Inputs!$Q$2:$Q$29,MATCH(C575,Pop_Inputs!$A$2:$A$29,0))</f>
        <v>Midwest</v>
      </c>
      <c r="W575" s="30"/>
      <c r="X575" s="3" t="str">
        <f aca="false">IF(W575="","",LN(W575))</f>
        <v/>
      </c>
      <c r="Y575" s="3" t="str">
        <f aca="false">IF(X575="","",X575-AVERAGEIFS($X$2:$X$2705,$B$2:$B$2705,B575))</f>
        <v/>
      </c>
      <c r="Z575" s="21" t="n">
        <f aca="false">P575</f>
        <v>-0.80480597349589</v>
      </c>
      <c r="AA575" s="3" t="n">
        <f aca="false">R575</f>
        <v>0</v>
      </c>
      <c r="AB575" s="21" t="n">
        <f aca="false">P575</f>
        <v>-0.80480597349589</v>
      </c>
      <c r="AC575" s="3" t="str">
        <f aca="false">Y575</f>
        <v/>
      </c>
      <c r="AD575" s="3" t="n">
        <f aca="false">R575</f>
        <v>0</v>
      </c>
    </row>
    <row r="576" customFormat="false" ht="15" hidden="false" customHeight="true" outlineLevel="0" collapsed="false">
      <c r="A576" s="7" t="s">
        <v>54</v>
      </c>
      <c r="B576" s="7" t="n">
        <v>1937</v>
      </c>
      <c r="C576" s="7" t="s">
        <v>150</v>
      </c>
      <c r="D576" s="7" t="n">
        <v>79</v>
      </c>
      <c r="E576" s="7" t="n">
        <v>73</v>
      </c>
      <c r="F576" s="3" t="n">
        <f aca="false">COUNTIFS($B$2:$B$2705,B576,$C$2:$C$2705,C576)</f>
        <v>2</v>
      </c>
      <c r="G576" s="3" t="n">
        <f aca="false">MIN(INT((MIN(B576,2020)-1900)/10)+1,12)</f>
        <v>4</v>
      </c>
      <c r="H576" s="3" t="n">
        <f aca="false">(MIN(B576,2020)-1900-10*(G576-1))/10</f>
        <v>0.7</v>
      </c>
      <c r="I576" s="20" t="n">
        <f aca="false">EXP(LN(INDEX(Pop_Inputs!$B$2:$N$29,MATCH(C576,Pop_Inputs!$A$2:$A$29,0),G576))*(1-H576)+LN(INDEX(Pop_Inputs!$B$2:$N$29,MATCH(C576,Pop_Inputs!$A$2:$A$29,0),G576+1))*H576)</f>
        <v>773913.056483728</v>
      </c>
      <c r="J576" s="20" t="n">
        <f aca="false">I576/F576</f>
        <v>386956.528241864</v>
      </c>
      <c r="K576" s="21" t="n">
        <f aca="false">D576/(D576+E576)</f>
        <v>0.519736842105263</v>
      </c>
      <c r="L576" s="21" t="n">
        <f aca="false">AVERAGEIFS($K$2:$K$2705,$B$2:$B$2705,B576)</f>
        <v>0.499876622847772</v>
      </c>
      <c r="M576" s="21" t="n">
        <f aca="false">K576-L576</f>
        <v>0.0198602192574908</v>
      </c>
      <c r="N576" s="21" t="n">
        <f aca="false">LN(J576)</f>
        <v>12.866067635578</v>
      </c>
      <c r="O576" s="21" t="n">
        <f aca="false">AVERAGEIFS($N$2:$N$2705,$B$2:$B$2705,B576)</f>
        <v>13.7299027116534</v>
      </c>
      <c r="P576" s="21" t="n">
        <f aca="false">N576-O576</f>
        <v>-0.863835076075317</v>
      </c>
      <c r="Q576" s="7" t="n">
        <v>0</v>
      </c>
      <c r="R576" s="3" t="n">
        <f aca="false">IF(AND(Q576=1,B576-_xlfn.MINIFS($B$2:$B$2705,$A$2:$A$2705,A576)&lt;10),1,0)</f>
        <v>0</v>
      </c>
      <c r="S576" s="7" t="n">
        <v>0</v>
      </c>
      <c r="T576" s="3" t="n">
        <f aca="false">_xlfn.MINIFS($B$2:$B$2705,$A$2:$A$2705,A576)</f>
        <v>1901</v>
      </c>
      <c r="U576" s="3" t="n">
        <f aca="false">B576-T576</f>
        <v>36</v>
      </c>
      <c r="V576" s="3" t="str">
        <f aca="false">INDEX(Pop_Inputs!$Q$2:$Q$29,MATCH(C576,Pop_Inputs!$A$2:$A$29,0))</f>
        <v>Northeast</v>
      </c>
      <c r="W576" s="30"/>
      <c r="X576" s="3" t="str">
        <f aca="false">IF(W576="","",LN(W576))</f>
        <v/>
      </c>
      <c r="Y576" s="3" t="str">
        <f aca="false">IF(X576="","",X576-AVERAGEIFS($X$2:$X$2705,$B$2:$B$2705,B576))</f>
        <v/>
      </c>
      <c r="Z576" s="21" t="n">
        <f aca="false">P576</f>
        <v>-0.863835076075317</v>
      </c>
      <c r="AA576" s="3" t="n">
        <f aca="false">R576</f>
        <v>0</v>
      </c>
      <c r="AB576" s="21" t="n">
        <f aca="false">P576</f>
        <v>-0.863835076075317</v>
      </c>
      <c r="AC576" s="3" t="str">
        <f aca="false">Y576</f>
        <v/>
      </c>
      <c r="AD576" s="3" t="n">
        <f aca="false">R576</f>
        <v>0</v>
      </c>
    </row>
    <row r="577" customFormat="false" ht="15" hidden="false" customHeight="true" outlineLevel="0" collapsed="false">
      <c r="A577" s="7" t="s">
        <v>63</v>
      </c>
      <c r="B577" s="7" t="n">
        <v>1937</v>
      </c>
      <c r="C577" s="7" t="s">
        <v>145</v>
      </c>
      <c r="D577" s="7" t="n">
        <v>46</v>
      </c>
      <c r="E577" s="7" t="n">
        <v>108</v>
      </c>
      <c r="F577" s="3" t="n">
        <f aca="false">COUNTIFS($B$2:$B$2705,B577,$C$2:$C$2705,C577)</f>
        <v>2</v>
      </c>
      <c r="G577" s="3" t="n">
        <f aca="false">MIN(INT((MIN(B577,2020)-1900)/10)+1,12)</f>
        <v>4</v>
      </c>
      <c r="H577" s="3" t="n">
        <f aca="false">(MIN(B577,2020)-1900-10*(G577-1))/10</f>
        <v>0.7</v>
      </c>
      <c r="I577" s="20" t="n">
        <f aca="false">EXP(LN(INDEX(Pop_Inputs!$B$2:$N$29,MATCH(C577,Pop_Inputs!$A$2:$A$29,0),G577))*(1-H577)+LN(INDEX(Pop_Inputs!$B$2:$N$29,MATCH(C577,Pop_Inputs!$A$2:$A$29,0),G577+1))*H577)</f>
        <v>817817.121170108</v>
      </c>
      <c r="J577" s="20" t="n">
        <f aca="false">I577/F577</f>
        <v>408908.560585054</v>
      </c>
      <c r="K577" s="21" t="n">
        <f aca="false">D577/(D577+E577)</f>
        <v>0.298701298701299</v>
      </c>
      <c r="L577" s="21" t="n">
        <f aca="false">AVERAGEIFS($K$2:$K$2705,$B$2:$B$2705,B577)</f>
        <v>0.499876622847772</v>
      </c>
      <c r="M577" s="21" t="n">
        <f aca="false">K577-L577</f>
        <v>-0.201175324146474</v>
      </c>
      <c r="N577" s="21" t="n">
        <f aca="false">LN(J577)</f>
        <v>12.9212468417781</v>
      </c>
      <c r="O577" s="21" t="n">
        <f aca="false">AVERAGEIFS($N$2:$N$2705,$B$2:$B$2705,B577)</f>
        <v>13.7299027116534</v>
      </c>
      <c r="P577" s="21" t="n">
        <f aca="false">N577-O577</f>
        <v>-0.808655869875222</v>
      </c>
      <c r="Q577" s="7" t="n">
        <v>0</v>
      </c>
      <c r="R577" s="3" t="n">
        <f aca="false">IF(AND(Q577=1,B577-_xlfn.MINIFS($B$2:$B$2705,$A$2:$A$2705,A577)&lt;10),1,0)</f>
        <v>0</v>
      </c>
      <c r="S577" s="7" t="n">
        <v>0</v>
      </c>
      <c r="T577" s="3" t="n">
        <f aca="false">_xlfn.MINIFS($B$2:$B$2705,$A$2:$A$2705,A577)</f>
        <v>1901</v>
      </c>
      <c r="U577" s="3" t="n">
        <f aca="false">B577-T577</f>
        <v>36</v>
      </c>
      <c r="V577" s="3" t="str">
        <f aca="false">INDEX(Pop_Inputs!$Q$2:$Q$29,MATCH(C577,Pop_Inputs!$A$2:$A$29,0))</f>
        <v>Midwest</v>
      </c>
      <c r="W577" s="30"/>
      <c r="X577" s="3" t="str">
        <f aca="false">IF(W577="","",LN(W577))</f>
        <v/>
      </c>
      <c r="Y577" s="3" t="str">
        <f aca="false">IF(X577="","",X577-AVERAGEIFS($X$2:$X$2705,$B$2:$B$2705,B577))</f>
        <v/>
      </c>
      <c r="Z577" s="21" t="n">
        <f aca="false">P577</f>
        <v>-0.808655869875222</v>
      </c>
      <c r="AA577" s="3" t="n">
        <f aca="false">R577</f>
        <v>0</v>
      </c>
      <c r="AB577" s="21" t="n">
        <f aca="false">P577</f>
        <v>-0.808655869875222</v>
      </c>
      <c r="AC577" s="3" t="str">
        <f aca="false">Y577</f>
        <v/>
      </c>
      <c r="AD577" s="3" t="n">
        <f aca="false">R577</f>
        <v>0</v>
      </c>
    </row>
    <row r="578" customFormat="false" ht="15" hidden="false" customHeight="true" outlineLevel="0" collapsed="false">
      <c r="A578" s="7" t="s">
        <v>64</v>
      </c>
      <c r="B578" s="7" t="n">
        <v>1937</v>
      </c>
      <c r="C578" s="7" t="s">
        <v>150</v>
      </c>
      <c r="D578" s="7" t="n">
        <v>80</v>
      </c>
      <c r="E578" s="7" t="n">
        <v>72</v>
      </c>
      <c r="F578" s="3" t="n">
        <f aca="false">COUNTIFS($B$2:$B$2705,B578,$C$2:$C$2705,C578)</f>
        <v>2</v>
      </c>
      <c r="G578" s="3" t="n">
        <f aca="false">MIN(INT((MIN(B578,2020)-1900)/10)+1,12)</f>
        <v>4</v>
      </c>
      <c r="H578" s="3" t="n">
        <f aca="false">(MIN(B578,2020)-1900-10*(G578-1))/10</f>
        <v>0.7</v>
      </c>
      <c r="I578" s="20" t="n">
        <f aca="false">EXP(LN(INDEX(Pop_Inputs!$B$2:$N$29,MATCH(C578,Pop_Inputs!$A$2:$A$29,0),G578))*(1-H578)+LN(INDEX(Pop_Inputs!$B$2:$N$29,MATCH(C578,Pop_Inputs!$A$2:$A$29,0),G578+1))*H578)</f>
        <v>773913.056483728</v>
      </c>
      <c r="J578" s="20" t="n">
        <f aca="false">I578/F578</f>
        <v>386956.528241864</v>
      </c>
      <c r="K578" s="21" t="n">
        <f aca="false">D578/(D578+E578)</f>
        <v>0.526315789473684</v>
      </c>
      <c r="L578" s="21" t="n">
        <f aca="false">AVERAGEIFS($K$2:$K$2705,$B$2:$B$2705,B578)</f>
        <v>0.499876622847772</v>
      </c>
      <c r="M578" s="21" t="n">
        <f aca="false">K578-L578</f>
        <v>0.0264391666259118</v>
      </c>
      <c r="N578" s="21" t="n">
        <f aca="false">LN(J578)</f>
        <v>12.866067635578</v>
      </c>
      <c r="O578" s="21" t="n">
        <f aca="false">AVERAGEIFS($N$2:$N$2705,$B$2:$B$2705,B578)</f>
        <v>13.7299027116534</v>
      </c>
      <c r="P578" s="21" t="n">
        <f aca="false">N578-O578</f>
        <v>-0.863835076075317</v>
      </c>
      <c r="Q578" s="7" t="n">
        <v>0</v>
      </c>
      <c r="R578" s="3" t="n">
        <f aca="false">IF(AND(Q578=1,B578-_xlfn.MINIFS($B$2:$B$2705,$A$2:$A$2705,A578)&lt;10),1,0)</f>
        <v>0</v>
      </c>
      <c r="S578" s="7" t="n">
        <v>0</v>
      </c>
      <c r="T578" s="3" t="n">
        <f aca="false">_xlfn.MINIFS($B$2:$B$2705,$A$2:$A$2705,A578)</f>
        <v>1901</v>
      </c>
      <c r="U578" s="3" t="n">
        <f aca="false">B578-T578</f>
        <v>36</v>
      </c>
      <c r="V578" s="3" t="str">
        <f aca="false">INDEX(Pop_Inputs!$Q$2:$Q$29,MATCH(C578,Pop_Inputs!$A$2:$A$29,0))</f>
        <v>Northeast</v>
      </c>
      <c r="W578" s="30"/>
      <c r="X578" s="3" t="str">
        <f aca="false">IF(W578="","",LN(W578))</f>
        <v/>
      </c>
      <c r="Y578" s="3" t="str">
        <f aca="false">IF(X578="","",X578-AVERAGEIFS($X$2:$X$2705,$B$2:$B$2705,B578))</f>
        <v/>
      </c>
      <c r="Z578" s="21" t="n">
        <f aca="false">P578</f>
        <v>-0.863835076075317</v>
      </c>
      <c r="AA578" s="3" t="n">
        <f aca="false">R578</f>
        <v>0</v>
      </c>
      <c r="AB578" s="21" t="n">
        <f aca="false">P578</f>
        <v>-0.863835076075317</v>
      </c>
      <c r="AC578" s="3" t="str">
        <f aca="false">Y578</f>
        <v/>
      </c>
      <c r="AD578" s="3" t="n">
        <f aca="false">R578</f>
        <v>0</v>
      </c>
    </row>
    <row r="579" customFormat="false" ht="15" hidden="false" customHeight="true" outlineLevel="0" collapsed="false">
      <c r="A579" s="7" t="s">
        <v>56</v>
      </c>
      <c r="B579" s="7" t="n">
        <v>1937</v>
      </c>
      <c r="C579" s="7" t="s">
        <v>142</v>
      </c>
      <c r="D579" s="7" t="n">
        <v>93</v>
      </c>
      <c r="E579" s="7" t="n">
        <v>61</v>
      </c>
      <c r="F579" s="3" t="n">
        <f aca="false">COUNTIFS($B$2:$B$2705,B579,$C$2:$C$2705,C579)</f>
        <v>2</v>
      </c>
      <c r="G579" s="3" t="n">
        <f aca="false">MIN(INT((MIN(B579,2020)-1900)/10)+1,12)</f>
        <v>4</v>
      </c>
      <c r="H579" s="3" t="n">
        <f aca="false">(MIN(B579,2020)-1900-10*(G579-1))/10</f>
        <v>0.7</v>
      </c>
      <c r="I579" s="20" t="n">
        <f aca="false">EXP(LN(INDEX(Pop_Inputs!$B$2:$N$29,MATCH(C579,Pop_Inputs!$A$2:$A$29,0),G579))*(1-H579)+LN(INDEX(Pop_Inputs!$B$2:$N$29,MATCH(C579,Pop_Inputs!$A$2:$A$29,0),G579+1))*H579)</f>
        <v>3390684.12996728</v>
      </c>
      <c r="J579" s="20" t="n">
        <f aca="false">I579/F579</f>
        <v>1695342.06498364</v>
      </c>
      <c r="K579" s="21" t="n">
        <f aca="false">D579/(D579+E579)</f>
        <v>0.603896103896104</v>
      </c>
      <c r="L579" s="21" t="n">
        <f aca="false">AVERAGEIFS($K$2:$K$2705,$B$2:$B$2705,B579)</f>
        <v>0.499876622847772</v>
      </c>
      <c r="M579" s="21" t="n">
        <f aca="false">K579-L579</f>
        <v>0.104019481048332</v>
      </c>
      <c r="N579" s="21" t="n">
        <f aca="false">LN(J579)</f>
        <v>14.3433950866861</v>
      </c>
      <c r="O579" s="21" t="n">
        <f aca="false">AVERAGEIFS($N$2:$N$2705,$B$2:$B$2705,B579)</f>
        <v>13.7299027116534</v>
      </c>
      <c r="P579" s="21" t="n">
        <f aca="false">N579-O579</f>
        <v>0.613492375032726</v>
      </c>
      <c r="Q579" s="7" t="n">
        <v>0</v>
      </c>
      <c r="R579" s="3" t="n">
        <f aca="false">IF(AND(Q579=1,B579-_xlfn.MINIFS($B$2:$B$2705,$A$2:$A$2705,A579)&lt;10),1,0)</f>
        <v>0</v>
      </c>
      <c r="S579" s="7" t="n">
        <v>0</v>
      </c>
      <c r="T579" s="3" t="n">
        <f aca="false">_xlfn.MINIFS($B$2:$B$2705,$A$2:$A$2705,A579)</f>
        <v>1901</v>
      </c>
      <c r="U579" s="3" t="n">
        <f aca="false">B579-T579</f>
        <v>36</v>
      </c>
      <c r="V579" s="3" t="str">
        <f aca="false">INDEX(Pop_Inputs!$Q$2:$Q$29,MATCH(C579,Pop_Inputs!$A$2:$A$29,0))</f>
        <v>Midwest</v>
      </c>
      <c r="W579" s="30"/>
      <c r="X579" s="3" t="str">
        <f aca="false">IF(W579="","",LN(W579))</f>
        <v/>
      </c>
      <c r="Y579" s="3" t="str">
        <f aca="false">IF(X579="","",X579-AVERAGEIFS($X$2:$X$2705,$B$2:$B$2705,B579))</f>
        <v/>
      </c>
      <c r="Z579" s="21" t="n">
        <f aca="false">P579</f>
        <v>0.613492375032726</v>
      </c>
      <c r="AA579" s="3" t="n">
        <f aca="false">R579</f>
        <v>0</v>
      </c>
      <c r="AB579" s="21" t="n">
        <f aca="false">P579</f>
        <v>0.613492375032726</v>
      </c>
      <c r="AC579" s="3" t="str">
        <f aca="false">Y579</f>
        <v/>
      </c>
      <c r="AD579" s="3" t="n">
        <f aca="false">R579</f>
        <v>0</v>
      </c>
    </row>
    <row r="580" customFormat="false" ht="15" hidden="false" customHeight="true" outlineLevel="0" collapsed="false">
      <c r="A580" s="7" t="s">
        <v>65</v>
      </c>
      <c r="B580" s="7" t="n">
        <v>1937</v>
      </c>
      <c r="C580" s="7" t="s">
        <v>142</v>
      </c>
      <c r="D580" s="7" t="n">
        <v>86</v>
      </c>
      <c r="E580" s="7" t="n">
        <v>68</v>
      </c>
      <c r="F580" s="3" t="n">
        <f aca="false">COUNTIFS($B$2:$B$2705,B580,$C$2:$C$2705,C580)</f>
        <v>2</v>
      </c>
      <c r="G580" s="3" t="n">
        <f aca="false">MIN(INT((MIN(B580,2020)-1900)/10)+1,12)</f>
        <v>4</v>
      </c>
      <c r="H580" s="3" t="n">
        <f aca="false">(MIN(B580,2020)-1900-10*(G580-1))/10</f>
        <v>0.7</v>
      </c>
      <c r="I580" s="20" t="n">
        <f aca="false">EXP(LN(INDEX(Pop_Inputs!$B$2:$N$29,MATCH(C580,Pop_Inputs!$A$2:$A$29,0),G580))*(1-H580)+LN(INDEX(Pop_Inputs!$B$2:$N$29,MATCH(C580,Pop_Inputs!$A$2:$A$29,0),G580+1))*H580)</f>
        <v>3390684.12996728</v>
      </c>
      <c r="J580" s="20" t="n">
        <f aca="false">I580/F580</f>
        <v>1695342.06498364</v>
      </c>
      <c r="K580" s="21" t="n">
        <f aca="false">D580/(D580+E580)</f>
        <v>0.558441558441558</v>
      </c>
      <c r="L580" s="21" t="n">
        <f aca="false">AVERAGEIFS($K$2:$K$2705,$B$2:$B$2705,B580)</f>
        <v>0.499876622847772</v>
      </c>
      <c r="M580" s="21" t="n">
        <f aca="false">K580-L580</f>
        <v>0.0585649355937861</v>
      </c>
      <c r="N580" s="21" t="n">
        <f aca="false">LN(J580)</f>
        <v>14.3433950866861</v>
      </c>
      <c r="O580" s="21" t="n">
        <f aca="false">AVERAGEIFS($N$2:$N$2705,$B$2:$B$2705,B580)</f>
        <v>13.7299027116534</v>
      </c>
      <c r="P580" s="21" t="n">
        <f aca="false">N580-O580</f>
        <v>0.613492375032726</v>
      </c>
      <c r="Q580" s="7" t="n">
        <v>0</v>
      </c>
      <c r="R580" s="3" t="n">
        <f aca="false">IF(AND(Q580=1,B580-_xlfn.MINIFS($B$2:$B$2705,$A$2:$A$2705,A580)&lt;10),1,0)</f>
        <v>0</v>
      </c>
      <c r="S580" s="7" t="n">
        <v>0</v>
      </c>
      <c r="T580" s="3" t="n">
        <f aca="false">_xlfn.MINIFS($B$2:$B$2705,$A$2:$A$2705,A580)</f>
        <v>1901</v>
      </c>
      <c r="U580" s="3" t="n">
        <f aca="false">B580-T580</f>
        <v>36</v>
      </c>
      <c r="V580" s="3" t="str">
        <f aca="false">INDEX(Pop_Inputs!$Q$2:$Q$29,MATCH(C580,Pop_Inputs!$A$2:$A$29,0))</f>
        <v>Midwest</v>
      </c>
      <c r="W580" s="30"/>
      <c r="X580" s="3" t="str">
        <f aca="false">IF(W580="","",LN(W580))</f>
        <v/>
      </c>
      <c r="Y580" s="3" t="str">
        <f aca="false">IF(X580="","",X580-AVERAGEIFS($X$2:$X$2705,$B$2:$B$2705,B580))</f>
        <v/>
      </c>
      <c r="Z580" s="21" t="n">
        <f aca="false">P580</f>
        <v>0.613492375032726</v>
      </c>
      <c r="AA580" s="3" t="n">
        <f aca="false">R580</f>
        <v>0</v>
      </c>
      <c r="AB580" s="21" t="n">
        <f aca="false">P580</f>
        <v>0.613492375032726</v>
      </c>
      <c r="AC580" s="3" t="str">
        <f aca="false">Y580</f>
        <v/>
      </c>
      <c r="AD580" s="3" t="n">
        <f aca="false">R580</f>
        <v>0</v>
      </c>
    </row>
    <row r="581" customFormat="false" ht="15" hidden="false" customHeight="true" outlineLevel="0" collapsed="false">
      <c r="A581" s="7" t="s">
        <v>57</v>
      </c>
      <c r="B581" s="7" t="n">
        <v>1937</v>
      </c>
      <c r="C581" s="7" t="s">
        <v>143</v>
      </c>
      <c r="D581" s="7" t="n">
        <v>56</v>
      </c>
      <c r="E581" s="7" t="n">
        <v>98</v>
      </c>
      <c r="F581" s="3" t="n">
        <f aca="false">COUNTIFS($B$2:$B$2705,B581,$C$2:$C$2705,C581)</f>
        <v>1</v>
      </c>
      <c r="G581" s="3" t="n">
        <f aca="false">MIN(INT((MIN(B581,2020)-1900)/10)+1,12)</f>
        <v>4</v>
      </c>
      <c r="H581" s="3" t="n">
        <f aca="false">(MIN(B581,2020)-1900-10*(G581-1))/10</f>
        <v>0.7</v>
      </c>
      <c r="I581" s="20" t="n">
        <f aca="false">EXP(LN(INDEX(Pop_Inputs!$B$2:$N$29,MATCH(C581,Pop_Inputs!$A$2:$A$29,0),G581))*(1-H581)+LN(INDEX(Pop_Inputs!$B$2:$N$29,MATCH(C581,Pop_Inputs!$A$2:$A$29,0),G581+1))*H581)</f>
        <v>454270.410884251</v>
      </c>
      <c r="J581" s="20" t="n">
        <f aca="false">I581/F581</f>
        <v>454270.410884251</v>
      </c>
      <c r="K581" s="21" t="n">
        <f aca="false">D581/(D581+E581)</f>
        <v>0.363636363636364</v>
      </c>
      <c r="L581" s="21" t="n">
        <f aca="false">AVERAGEIFS($K$2:$K$2705,$B$2:$B$2705,B581)</f>
        <v>0.499876622847772</v>
      </c>
      <c r="M581" s="21" t="n">
        <f aca="false">K581-L581</f>
        <v>-0.136240259211409</v>
      </c>
      <c r="N581" s="21" t="n">
        <f aca="false">LN(J581)</f>
        <v>13.0264479184009</v>
      </c>
      <c r="O581" s="21" t="n">
        <f aca="false">AVERAGEIFS($N$2:$N$2705,$B$2:$B$2705,B581)</f>
        <v>13.7299027116534</v>
      </c>
      <c r="P581" s="21" t="n">
        <f aca="false">N581-O581</f>
        <v>-0.703454793252497</v>
      </c>
      <c r="Q581" s="7" t="n">
        <v>0</v>
      </c>
      <c r="R581" s="3" t="n">
        <f aca="false">IF(AND(Q581=1,B581-_xlfn.MINIFS($B$2:$B$2705,$A$2:$A$2705,A581)&lt;10),1,0)</f>
        <v>0</v>
      </c>
      <c r="S581" s="7" t="n">
        <v>0</v>
      </c>
      <c r="T581" s="3" t="n">
        <f aca="false">_xlfn.MINIFS($B$2:$B$2705,$A$2:$A$2705,A581)</f>
        <v>1901</v>
      </c>
      <c r="U581" s="3" t="n">
        <f aca="false">B581-T581</f>
        <v>36</v>
      </c>
      <c r="V581" s="3" t="str">
        <f aca="false">INDEX(Pop_Inputs!$Q$2:$Q$29,MATCH(C581,Pop_Inputs!$A$2:$A$29,0))</f>
        <v>Midwest</v>
      </c>
      <c r="W581" s="30"/>
      <c r="X581" s="3" t="str">
        <f aca="false">IF(W581="","",LN(W581))</f>
        <v/>
      </c>
      <c r="Y581" s="3" t="str">
        <f aca="false">IF(X581="","",X581-AVERAGEIFS($X$2:$X$2705,$B$2:$B$2705,B581))</f>
        <v/>
      </c>
      <c r="Z581" s="21" t="n">
        <f aca="false">P581</f>
        <v>-0.703454793252497</v>
      </c>
      <c r="AA581" s="3" t="n">
        <f aca="false">R581</f>
        <v>0</v>
      </c>
      <c r="AB581" s="21" t="n">
        <f aca="false">P581</f>
        <v>-0.703454793252497</v>
      </c>
      <c r="AC581" s="3" t="str">
        <f aca="false">Y581</f>
        <v/>
      </c>
      <c r="AD581" s="3" t="n">
        <f aca="false">R581</f>
        <v>0</v>
      </c>
    </row>
    <row r="582" customFormat="false" ht="15" hidden="false" customHeight="true" outlineLevel="0" collapsed="false">
      <c r="A582" s="7" t="s">
        <v>66</v>
      </c>
      <c r="B582" s="7" t="n">
        <v>1937</v>
      </c>
      <c r="C582" s="7" t="s">
        <v>151</v>
      </c>
      <c r="D582" s="7" t="n">
        <v>83</v>
      </c>
      <c r="E582" s="7" t="n">
        <v>71</v>
      </c>
      <c r="F582" s="3" t="n">
        <f aca="false">COUNTIFS($B$2:$B$2705,B582,$C$2:$C$2705,C582)</f>
        <v>1</v>
      </c>
      <c r="G582" s="3" t="n">
        <f aca="false">MIN(INT((MIN(B582,2020)-1900)/10)+1,12)</f>
        <v>4</v>
      </c>
      <c r="H582" s="3" t="n">
        <f aca="false">(MIN(B582,2020)-1900-10*(G582-1))/10</f>
        <v>0.7</v>
      </c>
      <c r="I582" s="20" t="n">
        <f aca="false">EXP(LN(INDEX(Pop_Inputs!$B$2:$N$29,MATCH(C582,Pop_Inputs!$A$2:$A$29,0),G582))*(1-H582)+LN(INDEX(Pop_Inputs!$B$2:$N$29,MATCH(C582,Pop_Inputs!$A$2:$A$29,0),G582+1))*H582)</f>
        <v>884906.368207765</v>
      </c>
      <c r="J582" s="20" t="n">
        <f aca="false">I582/F582</f>
        <v>884906.368207765</v>
      </c>
      <c r="K582" s="21" t="n">
        <f aca="false">D582/(D582+E582)</f>
        <v>0.538961038961039</v>
      </c>
      <c r="L582" s="21" t="n">
        <f aca="false">AVERAGEIFS($K$2:$K$2705,$B$2:$B$2705,B582)</f>
        <v>0.499876622847772</v>
      </c>
      <c r="M582" s="21" t="n">
        <f aca="false">K582-L582</f>
        <v>0.0390844161132666</v>
      </c>
      <c r="N582" s="21" t="n">
        <f aca="false">LN(J582)</f>
        <v>13.6932371197577</v>
      </c>
      <c r="O582" s="21" t="n">
        <f aca="false">AVERAGEIFS($N$2:$N$2705,$B$2:$B$2705,B582)</f>
        <v>13.7299027116534</v>
      </c>
      <c r="P582" s="21" t="n">
        <f aca="false">N582-O582</f>
        <v>-0.03666559189565</v>
      </c>
      <c r="Q582" s="7" t="n">
        <v>0</v>
      </c>
      <c r="R582" s="3" t="n">
        <f aca="false">IF(AND(Q582=1,B582-_xlfn.MINIFS($B$2:$B$2705,$A$2:$A$2705,A582)&lt;10),1,0)</f>
        <v>0</v>
      </c>
      <c r="S582" s="7" t="n">
        <v>0</v>
      </c>
      <c r="T582" s="3" t="n">
        <f aca="false">_xlfn.MINIFS($B$2:$B$2705,$A$2:$A$2705,A582)</f>
        <v>1901</v>
      </c>
      <c r="U582" s="3" t="n">
        <f aca="false">B582-T582</f>
        <v>36</v>
      </c>
      <c r="V582" s="3" t="str">
        <f aca="false">INDEX(Pop_Inputs!$Q$2:$Q$29,MATCH(C582,Pop_Inputs!$A$2:$A$29,0))</f>
        <v>Midwest</v>
      </c>
      <c r="W582" s="30"/>
      <c r="X582" s="3" t="str">
        <f aca="false">IF(W582="","",LN(W582))</f>
        <v/>
      </c>
      <c r="Y582" s="3" t="str">
        <f aca="false">IF(X582="","",X582-AVERAGEIFS($X$2:$X$2705,$B$2:$B$2705,B582))</f>
        <v/>
      </c>
      <c r="Z582" s="21" t="n">
        <f aca="false">P582</f>
        <v>-0.03666559189565</v>
      </c>
      <c r="AA582" s="3" t="n">
        <f aca="false">R582</f>
        <v>0</v>
      </c>
      <c r="AB582" s="21" t="n">
        <f aca="false">P582</f>
        <v>-0.03666559189565</v>
      </c>
      <c r="AC582" s="3" t="str">
        <f aca="false">Y582</f>
        <v/>
      </c>
      <c r="AD582" s="3" t="n">
        <f aca="false">R582</f>
        <v>0</v>
      </c>
    </row>
    <row r="583" customFormat="false" ht="15" hidden="false" customHeight="true" outlineLevel="0" collapsed="false">
      <c r="A583" s="7" t="s">
        <v>67</v>
      </c>
      <c r="B583" s="7" t="n">
        <v>1937</v>
      </c>
      <c r="C583" s="7" t="s">
        <v>152</v>
      </c>
      <c r="D583" s="7" t="n">
        <v>89</v>
      </c>
      <c r="E583" s="7" t="n">
        <v>65</v>
      </c>
      <c r="F583" s="3" t="n">
        <f aca="false">COUNTIFS($B$2:$B$2705,B583,$C$2:$C$2705,C583)</f>
        <v>1</v>
      </c>
      <c r="G583" s="3" t="n">
        <f aca="false">MIN(INT((MIN(B583,2020)-1900)/10)+1,12)</f>
        <v>4</v>
      </c>
      <c r="H583" s="3" t="n">
        <f aca="false">(MIN(B583,2020)-1900-10*(G583-1))/10</f>
        <v>0.7</v>
      </c>
      <c r="I583" s="20" t="n">
        <f aca="false">EXP(LN(INDEX(Pop_Inputs!$B$2:$N$29,MATCH(C583,Pop_Inputs!$A$2:$A$29,0),G583))*(1-H583)+LN(INDEX(Pop_Inputs!$B$2:$N$29,MATCH(C583,Pop_Inputs!$A$2:$A$29,0),G583+1))*H583)</f>
        <v>1606817.04336752</v>
      </c>
      <c r="J583" s="20" t="n">
        <f aca="false">I583/F583</f>
        <v>1606817.04336752</v>
      </c>
      <c r="K583" s="21" t="n">
        <f aca="false">D583/(D583+E583)</f>
        <v>0.577922077922078</v>
      </c>
      <c r="L583" s="21" t="n">
        <f aca="false">AVERAGEIFS($K$2:$K$2705,$B$2:$B$2705,B583)</f>
        <v>0.499876622847772</v>
      </c>
      <c r="M583" s="21" t="n">
        <f aca="false">K583-L583</f>
        <v>0.0780454550743056</v>
      </c>
      <c r="N583" s="21" t="n">
        <f aca="false">LN(J583)</f>
        <v>14.2897657884359</v>
      </c>
      <c r="O583" s="21" t="n">
        <f aca="false">AVERAGEIFS($N$2:$N$2705,$B$2:$B$2705,B583)</f>
        <v>13.7299027116534</v>
      </c>
      <c r="P583" s="21" t="n">
        <f aca="false">N583-O583</f>
        <v>0.559863076782504</v>
      </c>
      <c r="Q583" s="7" t="n">
        <v>0</v>
      </c>
      <c r="R583" s="3" t="n">
        <f aca="false">IF(AND(Q583=1,B583-_xlfn.MINIFS($B$2:$B$2705,$A$2:$A$2705,A583)&lt;10),1,0)</f>
        <v>0</v>
      </c>
      <c r="S583" s="7" t="n">
        <v>0</v>
      </c>
      <c r="T583" s="3" t="n">
        <f aca="false">_xlfn.MINIFS($B$2:$B$2705,$A$2:$A$2705,A583)</f>
        <v>1901</v>
      </c>
      <c r="U583" s="3" t="n">
        <f aca="false">B583-T583</f>
        <v>36</v>
      </c>
      <c r="V583" s="3" t="str">
        <f aca="false">INDEX(Pop_Inputs!$Q$2:$Q$29,MATCH(C583,Pop_Inputs!$A$2:$A$29,0))</f>
        <v>Midwest</v>
      </c>
      <c r="W583" s="30"/>
      <c r="X583" s="3" t="str">
        <f aca="false">IF(W583="","",LN(W583))</f>
        <v/>
      </c>
      <c r="Y583" s="3" t="str">
        <f aca="false">IF(X583="","",X583-AVERAGEIFS($X$2:$X$2705,$B$2:$B$2705,B583))</f>
        <v/>
      </c>
      <c r="Z583" s="21" t="n">
        <f aca="false">P583</f>
        <v>0.559863076782504</v>
      </c>
      <c r="AA583" s="3" t="n">
        <f aca="false">R583</f>
        <v>0</v>
      </c>
      <c r="AB583" s="21" t="n">
        <f aca="false">P583</f>
        <v>0.559863076782504</v>
      </c>
      <c r="AC583" s="3" t="str">
        <f aca="false">Y583</f>
        <v/>
      </c>
      <c r="AD583" s="3" t="n">
        <f aca="false">R583</f>
        <v>0</v>
      </c>
    </row>
    <row r="584" customFormat="false" ht="15" hidden="false" customHeight="true" outlineLevel="0" collapsed="false">
      <c r="A584" s="7" t="s">
        <v>62</v>
      </c>
      <c r="B584" s="7" t="n">
        <v>1937</v>
      </c>
      <c r="C584" s="7" t="s">
        <v>154</v>
      </c>
      <c r="D584" s="7" t="n">
        <v>62</v>
      </c>
      <c r="E584" s="7" t="n">
        <v>91</v>
      </c>
      <c r="F584" s="3" t="n">
        <f aca="false">COUNTIFS($B$2:$B$2705,B584,$C$2:$C$2705,C584)</f>
        <v>3</v>
      </c>
      <c r="G584" s="3" t="n">
        <f aca="false">MIN(INT((MIN(B584,2020)-1900)/10)+1,12)</f>
        <v>4</v>
      </c>
      <c r="H584" s="3" t="n">
        <f aca="false">(MIN(B584,2020)-1900-10*(G584-1))/10</f>
        <v>0.7</v>
      </c>
      <c r="I584" s="20" t="n">
        <f aca="false">EXP(LN(INDEX(Pop_Inputs!$B$2:$N$29,MATCH(C584,Pop_Inputs!$A$2:$A$29,0),G584))*(1-H584)+LN(INDEX(Pop_Inputs!$B$2:$N$29,MATCH(C584,Pop_Inputs!$A$2:$A$29,0),G584+1))*H584)</f>
        <v>7293592.66029354</v>
      </c>
      <c r="J584" s="20" t="n">
        <f aca="false">I584/F584</f>
        <v>2431197.55343118</v>
      </c>
      <c r="K584" s="21" t="n">
        <f aca="false">D584/(D584+E584)</f>
        <v>0.405228758169935</v>
      </c>
      <c r="L584" s="21" t="n">
        <f aca="false">AVERAGEIFS($K$2:$K$2705,$B$2:$B$2705,B584)</f>
        <v>0.499876622847772</v>
      </c>
      <c r="M584" s="21" t="n">
        <f aca="false">K584-L584</f>
        <v>-0.0946478646778377</v>
      </c>
      <c r="N584" s="21" t="n">
        <f aca="false">LN(J584)</f>
        <v>14.7038945142627</v>
      </c>
      <c r="O584" s="21" t="n">
        <f aca="false">AVERAGEIFS($N$2:$N$2705,$B$2:$B$2705,B584)</f>
        <v>13.7299027116534</v>
      </c>
      <c r="P584" s="21" t="n">
        <f aca="false">N584-O584</f>
        <v>0.973991802609367</v>
      </c>
      <c r="Q584" s="7" t="n">
        <v>0</v>
      </c>
      <c r="R584" s="3" t="n">
        <f aca="false">IF(AND(Q584=1,B584-_xlfn.MINIFS($B$2:$B$2705,$A$2:$A$2705,A584)&lt;10),1,0)</f>
        <v>0</v>
      </c>
      <c r="S584" s="7" t="n">
        <v>0</v>
      </c>
      <c r="T584" s="3" t="n">
        <f aca="false">_xlfn.MINIFS($B$2:$B$2705,$A$2:$A$2705,A584)</f>
        <v>1901</v>
      </c>
      <c r="U584" s="3" t="n">
        <f aca="false">B584-T584</f>
        <v>36</v>
      </c>
      <c r="V584" s="3" t="str">
        <f aca="false">INDEX(Pop_Inputs!$Q$2:$Q$29,MATCH(C584,Pop_Inputs!$A$2:$A$29,0))</f>
        <v>Northeast</v>
      </c>
      <c r="W584" s="30"/>
      <c r="X584" s="3" t="str">
        <f aca="false">IF(W584="","",LN(W584))</f>
        <v/>
      </c>
      <c r="Y584" s="3" t="str">
        <f aca="false">IF(X584="","",X584-AVERAGEIFS($X$2:$X$2705,$B$2:$B$2705,B584))</f>
        <v/>
      </c>
      <c r="Z584" s="21" t="n">
        <f aca="false">P584</f>
        <v>0.973991802609367</v>
      </c>
      <c r="AA584" s="3" t="n">
        <f aca="false">R584</f>
        <v>0</v>
      </c>
      <c r="AB584" s="21" t="n">
        <f aca="false">P584</f>
        <v>0.973991802609367</v>
      </c>
      <c r="AC584" s="3" t="str">
        <f aca="false">Y584</f>
        <v/>
      </c>
      <c r="AD584" s="3" t="n">
        <f aca="false">R584</f>
        <v>0</v>
      </c>
    </row>
    <row r="585" customFormat="false" ht="15" hidden="false" customHeight="true" outlineLevel="0" collapsed="false">
      <c r="A585" s="7" t="s">
        <v>68</v>
      </c>
      <c r="B585" s="7" t="n">
        <v>1937</v>
      </c>
      <c r="C585" s="7" t="s">
        <v>160</v>
      </c>
      <c r="D585" s="7" t="n">
        <v>73</v>
      </c>
      <c r="E585" s="7" t="n">
        <v>80</v>
      </c>
      <c r="F585" s="3" t="n">
        <f aca="false">COUNTIFS($B$2:$B$2705,B585,$C$2:$C$2705,C585)</f>
        <v>1</v>
      </c>
      <c r="G585" s="3" t="n">
        <f aca="false">MIN(INT((MIN(B585,2020)-1900)/10)+1,12)</f>
        <v>4</v>
      </c>
      <c r="H585" s="3" t="n">
        <f aca="false">(MIN(B585,2020)-1900-10*(G585-1))/10</f>
        <v>0.7</v>
      </c>
      <c r="I585" s="20" t="n">
        <f aca="false">EXP(LN(INDEX(Pop_Inputs!$B$2:$N$29,MATCH(C585,Pop_Inputs!$A$2:$A$29,0),G585))*(1-H585)+LN(INDEX(Pop_Inputs!$B$2:$N$29,MATCH(C585,Pop_Inputs!$A$2:$A$29,0),G585+1))*H585)</f>
        <v>604400.52128743</v>
      </c>
      <c r="J585" s="20" t="n">
        <f aca="false">I585/F585</f>
        <v>604400.52128743</v>
      </c>
      <c r="K585" s="21" t="n">
        <f aca="false">D585/(D585+E585)</f>
        <v>0.477124183006536</v>
      </c>
      <c r="L585" s="21" t="n">
        <f aca="false">AVERAGEIFS($K$2:$K$2705,$B$2:$B$2705,B585)</f>
        <v>0.499876622847772</v>
      </c>
      <c r="M585" s="21" t="n">
        <f aca="false">K585-L585</f>
        <v>-0.0227524398412364</v>
      </c>
      <c r="N585" s="21" t="n">
        <f aca="false">LN(J585)</f>
        <v>13.3119923718678</v>
      </c>
      <c r="O585" s="21" t="n">
        <f aca="false">AVERAGEIFS($N$2:$N$2705,$B$2:$B$2705,B585)</f>
        <v>13.7299027116534</v>
      </c>
      <c r="P585" s="21" t="n">
        <f aca="false">N585-O585</f>
        <v>-0.417910339785527</v>
      </c>
      <c r="Q585" s="7" t="n">
        <v>0</v>
      </c>
      <c r="R585" s="3" t="n">
        <f aca="false">IF(AND(Q585=1,B585-_xlfn.MINIFS($B$2:$B$2705,$A$2:$A$2705,A585)&lt;10),1,0)</f>
        <v>0</v>
      </c>
      <c r="S585" s="7" t="n">
        <v>0</v>
      </c>
      <c r="T585" s="3" t="n">
        <f aca="false">_xlfn.MINIFS($B$2:$B$2705,$A$2:$A$2705,A585)</f>
        <v>1901</v>
      </c>
      <c r="U585" s="3" t="n">
        <f aca="false">B585-T585</f>
        <v>36</v>
      </c>
      <c r="V585" s="3" t="str">
        <f aca="false">INDEX(Pop_Inputs!$Q$2:$Q$29,MATCH(C585,Pop_Inputs!$A$2:$A$29,0))</f>
        <v>South</v>
      </c>
      <c r="W585" s="30"/>
      <c r="X585" s="3" t="str">
        <f aca="false">IF(W585="","",LN(W585))</f>
        <v/>
      </c>
      <c r="Y585" s="3" t="str">
        <f aca="false">IF(X585="","",X585-AVERAGEIFS($X$2:$X$2705,$B$2:$B$2705,B585))</f>
        <v/>
      </c>
      <c r="Z585" s="21" t="n">
        <f aca="false">P585</f>
        <v>-0.417910339785527</v>
      </c>
      <c r="AA585" s="3" t="n">
        <f aca="false">R585</f>
        <v>0</v>
      </c>
      <c r="AB585" s="21" t="n">
        <f aca="false">P585</f>
        <v>-0.417910339785527</v>
      </c>
      <c r="AC585" s="3" t="str">
        <f aca="false">Y585</f>
        <v/>
      </c>
      <c r="AD585" s="3" t="n">
        <f aca="false">R585</f>
        <v>0</v>
      </c>
    </row>
    <row r="586" customFormat="false" ht="15" hidden="false" customHeight="true" outlineLevel="0" collapsed="false">
      <c r="A586" s="7" t="s">
        <v>70</v>
      </c>
      <c r="B586" s="7" t="n">
        <v>1937</v>
      </c>
      <c r="C586" s="7" t="s">
        <v>154</v>
      </c>
      <c r="D586" s="7" t="n">
        <v>102</v>
      </c>
      <c r="E586" s="7" t="n">
        <v>52</v>
      </c>
      <c r="F586" s="3" t="n">
        <f aca="false">COUNTIFS($B$2:$B$2705,B586,$C$2:$C$2705,C586)</f>
        <v>3</v>
      </c>
      <c r="G586" s="3" t="n">
        <f aca="false">MIN(INT((MIN(B586,2020)-1900)/10)+1,12)</f>
        <v>4</v>
      </c>
      <c r="H586" s="3" t="n">
        <f aca="false">(MIN(B586,2020)-1900-10*(G586-1))/10</f>
        <v>0.7</v>
      </c>
      <c r="I586" s="20" t="n">
        <f aca="false">EXP(LN(INDEX(Pop_Inputs!$B$2:$N$29,MATCH(C586,Pop_Inputs!$A$2:$A$29,0),G586))*(1-H586)+LN(INDEX(Pop_Inputs!$B$2:$N$29,MATCH(C586,Pop_Inputs!$A$2:$A$29,0),G586+1))*H586)</f>
        <v>7293592.66029354</v>
      </c>
      <c r="J586" s="20" t="n">
        <f aca="false">I586/F586</f>
        <v>2431197.55343118</v>
      </c>
      <c r="K586" s="21" t="n">
        <f aca="false">D586/(D586+E586)</f>
        <v>0.662337662337662</v>
      </c>
      <c r="L586" s="21" t="n">
        <f aca="false">AVERAGEIFS($K$2:$K$2705,$B$2:$B$2705,B586)</f>
        <v>0.499876622847772</v>
      </c>
      <c r="M586" s="21" t="n">
        <f aca="false">K586-L586</f>
        <v>0.16246103948989</v>
      </c>
      <c r="N586" s="21" t="n">
        <f aca="false">LN(J586)</f>
        <v>14.7038945142627</v>
      </c>
      <c r="O586" s="21" t="n">
        <f aca="false">AVERAGEIFS($N$2:$N$2705,$B$2:$B$2705,B586)</f>
        <v>13.7299027116534</v>
      </c>
      <c r="P586" s="21" t="n">
        <f aca="false">N586-O586</f>
        <v>0.973991802609367</v>
      </c>
      <c r="Q586" s="7" t="n">
        <v>0</v>
      </c>
      <c r="R586" s="3" t="n">
        <f aca="false">IF(AND(Q586=1,B586-_xlfn.MINIFS($B$2:$B$2705,$A$2:$A$2705,A586)&lt;10),1,0)</f>
        <v>0</v>
      </c>
      <c r="S586" s="7" t="n">
        <v>1</v>
      </c>
      <c r="T586" s="3" t="n">
        <f aca="false">_xlfn.MINIFS($B$2:$B$2705,$A$2:$A$2705,A586)</f>
        <v>1903</v>
      </c>
      <c r="U586" s="3" t="n">
        <f aca="false">B586-T586</f>
        <v>34</v>
      </c>
      <c r="V586" s="3" t="str">
        <f aca="false">INDEX(Pop_Inputs!$Q$2:$Q$29,MATCH(C586,Pop_Inputs!$A$2:$A$29,0))</f>
        <v>Northeast</v>
      </c>
      <c r="W586" s="30"/>
      <c r="X586" s="3" t="str">
        <f aca="false">IF(W586="","",LN(W586))</f>
        <v/>
      </c>
      <c r="Y586" s="3" t="str">
        <f aca="false">IF(X586="","",X586-AVERAGEIFS($X$2:$X$2705,$B$2:$B$2705,B586))</f>
        <v/>
      </c>
      <c r="Z586" s="21" t="n">
        <f aca="false">P586</f>
        <v>0.973991802609367</v>
      </c>
      <c r="AA586" s="3" t="n">
        <f aca="false">R586</f>
        <v>0</v>
      </c>
      <c r="AB586" s="21" t="n">
        <f aca="false">P586</f>
        <v>0.973991802609367</v>
      </c>
      <c r="AC586" s="3" t="str">
        <f aca="false">Y586</f>
        <v/>
      </c>
      <c r="AD586" s="3" t="n">
        <f aca="false">R586</f>
        <v>0</v>
      </c>
    </row>
    <row r="587" customFormat="false" ht="15" hidden="false" customHeight="true" outlineLevel="0" collapsed="false">
      <c r="A587" s="7" t="s">
        <v>69</v>
      </c>
      <c r="B587" s="7" t="n">
        <v>1937</v>
      </c>
      <c r="C587" s="7" t="s">
        <v>146</v>
      </c>
      <c r="D587" s="7" t="n">
        <v>54</v>
      </c>
      <c r="E587" s="7" t="n">
        <v>97</v>
      </c>
      <c r="F587" s="3" t="n">
        <f aca="false">COUNTIFS($B$2:$B$2705,B587,$C$2:$C$2705,C587)</f>
        <v>2</v>
      </c>
      <c r="G587" s="3" t="n">
        <f aca="false">MIN(INT((MIN(B587,2020)-1900)/10)+1,12)</f>
        <v>4</v>
      </c>
      <c r="H587" s="3" t="n">
        <f aca="false">(MIN(B587,2020)-1900-10*(G587-1))/10</f>
        <v>0.7</v>
      </c>
      <c r="I587" s="20" t="n">
        <f aca="false">EXP(LN(INDEX(Pop_Inputs!$B$2:$N$29,MATCH(C587,Pop_Inputs!$A$2:$A$29,0),G587))*(1-H587)+LN(INDEX(Pop_Inputs!$B$2:$N$29,MATCH(C587,Pop_Inputs!$A$2:$A$29,0),G587+1))*H587)</f>
        <v>1937201.27674177</v>
      </c>
      <c r="J587" s="20" t="n">
        <f aca="false">I587/F587</f>
        <v>968600.638370885</v>
      </c>
      <c r="K587" s="21" t="n">
        <f aca="false">D587/(D587+E587)</f>
        <v>0.357615894039735</v>
      </c>
      <c r="L587" s="21" t="n">
        <f aca="false">AVERAGEIFS($K$2:$K$2705,$B$2:$B$2705,B587)</f>
        <v>0.499876622847772</v>
      </c>
      <c r="M587" s="21" t="n">
        <f aca="false">K587-L587</f>
        <v>-0.142260728808037</v>
      </c>
      <c r="N587" s="21" t="n">
        <f aca="false">LN(J587)</f>
        <v>13.7836076680166</v>
      </c>
      <c r="O587" s="21" t="n">
        <f aca="false">AVERAGEIFS($N$2:$N$2705,$B$2:$B$2705,B587)</f>
        <v>13.7299027116534</v>
      </c>
      <c r="P587" s="21" t="n">
        <f aca="false">N587-O587</f>
        <v>0.053704956363239</v>
      </c>
      <c r="Q587" s="7" t="n">
        <v>0</v>
      </c>
      <c r="R587" s="3" t="n">
        <f aca="false">IF(AND(Q587=1,B587-_xlfn.MINIFS($B$2:$B$2705,$A$2:$A$2705,A587)&lt;10),1,0)</f>
        <v>0</v>
      </c>
      <c r="S587" s="7" t="n">
        <v>0</v>
      </c>
      <c r="T587" s="3" t="n">
        <f aca="false">_xlfn.MINIFS($B$2:$B$2705,$A$2:$A$2705,A587)</f>
        <v>1901</v>
      </c>
      <c r="U587" s="3" t="n">
        <f aca="false">B587-T587</f>
        <v>36</v>
      </c>
      <c r="V587" s="3" t="str">
        <f aca="false">INDEX(Pop_Inputs!$Q$2:$Q$29,MATCH(C587,Pop_Inputs!$A$2:$A$29,0))</f>
        <v>Northeast</v>
      </c>
      <c r="W587" s="30"/>
      <c r="X587" s="3" t="str">
        <f aca="false">IF(W587="","",LN(W587))</f>
        <v/>
      </c>
      <c r="Y587" s="3" t="str">
        <f aca="false">IF(X587="","",X587-AVERAGEIFS($X$2:$X$2705,$B$2:$B$2705,B587))</f>
        <v/>
      </c>
      <c r="Z587" s="21" t="n">
        <f aca="false">P587</f>
        <v>0.053704956363239</v>
      </c>
      <c r="AA587" s="3" t="n">
        <f aca="false">R587</f>
        <v>0</v>
      </c>
      <c r="AB587" s="21" t="n">
        <f aca="false">P587</f>
        <v>0.053704956363239</v>
      </c>
      <c r="AC587" s="3" t="str">
        <f aca="false">Y587</f>
        <v/>
      </c>
      <c r="AD587" s="3" t="n">
        <f aca="false">R587</f>
        <v>0</v>
      </c>
    </row>
    <row r="588" customFormat="false" ht="15" hidden="false" customHeight="true" outlineLevel="0" collapsed="false">
      <c r="A588" s="7" t="s">
        <v>60</v>
      </c>
      <c r="B588" s="7" t="n">
        <v>1937</v>
      </c>
      <c r="C588" s="7" t="s">
        <v>146</v>
      </c>
      <c r="D588" s="7" t="n">
        <v>61</v>
      </c>
      <c r="E588" s="7" t="n">
        <v>92</v>
      </c>
      <c r="F588" s="3" t="n">
        <f aca="false">COUNTIFS($B$2:$B$2705,B588,$C$2:$C$2705,C588)</f>
        <v>2</v>
      </c>
      <c r="G588" s="3" t="n">
        <f aca="false">MIN(INT((MIN(B588,2020)-1900)/10)+1,12)</f>
        <v>4</v>
      </c>
      <c r="H588" s="3" t="n">
        <f aca="false">(MIN(B588,2020)-1900-10*(G588-1))/10</f>
        <v>0.7</v>
      </c>
      <c r="I588" s="20" t="n">
        <f aca="false">EXP(LN(INDEX(Pop_Inputs!$B$2:$N$29,MATCH(C588,Pop_Inputs!$A$2:$A$29,0),G588))*(1-H588)+LN(INDEX(Pop_Inputs!$B$2:$N$29,MATCH(C588,Pop_Inputs!$A$2:$A$29,0),G588+1))*H588)</f>
        <v>1937201.27674177</v>
      </c>
      <c r="J588" s="20" t="n">
        <f aca="false">I588/F588</f>
        <v>968600.638370885</v>
      </c>
      <c r="K588" s="21" t="n">
        <f aca="false">D588/(D588+E588)</f>
        <v>0.398692810457516</v>
      </c>
      <c r="L588" s="21" t="n">
        <f aca="false">AVERAGEIFS($K$2:$K$2705,$B$2:$B$2705,B588)</f>
        <v>0.499876622847772</v>
      </c>
      <c r="M588" s="21" t="n">
        <f aca="false">K588-L588</f>
        <v>-0.101183812390256</v>
      </c>
      <c r="N588" s="21" t="n">
        <f aca="false">LN(J588)</f>
        <v>13.7836076680166</v>
      </c>
      <c r="O588" s="21" t="n">
        <f aca="false">AVERAGEIFS($N$2:$N$2705,$B$2:$B$2705,B588)</f>
        <v>13.7299027116534</v>
      </c>
      <c r="P588" s="21" t="n">
        <f aca="false">N588-O588</f>
        <v>0.053704956363239</v>
      </c>
      <c r="Q588" s="7" t="n">
        <v>0</v>
      </c>
      <c r="R588" s="3" t="n">
        <f aca="false">IF(AND(Q588=1,B588-_xlfn.MINIFS($B$2:$B$2705,$A$2:$A$2705,A588)&lt;10),1,0)</f>
        <v>0</v>
      </c>
      <c r="S588" s="7" t="n">
        <v>0</v>
      </c>
      <c r="T588" s="3" t="n">
        <f aca="false">_xlfn.MINIFS($B$2:$B$2705,$A$2:$A$2705,A588)</f>
        <v>1901</v>
      </c>
      <c r="U588" s="3" t="n">
        <f aca="false">B588-T588</f>
        <v>36</v>
      </c>
      <c r="V588" s="3" t="str">
        <f aca="false">INDEX(Pop_Inputs!$Q$2:$Q$29,MATCH(C588,Pop_Inputs!$A$2:$A$29,0))</f>
        <v>Northeast</v>
      </c>
      <c r="W588" s="30"/>
      <c r="X588" s="3" t="str">
        <f aca="false">IF(W588="","",LN(W588))</f>
        <v/>
      </c>
      <c r="Y588" s="3" t="str">
        <f aca="false">IF(X588="","",X588-AVERAGEIFS($X$2:$X$2705,$B$2:$B$2705,B588))</f>
        <v/>
      </c>
      <c r="Z588" s="21" t="n">
        <f aca="false">P588</f>
        <v>0.053704956363239</v>
      </c>
      <c r="AA588" s="3" t="n">
        <f aca="false">R588</f>
        <v>0</v>
      </c>
      <c r="AB588" s="21" t="n">
        <f aca="false">P588</f>
        <v>0.053704956363239</v>
      </c>
      <c r="AC588" s="3" t="str">
        <f aca="false">Y588</f>
        <v/>
      </c>
      <c r="AD588" s="3" t="n">
        <f aca="false">R588</f>
        <v>0</v>
      </c>
    </row>
    <row r="589" customFormat="false" ht="15" hidden="false" customHeight="true" outlineLevel="0" collapsed="false">
      <c r="A589" s="7" t="s">
        <v>58</v>
      </c>
      <c r="B589" s="7" t="n">
        <v>1937</v>
      </c>
      <c r="C589" s="7" t="s">
        <v>144</v>
      </c>
      <c r="D589" s="7" t="n">
        <v>86</v>
      </c>
      <c r="E589" s="7" t="n">
        <v>68</v>
      </c>
      <c r="F589" s="3" t="n">
        <f aca="false">COUNTIFS($B$2:$B$2705,B589,$C$2:$C$2705,C589)</f>
        <v>1</v>
      </c>
      <c r="G589" s="3" t="n">
        <f aca="false">MIN(INT((MIN(B589,2020)-1900)/10)+1,12)</f>
        <v>4</v>
      </c>
      <c r="H589" s="3" t="n">
        <f aca="false">(MIN(B589,2020)-1900-10*(G589-1))/10</f>
        <v>0.7</v>
      </c>
      <c r="I589" s="20" t="n">
        <f aca="false">EXP(LN(INDEX(Pop_Inputs!$B$2:$N$29,MATCH(C589,Pop_Inputs!$A$2:$A$29,0),G589))*(1-H589)+LN(INDEX(Pop_Inputs!$B$2:$N$29,MATCH(C589,Pop_Inputs!$A$2:$A$29,0),G589+1))*H589)</f>
        <v>671105.868754384</v>
      </c>
      <c r="J589" s="20" t="n">
        <f aca="false">I589/F589</f>
        <v>671105.868754384</v>
      </c>
      <c r="K589" s="21" t="n">
        <f aca="false">D589/(D589+E589)</f>
        <v>0.558441558441558</v>
      </c>
      <c r="L589" s="21" t="n">
        <f aca="false">AVERAGEIFS($K$2:$K$2705,$B$2:$B$2705,B589)</f>
        <v>0.499876622847772</v>
      </c>
      <c r="M589" s="21" t="n">
        <f aca="false">K589-L589</f>
        <v>0.0585649355937861</v>
      </c>
      <c r="N589" s="21" t="n">
        <f aca="false">LN(J589)</f>
        <v>13.4166821810856</v>
      </c>
      <c r="O589" s="21" t="n">
        <f aca="false">AVERAGEIFS($N$2:$N$2705,$B$2:$B$2705,B589)</f>
        <v>13.7299027116534</v>
      </c>
      <c r="P589" s="21" t="n">
        <f aca="false">N589-O589</f>
        <v>-0.313220530567783</v>
      </c>
      <c r="Q589" s="7" t="n">
        <v>0</v>
      </c>
      <c r="R589" s="3" t="n">
        <f aca="false">IF(AND(Q589=1,B589-_xlfn.MINIFS($B$2:$B$2705,$A$2:$A$2705,A589)&lt;10),1,0)</f>
        <v>0</v>
      </c>
      <c r="S589" s="7" t="n">
        <v>0</v>
      </c>
      <c r="T589" s="3" t="n">
        <f aca="false">_xlfn.MINIFS($B$2:$B$2705,$A$2:$A$2705,A589)</f>
        <v>1901</v>
      </c>
      <c r="U589" s="3" t="n">
        <f aca="false">B589-T589</f>
        <v>36</v>
      </c>
      <c r="V589" s="3" t="str">
        <f aca="false">INDEX(Pop_Inputs!$Q$2:$Q$29,MATCH(C589,Pop_Inputs!$A$2:$A$29,0))</f>
        <v>Northeast</v>
      </c>
      <c r="W589" s="30"/>
      <c r="X589" s="3" t="str">
        <f aca="false">IF(W589="","",LN(W589))</f>
        <v/>
      </c>
      <c r="Y589" s="3" t="str">
        <f aca="false">IF(X589="","",X589-AVERAGEIFS($X$2:$X$2705,$B$2:$B$2705,B589))</f>
        <v/>
      </c>
      <c r="Z589" s="21" t="n">
        <f aca="false">P589</f>
        <v>-0.313220530567783</v>
      </c>
      <c r="AA589" s="3" t="n">
        <f aca="false">R589</f>
        <v>0</v>
      </c>
      <c r="AB589" s="21" t="n">
        <f aca="false">P589</f>
        <v>-0.313220530567783</v>
      </c>
      <c r="AC589" s="3" t="str">
        <f aca="false">Y589</f>
        <v/>
      </c>
      <c r="AD589" s="3" t="n">
        <f aca="false">R589</f>
        <v>0</v>
      </c>
    </row>
    <row r="590" customFormat="false" ht="15" hidden="false" customHeight="true" outlineLevel="0" collapsed="false">
      <c r="A590" s="7" t="s">
        <v>61</v>
      </c>
      <c r="B590" s="7" t="n">
        <v>1937</v>
      </c>
      <c r="C590" s="7" t="s">
        <v>154</v>
      </c>
      <c r="D590" s="7" t="n">
        <v>95</v>
      </c>
      <c r="E590" s="7" t="n">
        <v>57</v>
      </c>
      <c r="F590" s="3" t="n">
        <f aca="false">COUNTIFS($B$2:$B$2705,B590,$C$2:$C$2705,C590)</f>
        <v>3</v>
      </c>
      <c r="G590" s="3" t="n">
        <f aca="false">MIN(INT((MIN(B590,2020)-1900)/10)+1,12)</f>
        <v>4</v>
      </c>
      <c r="H590" s="3" t="n">
        <f aca="false">(MIN(B590,2020)-1900-10*(G590-1))/10</f>
        <v>0.7</v>
      </c>
      <c r="I590" s="20" t="n">
        <f aca="false">EXP(LN(INDEX(Pop_Inputs!$B$2:$N$29,MATCH(C590,Pop_Inputs!$A$2:$A$29,0),G590))*(1-H590)+LN(INDEX(Pop_Inputs!$B$2:$N$29,MATCH(C590,Pop_Inputs!$A$2:$A$29,0),G590+1))*H590)</f>
        <v>7293592.66029354</v>
      </c>
      <c r="J590" s="20" t="n">
        <f aca="false">I590/F590</f>
        <v>2431197.55343118</v>
      </c>
      <c r="K590" s="21" t="n">
        <f aca="false">D590/(D590+E590)</f>
        <v>0.625</v>
      </c>
      <c r="L590" s="21" t="n">
        <f aca="false">AVERAGEIFS($K$2:$K$2705,$B$2:$B$2705,B590)</f>
        <v>0.499876622847772</v>
      </c>
      <c r="M590" s="21" t="n">
        <f aca="false">K590-L590</f>
        <v>0.125123377152228</v>
      </c>
      <c r="N590" s="21" t="n">
        <f aca="false">LN(J590)</f>
        <v>14.7038945142627</v>
      </c>
      <c r="O590" s="21" t="n">
        <f aca="false">AVERAGEIFS($N$2:$N$2705,$B$2:$B$2705,B590)</f>
        <v>13.7299027116534</v>
      </c>
      <c r="P590" s="21" t="n">
        <f aca="false">N590-O590</f>
        <v>0.973991802609367</v>
      </c>
      <c r="Q590" s="7" t="n">
        <v>0</v>
      </c>
      <c r="R590" s="3" t="n">
        <f aca="false">IF(AND(Q590=1,B590-_xlfn.MINIFS($B$2:$B$2705,$A$2:$A$2705,A590)&lt;10),1,0)</f>
        <v>0</v>
      </c>
      <c r="S590" s="7" t="n">
        <v>0</v>
      </c>
      <c r="T590" s="3" t="n">
        <f aca="false">_xlfn.MINIFS($B$2:$B$2705,$A$2:$A$2705,A590)</f>
        <v>1901</v>
      </c>
      <c r="U590" s="3" t="n">
        <f aca="false">B590-T590</f>
        <v>36</v>
      </c>
      <c r="V590" s="3" t="str">
        <f aca="false">INDEX(Pop_Inputs!$Q$2:$Q$29,MATCH(C590,Pop_Inputs!$A$2:$A$29,0))</f>
        <v>Northeast</v>
      </c>
      <c r="W590" s="30"/>
      <c r="X590" s="3" t="str">
        <f aca="false">IF(W590="","",LN(W590))</f>
        <v/>
      </c>
      <c r="Y590" s="3" t="str">
        <f aca="false">IF(X590="","",X590-AVERAGEIFS($X$2:$X$2705,$B$2:$B$2705,B590))</f>
        <v/>
      </c>
      <c r="Z590" s="21" t="n">
        <f aca="false">P590</f>
        <v>0.973991802609367</v>
      </c>
      <c r="AA590" s="3" t="n">
        <f aca="false">R590</f>
        <v>0</v>
      </c>
      <c r="AB590" s="21" t="n">
        <f aca="false">P590</f>
        <v>0.973991802609367</v>
      </c>
      <c r="AC590" s="3" t="str">
        <f aca="false">Y590</f>
        <v/>
      </c>
      <c r="AD590" s="3" t="n">
        <f aca="false">R590</f>
        <v>0</v>
      </c>
    </row>
    <row r="591" customFormat="false" ht="15" hidden="false" customHeight="true" outlineLevel="0" collapsed="false">
      <c r="A591" s="7" t="s">
        <v>59</v>
      </c>
      <c r="B591" s="7" t="n">
        <v>1937</v>
      </c>
      <c r="C591" s="7" t="s">
        <v>145</v>
      </c>
      <c r="D591" s="7" t="n">
        <v>81</v>
      </c>
      <c r="E591" s="7" t="n">
        <v>73</v>
      </c>
      <c r="F591" s="3" t="n">
        <f aca="false">COUNTIFS($B$2:$B$2705,B591,$C$2:$C$2705,C591)</f>
        <v>2</v>
      </c>
      <c r="G591" s="3" t="n">
        <f aca="false">MIN(INT((MIN(B591,2020)-1900)/10)+1,12)</f>
        <v>4</v>
      </c>
      <c r="H591" s="3" t="n">
        <f aca="false">(MIN(B591,2020)-1900-10*(G591-1))/10</f>
        <v>0.7</v>
      </c>
      <c r="I591" s="20" t="n">
        <f aca="false">EXP(LN(INDEX(Pop_Inputs!$B$2:$N$29,MATCH(C591,Pop_Inputs!$A$2:$A$29,0),G591))*(1-H591)+LN(INDEX(Pop_Inputs!$B$2:$N$29,MATCH(C591,Pop_Inputs!$A$2:$A$29,0),G591+1))*H591)</f>
        <v>817817.121170108</v>
      </c>
      <c r="J591" s="20" t="n">
        <f aca="false">I591/F591</f>
        <v>408908.560585054</v>
      </c>
      <c r="K591" s="21" t="n">
        <f aca="false">D591/(D591+E591)</f>
        <v>0.525974025974026</v>
      </c>
      <c r="L591" s="21" t="n">
        <f aca="false">AVERAGEIFS($K$2:$K$2705,$B$2:$B$2705,B591)</f>
        <v>0.499876622847772</v>
      </c>
      <c r="M591" s="21" t="n">
        <f aca="false">K591-L591</f>
        <v>0.0260974031262536</v>
      </c>
      <c r="N591" s="21" t="n">
        <f aca="false">LN(J591)</f>
        <v>12.9212468417781</v>
      </c>
      <c r="O591" s="21" t="n">
        <f aca="false">AVERAGEIFS($N$2:$N$2705,$B$2:$B$2705,B591)</f>
        <v>13.7299027116534</v>
      </c>
      <c r="P591" s="21" t="n">
        <f aca="false">N591-O591</f>
        <v>-0.808655869875222</v>
      </c>
      <c r="Q591" s="7" t="n">
        <v>0</v>
      </c>
      <c r="R591" s="3" t="n">
        <f aca="false">IF(AND(Q591=1,B591-_xlfn.MINIFS($B$2:$B$2705,$A$2:$A$2705,A591)&lt;10),1,0)</f>
        <v>0</v>
      </c>
      <c r="S591" s="7" t="n">
        <v>0</v>
      </c>
      <c r="T591" s="3" t="n">
        <f aca="false">_xlfn.MINIFS($B$2:$B$2705,$A$2:$A$2705,A591)</f>
        <v>1901</v>
      </c>
      <c r="U591" s="3" t="n">
        <f aca="false">B591-T591</f>
        <v>36</v>
      </c>
      <c r="V591" s="3" t="str">
        <f aca="false">INDEX(Pop_Inputs!$Q$2:$Q$29,MATCH(C591,Pop_Inputs!$A$2:$A$29,0))</f>
        <v>Midwest</v>
      </c>
      <c r="W591" s="30"/>
      <c r="X591" s="3" t="str">
        <f aca="false">IF(W591="","",LN(W591))</f>
        <v/>
      </c>
      <c r="Y591" s="3" t="str">
        <f aca="false">IF(X591="","",X591-AVERAGEIFS($X$2:$X$2705,$B$2:$B$2705,B591))</f>
        <v/>
      </c>
      <c r="Z591" s="21" t="n">
        <f aca="false">P591</f>
        <v>-0.808655869875222</v>
      </c>
      <c r="AA591" s="3" t="n">
        <f aca="false">R591</f>
        <v>0</v>
      </c>
      <c r="AB591" s="21" t="n">
        <f aca="false">P591</f>
        <v>-0.808655869875222</v>
      </c>
      <c r="AC591" s="3" t="str">
        <f aca="false">Y591</f>
        <v/>
      </c>
      <c r="AD591" s="3" t="n">
        <f aca="false">R591</f>
        <v>0</v>
      </c>
    </row>
    <row r="592" customFormat="false" ht="15" hidden="false" customHeight="true" outlineLevel="0" collapsed="false">
      <c r="A592" s="7" t="s">
        <v>54</v>
      </c>
      <c r="B592" s="7" t="n">
        <v>1938</v>
      </c>
      <c r="C592" s="7" t="s">
        <v>150</v>
      </c>
      <c r="D592" s="7" t="n">
        <v>77</v>
      </c>
      <c r="E592" s="7" t="n">
        <v>75</v>
      </c>
      <c r="F592" s="3" t="n">
        <f aca="false">COUNTIFS($B$2:$B$2705,B592,$C$2:$C$2705,C592)</f>
        <v>2</v>
      </c>
      <c r="G592" s="3" t="n">
        <f aca="false">MIN(INT((MIN(B592,2020)-1900)/10)+1,12)</f>
        <v>4</v>
      </c>
      <c r="H592" s="3" t="n">
        <f aca="false">(MIN(B592,2020)-1900-10*(G592-1))/10</f>
        <v>0.8</v>
      </c>
      <c r="I592" s="20" t="n">
        <f aca="false">EXP(LN(INDEX(Pop_Inputs!$B$2:$N$29,MATCH(C592,Pop_Inputs!$A$2:$A$29,0),G592))*(1-H592)+LN(INDEX(Pop_Inputs!$B$2:$N$29,MATCH(C592,Pop_Inputs!$A$2:$A$29,0),G592+1))*H592)</f>
        <v>772879.324158752</v>
      </c>
      <c r="J592" s="20" t="n">
        <f aca="false">I592/F592</f>
        <v>386439.662079376</v>
      </c>
      <c r="K592" s="21" t="n">
        <f aca="false">D592/(D592+E592)</f>
        <v>0.506578947368421</v>
      </c>
      <c r="L592" s="21" t="n">
        <f aca="false">AVERAGEIFS($K$2:$K$2705,$B$2:$B$2705,B592)</f>
        <v>0.499893287654291</v>
      </c>
      <c r="M592" s="21" t="n">
        <f aca="false">K592-L592</f>
        <v>0.00668565971412982</v>
      </c>
      <c r="N592" s="21" t="n">
        <f aca="false">LN(J592)</f>
        <v>12.8647310211858</v>
      </c>
      <c r="O592" s="21" t="n">
        <f aca="false">AVERAGEIFS($N$2:$N$2705,$B$2:$B$2705,B592)</f>
        <v>13.7330307525019</v>
      </c>
      <c r="P592" s="21" t="n">
        <f aca="false">N592-O592</f>
        <v>-0.868299731316057</v>
      </c>
      <c r="Q592" s="7" t="n">
        <v>0</v>
      </c>
      <c r="R592" s="3" t="n">
        <f aca="false">IF(AND(Q592=1,B592-_xlfn.MINIFS($B$2:$B$2705,$A$2:$A$2705,A592)&lt;10),1,0)</f>
        <v>0</v>
      </c>
      <c r="S592" s="7" t="n">
        <v>0</v>
      </c>
      <c r="T592" s="3" t="n">
        <f aca="false">_xlfn.MINIFS($B$2:$B$2705,$A$2:$A$2705,A592)</f>
        <v>1901</v>
      </c>
      <c r="U592" s="3" t="n">
        <f aca="false">B592-T592</f>
        <v>37</v>
      </c>
      <c r="V592" s="3" t="str">
        <f aca="false">INDEX(Pop_Inputs!$Q$2:$Q$29,MATCH(C592,Pop_Inputs!$A$2:$A$29,0))</f>
        <v>Northeast</v>
      </c>
      <c r="W592" s="30"/>
      <c r="X592" s="3" t="str">
        <f aca="false">IF(W592="","",LN(W592))</f>
        <v/>
      </c>
      <c r="Y592" s="3" t="str">
        <f aca="false">IF(X592="","",X592-AVERAGEIFS($X$2:$X$2705,$B$2:$B$2705,B592))</f>
        <v/>
      </c>
      <c r="Z592" s="21" t="n">
        <f aca="false">P592</f>
        <v>-0.868299731316057</v>
      </c>
      <c r="AA592" s="3" t="n">
        <f aca="false">R592</f>
        <v>0</v>
      </c>
      <c r="AB592" s="21" t="n">
        <f aca="false">P592</f>
        <v>-0.868299731316057</v>
      </c>
      <c r="AC592" s="3" t="str">
        <f aca="false">Y592</f>
        <v/>
      </c>
      <c r="AD592" s="3" t="n">
        <f aca="false">R592</f>
        <v>0</v>
      </c>
    </row>
    <row r="593" customFormat="false" ht="15" hidden="false" customHeight="true" outlineLevel="0" collapsed="false">
      <c r="A593" s="7" t="s">
        <v>63</v>
      </c>
      <c r="B593" s="7" t="n">
        <v>1938</v>
      </c>
      <c r="C593" s="7" t="s">
        <v>145</v>
      </c>
      <c r="D593" s="7" t="n">
        <v>55</v>
      </c>
      <c r="E593" s="7" t="n">
        <v>97</v>
      </c>
      <c r="F593" s="3" t="n">
        <f aca="false">COUNTIFS($B$2:$B$2705,B593,$C$2:$C$2705,C593)</f>
        <v>2</v>
      </c>
      <c r="G593" s="3" t="n">
        <f aca="false">MIN(INT((MIN(B593,2020)-1900)/10)+1,12)</f>
        <v>4</v>
      </c>
      <c r="H593" s="3" t="n">
        <f aca="false">(MIN(B593,2020)-1900-10*(G593-1))/10</f>
        <v>0.8</v>
      </c>
      <c r="I593" s="20" t="n">
        <f aca="false">EXP(LN(INDEX(Pop_Inputs!$B$2:$N$29,MATCH(C593,Pop_Inputs!$A$2:$A$29,0),G593))*(1-H593)+LN(INDEX(Pop_Inputs!$B$2:$N$29,MATCH(C593,Pop_Inputs!$A$2:$A$29,0),G593+1))*H593)</f>
        <v>817226.988378928</v>
      </c>
      <c r="J593" s="20" t="n">
        <f aca="false">I593/F593</f>
        <v>408613.494189464</v>
      </c>
      <c r="K593" s="21" t="n">
        <f aca="false">D593/(D593+E593)</f>
        <v>0.361842105263158</v>
      </c>
      <c r="L593" s="21" t="n">
        <f aca="false">AVERAGEIFS($K$2:$K$2705,$B$2:$B$2705,B593)</f>
        <v>0.499893287654291</v>
      </c>
      <c r="M593" s="21" t="n">
        <f aca="false">K593-L593</f>
        <v>-0.138051182391133</v>
      </c>
      <c r="N593" s="21" t="n">
        <f aca="false">LN(J593)</f>
        <v>12.9205249862473</v>
      </c>
      <c r="O593" s="21" t="n">
        <f aca="false">AVERAGEIFS($N$2:$N$2705,$B$2:$B$2705,B593)</f>
        <v>13.7330307525019</v>
      </c>
      <c r="P593" s="21" t="n">
        <f aca="false">N593-O593</f>
        <v>-0.812505766254555</v>
      </c>
      <c r="Q593" s="7" t="n">
        <v>0</v>
      </c>
      <c r="R593" s="3" t="n">
        <f aca="false">IF(AND(Q593=1,B593-_xlfn.MINIFS($B$2:$B$2705,$A$2:$A$2705,A593)&lt;10),1,0)</f>
        <v>0</v>
      </c>
      <c r="S593" s="7" t="n">
        <v>0</v>
      </c>
      <c r="T593" s="3" t="n">
        <f aca="false">_xlfn.MINIFS($B$2:$B$2705,$A$2:$A$2705,A593)</f>
        <v>1901</v>
      </c>
      <c r="U593" s="3" t="n">
        <f aca="false">B593-T593</f>
        <v>37</v>
      </c>
      <c r="V593" s="3" t="str">
        <f aca="false">INDEX(Pop_Inputs!$Q$2:$Q$29,MATCH(C593,Pop_Inputs!$A$2:$A$29,0))</f>
        <v>Midwest</v>
      </c>
      <c r="W593" s="30"/>
      <c r="X593" s="3" t="str">
        <f aca="false">IF(W593="","",LN(W593))</f>
        <v/>
      </c>
      <c r="Y593" s="3" t="str">
        <f aca="false">IF(X593="","",X593-AVERAGEIFS($X$2:$X$2705,$B$2:$B$2705,B593))</f>
        <v/>
      </c>
      <c r="Z593" s="21" t="n">
        <f aca="false">P593</f>
        <v>-0.812505766254555</v>
      </c>
      <c r="AA593" s="3" t="n">
        <f aca="false">R593</f>
        <v>0</v>
      </c>
      <c r="AB593" s="21" t="n">
        <f aca="false">P593</f>
        <v>-0.812505766254555</v>
      </c>
      <c r="AC593" s="3" t="str">
        <f aca="false">Y593</f>
        <v/>
      </c>
      <c r="AD593" s="3" t="n">
        <f aca="false">R593</f>
        <v>0</v>
      </c>
    </row>
    <row r="594" customFormat="false" ht="15" hidden="false" customHeight="true" outlineLevel="0" collapsed="false">
      <c r="A594" s="7" t="s">
        <v>64</v>
      </c>
      <c r="B594" s="7" t="n">
        <v>1938</v>
      </c>
      <c r="C594" s="7" t="s">
        <v>150</v>
      </c>
      <c r="D594" s="7" t="n">
        <v>88</v>
      </c>
      <c r="E594" s="7" t="n">
        <v>61</v>
      </c>
      <c r="F594" s="3" t="n">
        <f aca="false">COUNTIFS($B$2:$B$2705,B594,$C$2:$C$2705,C594)</f>
        <v>2</v>
      </c>
      <c r="G594" s="3" t="n">
        <f aca="false">MIN(INT((MIN(B594,2020)-1900)/10)+1,12)</f>
        <v>4</v>
      </c>
      <c r="H594" s="3" t="n">
        <f aca="false">(MIN(B594,2020)-1900-10*(G594-1))/10</f>
        <v>0.8</v>
      </c>
      <c r="I594" s="20" t="n">
        <f aca="false">EXP(LN(INDEX(Pop_Inputs!$B$2:$N$29,MATCH(C594,Pop_Inputs!$A$2:$A$29,0),G594))*(1-H594)+LN(INDEX(Pop_Inputs!$B$2:$N$29,MATCH(C594,Pop_Inputs!$A$2:$A$29,0),G594+1))*H594)</f>
        <v>772879.324158752</v>
      </c>
      <c r="J594" s="20" t="n">
        <f aca="false">I594/F594</f>
        <v>386439.662079376</v>
      </c>
      <c r="K594" s="21" t="n">
        <f aca="false">D594/(D594+E594)</f>
        <v>0.590604026845638</v>
      </c>
      <c r="L594" s="21" t="n">
        <f aca="false">AVERAGEIFS($K$2:$K$2705,$B$2:$B$2705,B594)</f>
        <v>0.499893287654291</v>
      </c>
      <c r="M594" s="21" t="n">
        <f aca="false">K594-L594</f>
        <v>0.0907107391913464</v>
      </c>
      <c r="N594" s="21" t="n">
        <f aca="false">LN(J594)</f>
        <v>12.8647310211858</v>
      </c>
      <c r="O594" s="21" t="n">
        <f aca="false">AVERAGEIFS($N$2:$N$2705,$B$2:$B$2705,B594)</f>
        <v>13.7330307525019</v>
      </c>
      <c r="P594" s="21" t="n">
        <f aca="false">N594-O594</f>
        <v>-0.868299731316057</v>
      </c>
      <c r="Q594" s="7" t="n">
        <v>0</v>
      </c>
      <c r="R594" s="3" t="n">
        <f aca="false">IF(AND(Q594=1,B594-_xlfn.MINIFS($B$2:$B$2705,$A$2:$A$2705,A594)&lt;10),1,0)</f>
        <v>0</v>
      </c>
      <c r="S594" s="7" t="n">
        <v>0</v>
      </c>
      <c r="T594" s="3" t="n">
        <f aca="false">_xlfn.MINIFS($B$2:$B$2705,$A$2:$A$2705,A594)</f>
        <v>1901</v>
      </c>
      <c r="U594" s="3" t="n">
        <f aca="false">B594-T594</f>
        <v>37</v>
      </c>
      <c r="V594" s="3" t="str">
        <f aca="false">INDEX(Pop_Inputs!$Q$2:$Q$29,MATCH(C594,Pop_Inputs!$A$2:$A$29,0))</f>
        <v>Northeast</v>
      </c>
      <c r="W594" s="30"/>
      <c r="X594" s="3" t="str">
        <f aca="false">IF(W594="","",LN(W594))</f>
        <v/>
      </c>
      <c r="Y594" s="3" t="str">
        <f aca="false">IF(X594="","",X594-AVERAGEIFS($X$2:$X$2705,$B$2:$B$2705,B594))</f>
        <v/>
      </c>
      <c r="Z594" s="21" t="n">
        <f aca="false">P594</f>
        <v>-0.868299731316057</v>
      </c>
      <c r="AA594" s="3" t="n">
        <f aca="false">R594</f>
        <v>0</v>
      </c>
      <c r="AB594" s="21" t="n">
        <f aca="false">P594</f>
        <v>-0.868299731316057</v>
      </c>
      <c r="AC594" s="3" t="str">
        <f aca="false">Y594</f>
        <v/>
      </c>
      <c r="AD594" s="3" t="n">
        <f aca="false">R594</f>
        <v>0</v>
      </c>
    </row>
    <row r="595" customFormat="false" ht="15" hidden="false" customHeight="true" outlineLevel="0" collapsed="false">
      <c r="A595" s="7" t="s">
        <v>56</v>
      </c>
      <c r="B595" s="7" t="n">
        <v>1938</v>
      </c>
      <c r="C595" s="7" t="s">
        <v>142</v>
      </c>
      <c r="D595" s="7" t="n">
        <v>89</v>
      </c>
      <c r="E595" s="7" t="n">
        <v>63</v>
      </c>
      <c r="F595" s="3" t="n">
        <f aca="false">COUNTIFS($B$2:$B$2705,B595,$C$2:$C$2705,C595)</f>
        <v>2</v>
      </c>
      <c r="G595" s="3" t="n">
        <f aca="false">MIN(INT((MIN(B595,2020)-1900)/10)+1,12)</f>
        <v>4</v>
      </c>
      <c r="H595" s="3" t="n">
        <f aca="false">(MIN(B595,2020)-1900-10*(G595-1))/10</f>
        <v>0.8</v>
      </c>
      <c r="I595" s="20" t="n">
        <f aca="false">EXP(LN(INDEX(Pop_Inputs!$B$2:$N$29,MATCH(C595,Pop_Inputs!$A$2:$A$29,0),G595))*(1-H595)+LN(INDEX(Pop_Inputs!$B$2:$N$29,MATCH(C595,Pop_Inputs!$A$2:$A$29,0),G595+1))*H595)</f>
        <v>3392724.1922941</v>
      </c>
      <c r="J595" s="20" t="n">
        <f aca="false">I595/F595</f>
        <v>1696362.09614705</v>
      </c>
      <c r="K595" s="21" t="n">
        <f aca="false">D595/(D595+E595)</f>
        <v>0.585526315789474</v>
      </c>
      <c r="L595" s="21" t="n">
        <f aca="false">AVERAGEIFS($K$2:$K$2705,$B$2:$B$2705,B595)</f>
        <v>0.499893287654291</v>
      </c>
      <c r="M595" s="21" t="n">
        <f aca="false">K595-L595</f>
        <v>0.0856330281351825</v>
      </c>
      <c r="N595" s="21" t="n">
        <f aca="false">LN(J595)</f>
        <v>14.3439965726328</v>
      </c>
      <c r="O595" s="21" t="n">
        <f aca="false">AVERAGEIFS($N$2:$N$2705,$B$2:$B$2705,B595)</f>
        <v>13.7330307525019</v>
      </c>
      <c r="P595" s="21" t="n">
        <f aca="false">N595-O595</f>
        <v>0.610965820130922</v>
      </c>
      <c r="Q595" s="7" t="n">
        <v>0</v>
      </c>
      <c r="R595" s="3" t="n">
        <f aca="false">IF(AND(Q595=1,B595-_xlfn.MINIFS($B$2:$B$2705,$A$2:$A$2705,A595)&lt;10),1,0)</f>
        <v>0</v>
      </c>
      <c r="S595" s="7" t="n">
        <v>0</v>
      </c>
      <c r="T595" s="3" t="n">
        <f aca="false">_xlfn.MINIFS($B$2:$B$2705,$A$2:$A$2705,A595)</f>
        <v>1901</v>
      </c>
      <c r="U595" s="3" t="n">
        <f aca="false">B595-T595</f>
        <v>37</v>
      </c>
      <c r="V595" s="3" t="str">
        <f aca="false">INDEX(Pop_Inputs!$Q$2:$Q$29,MATCH(C595,Pop_Inputs!$A$2:$A$29,0))</f>
        <v>Midwest</v>
      </c>
      <c r="W595" s="30"/>
      <c r="X595" s="3" t="str">
        <f aca="false">IF(W595="","",LN(W595))</f>
        <v/>
      </c>
      <c r="Y595" s="3" t="str">
        <f aca="false">IF(X595="","",X595-AVERAGEIFS($X$2:$X$2705,$B$2:$B$2705,B595))</f>
        <v/>
      </c>
      <c r="Z595" s="21" t="n">
        <f aca="false">P595</f>
        <v>0.610965820130922</v>
      </c>
      <c r="AA595" s="3" t="n">
        <f aca="false">R595</f>
        <v>0</v>
      </c>
      <c r="AB595" s="21" t="n">
        <f aca="false">P595</f>
        <v>0.610965820130922</v>
      </c>
      <c r="AC595" s="3" t="str">
        <f aca="false">Y595</f>
        <v/>
      </c>
      <c r="AD595" s="3" t="n">
        <f aca="false">R595</f>
        <v>0</v>
      </c>
    </row>
    <row r="596" customFormat="false" ht="15" hidden="false" customHeight="true" outlineLevel="0" collapsed="false">
      <c r="A596" s="7" t="s">
        <v>65</v>
      </c>
      <c r="B596" s="7" t="n">
        <v>1938</v>
      </c>
      <c r="C596" s="7" t="s">
        <v>142</v>
      </c>
      <c r="D596" s="7" t="n">
        <v>65</v>
      </c>
      <c r="E596" s="7" t="n">
        <v>83</v>
      </c>
      <c r="F596" s="3" t="n">
        <f aca="false">COUNTIFS($B$2:$B$2705,B596,$C$2:$C$2705,C596)</f>
        <v>2</v>
      </c>
      <c r="G596" s="3" t="n">
        <f aca="false">MIN(INT((MIN(B596,2020)-1900)/10)+1,12)</f>
        <v>4</v>
      </c>
      <c r="H596" s="3" t="n">
        <f aca="false">(MIN(B596,2020)-1900-10*(G596-1))/10</f>
        <v>0.8</v>
      </c>
      <c r="I596" s="20" t="n">
        <f aca="false">EXP(LN(INDEX(Pop_Inputs!$B$2:$N$29,MATCH(C596,Pop_Inputs!$A$2:$A$29,0),G596))*(1-H596)+LN(INDEX(Pop_Inputs!$B$2:$N$29,MATCH(C596,Pop_Inputs!$A$2:$A$29,0),G596+1))*H596)</f>
        <v>3392724.1922941</v>
      </c>
      <c r="J596" s="20" t="n">
        <f aca="false">I596/F596</f>
        <v>1696362.09614705</v>
      </c>
      <c r="K596" s="21" t="n">
        <f aca="false">D596/(D596+E596)</f>
        <v>0.439189189189189</v>
      </c>
      <c r="L596" s="21" t="n">
        <f aca="false">AVERAGEIFS($K$2:$K$2705,$B$2:$B$2705,B596)</f>
        <v>0.499893287654291</v>
      </c>
      <c r="M596" s="21" t="n">
        <f aca="false">K596-L596</f>
        <v>-0.060704098465102</v>
      </c>
      <c r="N596" s="21" t="n">
        <f aca="false">LN(J596)</f>
        <v>14.3439965726328</v>
      </c>
      <c r="O596" s="21" t="n">
        <f aca="false">AVERAGEIFS($N$2:$N$2705,$B$2:$B$2705,B596)</f>
        <v>13.7330307525019</v>
      </c>
      <c r="P596" s="21" t="n">
        <f aca="false">N596-O596</f>
        <v>0.610965820130922</v>
      </c>
      <c r="Q596" s="7" t="n">
        <v>0</v>
      </c>
      <c r="R596" s="3" t="n">
        <f aca="false">IF(AND(Q596=1,B596-_xlfn.MINIFS($B$2:$B$2705,$A$2:$A$2705,A596)&lt;10),1,0)</f>
        <v>0</v>
      </c>
      <c r="S596" s="7" t="n">
        <v>0</v>
      </c>
      <c r="T596" s="3" t="n">
        <f aca="false">_xlfn.MINIFS($B$2:$B$2705,$A$2:$A$2705,A596)</f>
        <v>1901</v>
      </c>
      <c r="U596" s="3" t="n">
        <f aca="false">B596-T596</f>
        <v>37</v>
      </c>
      <c r="V596" s="3" t="str">
        <f aca="false">INDEX(Pop_Inputs!$Q$2:$Q$29,MATCH(C596,Pop_Inputs!$A$2:$A$29,0))</f>
        <v>Midwest</v>
      </c>
      <c r="W596" s="30"/>
      <c r="X596" s="3" t="str">
        <f aca="false">IF(W596="","",LN(W596))</f>
        <v/>
      </c>
      <c r="Y596" s="3" t="str">
        <f aca="false">IF(X596="","",X596-AVERAGEIFS($X$2:$X$2705,$B$2:$B$2705,B596))</f>
        <v/>
      </c>
      <c r="Z596" s="21" t="n">
        <f aca="false">P596</f>
        <v>0.610965820130922</v>
      </c>
      <c r="AA596" s="3" t="n">
        <f aca="false">R596</f>
        <v>0</v>
      </c>
      <c r="AB596" s="21" t="n">
        <f aca="false">P596</f>
        <v>0.610965820130922</v>
      </c>
      <c r="AC596" s="3" t="str">
        <f aca="false">Y596</f>
        <v/>
      </c>
      <c r="AD596" s="3" t="n">
        <f aca="false">R596</f>
        <v>0</v>
      </c>
    </row>
    <row r="597" customFormat="false" ht="15" hidden="false" customHeight="true" outlineLevel="0" collapsed="false">
      <c r="A597" s="7" t="s">
        <v>57</v>
      </c>
      <c r="B597" s="7" t="n">
        <v>1938</v>
      </c>
      <c r="C597" s="7" t="s">
        <v>143</v>
      </c>
      <c r="D597" s="7" t="n">
        <v>82</v>
      </c>
      <c r="E597" s="7" t="n">
        <v>68</v>
      </c>
      <c r="F597" s="3" t="n">
        <f aca="false">COUNTIFS($B$2:$B$2705,B597,$C$2:$C$2705,C597)</f>
        <v>1</v>
      </c>
      <c r="G597" s="3" t="n">
        <f aca="false">MIN(INT((MIN(B597,2020)-1900)/10)+1,12)</f>
        <v>4</v>
      </c>
      <c r="H597" s="3" t="n">
        <f aca="false">(MIN(B597,2020)-1900-10*(G597-1))/10</f>
        <v>0.8</v>
      </c>
      <c r="I597" s="20" t="n">
        <f aca="false">EXP(LN(INDEX(Pop_Inputs!$B$2:$N$29,MATCH(C597,Pop_Inputs!$A$2:$A$29,0),G597))*(1-H597)+LN(INDEX(Pop_Inputs!$B$2:$N$29,MATCH(C597,Pop_Inputs!$A$2:$A$29,0),G597+1))*H597)</f>
        <v>454716.502386259</v>
      </c>
      <c r="J597" s="20" t="n">
        <f aca="false">I597/F597</f>
        <v>454716.502386259</v>
      </c>
      <c r="K597" s="21" t="n">
        <f aca="false">D597/(D597+E597)</f>
        <v>0.546666666666667</v>
      </c>
      <c r="L597" s="21" t="n">
        <f aca="false">AVERAGEIFS($K$2:$K$2705,$B$2:$B$2705,B597)</f>
        <v>0.499893287654291</v>
      </c>
      <c r="M597" s="21" t="n">
        <f aca="false">K597-L597</f>
        <v>0.0467733790123754</v>
      </c>
      <c r="N597" s="21" t="n">
        <f aca="false">LN(J597)</f>
        <v>13.0274294320647</v>
      </c>
      <c r="O597" s="21" t="n">
        <f aca="false">AVERAGEIFS($N$2:$N$2705,$B$2:$B$2705,B597)</f>
        <v>13.7330307525019</v>
      </c>
      <c r="P597" s="21" t="n">
        <f aca="false">N597-O597</f>
        <v>-0.705601320437156</v>
      </c>
      <c r="Q597" s="7" t="n">
        <v>0</v>
      </c>
      <c r="R597" s="3" t="n">
        <f aca="false">IF(AND(Q597=1,B597-_xlfn.MINIFS($B$2:$B$2705,$A$2:$A$2705,A597)&lt;10),1,0)</f>
        <v>0</v>
      </c>
      <c r="S597" s="7" t="n">
        <v>0</v>
      </c>
      <c r="T597" s="3" t="n">
        <f aca="false">_xlfn.MINIFS($B$2:$B$2705,$A$2:$A$2705,A597)</f>
        <v>1901</v>
      </c>
      <c r="U597" s="3" t="n">
        <f aca="false">B597-T597</f>
        <v>37</v>
      </c>
      <c r="V597" s="3" t="str">
        <f aca="false">INDEX(Pop_Inputs!$Q$2:$Q$29,MATCH(C597,Pop_Inputs!$A$2:$A$29,0))</f>
        <v>Midwest</v>
      </c>
      <c r="W597" s="30"/>
      <c r="X597" s="3" t="str">
        <f aca="false">IF(W597="","",LN(W597))</f>
        <v/>
      </c>
      <c r="Y597" s="3" t="str">
        <f aca="false">IF(X597="","",X597-AVERAGEIFS($X$2:$X$2705,$B$2:$B$2705,B597))</f>
        <v/>
      </c>
      <c r="Z597" s="21" t="n">
        <f aca="false">P597</f>
        <v>-0.705601320437156</v>
      </c>
      <c r="AA597" s="3" t="n">
        <f aca="false">R597</f>
        <v>0</v>
      </c>
      <c r="AB597" s="21" t="n">
        <f aca="false">P597</f>
        <v>-0.705601320437156</v>
      </c>
      <c r="AC597" s="3" t="str">
        <f aca="false">Y597</f>
        <v/>
      </c>
      <c r="AD597" s="3" t="n">
        <f aca="false">R597</f>
        <v>0</v>
      </c>
    </row>
    <row r="598" customFormat="false" ht="15" hidden="false" customHeight="true" outlineLevel="0" collapsed="false">
      <c r="A598" s="7" t="s">
        <v>66</v>
      </c>
      <c r="B598" s="7" t="n">
        <v>1938</v>
      </c>
      <c r="C598" s="7" t="s">
        <v>151</v>
      </c>
      <c r="D598" s="7" t="n">
        <v>86</v>
      </c>
      <c r="E598" s="7" t="n">
        <v>66</v>
      </c>
      <c r="F598" s="3" t="n">
        <f aca="false">COUNTIFS($B$2:$B$2705,B598,$C$2:$C$2705,C598)</f>
        <v>1</v>
      </c>
      <c r="G598" s="3" t="n">
        <f aca="false">MIN(INT((MIN(B598,2020)-1900)/10)+1,12)</f>
        <v>4</v>
      </c>
      <c r="H598" s="3" t="n">
        <f aca="false">(MIN(B598,2020)-1900-10*(G598-1))/10</f>
        <v>0.8</v>
      </c>
      <c r="I598" s="20" t="n">
        <f aca="false">EXP(LN(INDEX(Pop_Inputs!$B$2:$N$29,MATCH(C598,Pop_Inputs!$A$2:$A$29,0),G598))*(1-H598)+LN(INDEX(Pop_Inputs!$B$2:$N$29,MATCH(C598,Pop_Inputs!$A$2:$A$29,0),G598+1))*H598)</f>
        <v>882710.802498224</v>
      </c>
      <c r="J598" s="20" t="n">
        <f aca="false">I598/F598</f>
        <v>882710.802498224</v>
      </c>
      <c r="K598" s="21" t="n">
        <f aca="false">D598/(D598+E598)</f>
        <v>0.565789473684211</v>
      </c>
      <c r="L598" s="21" t="n">
        <f aca="false">AVERAGEIFS($K$2:$K$2705,$B$2:$B$2705,B598)</f>
        <v>0.499893287654291</v>
      </c>
      <c r="M598" s="21" t="n">
        <f aca="false">K598-L598</f>
        <v>0.0658961860299193</v>
      </c>
      <c r="N598" s="21" t="n">
        <f aca="false">LN(J598)</f>
        <v>13.6907529089511</v>
      </c>
      <c r="O598" s="21" t="n">
        <f aca="false">AVERAGEIFS($N$2:$N$2705,$B$2:$B$2705,B598)</f>
        <v>13.7330307525019</v>
      </c>
      <c r="P598" s="21" t="n">
        <f aca="false">N598-O598</f>
        <v>-0.0422778435507265</v>
      </c>
      <c r="Q598" s="7" t="n">
        <v>0</v>
      </c>
      <c r="R598" s="3" t="n">
        <f aca="false">IF(AND(Q598=1,B598-_xlfn.MINIFS($B$2:$B$2705,$A$2:$A$2705,A598)&lt;10),1,0)</f>
        <v>0</v>
      </c>
      <c r="S598" s="7" t="n">
        <v>0</v>
      </c>
      <c r="T598" s="3" t="n">
        <f aca="false">_xlfn.MINIFS($B$2:$B$2705,$A$2:$A$2705,A598)</f>
        <v>1901</v>
      </c>
      <c r="U598" s="3" t="n">
        <f aca="false">B598-T598</f>
        <v>37</v>
      </c>
      <c r="V598" s="3" t="str">
        <f aca="false">INDEX(Pop_Inputs!$Q$2:$Q$29,MATCH(C598,Pop_Inputs!$A$2:$A$29,0))</f>
        <v>Midwest</v>
      </c>
      <c r="W598" s="30"/>
      <c r="X598" s="3" t="str">
        <f aca="false">IF(W598="","",LN(W598))</f>
        <v/>
      </c>
      <c r="Y598" s="3" t="str">
        <f aca="false">IF(X598="","",X598-AVERAGEIFS($X$2:$X$2705,$B$2:$B$2705,B598))</f>
        <v/>
      </c>
      <c r="Z598" s="21" t="n">
        <f aca="false">P598</f>
        <v>-0.0422778435507265</v>
      </c>
      <c r="AA598" s="3" t="n">
        <f aca="false">R598</f>
        <v>0</v>
      </c>
      <c r="AB598" s="21" t="n">
        <f aca="false">P598</f>
        <v>-0.0422778435507265</v>
      </c>
      <c r="AC598" s="3" t="str">
        <f aca="false">Y598</f>
        <v/>
      </c>
      <c r="AD598" s="3" t="n">
        <f aca="false">R598</f>
        <v>0</v>
      </c>
    </row>
    <row r="599" customFormat="false" ht="15" hidden="false" customHeight="true" outlineLevel="0" collapsed="false">
      <c r="A599" s="7" t="s">
        <v>67</v>
      </c>
      <c r="B599" s="7" t="n">
        <v>1938</v>
      </c>
      <c r="C599" s="7" t="s">
        <v>152</v>
      </c>
      <c r="D599" s="7" t="n">
        <v>84</v>
      </c>
      <c r="E599" s="7" t="n">
        <v>70</v>
      </c>
      <c r="F599" s="3" t="n">
        <f aca="false">COUNTIFS($B$2:$B$2705,B599,$C$2:$C$2705,C599)</f>
        <v>1</v>
      </c>
      <c r="G599" s="3" t="n">
        <f aca="false">MIN(INT((MIN(B599,2020)-1900)/10)+1,12)</f>
        <v>4</v>
      </c>
      <c r="H599" s="3" t="n">
        <f aca="false">(MIN(B599,2020)-1900-10*(G599-1))/10</f>
        <v>0.8</v>
      </c>
      <c r="I599" s="20" t="n">
        <f aca="false">EXP(LN(INDEX(Pop_Inputs!$B$2:$N$29,MATCH(C599,Pop_Inputs!$A$2:$A$29,0),G599))*(1-H599)+LN(INDEX(Pop_Inputs!$B$2:$N$29,MATCH(C599,Pop_Inputs!$A$2:$A$29,0),G599+1))*H599)</f>
        <v>1612343.00295294</v>
      </c>
      <c r="J599" s="20" t="n">
        <f aca="false">I599/F599</f>
        <v>1612343.00295294</v>
      </c>
      <c r="K599" s="21" t="n">
        <f aca="false">D599/(D599+E599)</f>
        <v>0.545454545454545</v>
      </c>
      <c r="L599" s="21" t="n">
        <f aca="false">AVERAGEIFS($K$2:$K$2705,$B$2:$B$2705,B599)</f>
        <v>0.499893287654291</v>
      </c>
      <c r="M599" s="21" t="n">
        <f aca="false">K599-L599</f>
        <v>0.0455612578002542</v>
      </c>
      <c r="N599" s="21" t="n">
        <f aca="false">LN(J599)</f>
        <v>14.2931989604022</v>
      </c>
      <c r="O599" s="21" t="n">
        <f aca="false">AVERAGEIFS($N$2:$N$2705,$B$2:$B$2705,B599)</f>
        <v>13.7330307525019</v>
      </c>
      <c r="P599" s="21" t="n">
        <f aca="false">N599-O599</f>
        <v>0.560168207900357</v>
      </c>
      <c r="Q599" s="7" t="n">
        <v>0</v>
      </c>
      <c r="R599" s="3" t="n">
        <f aca="false">IF(AND(Q599=1,B599-_xlfn.MINIFS($B$2:$B$2705,$A$2:$A$2705,A599)&lt;10),1,0)</f>
        <v>0</v>
      </c>
      <c r="S599" s="7" t="n">
        <v>0</v>
      </c>
      <c r="T599" s="3" t="n">
        <f aca="false">_xlfn.MINIFS($B$2:$B$2705,$A$2:$A$2705,A599)</f>
        <v>1901</v>
      </c>
      <c r="U599" s="3" t="n">
        <f aca="false">B599-T599</f>
        <v>37</v>
      </c>
      <c r="V599" s="3" t="str">
        <f aca="false">INDEX(Pop_Inputs!$Q$2:$Q$29,MATCH(C599,Pop_Inputs!$A$2:$A$29,0))</f>
        <v>Midwest</v>
      </c>
      <c r="W599" s="30"/>
      <c r="X599" s="3" t="str">
        <f aca="false">IF(W599="","",LN(W599))</f>
        <v/>
      </c>
      <c r="Y599" s="3" t="str">
        <f aca="false">IF(X599="","",X599-AVERAGEIFS($X$2:$X$2705,$B$2:$B$2705,B599))</f>
        <v/>
      </c>
      <c r="Z599" s="21" t="n">
        <f aca="false">P599</f>
        <v>0.560168207900357</v>
      </c>
      <c r="AA599" s="3" t="n">
        <f aca="false">R599</f>
        <v>0</v>
      </c>
      <c r="AB599" s="21" t="n">
        <f aca="false">P599</f>
        <v>0.560168207900357</v>
      </c>
      <c r="AC599" s="3" t="str">
        <f aca="false">Y599</f>
        <v/>
      </c>
      <c r="AD599" s="3" t="n">
        <f aca="false">R599</f>
        <v>0</v>
      </c>
    </row>
    <row r="600" customFormat="false" ht="15" hidden="false" customHeight="true" outlineLevel="0" collapsed="false">
      <c r="A600" s="7" t="s">
        <v>62</v>
      </c>
      <c r="B600" s="7" t="n">
        <v>1938</v>
      </c>
      <c r="C600" s="7" t="s">
        <v>154</v>
      </c>
      <c r="D600" s="7" t="n">
        <v>69</v>
      </c>
      <c r="E600" s="7" t="n">
        <v>80</v>
      </c>
      <c r="F600" s="3" t="n">
        <f aca="false">COUNTIFS($B$2:$B$2705,B600,$C$2:$C$2705,C600)</f>
        <v>3</v>
      </c>
      <c r="G600" s="3" t="n">
        <f aca="false">MIN(INT((MIN(B600,2020)-1900)/10)+1,12)</f>
        <v>4</v>
      </c>
      <c r="H600" s="3" t="n">
        <f aca="false">(MIN(B600,2020)-1900-10*(G600-1))/10</f>
        <v>0.8</v>
      </c>
      <c r="I600" s="20" t="n">
        <f aca="false">EXP(LN(INDEX(Pop_Inputs!$B$2:$N$29,MATCH(C600,Pop_Inputs!$A$2:$A$29,0),G600))*(1-H600)+LN(INDEX(Pop_Inputs!$B$2:$N$29,MATCH(C600,Pop_Inputs!$A$2:$A$29,0),G600+1))*H600)</f>
        <v>7347001.38991625</v>
      </c>
      <c r="J600" s="20" t="n">
        <f aca="false">I600/F600</f>
        <v>2449000.46330542</v>
      </c>
      <c r="K600" s="21" t="n">
        <f aca="false">D600/(D600+E600)</f>
        <v>0.463087248322148</v>
      </c>
      <c r="L600" s="21" t="n">
        <f aca="false">AVERAGEIFS($K$2:$K$2705,$B$2:$B$2705,B600)</f>
        <v>0.499893287654291</v>
      </c>
      <c r="M600" s="21" t="n">
        <f aca="false">K600-L600</f>
        <v>-0.0368060393321436</v>
      </c>
      <c r="N600" s="21" t="n">
        <f aca="false">LN(J600)</f>
        <v>14.7111905251158</v>
      </c>
      <c r="O600" s="21" t="n">
        <f aca="false">AVERAGEIFS($N$2:$N$2705,$B$2:$B$2705,B600)</f>
        <v>13.7330307525019</v>
      </c>
      <c r="P600" s="21" t="n">
        <f aca="false">N600-O600</f>
        <v>0.978159772613889</v>
      </c>
      <c r="Q600" s="7" t="n">
        <v>0</v>
      </c>
      <c r="R600" s="3" t="n">
        <f aca="false">IF(AND(Q600=1,B600-_xlfn.MINIFS($B$2:$B$2705,$A$2:$A$2705,A600)&lt;10),1,0)</f>
        <v>0</v>
      </c>
      <c r="S600" s="7" t="n">
        <v>0</v>
      </c>
      <c r="T600" s="3" t="n">
        <f aca="false">_xlfn.MINIFS($B$2:$B$2705,$A$2:$A$2705,A600)</f>
        <v>1901</v>
      </c>
      <c r="U600" s="3" t="n">
        <f aca="false">B600-T600</f>
        <v>37</v>
      </c>
      <c r="V600" s="3" t="str">
        <f aca="false">INDEX(Pop_Inputs!$Q$2:$Q$29,MATCH(C600,Pop_Inputs!$A$2:$A$29,0))</f>
        <v>Northeast</v>
      </c>
      <c r="W600" s="30"/>
      <c r="X600" s="3" t="str">
        <f aca="false">IF(W600="","",LN(W600))</f>
        <v/>
      </c>
      <c r="Y600" s="3" t="str">
        <f aca="false">IF(X600="","",X600-AVERAGEIFS($X$2:$X$2705,$B$2:$B$2705,B600))</f>
        <v/>
      </c>
      <c r="Z600" s="21" t="n">
        <f aca="false">P600</f>
        <v>0.978159772613889</v>
      </c>
      <c r="AA600" s="3" t="n">
        <f aca="false">R600</f>
        <v>0</v>
      </c>
      <c r="AB600" s="21" t="n">
        <f aca="false">P600</f>
        <v>0.978159772613889</v>
      </c>
      <c r="AC600" s="3" t="str">
        <f aca="false">Y600</f>
        <v/>
      </c>
      <c r="AD600" s="3" t="n">
        <f aca="false">R600</f>
        <v>0</v>
      </c>
    </row>
    <row r="601" customFormat="false" ht="15" hidden="false" customHeight="true" outlineLevel="0" collapsed="false">
      <c r="A601" s="7" t="s">
        <v>68</v>
      </c>
      <c r="B601" s="7" t="n">
        <v>1938</v>
      </c>
      <c r="C601" s="7" t="s">
        <v>160</v>
      </c>
      <c r="D601" s="7" t="n">
        <v>75</v>
      </c>
      <c r="E601" s="7" t="n">
        <v>76</v>
      </c>
      <c r="F601" s="3" t="n">
        <f aca="false">COUNTIFS($B$2:$B$2705,B601,$C$2:$C$2705,C601)</f>
        <v>1</v>
      </c>
      <c r="G601" s="3" t="n">
        <f aca="false">MIN(INT((MIN(B601,2020)-1900)/10)+1,12)</f>
        <v>4</v>
      </c>
      <c r="H601" s="3" t="n">
        <f aca="false">(MIN(B601,2020)-1900-10*(G601-1))/10</f>
        <v>0.8</v>
      </c>
      <c r="I601" s="20" t="n">
        <f aca="false">EXP(LN(INDEX(Pop_Inputs!$B$2:$N$29,MATCH(C601,Pop_Inputs!$A$2:$A$29,0),G601))*(1-H601)+LN(INDEX(Pop_Inputs!$B$2:$N$29,MATCH(C601,Pop_Inputs!$A$2:$A$29,0),G601+1))*H601)</f>
        <v>623362.871285527</v>
      </c>
      <c r="J601" s="20" t="n">
        <f aca="false">I601/F601</f>
        <v>623362.871285527</v>
      </c>
      <c r="K601" s="21" t="n">
        <f aca="false">D601/(D601+E601)</f>
        <v>0.496688741721854</v>
      </c>
      <c r="L601" s="21" t="n">
        <f aca="false">AVERAGEIFS($K$2:$K$2705,$B$2:$B$2705,B601)</f>
        <v>0.499893287654291</v>
      </c>
      <c r="M601" s="21" t="n">
        <f aca="false">K601-L601</f>
        <v>-0.00320454593243691</v>
      </c>
      <c r="N601" s="21" t="n">
        <f aca="false">LN(J601)</f>
        <v>13.342884086129</v>
      </c>
      <c r="O601" s="21" t="n">
        <f aca="false">AVERAGEIFS($N$2:$N$2705,$B$2:$B$2705,B601)</f>
        <v>13.7330307525019</v>
      </c>
      <c r="P601" s="21" t="n">
        <f aca="false">N601-O601</f>
        <v>-0.390146666372859</v>
      </c>
      <c r="Q601" s="7" t="n">
        <v>0</v>
      </c>
      <c r="R601" s="3" t="n">
        <f aca="false">IF(AND(Q601=1,B601-_xlfn.MINIFS($B$2:$B$2705,$A$2:$A$2705,A601)&lt;10),1,0)</f>
        <v>0</v>
      </c>
      <c r="S601" s="7" t="n">
        <v>0</v>
      </c>
      <c r="T601" s="3" t="n">
        <f aca="false">_xlfn.MINIFS($B$2:$B$2705,$A$2:$A$2705,A601)</f>
        <v>1901</v>
      </c>
      <c r="U601" s="3" t="n">
        <f aca="false">B601-T601</f>
        <v>37</v>
      </c>
      <c r="V601" s="3" t="str">
        <f aca="false">INDEX(Pop_Inputs!$Q$2:$Q$29,MATCH(C601,Pop_Inputs!$A$2:$A$29,0))</f>
        <v>South</v>
      </c>
      <c r="W601" s="30"/>
      <c r="X601" s="3" t="str">
        <f aca="false">IF(W601="","",LN(W601))</f>
        <v/>
      </c>
      <c r="Y601" s="3" t="str">
        <f aca="false">IF(X601="","",X601-AVERAGEIFS($X$2:$X$2705,$B$2:$B$2705,B601))</f>
        <v/>
      </c>
      <c r="Z601" s="21" t="n">
        <f aca="false">P601</f>
        <v>-0.390146666372859</v>
      </c>
      <c r="AA601" s="3" t="n">
        <f aca="false">R601</f>
        <v>0</v>
      </c>
      <c r="AB601" s="21" t="n">
        <f aca="false">P601</f>
        <v>-0.390146666372859</v>
      </c>
      <c r="AC601" s="3" t="str">
        <f aca="false">Y601</f>
        <v/>
      </c>
      <c r="AD601" s="3" t="n">
        <f aca="false">R601</f>
        <v>0</v>
      </c>
    </row>
    <row r="602" customFormat="false" ht="15" hidden="false" customHeight="true" outlineLevel="0" collapsed="false">
      <c r="A602" s="7" t="s">
        <v>70</v>
      </c>
      <c r="B602" s="7" t="n">
        <v>1938</v>
      </c>
      <c r="C602" s="7" t="s">
        <v>154</v>
      </c>
      <c r="D602" s="7" t="n">
        <v>99</v>
      </c>
      <c r="E602" s="7" t="n">
        <v>53</v>
      </c>
      <c r="F602" s="3" t="n">
        <f aca="false">COUNTIFS($B$2:$B$2705,B602,$C$2:$C$2705,C602)</f>
        <v>3</v>
      </c>
      <c r="G602" s="3" t="n">
        <f aca="false">MIN(INT((MIN(B602,2020)-1900)/10)+1,12)</f>
        <v>4</v>
      </c>
      <c r="H602" s="3" t="n">
        <f aca="false">(MIN(B602,2020)-1900-10*(G602-1))/10</f>
        <v>0.8</v>
      </c>
      <c r="I602" s="20" t="n">
        <f aca="false">EXP(LN(INDEX(Pop_Inputs!$B$2:$N$29,MATCH(C602,Pop_Inputs!$A$2:$A$29,0),G602))*(1-H602)+LN(INDEX(Pop_Inputs!$B$2:$N$29,MATCH(C602,Pop_Inputs!$A$2:$A$29,0),G602+1))*H602)</f>
        <v>7347001.38991625</v>
      </c>
      <c r="J602" s="20" t="n">
        <f aca="false">I602/F602</f>
        <v>2449000.46330542</v>
      </c>
      <c r="K602" s="21" t="n">
        <f aca="false">D602/(D602+E602)</f>
        <v>0.651315789473684</v>
      </c>
      <c r="L602" s="21" t="n">
        <f aca="false">AVERAGEIFS($K$2:$K$2705,$B$2:$B$2705,B602)</f>
        <v>0.499893287654291</v>
      </c>
      <c r="M602" s="21" t="n">
        <f aca="false">K602-L602</f>
        <v>0.151422501819393</v>
      </c>
      <c r="N602" s="21" t="n">
        <f aca="false">LN(J602)</f>
        <v>14.7111905251158</v>
      </c>
      <c r="O602" s="21" t="n">
        <f aca="false">AVERAGEIFS($N$2:$N$2705,$B$2:$B$2705,B602)</f>
        <v>13.7330307525019</v>
      </c>
      <c r="P602" s="21" t="n">
        <f aca="false">N602-O602</f>
        <v>0.978159772613889</v>
      </c>
      <c r="Q602" s="7" t="n">
        <v>0</v>
      </c>
      <c r="R602" s="3" t="n">
        <f aca="false">IF(AND(Q602=1,B602-_xlfn.MINIFS($B$2:$B$2705,$A$2:$A$2705,A602)&lt;10),1,0)</f>
        <v>0</v>
      </c>
      <c r="S602" s="7" t="n">
        <v>1</v>
      </c>
      <c r="T602" s="3" t="n">
        <f aca="false">_xlfn.MINIFS($B$2:$B$2705,$A$2:$A$2705,A602)</f>
        <v>1903</v>
      </c>
      <c r="U602" s="3" t="n">
        <f aca="false">B602-T602</f>
        <v>35</v>
      </c>
      <c r="V602" s="3" t="str">
        <f aca="false">INDEX(Pop_Inputs!$Q$2:$Q$29,MATCH(C602,Pop_Inputs!$A$2:$A$29,0))</f>
        <v>Northeast</v>
      </c>
      <c r="W602" s="30"/>
      <c r="X602" s="3" t="str">
        <f aca="false">IF(W602="","",LN(W602))</f>
        <v/>
      </c>
      <c r="Y602" s="3" t="str">
        <f aca="false">IF(X602="","",X602-AVERAGEIFS($X$2:$X$2705,$B$2:$B$2705,B602))</f>
        <v/>
      </c>
      <c r="Z602" s="21" t="n">
        <f aca="false">P602</f>
        <v>0.978159772613889</v>
      </c>
      <c r="AA602" s="3" t="n">
        <f aca="false">R602</f>
        <v>0</v>
      </c>
      <c r="AB602" s="21" t="n">
        <f aca="false">P602</f>
        <v>0.978159772613889</v>
      </c>
      <c r="AC602" s="3" t="str">
        <f aca="false">Y602</f>
        <v/>
      </c>
      <c r="AD602" s="3" t="n">
        <f aca="false">R602</f>
        <v>0</v>
      </c>
    </row>
    <row r="603" customFormat="false" ht="15" hidden="false" customHeight="true" outlineLevel="0" collapsed="false">
      <c r="A603" s="7" t="s">
        <v>69</v>
      </c>
      <c r="B603" s="7" t="n">
        <v>1938</v>
      </c>
      <c r="C603" s="7" t="s">
        <v>146</v>
      </c>
      <c r="D603" s="7" t="n">
        <v>53</v>
      </c>
      <c r="E603" s="7" t="n">
        <v>99</v>
      </c>
      <c r="F603" s="3" t="n">
        <f aca="false">COUNTIFS($B$2:$B$2705,B603,$C$2:$C$2705,C603)</f>
        <v>2</v>
      </c>
      <c r="G603" s="3" t="n">
        <f aca="false">MIN(INT((MIN(B603,2020)-1900)/10)+1,12)</f>
        <v>4</v>
      </c>
      <c r="H603" s="3" t="n">
        <f aca="false">(MIN(B603,2020)-1900-10*(G603-1))/10</f>
        <v>0.8</v>
      </c>
      <c r="I603" s="20" t="n">
        <f aca="false">EXP(LN(INDEX(Pop_Inputs!$B$2:$N$29,MATCH(C603,Pop_Inputs!$A$2:$A$29,0),G603))*(1-H603)+LN(INDEX(Pop_Inputs!$B$2:$N$29,MATCH(C603,Pop_Inputs!$A$2:$A$29,0),G603+1))*H603)</f>
        <v>1935243.54000445</v>
      </c>
      <c r="J603" s="20" t="n">
        <f aca="false">I603/F603</f>
        <v>967621.770002225</v>
      </c>
      <c r="K603" s="21" t="n">
        <f aca="false">D603/(D603+E603)</f>
        <v>0.348684210526316</v>
      </c>
      <c r="L603" s="21" t="n">
        <f aca="false">AVERAGEIFS($K$2:$K$2705,$B$2:$B$2705,B603)</f>
        <v>0.499893287654291</v>
      </c>
      <c r="M603" s="21" t="n">
        <f aca="false">K603-L603</f>
        <v>-0.151209077127975</v>
      </c>
      <c r="N603" s="21" t="n">
        <f aca="false">LN(J603)</f>
        <v>13.7825965564337</v>
      </c>
      <c r="O603" s="21" t="n">
        <f aca="false">AVERAGEIFS($N$2:$N$2705,$B$2:$B$2705,B603)</f>
        <v>13.7330307525019</v>
      </c>
      <c r="P603" s="21" t="n">
        <f aca="false">N603-O603</f>
        <v>0.0495658039318592</v>
      </c>
      <c r="Q603" s="7" t="n">
        <v>0</v>
      </c>
      <c r="R603" s="3" t="n">
        <f aca="false">IF(AND(Q603=1,B603-_xlfn.MINIFS($B$2:$B$2705,$A$2:$A$2705,A603)&lt;10),1,0)</f>
        <v>0</v>
      </c>
      <c r="S603" s="7" t="n">
        <v>0</v>
      </c>
      <c r="T603" s="3" t="n">
        <f aca="false">_xlfn.MINIFS($B$2:$B$2705,$A$2:$A$2705,A603)</f>
        <v>1901</v>
      </c>
      <c r="U603" s="3" t="n">
        <f aca="false">B603-T603</f>
        <v>37</v>
      </c>
      <c r="V603" s="3" t="str">
        <f aca="false">INDEX(Pop_Inputs!$Q$2:$Q$29,MATCH(C603,Pop_Inputs!$A$2:$A$29,0))</f>
        <v>Northeast</v>
      </c>
      <c r="W603" s="30"/>
      <c r="X603" s="3" t="str">
        <f aca="false">IF(W603="","",LN(W603))</f>
        <v/>
      </c>
      <c r="Y603" s="3" t="str">
        <f aca="false">IF(X603="","",X603-AVERAGEIFS($X$2:$X$2705,$B$2:$B$2705,B603))</f>
        <v/>
      </c>
      <c r="Z603" s="21" t="n">
        <f aca="false">P603</f>
        <v>0.0495658039318592</v>
      </c>
      <c r="AA603" s="3" t="n">
        <f aca="false">R603</f>
        <v>0</v>
      </c>
      <c r="AB603" s="21" t="n">
        <f aca="false">P603</f>
        <v>0.0495658039318592</v>
      </c>
      <c r="AC603" s="3" t="str">
        <f aca="false">Y603</f>
        <v/>
      </c>
      <c r="AD603" s="3" t="n">
        <f aca="false">R603</f>
        <v>0</v>
      </c>
    </row>
    <row r="604" customFormat="false" ht="15" hidden="false" customHeight="true" outlineLevel="0" collapsed="false">
      <c r="A604" s="7" t="s">
        <v>60</v>
      </c>
      <c r="B604" s="7" t="n">
        <v>1938</v>
      </c>
      <c r="C604" s="7" t="s">
        <v>146</v>
      </c>
      <c r="D604" s="7" t="n">
        <v>45</v>
      </c>
      <c r="E604" s="7" t="n">
        <v>105</v>
      </c>
      <c r="F604" s="3" t="n">
        <f aca="false">COUNTIFS($B$2:$B$2705,B604,$C$2:$C$2705,C604)</f>
        <v>2</v>
      </c>
      <c r="G604" s="3" t="n">
        <f aca="false">MIN(INT((MIN(B604,2020)-1900)/10)+1,12)</f>
        <v>4</v>
      </c>
      <c r="H604" s="3" t="n">
        <f aca="false">(MIN(B604,2020)-1900-10*(G604-1))/10</f>
        <v>0.8</v>
      </c>
      <c r="I604" s="20" t="n">
        <f aca="false">EXP(LN(INDEX(Pop_Inputs!$B$2:$N$29,MATCH(C604,Pop_Inputs!$A$2:$A$29,0),G604))*(1-H604)+LN(INDEX(Pop_Inputs!$B$2:$N$29,MATCH(C604,Pop_Inputs!$A$2:$A$29,0),G604+1))*H604)</f>
        <v>1935243.54000445</v>
      </c>
      <c r="J604" s="20" t="n">
        <f aca="false">I604/F604</f>
        <v>967621.770002225</v>
      </c>
      <c r="K604" s="21" t="n">
        <f aca="false">D604/(D604+E604)</f>
        <v>0.3</v>
      </c>
      <c r="L604" s="21" t="n">
        <f aca="false">AVERAGEIFS($K$2:$K$2705,$B$2:$B$2705,B604)</f>
        <v>0.499893287654291</v>
      </c>
      <c r="M604" s="21" t="n">
        <f aca="false">K604-L604</f>
        <v>-0.199893287654291</v>
      </c>
      <c r="N604" s="21" t="n">
        <f aca="false">LN(J604)</f>
        <v>13.7825965564337</v>
      </c>
      <c r="O604" s="21" t="n">
        <f aca="false">AVERAGEIFS($N$2:$N$2705,$B$2:$B$2705,B604)</f>
        <v>13.7330307525019</v>
      </c>
      <c r="P604" s="21" t="n">
        <f aca="false">N604-O604</f>
        <v>0.0495658039318592</v>
      </c>
      <c r="Q604" s="7" t="n">
        <v>0</v>
      </c>
      <c r="R604" s="3" t="n">
        <f aca="false">IF(AND(Q604=1,B604-_xlfn.MINIFS($B$2:$B$2705,$A$2:$A$2705,A604)&lt;10),1,0)</f>
        <v>0</v>
      </c>
      <c r="S604" s="7" t="n">
        <v>0</v>
      </c>
      <c r="T604" s="3" t="n">
        <f aca="false">_xlfn.MINIFS($B$2:$B$2705,$A$2:$A$2705,A604)</f>
        <v>1901</v>
      </c>
      <c r="U604" s="3" t="n">
        <f aca="false">B604-T604</f>
        <v>37</v>
      </c>
      <c r="V604" s="3" t="str">
        <f aca="false">INDEX(Pop_Inputs!$Q$2:$Q$29,MATCH(C604,Pop_Inputs!$A$2:$A$29,0))</f>
        <v>Northeast</v>
      </c>
      <c r="W604" s="30"/>
      <c r="X604" s="3" t="str">
        <f aca="false">IF(W604="","",LN(W604))</f>
        <v/>
      </c>
      <c r="Y604" s="3" t="str">
        <f aca="false">IF(X604="","",X604-AVERAGEIFS($X$2:$X$2705,$B$2:$B$2705,B604))</f>
        <v/>
      </c>
      <c r="Z604" s="21" t="n">
        <f aca="false">P604</f>
        <v>0.0495658039318592</v>
      </c>
      <c r="AA604" s="3" t="n">
        <f aca="false">R604</f>
        <v>0</v>
      </c>
      <c r="AB604" s="21" t="n">
        <f aca="false">P604</f>
        <v>0.0495658039318592</v>
      </c>
      <c r="AC604" s="3" t="str">
        <f aca="false">Y604</f>
        <v/>
      </c>
      <c r="AD604" s="3" t="n">
        <f aca="false">R604</f>
        <v>0</v>
      </c>
    </row>
    <row r="605" customFormat="false" ht="15" hidden="false" customHeight="true" outlineLevel="0" collapsed="false">
      <c r="A605" s="7" t="s">
        <v>58</v>
      </c>
      <c r="B605" s="7" t="n">
        <v>1938</v>
      </c>
      <c r="C605" s="7" t="s">
        <v>144</v>
      </c>
      <c r="D605" s="7" t="n">
        <v>86</v>
      </c>
      <c r="E605" s="7" t="n">
        <v>64</v>
      </c>
      <c r="F605" s="3" t="n">
        <f aca="false">COUNTIFS($B$2:$B$2705,B605,$C$2:$C$2705,C605)</f>
        <v>1</v>
      </c>
      <c r="G605" s="3" t="n">
        <f aca="false">MIN(INT((MIN(B605,2020)-1900)/10)+1,12)</f>
        <v>4</v>
      </c>
      <c r="H605" s="3" t="n">
        <f aca="false">(MIN(B605,2020)-1900-10*(G605-1))/10</f>
        <v>0.8</v>
      </c>
      <c r="I605" s="20" t="n">
        <f aca="false">EXP(LN(INDEX(Pop_Inputs!$B$2:$N$29,MATCH(C605,Pop_Inputs!$A$2:$A$29,0),G605))*(1-H605)+LN(INDEX(Pop_Inputs!$B$2:$N$29,MATCH(C605,Pop_Inputs!$A$2:$A$29,0),G605+1))*H605)</f>
        <v>671290.195204379</v>
      </c>
      <c r="J605" s="20" t="n">
        <f aca="false">I605/F605</f>
        <v>671290.195204379</v>
      </c>
      <c r="K605" s="21" t="n">
        <f aca="false">D605/(D605+E605)</f>
        <v>0.573333333333333</v>
      </c>
      <c r="L605" s="21" t="n">
        <f aca="false">AVERAGEIFS($K$2:$K$2705,$B$2:$B$2705,B605)</f>
        <v>0.499893287654291</v>
      </c>
      <c r="M605" s="21" t="n">
        <f aca="false">K605-L605</f>
        <v>0.0734400456790422</v>
      </c>
      <c r="N605" s="21" t="n">
        <f aca="false">LN(J605)</f>
        <v>13.4169568041363</v>
      </c>
      <c r="O605" s="21" t="n">
        <f aca="false">AVERAGEIFS($N$2:$N$2705,$B$2:$B$2705,B605)</f>
        <v>13.7330307525019</v>
      </c>
      <c r="P605" s="21" t="n">
        <f aca="false">N605-O605</f>
        <v>-0.316073948365617</v>
      </c>
      <c r="Q605" s="7" t="n">
        <v>0</v>
      </c>
      <c r="R605" s="3" t="n">
        <f aca="false">IF(AND(Q605=1,B605-_xlfn.MINIFS($B$2:$B$2705,$A$2:$A$2705,A605)&lt;10),1,0)</f>
        <v>0</v>
      </c>
      <c r="S605" s="7" t="n">
        <v>0</v>
      </c>
      <c r="T605" s="3" t="n">
        <f aca="false">_xlfn.MINIFS($B$2:$B$2705,$A$2:$A$2705,A605)</f>
        <v>1901</v>
      </c>
      <c r="U605" s="3" t="n">
        <f aca="false">B605-T605</f>
        <v>37</v>
      </c>
      <c r="V605" s="3" t="str">
        <f aca="false">INDEX(Pop_Inputs!$Q$2:$Q$29,MATCH(C605,Pop_Inputs!$A$2:$A$29,0))</f>
        <v>Northeast</v>
      </c>
      <c r="W605" s="30"/>
      <c r="X605" s="3" t="str">
        <f aca="false">IF(W605="","",LN(W605))</f>
        <v/>
      </c>
      <c r="Y605" s="3" t="str">
        <f aca="false">IF(X605="","",X605-AVERAGEIFS($X$2:$X$2705,$B$2:$B$2705,B605))</f>
        <v/>
      </c>
      <c r="Z605" s="21" t="n">
        <f aca="false">P605</f>
        <v>-0.316073948365617</v>
      </c>
      <c r="AA605" s="3" t="n">
        <f aca="false">R605</f>
        <v>0</v>
      </c>
      <c r="AB605" s="21" t="n">
        <f aca="false">P605</f>
        <v>-0.316073948365617</v>
      </c>
      <c r="AC605" s="3" t="str">
        <f aca="false">Y605</f>
        <v/>
      </c>
      <c r="AD605" s="3" t="n">
        <f aca="false">R605</f>
        <v>0</v>
      </c>
    </row>
    <row r="606" customFormat="false" ht="15" hidden="false" customHeight="true" outlineLevel="0" collapsed="false">
      <c r="A606" s="7" t="s">
        <v>61</v>
      </c>
      <c r="B606" s="7" t="n">
        <v>1938</v>
      </c>
      <c r="C606" s="7" t="s">
        <v>154</v>
      </c>
      <c r="D606" s="7" t="n">
        <v>83</v>
      </c>
      <c r="E606" s="7" t="n">
        <v>67</v>
      </c>
      <c r="F606" s="3" t="n">
        <f aca="false">COUNTIFS($B$2:$B$2705,B606,$C$2:$C$2705,C606)</f>
        <v>3</v>
      </c>
      <c r="G606" s="3" t="n">
        <f aca="false">MIN(INT((MIN(B606,2020)-1900)/10)+1,12)</f>
        <v>4</v>
      </c>
      <c r="H606" s="3" t="n">
        <f aca="false">(MIN(B606,2020)-1900-10*(G606-1))/10</f>
        <v>0.8</v>
      </c>
      <c r="I606" s="20" t="n">
        <f aca="false">EXP(LN(INDEX(Pop_Inputs!$B$2:$N$29,MATCH(C606,Pop_Inputs!$A$2:$A$29,0),G606))*(1-H606)+LN(INDEX(Pop_Inputs!$B$2:$N$29,MATCH(C606,Pop_Inputs!$A$2:$A$29,0),G606+1))*H606)</f>
        <v>7347001.38991625</v>
      </c>
      <c r="J606" s="20" t="n">
        <f aca="false">I606/F606</f>
        <v>2449000.46330542</v>
      </c>
      <c r="K606" s="21" t="n">
        <f aca="false">D606/(D606+E606)</f>
        <v>0.553333333333333</v>
      </c>
      <c r="L606" s="21" t="n">
        <f aca="false">AVERAGEIFS($K$2:$K$2705,$B$2:$B$2705,B606)</f>
        <v>0.499893287654291</v>
      </c>
      <c r="M606" s="21" t="n">
        <f aca="false">K606-L606</f>
        <v>0.0534400456790422</v>
      </c>
      <c r="N606" s="21" t="n">
        <f aca="false">LN(J606)</f>
        <v>14.7111905251158</v>
      </c>
      <c r="O606" s="21" t="n">
        <f aca="false">AVERAGEIFS($N$2:$N$2705,$B$2:$B$2705,B606)</f>
        <v>13.7330307525019</v>
      </c>
      <c r="P606" s="21" t="n">
        <f aca="false">N606-O606</f>
        <v>0.978159772613889</v>
      </c>
      <c r="Q606" s="7" t="n">
        <v>0</v>
      </c>
      <c r="R606" s="3" t="n">
        <f aca="false">IF(AND(Q606=1,B606-_xlfn.MINIFS($B$2:$B$2705,$A$2:$A$2705,A606)&lt;10),1,0)</f>
        <v>0</v>
      </c>
      <c r="S606" s="7" t="n">
        <v>0</v>
      </c>
      <c r="T606" s="3" t="n">
        <f aca="false">_xlfn.MINIFS($B$2:$B$2705,$A$2:$A$2705,A606)</f>
        <v>1901</v>
      </c>
      <c r="U606" s="3" t="n">
        <f aca="false">B606-T606</f>
        <v>37</v>
      </c>
      <c r="V606" s="3" t="str">
        <f aca="false">INDEX(Pop_Inputs!$Q$2:$Q$29,MATCH(C606,Pop_Inputs!$A$2:$A$29,0))</f>
        <v>Northeast</v>
      </c>
      <c r="W606" s="30"/>
      <c r="X606" s="3" t="str">
        <f aca="false">IF(W606="","",LN(W606))</f>
        <v/>
      </c>
      <c r="Y606" s="3" t="str">
        <f aca="false">IF(X606="","",X606-AVERAGEIFS($X$2:$X$2705,$B$2:$B$2705,B606))</f>
        <v/>
      </c>
      <c r="Z606" s="21" t="n">
        <f aca="false">P606</f>
        <v>0.978159772613889</v>
      </c>
      <c r="AA606" s="3" t="n">
        <f aca="false">R606</f>
        <v>0</v>
      </c>
      <c r="AB606" s="21" t="n">
        <f aca="false">P606</f>
        <v>0.978159772613889</v>
      </c>
      <c r="AC606" s="3" t="str">
        <f aca="false">Y606</f>
        <v/>
      </c>
      <c r="AD606" s="3" t="n">
        <f aca="false">R606</f>
        <v>0</v>
      </c>
    </row>
    <row r="607" customFormat="false" ht="15" hidden="false" customHeight="true" outlineLevel="0" collapsed="false">
      <c r="A607" s="7" t="s">
        <v>59</v>
      </c>
      <c r="B607" s="7" t="n">
        <v>1938</v>
      </c>
      <c r="C607" s="7" t="s">
        <v>145</v>
      </c>
      <c r="D607" s="7" t="n">
        <v>71</v>
      </c>
      <c r="E607" s="7" t="n">
        <v>80</v>
      </c>
      <c r="F607" s="3" t="n">
        <f aca="false">COUNTIFS($B$2:$B$2705,B607,$C$2:$C$2705,C607)</f>
        <v>2</v>
      </c>
      <c r="G607" s="3" t="n">
        <f aca="false">MIN(INT((MIN(B607,2020)-1900)/10)+1,12)</f>
        <v>4</v>
      </c>
      <c r="H607" s="3" t="n">
        <f aca="false">(MIN(B607,2020)-1900-10*(G607-1))/10</f>
        <v>0.8</v>
      </c>
      <c r="I607" s="20" t="n">
        <f aca="false">EXP(LN(INDEX(Pop_Inputs!$B$2:$N$29,MATCH(C607,Pop_Inputs!$A$2:$A$29,0),G607))*(1-H607)+LN(INDEX(Pop_Inputs!$B$2:$N$29,MATCH(C607,Pop_Inputs!$A$2:$A$29,0),G607+1))*H607)</f>
        <v>817226.988378928</v>
      </c>
      <c r="J607" s="20" t="n">
        <f aca="false">I607/F607</f>
        <v>408613.494189464</v>
      </c>
      <c r="K607" s="21" t="n">
        <f aca="false">D607/(D607+E607)</f>
        <v>0.470198675496689</v>
      </c>
      <c r="L607" s="21" t="n">
        <f aca="false">AVERAGEIFS($K$2:$K$2705,$B$2:$B$2705,B607)</f>
        <v>0.499893287654291</v>
      </c>
      <c r="M607" s="21" t="n">
        <f aca="false">K607-L607</f>
        <v>-0.0296946121576024</v>
      </c>
      <c r="N607" s="21" t="n">
        <f aca="false">LN(J607)</f>
        <v>12.9205249862473</v>
      </c>
      <c r="O607" s="21" t="n">
        <f aca="false">AVERAGEIFS($N$2:$N$2705,$B$2:$B$2705,B607)</f>
        <v>13.7330307525019</v>
      </c>
      <c r="P607" s="21" t="n">
        <f aca="false">N607-O607</f>
        <v>-0.812505766254555</v>
      </c>
      <c r="Q607" s="7" t="n">
        <v>0</v>
      </c>
      <c r="R607" s="3" t="n">
        <f aca="false">IF(AND(Q607=1,B607-_xlfn.MINIFS($B$2:$B$2705,$A$2:$A$2705,A607)&lt;10),1,0)</f>
        <v>0</v>
      </c>
      <c r="S607" s="7" t="n">
        <v>0</v>
      </c>
      <c r="T607" s="3" t="n">
        <f aca="false">_xlfn.MINIFS($B$2:$B$2705,$A$2:$A$2705,A607)</f>
        <v>1901</v>
      </c>
      <c r="U607" s="3" t="n">
        <f aca="false">B607-T607</f>
        <v>37</v>
      </c>
      <c r="V607" s="3" t="str">
        <f aca="false">INDEX(Pop_Inputs!$Q$2:$Q$29,MATCH(C607,Pop_Inputs!$A$2:$A$29,0))</f>
        <v>Midwest</v>
      </c>
      <c r="W607" s="30"/>
      <c r="X607" s="3" t="str">
        <f aca="false">IF(W607="","",LN(W607))</f>
        <v/>
      </c>
      <c r="Y607" s="3" t="str">
        <f aca="false">IF(X607="","",X607-AVERAGEIFS($X$2:$X$2705,$B$2:$B$2705,B607))</f>
        <v/>
      </c>
      <c r="Z607" s="21" t="n">
        <f aca="false">P607</f>
        <v>-0.812505766254555</v>
      </c>
      <c r="AA607" s="3" t="n">
        <f aca="false">R607</f>
        <v>0</v>
      </c>
      <c r="AB607" s="21" t="n">
        <f aca="false">P607</f>
        <v>-0.812505766254555</v>
      </c>
      <c r="AC607" s="3" t="str">
        <f aca="false">Y607</f>
        <v/>
      </c>
      <c r="AD607" s="3" t="n">
        <f aca="false">R607</f>
        <v>0</v>
      </c>
    </row>
    <row r="608" customFormat="false" ht="15" hidden="false" customHeight="true" outlineLevel="0" collapsed="false">
      <c r="A608" s="7" t="s">
        <v>54</v>
      </c>
      <c r="B608" s="7" t="n">
        <v>1939</v>
      </c>
      <c r="C608" s="7" t="s">
        <v>150</v>
      </c>
      <c r="D608" s="7" t="n">
        <v>63</v>
      </c>
      <c r="E608" s="7" t="n">
        <v>88</v>
      </c>
      <c r="F608" s="3" t="n">
        <f aca="false">COUNTIFS($B$2:$B$2705,B608,$C$2:$C$2705,C608)</f>
        <v>2</v>
      </c>
      <c r="G608" s="3" t="n">
        <f aca="false">MIN(INT((MIN(B608,2020)-1900)/10)+1,12)</f>
        <v>4</v>
      </c>
      <c r="H608" s="3" t="n">
        <f aca="false">(MIN(B608,2020)-1900-10*(G608-1))/10</f>
        <v>0.9</v>
      </c>
      <c r="I608" s="20" t="n">
        <f aca="false">EXP(LN(INDEX(Pop_Inputs!$B$2:$N$29,MATCH(C608,Pop_Inputs!$A$2:$A$29,0),G608))*(1-H608)+LN(INDEX(Pop_Inputs!$B$2:$N$29,MATCH(C608,Pop_Inputs!$A$2:$A$29,0),G608+1))*H608)</f>
        <v>771846.972612287</v>
      </c>
      <c r="J608" s="20" t="n">
        <f aca="false">I608/F608</f>
        <v>385923.486306143</v>
      </c>
      <c r="K608" s="21" t="n">
        <f aca="false">D608/(D608+E608)</f>
        <v>0.417218543046358</v>
      </c>
      <c r="L608" s="21" t="n">
        <f aca="false">AVERAGEIFS($K$2:$K$2705,$B$2:$B$2705,B608)</f>
        <v>0.49988773842712</v>
      </c>
      <c r="M608" s="21" t="n">
        <f aca="false">K608-L608</f>
        <v>-0.0826691953807622</v>
      </c>
      <c r="N608" s="21" t="n">
        <f aca="false">LN(J608)</f>
        <v>12.8633944067936</v>
      </c>
      <c r="O608" s="21" t="n">
        <f aca="false">AVERAGEIFS($N$2:$N$2705,$B$2:$B$2705,B608)</f>
        <v>13.7361587933504</v>
      </c>
      <c r="P608" s="21" t="n">
        <f aca="false">N608-O608</f>
        <v>-0.872764386556801</v>
      </c>
      <c r="Q608" s="7" t="n">
        <v>0</v>
      </c>
      <c r="R608" s="3" t="n">
        <f aca="false">IF(AND(Q608=1,B608-_xlfn.MINIFS($B$2:$B$2705,$A$2:$A$2705,A608)&lt;10),1,0)</f>
        <v>0</v>
      </c>
      <c r="S608" s="7" t="n">
        <v>0</v>
      </c>
      <c r="T608" s="3" t="n">
        <f aca="false">_xlfn.MINIFS($B$2:$B$2705,$A$2:$A$2705,A608)</f>
        <v>1901</v>
      </c>
      <c r="U608" s="3" t="n">
        <f aca="false">B608-T608</f>
        <v>38</v>
      </c>
      <c r="V608" s="3" t="str">
        <f aca="false">INDEX(Pop_Inputs!$Q$2:$Q$29,MATCH(C608,Pop_Inputs!$A$2:$A$29,0))</f>
        <v>Northeast</v>
      </c>
      <c r="W608" s="30"/>
      <c r="X608" s="3" t="str">
        <f aca="false">IF(W608="","",LN(W608))</f>
        <v/>
      </c>
      <c r="Y608" s="3" t="str">
        <f aca="false">IF(X608="","",X608-AVERAGEIFS($X$2:$X$2705,$B$2:$B$2705,B608))</f>
        <v/>
      </c>
      <c r="Z608" s="21" t="n">
        <f aca="false">P608</f>
        <v>-0.872764386556801</v>
      </c>
      <c r="AA608" s="3" t="n">
        <f aca="false">R608</f>
        <v>0</v>
      </c>
      <c r="AB608" s="21" t="n">
        <f aca="false">P608</f>
        <v>-0.872764386556801</v>
      </c>
      <c r="AC608" s="3" t="str">
        <f aca="false">Y608</f>
        <v/>
      </c>
      <c r="AD608" s="3" t="n">
        <f aca="false">R608</f>
        <v>0</v>
      </c>
    </row>
    <row r="609" customFormat="false" ht="15" hidden="false" customHeight="true" outlineLevel="0" collapsed="false">
      <c r="A609" s="7" t="s">
        <v>63</v>
      </c>
      <c r="B609" s="7" t="n">
        <v>1939</v>
      </c>
      <c r="C609" s="7" t="s">
        <v>145</v>
      </c>
      <c r="D609" s="7" t="n">
        <v>43</v>
      </c>
      <c r="E609" s="7" t="n">
        <v>111</v>
      </c>
      <c r="F609" s="3" t="n">
        <f aca="false">COUNTIFS($B$2:$B$2705,B609,$C$2:$C$2705,C609)</f>
        <v>2</v>
      </c>
      <c r="G609" s="3" t="n">
        <f aca="false">MIN(INT((MIN(B609,2020)-1900)/10)+1,12)</f>
        <v>4</v>
      </c>
      <c r="H609" s="3" t="n">
        <f aca="false">(MIN(B609,2020)-1900-10*(G609-1))/10</f>
        <v>0.9</v>
      </c>
      <c r="I609" s="20" t="n">
        <f aca="false">EXP(LN(INDEX(Pop_Inputs!$B$2:$N$29,MATCH(C609,Pop_Inputs!$A$2:$A$29,0),G609))*(1-H609)+LN(INDEX(Pop_Inputs!$B$2:$N$29,MATCH(C609,Pop_Inputs!$A$2:$A$29,0),G609+1))*H609)</f>
        <v>816637.281424653</v>
      </c>
      <c r="J609" s="20" t="n">
        <f aca="false">I609/F609</f>
        <v>408318.640712327</v>
      </c>
      <c r="K609" s="21" t="n">
        <f aca="false">D609/(D609+E609)</f>
        <v>0.279220779220779</v>
      </c>
      <c r="L609" s="21" t="n">
        <f aca="false">AVERAGEIFS($K$2:$K$2705,$B$2:$B$2705,B609)</f>
        <v>0.49988773842712</v>
      </c>
      <c r="M609" s="21" t="n">
        <f aca="false">K609-L609</f>
        <v>-0.220666959206341</v>
      </c>
      <c r="N609" s="21" t="n">
        <f aca="false">LN(J609)</f>
        <v>12.9198031307165</v>
      </c>
      <c r="O609" s="21" t="n">
        <f aca="false">AVERAGEIFS($N$2:$N$2705,$B$2:$B$2705,B609)</f>
        <v>13.7361587933504</v>
      </c>
      <c r="P609" s="21" t="n">
        <f aca="false">N609-O609</f>
        <v>-0.816355662633887</v>
      </c>
      <c r="Q609" s="7" t="n">
        <v>0</v>
      </c>
      <c r="R609" s="3" t="n">
        <f aca="false">IF(AND(Q609=1,B609-_xlfn.MINIFS($B$2:$B$2705,$A$2:$A$2705,A609)&lt;10),1,0)</f>
        <v>0</v>
      </c>
      <c r="S609" s="7" t="n">
        <v>0</v>
      </c>
      <c r="T609" s="3" t="n">
        <f aca="false">_xlfn.MINIFS($B$2:$B$2705,$A$2:$A$2705,A609)</f>
        <v>1901</v>
      </c>
      <c r="U609" s="3" t="n">
        <f aca="false">B609-T609</f>
        <v>38</v>
      </c>
      <c r="V609" s="3" t="str">
        <f aca="false">INDEX(Pop_Inputs!$Q$2:$Q$29,MATCH(C609,Pop_Inputs!$A$2:$A$29,0))</f>
        <v>Midwest</v>
      </c>
      <c r="W609" s="30"/>
      <c r="X609" s="3" t="str">
        <f aca="false">IF(W609="","",LN(W609))</f>
        <v/>
      </c>
      <c r="Y609" s="3" t="str">
        <f aca="false">IF(X609="","",X609-AVERAGEIFS($X$2:$X$2705,$B$2:$B$2705,B609))</f>
        <v/>
      </c>
      <c r="Z609" s="21" t="n">
        <f aca="false">P609</f>
        <v>-0.816355662633887</v>
      </c>
      <c r="AA609" s="3" t="n">
        <f aca="false">R609</f>
        <v>0</v>
      </c>
      <c r="AB609" s="21" t="n">
        <f aca="false">P609</f>
        <v>-0.816355662633887</v>
      </c>
      <c r="AC609" s="3" t="str">
        <f aca="false">Y609</f>
        <v/>
      </c>
      <c r="AD609" s="3" t="n">
        <f aca="false">R609</f>
        <v>0</v>
      </c>
    </row>
    <row r="610" customFormat="false" ht="15" hidden="false" customHeight="true" outlineLevel="0" collapsed="false">
      <c r="A610" s="7" t="s">
        <v>64</v>
      </c>
      <c r="B610" s="7" t="n">
        <v>1939</v>
      </c>
      <c r="C610" s="7" t="s">
        <v>150</v>
      </c>
      <c r="D610" s="7" t="n">
        <v>89</v>
      </c>
      <c r="E610" s="7" t="n">
        <v>62</v>
      </c>
      <c r="F610" s="3" t="n">
        <f aca="false">COUNTIFS($B$2:$B$2705,B610,$C$2:$C$2705,C610)</f>
        <v>2</v>
      </c>
      <c r="G610" s="3" t="n">
        <f aca="false">MIN(INT((MIN(B610,2020)-1900)/10)+1,12)</f>
        <v>4</v>
      </c>
      <c r="H610" s="3" t="n">
        <f aca="false">(MIN(B610,2020)-1900-10*(G610-1))/10</f>
        <v>0.9</v>
      </c>
      <c r="I610" s="20" t="n">
        <f aca="false">EXP(LN(INDEX(Pop_Inputs!$B$2:$N$29,MATCH(C610,Pop_Inputs!$A$2:$A$29,0),G610))*(1-H610)+LN(INDEX(Pop_Inputs!$B$2:$N$29,MATCH(C610,Pop_Inputs!$A$2:$A$29,0),G610+1))*H610)</f>
        <v>771846.972612287</v>
      </c>
      <c r="J610" s="20" t="n">
        <f aca="false">I610/F610</f>
        <v>385923.486306143</v>
      </c>
      <c r="K610" s="21" t="n">
        <f aca="false">D610/(D610+E610)</f>
        <v>0.589403973509934</v>
      </c>
      <c r="L610" s="21" t="n">
        <f aca="false">AVERAGEIFS($K$2:$K$2705,$B$2:$B$2705,B610)</f>
        <v>0.49988773842712</v>
      </c>
      <c r="M610" s="21" t="n">
        <f aca="false">K610-L610</f>
        <v>0.0895162350828139</v>
      </c>
      <c r="N610" s="21" t="n">
        <f aca="false">LN(J610)</f>
        <v>12.8633944067936</v>
      </c>
      <c r="O610" s="21" t="n">
        <f aca="false">AVERAGEIFS($N$2:$N$2705,$B$2:$B$2705,B610)</f>
        <v>13.7361587933504</v>
      </c>
      <c r="P610" s="21" t="n">
        <f aca="false">N610-O610</f>
        <v>-0.872764386556801</v>
      </c>
      <c r="Q610" s="7" t="n">
        <v>0</v>
      </c>
      <c r="R610" s="3" t="n">
        <f aca="false">IF(AND(Q610=1,B610-_xlfn.MINIFS($B$2:$B$2705,$A$2:$A$2705,A610)&lt;10),1,0)</f>
        <v>0</v>
      </c>
      <c r="S610" s="7" t="n">
        <v>0</v>
      </c>
      <c r="T610" s="3" t="n">
        <f aca="false">_xlfn.MINIFS($B$2:$B$2705,$A$2:$A$2705,A610)</f>
        <v>1901</v>
      </c>
      <c r="U610" s="3" t="n">
        <f aca="false">B610-T610</f>
        <v>38</v>
      </c>
      <c r="V610" s="3" t="str">
        <f aca="false">INDEX(Pop_Inputs!$Q$2:$Q$29,MATCH(C610,Pop_Inputs!$A$2:$A$29,0))</f>
        <v>Northeast</v>
      </c>
      <c r="W610" s="30"/>
      <c r="X610" s="3" t="str">
        <f aca="false">IF(W610="","",LN(W610))</f>
        <v/>
      </c>
      <c r="Y610" s="3" t="str">
        <f aca="false">IF(X610="","",X610-AVERAGEIFS($X$2:$X$2705,$B$2:$B$2705,B610))</f>
        <v/>
      </c>
      <c r="Z610" s="21" t="n">
        <f aca="false">P610</f>
        <v>-0.872764386556801</v>
      </c>
      <c r="AA610" s="3" t="n">
        <f aca="false">R610</f>
        <v>0</v>
      </c>
      <c r="AB610" s="21" t="n">
        <f aca="false">P610</f>
        <v>-0.872764386556801</v>
      </c>
      <c r="AC610" s="3" t="str">
        <f aca="false">Y610</f>
        <v/>
      </c>
      <c r="AD610" s="3" t="n">
        <f aca="false">R610</f>
        <v>0</v>
      </c>
    </row>
    <row r="611" customFormat="false" ht="15" hidden="false" customHeight="true" outlineLevel="0" collapsed="false">
      <c r="A611" s="7" t="s">
        <v>56</v>
      </c>
      <c r="B611" s="7" t="n">
        <v>1939</v>
      </c>
      <c r="C611" s="7" t="s">
        <v>142</v>
      </c>
      <c r="D611" s="7" t="n">
        <v>84</v>
      </c>
      <c r="E611" s="7" t="n">
        <v>70</v>
      </c>
      <c r="F611" s="3" t="n">
        <f aca="false">COUNTIFS($B$2:$B$2705,B611,$C$2:$C$2705,C611)</f>
        <v>2</v>
      </c>
      <c r="G611" s="3" t="n">
        <f aca="false">MIN(INT((MIN(B611,2020)-1900)/10)+1,12)</f>
        <v>4</v>
      </c>
      <c r="H611" s="3" t="n">
        <f aca="false">(MIN(B611,2020)-1900-10*(G611-1))/10</f>
        <v>0.9</v>
      </c>
      <c r="I611" s="20" t="n">
        <f aca="false">EXP(LN(INDEX(Pop_Inputs!$B$2:$N$29,MATCH(C611,Pop_Inputs!$A$2:$A$29,0),G611))*(1-H611)+LN(INDEX(Pop_Inputs!$B$2:$N$29,MATCH(C611,Pop_Inputs!$A$2:$A$29,0),G611+1))*H611)</f>
        <v>3394765.48205883</v>
      </c>
      <c r="J611" s="20" t="n">
        <f aca="false">I611/F611</f>
        <v>1697382.74102941</v>
      </c>
      <c r="K611" s="21" t="n">
        <f aca="false">D611/(D611+E611)</f>
        <v>0.545454545454545</v>
      </c>
      <c r="L611" s="21" t="n">
        <f aca="false">AVERAGEIFS($K$2:$K$2705,$B$2:$B$2705,B611)</f>
        <v>0.49988773842712</v>
      </c>
      <c r="M611" s="21" t="n">
        <f aca="false">K611-L611</f>
        <v>0.0455668070274256</v>
      </c>
      <c r="N611" s="21" t="n">
        <f aca="false">LN(J611)</f>
        <v>14.3445980585795</v>
      </c>
      <c r="O611" s="21" t="n">
        <f aca="false">AVERAGEIFS($N$2:$N$2705,$B$2:$B$2705,B611)</f>
        <v>13.7361587933504</v>
      </c>
      <c r="P611" s="21" t="n">
        <f aca="false">N611-O611</f>
        <v>0.608439265229116</v>
      </c>
      <c r="Q611" s="7" t="n">
        <v>0</v>
      </c>
      <c r="R611" s="3" t="n">
        <f aca="false">IF(AND(Q611=1,B611-_xlfn.MINIFS($B$2:$B$2705,$A$2:$A$2705,A611)&lt;10),1,0)</f>
        <v>0</v>
      </c>
      <c r="S611" s="7" t="n">
        <v>0</v>
      </c>
      <c r="T611" s="3" t="n">
        <f aca="false">_xlfn.MINIFS($B$2:$B$2705,$A$2:$A$2705,A611)</f>
        <v>1901</v>
      </c>
      <c r="U611" s="3" t="n">
        <f aca="false">B611-T611</f>
        <v>38</v>
      </c>
      <c r="V611" s="3" t="str">
        <f aca="false">INDEX(Pop_Inputs!$Q$2:$Q$29,MATCH(C611,Pop_Inputs!$A$2:$A$29,0))</f>
        <v>Midwest</v>
      </c>
      <c r="W611" s="30"/>
      <c r="X611" s="3" t="str">
        <f aca="false">IF(W611="","",LN(W611))</f>
        <v/>
      </c>
      <c r="Y611" s="3" t="str">
        <f aca="false">IF(X611="","",X611-AVERAGEIFS($X$2:$X$2705,$B$2:$B$2705,B611))</f>
        <v/>
      </c>
      <c r="Z611" s="21" t="n">
        <f aca="false">P611</f>
        <v>0.608439265229116</v>
      </c>
      <c r="AA611" s="3" t="n">
        <f aca="false">R611</f>
        <v>0</v>
      </c>
      <c r="AB611" s="21" t="n">
        <f aca="false">P611</f>
        <v>0.608439265229116</v>
      </c>
      <c r="AC611" s="3" t="str">
        <f aca="false">Y611</f>
        <v/>
      </c>
      <c r="AD611" s="3" t="n">
        <f aca="false">R611</f>
        <v>0</v>
      </c>
    </row>
    <row r="612" customFormat="false" ht="15" hidden="false" customHeight="true" outlineLevel="0" collapsed="false">
      <c r="A612" s="7" t="s">
        <v>65</v>
      </c>
      <c r="B612" s="7" t="n">
        <v>1939</v>
      </c>
      <c r="C612" s="7" t="s">
        <v>142</v>
      </c>
      <c r="D612" s="7" t="n">
        <v>85</v>
      </c>
      <c r="E612" s="7" t="n">
        <v>69</v>
      </c>
      <c r="F612" s="3" t="n">
        <f aca="false">COUNTIFS($B$2:$B$2705,B612,$C$2:$C$2705,C612)</f>
        <v>2</v>
      </c>
      <c r="G612" s="3" t="n">
        <f aca="false">MIN(INT((MIN(B612,2020)-1900)/10)+1,12)</f>
        <v>4</v>
      </c>
      <c r="H612" s="3" t="n">
        <f aca="false">(MIN(B612,2020)-1900-10*(G612-1))/10</f>
        <v>0.9</v>
      </c>
      <c r="I612" s="20" t="n">
        <f aca="false">EXP(LN(INDEX(Pop_Inputs!$B$2:$N$29,MATCH(C612,Pop_Inputs!$A$2:$A$29,0),G612))*(1-H612)+LN(INDEX(Pop_Inputs!$B$2:$N$29,MATCH(C612,Pop_Inputs!$A$2:$A$29,0),G612+1))*H612)</f>
        <v>3394765.48205883</v>
      </c>
      <c r="J612" s="20" t="n">
        <f aca="false">I612/F612</f>
        <v>1697382.74102941</v>
      </c>
      <c r="K612" s="21" t="n">
        <f aca="false">D612/(D612+E612)</f>
        <v>0.551948051948052</v>
      </c>
      <c r="L612" s="21" t="n">
        <f aca="false">AVERAGEIFS($K$2:$K$2705,$B$2:$B$2705,B612)</f>
        <v>0.49988773842712</v>
      </c>
      <c r="M612" s="21" t="n">
        <f aca="false">K612-L612</f>
        <v>0.0520603135209321</v>
      </c>
      <c r="N612" s="21" t="n">
        <f aca="false">LN(J612)</f>
        <v>14.3445980585795</v>
      </c>
      <c r="O612" s="21" t="n">
        <f aca="false">AVERAGEIFS($N$2:$N$2705,$B$2:$B$2705,B612)</f>
        <v>13.7361587933504</v>
      </c>
      <c r="P612" s="21" t="n">
        <f aca="false">N612-O612</f>
        <v>0.608439265229116</v>
      </c>
      <c r="Q612" s="7" t="n">
        <v>0</v>
      </c>
      <c r="R612" s="3" t="n">
        <f aca="false">IF(AND(Q612=1,B612-_xlfn.MINIFS($B$2:$B$2705,$A$2:$A$2705,A612)&lt;10),1,0)</f>
        <v>0</v>
      </c>
      <c r="S612" s="7" t="n">
        <v>0</v>
      </c>
      <c r="T612" s="3" t="n">
        <f aca="false">_xlfn.MINIFS($B$2:$B$2705,$A$2:$A$2705,A612)</f>
        <v>1901</v>
      </c>
      <c r="U612" s="3" t="n">
        <f aca="false">B612-T612</f>
        <v>38</v>
      </c>
      <c r="V612" s="3" t="str">
        <f aca="false">INDEX(Pop_Inputs!$Q$2:$Q$29,MATCH(C612,Pop_Inputs!$A$2:$A$29,0))</f>
        <v>Midwest</v>
      </c>
      <c r="W612" s="30"/>
      <c r="X612" s="3" t="str">
        <f aca="false">IF(W612="","",LN(W612))</f>
        <v/>
      </c>
      <c r="Y612" s="3" t="str">
        <f aca="false">IF(X612="","",X612-AVERAGEIFS($X$2:$X$2705,$B$2:$B$2705,B612))</f>
        <v/>
      </c>
      <c r="Z612" s="21" t="n">
        <f aca="false">P612</f>
        <v>0.608439265229116</v>
      </c>
      <c r="AA612" s="3" t="n">
        <f aca="false">R612</f>
        <v>0</v>
      </c>
      <c r="AB612" s="21" t="n">
        <f aca="false">P612</f>
        <v>0.608439265229116</v>
      </c>
      <c r="AC612" s="3" t="str">
        <f aca="false">Y612</f>
        <v/>
      </c>
      <c r="AD612" s="3" t="n">
        <f aca="false">R612</f>
        <v>0</v>
      </c>
    </row>
    <row r="613" customFormat="false" ht="15" hidden="false" customHeight="true" outlineLevel="0" collapsed="false">
      <c r="A613" s="7" t="s">
        <v>57</v>
      </c>
      <c r="B613" s="7" t="n">
        <v>1939</v>
      </c>
      <c r="C613" s="7" t="s">
        <v>143</v>
      </c>
      <c r="D613" s="7" t="n">
        <v>97</v>
      </c>
      <c r="E613" s="7" t="n">
        <v>57</v>
      </c>
      <c r="F613" s="3" t="n">
        <f aca="false">COUNTIFS($B$2:$B$2705,B613,$C$2:$C$2705,C613)</f>
        <v>1</v>
      </c>
      <c r="G613" s="3" t="n">
        <f aca="false">MIN(INT((MIN(B613,2020)-1900)/10)+1,12)</f>
        <v>4</v>
      </c>
      <c r="H613" s="3" t="n">
        <f aca="false">(MIN(B613,2020)-1900-10*(G613-1))/10</f>
        <v>0.9</v>
      </c>
      <c r="I613" s="20" t="n">
        <f aca="false">EXP(LN(INDEX(Pop_Inputs!$B$2:$N$29,MATCH(C613,Pop_Inputs!$A$2:$A$29,0),G613))*(1-H613)+LN(INDEX(Pop_Inputs!$B$2:$N$29,MATCH(C613,Pop_Inputs!$A$2:$A$29,0),G613+1))*H613)</f>
        <v>455163.031948118</v>
      </c>
      <c r="J613" s="20" t="n">
        <f aca="false">I613/F613</f>
        <v>455163.031948118</v>
      </c>
      <c r="K613" s="21" t="n">
        <f aca="false">D613/(D613+E613)</f>
        <v>0.62987012987013</v>
      </c>
      <c r="L613" s="21" t="n">
        <f aca="false">AVERAGEIFS($K$2:$K$2705,$B$2:$B$2705,B613)</f>
        <v>0.49988773842712</v>
      </c>
      <c r="M613" s="21" t="n">
        <f aca="false">K613-L613</f>
        <v>0.12998239144301</v>
      </c>
      <c r="N613" s="21" t="n">
        <f aca="false">LN(J613)</f>
        <v>13.0284109457286</v>
      </c>
      <c r="O613" s="21" t="n">
        <f aca="false">AVERAGEIFS($N$2:$N$2705,$B$2:$B$2705,B613)</f>
        <v>13.7361587933504</v>
      </c>
      <c r="P613" s="21" t="n">
        <f aca="false">N613-O613</f>
        <v>-0.707747847621812</v>
      </c>
      <c r="Q613" s="7" t="n">
        <v>0</v>
      </c>
      <c r="R613" s="3" t="n">
        <f aca="false">IF(AND(Q613=1,B613-_xlfn.MINIFS($B$2:$B$2705,$A$2:$A$2705,A613)&lt;10),1,0)</f>
        <v>0</v>
      </c>
      <c r="S613" s="7" t="n">
        <v>0</v>
      </c>
      <c r="T613" s="3" t="n">
        <f aca="false">_xlfn.MINIFS($B$2:$B$2705,$A$2:$A$2705,A613)</f>
        <v>1901</v>
      </c>
      <c r="U613" s="3" t="n">
        <f aca="false">B613-T613</f>
        <v>38</v>
      </c>
      <c r="V613" s="3" t="str">
        <f aca="false">INDEX(Pop_Inputs!$Q$2:$Q$29,MATCH(C613,Pop_Inputs!$A$2:$A$29,0))</f>
        <v>Midwest</v>
      </c>
      <c r="W613" s="30"/>
      <c r="X613" s="3" t="str">
        <f aca="false">IF(W613="","",LN(W613))</f>
        <v/>
      </c>
      <c r="Y613" s="3" t="str">
        <f aca="false">IF(X613="","",X613-AVERAGEIFS($X$2:$X$2705,$B$2:$B$2705,B613))</f>
        <v/>
      </c>
      <c r="Z613" s="21" t="n">
        <f aca="false">P613</f>
        <v>-0.707747847621812</v>
      </c>
      <c r="AA613" s="3" t="n">
        <f aca="false">R613</f>
        <v>0</v>
      </c>
      <c r="AB613" s="21" t="n">
        <f aca="false">P613</f>
        <v>-0.707747847621812</v>
      </c>
      <c r="AC613" s="3" t="str">
        <f aca="false">Y613</f>
        <v/>
      </c>
      <c r="AD613" s="3" t="n">
        <f aca="false">R613</f>
        <v>0</v>
      </c>
    </row>
    <row r="614" customFormat="false" ht="15" hidden="false" customHeight="true" outlineLevel="0" collapsed="false">
      <c r="A614" s="7" t="s">
        <v>66</v>
      </c>
      <c r="B614" s="7" t="n">
        <v>1939</v>
      </c>
      <c r="C614" s="7" t="s">
        <v>151</v>
      </c>
      <c r="D614" s="7" t="n">
        <v>87</v>
      </c>
      <c r="E614" s="7" t="n">
        <v>67</v>
      </c>
      <c r="F614" s="3" t="n">
        <f aca="false">COUNTIFS($B$2:$B$2705,B614,$C$2:$C$2705,C614)</f>
        <v>1</v>
      </c>
      <c r="G614" s="3" t="n">
        <f aca="false">MIN(INT((MIN(B614,2020)-1900)/10)+1,12)</f>
        <v>4</v>
      </c>
      <c r="H614" s="3" t="n">
        <f aca="false">(MIN(B614,2020)-1900-10*(G614-1))/10</f>
        <v>0.9</v>
      </c>
      <c r="I614" s="20" t="n">
        <f aca="false">EXP(LN(INDEX(Pop_Inputs!$B$2:$N$29,MATCH(C614,Pop_Inputs!$A$2:$A$29,0),G614))*(1-H614)+LN(INDEX(Pop_Inputs!$B$2:$N$29,MATCH(C614,Pop_Inputs!$A$2:$A$29,0),G614+1))*H614)</f>
        <v>880520.684267597</v>
      </c>
      <c r="J614" s="20" t="n">
        <f aca="false">I614/F614</f>
        <v>880520.684267597</v>
      </c>
      <c r="K614" s="21" t="n">
        <f aca="false">D614/(D614+E614)</f>
        <v>0.564935064935065</v>
      </c>
      <c r="L614" s="21" t="n">
        <f aca="false">AVERAGEIFS($K$2:$K$2705,$B$2:$B$2705,B614)</f>
        <v>0.49988773842712</v>
      </c>
      <c r="M614" s="21" t="n">
        <f aca="false">K614-L614</f>
        <v>0.0650473265079451</v>
      </c>
      <c r="N614" s="21" t="n">
        <f aca="false">LN(J614)</f>
        <v>13.6882686981446</v>
      </c>
      <c r="O614" s="21" t="n">
        <f aca="false">AVERAGEIFS($N$2:$N$2705,$B$2:$B$2705,B614)</f>
        <v>13.7361587933504</v>
      </c>
      <c r="P614" s="21" t="n">
        <f aca="false">N614-O614</f>
        <v>-0.0478900952058066</v>
      </c>
      <c r="Q614" s="7" t="n">
        <v>0</v>
      </c>
      <c r="R614" s="3" t="n">
        <f aca="false">IF(AND(Q614=1,B614-_xlfn.MINIFS($B$2:$B$2705,$A$2:$A$2705,A614)&lt;10),1,0)</f>
        <v>0</v>
      </c>
      <c r="S614" s="7" t="n">
        <v>0</v>
      </c>
      <c r="T614" s="3" t="n">
        <f aca="false">_xlfn.MINIFS($B$2:$B$2705,$A$2:$A$2705,A614)</f>
        <v>1901</v>
      </c>
      <c r="U614" s="3" t="n">
        <f aca="false">B614-T614</f>
        <v>38</v>
      </c>
      <c r="V614" s="3" t="str">
        <f aca="false">INDEX(Pop_Inputs!$Q$2:$Q$29,MATCH(C614,Pop_Inputs!$A$2:$A$29,0))</f>
        <v>Midwest</v>
      </c>
      <c r="W614" s="30"/>
      <c r="X614" s="3" t="str">
        <f aca="false">IF(W614="","",LN(W614))</f>
        <v/>
      </c>
      <c r="Y614" s="3" t="str">
        <f aca="false">IF(X614="","",X614-AVERAGEIFS($X$2:$X$2705,$B$2:$B$2705,B614))</f>
        <v/>
      </c>
      <c r="Z614" s="21" t="n">
        <f aca="false">P614</f>
        <v>-0.0478900952058066</v>
      </c>
      <c r="AA614" s="3" t="n">
        <f aca="false">R614</f>
        <v>0</v>
      </c>
      <c r="AB614" s="21" t="n">
        <f aca="false">P614</f>
        <v>-0.0478900952058066</v>
      </c>
      <c r="AC614" s="3" t="str">
        <f aca="false">Y614</f>
        <v/>
      </c>
      <c r="AD614" s="3" t="n">
        <f aca="false">R614</f>
        <v>0</v>
      </c>
    </row>
    <row r="615" customFormat="false" ht="15" hidden="false" customHeight="true" outlineLevel="0" collapsed="false">
      <c r="A615" s="7" t="s">
        <v>67</v>
      </c>
      <c r="B615" s="7" t="n">
        <v>1939</v>
      </c>
      <c r="C615" s="7" t="s">
        <v>152</v>
      </c>
      <c r="D615" s="7" t="n">
        <v>81</v>
      </c>
      <c r="E615" s="7" t="n">
        <v>73</v>
      </c>
      <c r="F615" s="3" t="n">
        <f aca="false">COUNTIFS($B$2:$B$2705,B615,$C$2:$C$2705,C615)</f>
        <v>1</v>
      </c>
      <c r="G615" s="3" t="n">
        <f aca="false">MIN(INT((MIN(B615,2020)-1900)/10)+1,12)</f>
        <v>4</v>
      </c>
      <c r="H615" s="3" t="n">
        <f aca="false">(MIN(B615,2020)-1900-10*(G615-1))/10</f>
        <v>0.9</v>
      </c>
      <c r="I615" s="20" t="n">
        <f aca="false">EXP(LN(INDEX(Pop_Inputs!$B$2:$N$29,MATCH(C615,Pop_Inputs!$A$2:$A$29,0),G615))*(1-H615)+LN(INDEX(Pop_Inputs!$B$2:$N$29,MATCH(C615,Pop_Inputs!$A$2:$A$29,0),G615+1))*H615)</f>
        <v>1617887.96671153</v>
      </c>
      <c r="J615" s="20" t="n">
        <f aca="false">I615/F615</f>
        <v>1617887.96671153</v>
      </c>
      <c r="K615" s="21" t="n">
        <f aca="false">D615/(D615+E615)</f>
        <v>0.525974025974026</v>
      </c>
      <c r="L615" s="21" t="n">
        <f aca="false">AVERAGEIFS($K$2:$K$2705,$B$2:$B$2705,B615)</f>
        <v>0.49988773842712</v>
      </c>
      <c r="M615" s="21" t="n">
        <f aca="false">K615-L615</f>
        <v>0.0260862875469061</v>
      </c>
      <c r="N615" s="21" t="n">
        <f aca="false">LN(J615)</f>
        <v>14.2966321323686</v>
      </c>
      <c r="O615" s="21" t="n">
        <f aca="false">AVERAGEIFS($N$2:$N$2705,$B$2:$B$2705,B615)</f>
        <v>13.7361587933504</v>
      </c>
      <c r="P615" s="21" t="n">
        <f aca="false">N615-O615</f>
        <v>0.560473339018211</v>
      </c>
      <c r="Q615" s="7" t="n">
        <v>0</v>
      </c>
      <c r="R615" s="3" t="n">
        <f aca="false">IF(AND(Q615=1,B615-_xlfn.MINIFS($B$2:$B$2705,$A$2:$A$2705,A615)&lt;10),1,0)</f>
        <v>0</v>
      </c>
      <c r="S615" s="7" t="n">
        <v>0</v>
      </c>
      <c r="T615" s="3" t="n">
        <f aca="false">_xlfn.MINIFS($B$2:$B$2705,$A$2:$A$2705,A615)</f>
        <v>1901</v>
      </c>
      <c r="U615" s="3" t="n">
        <f aca="false">B615-T615</f>
        <v>38</v>
      </c>
      <c r="V615" s="3" t="str">
        <f aca="false">INDEX(Pop_Inputs!$Q$2:$Q$29,MATCH(C615,Pop_Inputs!$A$2:$A$29,0))</f>
        <v>Midwest</v>
      </c>
      <c r="W615" s="30"/>
      <c r="X615" s="3" t="str">
        <f aca="false">IF(W615="","",LN(W615))</f>
        <v/>
      </c>
      <c r="Y615" s="3" t="str">
        <f aca="false">IF(X615="","",X615-AVERAGEIFS($X$2:$X$2705,$B$2:$B$2705,B615))</f>
        <v/>
      </c>
      <c r="Z615" s="21" t="n">
        <f aca="false">P615</f>
        <v>0.560473339018211</v>
      </c>
      <c r="AA615" s="3" t="n">
        <f aca="false">R615</f>
        <v>0</v>
      </c>
      <c r="AB615" s="21" t="n">
        <f aca="false">P615</f>
        <v>0.560473339018211</v>
      </c>
      <c r="AC615" s="3" t="str">
        <f aca="false">Y615</f>
        <v/>
      </c>
      <c r="AD615" s="3" t="n">
        <f aca="false">R615</f>
        <v>0</v>
      </c>
    </row>
    <row r="616" customFormat="false" ht="15" hidden="false" customHeight="true" outlineLevel="0" collapsed="false">
      <c r="A616" s="7" t="s">
        <v>62</v>
      </c>
      <c r="B616" s="7" t="n">
        <v>1939</v>
      </c>
      <c r="C616" s="7" t="s">
        <v>154</v>
      </c>
      <c r="D616" s="7" t="n">
        <v>84</v>
      </c>
      <c r="E616" s="7" t="n">
        <v>69</v>
      </c>
      <c r="F616" s="3" t="n">
        <f aca="false">COUNTIFS($B$2:$B$2705,B616,$C$2:$C$2705,C616)</f>
        <v>3</v>
      </c>
      <c r="G616" s="3" t="n">
        <f aca="false">MIN(INT((MIN(B616,2020)-1900)/10)+1,12)</f>
        <v>4</v>
      </c>
      <c r="H616" s="3" t="n">
        <f aca="false">(MIN(B616,2020)-1900-10*(G616-1))/10</f>
        <v>0.9</v>
      </c>
      <c r="I616" s="20" t="n">
        <f aca="false">EXP(LN(INDEX(Pop_Inputs!$B$2:$N$29,MATCH(C616,Pop_Inputs!$A$2:$A$29,0),G616))*(1-H616)+LN(INDEX(Pop_Inputs!$B$2:$N$29,MATCH(C616,Pop_Inputs!$A$2:$A$29,0),G616+1))*H616)</f>
        <v>7400801.21519412</v>
      </c>
      <c r="J616" s="20" t="n">
        <f aca="false">I616/F616</f>
        <v>2466933.73839804</v>
      </c>
      <c r="K616" s="21" t="n">
        <f aca="false">D616/(D616+E616)</f>
        <v>0.549019607843137</v>
      </c>
      <c r="L616" s="21" t="n">
        <f aca="false">AVERAGEIFS($K$2:$K$2705,$B$2:$B$2705,B616)</f>
        <v>0.49988773842712</v>
      </c>
      <c r="M616" s="21" t="n">
        <f aca="false">K616-L616</f>
        <v>0.0491318694160174</v>
      </c>
      <c r="N616" s="21" t="n">
        <f aca="false">LN(J616)</f>
        <v>14.7184865359688</v>
      </c>
      <c r="O616" s="21" t="n">
        <f aca="false">AVERAGEIFS($N$2:$N$2705,$B$2:$B$2705,B616)</f>
        <v>13.7361587933504</v>
      </c>
      <c r="P616" s="21" t="n">
        <f aca="false">N616-O616</f>
        <v>0.982327742618413</v>
      </c>
      <c r="Q616" s="7" t="n">
        <v>0</v>
      </c>
      <c r="R616" s="3" t="n">
        <f aca="false">IF(AND(Q616=1,B616-_xlfn.MINIFS($B$2:$B$2705,$A$2:$A$2705,A616)&lt;10),1,0)</f>
        <v>0</v>
      </c>
      <c r="S616" s="7" t="n">
        <v>0</v>
      </c>
      <c r="T616" s="3" t="n">
        <f aca="false">_xlfn.MINIFS($B$2:$B$2705,$A$2:$A$2705,A616)</f>
        <v>1901</v>
      </c>
      <c r="U616" s="3" t="n">
        <f aca="false">B616-T616</f>
        <v>38</v>
      </c>
      <c r="V616" s="3" t="str">
        <f aca="false">INDEX(Pop_Inputs!$Q$2:$Q$29,MATCH(C616,Pop_Inputs!$A$2:$A$29,0))</f>
        <v>Northeast</v>
      </c>
      <c r="W616" s="30"/>
      <c r="X616" s="3" t="str">
        <f aca="false">IF(W616="","",LN(W616))</f>
        <v/>
      </c>
      <c r="Y616" s="3" t="str">
        <f aca="false">IF(X616="","",X616-AVERAGEIFS($X$2:$X$2705,$B$2:$B$2705,B616))</f>
        <v/>
      </c>
      <c r="Z616" s="21" t="n">
        <f aca="false">P616</f>
        <v>0.982327742618413</v>
      </c>
      <c r="AA616" s="3" t="n">
        <f aca="false">R616</f>
        <v>0</v>
      </c>
      <c r="AB616" s="21" t="n">
        <f aca="false">P616</f>
        <v>0.982327742618413</v>
      </c>
      <c r="AC616" s="3" t="str">
        <f aca="false">Y616</f>
        <v/>
      </c>
      <c r="AD616" s="3" t="n">
        <f aca="false">R616</f>
        <v>0</v>
      </c>
    </row>
    <row r="617" customFormat="false" ht="15" hidden="false" customHeight="true" outlineLevel="0" collapsed="false">
      <c r="A617" s="7" t="s">
        <v>68</v>
      </c>
      <c r="B617" s="7" t="n">
        <v>1939</v>
      </c>
      <c r="C617" s="7" t="s">
        <v>160</v>
      </c>
      <c r="D617" s="7" t="n">
        <v>65</v>
      </c>
      <c r="E617" s="7" t="n">
        <v>87</v>
      </c>
      <c r="F617" s="3" t="n">
        <f aca="false">COUNTIFS($B$2:$B$2705,B617,$C$2:$C$2705,C617)</f>
        <v>1</v>
      </c>
      <c r="G617" s="3" t="n">
        <f aca="false">MIN(INT((MIN(B617,2020)-1900)/10)+1,12)</f>
        <v>4</v>
      </c>
      <c r="H617" s="3" t="n">
        <f aca="false">(MIN(B617,2020)-1900-10*(G617-1))/10</f>
        <v>0.9</v>
      </c>
      <c r="I617" s="20" t="n">
        <f aca="false">EXP(LN(INDEX(Pop_Inputs!$B$2:$N$29,MATCH(C617,Pop_Inputs!$A$2:$A$29,0),G617))*(1-H617)+LN(INDEX(Pop_Inputs!$B$2:$N$29,MATCH(C617,Pop_Inputs!$A$2:$A$29,0),G617+1))*H617)</f>
        <v>642920.142539952</v>
      </c>
      <c r="J617" s="20" t="n">
        <f aca="false">I617/F617</f>
        <v>642920.142539952</v>
      </c>
      <c r="K617" s="21" t="n">
        <f aca="false">D617/(D617+E617)</f>
        <v>0.427631578947368</v>
      </c>
      <c r="L617" s="21" t="n">
        <f aca="false">AVERAGEIFS($K$2:$K$2705,$B$2:$B$2705,B617)</f>
        <v>0.49988773842712</v>
      </c>
      <c r="M617" s="21" t="n">
        <f aca="false">K617-L617</f>
        <v>-0.0722561594797515</v>
      </c>
      <c r="N617" s="21" t="n">
        <f aca="false">LN(J617)</f>
        <v>13.3737758003902</v>
      </c>
      <c r="O617" s="21" t="n">
        <f aca="false">AVERAGEIFS($N$2:$N$2705,$B$2:$B$2705,B617)</f>
        <v>13.7361587933504</v>
      </c>
      <c r="P617" s="21" t="n">
        <f aca="false">N617-O617</f>
        <v>-0.362382992960193</v>
      </c>
      <c r="Q617" s="7" t="n">
        <v>0</v>
      </c>
      <c r="R617" s="3" t="n">
        <f aca="false">IF(AND(Q617=1,B617-_xlfn.MINIFS($B$2:$B$2705,$A$2:$A$2705,A617)&lt;10),1,0)</f>
        <v>0</v>
      </c>
      <c r="S617" s="7" t="n">
        <v>0</v>
      </c>
      <c r="T617" s="3" t="n">
        <f aca="false">_xlfn.MINIFS($B$2:$B$2705,$A$2:$A$2705,A617)</f>
        <v>1901</v>
      </c>
      <c r="U617" s="3" t="n">
        <f aca="false">B617-T617</f>
        <v>38</v>
      </c>
      <c r="V617" s="3" t="str">
        <f aca="false">INDEX(Pop_Inputs!$Q$2:$Q$29,MATCH(C617,Pop_Inputs!$A$2:$A$29,0))</f>
        <v>South</v>
      </c>
      <c r="W617" s="30"/>
      <c r="X617" s="3" t="str">
        <f aca="false">IF(W617="","",LN(W617))</f>
        <v/>
      </c>
      <c r="Y617" s="3" t="str">
        <f aca="false">IF(X617="","",X617-AVERAGEIFS($X$2:$X$2705,$B$2:$B$2705,B617))</f>
        <v/>
      </c>
      <c r="Z617" s="21" t="n">
        <f aca="false">P617</f>
        <v>-0.362382992960193</v>
      </c>
      <c r="AA617" s="3" t="n">
        <f aca="false">R617</f>
        <v>0</v>
      </c>
      <c r="AB617" s="21" t="n">
        <f aca="false">P617</f>
        <v>-0.362382992960193</v>
      </c>
      <c r="AC617" s="3" t="str">
        <f aca="false">Y617</f>
        <v/>
      </c>
      <c r="AD617" s="3" t="n">
        <f aca="false">R617</f>
        <v>0</v>
      </c>
    </row>
    <row r="618" customFormat="false" ht="15" hidden="false" customHeight="true" outlineLevel="0" collapsed="false">
      <c r="A618" s="7" t="s">
        <v>70</v>
      </c>
      <c r="B618" s="7" t="n">
        <v>1939</v>
      </c>
      <c r="C618" s="7" t="s">
        <v>154</v>
      </c>
      <c r="D618" s="7" t="n">
        <v>106</v>
      </c>
      <c r="E618" s="7" t="n">
        <v>45</v>
      </c>
      <c r="F618" s="3" t="n">
        <f aca="false">COUNTIFS($B$2:$B$2705,B618,$C$2:$C$2705,C618)</f>
        <v>3</v>
      </c>
      <c r="G618" s="3" t="n">
        <f aca="false">MIN(INT((MIN(B618,2020)-1900)/10)+1,12)</f>
        <v>4</v>
      </c>
      <c r="H618" s="3" t="n">
        <f aca="false">(MIN(B618,2020)-1900-10*(G618-1))/10</f>
        <v>0.9</v>
      </c>
      <c r="I618" s="20" t="n">
        <f aca="false">EXP(LN(INDEX(Pop_Inputs!$B$2:$N$29,MATCH(C618,Pop_Inputs!$A$2:$A$29,0),G618))*(1-H618)+LN(INDEX(Pop_Inputs!$B$2:$N$29,MATCH(C618,Pop_Inputs!$A$2:$A$29,0),G618+1))*H618)</f>
        <v>7400801.21519412</v>
      </c>
      <c r="J618" s="20" t="n">
        <f aca="false">I618/F618</f>
        <v>2466933.73839804</v>
      </c>
      <c r="K618" s="21" t="n">
        <f aca="false">D618/(D618+E618)</f>
        <v>0.701986754966887</v>
      </c>
      <c r="L618" s="21" t="n">
        <f aca="false">AVERAGEIFS($K$2:$K$2705,$B$2:$B$2705,B618)</f>
        <v>0.49988773842712</v>
      </c>
      <c r="M618" s="21" t="n">
        <f aca="false">K618-L618</f>
        <v>0.202099016539768</v>
      </c>
      <c r="N618" s="21" t="n">
        <f aca="false">LN(J618)</f>
        <v>14.7184865359688</v>
      </c>
      <c r="O618" s="21" t="n">
        <f aca="false">AVERAGEIFS($N$2:$N$2705,$B$2:$B$2705,B618)</f>
        <v>13.7361587933504</v>
      </c>
      <c r="P618" s="21" t="n">
        <f aca="false">N618-O618</f>
        <v>0.982327742618413</v>
      </c>
      <c r="Q618" s="7" t="n">
        <v>0</v>
      </c>
      <c r="R618" s="3" t="n">
        <f aca="false">IF(AND(Q618=1,B618-_xlfn.MINIFS($B$2:$B$2705,$A$2:$A$2705,A618)&lt;10),1,0)</f>
        <v>0</v>
      </c>
      <c r="S618" s="7" t="n">
        <v>1</v>
      </c>
      <c r="T618" s="3" t="n">
        <f aca="false">_xlfn.MINIFS($B$2:$B$2705,$A$2:$A$2705,A618)</f>
        <v>1903</v>
      </c>
      <c r="U618" s="3" t="n">
        <f aca="false">B618-T618</f>
        <v>36</v>
      </c>
      <c r="V618" s="3" t="str">
        <f aca="false">INDEX(Pop_Inputs!$Q$2:$Q$29,MATCH(C618,Pop_Inputs!$A$2:$A$29,0))</f>
        <v>Northeast</v>
      </c>
      <c r="W618" s="30"/>
      <c r="X618" s="3" t="str">
        <f aca="false">IF(W618="","",LN(W618))</f>
        <v/>
      </c>
      <c r="Y618" s="3" t="str">
        <f aca="false">IF(X618="","",X618-AVERAGEIFS($X$2:$X$2705,$B$2:$B$2705,B618))</f>
        <v/>
      </c>
      <c r="Z618" s="21" t="n">
        <f aca="false">P618</f>
        <v>0.982327742618413</v>
      </c>
      <c r="AA618" s="3" t="n">
        <f aca="false">R618</f>
        <v>0</v>
      </c>
      <c r="AB618" s="21" t="n">
        <f aca="false">P618</f>
        <v>0.982327742618413</v>
      </c>
      <c r="AC618" s="3" t="str">
        <f aca="false">Y618</f>
        <v/>
      </c>
      <c r="AD618" s="3" t="n">
        <f aca="false">R618</f>
        <v>0</v>
      </c>
    </row>
    <row r="619" customFormat="false" ht="15" hidden="false" customHeight="true" outlineLevel="0" collapsed="false">
      <c r="A619" s="7" t="s">
        <v>69</v>
      </c>
      <c r="B619" s="7" t="n">
        <v>1939</v>
      </c>
      <c r="C619" s="7" t="s">
        <v>146</v>
      </c>
      <c r="D619" s="7" t="n">
        <v>55</v>
      </c>
      <c r="E619" s="7" t="n">
        <v>97</v>
      </c>
      <c r="F619" s="3" t="n">
        <f aca="false">COUNTIFS($B$2:$B$2705,B619,$C$2:$C$2705,C619)</f>
        <v>2</v>
      </c>
      <c r="G619" s="3" t="n">
        <f aca="false">MIN(INT((MIN(B619,2020)-1900)/10)+1,12)</f>
        <v>4</v>
      </c>
      <c r="H619" s="3" t="n">
        <f aca="false">(MIN(B619,2020)-1900-10*(G619-1))/10</f>
        <v>0.9</v>
      </c>
      <c r="I619" s="20" t="n">
        <f aca="false">EXP(LN(INDEX(Pop_Inputs!$B$2:$N$29,MATCH(C619,Pop_Inputs!$A$2:$A$29,0),G619))*(1-H619)+LN(INDEX(Pop_Inputs!$B$2:$N$29,MATCH(C619,Pop_Inputs!$A$2:$A$29,0),G619+1))*H619)</f>
        <v>1933287.78175701</v>
      </c>
      <c r="J619" s="20" t="n">
        <f aca="false">I619/F619</f>
        <v>966643.890878506</v>
      </c>
      <c r="K619" s="21" t="n">
        <f aca="false">D619/(D619+E619)</f>
        <v>0.361842105263158</v>
      </c>
      <c r="L619" s="21" t="n">
        <f aca="false">AVERAGEIFS($K$2:$K$2705,$B$2:$B$2705,B619)</f>
        <v>0.49988773842712</v>
      </c>
      <c r="M619" s="21" t="n">
        <f aca="false">K619-L619</f>
        <v>-0.138045633163962</v>
      </c>
      <c r="N619" s="21" t="n">
        <f aca="false">LN(J619)</f>
        <v>13.7815854448509</v>
      </c>
      <c r="O619" s="21" t="n">
        <f aca="false">AVERAGEIFS($N$2:$N$2705,$B$2:$B$2705,B619)</f>
        <v>13.7361587933504</v>
      </c>
      <c r="P619" s="21" t="n">
        <f aca="false">N619-O619</f>
        <v>0.0454266515004775</v>
      </c>
      <c r="Q619" s="7" t="n">
        <v>0</v>
      </c>
      <c r="R619" s="3" t="n">
        <f aca="false">IF(AND(Q619=1,B619-_xlfn.MINIFS($B$2:$B$2705,$A$2:$A$2705,A619)&lt;10),1,0)</f>
        <v>0</v>
      </c>
      <c r="S619" s="7" t="n">
        <v>0</v>
      </c>
      <c r="T619" s="3" t="n">
        <f aca="false">_xlfn.MINIFS($B$2:$B$2705,$A$2:$A$2705,A619)</f>
        <v>1901</v>
      </c>
      <c r="U619" s="3" t="n">
        <f aca="false">B619-T619</f>
        <v>38</v>
      </c>
      <c r="V619" s="3" t="str">
        <f aca="false">INDEX(Pop_Inputs!$Q$2:$Q$29,MATCH(C619,Pop_Inputs!$A$2:$A$29,0))</f>
        <v>Northeast</v>
      </c>
      <c r="W619" s="30"/>
      <c r="X619" s="3" t="str">
        <f aca="false">IF(W619="","",LN(W619))</f>
        <v/>
      </c>
      <c r="Y619" s="3" t="str">
        <f aca="false">IF(X619="","",X619-AVERAGEIFS($X$2:$X$2705,$B$2:$B$2705,B619))</f>
        <v/>
      </c>
      <c r="Z619" s="21" t="n">
        <f aca="false">P619</f>
        <v>0.0454266515004775</v>
      </c>
      <c r="AA619" s="3" t="n">
        <f aca="false">R619</f>
        <v>0</v>
      </c>
      <c r="AB619" s="21" t="n">
        <f aca="false">P619</f>
        <v>0.0454266515004775</v>
      </c>
      <c r="AC619" s="3" t="str">
        <f aca="false">Y619</f>
        <v/>
      </c>
      <c r="AD619" s="3" t="n">
        <f aca="false">R619</f>
        <v>0</v>
      </c>
    </row>
    <row r="620" customFormat="false" ht="15" hidden="false" customHeight="true" outlineLevel="0" collapsed="false">
      <c r="A620" s="7" t="s">
        <v>60</v>
      </c>
      <c r="B620" s="7" t="n">
        <v>1939</v>
      </c>
      <c r="C620" s="7" t="s">
        <v>146</v>
      </c>
      <c r="D620" s="7" t="n">
        <v>45</v>
      </c>
      <c r="E620" s="7" t="n">
        <v>106</v>
      </c>
      <c r="F620" s="3" t="n">
        <f aca="false">COUNTIFS($B$2:$B$2705,B620,$C$2:$C$2705,C620)</f>
        <v>2</v>
      </c>
      <c r="G620" s="3" t="n">
        <f aca="false">MIN(INT((MIN(B620,2020)-1900)/10)+1,12)</f>
        <v>4</v>
      </c>
      <c r="H620" s="3" t="n">
        <f aca="false">(MIN(B620,2020)-1900-10*(G620-1))/10</f>
        <v>0.9</v>
      </c>
      <c r="I620" s="20" t="n">
        <f aca="false">EXP(LN(INDEX(Pop_Inputs!$B$2:$N$29,MATCH(C620,Pop_Inputs!$A$2:$A$29,0),G620))*(1-H620)+LN(INDEX(Pop_Inputs!$B$2:$N$29,MATCH(C620,Pop_Inputs!$A$2:$A$29,0),G620+1))*H620)</f>
        <v>1933287.78175701</v>
      </c>
      <c r="J620" s="20" t="n">
        <f aca="false">I620/F620</f>
        <v>966643.890878506</v>
      </c>
      <c r="K620" s="21" t="n">
        <f aca="false">D620/(D620+E620)</f>
        <v>0.298013245033113</v>
      </c>
      <c r="L620" s="21" t="n">
        <f aca="false">AVERAGEIFS($K$2:$K$2705,$B$2:$B$2705,B620)</f>
        <v>0.49988773842712</v>
      </c>
      <c r="M620" s="21" t="n">
        <f aca="false">K620-L620</f>
        <v>-0.201874493394007</v>
      </c>
      <c r="N620" s="21" t="n">
        <f aca="false">LN(J620)</f>
        <v>13.7815854448509</v>
      </c>
      <c r="O620" s="21" t="n">
        <f aca="false">AVERAGEIFS($N$2:$N$2705,$B$2:$B$2705,B620)</f>
        <v>13.7361587933504</v>
      </c>
      <c r="P620" s="21" t="n">
        <f aca="false">N620-O620</f>
        <v>0.0454266515004775</v>
      </c>
      <c r="Q620" s="7" t="n">
        <v>0</v>
      </c>
      <c r="R620" s="3" t="n">
        <f aca="false">IF(AND(Q620=1,B620-_xlfn.MINIFS($B$2:$B$2705,$A$2:$A$2705,A620)&lt;10),1,0)</f>
        <v>0</v>
      </c>
      <c r="S620" s="7" t="n">
        <v>0</v>
      </c>
      <c r="T620" s="3" t="n">
        <f aca="false">_xlfn.MINIFS($B$2:$B$2705,$A$2:$A$2705,A620)</f>
        <v>1901</v>
      </c>
      <c r="U620" s="3" t="n">
        <f aca="false">B620-T620</f>
        <v>38</v>
      </c>
      <c r="V620" s="3" t="str">
        <f aca="false">INDEX(Pop_Inputs!$Q$2:$Q$29,MATCH(C620,Pop_Inputs!$A$2:$A$29,0))</f>
        <v>Northeast</v>
      </c>
      <c r="W620" s="30"/>
      <c r="X620" s="3" t="str">
        <f aca="false">IF(W620="","",LN(W620))</f>
        <v/>
      </c>
      <c r="Y620" s="3" t="str">
        <f aca="false">IF(X620="","",X620-AVERAGEIFS($X$2:$X$2705,$B$2:$B$2705,B620))</f>
        <v/>
      </c>
      <c r="Z620" s="21" t="n">
        <f aca="false">P620</f>
        <v>0.0454266515004775</v>
      </c>
      <c r="AA620" s="3" t="n">
        <f aca="false">R620</f>
        <v>0</v>
      </c>
      <c r="AB620" s="21" t="n">
        <f aca="false">P620</f>
        <v>0.0454266515004775</v>
      </c>
      <c r="AC620" s="3" t="str">
        <f aca="false">Y620</f>
        <v/>
      </c>
      <c r="AD620" s="3" t="n">
        <f aca="false">R620</f>
        <v>0</v>
      </c>
    </row>
    <row r="621" customFormat="false" ht="15" hidden="false" customHeight="true" outlineLevel="0" collapsed="false">
      <c r="A621" s="7" t="s">
        <v>58</v>
      </c>
      <c r="B621" s="7" t="n">
        <v>1939</v>
      </c>
      <c r="C621" s="7" t="s">
        <v>144</v>
      </c>
      <c r="D621" s="7" t="n">
        <v>68</v>
      </c>
      <c r="E621" s="7" t="n">
        <v>85</v>
      </c>
      <c r="F621" s="3" t="n">
        <f aca="false">COUNTIFS($B$2:$B$2705,B621,$C$2:$C$2705,C621)</f>
        <v>1</v>
      </c>
      <c r="G621" s="3" t="n">
        <f aca="false">MIN(INT((MIN(B621,2020)-1900)/10)+1,12)</f>
        <v>4</v>
      </c>
      <c r="H621" s="3" t="n">
        <f aca="false">(MIN(B621,2020)-1900-10*(G621-1))/10</f>
        <v>0.9</v>
      </c>
      <c r="I621" s="20" t="n">
        <f aca="false">EXP(LN(INDEX(Pop_Inputs!$B$2:$N$29,MATCH(C621,Pop_Inputs!$A$2:$A$29,0),G621))*(1-H621)+LN(INDEX(Pop_Inputs!$B$2:$N$29,MATCH(C621,Pop_Inputs!$A$2:$A$29,0),G621+1))*H621)</f>
        <v>671474.572281615</v>
      </c>
      <c r="J621" s="20" t="n">
        <f aca="false">I621/F621</f>
        <v>671474.572281615</v>
      </c>
      <c r="K621" s="21" t="n">
        <f aca="false">D621/(D621+E621)</f>
        <v>0.444444444444444</v>
      </c>
      <c r="L621" s="21" t="n">
        <f aca="false">AVERAGEIFS($K$2:$K$2705,$B$2:$B$2705,B621)</f>
        <v>0.49988773842712</v>
      </c>
      <c r="M621" s="21" t="n">
        <f aca="false">K621-L621</f>
        <v>-0.0554432939826754</v>
      </c>
      <c r="N621" s="21" t="n">
        <f aca="false">LN(J621)</f>
        <v>13.4172314271869</v>
      </c>
      <c r="O621" s="21" t="n">
        <f aca="false">AVERAGEIFS($N$2:$N$2705,$B$2:$B$2705,B621)</f>
        <v>13.7361587933504</v>
      </c>
      <c r="P621" s="21" t="n">
        <f aca="false">N621-O621</f>
        <v>-0.318927366163452</v>
      </c>
      <c r="Q621" s="7" t="n">
        <v>0</v>
      </c>
      <c r="R621" s="3" t="n">
        <f aca="false">IF(AND(Q621=1,B621-_xlfn.MINIFS($B$2:$B$2705,$A$2:$A$2705,A621)&lt;10),1,0)</f>
        <v>0</v>
      </c>
      <c r="S621" s="7" t="n">
        <v>0</v>
      </c>
      <c r="T621" s="3" t="n">
        <f aca="false">_xlfn.MINIFS($B$2:$B$2705,$A$2:$A$2705,A621)</f>
        <v>1901</v>
      </c>
      <c r="U621" s="3" t="n">
        <f aca="false">B621-T621</f>
        <v>38</v>
      </c>
      <c r="V621" s="3" t="str">
        <f aca="false">INDEX(Pop_Inputs!$Q$2:$Q$29,MATCH(C621,Pop_Inputs!$A$2:$A$29,0))</f>
        <v>Northeast</v>
      </c>
      <c r="W621" s="30"/>
      <c r="X621" s="3" t="str">
        <f aca="false">IF(W621="","",LN(W621))</f>
        <v/>
      </c>
      <c r="Y621" s="3" t="str">
        <f aca="false">IF(X621="","",X621-AVERAGEIFS($X$2:$X$2705,$B$2:$B$2705,B621))</f>
        <v/>
      </c>
      <c r="Z621" s="21" t="n">
        <f aca="false">P621</f>
        <v>-0.318927366163452</v>
      </c>
      <c r="AA621" s="3" t="n">
        <f aca="false">R621</f>
        <v>0</v>
      </c>
      <c r="AB621" s="21" t="n">
        <f aca="false">P621</f>
        <v>-0.318927366163452</v>
      </c>
      <c r="AC621" s="3" t="str">
        <f aca="false">Y621</f>
        <v/>
      </c>
      <c r="AD621" s="3" t="n">
        <f aca="false">R621</f>
        <v>0</v>
      </c>
    </row>
    <row r="622" customFormat="false" ht="15" hidden="false" customHeight="true" outlineLevel="0" collapsed="false">
      <c r="A622" s="7" t="s">
        <v>61</v>
      </c>
      <c r="B622" s="7" t="n">
        <v>1939</v>
      </c>
      <c r="C622" s="7" t="s">
        <v>154</v>
      </c>
      <c r="D622" s="7" t="n">
        <v>77</v>
      </c>
      <c r="E622" s="7" t="n">
        <v>74</v>
      </c>
      <c r="F622" s="3" t="n">
        <f aca="false">COUNTIFS($B$2:$B$2705,B622,$C$2:$C$2705,C622)</f>
        <v>3</v>
      </c>
      <c r="G622" s="3" t="n">
        <f aca="false">MIN(INT((MIN(B622,2020)-1900)/10)+1,12)</f>
        <v>4</v>
      </c>
      <c r="H622" s="3" t="n">
        <f aca="false">(MIN(B622,2020)-1900-10*(G622-1))/10</f>
        <v>0.9</v>
      </c>
      <c r="I622" s="20" t="n">
        <f aca="false">EXP(LN(INDEX(Pop_Inputs!$B$2:$N$29,MATCH(C622,Pop_Inputs!$A$2:$A$29,0),G622))*(1-H622)+LN(INDEX(Pop_Inputs!$B$2:$N$29,MATCH(C622,Pop_Inputs!$A$2:$A$29,0),G622+1))*H622)</f>
        <v>7400801.21519412</v>
      </c>
      <c r="J622" s="20" t="n">
        <f aca="false">I622/F622</f>
        <v>2466933.73839804</v>
      </c>
      <c r="K622" s="21" t="n">
        <f aca="false">D622/(D622+E622)</f>
        <v>0.509933774834437</v>
      </c>
      <c r="L622" s="21" t="n">
        <f aca="false">AVERAGEIFS($K$2:$K$2705,$B$2:$B$2705,B622)</f>
        <v>0.49988773842712</v>
      </c>
      <c r="M622" s="21" t="n">
        <f aca="false">K622-L622</f>
        <v>0.0100460364073173</v>
      </c>
      <c r="N622" s="21" t="n">
        <f aca="false">LN(J622)</f>
        <v>14.7184865359688</v>
      </c>
      <c r="O622" s="21" t="n">
        <f aca="false">AVERAGEIFS($N$2:$N$2705,$B$2:$B$2705,B622)</f>
        <v>13.7361587933504</v>
      </c>
      <c r="P622" s="21" t="n">
        <f aca="false">N622-O622</f>
        <v>0.982327742618413</v>
      </c>
      <c r="Q622" s="7" t="n">
        <v>0</v>
      </c>
      <c r="R622" s="3" t="n">
        <f aca="false">IF(AND(Q622=1,B622-_xlfn.MINIFS($B$2:$B$2705,$A$2:$A$2705,A622)&lt;10),1,0)</f>
        <v>0</v>
      </c>
      <c r="S622" s="7" t="n">
        <v>0</v>
      </c>
      <c r="T622" s="3" t="n">
        <f aca="false">_xlfn.MINIFS($B$2:$B$2705,$A$2:$A$2705,A622)</f>
        <v>1901</v>
      </c>
      <c r="U622" s="3" t="n">
        <f aca="false">B622-T622</f>
        <v>38</v>
      </c>
      <c r="V622" s="3" t="str">
        <f aca="false">INDEX(Pop_Inputs!$Q$2:$Q$29,MATCH(C622,Pop_Inputs!$A$2:$A$29,0))</f>
        <v>Northeast</v>
      </c>
      <c r="W622" s="30"/>
      <c r="X622" s="3" t="str">
        <f aca="false">IF(W622="","",LN(W622))</f>
        <v/>
      </c>
      <c r="Y622" s="3" t="str">
        <f aca="false">IF(X622="","",X622-AVERAGEIFS($X$2:$X$2705,$B$2:$B$2705,B622))</f>
        <v/>
      </c>
      <c r="Z622" s="21" t="n">
        <f aca="false">P622</f>
        <v>0.982327742618413</v>
      </c>
      <c r="AA622" s="3" t="n">
        <f aca="false">R622</f>
        <v>0</v>
      </c>
      <c r="AB622" s="21" t="n">
        <f aca="false">P622</f>
        <v>0.982327742618413</v>
      </c>
      <c r="AC622" s="3" t="str">
        <f aca="false">Y622</f>
        <v/>
      </c>
      <c r="AD622" s="3" t="n">
        <f aca="false">R622</f>
        <v>0</v>
      </c>
    </row>
    <row r="623" customFormat="false" ht="15" hidden="false" customHeight="true" outlineLevel="0" collapsed="false">
      <c r="A623" s="7" t="s">
        <v>59</v>
      </c>
      <c r="B623" s="7" t="n">
        <v>1939</v>
      </c>
      <c r="C623" s="7" t="s">
        <v>145</v>
      </c>
      <c r="D623" s="7" t="n">
        <v>92</v>
      </c>
      <c r="E623" s="7" t="n">
        <v>61</v>
      </c>
      <c r="F623" s="3" t="n">
        <f aca="false">COUNTIFS($B$2:$B$2705,B623,$C$2:$C$2705,C623)</f>
        <v>2</v>
      </c>
      <c r="G623" s="3" t="n">
        <f aca="false">MIN(INT((MIN(B623,2020)-1900)/10)+1,12)</f>
        <v>4</v>
      </c>
      <c r="H623" s="3" t="n">
        <f aca="false">(MIN(B623,2020)-1900-10*(G623-1))/10</f>
        <v>0.9</v>
      </c>
      <c r="I623" s="20" t="n">
        <f aca="false">EXP(LN(INDEX(Pop_Inputs!$B$2:$N$29,MATCH(C623,Pop_Inputs!$A$2:$A$29,0),G623))*(1-H623)+LN(INDEX(Pop_Inputs!$B$2:$N$29,MATCH(C623,Pop_Inputs!$A$2:$A$29,0),G623+1))*H623)</f>
        <v>816637.281424653</v>
      </c>
      <c r="J623" s="20" t="n">
        <f aca="false">I623/F623</f>
        <v>408318.640712327</v>
      </c>
      <c r="K623" s="21" t="n">
        <f aca="false">D623/(D623+E623)</f>
        <v>0.601307189542484</v>
      </c>
      <c r="L623" s="21" t="n">
        <f aca="false">AVERAGEIFS($K$2:$K$2705,$B$2:$B$2705,B623)</f>
        <v>0.49988773842712</v>
      </c>
      <c r="M623" s="21" t="n">
        <f aca="false">K623-L623</f>
        <v>0.101419451115364</v>
      </c>
      <c r="N623" s="21" t="n">
        <f aca="false">LN(J623)</f>
        <v>12.9198031307165</v>
      </c>
      <c r="O623" s="21" t="n">
        <f aca="false">AVERAGEIFS($N$2:$N$2705,$B$2:$B$2705,B623)</f>
        <v>13.7361587933504</v>
      </c>
      <c r="P623" s="21" t="n">
        <f aca="false">N623-O623</f>
        <v>-0.816355662633887</v>
      </c>
      <c r="Q623" s="7" t="n">
        <v>0</v>
      </c>
      <c r="R623" s="3" t="n">
        <f aca="false">IF(AND(Q623=1,B623-_xlfn.MINIFS($B$2:$B$2705,$A$2:$A$2705,A623)&lt;10),1,0)</f>
        <v>0</v>
      </c>
      <c r="S623" s="7" t="n">
        <v>0</v>
      </c>
      <c r="T623" s="3" t="n">
        <f aca="false">_xlfn.MINIFS($B$2:$B$2705,$A$2:$A$2705,A623)</f>
        <v>1901</v>
      </c>
      <c r="U623" s="3" t="n">
        <f aca="false">B623-T623</f>
        <v>38</v>
      </c>
      <c r="V623" s="3" t="str">
        <f aca="false">INDEX(Pop_Inputs!$Q$2:$Q$29,MATCH(C623,Pop_Inputs!$A$2:$A$29,0))</f>
        <v>Midwest</v>
      </c>
      <c r="W623" s="30"/>
      <c r="X623" s="3" t="str">
        <f aca="false">IF(W623="","",LN(W623))</f>
        <v/>
      </c>
      <c r="Y623" s="3" t="str">
        <f aca="false">IF(X623="","",X623-AVERAGEIFS($X$2:$X$2705,$B$2:$B$2705,B623))</f>
        <v/>
      </c>
      <c r="Z623" s="21" t="n">
        <f aca="false">P623</f>
        <v>-0.816355662633887</v>
      </c>
      <c r="AA623" s="3" t="n">
        <f aca="false">R623</f>
        <v>0</v>
      </c>
      <c r="AB623" s="21" t="n">
        <f aca="false">P623</f>
        <v>-0.816355662633887</v>
      </c>
      <c r="AC623" s="3" t="str">
        <f aca="false">Y623</f>
        <v/>
      </c>
      <c r="AD623" s="3" t="n">
        <f aca="false">R623</f>
        <v>0</v>
      </c>
    </row>
    <row r="624" customFormat="false" ht="15" hidden="false" customHeight="true" outlineLevel="0" collapsed="false">
      <c r="A624" s="7" t="s">
        <v>54</v>
      </c>
      <c r="B624" s="7" t="n">
        <v>1940</v>
      </c>
      <c r="C624" s="7" t="s">
        <v>150</v>
      </c>
      <c r="D624" s="7" t="n">
        <v>65</v>
      </c>
      <c r="E624" s="7" t="n">
        <v>87</v>
      </c>
      <c r="F624" s="3" t="n">
        <f aca="false">COUNTIFS($B$2:$B$2705,B624,$C$2:$C$2705,C624)</f>
        <v>2</v>
      </c>
      <c r="G624" s="3" t="n">
        <f aca="false">MIN(INT((MIN(B624,2020)-1900)/10)+1,12)</f>
        <v>5</v>
      </c>
      <c r="H624" s="3" t="n">
        <f aca="false">(MIN(B624,2020)-1900-10*(G624-1))/10</f>
        <v>0</v>
      </c>
      <c r="I624" s="20" t="n">
        <f aca="false">EXP(LN(INDEX(Pop_Inputs!$B$2:$N$29,MATCH(C624,Pop_Inputs!$A$2:$A$29,0),G624))*(1-H624)+LN(INDEX(Pop_Inputs!$B$2:$N$29,MATCH(C624,Pop_Inputs!$A$2:$A$29,0),G624+1))*H624)</f>
        <v>770816.000000001</v>
      </c>
      <c r="J624" s="20" t="n">
        <f aca="false">I624/F624</f>
        <v>385408</v>
      </c>
      <c r="K624" s="21" t="n">
        <f aca="false">D624/(D624+E624)</f>
        <v>0.427631578947368</v>
      </c>
      <c r="L624" s="21" t="n">
        <f aca="false">AVERAGEIFS($K$2:$K$2705,$B$2:$B$2705,B624)</f>
        <v>0.499962340398679</v>
      </c>
      <c r="M624" s="21" t="n">
        <f aca="false">K624-L624</f>
        <v>-0.072330761451311</v>
      </c>
      <c r="N624" s="21" t="n">
        <f aca="false">LN(J624)</f>
        <v>12.8620577924014</v>
      </c>
      <c r="O624" s="21" t="n">
        <f aca="false">AVERAGEIFS($N$2:$N$2705,$B$2:$B$2705,B624)</f>
        <v>13.7392868341989</v>
      </c>
      <c r="P624" s="21" t="n">
        <f aca="false">N624-O624</f>
        <v>-0.877229041797543</v>
      </c>
      <c r="Q624" s="7" t="n">
        <v>0</v>
      </c>
      <c r="R624" s="3" t="n">
        <f aca="false">IF(AND(Q624=1,B624-_xlfn.MINIFS($B$2:$B$2705,$A$2:$A$2705,A624)&lt;10),1,0)</f>
        <v>0</v>
      </c>
      <c r="S624" s="7" t="n">
        <v>0</v>
      </c>
      <c r="T624" s="3" t="n">
        <f aca="false">_xlfn.MINIFS($B$2:$B$2705,$A$2:$A$2705,A624)</f>
        <v>1901</v>
      </c>
      <c r="U624" s="3" t="n">
        <f aca="false">B624-T624</f>
        <v>39</v>
      </c>
      <c r="V624" s="3" t="str">
        <f aca="false">INDEX(Pop_Inputs!$Q$2:$Q$29,MATCH(C624,Pop_Inputs!$A$2:$A$29,0))</f>
        <v>Northeast</v>
      </c>
      <c r="W624" s="30"/>
      <c r="X624" s="3" t="str">
        <f aca="false">IF(W624="","",LN(W624))</f>
        <v/>
      </c>
      <c r="Y624" s="3" t="str">
        <f aca="false">IF(X624="","",X624-AVERAGEIFS($X$2:$X$2705,$B$2:$B$2705,B624))</f>
        <v/>
      </c>
      <c r="Z624" s="21" t="n">
        <f aca="false">P624</f>
        <v>-0.877229041797543</v>
      </c>
      <c r="AA624" s="3" t="n">
        <f aca="false">R624</f>
        <v>0</v>
      </c>
      <c r="AB624" s="21" t="n">
        <f aca="false">P624</f>
        <v>-0.877229041797543</v>
      </c>
      <c r="AC624" s="3" t="str">
        <f aca="false">Y624</f>
        <v/>
      </c>
      <c r="AD624" s="3" t="n">
        <f aca="false">R624</f>
        <v>0</v>
      </c>
    </row>
    <row r="625" customFormat="false" ht="15" hidden="false" customHeight="true" outlineLevel="0" collapsed="false">
      <c r="A625" s="7" t="s">
        <v>63</v>
      </c>
      <c r="B625" s="7" t="n">
        <v>1940</v>
      </c>
      <c r="C625" s="7" t="s">
        <v>145</v>
      </c>
      <c r="D625" s="7" t="n">
        <v>67</v>
      </c>
      <c r="E625" s="7" t="n">
        <v>87</v>
      </c>
      <c r="F625" s="3" t="n">
        <f aca="false">COUNTIFS($B$2:$B$2705,B625,$C$2:$C$2705,C625)</f>
        <v>2</v>
      </c>
      <c r="G625" s="3" t="n">
        <f aca="false">MIN(INT((MIN(B625,2020)-1900)/10)+1,12)</f>
        <v>5</v>
      </c>
      <c r="H625" s="3" t="n">
        <f aca="false">(MIN(B625,2020)-1900-10*(G625-1))/10</f>
        <v>0</v>
      </c>
      <c r="I625" s="20" t="n">
        <f aca="false">EXP(LN(INDEX(Pop_Inputs!$B$2:$N$29,MATCH(C625,Pop_Inputs!$A$2:$A$29,0),G625))*(1-H625)+LN(INDEX(Pop_Inputs!$B$2:$N$29,MATCH(C625,Pop_Inputs!$A$2:$A$29,0),G625+1))*H625)</f>
        <v>816047.999999999</v>
      </c>
      <c r="J625" s="20" t="n">
        <f aca="false">I625/F625</f>
        <v>408024</v>
      </c>
      <c r="K625" s="21" t="n">
        <f aca="false">D625/(D625+E625)</f>
        <v>0.435064935064935</v>
      </c>
      <c r="L625" s="21" t="n">
        <f aca="false">AVERAGEIFS($K$2:$K$2705,$B$2:$B$2705,B625)</f>
        <v>0.499962340398679</v>
      </c>
      <c r="M625" s="21" t="n">
        <f aca="false">K625-L625</f>
        <v>-0.0648974053337443</v>
      </c>
      <c r="N625" s="21" t="n">
        <f aca="false">LN(J625)</f>
        <v>12.9190812751857</v>
      </c>
      <c r="O625" s="21" t="n">
        <f aca="false">AVERAGEIFS($N$2:$N$2705,$B$2:$B$2705,B625)</f>
        <v>13.7392868341989</v>
      </c>
      <c r="P625" s="21" t="n">
        <f aca="false">N625-O625</f>
        <v>-0.820205559013221</v>
      </c>
      <c r="Q625" s="7" t="n">
        <v>0</v>
      </c>
      <c r="R625" s="3" t="n">
        <f aca="false">IF(AND(Q625=1,B625-_xlfn.MINIFS($B$2:$B$2705,$A$2:$A$2705,A625)&lt;10),1,0)</f>
        <v>0</v>
      </c>
      <c r="S625" s="7" t="n">
        <v>0</v>
      </c>
      <c r="T625" s="3" t="n">
        <f aca="false">_xlfn.MINIFS($B$2:$B$2705,$A$2:$A$2705,A625)</f>
        <v>1901</v>
      </c>
      <c r="U625" s="3" t="n">
        <f aca="false">B625-T625</f>
        <v>39</v>
      </c>
      <c r="V625" s="3" t="str">
        <f aca="false">INDEX(Pop_Inputs!$Q$2:$Q$29,MATCH(C625,Pop_Inputs!$A$2:$A$29,0))</f>
        <v>Midwest</v>
      </c>
      <c r="W625" s="30"/>
      <c r="X625" s="3" t="str">
        <f aca="false">IF(W625="","",LN(W625))</f>
        <v/>
      </c>
      <c r="Y625" s="3" t="str">
        <f aca="false">IF(X625="","",X625-AVERAGEIFS($X$2:$X$2705,$B$2:$B$2705,B625))</f>
        <v/>
      </c>
      <c r="Z625" s="21" t="n">
        <f aca="false">P625</f>
        <v>-0.820205559013221</v>
      </c>
      <c r="AA625" s="3" t="n">
        <f aca="false">R625</f>
        <v>0</v>
      </c>
      <c r="AB625" s="21" t="n">
        <f aca="false">P625</f>
        <v>-0.820205559013221</v>
      </c>
      <c r="AC625" s="3" t="str">
        <f aca="false">Y625</f>
        <v/>
      </c>
      <c r="AD625" s="3" t="n">
        <f aca="false">R625</f>
        <v>0</v>
      </c>
    </row>
    <row r="626" customFormat="false" ht="15" hidden="false" customHeight="true" outlineLevel="0" collapsed="false">
      <c r="A626" s="7" t="s">
        <v>64</v>
      </c>
      <c r="B626" s="7" t="n">
        <v>1940</v>
      </c>
      <c r="C626" s="7" t="s">
        <v>150</v>
      </c>
      <c r="D626" s="7" t="n">
        <v>82</v>
      </c>
      <c r="E626" s="7" t="n">
        <v>72</v>
      </c>
      <c r="F626" s="3" t="n">
        <f aca="false">COUNTIFS($B$2:$B$2705,B626,$C$2:$C$2705,C626)</f>
        <v>2</v>
      </c>
      <c r="G626" s="3" t="n">
        <f aca="false">MIN(INT((MIN(B626,2020)-1900)/10)+1,12)</f>
        <v>5</v>
      </c>
      <c r="H626" s="3" t="n">
        <f aca="false">(MIN(B626,2020)-1900-10*(G626-1))/10</f>
        <v>0</v>
      </c>
      <c r="I626" s="20" t="n">
        <f aca="false">EXP(LN(INDEX(Pop_Inputs!$B$2:$N$29,MATCH(C626,Pop_Inputs!$A$2:$A$29,0),G626))*(1-H626)+LN(INDEX(Pop_Inputs!$B$2:$N$29,MATCH(C626,Pop_Inputs!$A$2:$A$29,0),G626+1))*H626)</f>
        <v>770816.000000001</v>
      </c>
      <c r="J626" s="20" t="n">
        <f aca="false">I626/F626</f>
        <v>385408</v>
      </c>
      <c r="K626" s="21" t="n">
        <f aca="false">D626/(D626+E626)</f>
        <v>0.532467532467532</v>
      </c>
      <c r="L626" s="21" t="n">
        <f aca="false">AVERAGEIFS($K$2:$K$2705,$B$2:$B$2705,B626)</f>
        <v>0.499962340398679</v>
      </c>
      <c r="M626" s="21" t="n">
        <f aca="false">K626-L626</f>
        <v>0.0325051920688531</v>
      </c>
      <c r="N626" s="21" t="n">
        <f aca="false">LN(J626)</f>
        <v>12.8620577924014</v>
      </c>
      <c r="O626" s="21" t="n">
        <f aca="false">AVERAGEIFS($N$2:$N$2705,$B$2:$B$2705,B626)</f>
        <v>13.7392868341989</v>
      </c>
      <c r="P626" s="21" t="n">
        <f aca="false">N626-O626</f>
        <v>-0.877229041797543</v>
      </c>
      <c r="Q626" s="7" t="n">
        <v>0</v>
      </c>
      <c r="R626" s="3" t="n">
        <f aca="false">IF(AND(Q626=1,B626-_xlfn.MINIFS($B$2:$B$2705,$A$2:$A$2705,A626)&lt;10),1,0)</f>
        <v>0</v>
      </c>
      <c r="S626" s="7" t="n">
        <v>0</v>
      </c>
      <c r="T626" s="3" t="n">
        <f aca="false">_xlfn.MINIFS($B$2:$B$2705,$A$2:$A$2705,A626)</f>
        <v>1901</v>
      </c>
      <c r="U626" s="3" t="n">
        <f aca="false">B626-T626</f>
        <v>39</v>
      </c>
      <c r="V626" s="3" t="str">
        <f aca="false">INDEX(Pop_Inputs!$Q$2:$Q$29,MATCH(C626,Pop_Inputs!$A$2:$A$29,0))</f>
        <v>Northeast</v>
      </c>
      <c r="W626" s="30"/>
      <c r="X626" s="3" t="str">
        <f aca="false">IF(W626="","",LN(W626))</f>
        <v/>
      </c>
      <c r="Y626" s="3" t="str">
        <f aca="false">IF(X626="","",X626-AVERAGEIFS($X$2:$X$2705,$B$2:$B$2705,B626))</f>
        <v/>
      </c>
      <c r="Z626" s="21" t="n">
        <f aca="false">P626</f>
        <v>-0.877229041797543</v>
      </c>
      <c r="AA626" s="3" t="n">
        <f aca="false">R626</f>
        <v>0</v>
      </c>
      <c r="AB626" s="21" t="n">
        <f aca="false">P626</f>
        <v>-0.877229041797543</v>
      </c>
      <c r="AC626" s="3" t="str">
        <f aca="false">Y626</f>
        <v/>
      </c>
      <c r="AD626" s="3" t="n">
        <f aca="false">R626</f>
        <v>0</v>
      </c>
    </row>
    <row r="627" customFormat="false" ht="15" hidden="false" customHeight="true" outlineLevel="0" collapsed="false">
      <c r="A627" s="7" t="s">
        <v>56</v>
      </c>
      <c r="B627" s="7" t="n">
        <v>1940</v>
      </c>
      <c r="C627" s="7" t="s">
        <v>142</v>
      </c>
      <c r="D627" s="7" t="n">
        <v>75</v>
      </c>
      <c r="E627" s="7" t="n">
        <v>79</v>
      </c>
      <c r="F627" s="3" t="n">
        <f aca="false">COUNTIFS($B$2:$B$2705,B627,$C$2:$C$2705,C627)</f>
        <v>2</v>
      </c>
      <c r="G627" s="3" t="n">
        <f aca="false">MIN(INT((MIN(B627,2020)-1900)/10)+1,12)</f>
        <v>5</v>
      </c>
      <c r="H627" s="3" t="n">
        <f aca="false">(MIN(B627,2020)-1900-10*(G627-1))/10</f>
        <v>0</v>
      </c>
      <c r="I627" s="20" t="n">
        <f aca="false">EXP(LN(INDEX(Pop_Inputs!$B$2:$N$29,MATCH(C627,Pop_Inputs!$A$2:$A$29,0),G627))*(1-H627)+LN(INDEX(Pop_Inputs!$B$2:$N$29,MATCH(C627,Pop_Inputs!$A$2:$A$29,0),G627+1))*H627)</f>
        <v>3396808</v>
      </c>
      <c r="J627" s="20" t="n">
        <f aca="false">I627/F627</f>
        <v>1698404</v>
      </c>
      <c r="K627" s="21" t="n">
        <f aca="false">D627/(D627+E627)</f>
        <v>0.487012987012987</v>
      </c>
      <c r="L627" s="21" t="n">
        <f aca="false">AVERAGEIFS($K$2:$K$2705,$B$2:$B$2705,B627)</f>
        <v>0.499962340398679</v>
      </c>
      <c r="M627" s="21" t="n">
        <f aca="false">K627-L627</f>
        <v>-0.0129493533856924</v>
      </c>
      <c r="N627" s="21" t="n">
        <f aca="false">LN(J627)</f>
        <v>14.3451995445262</v>
      </c>
      <c r="O627" s="21" t="n">
        <f aca="false">AVERAGEIFS($N$2:$N$2705,$B$2:$B$2705,B627)</f>
        <v>13.7392868341989</v>
      </c>
      <c r="P627" s="21" t="n">
        <f aca="false">N627-O627</f>
        <v>0.605912710327312</v>
      </c>
      <c r="Q627" s="7" t="n">
        <v>0</v>
      </c>
      <c r="R627" s="3" t="n">
        <f aca="false">IF(AND(Q627=1,B627-_xlfn.MINIFS($B$2:$B$2705,$A$2:$A$2705,A627)&lt;10),1,0)</f>
        <v>0</v>
      </c>
      <c r="S627" s="7" t="n">
        <v>0</v>
      </c>
      <c r="T627" s="3" t="n">
        <f aca="false">_xlfn.MINIFS($B$2:$B$2705,$A$2:$A$2705,A627)</f>
        <v>1901</v>
      </c>
      <c r="U627" s="3" t="n">
        <f aca="false">B627-T627</f>
        <v>39</v>
      </c>
      <c r="V627" s="3" t="str">
        <f aca="false">INDEX(Pop_Inputs!$Q$2:$Q$29,MATCH(C627,Pop_Inputs!$A$2:$A$29,0))</f>
        <v>Midwest</v>
      </c>
      <c r="W627" s="30"/>
      <c r="X627" s="3" t="str">
        <f aca="false">IF(W627="","",LN(W627))</f>
        <v/>
      </c>
      <c r="Y627" s="3" t="str">
        <f aca="false">IF(X627="","",X627-AVERAGEIFS($X$2:$X$2705,$B$2:$B$2705,B627))</f>
        <v/>
      </c>
      <c r="Z627" s="21" t="n">
        <f aca="false">P627</f>
        <v>0.605912710327312</v>
      </c>
      <c r="AA627" s="3" t="n">
        <f aca="false">R627</f>
        <v>0</v>
      </c>
      <c r="AB627" s="21" t="n">
        <f aca="false">P627</f>
        <v>0.605912710327312</v>
      </c>
      <c r="AC627" s="3" t="str">
        <f aca="false">Y627</f>
        <v/>
      </c>
      <c r="AD627" s="3" t="n">
        <f aca="false">R627</f>
        <v>0</v>
      </c>
    </row>
    <row r="628" customFormat="false" ht="15" hidden="false" customHeight="true" outlineLevel="0" collapsed="false">
      <c r="A628" s="7" t="s">
        <v>65</v>
      </c>
      <c r="B628" s="7" t="n">
        <v>1940</v>
      </c>
      <c r="C628" s="7" t="s">
        <v>142</v>
      </c>
      <c r="D628" s="7" t="n">
        <v>82</v>
      </c>
      <c r="E628" s="7" t="n">
        <v>72</v>
      </c>
      <c r="F628" s="3" t="n">
        <f aca="false">COUNTIFS($B$2:$B$2705,B628,$C$2:$C$2705,C628)</f>
        <v>2</v>
      </c>
      <c r="G628" s="3" t="n">
        <f aca="false">MIN(INT((MIN(B628,2020)-1900)/10)+1,12)</f>
        <v>5</v>
      </c>
      <c r="H628" s="3" t="n">
        <f aca="false">(MIN(B628,2020)-1900-10*(G628-1))/10</f>
        <v>0</v>
      </c>
      <c r="I628" s="20" t="n">
        <f aca="false">EXP(LN(INDEX(Pop_Inputs!$B$2:$N$29,MATCH(C628,Pop_Inputs!$A$2:$A$29,0),G628))*(1-H628)+LN(INDEX(Pop_Inputs!$B$2:$N$29,MATCH(C628,Pop_Inputs!$A$2:$A$29,0),G628+1))*H628)</f>
        <v>3396808</v>
      </c>
      <c r="J628" s="20" t="n">
        <f aca="false">I628/F628</f>
        <v>1698404</v>
      </c>
      <c r="K628" s="21" t="n">
        <f aca="false">D628/(D628+E628)</f>
        <v>0.532467532467532</v>
      </c>
      <c r="L628" s="21" t="n">
        <f aca="false">AVERAGEIFS($K$2:$K$2705,$B$2:$B$2705,B628)</f>
        <v>0.499962340398679</v>
      </c>
      <c r="M628" s="21" t="n">
        <f aca="false">K628-L628</f>
        <v>0.0325051920688531</v>
      </c>
      <c r="N628" s="21" t="n">
        <f aca="false">LN(J628)</f>
        <v>14.3451995445262</v>
      </c>
      <c r="O628" s="21" t="n">
        <f aca="false">AVERAGEIFS($N$2:$N$2705,$B$2:$B$2705,B628)</f>
        <v>13.7392868341989</v>
      </c>
      <c r="P628" s="21" t="n">
        <f aca="false">N628-O628</f>
        <v>0.605912710327312</v>
      </c>
      <c r="Q628" s="7" t="n">
        <v>0</v>
      </c>
      <c r="R628" s="3" t="n">
        <f aca="false">IF(AND(Q628=1,B628-_xlfn.MINIFS($B$2:$B$2705,$A$2:$A$2705,A628)&lt;10),1,0)</f>
        <v>0</v>
      </c>
      <c r="S628" s="7" t="n">
        <v>0</v>
      </c>
      <c r="T628" s="3" t="n">
        <f aca="false">_xlfn.MINIFS($B$2:$B$2705,$A$2:$A$2705,A628)</f>
        <v>1901</v>
      </c>
      <c r="U628" s="3" t="n">
        <f aca="false">B628-T628</f>
        <v>39</v>
      </c>
      <c r="V628" s="3" t="str">
        <f aca="false">INDEX(Pop_Inputs!$Q$2:$Q$29,MATCH(C628,Pop_Inputs!$A$2:$A$29,0))</f>
        <v>Midwest</v>
      </c>
      <c r="W628" s="30"/>
      <c r="X628" s="3" t="str">
        <f aca="false">IF(W628="","",LN(W628))</f>
        <v/>
      </c>
      <c r="Y628" s="3" t="str">
        <f aca="false">IF(X628="","",X628-AVERAGEIFS($X$2:$X$2705,$B$2:$B$2705,B628))</f>
        <v/>
      </c>
      <c r="Z628" s="21" t="n">
        <f aca="false">P628</f>
        <v>0.605912710327312</v>
      </c>
      <c r="AA628" s="3" t="n">
        <f aca="false">R628</f>
        <v>0</v>
      </c>
      <c r="AB628" s="21" t="n">
        <f aca="false">P628</f>
        <v>0.605912710327312</v>
      </c>
      <c r="AC628" s="3" t="str">
        <f aca="false">Y628</f>
        <v/>
      </c>
      <c r="AD628" s="3" t="n">
        <f aca="false">R628</f>
        <v>0</v>
      </c>
    </row>
    <row r="629" customFormat="false" ht="15" hidden="false" customHeight="true" outlineLevel="0" collapsed="false">
      <c r="A629" s="7" t="s">
        <v>57</v>
      </c>
      <c r="B629" s="7" t="n">
        <v>1940</v>
      </c>
      <c r="C629" s="7" t="s">
        <v>143</v>
      </c>
      <c r="D629" s="7" t="n">
        <v>100</v>
      </c>
      <c r="E629" s="7" t="n">
        <v>53</v>
      </c>
      <c r="F629" s="3" t="n">
        <f aca="false">COUNTIFS($B$2:$B$2705,B629,$C$2:$C$2705,C629)</f>
        <v>1</v>
      </c>
      <c r="G629" s="3" t="n">
        <f aca="false">MIN(INT((MIN(B629,2020)-1900)/10)+1,12)</f>
        <v>5</v>
      </c>
      <c r="H629" s="3" t="n">
        <f aca="false">(MIN(B629,2020)-1900-10*(G629-1))/10</f>
        <v>0</v>
      </c>
      <c r="I629" s="20" t="n">
        <f aca="false">EXP(LN(INDEX(Pop_Inputs!$B$2:$N$29,MATCH(C629,Pop_Inputs!$A$2:$A$29,0),G629))*(1-H629)+LN(INDEX(Pop_Inputs!$B$2:$N$29,MATCH(C629,Pop_Inputs!$A$2:$A$29,0),G629+1))*H629)</f>
        <v>455610</v>
      </c>
      <c r="J629" s="20" t="n">
        <f aca="false">I629/F629</f>
        <v>455610</v>
      </c>
      <c r="K629" s="21" t="n">
        <f aca="false">D629/(D629+E629)</f>
        <v>0.65359477124183</v>
      </c>
      <c r="L629" s="21" t="n">
        <f aca="false">AVERAGEIFS($K$2:$K$2705,$B$2:$B$2705,B629)</f>
        <v>0.499962340398679</v>
      </c>
      <c r="M629" s="21" t="n">
        <f aca="false">K629-L629</f>
        <v>0.153632430843151</v>
      </c>
      <c r="N629" s="21" t="n">
        <f aca="false">LN(J629)</f>
        <v>13.0293924593924</v>
      </c>
      <c r="O629" s="21" t="n">
        <f aca="false">AVERAGEIFS($N$2:$N$2705,$B$2:$B$2705,B629)</f>
        <v>13.7392868341989</v>
      </c>
      <c r="P629" s="21" t="n">
        <f aca="false">N629-O629</f>
        <v>-0.709894374806469</v>
      </c>
      <c r="Q629" s="7" t="n">
        <v>0</v>
      </c>
      <c r="R629" s="3" t="n">
        <f aca="false">IF(AND(Q629=1,B629-_xlfn.MINIFS($B$2:$B$2705,$A$2:$A$2705,A629)&lt;10),1,0)</f>
        <v>0</v>
      </c>
      <c r="S629" s="7" t="n">
        <v>0</v>
      </c>
      <c r="T629" s="3" t="n">
        <f aca="false">_xlfn.MINIFS($B$2:$B$2705,$A$2:$A$2705,A629)</f>
        <v>1901</v>
      </c>
      <c r="U629" s="3" t="n">
        <f aca="false">B629-T629</f>
        <v>39</v>
      </c>
      <c r="V629" s="3" t="str">
        <f aca="false">INDEX(Pop_Inputs!$Q$2:$Q$29,MATCH(C629,Pop_Inputs!$A$2:$A$29,0))</f>
        <v>Midwest</v>
      </c>
      <c r="W629" s="30"/>
      <c r="X629" s="3" t="str">
        <f aca="false">IF(W629="","",LN(W629))</f>
        <v/>
      </c>
      <c r="Y629" s="3" t="str">
        <f aca="false">IF(X629="","",X629-AVERAGEIFS($X$2:$X$2705,$B$2:$B$2705,B629))</f>
        <v/>
      </c>
      <c r="Z629" s="21" t="n">
        <f aca="false">P629</f>
        <v>-0.709894374806469</v>
      </c>
      <c r="AA629" s="3" t="n">
        <f aca="false">R629</f>
        <v>0</v>
      </c>
      <c r="AB629" s="21" t="n">
        <f aca="false">P629</f>
        <v>-0.709894374806469</v>
      </c>
      <c r="AC629" s="3" t="str">
        <f aca="false">Y629</f>
        <v/>
      </c>
      <c r="AD629" s="3" t="n">
        <f aca="false">R629</f>
        <v>0</v>
      </c>
    </row>
    <row r="630" customFormat="false" ht="15" hidden="false" customHeight="true" outlineLevel="0" collapsed="false">
      <c r="A630" s="7" t="s">
        <v>66</v>
      </c>
      <c r="B630" s="7" t="n">
        <v>1940</v>
      </c>
      <c r="C630" s="7" t="s">
        <v>151</v>
      </c>
      <c r="D630" s="7" t="n">
        <v>89</v>
      </c>
      <c r="E630" s="7" t="n">
        <v>65</v>
      </c>
      <c r="F630" s="3" t="n">
        <f aca="false">COUNTIFS($B$2:$B$2705,B630,$C$2:$C$2705,C630)</f>
        <v>1</v>
      </c>
      <c r="G630" s="3" t="n">
        <f aca="false">MIN(INT((MIN(B630,2020)-1900)/10)+1,12)</f>
        <v>5</v>
      </c>
      <c r="H630" s="3" t="n">
        <f aca="false">(MIN(B630,2020)-1900-10*(G630-1))/10</f>
        <v>0</v>
      </c>
      <c r="I630" s="20" t="n">
        <f aca="false">EXP(LN(INDEX(Pop_Inputs!$B$2:$N$29,MATCH(C630,Pop_Inputs!$A$2:$A$29,0),G630))*(1-H630)+LN(INDEX(Pop_Inputs!$B$2:$N$29,MATCH(C630,Pop_Inputs!$A$2:$A$29,0),G630+1))*H630)</f>
        <v>878336</v>
      </c>
      <c r="J630" s="20" t="n">
        <f aca="false">I630/F630</f>
        <v>878336</v>
      </c>
      <c r="K630" s="21" t="n">
        <f aca="false">D630/(D630+E630)</f>
        <v>0.577922077922078</v>
      </c>
      <c r="L630" s="21" t="n">
        <f aca="false">AVERAGEIFS($K$2:$K$2705,$B$2:$B$2705,B630)</f>
        <v>0.499962340398679</v>
      </c>
      <c r="M630" s="21" t="n">
        <f aca="false">K630-L630</f>
        <v>0.0779597375233986</v>
      </c>
      <c r="N630" s="21" t="n">
        <f aca="false">LN(J630)</f>
        <v>13.685784487338</v>
      </c>
      <c r="O630" s="21" t="n">
        <f aca="false">AVERAGEIFS($N$2:$N$2705,$B$2:$B$2705,B630)</f>
        <v>13.7392868341989</v>
      </c>
      <c r="P630" s="21" t="n">
        <f aca="false">N630-O630</f>
        <v>-0.0535023468608831</v>
      </c>
      <c r="Q630" s="7" t="n">
        <v>0</v>
      </c>
      <c r="R630" s="3" t="n">
        <f aca="false">IF(AND(Q630=1,B630-_xlfn.MINIFS($B$2:$B$2705,$A$2:$A$2705,A630)&lt;10),1,0)</f>
        <v>0</v>
      </c>
      <c r="S630" s="7" t="n">
        <v>0</v>
      </c>
      <c r="T630" s="3" t="n">
        <f aca="false">_xlfn.MINIFS($B$2:$B$2705,$A$2:$A$2705,A630)</f>
        <v>1901</v>
      </c>
      <c r="U630" s="3" t="n">
        <f aca="false">B630-T630</f>
        <v>39</v>
      </c>
      <c r="V630" s="3" t="str">
        <f aca="false">INDEX(Pop_Inputs!$Q$2:$Q$29,MATCH(C630,Pop_Inputs!$A$2:$A$29,0))</f>
        <v>Midwest</v>
      </c>
      <c r="W630" s="30"/>
      <c r="X630" s="3" t="str">
        <f aca="false">IF(W630="","",LN(W630))</f>
        <v/>
      </c>
      <c r="Y630" s="3" t="str">
        <f aca="false">IF(X630="","",X630-AVERAGEIFS($X$2:$X$2705,$B$2:$B$2705,B630))</f>
        <v/>
      </c>
      <c r="Z630" s="21" t="n">
        <f aca="false">P630</f>
        <v>-0.0535023468608831</v>
      </c>
      <c r="AA630" s="3" t="n">
        <f aca="false">R630</f>
        <v>0</v>
      </c>
      <c r="AB630" s="21" t="n">
        <f aca="false">P630</f>
        <v>-0.0535023468608831</v>
      </c>
      <c r="AC630" s="3" t="str">
        <f aca="false">Y630</f>
        <v/>
      </c>
      <c r="AD630" s="3" t="n">
        <f aca="false">R630</f>
        <v>0</v>
      </c>
    </row>
    <row r="631" customFormat="false" ht="15" hidden="false" customHeight="true" outlineLevel="0" collapsed="false">
      <c r="A631" s="7" t="s">
        <v>67</v>
      </c>
      <c r="B631" s="7" t="n">
        <v>1940</v>
      </c>
      <c r="C631" s="7" t="s">
        <v>152</v>
      </c>
      <c r="D631" s="7" t="n">
        <v>90</v>
      </c>
      <c r="E631" s="7" t="n">
        <v>64</v>
      </c>
      <c r="F631" s="3" t="n">
        <f aca="false">COUNTIFS($B$2:$B$2705,B631,$C$2:$C$2705,C631)</f>
        <v>1</v>
      </c>
      <c r="G631" s="3" t="n">
        <f aca="false">MIN(INT((MIN(B631,2020)-1900)/10)+1,12)</f>
        <v>5</v>
      </c>
      <c r="H631" s="3" t="n">
        <f aca="false">(MIN(B631,2020)-1900-10*(G631-1))/10</f>
        <v>0</v>
      </c>
      <c r="I631" s="20" t="n">
        <f aca="false">EXP(LN(INDEX(Pop_Inputs!$B$2:$N$29,MATCH(C631,Pop_Inputs!$A$2:$A$29,0),G631))*(1-H631)+LN(INDEX(Pop_Inputs!$B$2:$N$29,MATCH(C631,Pop_Inputs!$A$2:$A$29,0),G631+1))*H631)</f>
        <v>1623452</v>
      </c>
      <c r="J631" s="20" t="n">
        <f aca="false">I631/F631</f>
        <v>1623452</v>
      </c>
      <c r="K631" s="21" t="n">
        <f aca="false">D631/(D631+E631)</f>
        <v>0.584415584415584</v>
      </c>
      <c r="L631" s="21" t="n">
        <f aca="false">AVERAGEIFS($K$2:$K$2705,$B$2:$B$2705,B631)</f>
        <v>0.499962340398679</v>
      </c>
      <c r="M631" s="21" t="n">
        <f aca="false">K631-L631</f>
        <v>0.084453244016905</v>
      </c>
      <c r="N631" s="21" t="n">
        <f aca="false">LN(J631)</f>
        <v>14.300065304335</v>
      </c>
      <c r="O631" s="21" t="n">
        <f aca="false">AVERAGEIFS($N$2:$N$2705,$B$2:$B$2705,B631)</f>
        <v>13.7392868341989</v>
      </c>
      <c r="P631" s="21" t="n">
        <f aca="false">N631-O631</f>
        <v>0.560778470136064</v>
      </c>
      <c r="Q631" s="7" t="n">
        <v>0</v>
      </c>
      <c r="R631" s="3" t="n">
        <f aca="false">IF(AND(Q631=1,B631-_xlfn.MINIFS($B$2:$B$2705,$A$2:$A$2705,A631)&lt;10),1,0)</f>
        <v>0</v>
      </c>
      <c r="S631" s="7" t="n">
        <v>0</v>
      </c>
      <c r="T631" s="3" t="n">
        <f aca="false">_xlfn.MINIFS($B$2:$B$2705,$A$2:$A$2705,A631)</f>
        <v>1901</v>
      </c>
      <c r="U631" s="3" t="n">
        <f aca="false">B631-T631</f>
        <v>39</v>
      </c>
      <c r="V631" s="3" t="str">
        <f aca="false">INDEX(Pop_Inputs!$Q$2:$Q$29,MATCH(C631,Pop_Inputs!$A$2:$A$29,0))</f>
        <v>Midwest</v>
      </c>
      <c r="W631" s="30"/>
      <c r="X631" s="3" t="str">
        <f aca="false">IF(W631="","",LN(W631))</f>
        <v/>
      </c>
      <c r="Y631" s="3" t="str">
        <f aca="false">IF(X631="","",X631-AVERAGEIFS($X$2:$X$2705,$B$2:$B$2705,B631))</f>
        <v/>
      </c>
      <c r="Z631" s="21" t="n">
        <f aca="false">P631</f>
        <v>0.560778470136064</v>
      </c>
      <c r="AA631" s="3" t="n">
        <f aca="false">R631</f>
        <v>0</v>
      </c>
      <c r="AB631" s="21" t="n">
        <f aca="false">P631</f>
        <v>0.560778470136064</v>
      </c>
      <c r="AC631" s="3" t="str">
        <f aca="false">Y631</f>
        <v/>
      </c>
      <c r="AD631" s="3" t="n">
        <f aca="false">R631</f>
        <v>0</v>
      </c>
    </row>
    <row r="632" customFormat="false" ht="15" hidden="false" customHeight="true" outlineLevel="0" collapsed="false">
      <c r="A632" s="7" t="s">
        <v>62</v>
      </c>
      <c r="B632" s="7" t="n">
        <v>1940</v>
      </c>
      <c r="C632" s="7" t="s">
        <v>154</v>
      </c>
      <c r="D632" s="7" t="n">
        <v>88</v>
      </c>
      <c r="E632" s="7" t="n">
        <v>65</v>
      </c>
      <c r="F632" s="3" t="n">
        <f aca="false">COUNTIFS($B$2:$B$2705,B632,$C$2:$C$2705,C632)</f>
        <v>3</v>
      </c>
      <c r="G632" s="3" t="n">
        <f aca="false">MIN(INT((MIN(B632,2020)-1900)/10)+1,12)</f>
        <v>5</v>
      </c>
      <c r="H632" s="3" t="n">
        <f aca="false">(MIN(B632,2020)-1900-10*(G632-1))/10</f>
        <v>0</v>
      </c>
      <c r="I632" s="20" t="n">
        <f aca="false">EXP(LN(INDEX(Pop_Inputs!$B$2:$N$29,MATCH(C632,Pop_Inputs!$A$2:$A$29,0),G632))*(1-H632)+LN(INDEX(Pop_Inputs!$B$2:$N$29,MATCH(C632,Pop_Inputs!$A$2:$A$29,0),G632+1))*H632)</f>
        <v>7454995.00000001</v>
      </c>
      <c r="J632" s="20" t="n">
        <f aca="false">I632/F632</f>
        <v>2484998.33333334</v>
      </c>
      <c r="K632" s="21" t="n">
        <f aca="false">D632/(D632+E632)</f>
        <v>0.57516339869281</v>
      </c>
      <c r="L632" s="21" t="n">
        <f aca="false">AVERAGEIFS($K$2:$K$2705,$B$2:$B$2705,B632)</f>
        <v>0.499962340398679</v>
      </c>
      <c r="M632" s="21" t="n">
        <f aca="false">K632-L632</f>
        <v>0.075201058294131</v>
      </c>
      <c r="N632" s="21" t="n">
        <f aca="false">LN(J632)</f>
        <v>14.7257825468218</v>
      </c>
      <c r="O632" s="21" t="n">
        <f aca="false">AVERAGEIFS($N$2:$N$2705,$B$2:$B$2705,B632)</f>
        <v>13.7392868341989</v>
      </c>
      <c r="P632" s="21" t="n">
        <f aca="false">N632-O632</f>
        <v>0.986495712622936</v>
      </c>
      <c r="Q632" s="7" t="n">
        <v>0</v>
      </c>
      <c r="R632" s="3" t="n">
        <f aca="false">IF(AND(Q632=1,B632-_xlfn.MINIFS($B$2:$B$2705,$A$2:$A$2705,A632)&lt;10),1,0)</f>
        <v>0</v>
      </c>
      <c r="S632" s="7" t="n">
        <v>0</v>
      </c>
      <c r="T632" s="3" t="n">
        <f aca="false">_xlfn.MINIFS($B$2:$B$2705,$A$2:$A$2705,A632)</f>
        <v>1901</v>
      </c>
      <c r="U632" s="3" t="n">
        <f aca="false">B632-T632</f>
        <v>39</v>
      </c>
      <c r="V632" s="3" t="str">
        <f aca="false">INDEX(Pop_Inputs!$Q$2:$Q$29,MATCH(C632,Pop_Inputs!$A$2:$A$29,0))</f>
        <v>Northeast</v>
      </c>
      <c r="W632" s="30"/>
      <c r="X632" s="3" t="str">
        <f aca="false">IF(W632="","",LN(W632))</f>
        <v/>
      </c>
      <c r="Y632" s="3" t="str">
        <f aca="false">IF(X632="","",X632-AVERAGEIFS($X$2:$X$2705,$B$2:$B$2705,B632))</f>
        <v/>
      </c>
      <c r="Z632" s="21" t="n">
        <f aca="false">P632</f>
        <v>0.986495712622936</v>
      </c>
      <c r="AA632" s="3" t="n">
        <f aca="false">R632</f>
        <v>0</v>
      </c>
      <c r="AB632" s="21" t="n">
        <f aca="false">P632</f>
        <v>0.986495712622936</v>
      </c>
      <c r="AC632" s="3" t="str">
        <f aca="false">Y632</f>
        <v/>
      </c>
      <c r="AD632" s="3" t="n">
        <f aca="false">R632</f>
        <v>0</v>
      </c>
    </row>
    <row r="633" customFormat="false" ht="15" hidden="false" customHeight="true" outlineLevel="0" collapsed="false">
      <c r="A633" s="7" t="s">
        <v>68</v>
      </c>
      <c r="B633" s="7" t="n">
        <v>1940</v>
      </c>
      <c r="C633" s="7" t="s">
        <v>160</v>
      </c>
      <c r="D633" s="7" t="n">
        <v>64</v>
      </c>
      <c r="E633" s="7" t="n">
        <v>90</v>
      </c>
      <c r="F633" s="3" t="n">
        <f aca="false">COUNTIFS($B$2:$B$2705,B633,$C$2:$C$2705,C633)</f>
        <v>1</v>
      </c>
      <c r="G633" s="3" t="n">
        <f aca="false">MIN(INT((MIN(B633,2020)-1900)/10)+1,12)</f>
        <v>5</v>
      </c>
      <c r="H633" s="3" t="n">
        <f aca="false">(MIN(B633,2020)-1900-10*(G633-1))/10</f>
        <v>0</v>
      </c>
      <c r="I633" s="20" t="n">
        <f aca="false">EXP(LN(INDEX(Pop_Inputs!$B$2:$N$29,MATCH(C633,Pop_Inputs!$A$2:$A$29,0),G633))*(1-H633)+LN(INDEX(Pop_Inputs!$B$2:$N$29,MATCH(C633,Pop_Inputs!$A$2:$A$29,0),G633+1))*H633)</f>
        <v>663091</v>
      </c>
      <c r="J633" s="20" t="n">
        <f aca="false">I633/F633</f>
        <v>663091</v>
      </c>
      <c r="K633" s="21" t="n">
        <f aca="false">D633/(D633+E633)</f>
        <v>0.415584415584416</v>
      </c>
      <c r="L633" s="21" t="n">
        <f aca="false">AVERAGEIFS($K$2:$K$2705,$B$2:$B$2705,B633)</f>
        <v>0.499962340398679</v>
      </c>
      <c r="M633" s="21" t="n">
        <f aca="false">K633-L633</f>
        <v>-0.0843779248142638</v>
      </c>
      <c r="N633" s="21" t="n">
        <f aca="false">LN(J633)</f>
        <v>13.4046675146514</v>
      </c>
      <c r="O633" s="21" t="n">
        <f aca="false">AVERAGEIFS($N$2:$N$2705,$B$2:$B$2705,B633)</f>
        <v>13.7392868341989</v>
      </c>
      <c r="P633" s="21" t="n">
        <f aca="false">N633-O633</f>
        <v>-0.334619319547526</v>
      </c>
      <c r="Q633" s="7" t="n">
        <v>0</v>
      </c>
      <c r="R633" s="3" t="n">
        <f aca="false">IF(AND(Q633=1,B633-_xlfn.MINIFS($B$2:$B$2705,$A$2:$A$2705,A633)&lt;10),1,0)</f>
        <v>0</v>
      </c>
      <c r="S633" s="7" t="n">
        <v>0</v>
      </c>
      <c r="T633" s="3" t="n">
        <f aca="false">_xlfn.MINIFS($B$2:$B$2705,$A$2:$A$2705,A633)</f>
        <v>1901</v>
      </c>
      <c r="U633" s="3" t="n">
        <f aca="false">B633-T633</f>
        <v>39</v>
      </c>
      <c r="V633" s="3" t="str">
        <f aca="false">INDEX(Pop_Inputs!$Q$2:$Q$29,MATCH(C633,Pop_Inputs!$A$2:$A$29,0))</f>
        <v>South</v>
      </c>
      <c r="W633" s="30"/>
      <c r="X633" s="3" t="str">
        <f aca="false">IF(W633="","",LN(W633))</f>
        <v/>
      </c>
      <c r="Y633" s="3" t="str">
        <f aca="false">IF(X633="","",X633-AVERAGEIFS($X$2:$X$2705,$B$2:$B$2705,B633))</f>
        <v/>
      </c>
      <c r="Z633" s="21" t="n">
        <f aca="false">P633</f>
        <v>-0.334619319547526</v>
      </c>
      <c r="AA633" s="3" t="n">
        <f aca="false">R633</f>
        <v>0</v>
      </c>
      <c r="AB633" s="21" t="n">
        <f aca="false">P633</f>
        <v>-0.334619319547526</v>
      </c>
      <c r="AC633" s="3" t="str">
        <f aca="false">Y633</f>
        <v/>
      </c>
      <c r="AD633" s="3" t="n">
        <f aca="false">R633</f>
        <v>0</v>
      </c>
    </row>
    <row r="634" customFormat="false" ht="15" hidden="false" customHeight="true" outlineLevel="0" collapsed="false">
      <c r="A634" s="7" t="s">
        <v>70</v>
      </c>
      <c r="B634" s="7" t="n">
        <v>1940</v>
      </c>
      <c r="C634" s="7" t="s">
        <v>154</v>
      </c>
      <c r="D634" s="7" t="n">
        <v>88</v>
      </c>
      <c r="E634" s="7" t="n">
        <v>66</v>
      </c>
      <c r="F634" s="3" t="n">
        <f aca="false">COUNTIFS($B$2:$B$2705,B634,$C$2:$C$2705,C634)</f>
        <v>3</v>
      </c>
      <c r="G634" s="3" t="n">
        <f aca="false">MIN(INT((MIN(B634,2020)-1900)/10)+1,12)</f>
        <v>5</v>
      </c>
      <c r="H634" s="3" t="n">
        <f aca="false">(MIN(B634,2020)-1900-10*(G634-1))/10</f>
        <v>0</v>
      </c>
      <c r="I634" s="20" t="n">
        <f aca="false">EXP(LN(INDEX(Pop_Inputs!$B$2:$N$29,MATCH(C634,Pop_Inputs!$A$2:$A$29,0),G634))*(1-H634)+LN(INDEX(Pop_Inputs!$B$2:$N$29,MATCH(C634,Pop_Inputs!$A$2:$A$29,0),G634+1))*H634)</f>
        <v>7454995.00000001</v>
      </c>
      <c r="J634" s="20" t="n">
        <f aca="false">I634/F634</f>
        <v>2484998.33333334</v>
      </c>
      <c r="K634" s="21" t="n">
        <f aca="false">D634/(D634+E634)</f>
        <v>0.571428571428571</v>
      </c>
      <c r="L634" s="21" t="n">
        <f aca="false">AVERAGEIFS($K$2:$K$2705,$B$2:$B$2705,B634)</f>
        <v>0.499962340398679</v>
      </c>
      <c r="M634" s="21" t="n">
        <f aca="false">K634-L634</f>
        <v>0.071466231029892</v>
      </c>
      <c r="N634" s="21" t="n">
        <f aca="false">LN(J634)</f>
        <v>14.7257825468218</v>
      </c>
      <c r="O634" s="21" t="n">
        <f aca="false">AVERAGEIFS($N$2:$N$2705,$B$2:$B$2705,B634)</f>
        <v>13.7392868341989</v>
      </c>
      <c r="P634" s="21" t="n">
        <f aca="false">N634-O634</f>
        <v>0.986495712622936</v>
      </c>
      <c r="Q634" s="7" t="n">
        <v>0</v>
      </c>
      <c r="R634" s="3" t="n">
        <f aca="false">IF(AND(Q634=1,B634-_xlfn.MINIFS($B$2:$B$2705,$A$2:$A$2705,A634)&lt;10),1,0)</f>
        <v>0</v>
      </c>
      <c r="S634" s="7" t="n">
        <v>1</v>
      </c>
      <c r="T634" s="3" t="n">
        <f aca="false">_xlfn.MINIFS($B$2:$B$2705,$A$2:$A$2705,A634)</f>
        <v>1903</v>
      </c>
      <c r="U634" s="3" t="n">
        <f aca="false">B634-T634</f>
        <v>37</v>
      </c>
      <c r="V634" s="3" t="str">
        <f aca="false">INDEX(Pop_Inputs!$Q$2:$Q$29,MATCH(C634,Pop_Inputs!$A$2:$A$29,0))</f>
        <v>Northeast</v>
      </c>
      <c r="W634" s="30"/>
      <c r="X634" s="3" t="str">
        <f aca="false">IF(W634="","",LN(W634))</f>
        <v/>
      </c>
      <c r="Y634" s="3" t="str">
        <f aca="false">IF(X634="","",X634-AVERAGEIFS($X$2:$X$2705,$B$2:$B$2705,B634))</f>
        <v/>
      </c>
      <c r="Z634" s="21" t="n">
        <f aca="false">P634</f>
        <v>0.986495712622936</v>
      </c>
      <c r="AA634" s="3" t="n">
        <f aca="false">R634</f>
        <v>0</v>
      </c>
      <c r="AB634" s="21" t="n">
        <f aca="false">P634</f>
        <v>0.986495712622936</v>
      </c>
      <c r="AC634" s="3" t="str">
        <f aca="false">Y634</f>
        <v/>
      </c>
      <c r="AD634" s="3" t="n">
        <f aca="false">R634</f>
        <v>0</v>
      </c>
    </row>
    <row r="635" customFormat="false" ht="15" hidden="false" customHeight="true" outlineLevel="0" collapsed="false">
      <c r="A635" s="7" t="s">
        <v>69</v>
      </c>
      <c r="B635" s="7" t="n">
        <v>1940</v>
      </c>
      <c r="C635" s="7" t="s">
        <v>146</v>
      </c>
      <c r="D635" s="7" t="n">
        <v>54</v>
      </c>
      <c r="E635" s="7" t="n">
        <v>100</v>
      </c>
      <c r="F635" s="3" t="n">
        <f aca="false">COUNTIFS($B$2:$B$2705,B635,$C$2:$C$2705,C635)</f>
        <v>2</v>
      </c>
      <c r="G635" s="3" t="n">
        <f aca="false">MIN(INT((MIN(B635,2020)-1900)/10)+1,12)</f>
        <v>5</v>
      </c>
      <c r="H635" s="3" t="n">
        <f aca="false">(MIN(B635,2020)-1900-10*(G635-1))/10</f>
        <v>0</v>
      </c>
      <c r="I635" s="20" t="n">
        <f aca="false">EXP(LN(INDEX(Pop_Inputs!$B$2:$N$29,MATCH(C635,Pop_Inputs!$A$2:$A$29,0),G635))*(1-H635)+LN(INDEX(Pop_Inputs!$B$2:$N$29,MATCH(C635,Pop_Inputs!$A$2:$A$29,0),G635+1))*H635)</f>
        <v>1931334</v>
      </c>
      <c r="J635" s="20" t="n">
        <f aca="false">I635/F635</f>
        <v>965667.000000001</v>
      </c>
      <c r="K635" s="21" t="n">
        <f aca="false">D635/(D635+E635)</f>
        <v>0.350649350649351</v>
      </c>
      <c r="L635" s="21" t="n">
        <f aca="false">AVERAGEIFS($K$2:$K$2705,$B$2:$B$2705,B635)</f>
        <v>0.499962340398679</v>
      </c>
      <c r="M635" s="21" t="n">
        <f aca="false">K635-L635</f>
        <v>-0.149312989749329</v>
      </c>
      <c r="N635" s="21" t="n">
        <f aca="false">LN(J635)</f>
        <v>13.780574333268</v>
      </c>
      <c r="O635" s="21" t="n">
        <f aca="false">AVERAGEIFS($N$2:$N$2705,$B$2:$B$2705,B635)</f>
        <v>13.7392868341989</v>
      </c>
      <c r="P635" s="21" t="n">
        <f aca="false">N635-O635</f>
        <v>0.0412874990690977</v>
      </c>
      <c r="Q635" s="7" t="n">
        <v>0</v>
      </c>
      <c r="R635" s="3" t="n">
        <f aca="false">IF(AND(Q635=1,B635-_xlfn.MINIFS($B$2:$B$2705,$A$2:$A$2705,A635)&lt;10),1,0)</f>
        <v>0</v>
      </c>
      <c r="S635" s="7" t="n">
        <v>0</v>
      </c>
      <c r="T635" s="3" t="n">
        <f aca="false">_xlfn.MINIFS($B$2:$B$2705,$A$2:$A$2705,A635)</f>
        <v>1901</v>
      </c>
      <c r="U635" s="3" t="n">
        <f aca="false">B635-T635</f>
        <v>39</v>
      </c>
      <c r="V635" s="3" t="str">
        <f aca="false">INDEX(Pop_Inputs!$Q$2:$Q$29,MATCH(C635,Pop_Inputs!$A$2:$A$29,0))</f>
        <v>Northeast</v>
      </c>
      <c r="W635" s="30"/>
      <c r="X635" s="3" t="str">
        <f aca="false">IF(W635="","",LN(W635))</f>
        <v/>
      </c>
      <c r="Y635" s="3" t="str">
        <f aca="false">IF(X635="","",X635-AVERAGEIFS($X$2:$X$2705,$B$2:$B$2705,B635))</f>
        <v/>
      </c>
      <c r="Z635" s="21" t="n">
        <f aca="false">P635</f>
        <v>0.0412874990690977</v>
      </c>
      <c r="AA635" s="3" t="n">
        <f aca="false">R635</f>
        <v>0</v>
      </c>
      <c r="AB635" s="21" t="n">
        <f aca="false">P635</f>
        <v>0.0412874990690977</v>
      </c>
      <c r="AC635" s="3" t="str">
        <f aca="false">Y635</f>
        <v/>
      </c>
      <c r="AD635" s="3" t="n">
        <f aca="false">R635</f>
        <v>0</v>
      </c>
    </row>
    <row r="636" customFormat="false" ht="15" hidden="false" customHeight="true" outlineLevel="0" collapsed="false">
      <c r="A636" s="7" t="s">
        <v>60</v>
      </c>
      <c r="B636" s="7" t="n">
        <v>1940</v>
      </c>
      <c r="C636" s="7" t="s">
        <v>146</v>
      </c>
      <c r="D636" s="7" t="n">
        <v>50</v>
      </c>
      <c r="E636" s="7" t="n">
        <v>103</v>
      </c>
      <c r="F636" s="3" t="n">
        <f aca="false">COUNTIFS($B$2:$B$2705,B636,$C$2:$C$2705,C636)</f>
        <v>2</v>
      </c>
      <c r="G636" s="3" t="n">
        <f aca="false">MIN(INT((MIN(B636,2020)-1900)/10)+1,12)</f>
        <v>5</v>
      </c>
      <c r="H636" s="3" t="n">
        <f aca="false">(MIN(B636,2020)-1900-10*(G636-1))/10</f>
        <v>0</v>
      </c>
      <c r="I636" s="20" t="n">
        <f aca="false">EXP(LN(INDEX(Pop_Inputs!$B$2:$N$29,MATCH(C636,Pop_Inputs!$A$2:$A$29,0),G636))*(1-H636)+LN(INDEX(Pop_Inputs!$B$2:$N$29,MATCH(C636,Pop_Inputs!$A$2:$A$29,0),G636+1))*H636)</f>
        <v>1931334</v>
      </c>
      <c r="J636" s="20" t="n">
        <f aca="false">I636/F636</f>
        <v>965667.000000001</v>
      </c>
      <c r="K636" s="21" t="n">
        <f aca="false">D636/(D636+E636)</f>
        <v>0.326797385620915</v>
      </c>
      <c r="L636" s="21" t="n">
        <f aca="false">AVERAGEIFS($K$2:$K$2705,$B$2:$B$2705,B636)</f>
        <v>0.499962340398679</v>
      </c>
      <c r="M636" s="21" t="n">
        <f aca="false">K636-L636</f>
        <v>-0.173164954777764</v>
      </c>
      <c r="N636" s="21" t="n">
        <f aca="false">LN(J636)</f>
        <v>13.780574333268</v>
      </c>
      <c r="O636" s="21" t="n">
        <f aca="false">AVERAGEIFS($N$2:$N$2705,$B$2:$B$2705,B636)</f>
        <v>13.7392868341989</v>
      </c>
      <c r="P636" s="21" t="n">
        <f aca="false">N636-O636</f>
        <v>0.0412874990690977</v>
      </c>
      <c r="Q636" s="7" t="n">
        <v>0</v>
      </c>
      <c r="R636" s="3" t="n">
        <f aca="false">IF(AND(Q636=1,B636-_xlfn.MINIFS($B$2:$B$2705,$A$2:$A$2705,A636)&lt;10),1,0)</f>
        <v>0</v>
      </c>
      <c r="S636" s="7" t="n">
        <v>0</v>
      </c>
      <c r="T636" s="3" t="n">
        <f aca="false">_xlfn.MINIFS($B$2:$B$2705,$A$2:$A$2705,A636)</f>
        <v>1901</v>
      </c>
      <c r="U636" s="3" t="n">
        <f aca="false">B636-T636</f>
        <v>39</v>
      </c>
      <c r="V636" s="3" t="str">
        <f aca="false">INDEX(Pop_Inputs!$Q$2:$Q$29,MATCH(C636,Pop_Inputs!$A$2:$A$29,0))</f>
        <v>Northeast</v>
      </c>
      <c r="W636" s="30"/>
      <c r="X636" s="3" t="str">
        <f aca="false">IF(W636="","",LN(W636))</f>
        <v/>
      </c>
      <c r="Y636" s="3" t="str">
        <f aca="false">IF(X636="","",X636-AVERAGEIFS($X$2:$X$2705,$B$2:$B$2705,B636))</f>
        <v/>
      </c>
      <c r="Z636" s="21" t="n">
        <f aca="false">P636</f>
        <v>0.0412874990690977</v>
      </c>
      <c r="AA636" s="3" t="n">
        <f aca="false">R636</f>
        <v>0</v>
      </c>
      <c r="AB636" s="21" t="n">
        <f aca="false">P636</f>
        <v>0.0412874990690977</v>
      </c>
      <c r="AC636" s="3" t="str">
        <f aca="false">Y636</f>
        <v/>
      </c>
      <c r="AD636" s="3" t="n">
        <f aca="false">R636</f>
        <v>0</v>
      </c>
    </row>
    <row r="637" customFormat="false" ht="15" hidden="false" customHeight="true" outlineLevel="0" collapsed="false">
      <c r="A637" s="7" t="s">
        <v>58</v>
      </c>
      <c r="B637" s="7" t="n">
        <v>1940</v>
      </c>
      <c r="C637" s="7" t="s">
        <v>144</v>
      </c>
      <c r="D637" s="7" t="n">
        <v>78</v>
      </c>
      <c r="E637" s="7" t="n">
        <v>76</v>
      </c>
      <c r="F637" s="3" t="n">
        <f aca="false">COUNTIFS($B$2:$B$2705,B637,$C$2:$C$2705,C637)</f>
        <v>1</v>
      </c>
      <c r="G637" s="3" t="n">
        <f aca="false">MIN(INT((MIN(B637,2020)-1900)/10)+1,12)</f>
        <v>5</v>
      </c>
      <c r="H637" s="3" t="n">
        <f aca="false">(MIN(B637,2020)-1900-10*(G637-1))/10</f>
        <v>0</v>
      </c>
      <c r="I637" s="20" t="n">
        <f aca="false">EXP(LN(INDEX(Pop_Inputs!$B$2:$N$29,MATCH(C637,Pop_Inputs!$A$2:$A$29,0),G637))*(1-H637)+LN(INDEX(Pop_Inputs!$B$2:$N$29,MATCH(C637,Pop_Inputs!$A$2:$A$29,0),G637+1))*H637)</f>
        <v>671659.000000001</v>
      </c>
      <c r="J637" s="20" t="n">
        <f aca="false">I637/F637</f>
        <v>671659.000000001</v>
      </c>
      <c r="K637" s="21" t="n">
        <f aca="false">D637/(D637+E637)</f>
        <v>0.506493506493506</v>
      </c>
      <c r="L637" s="21" t="n">
        <f aca="false">AVERAGEIFS($K$2:$K$2705,$B$2:$B$2705,B637)</f>
        <v>0.499962340398679</v>
      </c>
      <c r="M637" s="21" t="n">
        <f aca="false">K637-L637</f>
        <v>0.00653116609482707</v>
      </c>
      <c r="N637" s="21" t="n">
        <f aca="false">LN(J637)</f>
        <v>13.4175060502376</v>
      </c>
      <c r="O637" s="21" t="n">
        <f aca="false">AVERAGEIFS($N$2:$N$2705,$B$2:$B$2705,B637)</f>
        <v>13.7392868341989</v>
      </c>
      <c r="P637" s="21" t="n">
        <f aca="false">N637-O637</f>
        <v>-0.321780783961287</v>
      </c>
      <c r="Q637" s="7" t="n">
        <v>0</v>
      </c>
      <c r="R637" s="3" t="n">
        <f aca="false">IF(AND(Q637=1,B637-_xlfn.MINIFS($B$2:$B$2705,$A$2:$A$2705,A637)&lt;10),1,0)</f>
        <v>0</v>
      </c>
      <c r="S637" s="7" t="n">
        <v>0</v>
      </c>
      <c r="T637" s="3" t="n">
        <f aca="false">_xlfn.MINIFS($B$2:$B$2705,$A$2:$A$2705,A637)</f>
        <v>1901</v>
      </c>
      <c r="U637" s="3" t="n">
        <f aca="false">B637-T637</f>
        <v>39</v>
      </c>
      <c r="V637" s="3" t="str">
        <f aca="false">INDEX(Pop_Inputs!$Q$2:$Q$29,MATCH(C637,Pop_Inputs!$A$2:$A$29,0))</f>
        <v>Northeast</v>
      </c>
      <c r="W637" s="30"/>
      <c r="X637" s="3" t="str">
        <f aca="false">IF(W637="","",LN(W637))</f>
        <v/>
      </c>
      <c r="Y637" s="3" t="str">
        <f aca="false">IF(X637="","",X637-AVERAGEIFS($X$2:$X$2705,$B$2:$B$2705,B637))</f>
        <v/>
      </c>
      <c r="Z637" s="21" t="n">
        <f aca="false">P637</f>
        <v>-0.321780783961287</v>
      </c>
      <c r="AA637" s="3" t="n">
        <f aca="false">R637</f>
        <v>0</v>
      </c>
      <c r="AB637" s="21" t="n">
        <f aca="false">P637</f>
        <v>-0.321780783961287</v>
      </c>
      <c r="AC637" s="3" t="str">
        <f aca="false">Y637</f>
        <v/>
      </c>
      <c r="AD637" s="3" t="n">
        <f aca="false">R637</f>
        <v>0</v>
      </c>
    </row>
    <row r="638" customFormat="false" ht="15" hidden="false" customHeight="true" outlineLevel="0" collapsed="false">
      <c r="A638" s="7" t="s">
        <v>61</v>
      </c>
      <c r="B638" s="7" t="n">
        <v>1940</v>
      </c>
      <c r="C638" s="7" t="s">
        <v>154</v>
      </c>
      <c r="D638" s="7" t="n">
        <v>72</v>
      </c>
      <c r="E638" s="7" t="n">
        <v>80</v>
      </c>
      <c r="F638" s="3" t="n">
        <f aca="false">COUNTIFS($B$2:$B$2705,B638,$C$2:$C$2705,C638)</f>
        <v>3</v>
      </c>
      <c r="G638" s="3" t="n">
        <f aca="false">MIN(INT((MIN(B638,2020)-1900)/10)+1,12)</f>
        <v>5</v>
      </c>
      <c r="H638" s="3" t="n">
        <f aca="false">(MIN(B638,2020)-1900-10*(G638-1))/10</f>
        <v>0</v>
      </c>
      <c r="I638" s="20" t="n">
        <f aca="false">EXP(LN(INDEX(Pop_Inputs!$B$2:$N$29,MATCH(C638,Pop_Inputs!$A$2:$A$29,0),G638))*(1-H638)+LN(INDEX(Pop_Inputs!$B$2:$N$29,MATCH(C638,Pop_Inputs!$A$2:$A$29,0),G638+1))*H638)</f>
        <v>7454995.00000001</v>
      </c>
      <c r="J638" s="20" t="n">
        <f aca="false">I638/F638</f>
        <v>2484998.33333334</v>
      </c>
      <c r="K638" s="21" t="n">
        <f aca="false">D638/(D638+E638)</f>
        <v>0.473684210526316</v>
      </c>
      <c r="L638" s="21" t="n">
        <f aca="false">AVERAGEIFS($K$2:$K$2705,$B$2:$B$2705,B638)</f>
        <v>0.499962340398679</v>
      </c>
      <c r="M638" s="21" t="n">
        <f aca="false">K638-L638</f>
        <v>-0.0262781298723636</v>
      </c>
      <c r="N638" s="21" t="n">
        <f aca="false">LN(J638)</f>
        <v>14.7257825468218</v>
      </c>
      <c r="O638" s="21" t="n">
        <f aca="false">AVERAGEIFS($N$2:$N$2705,$B$2:$B$2705,B638)</f>
        <v>13.7392868341989</v>
      </c>
      <c r="P638" s="21" t="n">
        <f aca="false">N638-O638</f>
        <v>0.986495712622936</v>
      </c>
      <c r="Q638" s="7" t="n">
        <v>0</v>
      </c>
      <c r="R638" s="3" t="n">
        <f aca="false">IF(AND(Q638=1,B638-_xlfn.MINIFS($B$2:$B$2705,$A$2:$A$2705,A638)&lt;10),1,0)</f>
        <v>0</v>
      </c>
      <c r="S638" s="7" t="n">
        <v>0</v>
      </c>
      <c r="T638" s="3" t="n">
        <f aca="false">_xlfn.MINIFS($B$2:$B$2705,$A$2:$A$2705,A638)</f>
        <v>1901</v>
      </c>
      <c r="U638" s="3" t="n">
        <f aca="false">B638-T638</f>
        <v>39</v>
      </c>
      <c r="V638" s="3" t="str">
        <f aca="false">INDEX(Pop_Inputs!$Q$2:$Q$29,MATCH(C638,Pop_Inputs!$A$2:$A$29,0))</f>
        <v>Northeast</v>
      </c>
      <c r="W638" s="30"/>
      <c r="X638" s="3" t="str">
        <f aca="false">IF(W638="","",LN(W638))</f>
        <v/>
      </c>
      <c r="Y638" s="3" t="str">
        <f aca="false">IF(X638="","",X638-AVERAGEIFS($X$2:$X$2705,$B$2:$B$2705,B638))</f>
        <v/>
      </c>
      <c r="Z638" s="21" t="n">
        <f aca="false">P638</f>
        <v>0.986495712622936</v>
      </c>
      <c r="AA638" s="3" t="n">
        <f aca="false">R638</f>
        <v>0</v>
      </c>
      <c r="AB638" s="21" t="n">
        <f aca="false">P638</f>
        <v>0.986495712622936</v>
      </c>
      <c r="AC638" s="3" t="str">
        <f aca="false">Y638</f>
        <v/>
      </c>
      <c r="AD638" s="3" t="n">
        <f aca="false">R638</f>
        <v>0</v>
      </c>
    </row>
    <row r="639" customFormat="false" ht="15" hidden="false" customHeight="true" outlineLevel="0" collapsed="false">
      <c r="A639" s="7" t="s">
        <v>59</v>
      </c>
      <c r="B639" s="7" t="n">
        <v>1940</v>
      </c>
      <c r="C639" s="7" t="s">
        <v>145</v>
      </c>
      <c r="D639" s="7" t="n">
        <v>84</v>
      </c>
      <c r="E639" s="7" t="n">
        <v>69</v>
      </c>
      <c r="F639" s="3" t="n">
        <f aca="false">COUNTIFS($B$2:$B$2705,B639,$C$2:$C$2705,C639)</f>
        <v>2</v>
      </c>
      <c r="G639" s="3" t="n">
        <f aca="false">MIN(INT((MIN(B639,2020)-1900)/10)+1,12)</f>
        <v>5</v>
      </c>
      <c r="H639" s="3" t="n">
        <f aca="false">(MIN(B639,2020)-1900-10*(G639-1))/10</f>
        <v>0</v>
      </c>
      <c r="I639" s="20" t="n">
        <f aca="false">EXP(LN(INDEX(Pop_Inputs!$B$2:$N$29,MATCH(C639,Pop_Inputs!$A$2:$A$29,0),G639))*(1-H639)+LN(INDEX(Pop_Inputs!$B$2:$N$29,MATCH(C639,Pop_Inputs!$A$2:$A$29,0),G639+1))*H639)</f>
        <v>816047.999999999</v>
      </c>
      <c r="J639" s="20" t="n">
        <f aca="false">I639/F639</f>
        <v>408024</v>
      </c>
      <c r="K639" s="21" t="n">
        <f aca="false">D639/(D639+E639)</f>
        <v>0.549019607843137</v>
      </c>
      <c r="L639" s="21" t="n">
        <f aca="false">AVERAGEIFS($K$2:$K$2705,$B$2:$B$2705,B639)</f>
        <v>0.499962340398679</v>
      </c>
      <c r="M639" s="21" t="n">
        <f aca="false">K639-L639</f>
        <v>0.0490572674444579</v>
      </c>
      <c r="N639" s="21" t="n">
        <f aca="false">LN(J639)</f>
        <v>12.9190812751857</v>
      </c>
      <c r="O639" s="21" t="n">
        <f aca="false">AVERAGEIFS($N$2:$N$2705,$B$2:$B$2705,B639)</f>
        <v>13.7392868341989</v>
      </c>
      <c r="P639" s="21" t="n">
        <f aca="false">N639-O639</f>
        <v>-0.820205559013221</v>
      </c>
      <c r="Q639" s="7" t="n">
        <v>0</v>
      </c>
      <c r="R639" s="3" t="n">
        <f aca="false">IF(AND(Q639=1,B639-_xlfn.MINIFS($B$2:$B$2705,$A$2:$A$2705,A639)&lt;10),1,0)</f>
        <v>0</v>
      </c>
      <c r="S639" s="7" t="n">
        <v>0</v>
      </c>
      <c r="T639" s="3" t="n">
        <f aca="false">_xlfn.MINIFS($B$2:$B$2705,$A$2:$A$2705,A639)</f>
        <v>1901</v>
      </c>
      <c r="U639" s="3" t="n">
        <f aca="false">B639-T639</f>
        <v>39</v>
      </c>
      <c r="V639" s="3" t="str">
        <f aca="false">INDEX(Pop_Inputs!$Q$2:$Q$29,MATCH(C639,Pop_Inputs!$A$2:$A$29,0))</f>
        <v>Midwest</v>
      </c>
      <c r="W639" s="30"/>
      <c r="X639" s="3" t="str">
        <f aca="false">IF(W639="","",LN(W639))</f>
        <v/>
      </c>
      <c r="Y639" s="3" t="str">
        <f aca="false">IF(X639="","",X639-AVERAGEIFS($X$2:$X$2705,$B$2:$B$2705,B639))</f>
        <v/>
      </c>
      <c r="Z639" s="21" t="n">
        <f aca="false">P639</f>
        <v>-0.820205559013221</v>
      </c>
      <c r="AA639" s="3" t="n">
        <f aca="false">R639</f>
        <v>0</v>
      </c>
      <c r="AB639" s="21" t="n">
        <f aca="false">P639</f>
        <v>-0.820205559013221</v>
      </c>
      <c r="AC639" s="3" t="str">
        <f aca="false">Y639</f>
        <v/>
      </c>
      <c r="AD639" s="3" t="n">
        <f aca="false">R639</f>
        <v>0</v>
      </c>
    </row>
    <row r="640" customFormat="false" ht="15" hidden="false" customHeight="true" outlineLevel="0" collapsed="false">
      <c r="A640" s="7" t="s">
        <v>54</v>
      </c>
      <c r="B640" s="7" t="n">
        <v>1941</v>
      </c>
      <c r="C640" s="7" t="s">
        <v>150</v>
      </c>
      <c r="D640" s="7" t="n">
        <v>62</v>
      </c>
      <c r="E640" s="7" t="n">
        <v>92</v>
      </c>
      <c r="F640" s="3" t="n">
        <f aca="false">COUNTIFS($B$2:$B$2705,B640,$C$2:$C$2705,C640)</f>
        <v>2</v>
      </c>
      <c r="G640" s="3" t="n">
        <f aca="false">MIN(INT((MIN(B640,2020)-1900)/10)+1,12)</f>
        <v>5</v>
      </c>
      <c r="H640" s="3" t="n">
        <f aca="false">(MIN(B640,2020)-1900-10*(G640-1))/10</f>
        <v>0.1</v>
      </c>
      <c r="I640" s="20" t="n">
        <f aca="false">EXP(LN(INDEX(Pop_Inputs!$B$2:$N$29,MATCH(C640,Pop_Inputs!$A$2:$A$29,0),G640))*(1-H640)+LN(INDEX(Pop_Inputs!$B$2:$N$29,MATCH(C640,Pop_Inputs!$A$2:$A$29,0),G640+1))*H640)</f>
        <v>773825.375156705</v>
      </c>
      <c r="J640" s="20" t="n">
        <f aca="false">I640/F640</f>
        <v>386912.687578353</v>
      </c>
      <c r="K640" s="21" t="n">
        <f aca="false">D640/(D640+E640)</f>
        <v>0.402597402597403</v>
      </c>
      <c r="L640" s="21" t="n">
        <f aca="false">AVERAGEIFS($K$2:$K$2705,$B$2:$B$2705,B640)</f>
        <v>0.500047746371276</v>
      </c>
      <c r="M640" s="21" t="n">
        <f aca="false">K640-L640</f>
        <v>-0.0974503437738732</v>
      </c>
      <c r="N640" s="21" t="n">
        <f aca="false">LN(J640)</f>
        <v>12.8659543330647</v>
      </c>
      <c r="O640" s="21" t="n">
        <f aca="false">AVERAGEIFS($N$2:$N$2705,$B$2:$B$2705,B640)</f>
        <v>13.7460641215574</v>
      </c>
      <c r="P640" s="21" t="n">
        <f aca="false">N640-O640</f>
        <v>-0.880109788492668</v>
      </c>
      <c r="Q640" s="7" t="n">
        <v>0</v>
      </c>
      <c r="R640" s="3" t="n">
        <f aca="false">IF(AND(Q640=1,B640-_xlfn.MINIFS($B$2:$B$2705,$A$2:$A$2705,A640)&lt;10),1,0)</f>
        <v>0</v>
      </c>
      <c r="S640" s="7" t="n">
        <v>0</v>
      </c>
      <c r="T640" s="3" t="n">
        <f aca="false">_xlfn.MINIFS($B$2:$B$2705,$A$2:$A$2705,A640)</f>
        <v>1901</v>
      </c>
      <c r="U640" s="3" t="n">
        <f aca="false">B640-T640</f>
        <v>40</v>
      </c>
      <c r="V640" s="3" t="str">
        <f aca="false">INDEX(Pop_Inputs!$Q$2:$Q$29,MATCH(C640,Pop_Inputs!$A$2:$A$29,0))</f>
        <v>Northeast</v>
      </c>
      <c r="W640" s="30"/>
      <c r="X640" s="3" t="str">
        <f aca="false">IF(W640="","",LN(W640))</f>
        <v/>
      </c>
      <c r="Y640" s="3" t="str">
        <f aca="false">IF(X640="","",X640-AVERAGEIFS($X$2:$X$2705,$B$2:$B$2705,B640))</f>
        <v/>
      </c>
      <c r="Z640" s="21" t="n">
        <f aca="false">P640</f>
        <v>-0.880109788492668</v>
      </c>
      <c r="AA640" s="3" t="n">
        <f aca="false">R640</f>
        <v>0</v>
      </c>
      <c r="AB640" s="21" t="n">
        <f aca="false">P640</f>
        <v>-0.880109788492668</v>
      </c>
      <c r="AC640" s="3" t="str">
        <f aca="false">Y640</f>
        <v/>
      </c>
      <c r="AD640" s="3" t="n">
        <f aca="false">R640</f>
        <v>0</v>
      </c>
    </row>
    <row r="641" customFormat="false" ht="15" hidden="false" customHeight="true" outlineLevel="0" collapsed="false">
      <c r="A641" s="7" t="s">
        <v>63</v>
      </c>
      <c r="B641" s="7" t="n">
        <v>1941</v>
      </c>
      <c r="C641" s="7" t="s">
        <v>145</v>
      </c>
      <c r="D641" s="7" t="n">
        <v>70</v>
      </c>
      <c r="E641" s="7" t="n">
        <v>84</v>
      </c>
      <c r="F641" s="3" t="n">
        <f aca="false">COUNTIFS($B$2:$B$2705,B641,$C$2:$C$2705,C641)</f>
        <v>2</v>
      </c>
      <c r="G641" s="3" t="n">
        <f aca="false">MIN(INT((MIN(B641,2020)-1900)/10)+1,12)</f>
        <v>5</v>
      </c>
      <c r="H641" s="3" t="n">
        <f aca="false">(MIN(B641,2020)-1900-10*(G641-1))/10</f>
        <v>0.1</v>
      </c>
      <c r="I641" s="20" t="n">
        <f aca="false">EXP(LN(INDEX(Pop_Inputs!$B$2:$N$29,MATCH(C641,Pop_Inputs!$A$2:$A$29,0),G641))*(1-H641)+LN(INDEX(Pop_Inputs!$B$2:$N$29,MATCH(C641,Pop_Inputs!$A$2:$A$29,0),G641+1))*H641)</f>
        <v>820034.033894172</v>
      </c>
      <c r="J641" s="20" t="n">
        <f aca="false">I641/F641</f>
        <v>410017.016947086</v>
      </c>
      <c r="K641" s="21" t="n">
        <f aca="false">D641/(D641+E641)</f>
        <v>0.454545454545455</v>
      </c>
      <c r="L641" s="21" t="n">
        <f aca="false">AVERAGEIFS($K$2:$K$2705,$B$2:$B$2705,B641)</f>
        <v>0.500047746371276</v>
      </c>
      <c r="M641" s="21" t="n">
        <f aca="false">K641-L641</f>
        <v>-0.0455022918258213</v>
      </c>
      <c r="N641" s="21" t="n">
        <f aca="false">LN(J641)</f>
        <v>12.9239539425682</v>
      </c>
      <c r="O641" s="21" t="n">
        <f aca="false">AVERAGEIFS($N$2:$N$2705,$B$2:$B$2705,B641)</f>
        <v>13.7460641215574</v>
      </c>
      <c r="P641" s="21" t="n">
        <f aca="false">N641-O641</f>
        <v>-0.822110178989222</v>
      </c>
      <c r="Q641" s="7" t="n">
        <v>0</v>
      </c>
      <c r="R641" s="3" t="n">
        <f aca="false">IF(AND(Q641=1,B641-_xlfn.MINIFS($B$2:$B$2705,$A$2:$A$2705,A641)&lt;10),1,0)</f>
        <v>0</v>
      </c>
      <c r="S641" s="7" t="n">
        <v>0</v>
      </c>
      <c r="T641" s="3" t="n">
        <f aca="false">_xlfn.MINIFS($B$2:$B$2705,$A$2:$A$2705,A641)</f>
        <v>1901</v>
      </c>
      <c r="U641" s="3" t="n">
        <f aca="false">B641-T641</f>
        <v>40</v>
      </c>
      <c r="V641" s="3" t="str">
        <f aca="false">INDEX(Pop_Inputs!$Q$2:$Q$29,MATCH(C641,Pop_Inputs!$A$2:$A$29,0))</f>
        <v>Midwest</v>
      </c>
      <c r="W641" s="30"/>
      <c r="X641" s="3" t="str">
        <f aca="false">IF(W641="","",LN(W641))</f>
        <v/>
      </c>
      <c r="Y641" s="3" t="str">
        <f aca="false">IF(X641="","",X641-AVERAGEIFS($X$2:$X$2705,$B$2:$B$2705,B641))</f>
        <v/>
      </c>
      <c r="Z641" s="21" t="n">
        <f aca="false">P641</f>
        <v>-0.822110178989222</v>
      </c>
      <c r="AA641" s="3" t="n">
        <f aca="false">R641</f>
        <v>0</v>
      </c>
      <c r="AB641" s="21" t="n">
        <f aca="false">P641</f>
        <v>-0.822110178989222</v>
      </c>
      <c r="AC641" s="3" t="str">
        <f aca="false">Y641</f>
        <v/>
      </c>
      <c r="AD641" s="3" t="n">
        <f aca="false">R641</f>
        <v>0</v>
      </c>
    </row>
    <row r="642" customFormat="false" ht="15" hidden="false" customHeight="true" outlineLevel="0" collapsed="false">
      <c r="A642" s="7" t="s">
        <v>64</v>
      </c>
      <c r="B642" s="7" t="n">
        <v>1941</v>
      </c>
      <c r="C642" s="7" t="s">
        <v>150</v>
      </c>
      <c r="D642" s="7" t="n">
        <v>84</v>
      </c>
      <c r="E642" s="7" t="n">
        <v>70</v>
      </c>
      <c r="F642" s="3" t="n">
        <f aca="false">COUNTIFS($B$2:$B$2705,B642,$C$2:$C$2705,C642)</f>
        <v>2</v>
      </c>
      <c r="G642" s="3" t="n">
        <f aca="false">MIN(INT((MIN(B642,2020)-1900)/10)+1,12)</f>
        <v>5</v>
      </c>
      <c r="H642" s="3" t="n">
        <f aca="false">(MIN(B642,2020)-1900-10*(G642-1))/10</f>
        <v>0.1</v>
      </c>
      <c r="I642" s="20" t="n">
        <f aca="false">EXP(LN(INDEX(Pop_Inputs!$B$2:$N$29,MATCH(C642,Pop_Inputs!$A$2:$A$29,0),G642))*(1-H642)+LN(INDEX(Pop_Inputs!$B$2:$N$29,MATCH(C642,Pop_Inputs!$A$2:$A$29,0),G642+1))*H642)</f>
        <v>773825.375156705</v>
      </c>
      <c r="J642" s="20" t="n">
        <f aca="false">I642/F642</f>
        <v>386912.687578353</v>
      </c>
      <c r="K642" s="21" t="n">
        <f aca="false">D642/(D642+E642)</f>
        <v>0.545454545454545</v>
      </c>
      <c r="L642" s="21" t="n">
        <f aca="false">AVERAGEIFS($K$2:$K$2705,$B$2:$B$2705,B642)</f>
        <v>0.500047746371276</v>
      </c>
      <c r="M642" s="21" t="n">
        <f aca="false">K642-L642</f>
        <v>0.0454067990832696</v>
      </c>
      <c r="N642" s="21" t="n">
        <f aca="false">LN(J642)</f>
        <v>12.8659543330647</v>
      </c>
      <c r="O642" s="21" t="n">
        <f aca="false">AVERAGEIFS($N$2:$N$2705,$B$2:$B$2705,B642)</f>
        <v>13.7460641215574</v>
      </c>
      <c r="P642" s="21" t="n">
        <f aca="false">N642-O642</f>
        <v>-0.880109788492668</v>
      </c>
      <c r="Q642" s="7" t="n">
        <v>0</v>
      </c>
      <c r="R642" s="3" t="n">
        <f aca="false">IF(AND(Q642=1,B642-_xlfn.MINIFS($B$2:$B$2705,$A$2:$A$2705,A642)&lt;10),1,0)</f>
        <v>0</v>
      </c>
      <c r="S642" s="7" t="n">
        <v>0</v>
      </c>
      <c r="T642" s="3" t="n">
        <f aca="false">_xlfn.MINIFS($B$2:$B$2705,$A$2:$A$2705,A642)</f>
        <v>1901</v>
      </c>
      <c r="U642" s="3" t="n">
        <f aca="false">B642-T642</f>
        <v>40</v>
      </c>
      <c r="V642" s="3" t="str">
        <f aca="false">INDEX(Pop_Inputs!$Q$2:$Q$29,MATCH(C642,Pop_Inputs!$A$2:$A$29,0))</f>
        <v>Northeast</v>
      </c>
      <c r="W642" s="30"/>
      <c r="X642" s="3" t="str">
        <f aca="false">IF(W642="","",LN(W642))</f>
        <v/>
      </c>
      <c r="Y642" s="3" t="str">
        <f aca="false">IF(X642="","",X642-AVERAGEIFS($X$2:$X$2705,$B$2:$B$2705,B642))</f>
        <v/>
      </c>
      <c r="Z642" s="21" t="n">
        <f aca="false">P642</f>
        <v>-0.880109788492668</v>
      </c>
      <c r="AA642" s="3" t="n">
        <f aca="false">R642</f>
        <v>0</v>
      </c>
      <c r="AB642" s="21" t="n">
        <f aca="false">P642</f>
        <v>-0.880109788492668</v>
      </c>
      <c r="AC642" s="3" t="str">
        <f aca="false">Y642</f>
        <v/>
      </c>
      <c r="AD642" s="3" t="n">
        <f aca="false">R642</f>
        <v>0</v>
      </c>
    </row>
    <row r="643" customFormat="false" ht="15" hidden="false" customHeight="true" outlineLevel="0" collapsed="false">
      <c r="A643" s="7" t="s">
        <v>56</v>
      </c>
      <c r="B643" s="7" t="n">
        <v>1941</v>
      </c>
      <c r="C643" s="7" t="s">
        <v>142</v>
      </c>
      <c r="D643" s="7" t="n">
        <v>70</v>
      </c>
      <c r="E643" s="7" t="n">
        <v>84</v>
      </c>
      <c r="F643" s="3" t="n">
        <f aca="false">COUNTIFS($B$2:$B$2705,B643,$C$2:$C$2705,C643)</f>
        <v>2</v>
      </c>
      <c r="G643" s="3" t="n">
        <f aca="false">MIN(INT((MIN(B643,2020)-1900)/10)+1,12)</f>
        <v>5</v>
      </c>
      <c r="H643" s="3" t="n">
        <f aca="false">(MIN(B643,2020)-1900-10*(G643-1))/10</f>
        <v>0.1</v>
      </c>
      <c r="I643" s="20" t="n">
        <f aca="false">EXP(LN(INDEX(Pop_Inputs!$B$2:$N$29,MATCH(C643,Pop_Inputs!$A$2:$A$29,0),G643))*(1-H643)+LN(INDEX(Pop_Inputs!$B$2:$N$29,MATCH(C643,Pop_Inputs!$A$2:$A$29,0),G643+1))*H643)</f>
        <v>3418584.32065661</v>
      </c>
      <c r="J643" s="20" t="n">
        <f aca="false">I643/F643</f>
        <v>1709292.16032831</v>
      </c>
      <c r="K643" s="21" t="n">
        <f aca="false">D643/(D643+E643)</f>
        <v>0.454545454545455</v>
      </c>
      <c r="L643" s="21" t="n">
        <f aca="false">AVERAGEIFS($K$2:$K$2705,$B$2:$B$2705,B643)</f>
        <v>0.500047746371276</v>
      </c>
      <c r="M643" s="21" t="n">
        <f aca="false">K643-L643</f>
        <v>-0.0455022918258213</v>
      </c>
      <c r="N643" s="21" t="n">
        <f aca="false">LN(J643)</f>
        <v>14.351589901453</v>
      </c>
      <c r="O643" s="21" t="n">
        <f aca="false">AVERAGEIFS($N$2:$N$2705,$B$2:$B$2705,B643)</f>
        <v>13.7460641215574</v>
      </c>
      <c r="P643" s="21" t="n">
        <f aca="false">N643-O643</f>
        <v>0.605525779895601</v>
      </c>
      <c r="Q643" s="7" t="n">
        <v>0</v>
      </c>
      <c r="R643" s="3" t="n">
        <f aca="false">IF(AND(Q643=1,B643-_xlfn.MINIFS($B$2:$B$2705,$A$2:$A$2705,A643)&lt;10),1,0)</f>
        <v>0</v>
      </c>
      <c r="S643" s="7" t="n">
        <v>0</v>
      </c>
      <c r="T643" s="3" t="n">
        <f aca="false">_xlfn.MINIFS($B$2:$B$2705,$A$2:$A$2705,A643)</f>
        <v>1901</v>
      </c>
      <c r="U643" s="3" t="n">
        <f aca="false">B643-T643</f>
        <v>40</v>
      </c>
      <c r="V643" s="3" t="str">
        <f aca="false">INDEX(Pop_Inputs!$Q$2:$Q$29,MATCH(C643,Pop_Inputs!$A$2:$A$29,0))</f>
        <v>Midwest</v>
      </c>
      <c r="W643" s="30"/>
      <c r="X643" s="3" t="str">
        <f aca="false">IF(W643="","",LN(W643))</f>
        <v/>
      </c>
      <c r="Y643" s="3" t="str">
        <f aca="false">IF(X643="","",X643-AVERAGEIFS($X$2:$X$2705,$B$2:$B$2705,B643))</f>
        <v/>
      </c>
      <c r="Z643" s="21" t="n">
        <f aca="false">P643</f>
        <v>0.605525779895601</v>
      </c>
      <c r="AA643" s="3" t="n">
        <f aca="false">R643</f>
        <v>0</v>
      </c>
      <c r="AB643" s="21" t="n">
        <f aca="false">P643</f>
        <v>0.605525779895601</v>
      </c>
      <c r="AC643" s="3" t="str">
        <f aca="false">Y643</f>
        <v/>
      </c>
      <c r="AD643" s="3" t="n">
        <f aca="false">R643</f>
        <v>0</v>
      </c>
    </row>
    <row r="644" customFormat="false" ht="15" hidden="false" customHeight="true" outlineLevel="0" collapsed="false">
      <c r="A644" s="7" t="s">
        <v>65</v>
      </c>
      <c r="B644" s="7" t="n">
        <v>1941</v>
      </c>
      <c r="C644" s="7" t="s">
        <v>142</v>
      </c>
      <c r="D644" s="7" t="n">
        <v>77</v>
      </c>
      <c r="E644" s="7" t="n">
        <v>77</v>
      </c>
      <c r="F644" s="3" t="n">
        <f aca="false">COUNTIFS($B$2:$B$2705,B644,$C$2:$C$2705,C644)</f>
        <v>2</v>
      </c>
      <c r="G644" s="3" t="n">
        <f aca="false">MIN(INT((MIN(B644,2020)-1900)/10)+1,12)</f>
        <v>5</v>
      </c>
      <c r="H644" s="3" t="n">
        <f aca="false">(MIN(B644,2020)-1900-10*(G644-1))/10</f>
        <v>0.1</v>
      </c>
      <c r="I644" s="20" t="n">
        <f aca="false">EXP(LN(INDEX(Pop_Inputs!$B$2:$N$29,MATCH(C644,Pop_Inputs!$A$2:$A$29,0),G644))*(1-H644)+LN(INDEX(Pop_Inputs!$B$2:$N$29,MATCH(C644,Pop_Inputs!$A$2:$A$29,0),G644+1))*H644)</f>
        <v>3418584.32065661</v>
      </c>
      <c r="J644" s="20" t="n">
        <f aca="false">I644/F644</f>
        <v>1709292.16032831</v>
      </c>
      <c r="K644" s="21" t="n">
        <f aca="false">D644/(D644+E644)</f>
        <v>0.5</v>
      </c>
      <c r="L644" s="21" t="n">
        <f aca="false">AVERAGEIFS($K$2:$K$2705,$B$2:$B$2705,B644)</f>
        <v>0.500047746371276</v>
      </c>
      <c r="M644" s="21" t="n">
        <f aca="false">K644-L644</f>
        <v>-4.77463712758031E-005</v>
      </c>
      <c r="N644" s="21" t="n">
        <f aca="false">LN(J644)</f>
        <v>14.351589901453</v>
      </c>
      <c r="O644" s="21" t="n">
        <f aca="false">AVERAGEIFS($N$2:$N$2705,$B$2:$B$2705,B644)</f>
        <v>13.7460641215574</v>
      </c>
      <c r="P644" s="21" t="n">
        <f aca="false">N644-O644</f>
        <v>0.605525779895601</v>
      </c>
      <c r="Q644" s="7" t="n">
        <v>0</v>
      </c>
      <c r="R644" s="3" t="n">
        <f aca="false">IF(AND(Q644=1,B644-_xlfn.MINIFS($B$2:$B$2705,$A$2:$A$2705,A644)&lt;10),1,0)</f>
        <v>0</v>
      </c>
      <c r="S644" s="7" t="n">
        <v>0</v>
      </c>
      <c r="T644" s="3" t="n">
        <f aca="false">_xlfn.MINIFS($B$2:$B$2705,$A$2:$A$2705,A644)</f>
        <v>1901</v>
      </c>
      <c r="U644" s="3" t="n">
        <f aca="false">B644-T644</f>
        <v>40</v>
      </c>
      <c r="V644" s="3" t="str">
        <f aca="false">INDEX(Pop_Inputs!$Q$2:$Q$29,MATCH(C644,Pop_Inputs!$A$2:$A$29,0))</f>
        <v>Midwest</v>
      </c>
      <c r="W644" s="30"/>
      <c r="X644" s="3" t="str">
        <f aca="false">IF(W644="","",LN(W644))</f>
        <v/>
      </c>
      <c r="Y644" s="3" t="str">
        <f aca="false">IF(X644="","",X644-AVERAGEIFS($X$2:$X$2705,$B$2:$B$2705,B644))</f>
        <v/>
      </c>
      <c r="Z644" s="21" t="n">
        <f aca="false">P644</f>
        <v>0.605525779895601</v>
      </c>
      <c r="AA644" s="3" t="n">
        <f aca="false">R644</f>
        <v>0</v>
      </c>
      <c r="AB644" s="21" t="n">
        <f aca="false">P644</f>
        <v>0.605525779895601</v>
      </c>
      <c r="AC644" s="3" t="str">
        <f aca="false">Y644</f>
        <v/>
      </c>
      <c r="AD644" s="3" t="n">
        <f aca="false">R644</f>
        <v>0</v>
      </c>
    </row>
    <row r="645" customFormat="false" ht="15" hidden="false" customHeight="true" outlineLevel="0" collapsed="false">
      <c r="A645" s="7" t="s">
        <v>57</v>
      </c>
      <c r="B645" s="7" t="n">
        <v>1941</v>
      </c>
      <c r="C645" s="7" t="s">
        <v>143</v>
      </c>
      <c r="D645" s="7" t="n">
        <v>88</v>
      </c>
      <c r="E645" s="7" t="n">
        <v>66</v>
      </c>
      <c r="F645" s="3" t="n">
        <f aca="false">COUNTIFS($B$2:$B$2705,B645,$C$2:$C$2705,C645)</f>
        <v>1</v>
      </c>
      <c r="G645" s="3" t="n">
        <f aca="false">MIN(INT((MIN(B645,2020)-1900)/10)+1,12)</f>
        <v>5</v>
      </c>
      <c r="H645" s="3" t="n">
        <f aca="false">(MIN(B645,2020)-1900-10*(G645-1))/10</f>
        <v>0.1</v>
      </c>
      <c r="I645" s="20" t="n">
        <f aca="false">EXP(LN(INDEX(Pop_Inputs!$B$2:$N$29,MATCH(C645,Pop_Inputs!$A$2:$A$29,0),G645))*(1-H645)+LN(INDEX(Pop_Inputs!$B$2:$N$29,MATCH(C645,Pop_Inputs!$A$2:$A$29,0),G645+1))*H645)</f>
        <v>460231.991799404</v>
      </c>
      <c r="J645" s="20" t="n">
        <f aca="false">I645/F645</f>
        <v>460231.991799404</v>
      </c>
      <c r="K645" s="21" t="n">
        <f aca="false">D645/(D645+E645)</f>
        <v>0.571428571428571</v>
      </c>
      <c r="L645" s="21" t="n">
        <f aca="false">AVERAGEIFS($K$2:$K$2705,$B$2:$B$2705,B645)</f>
        <v>0.500047746371276</v>
      </c>
      <c r="M645" s="21" t="n">
        <f aca="false">K645-L645</f>
        <v>0.0713808250572956</v>
      </c>
      <c r="N645" s="21" t="n">
        <f aca="false">LN(J645)</f>
        <v>13.0394859713324</v>
      </c>
      <c r="O645" s="21" t="n">
        <f aca="false">AVERAGEIFS($N$2:$N$2705,$B$2:$B$2705,B645)</f>
        <v>13.7460641215574</v>
      </c>
      <c r="P645" s="21" t="n">
        <f aca="false">N645-O645</f>
        <v>-0.706578150225054</v>
      </c>
      <c r="Q645" s="7" t="n">
        <v>0</v>
      </c>
      <c r="R645" s="3" t="n">
        <f aca="false">IF(AND(Q645=1,B645-_xlfn.MINIFS($B$2:$B$2705,$A$2:$A$2705,A645)&lt;10),1,0)</f>
        <v>0</v>
      </c>
      <c r="S645" s="7" t="n">
        <v>0</v>
      </c>
      <c r="T645" s="3" t="n">
        <f aca="false">_xlfn.MINIFS($B$2:$B$2705,$A$2:$A$2705,A645)</f>
        <v>1901</v>
      </c>
      <c r="U645" s="3" t="n">
        <f aca="false">B645-T645</f>
        <v>40</v>
      </c>
      <c r="V645" s="3" t="str">
        <f aca="false">INDEX(Pop_Inputs!$Q$2:$Q$29,MATCH(C645,Pop_Inputs!$A$2:$A$29,0))</f>
        <v>Midwest</v>
      </c>
      <c r="W645" s="30"/>
      <c r="X645" s="3" t="str">
        <f aca="false">IF(W645="","",LN(W645))</f>
        <v/>
      </c>
      <c r="Y645" s="3" t="str">
        <f aca="false">IF(X645="","",X645-AVERAGEIFS($X$2:$X$2705,$B$2:$B$2705,B645))</f>
        <v/>
      </c>
      <c r="Z645" s="21" t="n">
        <f aca="false">P645</f>
        <v>-0.706578150225054</v>
      </c>
      <c r="AA645" s="3" t="n">
        <f aca="false">R645</f>
        <v>0</v>
      </c>
      <c r="AB645" s="21" t="n">
        <f aca="false">P645</f>
        <v>-0.706578150225054</v>
      </c>
      <c r="AC645" s="3" t="str">
        <f aca="false">Y645</f>
        <v/>
      </c>
      <c r="AD645" s="3" t="n">
        <f aca="false">R645</f>
        <v>0</v>
      </c>
    </row>
    <row r="646" customFormat="false" ht="15" hidden="false" customHeight="true" outlineLevel="0" collapsed="false">
      <c r="A646" s="7" t="s">
        <v>66</v>
      </c>
      <c r="B646" s="7" t="n">
        <v>1941</v>
      </c>
      <c r="C646" s="7" t="s">
        <v>151</v>
      </c>
      <c r="D646" s="7" t="n">
        <v>75</v>
      </c>
      <c r="E646" s="7" t="n">
        <v>79</v>
      </c>
      <c r="F646" s="3" t="n">
        <f aca="false">COUNTIFS($B$2:$B$2705,B646,$C$2:$C$2705,C646)</f>
        <v>1</v>
      </c>
      <c r="G646" s="3" t="n">
        <f aca="false">MIN(INT((MIN(B646,2020)-1900)/10)+1,12)</f>
        <v>5</v>
      </c>
      <c r="H646" s="3" t="n">
        <f aca="false">(MIN(B646,2020)-1900-10*(G646-1))/10</f>
        <v>0.1</v>
      </c>
      <c r="I646" s="20" t="n">
        <f aca="false">EXP(LN(INDEX(Pop_Inputs!$B$2:$N$29,MATCH(C646,Pop_Inputs!$A$2:$A$29,0),G646))*(1-H646)+LN(INDEX(Pop_Inputs!$B$2:$N$29,MATCH(C646,Pop_Inputs!$A$2:$A$29,0),G646+1))*H646)</f>
        <v>881916.789194613</v>
      </c>
      <c r="J646" s="20" t="n">
        <f aca="false">I646/F646</f>
        <v>881916.789194613</v>
      </c>
      <c r="K646" s="21" t="n">
        <f aca="false">D646/(D646+E646)</f>
        <v>0.487012987012987</v>
      </c>
      <c r="L646" s="21" t="n">
        <f aca="false">AVERAGEIFS($K$2:$K$2705,$B$2:$B$2705,B646)</f>
        <v>0.500047746371276</v>
      </c>
      <c r="M646" s="21" t="n">
        <f aca="false">K646-L646</f>
        <v>-0.0130347593582888</v>
      </c>
      <c r="N646" s="21" t="n">
        <f aca="false">LN(J646)</f>
        <v>13.6898529872216</v>
      </c>
      <c r="O646" s="21" t="n">
        <f aca="false">AVERAGEIFS($N$2:$N$2705,$B$2:$B$2705,B646)</f>
        <v>13.7460641215574</v>
      </c>
      <c r="P646" s="21" t="n">
        <f aca="false">N646-O646</f>
        <v>-0.056211134335852</v>
      </c>
      <c r="Q646" s="7" t="n">
        <v>0</v>
      </c>
      <c r="R646" s="3" t="n">
        <f aca="false">IF(AND(Q646=1,B646-_xlfn.MINIFS($B$2:$B$2705,$A$2:$A$2705,A646)&lt;10),1,0)</f>
        <v>0</v>
      </c>
      <c r="S646" s="7" t="n">
        <v>0</v>
      </c>
      <c r="T646" s="3" t="n">
        <f aca="false">_xlfn.MINIFS($B$2:$B$2705,$A$2:$A$2705,A646)</f>
        <v>1901</v>
      </c>
      <c r="U646" s="3" t="n">
        <f aca="false">B646-T646</f>
        <v>40</v>
      </c>
      <c r="V646" s="3" t="str">
        <f aca="false">INDEX(Pop_Inputs!$Q$2:$Q$29,MATCH(C646,Pop_Inputs!$A$2:$A$29,0))</f>
        <v>Midwest</v>
      </c>
      <c r="W646" s="30"/>
      <c r="X646" s="3" t="str">
        <f aca="false">IF(W646="","",LN(W646))</f>
        <v/>
      </c>
      <c r="Y646" s="3" t="str">
        <f aca="false">IF(X646="","",X646-AVERAGEIFS($X$2:$X$2705,$B$2:$B$2705,B646))</f>
        <v/>
      </c>
      <c r="Z646" s="21" t="n">
        <f aca="false">P646</f>
        <v>-0.056211134335852</v>
      </c>
      <c r="AA646" s="3" t="n">
        <f aca="false">R646</f>
        <v>0</v>
      </c>
      <c r="AB646" s="21" t="n">
        <f aca="false">P646</f>
        <v>-0.056211134335852</v>
      </c>
      <c r="AC646" s="3" t="str">
        <f aca="false">Y646</f>
        <v/>
      </c>
      <c r="AD646" s="3" t="n">
        <f aca="false">R646</f>
        <v>0</v>
      </c>
    </row>
    <row r="647" customFormat="false" ht="15" hidden="false" customHeight="true" outlineLevel="0" collapsed="false">
      <c r="A647" s="7" t="s">
        <v>67</v>
      </c>
      <c r="B647" s="7" t="n">
        <v>1941</v>
      </c>
      <c r="C647" s="7" t="s">
        <v>152</v>
      </c>
      <c r="D647" s="7" t="n">
        <v>75</v>
      </c>
      <c r="E647" s="7" t="n">
        <v>79</v>
      </c>
      <c r="F647" s="3" t="n">
        <f aca="false">COUNTIFS($B$2:$B$2705,B647,$C$2:$C$2705,C647)</f>
        <v>1</v>
      </c>
      <c r="G647" s="3" t="n">
        <f aca="false">MIN(INT((MIN(B647,2020)-1900)/10)+1,12)</f>
        <v>5</v>
      </c>
      <c r="H647" s="3" t="n">
        <f aca="false">(MIN(B647,2020)-1900-10*(G647-1))/10</f>
        <v>0.1</v>
      </c>
      <c r="I647" s="20" t="n">
        <f aca="false">EXP(LN(INDEX(Pop_Inputs!$B$2:$N$29,MATCH(C647,Pop_Inputs!$A$2:$A$29,0),G647))*(1-H647)+LN(INDEX(Pop_Inputs!$B$2:$N$29,MATCH(C647,Pop_Inputs!$A$2:$A$29,0),G647+1))*H647)</f>
        <v>1644760.00764417</v>
      </c>
      <c r="J647" s="20" t="n">
        <f aca="false">I647/F647</f>
        <v>1644760.00764417</v>
      </c>
      <c r="K647" s="21" t="n">
        <f aca="false">D647/(D647+E647)</f>
        <v>0.487012987012987</v>
      </c>
      <c r="L647" s="21" t="n">
        <f aca="false">AVERAGEIFS($K$2:$K$2705,$B$2:$B$2705,B647)</f>
        <v>0.500047746371276</v>
      </c>
      <c r="M647" s="21" t="n">
        <f aca="false">K647-L647</f>
        <v>-0.0130347593582888</v>
      </c>
      <c r="N647" s="21" t="n">
        <f aca="false">LN(J647)</f>
        <v>14.3131050395287</v>
      </c>
      <c r="O647" s="21" t="n">
        <f aca="false">AVERAGEIFS($N$2:$N$2705,$B$2:$B$2705,B647)</f>
        <v>13.7460641215574</v>
      </c>
      <c r="P647" s="21" t="n">
        <f aca="false">N647-O647</f>
        <v>0.567040917971307</v>
      </c>
      <c r="Q647" s="7" t="n">
        <v>0</v>
      </c>
      <c r="R647" s="3" t="n">
        <f aca="false">IF(AND(Q647=1,B647-_xlfn.MINIFS($B$2:$B$2705,$A$2:$A$2705,A647)&lt;10),1,0)</f>
        <v>0</v>
      </c>
      <c r="S647" s="7" t="n">
        <v>0</v>
      </c>
      <c r="T647" s="3" t="n">
        <f aca="false">_xlfn.MINIFS($B$2:$B$2705,$A$2:$A$2705,A647)</f>
        <v>1901</v>
      </c>
      <c r="U647" s="3" t="n">
        <f aca="false">B647-T647</f>
        <v>40</v>
      </c>
      <c r="V647" s="3" t="str">
        <f aca="false">INDEX(Pop_Inputs!$Q$2:$Q$29,MATCH(C647,Pop_Inputs!$A$2:$A$29,0))</f>
        <v>Midwest</v>
      </c>
      <c r="W647" s="30"/>
      <c r="X647" s="3" t="str">
        <f aca="false">IF(W647="","",LN(W647))</f>
        <v/>
      </c>
      <c r="Y647" s="3" t="str">
        <f aca="false">IF(X647="","",X647-AVERAGEIFS($X$2:$X$2705,$B$2:$B$2705,B647))</f>
        <v/>
      </c>
      <c r="Z647" s="21" t="n">
        <f aca="false">P647</f>
        <v>0.567040917971307</v>
      </c>
      <c r="AA647" s="3" t="n">
        <f aca="false">R647</f>
        <v>0</v>
      </c>
      <c r="AB647" s="21" t="n">
        <f aca="false">P647</f>
        <v>0.567040917971307</v>
      </c>
      <c r="AC647" s="3" t="str">
        <f aca="false">Y647</f>
        <v/>
      </c>
      <c r="AD647" s="3" t="n">
        <f aca="false">R647</f>
        <v>0</v>
      </c>
    </row>
    <row r="648" customFormat="false" ht="15" hidden="false" customHeight="true" outlineLevel="0" collapsed="false">
      <c r="A648" s="7" t="s">
        <v>62</v>
      </c>
      <c r="B648" s="7" t="n">
        <v>1941</v>
      </c>
      <c r="C648" s="7" t="s">
        <v>154</v>
      </c>
      <c r="D648" s="7" t="n">
        <v>100</v>
      </c>
      <c r="E648" s="7" t="n">
        <v>54</v>
      </c>
      <c r="F648" s="3" t="n">
        <f aca="false">COUNTIFS($B$2:$B$2705,B648,$C$2:$C$2705,C648)</f>
        <v>3</v>
      </c>
      <c r="G648" s="3" t="n">
        <f aca="false">MIN(INT((MIN(B648,2020)-1900)/10)+1,12)</f>
        <v>5</v>
      </c>
      <c r="H648" s="3" t="n">
        <f aca="false">(MIN(B648,2020)-1900-10*(G648-1))/10</f>
        <v>0.1</v>
      </c>
      <c r="I648" s="20" t="n">
        <f aca="false">EXP(LN(INDEX(Pop_Inputs!$B$2:$N$29,MATCH(C648,Pop_Inputs!$A$2:$A$29,0),G648))*(1-H648)+LN(INDEX(Pop_Inputs!$B$2:$N$29,MATCH(C648,Pop_Inputs!$A$2:$A$29,0),G648+1))*H648)</f>
        <v>7497579.71452661</v>
      </c>
      <c r="J648" s="20" t="n">
        <f aca="false">I648/F648</f>
        <v>2499193.23817554</v>
      </c>
      <c r="K648" s="21" t="n">
        <f aca="false">D648/(D648+E648)</f>
        <v>0.649350649350649</v>
      </c>
      <c r="L648" s="21" t="n">
        <f aca="false">AVERAGEIFS($K$2:$K$2705,$B$2:$B$2705,B648)</f>
        <v>0.500047746371276</v>
      </c>
      <c r="M648" s="21" t="n">
        <f aca="false">K648-L648</f>
        <v>0.149302902979374</v>
      </c>
      <c r="N648" s="21" t="n">
        <f aca="false">LN(J648)</f>
        <v>14.7314785330283</v>
      </c>
      <c r="O648" s="21" t="n">
        <f aca="false">AVERAGEIFS($N$2:$N$2705,$B$2:$B$2705,B648)</f>
        <v>13.7460641215574</v>
      </c>
      <c r="P648" s="21" t="n">
        <f aca="false">N648-O648</f>
        <v>0.985414411470863</v>
      </c>
      <c r="Q648" s="7" t="n">
        <v>0</v>
      </c>
      <c r="R648" s="3" t="n">
        <f aca="false">IF(AND(Q648=1,B648-_xlfn.MINIFS($B$2:$B$2705,$A$2:$A$2705,A648)&lt;10),1,0)</f>
        <v>0</v>
      </c>
      <c r="S648" s="7" t="n">
        <v>0</v>
      </c>
      <c r="T648" s="3" t="n">
        <f aca="false">_xlfn.MINIFS($B$2:$B$2705,$A$2:$A$2705,A648)</f>
        <v>1901</v>
      </c>
      <c r="U648" s="3" t="n">
        <f aca="false">B648-T648</f>
        <v>40</v>
      </c>
      <c r="V648" s="3" t="str">
        <f aca="false">INDEX(Pop_Inputs!$Q$2:$Q$29,MATCH(C648,Pop_Inputs!$A$2:$A$29,0))</f>
        <v>Northeast</v>
      </c>
      <c r="W648" s="30"/>
      <c r="X648" s="3" t="str">
        <f aca="false">IF(W648="","",LN(W648))</f>
        <v/>
      </c>
      <c r="Y648" s="3" t="str">
        <f aca="false">IF(X648="","",X648-AVERAGEIFS($X$2:$X$2705,$B$2:$B$2705,B648))</f>
        <v/>
      </c>
      <c r="Z648" s="21" t="n">
        <f aca="false">P648</f>
        <v>0.985414411470863</v>
      </c>
      <c r="AA648" s="3" t="n">
        <f aca="false">R648</f>
        <v>0</v>
      </c>
      <c r="AB648" s="21" t="n">
        <f aca="false">P648</f>
        <v>0.985414411470863</v>
      </c>
      <c r="AC648" s="3" t="str">
        <f aca="false">Y648</f>
        <v/>
      </c>
      <c r="AD648" s="3" t="n">
        <f aca="false">R648</f>
        <v>0</v>
      </c>
    </row>
    <row r="649" customFormat="false" ht="15" hidden="false" customHeight="true" outlineLevel="0" collapsed="false">
      <c r="A649" s="7" t="s">
        <v>68</v>
      </c>
      <c r="B649" s="7" t="n">
        <v>1941</v>
      </c>
      <c r="C649" s="7" t="s">
        <v>160</v>
      </c>
      <c r="D649" s="7" t="n">
        <v>70</v>
      </c>
      <c r="E649" s="7" t="n">
        <v>84</v>
      </c>
      <c r="F649" s="3" t="n">
        <f aca="false">COUNTIFS($B$2:$B$2705,B649,$C$2:$C$2705,C649)</f>
        <v>1</v>
      </c>
      <c r="G649" s="3" t="n">
        <f aca="false">MIN(INT((MIN(B649,2020)-1900)/10)+1,12)</f>
        <v>5</v>
      </c>
      <c r="H649" s="3" t="n">
        <f aca="false">(MIN(B649,2020)-1900-10*(G649-1))/10</f>
        <v>0.1</v>
      </c>
      <c r="I649" s="20" t="n">
        <f aca="false">EXP(LN(INDEX(Pop_Inputs!$B$2:$N$29,MATCH(C649,Pop_Inputs!$A$2:$A$29,0),G649))*(1-H649)+LN(INDEX(Pop_Inputs!$B$2:$N$29,MATCH(C649,Pop_Inputs!$A$2:$A$29,0),G649+1))*H649)</f>
        <v>675838.447801589</v>
      </c>
      <c r="J649" s="20" t="n">
        <f aca="false">I649/F649</f>
        <v>675838.447801589</v>
      </c>
      <c r="K649" s="21" t="n">
        <f aca="false">D649/(D649+E649)</f>
        <v>0.454545454545455</v>
      </c>
      <c r="L649" s="21" t="n">
        <f aca="false">AVERAGEIFS($K$2:$K$2705,$B$2:$B$2705,B649)</f>
        <v>0.500047746371276</v>
      </c>
      <c r="M649" s="21" t="n">
        <f aca="false">K649-L649</f>
        <v>-0.0455022918258213</v>
      </c>
      <c r="N649" s="21" t="n">
        <f aca="false">LN(J649)</f>
        <v>13.4237093439222</v>
      </c>
      <c r="O649" s="21" t="n">
        <f aca="false">AVERAGEIFS($N$2:$N$2705,$B$2:$B$2705,B649)</f>
        <v>13.7460641215574</v>
      </c>
      <c r="P649" s="21" t="n">
        <f aca="false">N649-O649</f>
        <v>-0.32235477763521</v>
      </c>
      <c r="Q649" s="7" t="n">
        <v>0</v>
      </c>
      <c r="R649" s="3" t="n">
        <f aca="false">IF(AND(Q649=1,B649-_xlfn.MINIFS($B$2:$B$2705,$A$2:$A$2705,A649)&lt;10),1,0)</f>
        <v>0</v>
      </c>
      <c r="S649" s="7" t="n">
        <v>0</v>
      </c>
      <c r="T649" s="3" t="n">
        <f aca="false">_xlfn.MINIFS($B$2:$B$2705,$A$2:$A$2705,A649)</f>
        <v>1901</v>
      </c>
      <c r="U649" s="3" t="n">
        <f aca="false">B649-T649</f>
        <v>40</v>
      </c>
      <c r="V649" s="3" t="str">
        <f aca="false">INDEX(Pop_Inputs!$Q$2:$Q$29,MATCH(C649,Pop_Inputs!$A$2:$A$29,0))</f>
        <v>South</v>
      </c>
      <c r="W649" s="30"/>
      <c r="X649" s="3" t="str">
        <f aca="false">IF(W649="","",LN(W649))</f>
        <v/>
      </c>
      <c r="Y649" s="3" t="str">
        <f aca="false">IF(X649="","",X649-AVERAGEIFS($X$2:$X$2705,$B$2:$B$2705,B649))</f>
        <v/>
      </c>
      <c r="Z649" s="21" t="n">
        <f aca="false">P649</f>
        <v>-0.32235477763521</v>
      </c>
      <c r="AA649" s="3" t="n">
        <f aca="false">R649</f>
        <v>0</v>
      </c>
      <c r="AB649" s="21" t="n">
        <f aca="false">P649</f>
        <v>-0.32235477763521</v>
      </c>
      <c r="AC649" s="3" t="str">
        <f aca="false">Y649</f>
        <v/>
      </c>
      <c r="AD649" s="3" t="n">
        <f aca="false">R649</f>
        <v>0</v>
      </c>
    </row>
    <row r="650" customFormat="false" ht="15" hidden="false" customHeight="true" outlineLevel="0" collapsed="false">
      <c r="A650" s="7" t="s">
        <v>70</v>
      </c>
      <c r="B650" s="7" t="n">
        <v>1941</v>
      </c>
      <c r="C650" s="7" t="s">
        <v>154</v>
      </c>
      <c r="D650" s="7" t="n">
        <v>101</v>
      </c>
      <c r="E650" s="7" t="n">
        <v>53</v>
      </c>
      <c r="F650" s="3" t="n">
        <f aca="false">COUNTIFS($B$2:$B$2705,B650,$C$2:$C$2705,C650)</f>
        <v>3</v>
      </c>
      <c r="G650" s="3" t="n">
        <f aca="false">MIN(INT((MIN(B650,2020)-1900)/10)+1,12)</f>
        <v>5</v>
      </c>
      <c r="H650" s="3" t="n">
        <f aca="false">(MIN(B650,2020)-1900-10*(G650-1))/10</f>
        <v>0.1</v>
      </c>
      <c r="I650" s="20" t="n">
        <f aca="false">EXP(LN(INDEX(Pop_Inputs!$B$2:$N$29,MATCH(C650,Pop_Inputs!$A$2:$A$29,0),G650))*(1-H650)+LN(INDEX(Pop_Inputs!$B$2:$N$29,MATCH(C650,Pop_Inputs!$A$2:$A$29,0),G650+1))*H650)</f>
        <v>7497579.71452661</v>
      </c>
      <c r="J650" s="20" t="n">
        <f aca="false">I650/F650</f>
        <v>2499193.23817554</v>
      </c>
      <c r="K650" s="21" t="n">
        <f aca="false">D650/(D650+E650)</f>
        <v>0.655844155844156</v>
      </c>
      <c r="L650" s="21" t="n">
        <f aca="false">AVERAGEIFS($K$2:$K$2705,$B$2:$B$2705,B650)</f>
        <v>0.500047746371276</v>
      </c>
      <c r="M650" s="21" t="n">
        <f aca="false">K650-L650</f>
        <v>0.15579640947288</v>
      </c>
      <c r="N650" s="21" t="n">
        <f aca="false">LN(J650)</f>
        <v>14.7314785330283</v>
      </c>
      <c r="O650" s="21" t="n">
        <f aca="false">AVERAGEIFS($N$2:$N$2705,$B$2:$B$2705,B650)</f>
        <v>13.7460641215574</v>
      </c>
      <c r="P650" s="21" t="n">
        <f aca="false">N650-O650</f>
        <v>0.985414411470863</v>
      </c>
      <c r="Q650" s="7" t="n">
        <v>0</v>
      </c>
      <c r="R650" s="3" t="n">
        <f aca="false">IF(AND(Q650=1,B650-_xlfn.MINIFS($B$2:$B$2705,$A$2:$A$2705,A650)&lt;10),1,0)</f>
        <v>0</v>
      </c>
      <c r="S650" s="7" t="n">
        <v>1</v>
      </c>
      <c r="T650" s="3" t="n">
        <f aca="false">_xlfn.MINIFS($B$2:$B$2705,$A$2:$A$2705,A650)</f>
        <v>1903</v>
      </c>
      <c r="U650" s="3" t="n">
        <f aca="false">B650-T650</f>
        <v>38</v>
      </c>
      <c r="V650" s="3" t="str">
        <f aca="false">INDEX(Pop_Inputs!$Q$2:$Q$29,MATCH(C650,Pop_Inputs!$A$2:$A$29,0))</f>
        <v>Northeast</v>
      </c>
      <c r="W650" s="30"/>
      <c r="X650" s="3" t="str">
        <f aca="false">IF(W650="","",LN(W650))</f>
        <v/>
      </c>
      <c r="Y650" s="3" t="str">
        <f aca="false">IF(X650="","",X650-AVERAGEIFS($X$2:$X$2705,$B$2:$B$2705,B650))</f>
        <v/>
      </c>
      <c r="Z650" s="21" t="n">
        <f aca="false">P650</f>
        <v>0.985414411470863</v>
      </c>
      <c r="AA650" s="3" t="n">
        <f aca="false">R650</f>
        <v>0</v>
      </c>
      <c r="AB650" s="21" t="n">
        <f aca="false">P650</f>
        <v>0.985414411470863</v>
      </c>
      <c r="AC650" s="3" t="str">
        <f aca="false">Y650</f>
        <v/>
      </c>
      <c r="AD650" s="3" t="n">
        <f aca="false">R650</f>
        <v>0</v>
      </c>
    </row>
    <row r="651" customFormat="false" ht="15" hidden="false" customHeight="true" outlineLevel="0" collapsed="false">
      <c r="A651" s="7" t="s">
        <v>69</v>
      </c>
      <c r="B651" s="7" t="n">
        <v>1941</v>
      </c>
      <c r="C651" s="7" t="s">
        <v>146</v>
      </c>
      <c r="D651" s="7" t="n">
        <v>64</v>
      </c>
      <c r="E651" s="7" t="n">
        <v>90</v>
      </c>
      <c r="F651" s="3" t="n">
        <f aca="false">COUNTIFS($B$2:$B$2705,B651,$C$2:$C$2705,C651)</f>
        <v>2</v>
      </c>
      <c r="G651" s="3" t="n">
        <f aca="false">MIN(INT((MIN(B651,2020)-1900)/10)+1,12)</f>
        <v>5</v>
      </c>
      <c r="H651" s="3" t="n">
        <f aca="false">(MIN(B651,2020)-1900-10*(G651-1))/10</f>
        <v>0.1</v>
      </c>
      <c r="I651" s="20" t="n">
        <f aca="false">EXP(LN(INDEX(Pop_Inputs!$B$2:$N$29,MATCH(C651,Pop_Inputs!$A$2:$A$29,0),G651))*(1-H651)+LN(INDEX(Pop_Inputs!$B$2:$N$29,MATCH(C651,Pop_Inputs!$A$2:$A$29,0),G651+1))*H651)</f>
        <v>1944922.68802522</v>
      </c>
      <c r="J651" s="20" t="n">
        <f aca="false">I651/F651</f>
        <v>972461.344012608</v>
      </c>
      <c r="K651" s="21" t="n">
        <f aca="false">D651/(D651+E651)</f>
        <v>0.415584415584416</v>
      </c>
      <c r="L651" s="21" t="n">
        <f aca="false">AVERAGEIFS($K$2:$K$2705,$B$2:$B$2705,B651)</f>
        <v>0.500047746371276</v>
      </c>
      <c r="M651" s="21" t="n">
        <f aca="false">K651-L651</f>
        <v>-0.0844633307868602</v>
      </c>
      <c r="N651" s="21" t="n">
        <f aca="false">LN(J651)</f>
        <v>13.7875856045974</v>
      </c>
      <c r="O651" s="21" t="n">
        <f aca="false">AVERAGEIFS($N$2:$N$2705,$B$2:$B$2705,B651)</f>
        <v>13.7460641215574</v>
      </c>
      <c r="P651" s="21" t="n">
        <f aca="false">N651-O651</f>
        <v>0.0415214830400252</v>
      </c>
      <c r="Q651" s="7" t="n">
        <v>0</v>
      </c>
      <c r="R651" s="3" t="n">
        <f aca="false">IF(AND(Q651=1,B651-_xlfn.MINIFS($B$2:$B$2705,$A$2:$A$2705,A651)&lt;10),1,0)</f>
        <v>0</v>
      </c>
      <c r="S651" s="7" t="n">
        <v>0</v>
      </c>
      <c r="T651" s="3" t="n">
        <f aca="false">_xlfn.MINIFS($B$2:$B$2705,$A$2:$A$2705,A651)</f>
        <v>1901</v>
      </c>
      <c r="U651" s="3" t="n">
        <f aca="false">B651-T651</f>
        <v>40</v>
      </c>
      <c r="V651" s="3" t="str">
        <f aca="false">INDEX(Pop_Inputs!$Q$2:$Q$29,MATCH(C651,Pop_Inputs!$A$2:$A$29,0))</f>
        <v>Northeast</v>
      </c>
      <c r="W651" s="30"/>
      <c r="X651" s="3" t="str">
        <f aca="false">IF(W651="","",LN(W651))</f>
        <v/>
      </c>
      <c r="Y651" s="3" t="str">
        <f aca="false">IF(X651="","",X651-AVERAGEIFS($X$2:$X$2705,$B$2:$B$2705,B651))</f>
        <v/>
      </c>
      <c r="Z651" s="21" t="n">
        <f aca="false">P651</f>
        <v>0.0415214830400252</v>
      </c>
      <c r="AA651" s="3" t="n">
        <f aca="false">R651</f>
        <v>0</v>
      </c>
      <c r="AB651" s="21" t="n">
        <f aca="false">P651</f>
        <v>0.0415214830400252</v>
      </c>
      <c r="AC651" s="3" t="str">
        <f aca="false">Y651</f>
        <v/>
      </c>
      <c r="AD651" s="3" t="n">
        <f aca="false">R651</f>
        <v>0</v>
      </c>
    </row>
    <row r="652" customFormat="false" ht="15" hidden="false" customHeight="true" outlineLevel="0" collapsed="false">
      <c r="A652" s="7" t="s">
        <v>60</v>
      </c>
      <c r="B652" s="7" t="n">
        <v>1941</v>
      </c>
      <c r="C652" s="7" t="s">
        <v>146</v>
      </c>
      <c r="D652" s="7" t="n">
        <v>43</v>
      </c>
      <c r="E652" s="7" t="n">
        <v>111</v>
      </c>
      <c r="F652" s="3" t="n">
        <f aca="false">COUNTIFS($B$2:$B$2705,B652,$C$2:$C$2705,C652)</f>
        <v>2</v>
      </c>
      <c r="G652" s="3" t="n">
        <f aca="false">MIN(INT((MIN(B652,2020)-1900)/10)+1,12)</f>
        <v>5</v>
      </c>
      <c r="H652" s="3" t="n">
        <f aca="false">(MIN(B652,2020)-1900-10*(G652-1))/10</f>
        <v>0.1</v>
      </c>
      <c r="I652" s="20" t="n">
        <f aca="false">EXP(LN(INDEX(Pop_Inputs!$B$2:$N$29,MATCH(C652,Pop_Inputs!$A$2:$A$29,0),G652))*(1-H652)+LN(INDEX(Pop_Inputs!$B$2:$N$29,MATCH(C652,Pop_Inputs!$A$2:$A$29,0),G652+1))*H652)</f>
        <v>1944922.68802522</v>
      </c>
      <c r="J652" s="20" t="n">
        <f aca="false">I652/F652</f>
        <v>972461.344012608</v>
      </c>
      <c r="K652" s="21" t="n">
        <f aca="false">D652/(D652+E652)</f>
        <v>0.279220779220779</v>
      </c>
      <c r="L652" s="21" t="n">
        <f aca="false">AVERAGEIFS($K$2:$K$2705,$B$2:$B$2705,B652)</f>
        <v>0.500047746371276</v>
      </c>
      <c r="M652" s="21" t="n">
        <f aca="false">K652-L652</f>
        <v>-0.220826967150497</v>
      </c>
      <c r="N652" s="21" t="n">
        <f aca="false">LN(J652)</f>
        <v>13.7875856045974</v>
      </c>
      <c r="O652" s="21" t="n">
        <f aca="false">AVERAGEIFS($N$2:$N$2705,$B$2:$B$2705,B652)</f>
        <v>13.7460641215574</v>
      </c>
      <c r="P652" s="21" t="n">
        <f aca="false">N652-O652</f>
        <v>0.0415214830400252</v>
      </c>
      <c r="Q652" s="7" t="n">
        <v>0</v>
      </c>
      <c r="R652" s="3" t="n">
        <f aca="false">IF(AND(Q652=1,B652-_xlfn.MINIFS($B$2:$B$2705,$A$2:$A$2705,A652)&lt;10),1,0)</f>
        <v>0</v>
      </c>
      <c r="S652" s="7" t="n">
        <v>0</v>
      </c>
      <c r="T652" s="3" t="n">
        <f aca="false">_xlfn.MINIFS($B$2:$B$2705,$A$2:$A$2705,A652)</f>
        <v>1901</v>
      </c>
      <c r="U652" s="3" t="n">
        <f aca="false">B652-T652</f>
        <v>40</v>
      </c>
      <c r="V652" s="3" t="str">
        <f aca="false">INDEX(Pop_Inputs!$Q$2:$Q$29,MATCH(C652,Pop_Inputs!$A$2:$A$29,0))</f>
        <v>Northeast</v>
      </c>
      <c r="W652" s="30"/>
      <c r="X652" s="3" t="str">
        <f aca="false">IF(W652="","",LN(W652))</f>
        <v/>
      </c>
      <c r="Y652" s="3" t="str">
        <f aca="false">IF(X652="","",X652-AVERAGEIFS($X$2:$X$2705,$B$2:$B$2705,B652))</f>
        <v/>
      </c>
      <c r="Z652" s="21" t="n">
        <f aca="false">P652</f>
        <v>0.0415214830400252</v>
      </c>
      <c r="AA652" s="3" t="n">
        <f aca="false">R652</f>
        <v>0</v>
      </c>
      <c r="AB652" s="21" t="n">
        <f aca="false">P652</f>
        <v>0.0415214830400252</v>
      </c>
      <c r="AC652" s="3" t="str">
        <f aca="false">Y652</f>
        <v/>
      </c>
      <c r="AD652" s="3" t="n">
        <f aca="false">R652</f>
        <v>0</v>
      </c>
    </row>
    <row r="653" customFormat="false" ht="15" hidden="false" customHeight="true" outlineLevel="0" collapsed="false">
      <c r="A653" s="7" t="s">
        <v>58</v>
      </c>
      <c r="B653" s="7" t="n">
        <v>1941</v>
      </c>
      <c r="C653" s="7" t="s">
        <v>144</v>
      </c>
      <c r="D653" s="7" t="n">
        <v>81</v>
      </c>
      <c r="E653" s="7" t="n">
        <v>73</v>
      </c>
      <c r="F653" s="3" t="n">
        <f aca="false">COUNTIFS($B$2:$B$2705,B653,$C$2:$C$2705,C653)</f>
        <v>1</v>
      </c>
      <c r="G653" s="3" t="n">
        <f aca="false">MIN(INT((MIN(B653,2020)-1900)/10)+1,12)</f>
        <v>5</v>
      </c>
      <c r="H653" s="3" t="n">
        <f aca="false">(MIN(B653,2020)-1900-10*(G653-1))/10</f>
        <v>0.1</v>
      </c>
      <c r="I653" s="20" t="n">
        <f aca="false">EXP(LN(INDEX(Pop_Inputs!$B$2:$N$29,MATCH(C653,Pop_Inputs!$A$2:$A$29,0),G653))*(1-H653)+LN(INDEX(Pop_Inputs!$B$2:$N$29,MATCH(C653,Pop_Inputs!$A$2:$A$29,0),G653+1))*H653)</f>
        <v>672171.933674196</v>
      </c>
      <c r="J653" s="20" t="n">
        <f aca="false">I653/F653</f>
        <v>672171.933674196</v>
      </c>
      <c r="K653" s="21" t="n">
        <f aca="false">D653/(D653+E653)</f>
        <v>0.525974025974026</v>
      </c>
      <c r="L653" s="21" t="n">
        <f aca="false">AVERAGEIFS($K$2:$K$2705,$B$2:$B$2705,B653)</f>
        <v>0.500047746371276</v>
      </c>
      <c r="M653" s="21" t="n">
        <f aca="false">K653-L653</f>
        <v>0.0259262796027502</v>
      </c>
      <c r="N653" s="21" t="n">
        <f aca="false">LN(J653)</f>
        <v>13.4182694404622</v>
      </c>
      <c r="O653" s="21" t="n">
        <f aca="false">AVERAGEIFS($N$2:$N$2705,$B$2:$B$2705,B653)</f>
        <v>13.7460641215574</v>
      </c>
      <c r="P653" s="21" t="n">
        <f aca="false">N653-O653</f>
        <v>-0.32779468109525</v>
      </c>
      <c r="Q653" s="7" t="n">
        <v>0</v>
      </c>
      <c r="R653" s="3" t="n">
        <f aca="false">IF(AND(Q653=1,B653-_xlfn.MINIFS($B$2:$B$2705,$A$2:$A$2705,A653)&lt;10),1,0)</f>
        <v>0</v>
      </c>
      <c r="S653" s="7" t="n">
        <v>0</v>
      </c>
      <c r="T653" s="3" t="n">
        <f aca="false">_xlfn.MINIFS($B$2:$B$2705,$A$2:$A$2705,A653)</f>
        <v>1901</v>
      </c>
      <c r="U653" s="3" t="n">
        <f aca="false">B653-T653</f>
        <v>40</v>
      </c>
      <c r="V653" s="3" t="str">
        <f aca="false">INDEX(Pop_Inputs!$Q$2:$Q$29,MATCH(C653,Pop_Inputs!$A$2:$A$29,0))</f>
        <v>Northeast</v>
      </c>
      <c r="W653" s="30"/>
      <c r="X653" s="3" t="str">
        <f aca="false">IF(W653="","",LN(W653))</f>
        <v/>
      </c>
      <c r="Y653" s="3" t="str">
        <f aca="false">IF(X653="","",X653-AVERAGEIFS($X$2:$X$2705,$B$2:$B$2705,B653))</f>
        <v/>
      </c>
      <c r="Z653" s="21" t="n">
        <f aca="false">P653</f>
        <v>-0.32779468109525</v>
      </c>
      <c r="AA653" s="3" t="n">
        <f aca="false">R653</f>
        <v>0</v>
      </c>
      <c r="AB653" s="21" t="n">
        <f aca="false">P653</f>
        <v>-0.32779468109525</v>
      </c>
      <c r="AC653" s="3" t="str">
        <f aca="false">Y653</f>
        <v/>
      </c>
      <c r="AD653" s="3" t="n">
        <f aca="false">R653</f>
        <v>0</v>
      </c>
    </row>
    <row r="654" customFormat="false" ht="15" hidden="false" customHeight="true" outlineLevel="0" collapsed="false">
      <c r="A654" s="7" t="s">
        <v>61</v>
      </c>
      <c r="B654" s="7" t="n">
        <v>1941</v>
      </c>
      <c r="C654" s="7" t="s">
        <v>154</v>
      </c>
      <c r="D654" s="7" t="n">
        <v>74</v>
      </c>
      <c r="E654" s="7" t="n">
        <v>79</v>
      </c>
      <c r="F654" s="3" t="n">
        <f aca="false">COUNTIFS($B$2:$B$2705,B654,$C$2:$C$2705,C654)</f>
        <v>3</v>
      </c>
      <c r="G654" s="3" t="n">
        <f aca="false">MIN(INT((MIN(B654,2020)-1900)/10)+1,12)</f>
        <v>5</v>
      </c>
      <c r="H654" s="3" t="n">
        <f aca="false">(MIN(B654,2020)-1900-10*(G654-1))/10</f>
        <v>0.1</v>
      </c>
      <c r="I654" s="20" t="n">
        <f aca="false">EXP(LN(INDEX(Pop_Inputs!$B$2:$N$29,MATCH(C654,Pop_Inputs!$A$2:$A$29,0),G654))*(1-H654)+LN(INDEX(Pop_Inputs!$B$2:$N$29,MATCH(C654,Pop_Inputs!$A$2:$A$29,0),G654+1))*H654)</f>
        <v>7497579.71452661</v>
      </c>
      <c r="J654" s="20" t="n">
        <f aca="false">I654/F654</f>
        <v>2499193.23817554</v>
      </c>
      <c r="K654" s="21" t="n">
        <f aca="false">D654/(D654+E654)</f>
        <v>0.483660130718954</v>
      </c>
      <c r="L654" s="21" t="n">
        <f aca="false">AVERAGEIFS($K$2:$K$2705,$B$2:$B$2705,B654)</f>
        <v>0.500047746371276</v>
      </c>
      <c r="M654" s="21" t="n">
        <f aca="false">K654-L654</f>
        <v>-0.0163876156523216</v>
      </c>
      <c r="N654" s="21" t="n">
        <f aca="false">LN(J654)</f>
        <v>14.7314785330283</v>
      </c>
      <c r="O654" s="21" t="n">
        <f aca="false">AVERAGEIFS($N$2:$N$2705,$B$2:$B$2705,B654)</f>
        <v>13.7460641215574</v>
      </c>
      <c r="P654" s="21" t="n">
        <f aca="false">N654-O654</f>
        <v>0.985414411470863</v>
      </c>
      <c r="Q654" s="7" t="n">
        <v>0</v>
      </c>
      <c r="R654" s="3" t="n">
        <f aca="false">IF(AND(Q654=1,B654-_xlfn.MINIFS($B$2:$B$2705,$A$2:$A$2705,A654)&lt;10),1,0)</f>
        <v>0</v>
      </c>
      <c r="S654" s="7" t="n">
        <v>0</v>
      </c>
      <c r="T654" s="3" t="n">
        <f aca="false">_xlfn.MINIFS($B$2:$B$2705,$A$2:$A$2705,A654)</f>
        <v>1901</v>
      </c>
      <c r="U654" s="3" t="n">
        <f aca="false">B654-T654</f>
        <v>40</v>
      </c>
      <c r="V654" s="3" t="str">
        <f aca="false">INDEX(Pop_Inputs!$Q$2:$Q$29,MATCH(C654,Pop_Inputs!$A$2:$A$29,0))</f>
        <v>Northeast</v>
      </c>
      <c r="W654" s="30"/>
      <c r="X654" s="3" t="str">
        <f aca="false">IF(W654="","",LN(W654))</f>
        <v/>
      </c>
      <c r="Y654" s="3" t="str">
        <f aca="false">IF(X654="","",X654-AVERAGEIFS($X$2:$X$2705,$B$2:$B$2705,B654))</f>
        <v/>
      </c>
      <c r="Z654" s="21" t="n">
        <f aca="false">P654</f>
        <v>0.985414411470863</v>
      </c>
      <c r="AA654" s="3" t="n">
        <f aca="false">R654</f>
        <v>0</v>
      </c>
      <c r="AB654" s="21" t="n">
        <f aca="false">P654</f>
        <v>0.985414411470863</v>
      </c>
      <c r="AC654" s="3" t="str">
        <f aca="false">Y654</f>
        <v/>
      </c>
      <c r="AD654" s="3" t="n">
        <f aca="false">R654</f>
        <v>0</v>
      </c>
    </row>
    <row r="655" customFormat="false" ht="15" hidden="false" customHeight="true" outlineLevel="0" collapsed="false">
      <c r="A655" s="7" t="s">
        <v>59</v>
      </c>
      <c r="B655" s="7" t="n">
        <v>1941</v>
      </c>
      <c r="C655" s="7" t="s">
        <v>145</v>
      </c>
      <c r="D655" s="7" t="n">
        <v>97</v>
      </c>
      <c r="E655" s="7" t="n">
        <v>56</v>
      </c>
      <c r="F655" s="3" t="n">
        <f aca="false">COUNTIFS($B$2:$B$2705,B655,$C$2:$C$2705,C655)</f>
        <v>2</v>
      </c>
      <c r="G655" s="3" t="n">
        <f aca="false">MIN(INT((MIN(B655,2020)-1900)/10)+1,12)</f>
        <v>5</v>
      </c>
      <c r="H655" s="3" t="n">
        <f aca="false">(MIN(B655,2020)-1900-10*(G655-1))/10</f>
        <v>0.1</v>
      </c>
      <c r="I655" s="20" t="n">
        <f aca="false">EXP(LN(INDEX(Pop_Inputs!$B$2:$N$29,MATCH(C655,Pop_Inputs!$A$2:$A$29,0),G655))*(1-H655)+LN(INDEX(Pop_Inputs!$B$2:$N$29,MATCH(C655,Pop_Inputs!$A$2:$A$29,0),G655+1))*H655)</f>
        <v>820034.033894172</v>
      </c>
      <c r="J655" s="20" t="n">
        <f aca="false">I655/F655</f>
        <v>410017.016947086</v>
      </c>
      <c r="K655" s="21" t="n">
        <f aca="false">D655/(D655+E655)</f>
        <v>0.633986928104575</v>
      </c>
      <c r="L655" s="21" t="n">
        <f aca="false">AVERAGEIFS($K$2:$K$2705,$B$2:$B$2705,B655)</f>
        <v>0.500047746371276</v>
      </c>
      <c r="M655" s="21" t="n">
        <f aca="false">K655-L655</f>
        <v>0.133939181733299</v>
      </c>
      <c r="N655" s="21" t="n">
        <f aca="false">LN(J655)</f>
        <v>12.9239539425682</v>
      </c>
      <c r="O655" s="21" t="n">
        <f aca="false">AVERAGEIFS($N$2:$N$2705,$B$2:$B$2705,B655)</f>
        <v>13.7460641215574</v>
      </c>
      <c r="P655" s="21" t="n">
        <f aca="false">N655-O655</f>
        <v>-0.822110178989222</v>
      </c>
      <c r="Q655" s="7" t="n">
        <v>0</v>
      </c>
      <c r="R655" s="3" t="n">
        <f aca="false">IF(AND(Q655=1,B655-_xlfn.MINIFS($B$2:$B$2705,$A$2:$A$2705,A655)&lt;10),1,0)</f>
        <v>0</v>
      </c>
      <c r="S655" s="7" t="n">
        <v>0</v>
      </c>
      <c r="T655" s="3" t="n">
        <f aca="false">_xlfn.MINIFS($B$2:$B$2705,$A$2:$A$2705,A655)</f>
        <v>1901</v>
      </c>
      <c r="U655" s="3" t="n">
        <f aca="false">B655-T655</f>
        <v>40</v>
      </c>
      <c r="V655" s="3" t="str">
        <f aca="false">INDEX(Pop_Inputs!$Q$2:$Q$29,MATCH(C655,Pop_Inputs!$A$2:$A$29,0))</f>
        <v>Midwest</v>
      </c>
      <c r="W655" s="30"/>
      <c r="X655" s="3" t="str">
        <f aca="false">IF(W655="","",LN(W655))</f>
        <v/>
      </c>
      <c r="Y655" s="3" t="str">
        <f aca="false">IF(X655="","",X655-AVERAGEIFS($X$2:$X$2705,$B$2:$B$2705,B655))</f>
        <v/>
      </c>
      <c r="Z655" s="21" t="n">
        <f aca="false">P655</f>
        <v>-0.822110178989222</v>
      </c>
      <c r="AA655" s="3" t="n">
        <f aca="false">R655</f>
        <v>0</v>
      </c>
      <c r="AB655" s="21" t="n">
        <f aca="false">P655</f>
        <v>-0.822110178989222</v>
      </c>
      <c r="AC655" s="3" t="str">
        <f aca="false">Y655</f>
        <v/>
      </c>
      <c r="AD655" s="3" t="n">
        <f aca="false">R655</f>
        <v>0</v>
      </c>
    </row>
    <row r="656" customFormat="false" ht="15" hidden="false" customHeight="true" outlineLevel="0" collapsed="false">
      <c r="A656" s="7" t="s">
        <v>54</v>
      </c>
      <c r="B656" s="7" t="n">
        <v>1942</v>
      </c>
      <c r="C656" s="7" t="s">
        <v>150</v>
      </c>
      <c r="D656" s="7" t="n">
        <v>59</v>
      </c>
      <c r="E656" s="7" t="n">
        <v>89</v>
      </c>
      <c r="F656" s="3" t="n">
        <f aca="false">COUNTIFS($B$2:$B$2705,B656,$C$2:$C$2705,C656)</f>
        <v>2</v>
      </c>
      <c r="G656" s="3" t="n">
        <f aca="false">MIN(INT((MIN(B656,2020)-1900)/10)+1,12)</f>
        <v>5</v>
      </c>
      <c r="H656" s="3" t="n">
        <f aca="false">(MIN(B656,2020)-1900-10*(G656-1))/10</f>
        <v>0.2</v>
      </c>
      <c r="I656" s="20" t="n">
        <f aca="false">EXP(LN(INDEX(Pop_Inputs!$B$2:$N$29,MATCH(C656,Pop_Inputs!$A$2:$A$29,0),G656))*(1-H656)+LN(INDEX(Pop_Inputs!$B$2:$N$29,MATCH(C656,Pop_Inputs!$A$2:$A$29,0),G656+1))*H656)</f>
        <v>776846.499341499</v>
      </c>
      <c r="J656" s="20" t="n">
        <f aca="false">I656/F656</f>
        <v>388423.24967075</v>
      </c>
      <c r="K656" s="21" t="n">
        <f aca="false">D656/(D656+E656)</f>
        <v>0.398648648648649</v>
      </c>
      <c r="L656" s="21" t="n">
        <f aca="false">AVERAGEIFS($K$2:$K$2705,$B$2:$B$2705,B656)</f>
        <v>0.499288918105517</v>
      </c>
      <c r="M656" s="21" t="n">
        <f aca="false">K656-L656</f>
        <v>-0.100640269456868</v>
      </c>
      <c r="N656" s="21" t="n">
        <f aca="false">LN(J656)</f>
        <v>12.8698508737281</v>
      </c>
      <c r="O656" s="21" t="n">
        <f aca="false">AVERAGEIFS($N$2:$N$2705,$B$2:$B$2705,B656)</f>
        <v>13.7528414089159</v>
      </c>
      <c r="P656" s="21" t="n">
        <f aca="false">N656-O656</f>
        <v>-0.882990535187791</v>
      </c>
      <c r="Q656" s="7" t="n">
        <v>0</v>
      </c>
      <c r="R656" s="3" t="n">
        <f aca="false">IF(AND(Q656=1,B656-_xlfn.MINIFS($B$2:$B$2705,$A$2:$A$2705,A656)&lt;10),1,0)</f>
        <v>0</v>
      </c>
      <c r="S656" s="7" t="n">
        <v>0</v>
      </c>
      <c r="T656" s="3" t="n">
        <f aca="false">_xlfn.MINIFS($B$2:$B$2705,$A$2:$A$2705,A656)</f>
        <v>1901</v>
      </c>
      <c r="U656" s="3" t="n">
        <f aca="false">B656-T656</f>
        <v>41</v>
      </c>
      <c r="V656" s="3" t="str">
        <f aca="false">INDEX(Pop_Inputs!$Q$2:$Q$29,MATCH(C656,Pop_Inputs!$A$2:$A$29,0))</f>
        <v>Northeast</v>
      </c>
      <c r="W656" s="30"/>
      <c r="X656" s="3" t="str">
        <f aca="false">IF(W656="","",LN(W656))</f>
        <v/>
      </c>
      <c r="Y656" s="3" t="str">
        <f aca="false">IF(X656="","",X656-AVERAGEIFS($X$2:$X$2705,$B$2:$B$2705,B656))</f>
        <v/>
      </c>
      <c r="Z656" s="21" t="n">
        <f aca="false">P656</f>
        <v>-0.882990535187791</v>
      </c>
      <c r="AA656" s="3" t="n">
        <f aca="false">R656</f>
        <v>0</v>
      </c>
      <c r="AB656" s="21" t="n">
        <f aca="false">P656</f>
        <v>-0.882990535187791</v>
      </c>
      <c r="AC656" s="3" t="str">
        <f aca="false">Y656</f>
        <v/>
      </c>
      <c r="AD656" s="3" t="n">
        <f aca="false">R656</f>
        <v>0</v>
      </c>
    </row>
    <row r="657" customFormat="false" ht="15" hidden="false" customHeight="true" outlineLevel="0" collapsed="false">
      <c r="A657" s="7" t="s">
        <v>63</v>
      </c>
      <c r="B657" s="7" t="n">
        <v>1942</v>
      </c>
      <c r="C657" s="7" t="s">
        <v>145</v>
      </c>
      <c r="D657" s="7" t="n">
        <v>82</v>
      </c>
      <c r="E657" s="7" t="n">
        <v>69</v>
      </c>
      <c r="F657" s="3" t="n">
        <f aca="false">COUNTIFS($B$2:$B$2705,B657,$C$2:$C$2705,C657)</f>
        <v>2</v>
      </c>
      <c r="G657" s="3" t="n">
        <f aca="false">MIN(INT((MIN(B657,2020)-1900)/10)+1,12)</f>
        <v>5</v>
      </c>
      <c r="H657" s="3" t="n">
        <f aca="false">(MIN(B657,2020)-1900-10*(G657-1))/10</f>
        <v>0.2</v>
      </c>
      <c r="I657" s="20" t="n">
        <f aca="false">EXP(LN(INDEX(Pop_Inputs!$B$2:$N$29,MATCH(C657,Pop_Inputs!$A$2:$A$29,0),G657))*(1-H657)+LN(INDEX(Pop_Inputs!$B$2:$N$29,MATCH(C657,Pop_Inputs!$A$2:$A$29,0),G657+1))*H657)</f>
        <v>824039.537802616</v>
      </c>
      <c r="J657" s="20" t="n">
        <f aca="false">I657/F657</f>
        <v>412019.768901308</v>
      </c>
      <c r="K657" s="21" t="n">
        <f aca="false">D657/(D657+E657)</f>
        <v>0.543046357615894</v>
      </c>
      <c r="L657" s="21" t="n">
        <f aca="false">AVERAGEIFS($K$2:$K$2705,$B$2:$B$2705,B657)</f>
        <v>0.499288918105517</v>
      </c>
      <c r="M657" s="21" t="n">
        <f aca="false">K657-L657</f>
        <v>0.0437574395103773</v>
      </c>
      <c r="N657" s="21" t="n">
        <f aca="false">LN(J657)</f>
        <v>12.9288266099507</v>
      </c>
      <c r="O657" s="21" t="n">
        <f aca="false">AVERAGEIFS($N$2:$N$2705,$B$2:$B$2705,B657)</f>
        <v>13.7528414089159</v>
      </c>
      <c r="P657" s="21" t="n">
        <f aca="false">N657-O657</f>
        <v>-0.824014798965225</v>
      </c>
      <c r="Q657" s="7" t="n">
        <v>0</v>
      </c>
      <c r="R657" s="3" t="n">
        <f aca="false">IF(AND(Q657=1,B657-_xlfn.MINIFS($B$2:$B$2705,$A$2:$A$2705,A657)&lt;10),1,0)</f>
        <v>0</v>
      </c>
      <c r="S657" s="7" t="n">
        <v>0</v>
      </c>
      <c r="T657" s="3" t="n">
        <f aca="false">_xlfn.MINIFS($B$2:$B$2705,$A$2:$A$2705,A657)</f>
        <v>1901</v>
      </c>
      <c r="U657" s="3" t="n">
        <f aca="false">B657-T657</f>
        <v>41</v>
      </c>
      <c r="V657" s="3" t="str">
        <f aca="false">INDEX(Pop_Inputs!$Q$2:$Q$29,MATCH(C657,Pop_Inputs!$A$2:$A$29,0))</f>
        <v>Midwest</v>
      </c>
      <c r="W657" s="30"/>
      <c r="X657" s="3" t="str">
        <f aca="false">IF(W657="","",LN(W657))</f>
        <v/>
      </c>
      <c r="Y657" s="3" t="str">
        <f aca="false">IF(X657="","",X657-AVERAGEIFS($X$2:$X$2705,$B$2:$B$2705,B657))</f>
        <v/>
      </c>
      <c r="Z657" s="21" t="n">
        <f aca="false">P657</f>
        <v>-0.824014798965225</v>
      </c>
      <c r="AA657" s="3" t="n">
        <f aca="false">R657</f>
        <v>0</v>
      </c>
      <c r="AB657" s="21" t="n">
        <f aca="false">P657</f>
        <v>-0.824014798965225</v>
      </c>
      <c r="AC657" s="3" t="str">
        <f aca="false">Y657</f>
        <v/>
      </c>
      <c r="AD657" s="3" t="n">
        <f aca="false">R657</f>
        <v>0</v>
      </c>
    </row>
    <row r="658" customFormat="false" ht="15" hidden="false" customHeight="true" outlineLevel="0" collapsed="false">
      <c r="A658" s="7" t="s">
        <v>64</v>
      </c>
      <c r="B658" s="7" t="n">
        <v>1942</v>
      </c>
      <c r="C658" s="7" t="s">
        <v>150</v>
      </c>
      <c r="D658" s="7" t="n">
        <v>93</v>
      </c>
      <c r="E658" s="7" t="n">
        <v>59</v>
      </c>
      <c r="F658" s="3" t="n">
        <f aca="false">COUNTIFS($B$2:$B$2705,B658,$C$2:$C$2705,C658)</f>
        <v>2</v>
      </c>
      <c r="G658" s="3" t="n">
        <f aca="false">MIN(INT((MIN(B658,2020)-1900)/10)+1,12)</f>
        <v>5</v>
      </c>
      <c r="H658" s="3" t="n">
        <f aca="false">(MIN(B658,2020)-1900-10*(G658-1))/10</f>
        <v>0.2</v>
      </c>
      <c r="I658" s="20" t="n">
        <f aca="false">EXP(LN(INDEX(Pop_Inputs!$B$2:$N$29,MATCH(C658,Pop_Inputs!$A$2:$A$29,0),G658))*(1-H658)+LN(INDEX(Pop_Inputs!$B$2:$N$29,MATCH(C658,Pop_Inputs!$A$2:$A$29,0),G658+1))*H658)</f>
        <v>776846.499341499</v>
      </c>
      <c r="J658" s="20" t="n">
        <f aca="false">I658/F658</f>
        <v>388423.24967075</v>
      </c>
      <c r="K658" s="21" t="n">
        <f aca="false">D658/(D658+E658)</f>
        <v>0.611842105263158</v>
      </c>
      <c r="L658" s="21" t="n">
        <f aca="false">AVERAGEIFS($K$2:$K$2705,$B$2:$B$2705,B658)</f>
        <v>0.499288918105517</v>
      </c>
      <c r="M658" s="21" t="n">
        <f aca="false">K658-L658</f>
        <v>0.112553187157641</v>
      </c>
      <c r="N658" s="21" t="n">
        <f aca="false">LN(J658)</f>
        <v>12.8698508737281</v>
      </c>
      <c r="O658" s="21" t="n">
        <f aca="false">AVERAGEIFS($N$2:$N$2705,$B$2:$B$2705,B658)</f>
        <v>13.7528414089159</v>
      </c>
      <c r="P658" s="21" t="n">
        <f aca="false">N658-O658</f>
        <v>-0.882990535187791</v>
      </c>
      <c r="Q658" s="7" t="n">
        <v>0</v>
      </c>
      <c r="R658" s="3" t="n">
        <f aca="false">IF(AND(Q658=1,B658-_xlfn.MINIFS($B$2:$B$2705,$A$2:$A$2705,A658)&lt;10),1,0)</f>
        <v>0</v>
      </c>
      <c r="S658" s="7" t="n">
        <v>0</v>
      </c>
      <c r="T658" s="3" t="n">
        <f aca="false">_xlfn.MINIFS($B$2:$B$2705,$A$2:$A$2705,A658)</f>
        <v>1901</v>
      </c>
      <c r="U658" s="3" t="n">
        <f aca="false">B658-T658</f>
        <v>41</v>
      </c>
      <c r="V658" s="3" t="str">
        <f aca="false">INDEX(Pop_Inputs!$Q$2:$Q$29,MATCH(C658,Pop_Inputs!$A$2:$A$29,0))</f>
        <v>Northeast</v>
      </c>
      <c r="W658" s="30"/>
      <c r="X658" s="3" t="str">
        <f aca="false">IF(W658="","",LN(W658))</f>
        <v/>
      </c>
      <c r="Y658" s="3" t="str">
        <f aca="false">IF(X658="","",X658-AVERAGEIFS($X$2:$X$2705,$B$2:$B$2705,B658))</f>
        <v/>
      </c>
      <c r="Z658" s="21" t="n">
        <f aca="false">P658</f>
        <v>-0.882990535187791</v>
      </c>
      <c r="AA658" s="3" t="n">
        <f aca="false">R658</f>
        <v>0</v>
      </c>
      <c r="AB658" s="21" t="n">
        <f aca="false">P658</f>
        <v>-0.882990535187791</v>
      </c>
      <c r="AC658" s="3" t="str">
        <f aca="false">Y658</f>
        <v/>
      </c>
      <c r="AD658" s="3" t="n">
        <f aca="false">R658</f>
        <v>0</v>
      </c>
    </row>
    <row r="659" customFormat="false" ht="15" hidden="false" customHeight="true" outlineLevel="0" collapsed="false">
      <c r="A659" s="7" t="s">
        <v>56</v>
      </c>
      <c r="B659" s="7" t="n">
        <v>1942</v>
      </c>
      <c r="C659" s="7" t="s">
        <v>142</v>
      </c>
      <c r="D659" s="7" t="n">
        <v>68</v>
      </c>
      <c r="E659" s="7" t="n">
        <v>86</v>
      </c>
      <c r="F659" s="3" t="n">
        <f aca="false">COUNTIFS($B$2:$B$2705,B659,$C$2:$C$2705,C659)</f>
        <v>2</v>
      </c>
      <c r="G659" s="3" t="n">
        <f aca="false">MIN(INT((MIN(B659,2020)-1900)/10)+1,12)</f>
        <v>5</v>
      </c>
      <c r="H659" s="3" t="n">
        <f aca="false">(MIN(B659,2020)-1900-10*(G659-1))/10</f>
        <v>0.2</v>
      </c>
      <c r="I659" s="20" t="n">
        <f aca="false">EXP(LN(INDEX(Pop_Inputs!$B$2:$N$29,MATCH(C659,Pop_Inputs!$A$2:$A$29,0),G659))*(1-H659)+LN(INDEX(Pop_Inputs!$B$2:$N$29,MATCH(C659,Pop_Inputs!$A$2:$A$29,0),G659+1))*H659)</f>
        <v>3440500.24535953</v>
      </c>
      <c r="J659" s="20" t="n">
        <f aca="false">I659/F659</f>
        <v>1720250.12267977</v>
      </c>
      <c r="K659" s="21" t="n">
        <f aca="false">D659/(D659+E659)</f>
        <v>0.441558441558442</v>
      </c>
      <c r="L659" s="21" t="n">
        <f aca="false">AVERAGEIFS($K$2:$K$2705,$B$2:$B$2705,B659)</f>
        <v>0.499288918105517</v>
      </c>
      <c r="M659" s="21" t="n">
        <f aca="false">K659-L659</f>
        <v>-0.0577304765470752</v>
      </c>
      <c r="N659" s="21" t="n">
        <f aca="false">LN(J659)</f>
        <v>14.3579802583798</v>
      </c>
      <c r="O659" s="21" t="n">
        <f aca="false">AVERAGEIFS($N$2:$N$2705,$B$2:$B$2705,B659)</f>
        <v>13.7528414089159</v>
      </c>
      <c r="P659" s="21" t="n">
        <f aca="false">N659-O659</f>
        <v>0.605138849463888</v>
      </c>
      <c r="Q659" s="7" t="n">
        <v>0</v>
      </c>
      <c r="R659" s="3" t="n">
        <f aca="false">IF(AND(Q659=1,B659-_xlfn.MINIFS($B$2:$B$2705,$A$2:$A$2705,A659)&lt;10),1,0)</f>
        <v>0</v>
      </c>
      <c r="S659" s="7" t="n">
        <v>0</v>
      </c>
      <c r="T659" s="3" t="n">
        <f aca="false">_xlfn.MINIFS($B$2:$B$2705,$A$2:$A$2705,A659)</f>
        <v>1901</v>
      </c>
      <c r="U659" s="3" t="n">
        <f aca="false">B659-T659</f>
        <v>41</v>
      </c>
      <c r="V659" s="3" t="str">
        <f aca="false">INDEX(Pop_Inputs!$Q$2:$Q$29,MATCH(C659,Pop_Inputs!$A$2:$A$29,0))</f>
        <v>Midwest</v>
      </c>
      <c r="W659" s="30"/>
      <c r="X659" s="3" t="str">
        <f aca="false">IF(W659="","",LN(W659))</f>
        <v/>
      </c>
      <c r="Y659" s="3" t="str">
        <f aca="false">IF(X659="","",X659-AVERAGEIFS($X$2:$X$2705,$B$2:$B$2705,B659))</f>
        <v/>
      </c>
      <c r="Z659" s="21" t="n">
        <f aca="false">P659</f>
        <v>0.605138849463888</v>
      </c>
      <c r="AA659" s="3" t="n">
        <f aca="false">R659</f>
        <v>0</v>
      </c>
      <c r="AB659" s="21" t="n">
        <f aca="false">P659</f>
        <v>0.605138849463888</v>
      </c>
      <c r="AC659" s="3" t="str">
        <f aca="false">Y659</f>
        <v/>
      </c>
      <c r="AD659" s="3" t="n">
        <f aca="false">R659</f>
        <v>0</v>
      </c>
    </row>
    <row r="660" customFormat="false" ht="15" hidden="false" customHeight="true" outlineLevel="0" collapsed="false">
      <c r="A660" s="7" t="s">
        <v>65</v>
      </c>
      <c r="B660" s="7" t="n">
        <v>1942</v>
      </c>
      <c r="C660" s="7" t="s">
        <v>142</v>
      </c>
      <c r="D660" s="7" t="n">
        <v>66</v>
      </c>
      <c r="E660" s="7" t="n">
        <v>82</v>
      </c>
      <c r="F660" s="3" t="n">
        <f aca="false">COUNTIFS($B$2:$B$2705,B660,$C$2:$C$2705,C660)</f>
        <v>2</v>
      </c>
      <c r="G660" s="3" t="n">
        <f aca="false">MIN(INT((MIN(B660,2020)-1900)/10)+1,12)</f>
        <v>5</v>
      </c>
      <c r="H660" s="3" t="n">
        <f aca="false">(MIN(B660,2020)-1900-10*(G660-1))/10</f>
        <v>0.2</v>
      </c>
      <c r="I660" s="20" t="n">
        <f aca="false">EXP(LN(INDEX(Pop_Inputs!$B$2:$N$29,MATCH(C660,Pop_Inputs!$A$2:$A$29,0),G660))*(1-H660)+LN(INDEX(Pop_Inputs!$B$2:$N$29,MATCH(C660,Pop_Inputs!$A$2:$A$29,0),G660+1))*H660)</f>
        <v>3440500.24535953</v>
      </c>
      <c r="J660" s="20" t="n">
        <f aca="false">I660/F660</f>
        <v>1720250.12267977</v>
      </c>
      <c r="K660" s="21" t="n">
        <f aca="false">D660/(D660+E660)</f>
        <v>0.445945945945946</v>
      </c>
      <c r="L660" s="21" t="n">
        <f aca="false">AVERAGEIFS($K$2:$K$2705,$B$2:$B$2705,B660)</f>
        <v>0.499288918105517</v>
      </c>
      <c r="M660" s="21" t="n">
        <f aca="false">K660-L660</f>
        <v>-0.0533429721595708</v>
      </c>
      <c r="N660" s="21" t="n">
        <f aca="false">LN(J660)</f>
        <v>14.3579802583798</v>
      </c>
      <c r="O660" s="21" t="n">
        <f aca="false">AVERAGEIFS($N$2:$N$2705,$B$2:$B$2705,B660)</f>
        <v>13.7528414089159</v>
      </c>
      <c r="P660" s="21" t="n">
        <f aca="false">N660-O660</f>
        <v>0.605138849463888</v>
      </c>
      <c r="Q660" s="7" t="n">
        <v>0</v>
      </c>
      <c r="R660" s="3" t="n">
        <f aca="false">IF(AND(Q660=1,B660-_xlfn.MINIFS($B$2:$B$2705,$A$2:$A$2705,A660)&lt;10),1,0)</f>
        <v>0</v>
      </c>
      <c r="S660" s="7" t="n">
        <v>0</v>
      </c>
      <c r="T660" s="3" t="n">
        <f aca="false">_xlfn.MINIFS($B$2:$B$2705,$A$2:$A$2705,A660)</f>
        <v>1901</v>
      </c>
      <c r="U660" s="3" t="n">
        <f aca="false">B660-T660</f>
        <v>41</v>
      </c>
      <c r="V660" s="3" t="str">
        <f aca="false">INDEX(Pop_Inputs!$Q$2:$Q$29,MATCH(C660,Pop_Inputs!$A$2:$A$29,0))</f>
        <v>Midwest</v>
      </c>
      <c r="W660" s="30"/>
      <c r="X660" s="3" t="str">
        <f aca="false">IF(W660="","",LN(W660))</f>
        <v/>
      </c>
      <c r="Y660" s="3" t="str">
        <f aca="false">IF(X660="","",X660-AVERAGEIFS($X$2:$X$2705,$B$2:$B$2705,B660))</f>
        <v/>
      </c>
      <c r="Z660" s="21" t="n">
        <f aca="false">P660</f>
        <v>0.605138849463888</v>
      </c>
      <c r="AA660" s="3" t="n">
        <f aca="false">R660</f>
        <v>0</v>
      </c>
      <c r="AB660" s="21" t="n">
        <f aca="false">P660</f>
        <v>0.605138849463888</v>
      </c>
      <c r="AC660" s="3" t="str">
        <f aca="false">Y660</f>
        <v/>
      </c>
      <c r="AD660" s="3" t="n">
        <f aca="false">R660</f>
        <v>0</v>
      </c>
    </row>
    <row r="661" customFormat="false" ht="15" hidden="false" customHeight="true" outlineLevel="0" collapsed="false">
      <c r="A661" s="7" t="s">
        <v>57</v>
      </c>
      <c r="B661" s="7" t="n">
        <v>1942</v>
      </c>
      <c r="C661" s="7" t="s">
        <v>143</v>
      </c>
      <c r="D661" s="7" t="n">
        <v>76</v>
      </c>
      <c r="E661" s="7" t="n">
        <v>76</v>
      </c>
      <c r="F661" s="3" t="n">
        <f aca="false">COUNTIFS($B$2:$B$2705,B661,$C$2:$C$2705,C661)</f>
        <v>1</v>
      </c>
      <c r="G661" s="3" t="n">
        <f aca="false">MIN(INT((MIN(B661,2020)-1900)/10)+1,12)</f>
        <v>5</v>
      </c>
      <c r="H661" s="3" t="n">
        <f aca="false">(MIN(B661,2020)-1900-10*(G661-1))/10</f>
        <v>0.2</v>
      </c>
      <c r="I661" s="20" t="n">
        <f aca="false">EXP(LN(INDEX(Pop_Inputs!$B$2:$N$29,MATCH(C661,Pop_Inputs!$A$2:$A$29,0),G661))*(1-H661)+LN(INDEX(Pop_Inputs!$B$2:$N$29,MATCH(C661,Pop_Inputs!$A$2:$A$29,0),G661+1))*H661)</f>
        <v>464900.871964281</v>
      </c>
      <c r="J661" s="20" t="n">
        <f aca="false">I661/F661</f>
        <v>464900.871964281</v>
      </c>
      <c r="K661" s="21" t="n">
        <f aca="false">D661/(D661+E661)</f>
        <v>0.5</v>
      </c>
      <c r="L661" s="21" t="n">
        <f aca="false">AVERAGEIFS($K$2:$K$2705,$B$2:$B$2705,B661)</f>
        <v>0.499288918105517</v>
      </c>
      <c r="M661" s="21" t="n">
        <f aca="false">K661-L661</f>
        <v>0.000711081894483268</v>
      </c>
      <c r="N661" s="21" t="n">
        <f aca="false">LN(J661)</f>
        <v>13.0495794832723</v>
      </c>
      <c r="O661" s="21" t="n">
        <f aca="false">AVERAGEIFS($N$2:$N$2705,$B$2:$B$2705,B661)</f>
        <v>13.7528414089159</v>
      </c>
      <c r="P661" s="21" t="n">
        <f aca="false">N661-O661</f>
        <v>-0.703261925643643</v>
      </c>
      <c r="Q661" s="7" t="n">
        <v>0</v>
      </c>
      <c r="R661" s="3" t="n">
        <f aca="false">IF(AND(Q661=1,B661-_xlfn.MINIFS($B$2:$B$2705,$A$2:$A$2705,A661)&lt;10),1,0)</f>
        <v>0</v>
      </c>
      <c r="S661" s="7" t="n">
        <v>0</v>
      </c>
      <c r="T661" s="3" t="n">
        <f aca="false">_xlfn.MINIFS($B$2:$B$2705,$A$2:$A$2705,A661)</f>
        <v>1901</v>
      </c>
      <c r="U661" s="3" t="n">
        <f aca="false">B661-T661</f>
        <v>41</v>
      </c>
      <c r="V661" s="3" t="str">
        <f aca="false">INDEX(Pop_Inputs!$Q$2:$Q$29,MATCH(C661,Pop_Inputs!$A$2:$A$29,0))</f>
        <v>Midwest</v>
      </c>
      <c r="W661" s="30"/>
      <c r="X661" s="3" t="str">
        <f aca="false">IF(W661="","",LN(W661))</f>
        <v/>
      </c>
      <c r="Y661" s="3" t="str">
        <f aca="false">IF(X661="","",X661-AVERAGEIFS($X$2:$X$2705,$B$2:$B$2705,B661))</f>
        <v/>
      </c>
      <c r="Z661" s="21" t="n">
        <f aca="false">P661</f>
        <v>-0.703261925643643</v>
      </c>
      <c r="AA661" s="3" t="n">
        <f aca="false">R661</f>
        <v>0</v>
      </c>
      <c r="AB661" s="21" t="n">
        <f aca="false">P661</f>
        <v>-0.703261925643643</v>
      </c>
      <c r="AC661" s="3" t="str">
        <f aca="false">Y661</f>
        <v/>
      </c>
      <c r="AD661" s="3" t="n">
        <f aca="false">R661</f>
        <v>0</v>
      </c>
    </row>
    <row r="662" customFormat="false" ht="15" hidden="false" customHeight="true" outlineLevel="0" collapsed="false">
      <c r="A662" s="7" t="s">
        <v>66</v>
      </c>
      <c r="B662" s="7" t="n">
        <v>1942</v>
      </c>
      <c r="C662" s="7" t="s">
        <v>151</v>
      </c>
      <c r="D662" s="7" t="n">
        <v>75</v>
      </c>
      <c r="E662" s="7" t="n">
        <v>79</v>
      </c>
      <c r="F662" s="3" t="n">
        <f aca="false">COUNTIFS($B$2:$B$2705,B662,$C$2:$C$2705,C662)</f>
        <v>1</v>
      </c>
      <c r="G662" s="3" t="n">
        <f aca="false">MIN(INT((MIN(B662,2020)-1900)/10)+1,12)</f>
        <v>5</v>
      </c>
      <c r="H662" s="3" t="n">
        <f aca="false">(MIN(B662,2020)-1900-10*(G662-1))/10</f>
        <v>0.2</v>
      </c>
      <c r="I662" s="20" t="n">
        <f aca="false">EXP(LN(INDEX(Pop_Inputs!$B$2:$N$29,MATCH(C662,Pop_Inputs!$A$2:$A$29,0),G662))*(1-H662)+LN(INDEX(Pop_Inputs!$B$2:$N$29,MATCH(C662,Pop_Inputs!$A$2:$A$29,0),G662+1))*H662)</f>
        <v>885512.176505729</v>
      </c>
      <c r="J662" s="20" t="n">
        <f aca="false">I662/F662</f>
        <v>885512.176505729</v>
      </c>
      <c r="K662" s="21" t="n">
        <f aca="false">D662/(D662+E662)</f>
        <v>0.487012987012987</v>
      </c>
      <c r="L662" s="21" t="n">
        <f aca="false">AVERAGEIFS($K$2:$K$2705,$B$2:$B$2705,B662)</f>
        <v>0.499288918105517</v>
      </c>
      <c r="M662" s="21" t="n">
        <f aca="false">K662-L662</f>
        <v>-0.0122759310925297</v>
      </c>
      <c r="N662" s="21" t="n">
        <f aca="false">LN(J662)</f>
        <v>13.6939214871051</v>
      </c>
      <c r="O662" s="21" t="n">
        <f aca="false">AVERAGEIFS($N$2:$N$2705,$B$2:$B$2705,B662)</f>
        <v>13.7528414089159</v>
      </c>
      <c r="P662" s="21" t="n">
        <f aca="false">N662-O662</f>
        <v>-0.0589199218108227</v>
      </c>
      <c r="Q662" s="7" t="n">
        <v>0</v>
      </c>
      <c r="R662" s="3" t="n">
        <f aca="false">IF(AND(Q662=1,B662-_xlfn.MINIFS($B$2:$B$2705,$A$2:$A$2705,A662)&lt;10),1,0)</f>
        <v>0</v>
      </c>
      <c r="S662" s="7" t="n">
        <v>0</v>
      </c>
      <c r="T662" s="3" t="n">
        <f aca="false">_xlfn.MINIFS($B$2:$B$2705,$A$2:$A$2705,A662)</f>
        <v>1901</v>
      </c>
      <c r="U662" s="3" t="n">
        <f aca="false">B662-T662</f>
        <v>41</v>
      </c>
      <c r="V662" s="3" t="str">
        <f aca="false">INDEX(Pop_Inputs!$Q$2:$Q$29,MATCH(C662,Pop_Inputs!$A$2:$A$29,0))</f>
        <v>Midwest</v>
      </c>
      <c r="W662" s="30"/>
      <c r="X662" s="3" t="str">
        <f aca="false">IF(W662="","",LN(W662))</f>
        <v/>
      </c>
      <c r="Y662" s="3" t="str">
        <f aca="false">IF(X662="","",X662-AVERAGEIFS($X$2:$X$2705,$B$2:$B$2705,B662))</f>
        <v/>
      </c>
      <c r="Z662" s="21" t="n">
        <f aca="false">P662</f>
        <v>-0.0589199218108227</v>
      </c>
      <c r="AA662" s="3" t="n">
        <f aca="false">R662</f>
        <v>0</v>
      </c>
      <c r="AB662" s="21" t="n">
        <f aca="false">P662</f>
        <v>-0.0589199218108227</v>
      </c>
      <c r="AC662" s="3" t="str">
        <f aca="false">Y662</f>
        <v/>
      </c>
      <c r="AD662" s="3" t="n">
        <f aca="false">R662</f>
        <v>0</v>
      </c>
    </row>
    <row r="663" customFormat="false" ht="15" hidden="false" customHeight="true" outlineLevel="0" collapsed="false">
      <c r="A663" s="7" t="s">
        <v>67</v>
      </c>
      <c r="B663" s="7" t="n">
        <v>1942</v>
      </c>
      <c r="C663" s="7" t="s">
        <v>152</v>
      </c>
      <c r="D663" s="7" t="n">
        <v>73</v>
      </c>
      <c r="E663" s="7" t="n">
        <v>81</v>
      </c>
      <c r="F663" s="3" t="n">
        <f aca="false">COUNTIFS($B$2:$B$2705,B663,$C$2:$C$2705,C663)</f>
        <v>1</v>
      </c>
      <c r="G663" s="3" t="n">
        <f aca="false">MIN(INT((MIN(B663,2020)-1900)/10)+1,12)</f>
        <v>5</v>
      </c>
      <c r="H663" s="3" t="n">
        <f aca="false">(MIN(B663,2020)-1900-10*(G663-1))/10</f>
        <v>0.2</v>
      </c>
      <c r="I663" s="20" t="n">
        <f aca="false">EXP(LN(INDEX(Pop_Inputs!$B$2:$N$29,MATCH(C663,Pop_Inputs!$A$2:$A$29,0),G663))*(1-H663)+LN(INDEX(Pop_Inputs!$B$2:$N$29,MATCH(C663,Pop_Inputs!$A$2:$A$29,0),G663+1))*H663)</f>
        <v>1666347.68551558</v>
      </c>
      <c r="J663" s="20" t="n">
        <f aca="false">I663/F663</f>
        <v>1666347.68551558</v>
      </c>
      <c r="K663" s="21" t="n">
        <f aca="false">D663/(D663+E663)</f>
        <v>0.474025974025974</v>
      </c>
      <c r="L663" s="21" t="n">
        <f aca="false">AVERAGEIFS($K$2:$K$2705,$B$2:$B$2705,B663)</f>
        <v>0.499288918105517</v>
      </c>
      <c r="M663" s="21" t="n">
        <f aca="false">K663-L663</f>
        <v>-0.0252629440795427</v>
      </c>
      <c r="N663" s="21" t="n">
        <f aca="false">LN(J663)</f>
        <v>14.3261447747225</v>
      </c>
      <c r="O663" s="21" t="n">
        <f aca="false">AVERAGEIFS($N$2:$N$2705,$B$2:$B$2705,B663)</f>
        <v>13.7528414089159</v>
      </c>
      <c r="P663" s="21" t="n">
        <f aca="false">N663-O663</f>
        <v>0.573303365806545</v>
      </c>
      <c r="Q663" s="7" t="n">
        <v>0</v>
      </c>
      <c r="R663" s="3" t="n">
        <f aca="false">IF(AND(Q663=1,B663-_xlfn.MINIFS($B$2:$B$2705,$A$2:$A$2705,A663)&lt;10),1,0)</f>
        <v>0</v>
      </c>
      <c r="S663" s="7" t="n">
        <v>0</v>
      </c>
      <c r="T663" s="3" t="n">
        <f aca="false">_xlfn.MINIFS($B$2:$B$2705,$A$2:$A$2705,A663)</f>
        <v>1901</v>
      </c>
      <c r="U663" s="3" t="n">
        <f aca="false">B663-T663</f>
        <v>41</v>
      </c>
      <c r="V663" s="3" t="str">
        <f aca="false">INDEX(Pop_Inputs!$Q$2:$Q$29,MATCH(C663,Pop_Inputs!$A$2:$A$29,0))</f>
        <v>Midwest</v>
      </c>
      <c r="W663" s="30"/>
      <c r="X663" s="3" t="str">
        <f aca="false">IF(W663="","",LN(W663))</f>
        <v/>
      </c>
      <c r="Y663" s="3" t="str">
        <f aca="false">IF(X663="","",X663-AVERAGEIFS($X$2:$X$2705,$B$2:$B$2705,B663))</f>
        <v/>
      </c>
      <c r="Z663" s="21" t="n">
        <f aca="false">P663</f>
        <v>0.573303365806545</v>
      </c>
      <c r="AA663" s="3" t="n">
        <f aca="false">R663</f>
        <v>0</v>
      </c>
      <c r="AB663" s="21" t="n">
        <f aca="false">P663</f>
        <v>0.573303365806545</v>
      </c>
      <c r="AC663" s="3" t="str">
        <f aca="false">Y663</f>
        <v/>
      </c>
      <c r="AD663" s="3" t="n">
        <f aca="false">R663</f>
        <v>0</v>
      </c>
    </row>
    <row r="664" customFormat="false" ht="15" hidden="false" customHeight="true" outlineLevel="0" collapsed="false">
      <c r="A664" s="7" t="s">
        <v>62</v>
      </c>
      <c r="B664" s="7" t="n">
        <v>1942</v>
      </c>
      <c r="C664" s="7" t="s">
        <v>154</v>
      </c>
      <c r="D664" s="7" t="n">
        <v>104</v>
      </c>
      <c r="E664" s="7" t="n">
        <v>50</v>
      </c>
      <c r="F664" s="3" t="n">
        <f aca="false">COUNTIFS($B$2:$B$2705,B664,$C$2:$C$2705,C664)</f>
        <v>3</v>
      </c>
      <c r="G664" s="3" t="n">
        <f aca="false">MIN(INT((MIN(B664,2020)-1900)/10)+1,12)</f>
        <v>5</v>
      </c>
      <c r="H664" s="3" t="n">
        <f aca="false">(MIN(B664,2020)-1900-10*(G664-1))/10</f>
        <v>0.2</v>
      </c>
      <c r="I664" s="20" t="n">
        <f aca="false">EXP(LN(INDEX(Pop_Inputs!$B$2:$N$29,MATCH(C664,Pop_Inputs!$A$2:$A$29,0),G664))*(1-H664)+LN(INDEX(Pop_Inputs!$B$2:$N$29,MATCH(C664,Pop_Inputs!$A$2:$A$29,0),G664+1))*H664)</f>
        <v>7540407.683128</v>
      </c>
      <c r="J664" s="20" t="n">
        <f aca="false">I664/F664</f>
        <v>2513469.22770933</v>
      </c>
      <c r="K664" s="21" t="n">
        <f aca="false">D664/(D664+E664)</f>
        <v>0.675324675324675</v>
      </c>
      <c r="L664" s="21" t="n">
        <f aca="false">AVERAGEIFS($K$2:$K$2705,$B$2:$B$2705,B664)</f>
        <v>0.499288918105517</v>
      </c>
      <c r="M664" s="21" t="n">
        <f aca="false">K664-L664</f>
        <v>0.176035757219159</v>
      </c>
      <c r="N664" s="21" t="n">
        <f aca="false">LN(J664)</f>
        <v>14.7371745192347</v>
      </c>
      <c r="O664" s="21" t="n">
        <f aca="false">AVERAGEIFS($N$2:$N$2705,$B$2:$B$2705,B664)</f>
        <v>13.7528414089159</v>
      </c>
      <c r="P664" s="21" t="n">
        <f aca="false">N664-O664</f>
        <v>0.984333110318788</v>
      </c>
      <c r="Q664" s="7" t="n">
        <v>0</v>
      </c>
      <c r="R664" s="3" t="n">
        <f aca="false">IF(AND(Q664=1,B664-_xlfn.MINIFS($B$2:$B$2705,$A$2:$A$2705,A664)&lt;10),1,0)</f>
        <v>0</v>
      </c>
      <c r="S664" s="7" t="n">
        <v>0</v>
      </c>
      <c r="T664" s="3" t="n">
        <f aca="false">_xlfn.MINIFS($B$2:$B$2705,$A$2:$A$2705,A664)</f>
        <v>1901</v>
      </c>
      <c r="U664" s="3" t="n">
        <f aca="false">B664-T664</f>
        <v>41</v>
      </c>
      <c r="V664" s="3" t="str">
        <f aca="false">INDEX(Pop_Inputs!$Q$2:$Q$29,MATCH(C664,Pop_Inputs!$A$2:$A$29,0))</f>
        <v>Northeast</v>
      </c>
      <c r="W664" s="30"/>
      <c r="X664" s="3" t="str">
        <f aca="false">IF(W664="","",LN(W664))</f>
        <v/>
      </c>
      <c r="Y664" s="3" t="str">
        <f aca="false">IF(X664="","",X664-AVERAGEIFS($X$2:$X$2705,$B$2:$B$2705,B664))</f>
        <v/>
      </c>
      <c r="Z664" s="21" t="n">
        <f aca="false">P664</f>
        <v>0.984333110318788</v>
      </c>
      <c r="AA664" s="3" t="n">
        <f aca="false">R664</f>
        <v>0</v>
      </c>
      <c r="AB664" s="21" t="n">
        <f aca="false">P664</f>
        <v>0.984333110318788</v>
      </c>
      <c r="AC664" s="3" t="str">
        <f aca="false">Y664</f>
        <v/>
      </c>
      <c r="AD664" s="3" t="n">
        <f aca="false">R664</f>
        <v>0</v>
      </c>
    </row>
    <row r="665" customFormat="false" ht="15" hidden="false" customHeight="true" outlineLevel="0" collapsed="false">
      <c r="A665" s="7" t="s">
        <v>68</v>
      </c>
      <c r="B665" s="7" t="n">
        <v>1942</v>
      </c>
      <c r="C665" s="7" t="s">
        <v>160</v>
      </c>
      <c r="D665" s="7" t="n">
        <v>62</v>
      </c>
      <c r="E665" s="7" t="n">
        <v>89</v>
      </c>
      <c r="F665" s="3" t="n">
        <f aca="false">COUNTIFS($B$2:$B$2705,B665,$C$2:$C$2705,C665)</f>
        <v>1</v>
      </c>
      <c r="G665" s="3" t="n">
        <f aca="false">MIN(INT((MIN(B665,2020)-1900)/10)+1,12)</f>
        <v>5</v>
      </c>
      <c r="H665" s="3" t="n">
        <f aca="false">(MIN(B665,2020)-1900-10*(G665-1))/10</f>
        <v>0.2</v>
      </c>
      <c r="I665" s="20" t="n">
        <f aca="false">EXP(LN(INDEX(Pop_Inputs!$B$2:$N$29,MATCH(C665,Pop_Inputs!$A$2:$A$29,0),G665))*(1-H665)+LN(INDEX(Pop_Inputs!$B$2:$N$29,MATCH(C665,Pop_Inputs!$A$2:$A$29,0),G665+1))*H665)</f>
        <v>688830.95612346</v>
      </c>
      <c r="J665" s="20" t="n">
        <f aca="false">I665/F665</f>
        <v>688830.95612346</v>
      </c>
      <c r="K665" s="21" t="n">
        <f aca="false">D665/(D665+E665)</f>
        <v>0.410596026490066</v>
      </c>
      <c r="L665" s="21" t="n">
        <f aca="false">AVERAGEIFS($K$2:$K$2705,$B$2:$B$2705,B665)</f>
        <v>0.499288918105517</v>
      </c>
      <c r="M665" s="21" t="n">
        <f aca="false">K665-L665</f>
        <v>-0.0886928916154505</v>
      </c>
      <c r="N665" s="21" t="n">
        <f aca="false">LN(J665)</f>
        <v>13.442751173193</v>
      </c>
      <c r="O665" s="21" t="n">
        <f aca="false">AVERAGEIFS($N$2:$N$2705,$B$2:$B$2705,B665)</f>
        <v>13.7528414089159</v>
      </c>
      <c r="P665" s="21" t="n">
        <f aca="false">N665-O665</f>
        <v>-0.310090235722894</v>
      </c>
      <c r="Q665" s="7" t="n">
        <v>0</v>
      </c>
      <c r="R665" s="3" t="n">
        <f aca="false">IF(AND(Q665=1,B665-_xlfn.MINIFS($B$2:$B$2705,$A$2:$A$2705,A665)&lt;10),1,0)</f>
        <v>0</v>
      </c>
      <c r="S665" s="7" t="n">
        <v>0</v>
      </c>
      <c r="T665" s="3" t="n">
        <f aca="false">_xlfn.MINIFS($B$2:$B$2705,$A$2:$A$2705,A665)</f>
        <v>1901</v>
      </c>
      <c r="U665" s="3" t="n">
        <f aca="false">B665-T665</f>
        <v>41</v>
      </c>
      <c r="V665" s="3" t="str">
        <f aca="false">INDEX(Pop_Inputs!$Q$2:$Q$29,MATCH(C665,Pop_Inputs!$A$2:$A$29,0))</f>
        <v>South</v>
      </c>
      <c r="W665" s="30"/>
      <c r="X665" s="3" t="str">
        <f aca="false">IF(W665="","",LN(W665))</f>
        <v/>
      </c>
      <c r="Y665" s="3" t="str">
        <f aca="false">IF(X665="","",X665-AVERAGEIFS($X$2:$X$2705,$B$2:$B$2705,B665))</f>
        <v/>
      </c>
      <c r="Z665" s="21" t="n">
        <f aca="false">P665</f>
        <v>-0.310090235722894</v>
      </c>
      <c r="AA665" s="3" t="n">
        <f aca="false">R665</f>
        <v>0</v>
      </c>
      <c r="AB665" s="21" t="n">
        <f aca="false">P665</f>
        <v>-0.310090235722894</v>
      </c>
      <c r="AC665" s="3" t="str">
        <f aca="false">Y665</f>
        <v/>
      </c>
      <c r="AD665" s="3" t="n">
        <f aca="false">R665</f>
        <v>0</v>
      </c>
    </row>
    <row r="666" customFormat="false" ht="15" hidden="false" customHeight="true" outlineLevel="0" collapsed="false">
      <c r="A666" s="7" t="s">
        <v>70</v>
      </c>
      <c r="B666" s="7" t="n">
        <v>1942</v>
      </c>
      <c r="C666" s="7" t="s">
        <v>154</v>
      </c>
      <c r="D666" s="7" t="n">
        <v>103</v>
      </c>
      <c r="E666" s="7" t="n">
        <v>51</v>
      </c>
      <c r="F666" s="3" t="n">
        <f aca="false">COUNTIFS($B$2:$B$2705,B666,$C$2:$C$2705,C666)</f>
        <v>3</v>
      </c>
      <c r="G666" s="3" t="n">
        <f aca="false">MIN(INT((MIN(B666,2020)-1900)/10)+1,12)</f>
        <v>5</v>
      </c>
      <c r="H666" s="3" t="n">
        <f aca="false">(MIN(B666,2020)-1900-10*(G666-1))/10</f>
        <v>0.2</v>
      </c>
      <c r="I666" s="20" t="n">
        <f aca="false">EXP(LN(INDEX(Pop_Inputs!$B$2:$N$29,MATCH(C666,Pop_Inputs!$A$2:$A$29,0),G666))*(1-H666)+LN(INDEX(Pop_Inputs!$B$2:$N$29,MATCH(C666,Pop_Inputs!$A$2:$A$29,0),G666+1))*H666)</f>
        <v>7540407.683128</v>
      </c>
      <c r="J666" s="20" t="n">
        <f aca="false">I666/F666</f>
        <v>2513469.22770933</v>
      </c>
      <c r="K666" s="21" t="n">
        <f aca="false">D666/(D666+E666)</f>
        <v>0.668831168831169</v>
      </c>
      <c r="L666" s="21" t="n">
        <f aca="false">AVERAGEIFS($K$2:$K$2705,$B$2:$B$2705,B666)</f>
        <v>0.499288918105517</v>
      </c>
      <c r="M666" s="21" t="n">
        <f aca="false">K666-L666</f>
        <v>0.169542250725652</v>
      </c>
      <c r="N666" s="21" t="n">
        <f aca="false">LN(J666)</f>
        <v>14.7371745192347</v>
      </c>
      <c r="O666" s="21" t="n">
        <f aca="false">AVERAGEIFS($N$2:$N$2705,$B$2:$B$2705,B666)</f>
        <v>13.7528414089159</v>
      </c>
      <c r="P666" s="21" t="n">
        <f aca="false">N666-O666</f>
        <v>0.984333110318788</v>
      </c>
      <c r="Q666" s="7" t="n">
        <v>0</v>
      </c>
      <c r="R666" s="3" t="n">
        <f aca="false">IF(AND(Q666=1,B666-_xlfn.MINIFS($B$2:$B$2705,$A$2:$A$2705,A666)&lt;10),1,0)</f>
        <v>0</v>
      </c>
      <c r="S666" s="7" t="n">
        <v>1</v>
      </c>
      <c r="T666" s="3" t="n">
        <f aca="false">_xlfn.MINIFS($B$2:$B$2705,$A$2:$A$2705,A666)</f>
        <v>1903</v>
      </c>
      <c r="U666" s="3" t="n">
        <f aca="false">B666-T666</f>
        <v>39</v>
      </c>
      <c r="V666" s="3" t="str">
        <f aca="false">INDEX(Pop_Inputs!$Q$2:$Q$29,MATCH(C666,Pop_Inputs!$A$2:$A$29,0))</f>
        <v>Northeast</v>
      </c>
      <c r="W666" s="30"/>
      <c r="X666" s="3" t="str">
        <f aca="false">IF(W666="","",LN(W666))</f>
        <v/>
      </c>
      <c r="Y666" s="3" t="str">
        <f aca="false">IF(X666="","",X666-AVERAGEIFS($X$2:$X$2705,$B$2:$B$2705,B666))</f>
        <v/>
      </c>
      <c r="Z666" s="21" t="n">
        <f aca="false">P666</f>
        <v>0.984333110318788</v>
      </c>
      <c r="AA666" s="3" t="n">
        <f aca="false">R666</f>
        <v>0</v>
      </c>
      <c r="AB666" s="21" t="n">
        <f aca="false">P666</f>
        <v>0.984333110318788</v>
      </c>
      <c r="AC666" s="3" t="str">
        <f aca="false">Y666</f>
        <v/>
      </c>
      <c r="AD666" s="3" t="n">
        <f aca="false">R666</f>
        <v>0</v>
      </c>
    </row>
    <row r="667" customFormat="false" ht="15" hidden="false" customHeight="true" outlineLevel="0" collapsed="false">
      <c r="A667" s="7" t="s">
        <v>69</v>
      </c>
      <c r="B667" s="7" t="n">
        <v>1942</v>
      </c>
      <c r="C667" s="7" t="s">
        <v>146</v>
      </c>
      <c r="D667" s="7" t="n">
        <v>55</v>
      </c>
      <c r="E667" s="7" t="n">
        <v>99</v>
      </c>
      <c r="F667" s="3" t="n">
        <f aca="false">COUNTIFS($B$2:$B$2705,B667,$C$2:$C$2705,C667)</f>
        <v>2</v>
      </c>
      <c r="G667" s="3" t="n">
        <f aca="false">MIN(INT((MIN(B667,2020)-1900)/10)+1,12)</f>
        <v>5</v>
      </c>
      <c r="H667" s="3" t="n">
        <f aca="false">(MIN(B667,2020)-1900-10*(G667-1))/10</f>
        <v>0.2</v>
      </c>
      <c r="I667" s="20" t="n">
        <f aca="false">EXP(LN(INDEX(Pop_Inputs!$B$2:$N$29,MATCH(C667,Pop_Inputs!$A$2:$A$29,0),G667))*(1-H667)+LN(INDEX(Pop_Inputs!$B$2:$N$29,MATCH(C667,Pop_Inputs!$A$2:$A$29,0),G667+1))*H667)</f>
        <v>1958606.984807</v>
      </c>
      <c r="J667" s="20" t="n">
        <f aca="false">I667/F667</f>
        <v>979303.492403498</v>
      </c>
      <c r="K667" s="21" t="n">
        <f aca="false">D667/(D667+E667)</f>
        <v>0.357142857142857</v>
      </c>
      <c r="L667" s="21" t="n">
        <f aca="false">AVERAGEIFS($K$2:$K$2705,$B$2:$B$2705,B667)</f>
        <v>0.499288918105517</v>
      </c>
      <c r="M667" s="21" t="n">
        <f aca="false">K667-L667</f>
        <v>-0.14214606096266</v>
      </c>
      <c r="N667" s="21" t="n">
        <f aca="false">LN(J667)</f>
        <v>13.7945968759269</v>
      </c>
      <c r="O667" s="21" t="n">
        <f aca="false">AVERAGEIFS($N$2:$N$2705,$B$2:$B$2705,B667)</f>
        <v>13.7528414089159</v>
      </c>
      <c r="P667" s="21" t="n">
        <f aca="false">N667-O667</f>
        <v>0.0417554670109528</v>
      </c>
      <c r="Q667" s="7" t="n">
        <v>0</v>
      </c>
      <c r="R667" s="3" t="n">
        <f aca="false">IF(AND(Q667=1,B667-_xlfn.MINIFS($B$2:$B$2705,$A$2:$A$2705,A667)&lt;10),1,0)</f>
        <v>0</v>
      </c>
      <c r="S667" s="7" t="n">
        <v>0</v>
      </c>
      <c r="T667" s="3" t="n">
        <f aca="false">_xlfn.MINIFS($B$2:$B$2705,$A$2:$A$2705,A667)</f>
        <v>1901</v>
      </c>
      <c r="U667" s="3" t="n">
        <f aca="false">B667-T667</f>
        <v>41</v>
      </c>
      <c r="V667" s="3" t="str">
        <f aca="false">INDEX(Pop_Inputs!$Q$2:$Q$29,MATCH(C667,Pop_Inputs!$A$2:$A$29,0))</f>
        <v>Northeast</v>
      </c>
      <c r="W667" s="30"/>
      <c r="X667" s="3" t="str">
        <f aca="false">IF(W667="","",LN(W667))</f>
        <v/>
      </c>
      <c r="Y667" s="3" t="str">
        <f aca="false">IF(X667="","",X667-AVERAGEIFS($X$2:$X$2705,$B$2:$B$2705,B667))</f>
        <v/>
      </c>
      <c r="Z667" s="21" t="n">
        <f aca="false">P667</f>
        <v>0.0417554670109528</v>
      </c>
      <c r="AA667" s="3" t="n">
        <f aca="false">R667</f>
        <v>0</v>
      </c>
      <c r="AB667" s="21" t="n">
        <f aca="false">P667</f>
        <v>0.0417554670109528</v>
      </c>
      <c r="AC667" s="3" t="str">
        <f aca="false">Y667</f>
        <v/>
      </c>
      <c r="AD667" s="3" t="n">
        <f aca="false">R667</f>
        <v>0</v>
      </c>
    </row>
    <row r="668" customFormat="false" ht="15" hidden="false" customHeight="true" outlineLevel="0" collapsed="false">
      <c r="A668" s="7" t="s">
        <v>60</v>
      </c>
      <c r="B668" s="7" t="n">
        <v>1942</v>
      </c>
      <c r="C668" s="7" t="s">
        <v>146</v>
      </c>
      <c r="D668" s="7" t="n">
        <v>42</v>
      </c>
      <c r="E668" s="7" t="n">
        <v>109</v>
      </c>
      <c r="F668" s="3" t="n">
        <f aca="false">COUNTIFS($B$2:$B$2705,B668,$C$2:$C$2705,C668)</f>
        <v>2</v>
      </c>
      <c r="G668" s="3" t="n">
        <f aca="false">MIN(INT((MIN(B668,2020)-1900)/10)+1,12)</f>
        <v>5</v>
      </c>
      <c r="H668" s="3" t="n">
        <f aca="false">(MIN(B668,2020)-1900-10*(G668-1))/10</f>
        <v>0.2</v>
      </c>
      <c r="I668" s="20" t="n">
        <f aca="false">EXP(LN(INDEX(Pop_Inputs!$B$2:$N$29,MATCH(C668,Pop_Inputs!$A$2:$A$29,0),G668))*(1-H668)+LN(INDEX(Pop_Inputs!$B$2:$N$29,MATCH(C668,Pop_Inputs!$A$2:$A$29,0),G668+1))*H668)</f>
        <v>1958606.984807</v>
      </c>
      <c r="J668" s="20" t="n">
        <f aca="false">I668/F668</f>
        <v>979303.492403498</v>
      </c>
      <c r="K668" s="21" t="n">
        <f aca="false">D668/(D668+E668)</f>
        <v>0.278145695364238</v>
      </c>
      <c r="L668" s="21" t="n">
        <f aca="false">AVERAGEIFS($K$2:$K$2705,$B$2:$B$2705,B668)</f>
        <v>0.499288918105517</v>
      </c>
      <c r="M668" s="21" t="n">
        <f aca="false">K668-L668</f>
        <v>-0.221143222741278</v>
      </c>
      <c r="N668" s="21" t="n">
        <f aca="false">LN(J668)</f>
        <v>13.7945968759269</v>
      </c>
      <c r="O668" s="21" t="n">
        <f aca="false">AVERAGEIFS($N$2:$N$2705,$B$2:$B$2705,B668)</f>
        <v>13.7528414089159</v>
      </c>
      <c r="P668" s="21" t="n">
        <f aca="false">N668-O668</f>
        <v>0.0417554670109528</v>
      </c>
      <c r="Q668" s="7" t="n">
        <v>0</v>
      </c>
      <c r="R668" s="3" t="n">
        <f aca="false">IF(AND(Q668=1,B668-_xlfn.MINIFS($B$2:$B$2705,$A$2:$A$2705,A668)&lt;10),1,0)</f>
        <v>0</v>
      </c>
      <c r="S668" s="7" t="n">
        <v>0</v>
      </c>
      <c r="T668" s="3" t="n">
        <f aca="false">_xlfn.MINIFS($B$2:$B$2705,$A$2:$A$2705,A668)</f>
        <v>1901</v>
      </c>
      <c r="U668" s="3" t="n">
        <f aca="false">B668-T668</f>
        <v>41</v>
      </c>
      <c r="V668" s="3" t="str">
        <f aca="false">INDEX(Pop_Inputs!$Q$2:$Q$29,MATCH(C668,Pop_Inputs!$A$2:$A$29,0))</f>
        <v>Northeast</v>
      </c>
      <c r="W668" s="30"/>
      <c r="X668" s="3" t="str">
        <f aca="false">IF(W668="","",LN(W668))</f>
        <v/>
      </c>
      <c r="Y668" s="3" t="str">
        <f aca="false">IF(X668="","",X668-AVERAGEIFS($X$2:$X$2705,$B$2:$B$2705,B668))</f>
        <v/>
      </c>
      <c r="Z668" s="21" t="n">
        <f aca="false">P668</f>
        <v>0.0417554670109528</v>
      </c>
      <c r="AA668" s="3" t="n">
        <f aca="false">R668</f>
        <v>0</v>
      </c>
      <c r="AB668" s="21" t="n">
        <f aca="false">P668</f>
        <v>0.0417554670109528</v>
      </c>
      <c r="AC668" s="3" t="str">
        <f aca="false">Y668</f>
        <v/>
      </c>
      <c r="AD668" s="3" t="n">
        <f aca="false">R668</f>
        <v>0</v>
      </c>
    </row>
    <row r="669" customFormat="false" ht="15" hidden="false" customHeight="true" outlineLevel="0" collapsed="false">
      <c r="A669" s="7" t="s">
        <v>58</v>
      </c>
      <c r="B669" s="7" t="n">
        <v>1942</v>
      </c>
      <c r="C669" s="7" t="s">
        <v>144</v>
      </c>
      <c r="D669" s="7" t="n">
        <v>66</v>
      </c>
      <c r="E669" s="7" t="n">
        <v>81</v>
      </c>
      <c r="F669" s="3" t="n">
        <f aca="false">COUNTIFS($B$2:$B$2705,B669,$C$2:$C$2705,C669)</f>
        <v>1</v>
      </c>
      <c r="G669" s="3" t="n">
        <f aca="false">MIN(INT((MIN(B669,2020)-1900)/10)+1,12)</f>
        <v>5</v>
      </c>
      <c r="H669" s="3" t="n">
        <f aca="false">(MIN(B669,2020)-1900-10*(G669-1))/10</f>
        <v>0.2</v>
      </c>
      <c r="I669" s="20" t="n">
        <f aca="false">EXP(LN(INDEX(Pop_Inputs!$B$2:$N$29,MATCH(C669,Pop_Inputs!$A$2:$A$29,0),G669))*(1-H669)+LN(INDEX(Pop_Inputs!$B$2:$N$29,MATCH(C669,Pop_Inputs!$A$2:$A$29,0),G669+1))*H669)</f>
        <v>672685.259066443</v>
      </c>
      <c r="J669" s="20" t="n">
        <f aca="false">I669/F669</f>
        <v>672685.259066443</v>
      </c>
      <c r="K669" s="21" t="n">
        <f aca="false">D669/(D669+E669)</f>
        <v>0.448979591836735</v>
      </c>
      <c r="L669" s="21" t="n">
        <f aca="false">AVERAGEIFS($K$2:$K$2705,$B$2:$B$2705,B669)</f>
        <v>0.499288918105517</v>
      </c>
      <c r="M669" s="21" t="n">
        <f aca="false">K669-L669</f>
        <v>-0.050309326268782</v>
      </c>
      <c r="N669" s="21" t="n">
        <f aca="false">LN(J669)</f>
        <v>13.4190328306867</v>
      </c>
      <c r="O669" s="21" t="n">
        <f aca="false">AVERAGEIFS($N$2:$N$2705,$B$2:$B$2705,B669)</f>
        <v>13.7528414089159</v>
      </c>
      <c r="P669" s="21" t="n">
        <f aca="false">N669-O669</f>
        <v>-0.333808578229213</v>
      </c>
      <c r="Q669" s="7" t="n">
        <v>0</v>
      </c>
      <c r="R669" s="3" t="n">
        <f aca="false">IF(AND(Q669=1,B669-_xlfn.MINIFS($B$2:$B$2705,$A$2:$A$2705,A669)&lt;10),1,0)</f>
        <v>0</v>
      </c>
      <c r="S669" s="7" t="n">
        <v>0</v>
      </c>
      <c r="T669" s="3" t="n">
        <f aca="false">_xlfn.MINIFS($B$2:$B$2705,$A$2:$A$2705,A669)</f>
        <v>1901</v>
      </c>
      <c r="U669" s="3" t="n">
        <f aca="false">B669-T669</f>
        <v>41</v>
      </c>
      <c r="V669" s="3" t="str">
        <f aca="false">INDEX(Pop_Inputs!$Q$2:$Q$29,MATCH(C669,Pop_Inputs!$A$2:$A$29,0))</f>
        <v>Northeast</v>
      </c>
      <c r="W669" s="30"/>
      <c r="X669" s="3" t="str">
        <f aca="false">IF(W669="","",LN(W669))</f>
        <v/>
      </c>
      <c r="Y669" s="3" t="str">
        <f aca="false">IF(X669="","",X669-AVERAGEIFS($X$2:$X$2705,$B$2:$B$2705,B669))</f>
        <v/>
      </c>
      <c r="Z669" s="21" t="n">
        <f aca="false">P669</f>
        <v>-0.333808578229213</v>
      </c>
      <c r="AA669" s="3" t="n">
        <f aca="false">R669</f>
        <v>0</v>
      </c>
      <c r="AB669" s="21" t="n">
        <f aca="false">P669</f>
        <v>-0.333808578229213</v>
      </c>
      <c r="AC669" s="3" t="str">
        <f aca="false">Y669</f>
        <v/>
      </c>
      <c r="AD669" s="3" t="n">
        <f aca="false">R669</f>
        <v>0</v>
      </c>
    </row>
    <row r="670" customFormat="false" ht="15" hidden="false" customHeight="true" outlineLevel="0" collapsed="false">
      <c r="A670" s="7" t="s">
        <v>61</v>
      </c>
      <c r="B670" s="7" t="n">
        <v>1942</v>
      </c>
      <c r="C670" s="7" t="s">
        <v>154</v>
      </c>
      <c r="D670" s="7" t="n">
        <v>85</v>
      </c>
      <c r="E670" s="7" t="n">
        <v>67</v>
      </c>
      <c r="F670" s="3" t="n">
        <f aca="false">COUNTIFS($B$2:$B$2705,B670,$C$2:$C$2705,C670)</f>
        <v>3</v>
      </c>
      <c r="G670" s="3" t="n">
        <f aca="false">MIN(INT((MIN(B670,2020)-1900)/10)+1,12)</f>
        <v>5</v>
      </c>
      <c r="H670" s="3" t="n">
        <f aca="false">(MIN(B670,2020)-1900-10*(G670-1))/10</f>
        <v>0.2</v>
      </c>
      <c r="I670" s="20" t="n">
        <f aca="false">EXP(LN(INDEX(Pop_Inputs!$B$2:$N$29,MATCH(C670,Pop_Inputs!$A$2:$A$29,0),G670))*(1-H670)+LN(INDEX(Pop_Inputs!$B$2:$N$29,MATCH(C670,Pop_Inputs!$A$2:$A$29,0),G670+1))*H670)</f>
        <v>7540407.683128</v>
      </c>
      <c r="J670" s="20" t="n">
        <f aca="false">I670/F670</f>
        <v>2513469.22770933</v>
      </c>
      <c r="K670" s="21" t="n">
        <f aca="false">D670/(D670+E670)</f>
        <v>0.55921052631579</v>
      </c>
      <c r="L670" s="21" t="n">
        <f aca="false">AVERAGEIFS($K$2:$K$2705,$B$2:$B$2705,B670)</f>
        <v>0.499288918105517</v>
      </c>
      <c r="M670" s="21" t="n">
        <f aca="false">K670-L670</f>
        <v>0.0599216082102728</v>
      </c>
      <c r="N670" s="21" t="n">
        <f aca="false">LN(J670)</f>
        <v>14.7371745192347</v>
      </c>
      <c r="O670" s="21" t="n">
        <f aca="false">AVERAGEIFS($N$2:$N$2705,$B$2:$B$2705,B670)</f>
        <v>13.7528414089159</v>
      </c>
      <c r="P670" s="21" t="n">
        <f aca="false">N670-O670</f>
        <v>0.984333110318788</v>
      </c>
      <c r="Q670" s="7" t="n">
        <v>0</v>
      </c>
      <c r="R670" s="3" t="n">
        <f aca="false">IF(AND(Q670=1,B670-_xlfn.MINIFS($B$2:$B$2705,$A$2:$A$2705,A670)&lt;10),1,0)</f>
        <v>0</v>
      </c>
      <c r="S670" s="7" t="n">
        <v>0</v>
      </c>
      <c r="T670" s="3" t="n">
        <f aca="false">_xlfn.MINIFS($B$2:$B$2705,$A$2:$A$2705,A670)</f>
        <v>1901</v>
      </c>
      <c r="U670" s="3" t="n">
        <f aca="false">B670-T670</f>
        <v>41</v>
      </c>
      <c r="V670" s="3" t="str">
        <f aca="false">INDEX(Pop_Inputs!$Q$2:$Q$29,MATCH(C670,Pop_Inputs!$A$2:$A$29,0))</f>
        <v>Northeast</v>
      </c>
      <c r="W670" s="30"/>
      <c r="X670" s="3" t="str">
        <f aca="false">IF(W670="","",LN(W670))</f>
        <v/>
      </c>
      <c r="Y670" s="3" t="str">
        <f aca="false">IF(X670="","",X670-AVERAGEIFS($X$2:$X$2705,$B$2:$B$2705,B670))</f>
        <v/>
      </c>
      <c r="Z670" s="21" t="n">
        <f aca="false">P670</f>
        <v>0.984333110318788</v>
      </c>
      <c r="AA670" s="3" t="n">
        <f aca="false">R670</f>
        <v>0</v>
      </c>
      <c r="AB670" s="21" t="n">
        <f aca="false">P670</f>
        <v>0.984333110318788</v>
      </c>
      <c r="AC670" s="3" t="str">
        <f aca="false">Y670</f>
        <v/>
      </c>
      <c r="AD670" s="3" t="n">
        <f aca="false">R670</f>
        <v>0</v>
      </c>
    </row>
    <row r="671" customFormat="false" ht="15" hidden="false" customHeight="true" outlineLevel="0" collapsed="false">
      <c r="A671" s="7" t="s">
        <v>59</v>
      </c>
      <c r="B671" s="7" t="n">
        <v>1942</v>
      </c>
      <c r="C671" s="7" t="s">
        <v>145</v>
      </c>
      <c r="D671" s="7" t="n">
        <v>106</v>
      </c>
      <c r="E671" s="7" t="n">
        <v>48</v>
      </c>
      <c r="F671" s="3" t="n">
        <f aca="false">COUNTIFS($B$2:$B$2705,B671,$C$2:$C$2705,C671)</f>
        <v>2</v>
      </c>
      <c r="G671" s="3" t="n">
        <f aca="false">MIN(INT((MIN(B671,2020)-1900)/10)+1,12)</f>
        <v>5</v>
      </c>
      <c r="H671" s="3" t="n">
        <f aca="false">(MIN(B671,2020)-1900-10*(G671-1))/10</f>
        <v>0.2</v>
      </c>
      <c r="I671" s="20" t="n">
        <f aca="false">EXP(LN(INDEX(Pop_Inputs!$B$2:$N$29,MATCH(C671,Pop_Inputs!$A$2:$A$29,0),G671))*(1-H671)+LN(INDEX(Pop_Inputs!$B$2:$N$29,MATCH(C671,Pop_Inputs!$A$2:$A$29,0),G671+1))*H671)</f>
        <v>824039.537802616</v>
      </c>
      <c r="J671" s="20" t="n">
        <f aca="false">I671/F671</f>
        <v>412019.768901308</v>
      </c>
      <c r="K671" s="21" t="n">
        <f aca="false">D671/(D671+E671)</f>
        <v>0.688311688311688</v>
      </c>
      <c r="L671" s="21" t="n">
        <f aca="false">AVERAGEIFS($K$2:$K$2705,$B$2:$B$2705,B671)</f>
        <v>0.499288918105517</v>
      </c>
      <c r="M671" s="21" t="n">
        <f aca="false">K671-L671</f>
        <v>0.189022770206172</v>
      </c>
      <c r="N671" s="21" t="n">
        <f aca="false">LN(J671)</f>
        <v>12.9288266099507</v>
      </c>
      <c r="O671" s="21" t="n">
        <f aca="false">AVERAGEIFS($N$2:$N$2705,$B$2:$B$2705,B671)</f>
        <v>13.7528414089159</v>
      </c>
      <c r="P671" s="21" t="n">
        <f aca="false">N671-O671</f>
        <v>-0.824014798965225</v>
      </c>
      <c r="Q671" s="7" t="n">
        <v>0</v>
      </c>
      <c r="R671" s="3" t="n">
        <f aca="false">IF(AND(Q671=1,B671-_xlfn.MINIFS($B$2:$B$2705,$A$2:$A$2705,A671)&lt;10),1,0)</f>
        <v>0</v>
      </c>
      <c r="S671" s="7" t="n">
        <v>0</v>
      </c>
      <c r="T671" s="3" t="n">
        <f aca="false">_xlfn.MINIFS($B$2:$B$2705,$A$2:$A$2705,A671)</f>
        <v>1901</v>
      </c>
      <c r="U671" s="3" t="n">
        <f aca="false">B671-T671</f>
        <v>41</v>
      </c>
      <c r="V671" s="3" t="str">
        <f aca="false">INDEX(Pop_Inputs!$Q$2:$Q$29,MATCH(C671,Pop_Inputs!$A$2:$A$29,0))</f>
        <v>Midwest</v>
      </c>
      <c r="W671" s="30"/>
      <c r="X671" s="3" t="str">
        <f aca="false">IF(W671="","",LN(W671))</f>
        <v/>
      </c>
      <c r="Y671" s="3" t="str">
        <f aca="false">IF(X671="","",X671-AVERAGEIFS($X$2:$X$2705,$B$2:$B$2705,B671))</f>
        <v/>
      </c>
      <c r="Z671" s="21" t="n">
        <f aca="false">P671</f>
        <v>-0.824014798965225</v>
      </c>
      <c r="AA671" s="3" t="n">
        <f aca="false">R671</f>
        <v>0</v>
      </c>
      <c r="AB671" s="21" t="n">
        <f aca="false">P671</f>
        <v>-0.824014798965225</v>
      </c>
      <c r="AC671" s="3" t="str">
        <f aca="false">Y671</f>
        <v/>
      </c>
      <c r="AD671" s="3" t="n">
        <f aca="false">R671</f>
        <v>0</v>
      </c>
    </row>
    <row r="672" customFormat="false" ht="15" hidden="false" customHeight="true" outlineLevel="0" collapsed="false">
      <c r="A672" s="7" t="s">
        <v>54</v>
      </c>
      <c r="B672" s="7" t="n">
        <v>1943</v>
      </c>
      <c r="C672" s="7" t="s">
        <v>150</v>
      </c>
      <c r="D672" s="7" t="n">
        <v>68</v>
      </c>
      <c r="E672" s="7" t="n">
        <v>85</v>
      </c>
      <c r="F672" s="3" t="n">
        <f aca="false">COUNTIFS($B$2:$B$2705,B672,$C$2:$C$2705,C672)</f>
        <v>2</v>
      </c>
      <c r="G672" s="3" t="n">
        <f aca="false">MIN(INT((MIN(B672,2020)-1900)/10)+1,12)</f>
        <v>5</v>
      </c>
      <c r="H672" s="3" t="n">
        <f aca="false">(MIN(B672,2020)-1900-10*(G672-1))/10</f>
        <v>0.3</v>
      </c>
      <c r="I672" s="20" t="n">
        <f aca="false">EXP(LN(INDEX(Pop_Inputs!$B$2:$N$29,MATCH(C672,Pop_Inputs!$A$2:$A$29,0),G672))*(1-H672)+LN(INDEX(Pop_Inputs!$B$2:$N$29,MATCH(C672,Pop_Inputs!$A$2:$A$29,0),G672+1))*H672)</f>
        <v>779879.418424251</v>
      </c>
      <c r="J672" s="20" t="n">
        <f aca="false">I672/F672</f>
        <v>389939.709212125</v>
      </c>
      <c r="K672" s="21" t="n">
        <f aca="false">D672/(D672+E672)</f>
        <v>0.444444444444444</v>
      </c>
      <c r="L672" s="21" t="n">
        <f aca="false">AVERAGEIFS($K$2:$K$2705,$B$2:$B$2705,B672)</f>
        <v>0.499896130701084</v>
      </c>
      <c r="M672" s="21" t="n">
        <f aca="false">K672-L672</f>
        <v>-0.0554516862566398</v>
      </c>
      <c r="N672" s="21" t="n">
        <f aca="false">LN(J672)</f>
        <v>12.8737474143915</v>
      </c>
      <c r="O672" s="21" t="n">
        <f aca="false">AVERAGEIFS($N$2:$N$2705,$B$2:$B$2705,B672)</f>
        <v>13.7596186962744</v>
      </c>
      <c r="P672" s="21" t="n">
        <f aca="false">N672-O672</f>
        <v>-0.885871281882913</v>
      </c>
      <c r="Q672" s="7" t="n">
        <v>0</v>
      </c>
      <c r="R672" s="3" t="n">
        <f aca="false">IF(AND(Q672=1,B672-_xlfn.MINIFS($B$2:$B$2705,$A$2:$A$2705,A672)&lt;10),1,0)</f>
        <v>0</v>
      </c>
      <c r="S672" s="7" t="n">
        <v>0</v>
      </c>
      <c r="T672" s="3" t="n">
        <f aca="false">_xlfn.MINIFS($B$2:$B$2705,$A$2:$A$2705,A672)</f>
        <v>1901</v>
      </c>
      <c r="U672" s="3" t="n">
        <f aca="false">B672-T672</f>
        <v>42</v>
      </c>
      <c r="V672" s="3" t="str">
        <f aca="false">INDEX(Pop_Inputs!$Q$2:$Q$29,MATCH(C672,Pop_Inputs!$A$2:$A$29,0))</f>
        <v>Northeast</v>
      </c>
      <c r="W672" s="30"/>
      <c r="X672" s="3" t="str">
        <f aca="false">IF(W672="","",LN(W672))</f>
        <v/>
      </c>
      <c r="Y672" s="3" t="str">
        <f aca="false">IF(X672="","",X672-AVERAGEIFS($X$2:$X$2705,$B$2:$B$2705,B672))</f>
        <v/>
      </c>
      <c r="Z672" s="21" t="n">
        <f aca="false">P672</f>
        <v>-0.885871281882913</v>
      </c>
      <c r="AA672" s="3" t="n">
        <f aca="false">R672</f>
        <v>0</v>
      </c>
      <c r="AB672" s="21" t="n">
        <f aca="false">P672</f>
        <v>-0.885871281882913</v>
      </c>
      <c r="AC672" s="3" t="str">
        <f aca="false">Y672</f>
        <v/>
      </c>
      <c r="AD672" s="3" t="n">
        <f aca="false">R672</f>
        <v>0</v>
      </c>
    </row>
    <row r="673" customFormat="false" ht="15" hidden="false" customHeight="true" outlineLevel="0" collapsed="false">
      <c r="A673" s="7" t="s">
        <v>63</v>
      </c>
      <c r="B673" s="7" t="n">
        <v>1943</v>
      </c>
      <c r="C673" s="7" t="s">
        <v>145</v>
      </c>
      <c r="D673" s="7" t="n">
        <v>72</v>
      </c>
      <c r="E673" s="7" t="n">
        <v>80</v>
      </c>
      <c r="F673" s="3" t="n">
        <f aca="false">COUNTIFS($B$2:$B$2705,B673,$C$2:$C$2705,C673)</f>
        <v>2</v>
      </c>
      <c r="G673" s="3" t="n">
        <f aca="false">MIN(INT((MIN(B673,2020)-1900)/10)+1,12)</f>
        <v>5</v>
      </c>
      <c r="H673" s="3" t="n">
        <f aca="false">(MIN(B673,2020)-1900-10*(G673-1))/10</f>
        <v>0.3</v>
      </c>
      <c r="I673" s="20" t="n">
        <f aca="false">EXP(LN(INDEX(Pop_Inputs!$B$2:$N$29,MATCH(C673,Pop_Inputs!$A$2:$A$29,0),G673))*(1-H673)+LN(INDEX(Pop_Inputs!$B$2:$N$29,MATCH(C673,Pop_Inputs!$A$2:$A$29,0),G673+1))*H673)</f>
        <v>828064.606827742</v>
      </c>
      <c r="J673" s="20" t="n">
        <f aca="false">I673/F673</f>
        <v>414032.303413871</v>
      </c>
      <c r="K673" s="21" t="n">
        <f aca="false">D673/(D673+E673)</f>
        <v>0.473684210526316</v>
      </c>
      <c r="L673" s="21" t="n">
        <f aca="false">AVERAGEIFS($K$2:$K$2705,$B$2:$B$2705,B673)</f>
        <v>0.499896130701084</v>
      </c>
      <c r="M673" s="21" t="n">
        <f aca="false">K673-L673</f>
        <v>-0.0262119201747685</v>
      </c>
      <c r="N673" s="21" t="n">
        <f aca="false">LN(J673)</f>
        <v>12.9336992773332</v>
      </c>
      <c r="O673" s="21" t="n">
        <f aca="false">AVERAGEIFS($N$2:$N$2705,$B$2:$B$2705,B673)</f>
        <v>13.7596186962744</v>
      </c>
      <c r="P673" s="21" t="n">
        <f aca="false">N673-O673</f>
        <v>-0.825919418941227</v>
      </c>
      <c r="Q673" s="7" t="n">
        <v>0</v>
      </c>
      <c r="R673" s="3" t="n">
        <f aca="false">IF(AND(Q673=1,B673-_xlfn.MINIFS($B$2:$B$2705,$A$2:$A$2705,A673)&lt;10),1,0)</f>
        <v>0</v>
      </c>
      <c r="S673" s="7" t="n">
        <v>0</v>
      </c>
      <c r="T673" s="3" t="n">
        <f aca="false">_xlfn.MINIFS($B$2:$B$2705,$A$2:$A$2705,A673)</f>
        <v>1901</v>
      </c>
      <c r="U673" s="3" t="n">
        <f aca="false">B673-T673</f>
        <v>42</v>
      </c>
      <c r="V673" s="3" t="str">
        <f aca="false">INDEX(Pop_Inputs!$Q$2:$Q$29,MATCH(C673,Pop_Inputs!$A$2:$A$29,0))</f>
        <v>Midwest</v>
      </c>
      <c r="W673" s="30"/>
      <c r="X673" s="3" t="str">
        <f aca="false">IF(W673="","",LN(W673))</f>
        <v/>
      </c>
      <c r="Y673" s="3" t="str">
        <f aca="false">IF(X673="","",X673-AVERAGEIFS($X$2:$X$2705,$B$2:$B$2705,B673))</f>
        <v/>
      </c>
      <c r="Z673" s="21" t="n">
        <f aca="false">P673</f>
        <v>-0.825919418941227</v>
      </c>
      <c r="AA673" s="3" t="n">
        <f aca="false">R673</f>
        <v>0</v>
      </c>
      <c r="AB673" s="21" t="n">
        <f aca="false">P673</f>
        <v>-0.825919418941227</v>
      </c>
      <c r="AC673" s="3" t="str">
        <f aca="false">Y673</f>
        <v/>
      </c>
      <c r="AD673" s="3" t="n">
        <f aca="false">R673</f>
        <v>0</v>
      </c>
    </row>
    <row r="674" customFormat="false" ht="15" hidden="false" customHeight="true" outlineLevel="0" collapsed="false">
      <c r="A674" s="7" t="s">
        <v>64</v>
      </c>
      <c r="B674" s="7" t="n">
        <v>1943</v>
      </c>
      <c r="C674" s="7" t="s">
        <v>150</v>
      </c>
      <c r="D674" s="7" t="n">
        <v>68</v>
      </c>
      <c r="E674" s="7" t="n">
        <v>84</v>
      </c>
      <c r="F674" s="3" t="n">
        <f aca="false">COUNTIFS($B$2:$B$2705,B674,$C$2:$C$2705,C674)</f>
        <v>2</v>
      </c>
      <c r="G674" s="3" t="n">
        <f aca="false">MIN(INT((MIN(B674,2020)-1900)/10)+1,12)</f>
        <v>5</v>
      </c>
      <c r="H674" s="3" t="n">
        <f aca="false">(MIN(B674,2020)-1900-10*(G674-1))/10</f>
        <v>0.3</v>
      </c>
      <c r="I674" s="20" t="n">
        <f aca="false">EXP(LN(INDEX(Pop_Inputs!$B$2:$N$29,MATCH(C674,Pop_Inputs!$A$2:$A$29,0),G674))*(1-H674)+LN(INDEX(Pop_Inputs!$B$2:$N$29,MATCH(C674,Pop_Inputs!$A$2:$A$29,0),G674+1))*H674)</f>
        <v>779879.418424251</v>
      </c>
      <c r="J674" s="20" t="n">
        <f aca="false">I674/F674</f>
        <v>389939.709212125</v>
      </c>
      <c r="K674" s="21" t="n">
        <f aca="false">D674/(D674+E674)</f>
        <v>0.447368421052632</v>
      </c>
      <c r="L674" s="21" t="n">
        <f aca="false">AVERAGEIFS($K$2:$K$2705,$B$2:$B$2705,B674)</f>
        <v>0.499896130701084</v>
      </c>
      <c r="M674" s="21" t="n">
        <f aca="false">K674-L674</f>
        <v>-0.0525277096484527</v>
      </c>
      <c r="N674" s="21" t="n">
        <f aca="false">LN(J674)</f>
        <v>12.8737474143915</v>
      </c>
      <c r="O674" s="21" t="n">
        <f aca="false">AVERAGEIFS($N$2:$N$2705,$B$2:$B$2705,B674)</f>
        <v>13.7596186962744</v>
      </c>
      <c r="P674" s="21" t="n">
        <f aca="false">N674-O674</f>
        <v>-0.885871281882913</v>
      </c>
      <c r="Q674" s="7" t="n">
        <v>0</v>
      </c>
      <c r="R674" s="3" t="n">
        <f aca="false">IF(AND(Q674=1,B674-_xlfn.MINIFS($B$2:$B$2705,$A$2:$A$2705,A674)&lt;10),1,0)</f>
        <v>0</v>
      </c>
      <c r="S674" s="7" t="n">
        <v>0</v>
      </c>
      <c r="T674" s="3" t="n">
        <f aca="false">_xlfn.MINIFS($B$2:$B$2705,$A$2:$A$2705,A674)</f>
        <v>1901</v>
      </c>
      <c r="U674" s="3" t="n">
        <f aca="false">B674-T674</f>
        <v>42</v>
      </c>
      <c r="V674" s="3" t="str">
        <f aca="false">INDEX(Pop_Inputs!$Q$2:$Q$29,MATCH(C674,Pop_Inputs!$A$2:$A$29,0))</f>
        <v>Northeast</v>
      </c>
      <c r="W674" s="30"/>
      <c r="X674" s="3" t="str">
        <f aca="false">IF(W674="","",LN(W674))</f>
        <v/>
      </c>
      <c r="Y674" s="3" t="str">
        <f aca="false">IF(X674="","",X674-AVERAGEIFS($X$2:$X$2705,$B$2:$B$2705,B674))</f>
        <v/>
      </c>
      <c r="Z674" s="21" t="n">
        <f aca="false">P674</f>
        <v>-0.885871281882913</v>
      </c>
      <c r="AA674" s="3" t="n">
        <f aca="false">R674</f>
        <v>0</v>
      </c>
      <c r="AB674" s="21" t="n">
        <f aca="false">P674</f>
        <v>-0.885871281882913</v>
      </c>
      <c r="AC674" s="3" t="str">
        <f aca="false">Y674</f>
        <v/>
      </c>
      <c r="AD674" s="3" t="n">
        <f aca="false">R674</f>
        <v>0</v>
      </c>
    </row>
    <row r="675" customFormat="false" ht="15" hidden="false" customHeight="true" outlineLevel="0" collapsed="false">
      <c r="A675" s="7" t="s">
        <v>56</v>
      </c>
      <c r="B675" s="7" t="n">
        <v>1943</v>
      </c>
      <c r="C675" s="7" t="s">
        <v>142</v>
      </c>
      <c r="D675" s="7" t="n">
        <v>74</v>
      </c>
      <c r="E675" s="7" t="n">
        <v>79</v>
      </c>
      <c r="F675" s="3" t="n">
        <f aca="false">COUNTIFS($B$2:$B$2705,B675,$C$2:$C$2705,C675)</f>
        <v>2</v>
      </c>
      <c r="G675" s="3" t="n">
        <f aca="false">MIN(INT((MIN(B675,2020)-1900)/10)+1,12)</f>
        <v>5</v>
      </c>
      <c r="H675" s="3" t="n">
        <f aca="false">(MIN(B675,2020)-1900-10*(G675-1))/10</f>
        <v>0.3</v>
      </c>
      <c r="I675" s="20" t="n">
        <f aca="false">EXP(LN(INDEX(Pop_Inputs!$B$2:$N$29,MATCH(C675,Pop_Inputs!$A$2:$A$29,0),G675))*(1-H675)+LN(INDEX(Pop_Inputs!$B$2:$N$29,MATCH(C675,Pop_Inputs!$A$2:$A$29,0),G675+1))*H675)</f>
        <v>3462556.669085</v>
      </c>
      <c r="J675" s="20" t="n">
        <f aca="false">I675/F675</f>
        <v>1731278.3345425</v>
      </c>
      <c r="K675" s="21" t="n">
        <f aca="false">D675/(D675+E675)</f>
        <v>0.483660130718954</v>
      </c>
      <c r="L675" s="21" t="n">
        <f aca="false">AVERAGEIFS($K$2:$K$2705,$B$2:$B$2705,B675)</f>
        <v>0.499896130701084</v>
      </c>
      <c r="M675" s="21" t="n">
        <f aca="false">K675-L675</f>
        <v>-0.01623599998213</v>
      </c>
      <c r="N675" s="21" t="n">
        <f aca="false">LN(J675)</f>
        <v>14.3643706153066</v>
      </c>
      <c r="O675" s="21" t="n">
        <f aca="false">AVERAGEIFS($N$2:$N$2705,$B$2:$B$2705,B675)</f>
        <v>13.7596186962744</v>
      </c>
      <c r="P675" s="21" t="n">
        <f aca="false">N675-O675</f>
        <v>0.604751919032177</v>
      </c>
      <c r="Q675" s="7" t="n">
        <v>0</v>
      </c>
      <c r="R675" s="3" t="n">
        <f aca="false">IF(AND(Q675=1,B675-_xlfn.MINIFS($B$2:$B$2705,$A$2:$A$2705,A675)&lt;10),1,0)</f>
        <v>0</v>
      </c>
      <c r="S675" s="7" t="n">
        <v>0</v>
      </c>
      <c r="T675" s="3" t="n">
        <f aca="false">_xlfn.MINIFS($B$2:$B$2705,$A$2:$A$2705,A675)</f>
        <v>1901</v>
      </c>
      <c r="U675" s="3" t="n">
        <f aca="false">B675-T675</f>
        <v>42</v>
      </c>
      <c r="V675" s="3" t="str">
        <f aca="false">INDEX(Pop_Inputs!$Q$2:$Q$29,MATCH(C675,Pop_Inputs!$A$2:$A$29,0))</f>
        <v>Midwest</v>
      </c>
      <c r="W675" s="30"/>
      <c r="X675" s="3" t="str">
        <f aca="false">IF(W675="","",LN(W675))</f>
        <v/>
      </c>
      <c r="Y675" s="3" t="str">
        <f aca="false">IF(X675="","",X675-AVERAGEIFS($X$2:$X$2705,$B$2:$B$2705,B675))</f>
        <v/>
      </c>
      <c r="Z675" s="21" t="n">
        <f aca="false">P675</f>
        <v>0.604751919032177</v>
      </c>
      <c r="AA675" s="3" t="n">
        <f aca="false">R675</f>
        <v>0</v>
      </c>
      <c r="AB675" s="21" t="n">
        <f aca="false">P675</f>
        <v>0.604751919032177</v>
      </c>
      <c r="AC675" s="3" t="str">
        <f aca="false">Y675</f>
        <v/>
      </c>
      <c r="AD675" s="3" t="n">
        <f aca="false">R675</f>
        <v>0</v>
      </c>
    </row>
    <row r="676" customFormat="false" ht="15" hidden="false" customHeight="true" outlineLevel="0" collapsed="false">
      <c r="A676" s="7" t="s">
        <v>65</v>
      </c>
      <c r="B676" s="7" t="n">
        <v>1943</v>
      </c>
      <c r="C676" s="7" t="s">
        <v>142</v>
      </c>
      <c r="D676" s="7" t="n">
        <v>82</v>
      </c>
      <c r="E676" s="7" t="n">
        <v>72</v>
      </c>
      <c r="F676" s="3" t="n">
        <f aca="false">COUNTIFS($B$2:$B$2705,B676,$C$2:$C$2705,C676)</f>
        <v>2</v>
      </c>
      <c r="G676" s="3" t="n">
        <f aca="false">MIN(INT((MIN(B676,2020)-1900)/10)+1,12)</f>
        <v>5</v>
      </c>
      <c r="H676" s="3" t="n">
        <f aca="false">(MIN(B676,2020)-1900-10*(G676-1))/10</f>
        <v>0.3</v>
      </c>
      <c r="I676" s="20" t="n">
        <f aca="false">EXP(LN(INDEX(Pop_Inputs!$B$2:$N$29,MATCH(C676,Pop_Inputs!$A$2:$A$29,0),G676))*(1-H676)+LN(INDEX(Pop_Inputs!$B$2:$N$29,MATCH(C676,Pop_Inputs!$A$2:$A$29,0),G676+1))*H676)</f>
        <v>3462556.669085</v>
      </c>
      <c r="J676" s="20" t="n">
        <f aca="false">I676/F676</f>
        <v>1731278.3345425</v>
      </c>
      <c r="K676" s="21" t="n">
        <f aca="false">D676/(D676+E676)</f>
        <v>0.532467532467532</v>
      </c>
      <c r="L676" s="21" t="n">
        <f aca="false">AVERAGEIFS($K$2:$K$2705,$B$2:$B$2705,B676)</f>
        <v>0.499896130701084</v>
      </c>
      <c r="M676" s="21" t="n">
        <f aca="false">K676-L676</f>
        <v>0.0325714017664482</v>
      </c>
      <c r="N676" s="21" t="n">
        <f aca="false">LN(J676)</f>
        <v>14.3643706153066</v>
      </c>
      <c r="O676" s="21" t="n">
        <f aca="false">AVERAGEIFS($N$2:$N$2705,$B$2:$B$2705,B676)</f>
        <v>13.7596186962744</v>
      </c>
      <c r="P676" s="21" t="n">
        <f aca="false">N676-O676</f>
        <v>0.604751919032177</v>
      </c>
      <c r="Q676" s="7" t="n">
        <v>0</v>
      </c>
      <c r="R676" s="3" t="n">
        <f aca="false">IF(AND(Q676=1,B676-_xlfn.MINIFS($B$2:$B$2705,$A$2:$A$2705,A676)&lt;10),1,0)</f>
        <v>0</v>
      </c>
      <c r="S676" s="7" t="n">
        <v>0</v>
      </c>
      <c r="T676" s="3" t="n">
        <f aca="false">_xlfn.MINIFS($B$2:$B$2705,$A$2:$A$2705,A676)</f>
        <v>1901</v>
      </c>
      <c r="U676" s="3" t="n">
        <f aca="false">B676-T676</f>
        <v>42</v>
      </c>
      <c r="V676" s="3" t="str">
        <f aca="false">INDEX(Pop_Inputs!$Q$2:$Q$29,MATCH(C676,Pop_Inputs!$A$2:$A$29,0))</f>
        <v>Midwest</v>
      </c>
      <c r="W676" s="30"/>
      <c r="X676" s="3" t="str">
        <f aca="false">IF(W676="","",LN(W676))</f>
        <v/>
      </c>
      <c r="Y676" s="3" t="str">
        <f aca="false">IF(X676="","",X676-AVERAGEIFS($X$2:$X$2705,$B$2:$B$2705,B676))</f>
        <v/>
      </c>
      <c r="Z676" s="21" t="n">
        <f aca="false">P676</f>
        <v>0.604751919032177</v>
      </c>
      <c r="AA676" s="3" t="n">
        <f aca="false">R676</f>
        <v>0</v>
      </c>
      <c r="AB676" s="21" t="n">
        <f aca="false">P676</f>
        <v>0.604751919032177</v>
      </c>
      <c r="AC676" s="3" t="str">
        <f aca="false">Y676</f>
        <v/>
      </c>
      <c r="AD676" s="3" t="n">
        <f aca="false">R676</f>
        <v>0</v>
      </c>
    </row>
    <row r="677" customFormat="false" ht="15" hidden="false" customHeight="true" outlineLevel="0" collapsed="false">
      <c r="A677" s="7" t="s">
        <v>57</v>
      </c>
      <c r="B677" s="7" t="n">
        <v>1943</v>
      </c>
      <c r="C677" s="7" t="s">
        <v>143</v>
      </c>
      <c r="D677" s="7" t="n">
        <v>87</v>
      </c>
      <c r="E677" s="7" t="n">
        <v>67</v>
      </c>
      <c r="F677" s="3" t="n">
        <f aca="false">COUNTIFS($B$2:$B$2705,B677,$C$2:$C$2705,C677)</f>
        <v>1</v>
      </c>
      <c r="G677" s="3" t="n">
        <f aca="false">MIN(INT((MIN(B677,2020)-1900)/10)+1,12)</f>
        <v>5</v>
      </c>
      <c r="H677" s="3" t="n">
        <f aca="false">(MIN(B677,2020)-1900-10*(G677-1))/10</f>
        <v>0.3</v>
      </c>
      <c r="I677" s="20" t="n">
        <f aca="false">EXP(LN(INDEX(Pop_Inputs!$B$2:$N$29,MATCH(C677,Pop_Inputs!$A$2:$A$29,0),G677))*(1-H677)+LN(INDEX(Pop_Inputs!$B$2:$N$29,MATCH(C677,Pop_Inputs!$A$2:$A$29,0),G677+1))*H677)</f>
        <v>469617.116159436</v>
      </c>
      <c r="J677" s="20" t="n">
        <f aca="false">I677/F677</f>
        <v>469617.116159436</v>
      </c>
      <c r="K677" s="21" t="n">
        <f aca="false">D677/(D677+E677)</f>
        <v>0.564935064935065</v>
      </c>
      <c r="L677" s="21" t="n">
        <f aca="false">AVERAGEIFS($K$2:$K$2705,$B$2:$B$2705,B677)</f>
        <v>0.499896130701084</v>
      </c>
      <c r="M677" s="21" t="n">
        <f aca="false">K677-L677</f>
        <v>0.0650389342339807</v>
      </c>
      <c r="N677" s="21" t="n">
        <f aca="false">LN(J677)</f>
        <v>13.0596729952122</v>
      </c>
      <c r="O677" s="21" t="n">
        <f aca="false">AVERAGEIFS($N$2:$N$2705,$B$2:$B$2705,B677)</f>
        <v>13.7596186962744</v>
      </c>
      <c r="P677" s="21" t="n">
        <f aca="false">N677-O677</f>
        <v>-0.699945701062225</v>
      </c>
      <c r="Q677" s="7" t="n">
        <v>0</v>
      </c>
      <c r="R677" s="3" t="n">
        <f aca="false">IF(AND(Q677=1,B677-_xlfn.MINIFS($B$2:$B$2705,$A$2:$A$2705,A677)&lt;10),1,0)</f>
        <v>0</v>
      </c>
      <c r="S677" s="7" t="n">
        <v>0</v>
      </c>
      <c r="T677" s="3" t="n">
        <f aca="false">_xlfn.MINIFS($B$2:$B$2705,$A$2:$A$2705,A677)</f>
        <v>1901</v>
      </c>
      <c r="U677" s="3" t="n">
        <f aca="false">B677-T677</f>
        <v>42</v>
      </c>
      <c r="V677" s="3" t="str">
        <f aca="false">INDEX(Pop_Inputs!$Q$2:$Q$29,MATCH(C677,Pop_Inputs!$A$2:$A$29,0))</f>
        <v>Midwest</v>
      </c>
      <c r="W677" s="30"/>
      <c r="X677" s="3" t="str">
        <f aca="false">IF(W677="","",LN(W677))</f>
        <v/>
      </c>
      <c r="Y677" s="3" t="str">
        <f aca="false">IF(X677="","",X677-AVERAGEIFS($X$2:$X$2705,$B$2:$B$2705,B677))</f>
        <v/>
      </c>
      <c r="Z677" s="21" t="n">
        <f aca="false">P677</f>
        <v>-0.699945701062225</v>
      </c>
      <c r="AA677" s="3" t="n">
        <f aca="false">R677</f>
        <v>0</v>
      </c>
      <c r="AB677" s="21" t="n">
        <f aca="false">P677</f>
        <v>-0.699945701062225</v>
      </c>
      <c r="AC677" s="3" t="str">
        <f aca="false">Y677</f>
        <v/>
      </c>
      <c r="AD677" s="3" t="n">
        <f aca="false">R677</f>
        <v>0</v>
      </c>
    </row>
    <row r="678" customFormat="false" ht="15" hidden="false" customHeight="true" outlineLevel="0" collapsed="false">
      <c r="A678" s="7" t="s">
        <v>66</v>
      </c>
      <c r="B678" s="7" t="n">
        <v>1943</v>
      </c>
      <c r="C678" s="7" t="s">
        <v>151</v>
      </c>
      <c r="D678" s="7" t="n">
        <v>82</v>
      </c>
      <c r="E678" s="7" t="n">
        <v>71</v>
      </c>
      <c r="F678" s="3" t="n">
        <f aca="false">COUNTIFS($B$2:$B$2705,B678,$C$2:$C$2705,C678)</f>
        <v>1</v>
      </c>
      <c r="G678" s="3" t="n">
        <f aca="false">MIN(INT((MIN(B678,2020)-1900)/10)+1,12)</f>
        <v>5</v>
      </c>
      <c r="H678" s="3" t="n">
        <f aca="false">(MIN(B678,2020)-1900-10*(G678-1))/10</f>
        <v>0.3</v>
      </c>
      <c r="I678" s="20" t="n">
        <f aca="false">EXP(LN(INDEX(Pop_Inputs!$B$2:$N$29,MATCH(C678,Pop_Inputs!$A$2:$A$29,0),G678))*(1-H678)+LN(INDEX(Pop_Inputs!$B$2:$N$29,MATCH(C678,Pop_Inputs!$A$2:$A$29,0),G678+1))*H678)</f>
        <v>889122.221446763</v>
      </c>
      <c r="J678" s="20" t="n">
        <f aca="false">I678/F678</f>
        <v>889122.221446763</v>
      </c>
      <c r="K678" s="21" t="n">
        <f aca="false">D678/(D678+E678)</f>
        <v>0.535947712418301</v>
      </c>
      <c r="L678" s="21" t="n">
        <f aca="false">AVERAGEIFS($K$2:$K$2705,$B$2:$B$2705,B678)</f>
        <v>0.499896130701084</v>
      </c>
      <c r="M678" s="21" t="n">
        <f aca="false">K678-L678</f>
        <v>0.0360515817172164</v>
      </c>
      <c r="N678" s="21" t="n">
        <f aca="false">LN(J678)</f>
        <v>13.6979899869886</v>
      </c>
      <c r="O678" s="21" t="n">
        <f aca="false">AVERAGEIFS($N$2:$N$2705,$B$2:$B$2705,B678)</f>
        <v>13.7596186962744</v>
      </c>
      <c r="P678" s="21" t="n">
        <f aca="false">N678-O678</f>
        <v>-0.0616287092857917</v>
      </c>
      <c r="Q678" s="7" t="n">
        <v>0</v>
      </c>
      <c r="R678" s="3" t="n">
        <f aca="false">IF(AND(Q678=1,B678-_xlfn.MINIFS($B$2:$B$2705,$A$2:$A$2705,A678)&lt;10),1,0)</f>
        <v>0</v>
      </c>
      <c r="S678" s="7" t="n">
        <v>0</v>
      </c>
      <c r="T678" s="3" t="n">
        <f aca="false">_xlfn.MINIFS($B$2:$B$2705,$A$2:$A$2705,A678)</f>
        <v>1901</v>
      </c>
      <c r="U678" s="3" t="n">
        <f aca="false">B678-T678</f>
        <v>42</v>
      </c>
      <c r="V678" s="3" t="str">
        <f aca="false">INDEX(Pop_Inputs!$Q$2:$Q$29,MATCH(C678,Pop_Inputs!$A$2:$A$29,0))</f>
        <v>Midwest</v>
      </c>
      <c r="W678" s="30"/>
      <c r="X678" s="3" t="str">
        <f aca="false">IF(W678="","",LN(W678))</f>
        <v/>
      </c>
      <c r="Y678" s="3" t="str">
        <f aca="false">IF(X678="","",X678-AVERAGEIFS($X$2:$X$2705,$B$2:$B$2705,B678))</f>
        <v/>
      </c>
      <c r="Z678" s="21" t="n">
        <f aca="false">P678</f>
        <v>-0.0616287092857917</v>
      </c>
      <c r="AA678" s="3" t="n">
        <f aca="false">R678</f>
        <v>0</v>
      </c>
      <c r="AB678" s="21" t="n">
        <f aca="false">P678</f>
        <v>-0.0616287092857917</v>
      </c>
      <c r="AC678" s="3" t="str">
        <f aca="false">Y678</f>
        <v/>
      </c>
      <c r="AD678" s="3" t="n">
        <f aca="false">R678</f>
        <v>0</v>
      </c>
    </row>
    <row r="679" customFormat="false" ht="15" hidden="false" customHeight="true" outlineLevel="0" collapsed="false">
      <c r="A679" s="7" t="s">
        <v>67</v>
      </c>
      <c r="B679" s="7" t="n">
        <v>1943</v>
      </c>
      <c r="C679" s="7" t="s">
        <v>152</v>
      </c>
      <c r="D679" s="7" t="n">
        <v>78</v>
      </c>
      <c r="E679" s="7" t="n">
        <v>76</v>
      </c>
      <c r="F679" s="3" t="n">
        <f aca="false">COUNTIFS($B$2:$B$2705,B679,$C$2:$C$2705,C679)</f>
        <v>1</v>
      </c>
      <c r="G679" s="3" t="n">
        <f aca="false">MIN(INT((MIN(B679,2020)-1900)/10)+1,12)</f>
        <v>5</v>
      </c>
      <c r="H679" s="3" t="n">
        <f aca="false">(MIN(B679,2020)-1900-10*(G679-1))/10</f>
        <v>0.3</v>
      </c>
      <c r="I679" s="20" t="n">
        <f aca="false">EXP(LN(INDEX(Pop_Inputs!$B$2:$N$29,MATCH(C679,Pop_Inputs!$A$2:$A$29,0),G679))*(1-H679)+LN(INDEX(Pop_Inputs!$B$2:$N$29,MATCH(C679,Pop_Inputs!$A$2:$A$29,0),G679+1))*H679)</f>
        <v>1688218.70432045</v>
      </c>
      <c r="J679" s="20" t="n">
        <f aca="false">I679/F679</f>
        <v>1688218.70432045</v>
      </c>
      <c r="K679" s="21" t="n">
        <f aca="false">D679/(D679+E679)</f>
        <v>0.506493506493506</v>
      </c>
      <c r="L679" s="21" t="n">
        <f aca="false">AVERAGEIFS($K$2:$K$2705,$B$2:$B$2705,B679)</f>
        <v>0.499896130701084</v>
      </c>
      <c r="M679" s="21" t="n">
        <f aca="false">K679-L679</f>
        <v>0.0065973757924222</v>
      </c>
      <c r="N679" s="21" t="n">
        <f aca="false">LN(J679)</f>
        <v>14.3391845099162</v>
      </c>
      <c r="O679" s="21" t="n">
        <f aca="false">AVERAGEIFS($N$2:$N$2705,$B$2:$B$2705,B679)</f>
        <v>13.7596186962744</v>
      </c>
      <c r="P679" s="21" t="n">
        <f aca="false">N679-O679</f>
        <v>0.579565813641789</v>
      </c>
      <c r="Q679" s="7" t="n">
        <v>0</v>
      </c>
      <c r="R679" s="3" t="n">
        <f aca="false">IF(AND(Q679=1,B679-_xlfn.MINIFS($B$2:$B$2705,$A$2:$A$2705,A679)&lt;10),1,0)</f>
        <v>0</v>
      </c>
      <c r="S679" s="7" t="n">
        <v>0</v>
      </c>
      <c r="T679" s="3" t="n">
        <f aca="false">_xlfn.MINIFS($B$2:$B$2705,$A$2:$A$2705,A679)</f>
        <v>1901</v>
      </c>
      <c r="U679" s="3" t="n">
        <f aca="false">B679-T679</f>
        <v>42</v>
      </c>
      <c r="V679" s="3" t="str">
        <f aca="false">INDEX(Pop_Inputs!$Q$2:$Q$29,MATCH(C679,Pop_Inputs!$A$2:$A$29,0))</f>
        <v>Midwest</v>
      </c>
      <c r="W679" s="30"/>
      <c r="X679" s="3" t="str">
        <f aca="false">IF(W679="","",LN(W679))</f>
        <v/>
      </c>
      <c r="Y679" s="3" t="str">
        <f aca="false">IF(X679="","",X679-AVERAGEIFS($X$2:$X$2705,$B$2:$B$2705,B679))</f>
        <v/>
      </c>
      <c r="Z679" s="21" t="n">
        <f aca="false">P679</f>
        <v>0.579565813641789</v>
      </c>
      <c r="AA679" s="3" t="n">
        <f aca="false">R679</f>
        <v>0</v>
      </c>
      <c r="AB679" s="21" t="n">
        <f aca="false">P679</f>
        <v>0.579565813641789</v>
      </c>
      <c r="AC679" s="3" t="str">
        <f aca="false">Y679</f>
        <v/>
      </c>
      <c r="AD679" s="3" t="n">
        <f aca="false">R679</f>
        <v>0</v>
      </c>
    </row>
    <row r="680" customFormat="false" ht="15" hidden="false" customHeight="true" outlineLevel="0" collapsed="false">
      <c r="A680" s="7" t="s">
        <v>62</v>
      </c>
      <c r="B680" s="7" t="n">
        <v>1943</v>
      </c>
      <c r="C680" s="7" t="s">
        <v>154</v>
      </c>
      <c r="D680" s="7" t="n">
        <v>81</v>
      </c>
      <c r="E680" s="7" t="n">
        <v>72</v>
      </c>
      <c r="F680" s="3" t="n">
        <f aca="false">COUNTIFS($B$2:$B$2705,B680,$C$2:$C$2705,C680)</f>
        <v>3</v>
      </c>
      <c r="G680" s="3" t="n">
        <f aca="false">MIN(INT((MIN(B680,2020)-1900)/10)+1,12)</f>
        <v>5</v>
      </c>
      <c r="H680" s="3" t="n">
        <f aca="false">(MIN(B680,2020)-1900-10*(G680-1))/10</f>
        <v>0.3</v>
      </c>
      <c r="I680" s="20" t="n">
        <f aca="false">EXP(LN(INDEX(Pop_Inputs!$B$2:$N$29,MATCH(C680,Pop_Inputs!$A$2:$A$29,0),G680))*(1-H680)+LN(INDEX(Pop_Inputs!$B$2:$N$29,MATCH(C680,Pop_Inputs!$A$2:$A$29,0),G680+1))*H680)</f>
        <v>7583480.29532961</v>
      </c>
      <c r="J680" s="20" t="n">
        <f aca="false">I680/F680</f>
        <v>2527826.76510987</v>
      </c>
      <c r="K680" s="21" t="n">
        <f aca="false">D680/(D680+E680)</f>
        <v>0.529411764705882</v>
      </c>
      <c r="L680" s="21" t="n">
        <f aca="false">AVERAGEIFS($K$2:$K$2705,$B$2:$B$2705,B680)</f>
        <v>0.499896130701084</v>
      </c>
      <c r="M680" s="21" t="n">
        <f aca="false">K680-L680</f>
        <v>0.0295156340047981</v>
      </c>
      <c r="N680" s="21" t="n">
        <f aca="false">LN(J680)</f>
        <v>14.7428705054411</v>
      </c>
      <c r="O680" s="21" t="n">
        <f aca="false">AVERAGEIFS($N$2:$N$2705,$B$2:$B$2705,B680)</f>
        <v>13.7596186962744</v>
      </c>
      <c r="P680" s="21" t="n">
        <f aca="false">N680-O680</f>
        <v>0.983251809166715</v>
      </c>
      <c r="Q680" s="7" t="n">
        <v>0</v>
      </c>
      <c r="R680" s="3" t="n">
        <f aca="false">IF(AND(Q680=1,B680-_xlfn.MINIFS($B$2:$B$2705,$A$2:$A$2705,A680)&lt;10),1,0)</f>
        <v>0</v>
      </c>
      <c r="S680" s="7" t="n">
        <v>0</v>
      </c>
      <c r="T680" s="3" t="n">
        <f aca="false">_xlfn.MINIFS($B$2:$B$2705,$A$2:$A$2705,A680)</f>
        <v>1901</v>
      </c>
      <c r="U680" s="3" t="n">
        <f aca="false">B680-T680</f>
        <v>42</v>
      </c>
      <c r="V680" s="3" t="str">
        <f aca="false">INDEX(Pop_Inputs!$Q$2:$Q$29,MATCH(C680,Pop_Inputs!$A$2:$A$29,0))</f>
        <v>Northeast</v>
      </c>
      <c r="W680" s="30"/>
      <c r="X680" s="3" t="str">
        <f aca="false">IF(W680="","",LN(W680))</f>
        <v/>
      </c>
      <c r="Y680" s="3" t="str">
        <f aca="false">IF(X680="","",X680-AVERAGEIFS($X$2:$X$2705,$B$2:$B$2705,B680))</f>
        <v/>
      </c>
      <c r="Z680" s="21" t="n">
        <f aca="false">P680</f>
        <v>0.983251809166715</v>
      </c>
      <c r="AA680" s="3" t="n">
        <f aca="false">R680</f>
        <v>0</v>
      </c>
      <c r="AB680" s="21" t="n">
        <f aca="false">P680</f>
        <v>0.983251809166715</v>
      </c>
      <c r="AC680" s="3" t="str">
        <f aca="false">Y680</f>
        <v/>
      </c>
      <c r="AD680" s="3" t="n">
        <f aca="false">R680</f>
        <v>0</v>
      </c>
    </row>
    <row r="681" customFormat="false" ht="15" hidden="false" customHeight="true" outlineLevel="0" collapsed="false">
      <c r="A681" s="7" t="s">
        <v>68</v>
      </c>
      <c r="B681" s="7" t="n">
        <v>1943</v>
      </c>
      <c r="C681" s="7" t="s">
        <v>160</v>
      </c>
      <c r="D681" s="7" t="n">
        <v>84</v>
      </c>
      <c r="E681" s="7" t="n">
        <v>69</v>
      </c>
      <c r="F681" s="3" t="n">
        <f aca="false">COUNTIFS($B$2:$B$2705,B681,$C$2:$C$2705,C681)</f>
        <v>1</v>
      </c>
      <c r="G681" s="3" t="n">
        <f aca="false">MIN(INT((MIN(B681,2020)-1900)/10)+1,12)</f>
        <v>5</v>
      </c>
      <c r="H681" s="3" t="n">
        <f aca="false">(MIN(B681,2020)-1900-10*(G681-1))/10</f>
        <v>0.3</v>
      </c>
      <c r="I681" s="20" t="n">
        <f aca="false">EXP(LN(INDEX(Pop_Inputs!$B$2:$N$29,MATCH(C681,Pop_Inputs!$A$2:$A$29,0),G681))*(1-H681)+LN(INDEX(Pop_Inputs!$B$2:$N$29,MATCH(C681,Pop_Inputs!$A$2:$A$29,0),G681+1))*H681)</f>
        <v>702073.236077948</v>
      </c>
      <c r="J681" s="20" t="n">
        <f aca="false">I681/F681</f>
        <v>702073.236077948</v>
      </c>
      <c r="K681" s="21" t="n">
        <f aca="false">D681/(D681+E681)</f>
        <v>0.549019607843137</v>
      </c>
      <c r="L681" s="21" t="n">
        <f aca="false">AVERAGEIFS($K$2:$K$2705,$B$2:$B$2705,B681)</f>
        <v>0.499896130701084</v>
      </c>
      <c r="M681" s="21" t="n">
        <f aca="false">K681-L681</f>
        <v>0.0491234771420531</v>
      </c>
      <c r="N681" s="21" t="n">
        <f aca="false">LN(J681)</f>
        <v>13.4617930024638</v>
      </c>
      <c r="O681" s="21" t="n">
        <f aca="false">AVERAGEIFS($N$2:$N$2705,$B$2:$B$2705,B681)</f>
        <v>13.7596186962744</v>
      </c>
      <c r="P681" s="21" t="n">
        <f aca="false">N681-O681</f>
        <v>-0.297825693810577</v>
      </c>
      <c r="Q681" s="7" t="n">
        <v>0</v>
      </c>
      <c r="R681" s="3" t="n">
        <f aca="false">IF(AND(Q681=1,B681-_xlfn.MINIFS($B$2:$B$2705,$A$2:$A$2705,A681)&lt;10),1,0)</f>
        <v>0</v>
      </c>
      <c r="S681" s="7" t="n">
        <v>0</v>
      </c>
      <c r="T681" s="3" t="n">
        <f aca="false">_xlfn.MINIFS($B$2:$B$2705,$A$2:$A$2705,A681)</f>
        <v>1901</v>
      </c>
      <c r="U681" s="3" t="n">
        <f aca="false">B681-T681</f>
        <v>42</v>
      </c>
      <c r="V681" s="3" t="str">
        <f aca="false">INDEX(Pop_Inputs!$Q$2:$Q$29,MATCH(C681,Pop_Inputs!$A$2:$A$29,0))</f>
        <v>South</v>
      </c>
      <c r="W681" s="30"/>
      <c r="X681" s="3" t="str">
        <f aca="false">IF(W681="","",LN(W681))</f>
        <v/>
      </c>
      <c r="Y681" s="3" t="str">
        <f aca="false">IF(X681="","",X681-AVERAGEIFS($X$2:$X$2705,$B$2:$B$2705,B681))</f>
        <v/>
      </c>
      <c r="Z681" s="21" t="n">
        <f aca="false">P681</f>
        <v>-0.297825693810577</v>
      </c>
      <c r="AA681" s="3" t="n">
        <f aca="false">R681</f>
        <v>0</v>
      </c>
      <c r="AB681" s="21" t="n">
        <f aca="false">P681</f>
        <v>-0.297825693810577</v>
      </c>
      <c r="AC681" s="3" t="str">
        <f aca="false">Y681</f>
        <v/>
      </c>
      <c r="AD681" s="3" t="n">
        <f aca="false">R681</f>
        <v>0</v>
      </c>
    </row>
    <row r="682" customFormat="false" ht="15" hidden="false" customHeight="true" outlineLevel="0" collapsed="false">
      <c r="A682" s="7" t="s">
        <v>70</v>
      </c>
      <c r="B682" s="7" t="n">
        <v>1943</v>
      </c>
      <c r="C682" s="7" t="s">
        <v>154</v>
      </c>
      <c r="D682" s="7" t="n">
        <v>98</v>
      </c>
      <c r="E682" s="7" t="n">
        <v>56</v>
      </c>
      <c r="F682" s="3" t="n">
        <f aca="false">COUNTIFS($B$2:$B$2705,B682,$C$2:$C$2705,C682)</f>
        <v>3</v>
      </c>
      <c r="G682" s="3" t="n">
        <f aca="false">MIN(INT((MIN(B682,2020)-1900)/10)+1,12)</f>
        <v>5</v>
      </c>
      <c r="H682" s="3" t="n">
        <f aca="false">(MIN(B682,2020)-1900-10*(G682-1))/10</f>
        <v>0.3</v>
      </c>
      <c r="I682" s="20" t="n">
        <f aca="false">EXP(LN(INDEX(Pop_Inputs!$B$2:$N$29,MATCH(C682,Pop_Inputs!$A$2:$A$29,0),G682))*(1-H682)+LN(INDEX(Pop_Inputs!$B$2:$N$29,MATCH(C682,Pop_Inputs!$A$2:$A$29,0),G682+1))*H682)</f>
        <v>7583480.29532961</v>
      </c>
      <c r="J682" s="20" t="n">
        <f aca="false">I682/F682</f>
        <v>2527826.76510987</v>
      </c>
      <c r="K682" s="21" t="n">
        <f aca="false">D682/(D682+E682)</f>
        <v>0.636363636363636</v>
      </c>
      <c r="L682" s="21" t="n">
        <f aca="false">AVERAGEIFS($K$2:$K$2705,$B$2:$B$2705,B682)</f>
        <v>0.499896130701084</v>
      </c>
      <c r="M682" s="21" t="n">
        <f aca="false">K682-L682</f>
        <v>0.136467505662552</v>
      </c>
      <c r="N682" s="21" t="n">
        <f aca="false">LN(J682)</f>
        <v>14.7428705054411</v>
      </c>
      <c r="O682" s="21" t="n">
        <f aca="false">AVERAGEIFS($N$2:$N$2705,$B$2:$B$2705,B682)</f>
        <v>13.7596186962744</v>
      </c>
      <c r="P682" s="21" t="n">
        <f aca="false">N682-O682</f>
        <v>0.983251809166715</v>
      </c>
      <c r="Q682" s="7" t="n">
        <v>0</v>
      </c>
      <c r="R682" s="3" t="n">
        <f aca="false">IF(AND(Q682=1,B682-_xlfn.MINIFS($B$2:$B$2705,$A$2:$A$2705,A682)&lt;10),1,0)</f>
        <v>0</v>
      </c>
      <c r="S682" s="7" t="n">
        <v>1</v>
      </c>
      <c r="T682" s="3" t="n">
        <f aca="false">_xlfn.MINIFS($B$2:$B$2705,$A$2:$A$2705,A682)</f>
        <v>1903</v>
      </c>
      <c r="U682" s="3" t="n">
        <f aca="false">B682-T682</f>
        <v>40</v>
      </c>
      <c r="V682" s="3" t="str">
        <f aca="false">INDEX(Pop_Inputs!$Q$2:$Q$29,MATCH(C682,Pop_Inputs!$A$2:$A$29,0))</f>
        <v>Northeast</v>
      </c>
      <c r="W682" s="30"/>
      <c r="X682" s="3" t="str">
        <f aca="false">IF(W682="","",LN(W682))</f>
        <v/>
      </c>
      <c r="Y682" s="3" t="str">
        <f aca="false">IF(X682="","",X682-AVERAGEIFS($X$2:$X$2705,$B$2:$B$2705,B682))</f>
        <v/>
      </c>
      <c r="Z682" s="21" t="n">
        <f aca="false">P682</f>
        <v>0.983251809166715</v>
      </c>
      <c r="AA682" s="3" t="n">
        <f aca="false">R682</f>
        <v>0</v>
      </c>
      <c r="AB682" s="21" t="n">
        <f aca="false">P682</f>
        <v>0.983251809166715</v>
      </c>
      <c r="AC682" s="3" t="str">
        <f aca="false">Y682</f>
        <v/>
      </c>
      <c r="AD682" s="3" t="n">
        <f aca="false">R682</f>
        <v>0</v>
      </c>
    </row>
    <row r="683" customFormat="false" ht="15" hidden="false" customHeight="true" outlineLevel="0" collapsed="false">
      <c r="A683" s="7" t="s">
        <v>69</v>
      </c>
      <c r="B683" s="7" t="n">
        <v>1943</v>
      </c>
      <c r="C683" s="7" t="s">
        <v>146</v>
      </c>
      <c r="D683" s="7" t="n">
        <v>49</v>
      </c>
      <c r="E683" s="7" t="n">
        <v>105</v>
      </c>
      <c r="F683" s="3" t="n">
        <f aca="false">COUNTIFS($B$2:$B$2705,B683,$C$2:$C$2705,C683)</f>
        <v>2</v>
      </c>
      <c r="G683" s="3" t="n">
        <f aca="false">MIN(INT((MIN(B683,2020)-1900)/10)+1,12)</f>
        <v>5</v>
      </c>
      <c r="H683" s="3" t="n">
        <f aca="false">(MIN(B683,2020)-1900-10*(G683-1))/10</f>
        <v>0.3</v>
      </c>
      <c r="I683" s="20" t="n">
        <f aca="false">EXP(LN(INDEX(Pop_Inputs!$B$2:$N$29,MATCH(C683,Pop_Inputs!$A$2:$A$29,0),G683))*(1-H683)+LN(INDEX(Pop_Inputs!$B$2:$N$29,MATCH(C683,Pop_Inputs!$A$2:$A$29,0),G683+1))*H683)</f>
        <v>1972387.56303973</v>
      </c>
      <c r="J683" s="20" t="n">
        <f aca="false">I683/F683</f>
        <v>986193.781519866</v>
      </c>
      <c r="K683" s="21" t="n">
        <f aca="false">D683/(D683+E683)</f>
        <v>0.318181818181818</v>
      </c>
      <c r="L683" s="21" t="n">
        <f aca="false">AVERAGEIFS($K$2:$K$2705,$B$2:$B$2705,B683)</f>
        <v>0.499896130701084</v>
      </c>
      <c r="M683" s="21" t="n">
        <f aca="false">K683-L683</f>
        <v>-0.181714312519266</v>
      </c>
      <c r="N683" s="21" t="n">
        <f aca="false">LN(J683)</f>
        <v>13.8016081472563</v>
      </c>
      <c r="O683" s="21" t="n">
        <f aca="false">AVERAGEIFS($N$2:$N$2705,$B$2:$B$2705,B683)</f>
        <v>13.7596186962744</v>
      </c>
      <c r="P683" s="21" t="n">
        <f aca="false">N683-O683</f>
        <v>0.0419894509818821</v>
      </c>
      <c r="Q683" s="7" t="n">
        <v>0</v>
      </c>
      <c r="R683" s="3" t="n">
        <f aca="false">IF(AND(Q683=1,B683-_xlfn.MINIFS($B$2:$B$2705,$A$2:$A$2705,A683)&lt;10),1,0)</f>
        <v>0</v>
      </c>
      <c r="S683" s="7" t="n">
        <v>0</v>
      </c>
      <c r="T683" s="3" t="n">
        <f aca="false">_xlfn.MINIFS($B$2:$B$2705,$A$2:$A$2705,A683)</f>
        <v>1901</v>
      </c>
      <c r="U683" s="3" t="n">
        <f aca="false">B683-T683</f>
        <v>42</v>
      </c>
      <c r="V683" s="3" t="str">
        <f aca="false">INDEX(Pop_Inputs!$Q$2:$Q$29,MATCH(C683,Pop_Inputs!$A$2:$A$29,0))</f>
        <v>Northeast</v>
      </c>
      <c r="W683" s="30"/>
      <c r="X683" s="3" t="str">
        <f aca="false">IF(W683="","",LN(W683))</f>
        <v/>
      </c>
      <c r="Y683" s="3" t="str">
        <f aca="false">IF(X683="","",X683-AVERAGEIFS($X$2:$X$2705,$B$2:$B$2705,B683))</f>
        <v/>
      </c>
      <c r="Z683" s="21" t="n">
        <f aca="false">P683</f>
        <v>0.0419894509818821</v>
      </c>
      <c r="AA683" s="3" t="n">
        <f aca="false">R683</f>
        <v>0</v>
      </c>
      <c r="AB683" s="21" t="n">
        <f aca="false">P683</f>
        <v>0.0419894509818821</v>
      </c>
      <c r="AC683" s="3" t="str">
        <f aca="false">Y683</f>
        <v/>
      </c>
      <c r="AD683" s="3" t="n">
        <f aca="false">R683</f>
        <v>0</v>
      </c>
    </row>
    <row r="684" customFormat="false" ht="15" hidden="false" customHeight="true" outlineLevel="0" collapsed="false">
      <c r="A684" s="7" t="s">
        <v>60</v>
      </c>
      <c r="B684" s="7" t="n">
        <v>1943</v>
      </c>
      <c r="C684" s="7" t="s">
        <v>146</v>
      </c>
      <c r="D684" s="7" t="n">
        <v>64</v>
      </c>
      <c r="E684" s="7" t="n">
        <v>90</v>
      </c>
      <c r="F684" s="3" t="n">
        <f aca="false">COUNTIFS($B$2:$B$2705,B684,$C$2:$C$2705,C684)</f>
        <v>2</v>
      </c>
      <c r="G684" s="3" t="n">
        <f aca="false">MIN(INT((MIN(B684,2020)-1900)/10)+1,12)</f>
        <v>5</v>
      </c>
      <c r="H684" s="3" t="n">
        <f aca="false">(MIN(B684,2020)-1900-10*(G684-1))/10</f>
        <v>0.3</v>
      </c>
      <c r="I684" s="20" t="n">
        <f aca="false">EXP(LN(INDEX(Pop_Inputs!$B$2:$N$29,MATCH(C684,Pop_Inputs!$A$2:$A$29,0),G684))*(1-H684)+LN(INDEX(Pop_Inputs!$B$2:$N$29,MATCH(C684,Pop_Inputs!$A$2:$A$29,0),G684+1))*H684)</f>
        <v>1972387.56303973</v>
      </c>
      <c r="J684" s="20" t="n">
        <f aca="false">I684/F684</f>
        <v>986193.781519866</v>
      </c>
      <c r="K684" s="21" t="n">
        <f aca="false">D684/(D684+E684)</f>
        <v>0.415584415584416</v>
      </c>
      <c r="L684" s="21" t="n">
        <f aca="false">AVERAGEIFS($K$2:$K$2705,$B$2:$B$2705,B684)</f>
        <v>0.499896130701084</v>
      </c>
      <c r="M684" s="21" t="n">
        <f aca="false">K684-L684</f>
        <v>-0.0843117151166686</v>
      </c>
      <c r="N684" s="21" t="n">
        <f aca="false">LN(J684)</f>
        <v>13.8016081472563</v>
      </c>
      <c r="O684" s="21" t="n">
        <f aca="false">AVERAGEIFS($N$2:$N$2705,$B$2:$B$2705,B684)</f>
        <v>13.7596186962744</v>
      </c>
      <c r="P684" s="21" t="n">
        <f aca="false">N684-O684</f>
        <v>0.0419894509818821</v>
      </c>
      <c r="Q684" s="7" t="n">
        <v>0</v>
      </c>
      <c r="R684" s="3" t="n">
        <f aca="false">IF(AND(Q684=1,B684-_xlfn.MINIFS($B$2:$B$2705,$A$2:$A$2705,A684)&lt;10),1,0)</f>
        <v>0</v>
      </c>
      <c r="S684" s="7" t="n">
        <v>0</v>
      </c>
      <c r="T684" s="3" t="n">
        <f aca="false">_xlfn.MINIFS($B$2:$B$2705,$A$2:$A$2705,A684)</f>
        <v>1901</v>
      </c>
      <c r="U684" s="3" t="n">
        <f aca="false">B684-T684</f>
        <v>42</v>
      </c>
      <c r="V684" s="3" t="str">
        <f aca="false">INDEX(Pop_Inputs!$Q$2:$Q$29,MATCH(C684,Pop_Inputs!$A$2:$A$29,0))</f>
        <v>Northeast</v>
      </c>
      <c r="W684" s="30"/>
      <c r="X684" s="3" t="str">
        <f aca="false">IF(W684="","",LN(W684))</f>
        <v/>
      </c>
      <c r="Y684" s="3" t="str">
        <f aca="false">IF(X684="","",X684-AVERAGEIFS($X$2:$X$2705,$B$2:$B$2705,B684))</f>
        <v/>
      </c>
      <c r="Z684" s="21" t="n">
        <f aca="false">P684</f>
        <v>0.0419894509818821</v>
      </c>
      <c r="AA684" s="3" t="n">
        <f aca="false">R684</f>
        <v>0</v>
      </c>
      <c r="AB684" s="21" t="n">
        <f aca="false">P684</f>
        <v>0.0419894509818821</v>
      </c>
      <c r="AC684" s="3" t="str">
        <f aca="false">Y684</f>
        <v/>
      </c>
      <c r="AD684" s="3" t="n">
        <f aca="false">R684</f>
        <v>0</v>
      </c>
    </row>
    <row r="685" customFormat="false" ht="15" hidden="false" customHeight="true" outlineLevel="0" collapsed="false">
      <c r="A685" s="7" t="s">
        <v>58</v>
      </c>
      <c r="B685" s="7" t="n">
        <v>1943</v>
      </c>
      <c r="C685" s="7" t="s">
        <v>144</v>
      </c>
      <c r="D685" s="7" t="n">
        <v>80</v>
      </c>
      <c r="E685" s="7" t="n">
        <v>74</v>
      </c>
      <c r="F685" s="3" t="n">
        <f aca="false">COUNTIFS($B$2:$B$2705,B685,$C$2:$C$2705,C685)</f>
        <v>1</v>
      </c>
      <c r="G685" s="3" t="n">
        <f aca="false">MIN(INT((MIN(B685,2020)-1900)/10)+1,12)</f>
        <v>5</v>
      </c>
      <c r="H685" s="3" t="n">
        <f aca="false">(MIN(B685,2020)-1900-10*(G685-1))/10</f>
        <v>0.3</v>
      </c>
      <c r="I685" s="20" t="n">
        <f aca="false">EXP(LN(INDEX(Pop_Inputs!$B$2:$N$29,MATCH(C685,Pop_Inputs!$A$2:$A$29,0),G685))*(1-H685)+LN(INDEX(Pop_Inputs!$B$2:$N$29,MATCH(C685,Pop_Inputs!$A$2:$A$29,0),G685+1))*H685)</f>
        <v>673198.976475886</v>
      </c>
      <c r="J685" s="20" t="n">
        <f aca="false">I685/F685</f>
        <v>673198.976475886</v>
      </c>
      <c r="K685" s="21" t="n">
        <f aca="false">D685/(D685+E685)</f>
        <v>0.519480519480519</v>
      </c>
      <c r="L685" s="21" t="n">
        <f aca="false">AVERAGEIFS($K$2:$K$2705,$B$2:$B$2705,B685)</f>
        <v>0.499896130701084</v>
      </c>
      <c r="M685" s="21" t="n">
        <f aca="false">K685-L685</f>
        <v>0.0195843887794352</v>
      </c>
      <c r="N685" s="21" t="n">
        <f aca="false">LN(J685)</f>
        <v>13.4197962209112</v>
      </c>
      <c r="O685" s="21" t="n">
        <f aca="false">AVERAGEIFS($N$2:$N$2705,$B$2:$B$2705,B685)</f>
        <v>13.7596186962744</v>
      </c>
      <c r="P685" s="21" t="n">
        <f aca="false">N685-O685</f>
        <v>-0.339822475363174</v>
      </c>
      <c r="Q685" s="7" t="n">
        <v>0</v>
      </c>
      <c r="R685" s="3" t="n">
        <f aca="false">IF(AND(Q685=1,B685-_xlfn.MINIFS($B$2:$B$2705,$A$2:$A$2705,A685)&lt;10),1,0)</f>
        <v>0</v>
      </c>
      <c r="S685" s="7" t="n">
        <v>0</v>
      </c>
      <c r="T685" s="3" t="n">
        <f aca="false">_xlfn.MINIFS($B$2:$B$2705,$A$2:$A$2705,A685)</f>
        <v>1901</v>
      </c>
      <c r="U685" s="3" t="n">
        <f aca="false">B685-T685</f>
        <v>42</v>
      </c>
      <c r="V685" s="3" t="str">
        <f aca="false">INDEX(Pop_Inputs!$Q$2:$Q$29,MATCH(C685,Pop_Inputs!$A$2:$A$29,0))</f>
        <v>Northeast</v>
      </c>
      <c r="W685" s="30"/>
      <c r="X685" s="3" t="str">
        <f aca="false">IF(W685="","",LN(W685))</f>
        <v/>
      </c>
      <c r="Y685" s="3" t="str">
        <f aca="false">IF(X685="","",X685-AVERAGEIFS($X$2:$X$2705,$B$2:$B$2705,B685))</f>
        <v/>
      </c>
      <c r="Z685" s="21" t="n">
        <f aca="false">P685</f>
        <v>-0.339822475363174</v>
      </c>
      <c r="AA685" s="3" t="n">
        <f aca="false">R685</f>
        <v>0</v>
      </c>
      <c r="AB685" s="21" t="n">
        <f aca="false">P685</f>
        <v>-0.339822475363174</v>
      </c>
      <c r="AC685" s="3" t="str">
        <f aca="false">Y685</f>
        <v/>
      </c>
      <c r="AD685" s="3" t="n">
        <f aca="false">R685</f>
        <v>0</v>
      </c>
    </row>
    <row r="686" customFormat="false" ht="15" hidden="false" customHeight="true" outlineLevel="0" collapsed="false">
      <c r="A686" s="7" t="s">
        <v>61</v>
      </c>
      <c r="B686" s="7" t="n">
        <v>1943</v>
      </c>
      <c r="C686" s="7" t="s">
        <v>154</v>
      </c>
      <c r="D686" s="7" t="n">
        <v>55</v>
      </c>
      <c r="E686" s="7" t="n">
        <v>98</v>
      </c>
      <c r="F686" s="3" t="n">
        <f aca="false">COUNTIFS($B$2:$B$2705,B686,$C$2:$C$2705,C686)</f>
        <v>3</v>
      </c>
      <c r="G686" s="3" t="n">
        <f aca="false">MIN(INT((MIN(B686,2020)-1900)/10)+1,12)</f>
        <v>5</v>
      </c>
      <c r="H686" s="3" t="n">
        <f aca="false">(MIN(B686,2020)-1900-10*(G686-1))/10</f>
        <v>0.3</v>
      </c>
      <c r="I686" s="20" t="n">
        <f aca="false">EXP(LN(INDEX(Pop_Inputs!$B$2:$N$29,MATCH(C686,Pop_Inputs!$A$2:$A$29,0),G686))*(1-H686)+LN(INDEX(Pop_Inputs!$B$2:$N$29,MATCH(C686,Pop_Inputs!$A$2:$A$29,0),G686+1))*H686)</f>
        <v>7583480.29532961</v>
      </c>
      <c r="J686" s="20" t="n">
        <f aca="false">I686/F686</f>
        <v>2527826.76510987</v>
      </c>
      <c r="K686" s="21" t="n">
        <f aca="false">D686/(D686+E686)</f>
        <v>0.359477124183007</v>
      </c>
      <c r="L686" s="21" t="n">
        <f aca="false">AVERAGEIFS($K$2:$K$2705,$B$2:$B$2705,B686)</f>
        <v>0.499896130701084</v>
      </c>
      <c r="M686" s="21" t="n">
        <f aca="false">K686-L686</f>
        <v>-0.140419006518078</v>
      </c>
      <c r="N686" s="21" t="n">
        <f aca="false">LN(J686)</f>
        <v>14.7428705054411</v>
      </c>
      <c r="O686" s="21" t="n">
        <f aca="false">AVERAGEIFS($N$2:$N$2705,$B$2:$B$2705,B686)</f>
        <v>13.7596186962744</v>
      </c>
      <c r="P686" s="21" t="n">
        <f aca="false">N686-O686</f>
        <v>0.983251809166715</v>
      </c>
      <c r="Q686" s="7" t="n">
        <v>0</v>
      </c>
      <c r="R686" s="3" t="n">
        <f aca="false">IF(AND(Q686=1,B686-_xlfn.MINIFS($B$2:$B$2705,$A$2:$A$2705,A686)&lt;10),1,0)</f>
        <v>0</v>
      </c>
      <c r="S686" s="7" t="n">
        <v>0</v>
      </c>
      <c r="T686" s="3" t="n">
        <f aca="false">_xlfn.MINIFS($B$2:$B$2705,$A$2:$A$2705,A686)</f>
        <v>1901</v>
      </c>
      <c r="U686" s="3" t="n">
        <f aca="false">B686-T686</f>
        <v>42</v>
      </c>
      <c r="V686" s="3" t="str">
        <f aca="false">INDEX(Pop_Inputs!$Q$2:$Q$29,MATCH(C686,Pop_Inputs!$A$2:$A$29,0))</f>
        <v>Northeast</v>
      </c>
      <c r="W686" s="30"/>
      <c r="X686" s="3" t="str">
        <f aca="false">IF(W686="","",LN(W686))</f>
        <v/>
      </c>
      <c r="Y686" s="3" t="str">
        <f aca="false">IF(X686="","",X686-AVERAGEIFS($X$2:$X$2705,$B$2:$B$2705,B686))</f>
        <v/>
      </c>
      <c r="Z686" s="21" t="n">
        <f aca="false">P686</f>
        <v>0.983251809166715</v>
      </c>
      <c r="AA686" s="3" t="n">
        <f aca="false">R686</f>
        <v>0</v>
      </c>
      <c r="AB686" s="21" t="n">
        <f aca="false">P686</f>
        <v>0.983251809166715</v>
      </c>
      <c r="AC686" s="3" t="str">
        <f aca="false">Y686</f>
        <v/>
      </c>
      <c r="AD686" s="3" t="n">
        <f aca="false">R686</f>
        <v>0</v>
      </c>
    </row>
    <row r="687" customFormat="false" ht="15" hidden="false" customHeight="true" outlineLevel="0" collapsed="false">
      <c r="A687" s="7" t="s">
        <v>59</v>
      </c>
      <c r="B687" s="7" t="n">
        <v>1943</v>
      </c>
      <c r="C687" s="7" t="s">
        <v>145</v>
      </c>
      <c r="D687" s="7" t="n">
        <v>105</v>
      </c>
      <c r="E687" s="7" t="n">
        <v>49</v>
      </c>
      <c r="F687" s="3" t="n">
        <f aca="false">COUNTIFS($B$2:$B$2705,B687,$C$2:$C$2705,C687)</f>
        <v>2</v>
      </c>
      <c r="G687" s="3" t="n">
        <f aca="false">MIN(INT((MIN(B687,2020)-1900)/10)+1,12)</f>
        <v>5</v>
      </c>
      <c r="H687" s="3" t="n">
        <f aca="false">(MIN(B687,2020)-1900-10*(G687-1))/10</f>
        <v>0.3</v>
      </c>
      <c r="I687" s="20" t="n">
        <f aca="false">EXP(LN(INDEX(Pop_Inputs!$B$2:$N$29,MATCH(C687,Pop_Inputs!$A$2:$A$29,0),G687))*(1-H687)+LN(INDEX(Pop_Inputs!$B$2:$N$29,MATCH(C687,Pop_Inputs!$A$2:$A$29,0),G687+1))*H687)</f>
        <v>828064.606827742</v>
      </c>
      <c r="J687" s="20" t="n">
        <f aca="false">I687/F687</f>
        <v>414032.303413871</v>
      </c>
      <c r="K687" s="21" t="n">
        <f aca="false">D687/(D687+E687)</f>
        <v>0.681818181818182</v>
      </c>
      <c r="L687" s="21" t="n">
        <f aca="false">AVERAGEIFS($K$2:$K$2705,$B$2:$B$2705,B687)</f>
        <v>0.499896130701084</v>
      </c>
      <c r="M687" s="21" t="n">
        <f aca="false">K687-L687</f>
        <v>0.181922051117098</v>
      </c>
      <c r="N687" s="21" t="n">
        <f aca="false">LN(J687)</f>
        <v>12.9336992773332</v>
      </c>
      <c r="O687" s="21" t="n">
        <f aca="false">AVERAGEIFS($N$2:$N$2705,$B$2:$B$2705,B687)</f>
        <v>13.7596186962744</v>
      </c>
      <c r="P687" s="21" t="n">
        <f aca="false">N687-O687</f>
        <v>-0.825919418941227</v>
      </c>
      <c r="Q687" s="7" t="n">
        <v>0</v>
      </c>
      <c r="R687" s="3" t="n">
        <f aca="false">IF(AND(Q687=1,B687-_xlfn.MINIFS($B$2:$B$2705,$A$2:$A$2705,A687)&lt;10),1,0)</f>
        <v>0</v>
      </c>
      <c r="S687" s="7" t="n">
        <v>0</v>
      </c>
      <c r="T687" s="3" t="n">
        <f aca="false">_xlfn.MINIFS($B$2:$B$2705,$A$2:$A$2705,A687)</f>
        <v>1901</v>
      </c>
      <c r="U687" s="3" t="n">
        <f aca="false">B687-T687</f>
        <v>42</v>
      </c>
      <c r="V687" s="3" t="str">
        <f aca="false">INDEX(Pop_Inputs!$Q$2:$Q$29,MATCH(C687,Pop_Inputs!$A$2:$A$29,0))</f>
        <v>Midwest</v>
      </c>
      <c r="W687" s="30"/>
      <c r="X687" s="3" t="str">
        <f aca="false">IF(W687="","",LN(W687))</f>
        <v/>
      </c>
      <c r="Y687" s="3" t="str">
        <f aca="false">IF(X687="","",X687-AVERAGEIFS($X$2:$X$2705,$B$2:$B$2705,B687))</f>
        <v/>
      </c>
      <c r="Z687" s="21" t="n">
        <f aca="false">P687</f>
        <v>-0.825919418941227</v>
      </c>
      <c r="AA687" s="3" t="n">
        <f aca="false">R687</f>
        <v>0</v>
      </c>
      <c r="AB687" s="21" t="n">
        <f aca="false">P687</f>
        <v>-0.825919418941227</v>
      </c>
      <c r="AC687" s="3" t="str">
        <f aca="false">Y687</f>
        <v/>
      </c>
      <c r="AD687" s="3" t="n">
        <f aca="false">R687</f>
        <v>0</v>
      </c>
    </row>
    <row r="688" customFormat="false" ht="15" hidden="false" customHeight="true" outlineLevel="0" collapsed="false">
      <c r="A688" s="7" t="s">
        <v>54</v>
      </c>
      <c r="B688" s="7" t="n">
        <v>1944</v>
      </c>
      <c r="C688" s="7" t="s">
        <v>150</v>
      </c>
      <c r="D688" s="7" t="n">
        <v>65</v>
      </c>
      <c r="E688" s="7" t="n">
        <v>89</v>
      </c>
      <c r="F688" s="3" t="n">
        <f aca="false">COUNTIFS($B$2:$B$2705,B688,$C$2:$C$2705,C688)</f>
        <v>2</v>
      </c>
      <c r="G688" s="3" t="n">
        <f aca="false">MIN(INT((MIN(B688,2020)-1900)/10)+1,12)</f>
        <v>5</v>
      </c>
      <c r="H688" s="3" t="n">
        <f aca="false">(MIN(B688,2020)-1900-10*(G688-1))/10</f>
        <v>0.4</v>
      </c>
      <c r="I688" s="20" t="n">
        <f aca="false">EXP(LN(INDEX(Pop_Inputs!$B$2:$N$29,MATCH(C688,Pop_Inputs!$A$2:$A$29,0),G688))*(1-H688)+LN(INDEX(Pop_Inputs!$B$2:$N$29,MATCH(C688,Pop_Inputs!$A$2:$A$29,0),G688+1))*H688)</f>
        <v>782924.178453923</v>
      </c>
      <c r="J688" s="20" t="n">
        <f aca="false">I688/F688</f>
        <v>391462.089226962</v>
      </c>
      <c r="K688" s="21" t="n">
        <f aca="false">D688/(D688+E688)</f>
        <v>0.422077922077922</v>
      </c>
      <c r="L688" s="21" t="n">
        <f aca="false">AVERAGEIFS($K$2:$K$2705,$B$2:$B$2705,B688)</f>
        <v>0.499994694847636</v>
      </c>
      <c r="M688" s="21" t="n">
        <f aca="false">K688-L688</f>
        <v>-0.077916772769714</v>
      </c>
      <c r="N688" s="21" t="n">
        <f aca="false">LN(J688)</f>
        <v>12.8776439550549</v>
      </c>
      <c r="O688" s="21" t="n">
        <f aca="false">AVERAGEIFS($N$2:$N$2705,$B$2:$B$2705,B688)</f>
        <v>13.7663959836329</v>
      </c>
      <c r="P688" s="21" t="n">
        <f aca="false">N688-O688</f>
        <v>-0.888752028578038</v>
      </c>
      <c r="Q688" s="7" t="n">
        <v>0</v>
      </c>
      <c r="R688" s="3" t="n">
        <f aca="false">IF(AND(Q688=1,B688-_xlfn.MINIFS($B$2:$B$2705,$A$2:$A$2705,A688)&lt;10),1,0)</f>
        <v>0</v>
      </c>
      <c r="S688" s="7" t="n">
        <v>0</v>
      </c>
      <c r="T688" s="3" t="n">
        <f aca="false">_xlfn.MINIFS($B$2:$B$2705,$A$2:$A$2705,A688)</f>
        <v>1901</v>
      </c>
      <c r="U688" s="3" t="n">
        <f aca="false">B688-T688</f>
        <v>43</v>
      </c>
      <c r="V688" s="3" t="str">
        <f aca="false">INDEX(Pop_Inputs!$Q$2:$Q$29,MATCH(C688,Pop_Inputs!$A$2:$A$29,0))</f>
        <v>Northeast</v>
      </c>
      <c r="W688" s="30"/>
      <c r="X688" s="3" t="str">
        <f aca="false">IF(W688="","",LN(W688))</f>
        <v/>
      </c>
      <c r="Y688" s="3" t="str">
        <f aca="false">IF(X688="","",X688-AVERAGEIFS($X$2:$X$2705,$B$2:$B$2705,B688))</f>
        <v/>
      </c>
      <c r="Z688" s="21" t="n">
        <f aca="false">P688</f>
        <v>-0.888752028578038</v>
      </c>
      <c r="AA688" s="3" t="n">
        <f aca="false">R688</f>
        <v>0</v>
      </c>
      <c r="AB688" s="21" t="n">
        <f aca="false">P688</f>
        <v>-0.888752028578038</v>
      </c>
      <c r="AC688" s="3" t="str">
        <f aca="false">Y688</f>
        <v/>
      </c>
      <c r="AD688" s="3" t="n">
        <f aca="false">R688</f>
        <v>0</v>
      </c>
    </row>
    <row r="689" customFormat="false" ht="15" hidden="false" customHeight="true" outlineLevel="0" collapsed="false">
      <c r="A689" s="7" t="s">
        <v>63</v>
      </c>
      <c r="B689" s="7" t="n">
        <v>1944</v>
      </c>
      <c r="C689" s="7" t="s">
        <v>145</v>
      </c>
      <c r="D689" s="7" t="n">
        <v>89</v>
      </c>
      <c r="E689" s="7" t="n">
        <v>65</v>
      </c>
      <c r="F689" s="3" t="n">
        <f aca="false">COUNTIFS($B$2:$B$2705,B689,$C$2:$C$2705,C689)</f>
        <v>2</v>
      </c>
      <c r="G689" s="3" t="n">
        <f aca="false">MIN(INT((MIN(B689,2020)-1900)/10)+1,12)</f>
        <v>5</v>
      </c>
      <c r="H689" s="3" t="n">
        <f aca="false">(MIN(B689,2020)-1900-10*(G689-1))/10</f>
        <v>0.4</v>
      </c>
      <c r="I689" s="20" t="n">
        <f aca="false">EXP(LN(INDEX(Pop_Inputs!$B$2:$N$29,MATCH(C689,Pop_Inputs!$A$2:$A$29,0),G689))*(1-H689)+LN(INDEX(Pop_Inputs!$B$2:$N$29,MATCH(C689,Pop_Inputs!$A$2:$A$29,0),G689+1))*H689)</f>
        <v>832109.336536511</v>
      </c>
      <c r="J689" s="20" t="n">
        <f aca="false">I689/F689</f>
        <v>416054.668268255</v>
      </c>
      <c r="K689" s="21" t="n">
        <f aca="false">D689/(D689+E689)</f>
        <v>0.577922077922078</v>
      </c>
      <c r="L689" s="21" t="n">
        <f aca="false">AVERAGEIFS($K$2:$K$2705,$B$2:$B$2705,B689)</f>
        <v>0.499994694847636</v>
      </c>
      <c r="M689" s="21" t="n">
        <f aca="false">K689-L689</f>
        <v>0.0779273830744419</v>
      </c>
      <c r="N689" s="21" t="n">
        <f aca="false">LN(J689)</f>
        <v>12.9385719447157</v>
      </c>
      <c r="O689" s="21" t="n">
        <f aca="false">AVERAGEIFS($N$2:$N$2705,$B$2:$B$2705,B689)</f>
        <v>13.7663959836329</v>
      </c>
      <c r="P689" s="21" t="n">
        <f aca="false">N689-O689</f>
        <v>-0.827824038917228</v>
      </c>
      <c r="Q689" s="7" t="n">
        <v>0</v>
      </c>
      <c r="R689" s="3" t="n">
        <f aca="false">IF(AND(Q689=1,B689-_xlfn.MINIFS($B$2:$B$2705,$A$2:$A$2705,A689)&lt;10),1,0)</f>
        <v>0</v>
      </c>
      <c r="S689" s="7" t="n">
        <v>0</v>
      </c>
      <c r="T689" s="3" t="n">
        <f aca="false">_xlfn.MINIFS($B$2:$B$2705,$A$2:$A$2705,A689)</f>
        <v>1901</v>
      </c>
      <c r="U689" s="3" t="n">
        <f aca="false">B689-T689</f>
        <v>43</v>
      </c>
      <c r="V689" s="3" t="str">
        <f aca="false">INDEX(Pop_Inputs!$Q$2:$Q$29,MATCH(C689,Pop_Inputs!$A$2:$A$29,0))</f>
        <v>Midwest</v>
      </c>
      <c r="W689" s="30"/>
      <c r="X689" s="3" t="str">
        <f aca="false">IF(W689="","",LN(W689))</f>
        <v/>
      </c>
      <c r="Y689" s="3" t="str">
        <f aca="false">IF(X689="","",X689-AVERAGEIFS($X$2:$X$2705,$B$2:$B$2705,B689))</f>
        <v/>
      </c>
      <c r="Z689" s="21" t="n">
        <f aca="false">P689</f>
        <v>-0.827824038917228</v>
      </c>
      <c r="AA689" s="3" t="n">
        <f aca="false">R689</f>
        <v>0</v>
      </c>
      <c r="AB689" s="21" t="n">
        <f aca="false">P689</f>
        <v>-0.827824038917228</v>
      </c>
      <c r="AC689" s="3" t="str">
        <f aca="false">Y689</f>
        <v/>
      </c>
      <c r="AD689" s="3" t="n">
        <f aca="false">R689</f>
        <v>0</v>
      </c>
    </row>
    <row r="690" customFormat="false" ht="15" hidden="false" customHeight="true" outlineLevel="0" collapsed="false">
      <c r="A690" s="7" t="s">
        <v>64</v>
      </c>
      <c r="B690" s="7" t="n">
        <v>1944</v>
      </c>
      <c r="C690" s="7" t="s">
        <v>150</v>
      </c>
      <c r="D690" s="7" t="n">
        <v>77</v>
      </c>
      <c r="E690" s="7" t="n">
        <v>77</v>
      </c>
      <c r="F690" s="3" t="n">
        <f aca="false">COUNTIFS($B$2:$B$2705,B690,$C$2:$C$2705,C690)</f>
        <v>2</v>
      </c>
      <c r="G690" s="3" t="n">
        <f aca="false">MIN(INT((MIN(B690,2020)-1900)/10)+1,12)</f>
        <v>5</v>
      </c>
      <c r="H690" s="3" t="n">
        <f aca="false">(MIN(B690,2020)-1900-10*(G690-1))/10</f>
        <v>0.4</v>
      </c>
      <c r="I690" s="20" t="n">
        <f aca="false">EXP(LN(INDEX(Pop_Inputs!$B$2:$N$29,MATCH(C690,Pop_Inputs!$A$2:$A$29,0),G690))*(1-H690)+LN(INDEX(Pop_Inputs!$B$2:$N$29,MATCH(C690,Pop_Inputs!$A$2:$A$29,0),G690+1))*H690)</f>
        <v>782924.178453923</v>
      </c>
      <c r="J690" s="20" t="n">
        <f aca="false">I690/F690</f>
        <v>391462.089226962</v>
      </c>
      <c r="K690" s="21" t="n">
        <f aca="false">D690/(D690+E690)</f>
        <v>0.5</v>
      </c>
      <c r="L690" s="21" t="n">
        <f aca="false">AVERAGEIFS($K$2:$K$2705,$B$2:$B$2705,B690)</f>
        <v>0.499994694847636</v>
      </c>
      <c r="M690" s="21" t="n">
        <f aca="false">K690-L690</f>
        <v>5.30515236396578E-006</v>
      </c>
      <c r="N690" s="21" t="n">
        <f aca="false">LN(J690)</f>
        <v>12.8776439550549</v>
      </c>
      <c r="O690" s="21" t="n">
        <f aca="false">AVERAGEIFS($N$2:$N$2705,$B$2:$B$2705,B690)</f>
        <v>13.7663959836329</v>
      </c>
      <c r="P690" s="21" t="n">
        <f aca="false">N690-O690</f>
        <v>-0.888752028578038</v>
      </c>
      <c r="Q690" s="7" t="n">
        <v>0</v>
      </c>
      <c r="R690" s="3" t="n">
        <f aca="false">IF(AND(Q690=1,B690-_xlfn.MINIFS($B$2:$B$2705,$A$2:$A$2705,A690)&lt;10),1,0)</f>
        <v>0</v>
      </c>
      <c r="S690" s="7" t="n">
        <v>0</v>
      </c>
      <c r="T690" s="3" t="n">
        <f aca="false">_xlfn.MINIFS($B$2:$B$2705,$A$2:$A$2705,A690)</f>
        <v>1901</v>
      </c>
      <c r="U690" s="3" t="n">
        <f aca="false">B690-T690</f>
        <v>43</v>
      </c>
      <c r="V690" s="3" t="str">
        <f aca="false">INDEX(Pop_Inputs!$Q$2:$Q$29,MATCH(C690,Pop_Inputs!$A$2:$A$29,0))</f>
        <v>Northeast</v>
      </c>
      <c r="W690" s="30"/>
      <c r="X690" s="3" t="str">
        <f aca="false">IF(W690="","",LN(W690))</f>
        <v/>
      </c>
      <c r="Y690" s="3" t="str">
        <f aca="false">IF(X690="","",X690-AVERAGEIFS($X$2:$X$2705,$B$2:$B$2705,B690))</f>
        <v/>
      </c>
      <c r="Z690" s="21" t="n">
        <f aca="false">P690</f>
        <v>-0.888752028578038</v>
      </c>
      <c r="AA690" s="3" t="n">
        <f aca="false">R690</f>
        <v>0</v>
      </c>
      <c r="AB690" s="21" t="n">
        <f aca="false">P690</f>
        <v>-0.888752028578038</v>
      </c>
      <c r="AC690" s="3" t="str">
        <f aca="false">Y690</f>
        <v/>
      </c>
      <c r="AD690" s="3" t="n">
        <f aca="false">R690</f>
        <v>0</v>
      </c>
    </row>
    <row r="691" customFormat="false" ht="15" hidden="false" customHeight="true" outlineLevel="0" collapsed="false">
      <c r="A691" s="7" t="s">
        <v>56</v>
      </c>
      <c r="B691" s="7" t="n">
        <v>1944</v>
      </c>
      <c r="C691" s="7" t="s">
        <v>142</v>
      </c>
      <c r="D691" s="7" t="n">
        <v>75</v>
      </c>
      <c r="E691" s="7" t="n">
        <v>79</v>
      </c>
      <c r="F691" s="3" t="n">
        <f aca="false">COUNTIFS($B$2:$B$2705,B691,$C$2:$C$2705,C691)</f>
        <v>2</v>
      </c>
      <c r="G691" s="3" t="n">
        <f aca="false">MIN(INT((MIN(B691,2020)-1900)/10)+1,12)</f>
        <v>5</v>
      </c>
      <c r="H691" s="3" t="n">
        <f aca="false">(MIN(B691,2020)-1900-10*(G691-1))/10</f>
        <v>0.4</v>
      </c>
      <c r="I691" s="20" t="n">
        <f aca="false">EXP(LN(INDEX(Pop_Inputs!$B$2:$N$29,MATCH(C691,Pop_Inputs!$A$2:$A$29,0),G691))*(1-H691)+LN(INDEX(Pop_Inputs!$B$2:$N$29,MATCH(C691,Pop_Inputs!$A$2:$A$29,0),G691+1))*H691)</f>
        <v>3484754.49254682</v>
      </c>
      <c r="J691" s="20" t="n">
        <f aca="false">I691/F691</f>
        <v>1742377.24627341</v>
      </c>
      <c r="K691" s="21" t="n">
        <f aca="false">D691/(D691+E691)</f>
        <v>0.487012987012987</v>
      </c>
      <c r="L691" s="21" t="n">
        <f aca="false">AVERAGEIFS($K$2:$K$2705,$B$2:$B$2705,B691)</f>
        <v>0.499994694847636</v>
      </c>
      <c r="M691" s="21" t="n">
        <f aca="false">K691-L691</f>
        <v>-0.012981707834649</v>
      </c>
      <c r="N691" s="21" t="n">
        <f aca="false">LN(J691)</f>
        <v>14.3707609722334</v>
      </c>
      <c r="O691" s="21" t="n">
        <f aca="false">AVERAGEIFS($N$2:$N$2705,$B$2:$B$2705,B691)</f>
        <v>13.7663959836329</v>
      </c>
      <c r="P691" s="21" t="n">
        <f aca="false">N691-O691</f>
        <v>0.604364988600464</v>
      </c>
      <c r="Q691" s="7" t="n">
        <v>0</v>
      </c>
      <c r="R691" s="3" t="n">
        <f aca="false">IF(AND(Q691=1,B691-_xlfn.MINIFS($B$2:$B$2705,$A$2:$A$2705,A691)&lt;10),1,0)</f>
        <v>0</v>
      </c>
      <c r="S691" s="7" t="n">
        <v>0</v>
      </c>
      <c r="T691" s="3" t="n">
        <f aca="false">_xlfn.MINIFS($B$2:$B$2705,$A$2:$A$2705,A691)</f>
        <v>1901</v>
      </c>
      <c r="U691" s="3" t="n">
        <f aca="false">B691-T691</f>
        <v>43</v>
      </c>
      <c r="V691" s="3" t="str">
        <f aca="false">INDEX(Pop_Inputs!$Q$2:$Q$29,MATCH(C691,Pop_Inputs!$A$2:$A$29,0))</f>
        <v>Midwest</v>
      </c>
      <c r="W691" s="30"/>
      <c r="X691" s="3" t="str">
        <f aca="false">IF(W691="","",LN(W691))</f>
        <v/>
      </c>
      <c r="Y691" s="3" t="str">
        <f aca="false">IF(X691="","",X691-AVERAGEIFS($X$2:$X$2705,$B$2:$B$2705,B691))</f>
        <v/>
      </c>
      <c r="Z691" s="21" t="n">
        <f aca="false">P691</f>
        <v>0.604364988600464</v>
      </c>
      <c r="AA691" s="3" t="n">
        <f aca="false">R691</f>
        <v>0</v>
      </c>
      <c r="AB691" s="21" t="n">
        <f aca="false">P691</f>
        <v>0.604364988600464</v>
      </c>
      <c r="AC691" s="3" t="str">
        <f aca="false">Y691</f>
        <v/>
      </c>
      <c r="AD691" s="3" t="n">
        <f aca="false">R691</f>
        <v>0</v>
      </c>
    </row>
    <row r="692" customFormat="false" ht="15" hidden="false" customHeight="true" outlineLevel="0" collapsed="false">
      <c r="A692" s="7" t="s">
        <v>65</v>
      </c>
      <c r="B692" s="7" t="n">
        <v>1944</v>
      </c>
      <c r="C692" s="7" t="s">
        <v>142</v>
      </c>
      <c r="D692" s="7" t="n">
        <v>71</v>
      </c>
      <c r="E692" s="7" t="n">
        <v>83</v>
      </c>
      <c r="F692" s="3" t="n">
        <f aca="false">COUNTIFS($B$2:$B$2705,B692,$C$2:$C$2705,C692)</f>
        <v>2</v>
      </c>
      <c r="G692" s="3" t="n">
        <f aca="false">MIN(INT((MIN(B692,2020)-1900)/10)+1,12)</f>
        <v>5</v>
      </c>
      <c r="H692" s="3" t="n">
        <f aca="false">(MIN(B692,2020)-1900-10*(G692-1))/10</f>
        <v>0.4</v>
      </c>
      <c r="I692" s="20" t="n">
        <f aca="false">EXP(LN(INDEX(Pop_Inputs!$B$2:$N$29,MATCH(C692,Pop_Inputs!$A$2:$A$29,0),G692))*(1-H692)+LN(INDEX(Pop_Inputs!$B$2:$N$29,MATCH(C692,Pop_Inputs!$A$2:$A$29,0),G692+1))*H692)</f>
        <v>3484754.49254682</v>
      </c>
      <c r="J692" s="20" t="n">
        <f aca="false">I692/F692</f>
        <v>1742377.24627341</v>
      </c>
      <c r="K692" s="21" t="n">
        <f aca="false">D692/(D692+E692)</f>
        <v>0.461038961038961</v>
      </c>
      <c r="L692" s="21" t="n">
        <f aca="false">AVERAGEIFS($K$2:$K$2705,$B$2:$B$2705,B692)</f>
        <v>0.499994694847636</v>
      </c>
      <c r="M692" s="21" t="n">
        <f aca="false">K692-L692</f>
        <v>-0.038955733808675</v>
      </c>
      <c r="N692" s="21" t="n">
        <f aca="false">LN(J692)</f>
        <v>14.3707609722334</v>
      </c>
      <c r="O692" s="21" t="n">
        <f aca="false">AVERAGEIFS($N$2:$N$2705,$B$2:$B$2705,B692)</f>
        <v>13.7663959836329</v>
      </c>
      <c r="P692" s="21" t="n">
        <f aca="false">N692-O692</f>
        <v>0.604364988600464</v>
      </c>
      <c r="Q692" s="7" t="n">
        <v>0</v>
      </c>
      <c r="R692" s="3" t="n">
        <f aca="false">IF(AND(Q692=1,B692-_xlfn.MINIFS($B$2:$B$2705,$A$2:$A$2705,A692)&lt;10),1,0)</f>
        <v>0</v>
      </c>
      <c r="S692" s="7" t="n">
        <v>0</v>
      </c>
      <c r="T692" s="3" t="n">
        <f aca="false">_xlfn.MINIFS($B$2:$B$2705,$A$2:$A$2705,A692)</f>
        <v>1901</v>
      </c>
      <c r="U692" s="3" t="n">
        <f aca="false">B692-T692</f>
        <v>43</v>
      </c>
      <c r="V692" s="3" t="str">
        <f aca="false">INDEX(Pop_Inputs!$Q$2:$Q$29,MATCH(C692,Pop_Inputs!$A$2:$A$29,0))</f>
        <v>Midwest</v>
      </c>
      <c r="W692" s="30"/>
      <c r="X692" s="3" t="str">
        <f aca="false">IF(W692="","",LN(W692))</f>
        <v/>
      </c>
      <c r="Y692" s="3" t="str">
        <f aca="false">IF(X692="","",X692-AVERAGEIFS($X$2:$X$2705,$B$2:$B$2705,B692))</f>
        <v/>
      </c>
      <c r="Z692" s="21" t="n">
        <f aca="false">P692</f>
        <v>0.604364988600464</v>
      </c>
      <c r="AA692" s="3" t="n">
        <f aca="false">R692</f>
        <v>0</v>
      </c>
      <c r="AB692" s="21" t="n">
        <f aca="false">P692</f>
        <v>0.604364988600464</v>
      </c>
      <c r="AC692" s="3" t="str">
        <f aca="false">Y692</f>
        <v/>
      </c>
      <c r="AD692" s="3" t="n">
        <f aca="false">R692</f>
        <v>0</v>
      </c>
    </row>
    <row r="693" customFormat="false" ht="15" hidden="false" customHeight="true" outlineLevel="0" collapsed="false">
      <c r="A693" s="7" t="s">
        <v>57</v>
      </c>
      <c r="B693" s="7" t="n">
        <v>1944</v>
      </c>
      <c r="C693" s="7" t="s">
        <v>143</v>
      </c>
      <c r="D693" s="7" t="n">
        <v>89</v>
      </c>
      <c r="E693" s="7" t="n">
        <v>65</v>
      </c>
      <c r="F693" s="3" t="n">
        <f aca="false">COUNTIFS($B$2:$B$2705,B693,$C$2:$C$2705,C693)</f>
        <v>1</v>
      </c>
      <c r="G693" s="3" t="n">
        <f aca="false">MIN(INT((MIN(B693,2020)-1900)/10)+1,12)</f>
        <v>5</v>
      </c>
      <c r="H693" s="3" t="n">
        <f aca="false">(MIN(B693,2020)-1900-10*(G693-1))/10</f>
        <v>0.4</v>
      </c>
      <c r="I693" s="20" t="n">
        <f aca="false">EXP(LN(INDEX(Pop_Inputs!$B$2:$N$29,MATCH(C693,Pop_Inputs!$A$2:$A$29,0),G693))*(1-H693)+LN(INDEX(Pop_Inputs!$B$2:$N$29,MATCH(C693,Pop_Inputs!$A$2:$A$29,0),G693+1))*H693)</f>
        <v>474381.20487511</v>
      </c>
      <c r="J693" s="20" t="n">
        <f aca="false">I693/F693</f>
        <v>474381.20487511</v>
      </c>
      <c r="K693" s="21" t="n">
        <f aca="false">D693/(D693+E693)</f>
        <v>0.577922077922078</v>
      </c>
      <c r="L693" s="21" t="n">
        <f aca="false">AVERAGEIFS($K$2:$K$2705,$B$2:$B$2705,B693)</f>
        <v>0.499994694847636</v>
      </c>
      <c r="M693" s="21" t="n">
        <f aca="false">K693-L693</f>
        <v>0.0779273830744419</v>
      </c>
      <c r="N693" s="21" t="n">
        <f aca="false">LN(J693)</f>
        <v>13.0697665071521</v>
      </c>
      <c r="O693" s="21" t="n">
        <f aca="false">AVERAGEIFS($N$2:$N$2705,$B$2:$B$2705,B693)</f>
        <v>13.7663959836329</v>
      </c>
      <c r="P693" s="21" t="n">
        <f aca="false">N693-O693</f>
        <v>-0.696629476480814</v>
      </c>
      <c r="Q693" s="7" t="n">
        <v>0</v>
      </c>
      <c r="R693" s="3" t="n">
        <f aca="false">IF(AND(Q693=1,B693-_xlfn.MINIFS($B$2:$B$2705,$A$2:$A$2705,A693)&lt;10),1,0)</f>
        <v>0</v>
      </c>
      <c r="S693" s="7" t="n">
        <v>0</v>
      </c>
      <c r="T693" s="3" t="n">
        <f aca="false">_xlfn.MINIFS($B$2:$B$2705,$A$2:$A$2705,A693)</f>
        <v>1901</v>
      </c>
      <c r="U693" s="3" t="n">
        <f aca="false">B693-T693</f>
        <v>43</v>
      </c>
      <c r="V693" s="3" t="str">
        <f aca="false">INDEX(Pop_Inputs!$Q$2:$Q$29,MATCH(C693,Pop_Inputs!$A$2:$A$29,0))</f>
        <v>Midwest</v>
      </c>
      <c r="W693" s="30"/>
      <c r="X693" s="3" t="str">
        <f aca="false">IF(W693="","",LN(W693))</f>
        <v/>
      </c>
      <c r="Y693" s="3" t="str">
        <f aca="false">IF(X693="","",X693-AVERAGEIFS($X$2:$X$2705,$B$2:$B$2705,B693))</f>
        <v/>
      </c>
      <c r="Z693" s="21" t="n">
        <f aca="false">P693</f>
        <v>-0.696629476480814</v>
      </c>
      <c r="AA693" s="3" t="n">
        <f aca="false">R693</f>
        <v>0</v>
      </c>
      <c r="AB693" s="21" t="n">
        <f aca="false">P693</f>
        <v>-0.696629476480814</v>
      </c>
      <c r="AC693" s="3" t="str">
        <f aca="false">Y693</f>
        <v/>
      </c>
      <c r="AD693" s="3" t="n">
        <f aca="false">R693</f>
        <v>0</v>
      </c>
    </row>
    <row r="694" customFormat="false" ht="15" hidden="false" customHeight="true" outlineLevel="0" collapsed="false">
      <c r="A694" s="7" t="s">
        <v>66</v>
      </c>
      <c r="B694" s="7" t="n">
        <v>1944</v>
      </c>
      <c r="C694" s="7" t="s">
        <v>151</v>
      </c>
      <c r="D694" s="7" t="n">
        <v>72</v>
      </c>
      <c r="E694" s="7" t="n">
        <v>82</v>
      </c>
      <c r="F694" s="3" t="n">
        <f aca="false">COUNTIFS($B$2:$B$2705,B694,$C$2:$C$2705,C694)</f>
        <v>1</v>
      </c>
      <c r="G694" s="3" t="n">
        <f aca="false">MIN(INT((MIN(B694,2020)-1900)/10)+1,12)</f>
        <v>5</v>
      </c>
      <c r="H694" s="3" t="n">
        <f aca="false">(MIN(B694,2020)-1900-10*(G694-1))/10</f>
        <v>0.4</v>
      </c>
      <c r="I694" s="20" t="n">
        <f aca="false">EXP(LN(INDEX(Pop_Inputs!$B$2:$N$29,MATCH(C694,Pop_Inputs!$A$2:$A$29,0),G694))*(1-H694)+LN(INDEX(Pop_Inputs!$B$2:$N$29,MATCH(C694,Pop_Inputs!$A$2:$A$29,0),G694+1))*H694)</f>
        <v>892746.983773766</v>
      </c>
      <c r="J694" s="20" t="n">
        <f aca="false">I694/F694</f>
        <v>892746.983773766</v>
      </c>
      <c r="K694" s="21" t="n">
        <f aca="false">D694/(D694+E694)</f>
        <v>0.467532467532468</v>
      </c>
      <c r="L694" s="21" t="n">
        <f aca="false">AVERAGEIFS($K$2:$K$2705,$B$2:$B$2705,B694)</f>
        <v>0.499994694847636</v>
      </c>
      <c r="M694" s="21" t="n">
        <f aca="false">K694-L694</f>
        <v>-0.0324622273151685</v>
      </c>
      <c r="N694" s="21" t="n">
        <f aca="false">LN(J694)</f>
        <v>13.7020584868722</v>
      </c>
      <c r="O694" s="21" t="n">
        <f aca="false">AVERAGEIFS($N$2:$N$2705,$B$2:$B$2705,B694)</f>
        <v>13.7663959836329</v>
      </c>
      <c r="P694" s="21" t="n">
        <f aca="false">N694-O694</f>
        <v>-0.0643374967607588</v>
      </c>
      <c r="Q694" s="7" t="n">
        <v>0</v>
      </c>
      <c r="R694" s="3" t="n">
        <f aca="false">IF(AND(Q694=1,B694-_xlfn.MINIFS($B$2:$B$2705,$A$2:$A$2705,A694)&lt;10),1,0)</f>
        <v>0</v>
      </c>
      <c r="S694" s="7" t="n">
        <v>0</v>
      </c>
      <c r="T694" s="3" t="n">
        <f aca="false">_xlfn.MINIFS($B$2:$B$2705,$A$2:$A$2705,A694)</f>
        <v>1901</v>
      </c>
      <c r="U694" s="3" t="n">
        <f aca="false">B694-T694</f>
        <v>43</v>
      </c>
      <c r="V694" s="3" t="str">
        <f aca="false">INDEX(Pop_Inputs!$Q$2:$Q$29,MATCH(C694,Pop_Inputs!$A$2:$A$29,0))</f>
        <v>Midwest</v>
      </c>
      <c r="W694" s="30"/>
      <c r="X694" s="3" t="str">
        <f aca="false">IF(W694="","",LN(W694))</f>
        <v/>
      </c>
      <c r="Y694" s="3" t="str">
        <f aca="false">IF(X694="","",X694-AVERAGEIFS($X$2:$X$2705,$B$2:$B$2705,B694))</f>
        <v/>
      </c>
      <c r="Z694" s="21" t="n">
        <f aca="false">P694</f>
        <v>-0.0643374967607588</v>
      </c>
      <c r="AA694" s="3" t="n">
        <f aca="false">R694</f>
        <v>0</v>
      </c>
      <c r="AB694" s="21" t="n">
        <f aca="false">P694</f>
        <v>-0.0643374967607588</v>
      </c>
      <c r="AC694" s="3" t="str">
        <f aca="false">Y694</f>
        <v/>
      </c>
      <c r="AD694" s="3" t="n">
        <f aca="false">R694</f>
        <v>0</v>
      </c>
    </row>
    <row r="695" customFormat="false" ht="15" hidden="false" customHeight="true" outlineLevel="0" collapsed="false">
      <c r="A695" s="7" t="s">
        <v>67</v>
      </c>
      <c r="B695" s="7" t="n">
        <v>1944</v>
      </c>
      <c r="C695" s="7" t="s">
        <v>152</v>
      </c>
      <c r="D695" s="7" t="n">
        <v>88</v>
      </c>
      <c r="E695" s="7" t="n">
        <v>66</v>
      </c>
      <c r="F695" s="3" t="n">
        <f aca="false">COUNTIFS($B$2:$B$2705,B695,$C$2:$C$2705,C695)</f>
        <v>1</v>
      </c>
      <c r="G695" s="3" t="n">
        <f aca="false">MIN(INT((MIN(B695,2020)-1900)/10)+1,12)</f>
        <v>5</v>
      </c>
      <c r="H695" s="3" t="n">
        <f aca="false">(MIN(B695,2020)-1900-10*(G695-1))/10</f>
        <v>0.4</v>
      </c>
      <c r="I695" s="20" t="n">
        <f aca="false">EXP(LN(INDEX(Pop_Inputs!$B$2:$N$29,MATCH(C695,Pop_Inputs!$A$2:$A$29,0),G695))*(1-H695)+LN(INDEX(Pop_Inputs!$B$2:$N$29,MATCH(C695,Pop_Inputs!$A$2:$A$29,0),G695+1))*H695)</f>
        <v>1710376.78294346</v>
      </c>
      <c r="J695" s="20" t="n">
        <f aca="false">I695/F695</f>
        <v>1710376.78294346</v>
      </c>
      <c r="K695" s="21" t="n">
        <f aca="false">D695/(D695+E695)</f>
        <v>0.571428571428571</v>
      </c>
      <c r="L695" s="21" t="n">
        <f aca="false">AVERAGEIFS($K$2:$K$2705,$B$2:$B$2705,B695)</f>
        <v>0.499994694847636</v>
      </c>
      <c r="M695" s="21" t="n">
        <f aca="false">K695-L695</f>
        <v>0.0714338765809354</v>
      </c>
      <c r="N695" s="21" t="n">
        <f aca="false">LN(J695)</f>
        <v>14.35222424511</v>
      </c>
      <c r="O695" s="21" t="n">
        <f aca="false">AVERAGEIFS($N$2:$N$2705,$B$2:$B$2705,B695)</f>
        <v>13.7663959836329</v>
      </c>
      <c r="P695" s="21" t="n">
        <f aca="false">N695-O695</f>
        <v>0.585828261477028</v>
      </c>
      <c r="Q695" s="7" t="n">
        <v>0</v>
      </c>
      <c r="R695" s="3" t="n">
        <f aca="false">IF(AND(Q695=1,B695-_xlfn.MINIFS($B$2:$B$2705,$A$2:$A$2705,A695)&lt;10),1,0)</f>
        <v>0</v>
      </c>
      <c r="S695" s="7" t="n">
        <v>0</v>
      </c>
      <c r="T695" s="3" t="n">
        <f aca="false">_xlfn.MINIFS($B$2:$B$2705,$A$2:$A$2705,A695)</f>
        <v>1901</v>
      </c>
      <c r="U695" s="3" t="n">
        <f aca="false">B695-T695</f>
        <v>43</v>
      </c>
      <c r="V695" s="3" t="str">
        <f aca="false">INDEX(Pop_Inputs!$Q$2:$Q$29,MATCH(C695,Pop_Inputs!$A$2:$A$29,0))</f>
        <v>Midwest</v>
      </c>
      <c r="W695" s="30"/>
      <c r="X695" s="3" t="str">
        <f aca="false">IF(W695="","",LN(W695))</f>
        <v/>
      </c>
      <c r="Y695" s="3" t="str">
        <f aca="false">IF(X695="","",X695-AVERAGEIFS($X$2:$X$2705,$B$2:$B$2705,B695))</f>
        <v/>
      </c>
      <c r="Z695" s="21" t="n">
        <f aca="false">P695</f>
        <v>0.585828261477028</v>
      </c>
      <c r="AA695" s="3" t="n">
        <f aca="false">R695</f>
        <v>0</v>
      </c>
      <c r="AB695" s="21" t="n">
        <f aca="false">P695</f>
        <v>0.585828261477028</v>
      </c>
      <c r="AC695" s="3" t="str">
        <f aca="false">Y695</f>
        <v/>
      </c>
      <c r="AD695" s="3" t="n">
        <f aca="false">R695</f>
        <v>0</v>
      </c>
    </row>
    <row r="696" customFormat="false" ht="15" hidden="false" customHeight="true" outlineLevel="0" collapsed="false">
      <c r="A696" s="7" t="s">
        <v>62</v>
      </c>
      <c r="B696" s="7" t="n">
        <v>1944</v>
      </c>
      <c r="C696" s="7" t="s">
        <v>154</v>
      </c>
      <c r="D696" s="7" t="n">
        <v>63</v>
      </c>
      <c r="E696" s="7" t="n">
        <v>91</v>
      </c>
      <c r="F696" s="3" t="n">
        <f aca="false">COUNTIFS($B$2:$B$2705,B696,$C$2:$C$2705,C696)</f>
        <v>3</v>
      </c>
      <c r="G696" s="3" t="n">
        <f aca="false">MIN(INT((MIN(B696,2020)-1900)/10)+1,12)</f>
        <v>5</v>
      </c>
      <c r="H696" s="3" t="n">
        <f aca="false">(MIN(B696,2020)-1900-10*(G696-1))/10</f>
        <v>0.4</v>
      </c>
      <c r="I696" s="20" t="n">
        <f aca="false">EXP(LN(INDEX(Pop_Inputs!$B$2:$N$29,MATCH(C696,Pop_Inputs!$A$2:$A$29,0),G696))*(1-H696)+LN(INDEX(Pop_Inputs!$B$2:$N$29,MATCH(C696,Pop_Inputs!$A$2:$A$29,0),G696+1))*H696)</f>
        <v>7626798.94859427</v>
      </c>
      <c r="J696" s="20" t="n">
        <f aca="false">I696/F696</f>
        <v>2542266.31619809</v>
      </c>
      <c r="K696" s="21" t="n">
        <f aca="false">D696/(D696+E696)</f>
        <v>0.409090909090909</v>
      </c>
      <c r="L696" s="21" t="n">
        <f aca="false">AVERAGEIFS($K$2:$K$2705,$B$2:$B$2705,B696)</f>
        <v>0.499994694847636</v>
      </c>
      <c r="M696" s="21" t="n">
        <f aca="false">K696-L696</f>
        <v>-0.0909037857567269</v>
      </c>
      <c r="N696" s="21" t="n">
        <f aca="false">LN(J696)</f>
        <v>14.7485664916476</v>
      </c>
      <c r="O696" s="21" t="n">
        <f aca="false">AVERAGEIFS($N$2:$N$2705,$B$2:$B$2705,B696)</f>
        <v>13.7663959836329</v>
      </c>
      <c r="P696" s="21" t="n">
        <f aca="false">N696-O696</f>
        <v>0.98217050801464</v>
      </c>
      <c r="Q696" s="7" t="n">
        <v>0</v>
      </c>
      <c r="R696" s="3" t="n">
        <f aca="false">IF(AND(Q696=1,B696-_xlfn.MINIFS($B$2:$B$2705,$A$2:$A$2705,A696)&lt;10),1,0)</f>
        <v>0</v>
      </c>
      <c r="S696" s="7" t="n">
        <v>0</v>
      </c>
      <c r="T696" s="3" t="n">
        <f aca="false">_xlfn.MINIFS($B$2:$B$2705,$A$2:$A$2705,A696)</f>
        <v>1901</v>
      </c>
      <c r="U696" s="3" t="n">
        <f aca="false">B696-T696</f>
        <v>43</v>
      </c>
      <c r="V696" s="3" t="str">
        <f aca="false">INDEX(Pop_Inputs!$Q$2:$Q$29,MATCH(C696,Pop_Inputs!$A$2:$A$29,0))</f>
        <v>Northeast</v>
      </c>
      <c r="W696" s="30"/>
      <c r="X696" s="3" t="str">
        <f aca="false">IF(W696="","",LN(W696))</f>
        <v/>
      </c>
      <c r="Y696" s="3" t="str">
        <f aca="false">IF(X696="","",X696-AVERAGEIFS($X$2:$X$2705,$B$2:$B$2705,B696))</f>
        <v/>
      </c>
      <c r="Z696" s="21" t="n">
        <f aca="false">P696</f>
        <v>0.98217050801464</v>
      </c>
      <c r="AA696" s="3" t="n">
        <f aca="false">R696</f>
        <v>0</v>
      </c>
      <c r="AB696" s="21" t="n">
        <f aca="false">P696</f>
        <v>0.98217050801464</v>
      </c>
      <c r="AC696" s="3" t="str">
        <f aca="false">Y696</f>
        <v/>
      </c>
      <c r="AD696" s="3" t="n">
        <f aca="false">R696</f>
        <v>0</v>
      </c>
    </row>
    <row r="697" customFormat="false" ht="15" hidden="false" customHeight="true" outlineLevel="0" collapsed="false">
      <c r="A697" s="7" t="s">
        <v>68</v>
      </c>
      <c r="B697" s="7" t="n">
        <v>1944</v>
      </c>
      <c r="C697" s="7" t="s">
        <v>160</v>
      </c>
      <c r="D697" s="7" t="n">
        <v>64</v>
      </c>
      <c r="E697" s="7" t="n">
        <v>90</v>
      </c>
      <c r="F697" s="3" t="n">
        <f aca="false">COUNTIFS($B$2:$B$2705,B697,$C$2:$C$2705,C697)</f>
        <v>1</v>
      </c>
      <c r="G697" s="3" t="n">
        <f aca="false">MIN(INT((MIN(B697,2020)-1900)/10)+1,12)</f>
        <v>5</v>
      </c>
      <c r="H697" s="3" t="n">
        <f aca="false">(MIN(B697,2020)-1900-10*(G697-1))/10</f>
        <v>0.4</v>
      </c>
      <c r="I697" s="20" t="n">
        <f aca="false">EXP(LN(INDEX(Pop_Inputs!$B$2:$N$29,MATCH(C697,Pop_Inputs!$A$2:$A$29,0),G697))*(1-H697)+LN(INDEX(Pop_Inputs!$B$2:$N$29,MATCH(C697,Pop_Inputs!$A$2:$A$29,0),G697+1))*H697)</f>
        <v>715570.089345142</v>
      </c>
      <c r="J697" s="20" t="n">
        <f aca="false">I697/F697</f>
        <v>715570.089345142</v>
      </c>
      <c r="K697" s="21" t="n">
        <f aca="false">D697/(D697+E697)</f>
        <v>0.415584415584416</v>
      </c>
      <c r="L697" s="21" t="n">
        <f aca="false">AVERAGEIFS($K$2:$K$2705,$B$2:$B$2705,B697)</f>
        <v>0.499994694847636</v>
      </c>
      <c r="M697" s="21" t="n">
        <f aca="false">K697-L697</f>
        <v>-0.0844102792632204</v>
      </c>
      <c r="N697" s="21" t="n">
        <f aca="false">LN(J697)</f>
        <v>13.4808348317347</v>
      </c>
      <c r="O697" s="21" t="n">
        <f aca="false">AVERAGEIFS($N$2:$N$2705,$B$2:$B$2705,B697)</f>
        <v>13.7663959836329</v>
      </c>
      <c r="P697" s="21" t="n">
        <f aca="false">N697-O697</f>
        <v>-0.285561151898261</v>
      </c>
      <c r="Q697" s="7" t="n">
        <v>0</v>
      </c>
      <c r="R697" s="3" t="n">
        <f aca="false">IF(AND(Q697=1,B697-_xlfn.MINIFS($B$2:$B$2705,$A$2:$A$2705,A697)&lt;10),1,0)</f>
        <v>0</v>
      </c>
      <c r="S697" s="7" t="n">
        <v>0</v>
      </c>
      <c r="T697" s="3" t="n">
        <f aca="false">_xlfn.MINIFS($B$2:$B$2705,$A$2:$A$2705,A697)</f>
        <v>1901</v>
      </c>
      <c r="U697" s="3" t="n">
        <f aca="false">B697-T697</f>
        <v>43</v>
      </c>
      <c r="V697" s="3" t="str">
        <f aca="false">INDEX(Pop_Inputs!$Q$2:$Q$29,MATCH(C697,Pop_Inputs!$A$2:$A$29,0))</f>
        <v>South</v>
      </c>
      <c r="W697" s="30"/>
      <c r="X697" s="3" t="str">
        <f aca="false">IF(W697="","",LN(W697))</f>
        <v/>
      </c>
      <c r="Y697" s="3" t="str">
        <f aca="false">IF(X697="","",X697-AVERAGEIFS($X$2:$X$2705,$B$2:$B$2705,B697))</f>
        <v/>
      </c>
      <c r="Z697" s="21" t="n">
        <f aca="false">P697</f>
        <v>-0.285561151898261</v>
      </c>
      <c r="AA697" s="3" t="n">
        <f aca="false">R697</f>
        <v>0</v>
      </c>
      <c r="AB697" s="21" t="n">
        <f aca="false">P697</f>
        <v>-0.285561151898261</v>
      </c>
      <c r="AC697" s="3" t="str">
        <f aca="false">Y697</f>
        <v/>
      </c>
      <c r="AD697" s="3" t="n">
        <f aca="false">R697</f>
        <v>0</v>
      </c>
    </row>
    <row r="698" customFormat="false" ht="15" hidden="false" customHeight="true" outlineLevel="0" collapsed="false">
      <c r="A698" s="7" t="s">
        <v>70</v>
      </c>
      <c r="B698" s="7" t="n">
        <v>1944</v>
      </c>
      <c r="C698" s="7" t="s">
        <v>154</v>
      </c>
      <c r="D698" s="7" t="n">
        <v>83</v>
      </c>
      <c r="E698" s="7" t="n">
        <v>71</v>
      </c>
      <c r="F698" s="3" t="n">
        <f aca="false">COUNTIFS($B$2:$B$2705,B698,$C$2:$C$2705,C698)</f>
        <v>3</v>
      </c>
      <c r="G698" s="3" t="n">
        <f aca="false">MIN(INT((MIN(B698,2020)-1900)/10)+1,12)</f>
        <v>5</v>
      </c>
      <c r="H698" s="3" t="n">
        <f aca="false">(MIN(B698,2020)-1900-10*(G698-1))/10</f>
        <v>0.4</v>
      </c>
      <c r="I698" s="20" t="n">
        <f aca="false">EXP(LN(INDEX(Pop_Inputs!$B$2:$N$29,MATCH(C698,Pop_Inputs!$A$2:$A$29,0),G698))*(1-H698)+LN(INDEX(Pop_Inputs!$B$2:$N$29,MATCH(C698,Pop_Inputs!$A$2:$A$29,0),G698+1))*H698)</f>
        <v>7626798.94859427</v>
      </c>
      <c r="J698" s="20" t="n">
        <f aca="false">I698/F698</f>
        <v>2542266.31619809</v>
      </c>
      <c r="K698" s="21" t="n">
        <f aca="false">D698/(D698+E698)</f>
        <v>0.538961038961039</v>
      </c>
      <c r="L698" s="21" t="n">
        <f aca="false">AVERAGEIFS($K$2:$K$2705,$B$2:$B$2705,B698)</f>
        <v>0.499994694847636</v>
      </c>
      <c r="M698" s="21" t="n">
        <f aca="false">K698-L698</f>
        <v>0.0389663441134029</v>
      </c>
      <c r="N698" s="21" t="n">
        <f aca="false">LN(J698)</f>
        <v>14.7485664916476</v>
      </c>
      <c r="O698" s="21" t="n">
        <f aca="false">AVERAGEIFS($N$2:$N$2705,$B$2:$B$2705,B698)</f>
        <v>13.7663959836329</v>
      </c>
      <c r="P698" s="21" t="n">
        <f aca="false">N698-O698</f>
        <v>0.98217050801464</v>
      </c>
      <c r="Q698" s="7" t="n">
        <v>0</v>
      </c>
      <c r="R698" s="3" t="n">
        <f aca="false">IF(AND(Q698=1,B698-_xlfn.MINIFS($B$2:$B$2705,$A$2:$A$2705,A698)&lt;10),1,0)</f>
        <v>0</v>
      </c>
      <c r="S698" s="7" t="n">
        <v>1</v>
      </c>
      <c r="T698" s="3" t="n">
        <f aca="false">_xlfn.MINIFS($B$2:$B$2705,$A$2:$A$2705,A698)</f>
        <v>1903</v>
      </c>
      <c r="U698" s="3" t="n">
        <f aca="false">B698-T698</f>
        <v>41</v>
      </c>
      <c r="V698" s="3" t="str">
        <f aca="false">INDEX(Pop_Inputs!$Q$2:$Q$29,MATCH(C698,Pop_Inputs!$A$2:$A$29,0))</f>
        <v>Northeast</v>
      </c>
      <c r="W698" s="30"/>
      <c r="X698" s="3" t="str">
        <f aca="false">IF(W698="","",LN(W698))</f>
        <v/>
      </c>
      <c r="Y698" s="3" t="str">
        <f aca="false">IF(X698="","",X698-AVERAGEIFS($X$2:$X$2705,$B$2:$B$2705,B698))</f>
        <v/>
      </c>
      <c r="Z698" s="21" t="n">
        <f aca="false">P698</f>
        <v>0.98217050801464</v>
      </c>
      <c r="AA698" s="3" t="n">
        <f aca="false">R698</f>
        <v>0</v>
      </c>
      <c r="AB698" s="21" t="n">
        <f aca="false">P698</f>
        <v>0.98217050801464</v>
      </c>
      <c r="AC698" s="3" t="str">
        <f aca="false">Y698</f>
        <v/>
      </c>
      <c r="AD698" s="3" t="n">
        <f aca="false">R698</f>
        <v>0</v>
      </c>
    </row>
    <row r="699" customFormat="false" ht="15" hidden="false" customHeight="true" outlineLevel="0" collapsed="false">
      <c r="A699" s="7" t="s">
        <v>69</v>
      </c>
      <c r="B699" s="7" t="n">
        <v>1944</v>
      </c>
      <c r="C699" s="7" t="s">
        <v>146</v>
      </c>
      <c r="D699" s="7" t="n">
        <v>72</v>
      </c>
      <c r="E699" s="7" t="n">
        <v>82</v>
      </c>
      <c r="F699" s="3" t="n">
        <f aca="false">COUNTIFS($B$2:$B$2705,B699,$C$2:$C$2705,C699)</f>
        <v>2</v>
      </c>
      <c r="G699" s="3" t="n">
        <f aca="false">MIN(INT((MIN(B699,2020)-1900)/10)+1,12)</f>
        <v>5</v>
      </c>
      <c r="H699" s="3" t="n">
        <f aca="false">(MIN(B699,2020)-1900-10*(G699-1))/10</f>
        <v>0.4</v>
      </c>
      <c r="I699" s="20" t="n">
        <f aca="false">EXP(LN(INDEX(Pop_Inputs!$B$2:$N$29,MATCH(C699,Pop_Inputs!$A$2:$A$29,0),G699))*(1-H699)+LN(INDEX(Pop_Inputs!$B$2:$N$29,MATCH(C699,Pop_Inputs!$A$2:$A$29,0),G699+1))*H699)</f>
        <v>1986265.10015085</v>
      </c>
      <c r="J699" s="20" t="n">
        <f aca="false">I699/F699</f>
        <v>993132.550075426</v>
      </c>
      <c r="K699" s="21" t="n">
        <f aca="false">D699/(D699+E699)</f>
        <v>0.467532467532468</v>
      </c>
      <c r="L699" s="21" t="n">
        <f aca="false">AVERAGEIFS($K$2:$K$2705,$B$2:$B$2705,B699)</f>
        <v>0.499994694847636</v>
      </c>
      <c r="M699" s="21" t="n">
        <f aca="false">K699-L699</f>
        <v>-0.0324622273151685</v>
      </c>
      <c r="N699" s="21" t="n">
        <f aca="false">LN(J699)</f>
        <v>13.8086194185857</v>
      </c>
      <c r="O699" s="21" t="n">
        <f aca="false">AVERAGEIFS($N$2:$N$2705,$B$2:$B$2705,B699)</f>
        <v>13.7663959836329</v>
      </c>
      <c r="P699" s="21" t="n">
        <f aca="false">N699-O699</f>
        <v>0.0422234349528097</v>
      </c>
      <c r="Q699" s="7" t="n">
        <v>0</v>
      </c>
      <c r="R699" s="3" t="n">
        <f aca="false">IF(AND(Q699=1,B699-_xlfn.MINIFS($B$2:$B$2705,$A$2:$A$2705,A699)&lt;10),1,0)</f>
        <v>0</v>
      </c>
      <c r="S699" s="7" t="n">
        <v>0</v>
      </c>
      <c r="T699" s="3" t="n">
        <f aca="false">_xlfn.MINIFS($B$2:$B$2705,$A$2:$A$2705,A699)</f>
        <v>1901</v>
      </c>
      <c r="U699" s="3" t="n">
        <f aca="false">B699-T699</f>
        <v>43</v>
      </c>
      <c r="V699" s="3" t="str">
        <f aca="false">INDEX(Pop_Inputs!$Q$2:$Q$29,MATCH(C699,Pop_Inputs!$A$2:$A$29,0))</f>
        <v>Northeast</v>
      </c>
      <c r="W699" s="30"/>
      <c r="X699" s="3" t="str">
        <f aca="false">IF(W699="","",LN(W699))</f>
        <v/>
      </c>
      <c r="Y699" s="3" t="str">
        <f aca="false">IF(X699="","",X699-AVERAGEIFS($X$2:$X$2705,$B$2:$B$2705,B699))</f>
        <v/>
      </c>
      <c r="Z699" s="21" t="n">
        <f aca="false">P699</f>
        <v>0.0422234349528097</v>
      </c>
      <c r="AA699" s="3" t="n">
        <f aca="false">R699</f>
        <v>0</v>
      </c>
      <c r="AB699" s="21" t="n">
        <f aca="false">P699</f>
        <v>0.0422234349528097</v>
      </c>
      <c r="AC699" s="3" t="str">
        <f aca="false">Y699</f>
        <v/>
      </c>
      <c r="AD699" s="3" t="n">
        <f aca="false">R699</f>
        <v>0</v>
      </c>
    </row>
    <row r="700" customFormat="false" ht="15" hidden="false" customHeight="true" outlineLevel="0" collapsed="false">
      <c r="A700" s="7" t="s">
        <v>60</v>
      </c>
      <c r="B700" s="7" t="n">
        <v>1944</v>
      </c>
      <c r="C700" s="7" t="s">
        <v>146</v>
      </c>
      <c r="D700" s="7" t="n">
        <v>61</v>
      </c>
      <c r="E700" s="7" t="n">
        <v>92</v>
      </c>
      <c r="F700" s="3" t="n">
        <f aca="false">COUNTIFS($B$2:$B$2705,B700,$C$2:$C$2705,C700)</f>
        <v>2</v>
      </c>
      <c r="G700" s="3" t="n">
        <f aca="false">MIN(INT((MIN(B700,2020)-1900)/10)+1,12)</f>
        <v>5</v>
      </c>
      <c r="H700" s="3" t="n">
        <f aca="false">(MIN(B700,2020)-1900-10*(G700-1))/10</f>
        <v>0.4</v>
      </c>
      <c r="I700" s="20" t="n">
        <f aca="false">EXP(LN(INDEX(Pop_Inputs!$B$2:$N$29,MATCH(C700,Pop_Inputs!$A$2:$A$29,0),G700))*(1-H700)+LN(INDEX(Pop_Inputs!$B$2:$N$29,MATCH(C700,Pop_Inputs!$A$2:$A$29,0),G700+1))*H700)</f>
        <v>1986265.10015085</v>
      </c>
      <c r="J700" s="20" t="n">
        <f aca="false">I700/F700</f>
        <v>993132.550075426</v>
      </c>
      <c r="K700" s="21" t="n">
        <f aca="false">D700/(D700+E700)</f>
        <v>0.398692810457516</v>
      </c>
      <c r="L700" s="21" t="n">
        <f aca="false">AVERAGEIFS($K$2:$K$2705,$B$2:$B$2705,B700)</f>
        <v>0.499994694847636</v>
      </c>
      <c r="M700" s="21" t="n">
        <f aca="false">K700-L700</f>
        <v>-0.10130188439012</v>
      </c>
      <c r="N700" s="21" t="n">
        <f aca="false">LN(J700)</f>
        <v>13.8086194185857</v>
      </c>
      <c r="O700" s="21" t="n">
        <f aca="false">AVERAGEIFS($N$2:$N$2705,$B$2:$B$2705,B700)</f>
        <v>13.7663959836329</v>
      </c>
      <c r="P700" s="21" t="n">
        <f aca="false">N700-O700</f>
        <v>0.0422234349528097</v>
      </c>
      <c r="Q700" s="7" t="n">
        <v>0</v>
      </c>
      <c r="R700" s="3" t="n">
        <f aca="false">IF(AND(Q700=1,B700-_xlfn.MINIFS($B$2:$B$2705,$A$2:$A$2705,A700)&lt;10),1,0)</f>
        <v>0</v>
      </c>
      <c r="S700" s="7" t="n">
        <v>0</v>
      </c>
      <c r="T700" s="3" t="n">
        <f aca="false">_xlfn.MINIFS($B$2:$B$2705,$A$2:$A$2705,A700)</f>
        <v>1901</v>
      </c>
      <c r="U700" s="3" t="n">
        <f aca="false">B700-T700</f>
        <v>43</v>
      </c>
      <c r="V700" s="3" t="str">
        <f aca="false">INDEX(Pop_Inputs!$Q$2:$Q$29,MATCH(C700,Pop_Inputs!$A$2:$A$29,0))</f>
        <v>Northeast</v>
      </c>
      <c r="W700" s="30"/>
      <c r="X700" s="3" t="str">
        <f aca="false">IF(W700="","",LN(W700))</f>
        <v/>
      </c>
      <c r="Y700" s="3" t="str">
        <f aca="false">IF(X700="","",X700-AVERAGEIFS($X$2:$X$2705,$B$2:$B$2705,B700))</f>
        <v/>
      </c>
      <c r="Z700" s="21" t="n">
        <f aca="false">P700</f>
        <v>0.0422234349528097</v>
      </c>
      <c r="AA700" s="3" t="n">
        <f aca="false">R700</f>
        <v>0</v>
      </c>
      <c r="AB700" s="21" t="n">
        <f aca="false">P700</f>
        <v>0.0422234349528097</v>
      </c>
      <c r="AC700" s="3" t="str">
        <f aca="false">Y700</f>
        <v/>
      </c>
      <c r="AD700" s="3" t="n">
        <f aca="false">R700</f>
        <v>0</v>
      </c>
    </row>
    <row r="701" customFormat="false" ht="15" hidden="false" customHeight="true" outlineLevel="0" collapsed="false">
      <c r="A701" s="7" t="s">
        <v>58</v>
      </c>
      <c r="B701" s="7" t="n">
        <v>1944</v>
      </c>
      <c r="C701" s="7" t="s">
        <v>144</v>
      </c>
      <c r="D701" s="7" t="n">
        <v>90</v>
      </c>
      <c r="E701" s="7" t="n">
        <v>63</v>
      </c>
      <c r="F701" s="3" t="n">
        <f aca="false">COUNTIFS($B$2:$B$2705,B701,$C$2:$C$2705,C701)</f>
        <v>1</v>
      </c>
      <c r="G701" s="3" t="n">
        <f aca="false">MIN(INT((MIN(B701,2020)-1900)/10)+1,12)</f>
        <v>5</v>
      </c>
      <c r="H701" s="3" t="n">
        <f aca="false">(MIN(B701,2020)-1900-10*(G701-1))/10</f>
        <v>0.4</v>
      </c>
      <c r="I701" s="20" t="n">
        <f aca="false">EXP(LN(INDEX(Pop_Inputs!$B$2:$N$29,MATCH(C701,Pop_Inputs!$A$2:$A$29,0),G701))*(1-H701)+LN(INDEX(Pop_Inputs!$B$2:$N$29,MATCH(C701,Pop_Inputs!$A$2:$A$29,0),G701+1))*H701)</f>
        <v>673713.086201907</v>
      </c>
      <c r="J701" s="20" t="n">
        <f aca="false">I701/F701</f>
        <v>673713.086201907</v>
      </c>
      <c r="K701" s="21" t="n">
        <f aca="false">D701/(D701+E701)</f>
        <v>0.588235294117647</v>
      </c>
      <c r="L701" s="21" t="n">
        <f aca="false">AVERAGEIFS($K$2:$K$2705,$B$2:$B$2705,B701)</f>
        <v>0.499994694847636</v>
      </c>
      <c r="M701" s="21" t="n">
        <f aca="false">K701-L701</f>
        <v>0.088240599270011</v>
      </c>
      <c r="N701" s="21" t="n">
        <f aca="false">LN(J701)</f>
        <v>13.4205596111358</v>
      </c>
      <c r="O701" s="21" t="n">
        <f aca="false">AVERAGEIFS($N$2:$N$2705,$B$2:$B$2705,B701)</f>
        <v>13.7663959836329</v>
      </c>
      <c r="P701" s="21" t="n">
        <f aca="false">N701-O701</f>
        <v>-0.345836372497137</v>
      </c>
      <c r="Q701" s="7" t="n">
        <v>0</v>
      </c>
      <c r="R701" s="3" t="n">
        <f aca="false">IF(AND(Q701=1,B701-_xlfn.MINIFS($B$2:$B$2705,$A$2:$A$2705,A701)&lt;10),1,0)</f>
        <v>0</v>
      </c>
      <c r="S701" s="7" t="n">
        <v>0</v>
      </c>
      <c r="T701" s="3" t="n">
        <f aca="false">_xlfn.MINIFS($B$2:$B$2705,$A$2:$A$2705,A701)</f>
        <v>1901</v>
      </c>
      <c r="U701" s="3" t="n">
        <f aca="false">B701-T701</f>
        <v>43</v>
      </c>
      <c r="V701" s="3" t="str">
        <f aca="false">INDEX(Pop_Inputs!$Q$2:$Q$29,MATCH(C701,Pop_Inputs!$A$2:$A$29,0))</f>
        <v>Northeast</v>
      </c>
      <c r="W701" s="30"/>
      <c r="X701" s="3" t="str">
        <f aca="false">IF(W701="","",LN(W701))</f>
        <v/>
      </c>
      <c r="Y701" s="3" t="str">
        <f aca="false">IF(X701="","",X701-AVERAGEIFS($X$2:$X$2705,$B$2:$B$2705,B701))</f>
        <v/>
      </c>
      <c r="Z701" s="21" t="n">
        <f aca="false">P701</f>
        <v>-0.345836372497137</v>
      </c>
      <c r="AA701" s="3" t="n">
        <f aca="false">R701</f>
        <v>0</v>
      </c>
      <c r="AB701" s="21" t="n">
        <f aca="false">P701</f>
        <v>-0.345836372497137</v>
      </c>
      <c r="AC701" s="3" t="str">
        <f aca="false">Y701</f>
        <v/>
      </c>
      <c r="AD701" s="3" t="n">
        <f aca="false">R701</f>
        <v>0</v>
      </c>
    </row>
    <row r="702" customFormat="false" ht="15" hidden="false" customHeight="true" outlineLevel="0" collapsed="false">
      <c r="A702" s="7" t="s">
        <v>61</v>
      </c>
      <c r="B702" s="7" t="n">
        <v>1944</v>
      </c>
      <c r="C702" s="7" t="s">
        <v>154</v>
      </c>
      <c r="D702" s="7" t="n">
        <v>67</v>
      </c>
      <c r="E702" s="7" t="n">
        <v>87</v>
      </c>
      <c r="F702" s="3" t="n">
        <f aca="false">COUNTIFS($B$2:$B$2705,B702,$C$2:$C$2705,C702)</f>
        <v>3</v>
      </c>
      <c r="G702" s="3" t="n">
        <f aca="false">MIN(INT((MIN(B702,2020)-1900)/10)+1,12)</f>
        <v>5</v>
      </c>
      <c r="H702" s="3" t="n">
        <f aca="false">(MIN(B702,2020)-1900-10*(G702-1))/10</f>
        <v>0.4</v>
      </c>
      <c r="I702" s="20" t="n">
        <f aca="false">EXP(LN(INDEX(Pop_Inputs!$B$2:$N$29,MATCH(C702,Pop_Inputs!$A$2:$A$29,0),G702))*(1-H702)+LN(INDEX(Pop_Inputs!$B$2:$N$29,MATCH(C702,Pop_Inputs!$A$2:$A$29,0),G702+1))*H702)</f>
        <v>7626798.94859427</v>
      </c>
      <c r="J702" s="20" t="n">
        <f aca="false">I702/F702</f>
        <v>2542266.31619809</v>
      </c>
      <c r="K702" s="21" t="n">
        <f aca="false">D702/(D702+E702)</f>
        <v>0.435064935064935</v>
      </c>
      <c r="L702" s="21" t="n">
        <f aca="false">AVERAGEIFS($K$2:$K$2705,$B$2:$B$2705,B702)</f>
        <v>0.499994694847636</v>
      </c>
      <c r="M702" s="21" t="n">
        <f aca="false">K702-L702</f>
        <v>-0.064929759782701</v>
      </c>
      <c r="N702" s="21" t="n">
        <f aca="false">LN(J702)</f>
        <v>14.7485664916476</v>
      </c>
      <c r="O702" s="21" t="n">
        <f aca="false">AVERAGEIFS($N$2:$N$2705,$B$2:$B$2705,B702)</f>
        <v>13.7663959836329</v>
      </c>
      <c r="P702" s="21" t="n">
        <f aca="false">N702-O702</f>
        <v>0.98217050801464</v>
      </c>
      <c r="Q702" s="7" t="n">
        <v>0</v>
      </c>
      <c r="R702" s="3" t="n">
        <f aca="false">IF(AND(Q702=1,B702-_xlfn.MINIFS($B$2:$B$2705,$A$2:$A$2705,A702)&lt;10),1,0)</f>
        <v>0</v>
      </c>
      <c r="S702" s="7" t="n">
        <v>0</v>
      </c>
      <c r="T702" s="3" t="n">
        <f aca="false">_xlfn.MINIFS($B$2:$B$2705,$A$2:$A$2705,A702)</f>
        <v>1901</v>
      </c>
      <c r="U702" s="3" t="n">
        <f aca="false">B702-T702</f>
        <v>43</v>
      </c>
      <c r="V702" s="3" t="str">
        <f aca="false">INDEX(Pop_Inputs!$Q$2:$Q$29,MATCH(C702,Pop_Inputs!$A$2:$A$29,0))</f>
        <v>Northeast</v>
      </c>
      <c r="W702" s="30"/>
      <c r="X702" s="3" t="str">
        <f aca="false">IF(W702="","",LN(W702))</f>
        <v/>
      </c>
      <c r="Y702" s="3" t="str">
        <f aca="false">IF(X702="","",X702-AVERAGEIFS($X$2:$X$2705,$B$2:$B$2705,B702))</f>
        <v/>
      </c>
      <c r="Z702" s="21" t="n">
        <f aca="false">P702</f>
        <v>0.98217050801464</v>
      </c>
      <c r="AA702" s="3" t="n">
        <f aca="false">R702</f>
        <v>0</v>
      </c>
      <c r="AB702" s="21" t="n">
        <f aca="false">P702</f>
        <v>0.98217050801464</v>
      </c>
      <c r="AC702" s="3" t="str">
        <f aca="false">Y702</f>
        <v/>
      </c>
      <c r="AD702" s="3" t="n">
        <f aca="false">R702</f>
        <v>0</v>
      </c>
    </row>
    <row r="703" customFormat="false" ht="15" hidden="false" customHeight="true" outlineLevel="0" collapsed="false">
      <c r="A703" s="7" t="s">
        <v>59</v>
      </c>
      <c r="B703" s="7" t="n">
        <v>1944</v>
      </c>
      <c r="C703" s="7" t="s">
        <v>145</v>
      </c>
      <c r="D703" s="7" t="n">
        <v>105</v>
      </c>
      <c r="E703" s="7" t="n">
        <v>49</v>
      </c>
      <c r="F703" s="3" t="n">
        <f aca="false">COUNTIFS($B$2:$B$2705,B703,$C$2:$C$2705,C703)</f>
        <v>2</v>
      </c>
      <c r="G703" s="3" t="n">
        <f aca="false">MIN(INT((MIN(B703,2020)-1900)/10)+1,12)</f>
        <v>5</v>
      </c>
      <c r="H703" s="3" t="n">
        <f aca="false">(MIN(B703,2020)-1900-10*(G703-1))/10</f>
        <v>0.4</v>
      </c>
      <c r="I703" s="20" t="n">
        <f aca="false">EXP(LN(INDEX(Pop_Inputs!$B$2:$N$29,MATCH(C703,Pop_Inputs!$A$2:$A$29,0),G703))*(1-H703)+LN(INDEX(Pop_Inputs!$B$2:$N$29,MATCH(C703,Pop_Inputs!$A$2:$A$29,0),G703+1))*H703)</f>
        <v>832109.336536511</v>
      </c>
      <c r="J703" s="20" t="n">
        <f aca="false">I703/F703</f>
        <v>416054.668268255</v>
      </c>
      <c r="K703" s="21" t="n">
        <f aca="false">D703/(D703+E703)</f>
        <v>0.681818181818182</v>
      </c>
      <c r="L703" s="21" t="n">
        <f aca="false">AVERAGEIFS($K$2:$K$2705,$B$2:$B$2705,B703)</f>
        <v>0.499994694847636</v>
      </c>
      <c r="M703" s="21" t="n">
        <f aca="false">K703-L703</f>
        <v>0.181823486970546</v>
      </c>
      <c r="N703" s="21" t="n">
        <f aca="false">LN(J703)</f>
        <v>12.9385719447157</v>
      </c>
      <c r="O703" s="21" t="n">
        <f aca="false">AVERAGEIFS($N$2:$N$2705,$B$2:$B$2705,B703)</f>
        <v>13.7663959836329</v>
      </c>
      <c r="P703" s="21" t="n">
        <f aca="false">N703-O703</f>
        <v>-0.827824038917228</v>
      </c>
      <c r="Q703" s="7" t="n">
        <v>0</v>
      </c>
      <c r="R703" s="3" t="n">
        <f aca="false">IF(AND(Q703=1,B703-_xlfn.MINIFS($B$2:$B$2705,$A$2:$A$2705,A703)&lt;10),1,0)</f>
        <v>0</v>
      </c>
      <c r="S703" s="7" t="n">
        <v>0</v>
      </c>
      <c r="T703" s="3" t="n">
        <f aca="false">_xlfn.MINIFS($B$2:$B$2705,$A$2:$A$2705,A703)</f>
        <v>1901</v>
      </c>
      <c r="U703" s="3" t="n">
        <f aca="false">B703-T703</f>
        <v>43</v>
      </c>
      <c r="V703" s="3" t="str">
        <f aca="false">INDEX(Pop_Inputs!$Q$2:$Q$29,MATCH(C703,Pop_Inputs!$A$2:$A$29,0))</f>
        <v>Midwest</v>
      </c>
      <c r="W703" s="30"/>
      <c r="X703" s="3" t="str">
        <f aca="false">IF(W703="","",LN(W703))</f>
        <v/>
      </c>
      <c r="Y703" s="3" t="str">
        <f aca="false">IF(X703="","",X703-AVERAGEIFS($X$2:$X$2705,$B$2:$B$2705,B703))</f>
        <v/>
      </c>
      <c r="Z703" s="21" t="n">
        <f aca="false">P703</f>
        <v>-0.827824038917228</v>
      </c>
      <c r="AA703" s="3" t="n">
        <f aca="false">R703</f>
        <v>0</v>
      </c>
      <c r="AB703" s="21" t="n">
        <f aca="false">P703</f>
        <v>-0.827824038917228</v>
      </c>
      <c r="AC703" s="3" t="str">
        <f aca="false">Y703</f>
        <v/>
      </c>
      <c r="AD703" s="3" t="n">
        <f aca="false">R703</f>
        <v>0</v>
      </c>
    </row>
    <row r="704" customFormat="false" ht="15" hidden="false" customHeight="true" outlineLevel="0" collapsed="false">
      <c r="A704" s="7" t="s">
        <v>54</v>
      </c>
      <c r="B704" s="7" t="n">
        <v>1945</v>
      </c>
      <c r="C704" s="7" t="s">
        <v>150</v>
      </c>
      <c r="D704" s="7" t="n">
        <v>67</v>
      </c>
      <c r="E704" s="7" t="n">
        <v>85</v>
      </c>
      <c r="F704" s="3" t="n">
        <f aca="false">COUNTIFS($B$2:$B$2705,B704,$C$2:$C$2705,C704)</f>
        <v>2</v>
      </c>
      <c r="G704" s="3" t="n">
        <f aca="false">MIN(INT((MIN(B704,2020)-1900)/10)+1,12)</f>
        <v>5</v>
      </c>
      <c r="H704" s="3" t="n">
        <f aca="false">(MIN(B704,2020)-1900-10*(G704-1))/10</f>
        <v>0.5</v>
      </c>
      <c r="I704" s="20" t="n">
        <f aca="false">EXP(LN(INDEX(Pop_Inputs!$B$2:$N$29,MATCH(C704,Pop_Inputs!$A$2:$A$29,0),G704))*(1-H704)+LN(INDEX(Pop_Inputs!$B$2:$N$29,MATCH(C704,Pop_Inputs!$A$2:$A$29,0),G704+1))*H704)</f>
        <v>785980.825659252</v>
      </c>
      <c r="J704" s="20" t="n">
        <f aca="false">I704/F704</f>
        <v>392990.412829626</v>
      </c>
      <c r="K704" s="21" t="n">
        <f aca="false">D704/(D704+E704)</f>
        <v>0.440789473684211</v>
      </c>
      <c r="L704" s="21" t="n">
        <f aca="false">AVERAGEIFS($K$2:$K$2705,$B$2:$B$2705,B704)</f>
        <v>0.499780182880436</v>
      </c>
      <c r="M704" s="21" t="n">
        <f aca="false">K704-L704</f>
        <v>-0.0589907091962252</v>
      </c>
      <c r="N704" s="21" t="n">
        <f aca="false">LN(J704)</f>
        <v>12.8815404957183</v>
      </c>
      <c r="O704" s="21" t="n">
        <f aca="false">AVERAGEIFS($N$2:$N$2705,$B$2:$B$2705,B704)</f>
        <v>13.7731732709914</v>
      </c>
      <c r="P704" s="21" t="n">
        <f aca="false">N704-O704</f>
        <v>-0.891632775273163</v>
      </c>
      <c r="Q704" s="7" t="n">
        <v>0</v>
      </c>
      <c r="R704" s="3" t="n">
        <f aca="false">IF(AND(Q704=1,B704-_xlfn.MINIFS($B$2:$B$2705,$A$2:$A$2705,A704)&lt;10),1,0)</f>
        <v>0</v>
      </c>
      <c r="S704" s="7" t="n">
        <v>0</v>
      </c>
      <c r="T704" s="3" t="n">
        <f aca="false">_xlfn.MINIFS($B$2:$B$2705,$A$2:$A$2705,A704)</f>
        <v>1901</v>
      </c>
      <c r="U704" s="3" t="n">
        <f aca="false">B704-T704</f>
        <v>44</v>
      </c>
      <c r="V704" s="3" t="str">
        <f aca="false">INDEX(Pop_Inputs!$Q$2:$Q$29,MATCH(C704,Pop_Inputs!$A$2:$A$29,0))</f>
        <v>Northeast</v>
      </c>
      <c r="W704" s="30"/>
      <c r="X704" s="3" t="str">
        <f aca="false">IF(W704="","",LN(W704))</f>
        <v/>
      </c>
      <c r="Y704" s="3" t="str">
        <f aca="false">IF(X704="","",X704-AVERAGEIFS($X$2:$X$2705,$B$2:$B$2705,B704))</f>
        <v/>
      </c>
      <c r="Z704" s="21" t="n">
        <f aca="false">P704</f>
        <v>-0.891632775273163</v>
      </c>
      <c r="AA704" s="3" t="n">
        <f aca="false">R704</f>
        <v>0</v>
      </c>
      <c r="AB704" s="21" t="n">
        <f aca="false">P704</f>
        <v>-0.891632775273163</v>
      </c>
      <c r="AC704" s="3" t="str">
        <f aca="false">Y704</f>
        <v/>
      </c>
      <c r="AD704" s="3" t="n">
        <f aca="false">R704</f>
        <v>0</v>
      </c>
    </row>
    <row r="705" customFormat="false" ht="15" hidden="false" customHeight="true" outlineLevel="0" collapsed="false">
      <c r="A705" s="7" t="s">
        <v>63</v>
      </c>
      <c r="B705" s="7" t="n">
        <v>1945</v>
      </c>
      <c r="C705" s="7" t="s">
        <v>145</v>
      </c>
      <c r="D705" s="7" t="n">
        <v>81</v>
      </c>
      <c r="E705" s="7" t="n">
        <v>70</v>
      </c>
      <c r="F705" s="3" t="n">
        <f aca="false">COUNTIFS($B$2:$B$2705,B705,$C$2:$C$2705,C705)</f>
        <v>2</v>
      </c>
      <c r="G705" s="3" t="n">
        <f aca="false">MIN(INT((MIN(B705,2020)-1900)/10)+1,12)</f>
        <v>5</v>
      </c>
      <c r="H705" s="3" t="n">
        <f aca="false">(MIN(B705,2020)-1900-10*(G705-1))/10</f>
        <v>0.5</v>
      </c>
      <c r="I705" s="20" t="n">
        <f aca="false">EXP(LN(INDEX(Pop_Inputs!$B$2:$N$29,MATCH(C705,Pop_Inputs!$A$2:$A$29,0),G705))*(1-H705)+LN(INDEX(Pop_Inputs!$B$2:$N$29,MATCH(C705,Pop_Inputs!$A$2:$A$29,0),G705+1))*H705)</f>
        <v>836173.822962666</v>
      </c>
      <c r="J705" s="20" t="n">
        <f aca="false">I705/F705</f>
        <v>418086.911481333</v>
      </c>
      <c r="K705" s="21" t="n">
        <f aca="false">D705/(D705+E705)</f>
        <v>0.536423841059603</v>
      </c>
      <c r="L705" s="21" t="n">
        <f aca="false">AVERAGEIFS($K$2:$K$2705,$B$2:$B$2705,B705)</f>
        <v>0.499780182880436</v>
      </c>
      <c r="M705" s="21" t="n">
        <f aca="false">K705-L705</f>
        <v>0.0366436581791669</v>
      </c>
      <c r="N705" s="21" t="n">
        <f aca="false">LN(J705)</f>
        <v>12.9434446120982</v>
      </c>
      <c r="O705" s="21" t="n">
        <f aca="false">AVERAGEIFS($N$2:$N$2705,$B$2:$B$2705,B705)</f>
        <v>13.7731732709914</v>
      </c>
      <c r="P705" s="21" t="n">
        <f aca="false">N705-O705</f>
        <v>-0.829728658893231</v>
      </c>
      <c r="Q705" s="7" t="n">
        <v>0</v>
      </c>
      <c r="R705" s="3" t="n">
        <f aca="false">IF(AND(Q705=1,B705-_xlfn.MINIFS($B$2:$B$2705,$A$2:$A$2705,A705)&lt;10),1,0)</f>
        <v>0</v>
      </c>
      <c r="S705" s="7" t="n">
        <v>0</v>
      </c>
      <c r="T705" s="3" t="n">
        <f aca="false">_xlfn.MINIFS($B$2:$B$2705,$A$2:$A$2705,A705)</f>
        <v>1901</v>
      </c>
      <c r="U705" s="3" t="n">
        <f aca="false">B705-T705</f>
        <v>44</v>
      </c>
      <c r="V705" s="3" t="str">
        <f aca="false">INDEX(Pop_Inputs!$Q$2:$Q$29,MATCH(C705,Pop_Inputs!$A$2:$A$29,0))</f>
        <v>Midwest</v>
      </c>
      <c r="W705" s="30"/>
      <c r="X705" s="3" t="str">
        <f aca="false">IF(W705="","",LN(W705))</f>
        <v/>
      </c>
      <c r="Y705" s="3" t="str">
        <f aca="false">IF(X705="","",X705-AVERAGEIFS($X$2:$X$2705,$B$2:$B$2705,B705))</f>
        <v/>
      </c>
      <c r="Z705" s="21" t="n">
        <f aca="false">P705</f>
        <v>-0.829728658893231</v>
      </c>
      <c r="AA705" s="3" t="n">
        <f aca="false">R705</f>
        <v>0</v>
      </c>
      <c r="AB705" s="21" t="n">
        <f aca="false">P705</f>
        <v>-0.829728658893231</v>
      </c>
      <c r="AC705" s="3" t="str">
        <f aca="false">Y705</f>
        <v/>
      </c>
      <c r="AD705" s="3" t="n">
        <f aca="false">R705</f>
        <v>0</v>
      </c>
    </row>
    <row r="706" customFormat="false" ht="15" hidden="false" customHeight="true" outlineLevel="0" collapsed="false">
      <c r="A706" s="7" t="s">
        <v>64</v>
      </c>
      <c r="B706" s="7" t="n">
        <v>1945</v>
      </c>
      <c r="C706" s="7" t="s">
        <v>150</v>
      </c>
      <c r="D706" s="7" t="n">
        <v>71</v>
      </c>
      <c r="E706" s="7" t="n">
        <v>83</v>
      </c>
      <c r="F706" s="3" t="n">
        <f aca="false">COUNTIFS($B$2:$B$2705,B706,$C$2:$C$2705,C706)</f>
        <v>2</v>
      </c>
      <c r="G706" s="3" t="n">
        <f aca="false">MIN(INT((MIN(B706,2020)-1900)/10)+1,12)</f>
        <v>5</v>
      </c>
      <c r="H706" s="3" t="n">
        <f aca="false">(MIN(B706,2020)-1900-10*(G706-1))/10</f>
        <v>0.5</v>
      </c>
      <c r="I706" s="20" t="n">
        <f aca="false">EXP(LN(INDEX(Pop_Inputs!$B$2:$N$29,MATCH(C706,Pop_Inputs!$A$2:$A$29,0),G706))*(1-H706)+LN(INDEX(Pop_Inputs!$B$2:$N$29,MATCH(C706,Pop_Inputs!$A$2:$A$29,0),G706+1))*H706)</f>
        <v>785980.825659252</v>
      </c>
      <c r="J706" s="20" t="n">
        <f aca="false">I706/F706</f>
        <v>392990.412829626</v>
      </c>
      <c r="K706" s="21" t="n">
        <f aca="false">D706/(D706+E706)</f>
        <v>0.461038961038961</v>
      </c>
      <c r="L706" s="21" t="n">
        <f aca="false">AVERAGEIFS($K$2:$K$2705,$B$2:$B$2705,B706)</f>
        <v>0.499780182880436</v>
      </c>
      <c r="M706" s="21" t="n">
        <f aca="false">K706-L706</f>
        <v>-0.0387412218414747</v>
      </c>
      <c r="N706" s="21" t="n">
        <f aca="false">LN(J706)</f>
        <v>12.8815404957183</v>
      </c>
      <c r="O706" s="21" t="n">
        <f aca="false">AVERAGEIFS($N$2:$N$2705,$B$2:$B$2705,B706)</f>
        <v>13.7731732709914</v>
      </c>
      <c r="P706" s="21" t="n">
        <f aca="false">N706-O706</f>
        <v>-0.891632775273163</v>
      </c>
      <c r="Q706" s="7" t="n">
        <v>0</v>
      </c>
      <c r="R706" s="3" t="n">
        <f aca="false">IF(AND(Q706=1,B706-_xlfn.MINIFS($B$2:$B$2705,$A$2:$A$2705,A706)&lt;10),1,0)</f>
        <v>0</v>
      </c>
      <c r="S706" s="7" t="n">
        <v>0</v>
      </c>
      <c r="T706" s="3" t="n">
        <f aca="false">_xlfn.MINIFS($B$2:$B$2705,$A$2:$A$2705,A706)</f>
        <v>1901</v>
      </c>
      <c r="U706" s="3" t="n">
        <f aca="false">B706-T706</f>
        <v>44</v>
      </c>
      <c r="V706" s="3" t="str">
        <f aca="false">INDEX(Pop_Inputs!$Q$2:$Q$29,MATCH(C706,Pop_Inputs!$A$2:$A$29,0))</f>
        <v>Northeast</v>
      </c>
      <c r="W706" s="30"/>
      <c r="X706" s="3" t="str">
        <f aca="false">IF(W706="","",LN(W706))</f>
        <v/>
      </c>
      <c r="Y706" s="3" t="str">
        <f aca="false">IF(X706="","",X706-AVERAGEIFS($X$2:$X$2705,$B$2:$B$2705,B706))</f>
        <v/>
      </c>
      <c r="Z706" s="21" t="n">
        <f aca="false">P706</f>
        <v>-0.891632775273163</v>
      </c>
      <c r="AA706" s="3" t="n">
        <f aca="false">R706</f>
        <v>0</v>
      </c>
      <c r="AB706" s="21" t="n">
        <f aca="false">P706</f>
        <v>-0.891632775273163</v>
      </c>
      <c r="AC706" s="3" t="str">
        <f aca="false">Y706</f>
        <v/>
      </c>
      <c r="AD706" s="3" t="n">
        <f aca="false">R706</f>
        <v>0</v>
      </c>
    </row>
    <row r="707" customFormat="false" ht="15" hidden="false" customHeight="true" outlineLevel="0" collapsed="false">
      <c r="A707" s="7" t="s">
        <v>56</v>
      </c>
      <c r="B707" s="7" t="n">
        <v>1945</v>
      </c>
      <c r="C707" s="7" t="s">
        <v>142</v>
      </c>
      <c r="D707" s="7" t="n">
        <v>98</v>
      </c>
      <c r="E707" s="7" t="n">
        <v>56</v>
      </c>
      <c r="F707" s="3" t="n">
        <f aca="false">COUNTIFS($B$2:$B$2705,B707,$C$2:$C$2705,C707)</f>
        <v>2</v>
      </c>
      <c r="G707" s="3" t="n">
        <f aca="false">MIN(INT((MIN(B707,2020)-1900)/10)+1,12)</f>
        <v>5</v>
      </c>
      <c r="H707" s="3" t="n">
        <f aca="false">(MIN(B707,2020)-1900-10*(G707-1))/10</f>
        <v>0.5</v>
      </c>
      <c r="I707" s="20" t="n">
        <f aca="false">EXP(LN(INDEX(Pop_Inputs!$B$2:$N$29,MATCH(C707,Pop_Inputs!$A$2:$A$29,0),G707))*(1-H707)+LN(INDEX(Pop_Inputs!$B$2:$N$29,MATCH(C707,Pop_Inputs!$A$2:$A$29,0),G707+1))*H707)</f>
        <v>3507094.62223306</v>
      </c>
      <c r="J707" s="20" t="n">
        <f aca="false">I707/F707</f>
        <v>1753547.31111653</v>
      </c>
      <c r="K707" s="21" t="n">
        <f aca="false">D707/(D707+E707)</f>
        <v>0.636363636363636</v>
      </c>
      <c r="L707" s="21" t="n">
        <f aca="false">AVERAGEIFS($K$2:$K$2705,$B$2:$B$2705,B707)</f>
        <v>0.499780182880436</v>
      </c>
      <c r="M707" s="21" t="n">
        <f aca="false">K707-L707</f>
        <v>0.136583453483201</v>
      </c>
      <c r="N707" s="21" t="n">
        <f aca="false">LN(J707)</f>
        <v>14.3771513291602</v>
      </c>
      <c r="O707" s="21" t="n">
        <f aca="false">AVERAGEIFS($N$2:$N$2705,$B$2:$B$2705,B707)</f>
        <v>13.7731732709914</v>
      </c>
      <c r="P707" s="21" t="n">
        <f aca="false">N707-O707</f>
        <v>0.603978058168753</v>
      </c>
      <c r="Q707" s="7" t="n">
        <v>0</v>
      </c>
      <c r="R707" s="3" t="n">
        <f aca="false">IF(AND(Q707=1,B707-_xlfn.MINIFS($B$2:$B$2705,$A$2:$A$2705,A707)&lt;10),1,0)</f>
        <v>0</v>
      </c>
      <c r="S707" s="7" t="n">
        <v>0</v>
      </c>
      <c r="T707" s="3" t="n">
        <f aca="false">_xlfn.MINIFS($B$2:$B$2705,$A$2:$A$2705,A707)</f>
        <v>1901</v>
      </c>
      <c r="U707" s="3" t="n">
        <f aca="false">B707-T707</f>
        <v>44</v>
      </c>
      <c r="V707" s="3" t="str">
        <f aca="false">INDEX(Pop_Inputs!$Q$2:$Q$29,MATCH(C707,Pop_Inputs!$A$2:$A$29,0))</f>
        <v>Midwest</v>
      </c>
      <c r="W707" s="30"/>
      <c r="X707" s="3" t="str">
        <f aca="false">IF(W707="","",LN(W707))</f>
        <v/>
      </c>
      <c r="Y707" s="3" t="str">
        <f aca="false">IF(X707="","",X707-AVERAGEIFS($X$2:$X$2705,$B$2:$B$2705,B707))</f>
        <v/>
      </c>
      <c r="Z707" s="21" t="n">
        <f aca="false">P707</f>
        <v>0.603978058168753</v>
      </c>
      <c r="AA707" s="3" t="n">
        <f aca="false">R707</f>
        <v>0</v>
      </c>
      <c r="AB707" s="21" t="n">
        <f aca="false">P707</f>
        <v>0.603978058168753</v>
      </c>
      <c r="AC707" s="3" t="str">
        <f aca="false">Y707</f>
        <v/>
      </c>
      <c r="AD707" s="3" t="n">
        <f aca="false">R707</f>
        <v>0</v>
      </c>
    </row>
    <row r="708" customFormat="false" ht="15" hidden="false" customHeight="true" outlineLevel="0" collapsed="false">
      <c r="A708" s="7" t="s">
        <v>65</v>
      </c>
      <c r="B708" s="7" t="n">
        <v>1945</v>
      </c>
      <c r="C708" s="7" t="s">
        <v>142</v>
      </c>
      <c r="D708" s="7" t="n">
        <v>71</v>
      </c>
      <c r="E708" s="7" t="n">
        <v>78</v>
      </c>
      <c r="F708" s="3" t="n">
        <f aca="false">COUNTIFS($B$2:$B$2705,B708,$C$2:$C$2705,C708)</f>
        <v>2</v>
      </c>
      <c r="G708" s="3" t="n">
        <f aca="false">MIN(INT((MIN(B708,2020)-1900)/10)+1,12)</f>
        <v>5</v>
      </c>
      <c r="H708" s="3" t="n">
        <f aca="false">(MIN(B708,2020)-1900-10*(G708-1))/10</f>
        <v>0.5</v>
      </c>
      <c r="I708" s="20" t="n">
        <f aca="false">EXP(LN(INDEX(Pop_Inputs!$B$2:$N$29,MATCH(C708,Pop_Inputs!$A$2:$A$29,0),G708))*(1-H708)+LN(INDEX(Pop_Inputs!$B$2:$N$29,MATCH(C708,Pop_Inputs!$A$2:$A$29,0),G708+1))*H708)</f>
        <v>3507094.62223306</v>
      </c>
      <c r="J708" s="20" t="n">
        <f aca="false">I708/F708</f>
        <v>1753547.31111653</v>
      </c>
      <c r="K708" s="21" t="n">
        <f aca="false">D708/(D708+E708)</f>
        <v>0.476510067114094</v>
      </c>
      <c r="L708" s="21" t="n">
        <f aca="false">AVERAGEIFS($K$2:$K$2705,$B$2:$B$2705,B708)</f>
        <v>0.499780182880436</v>
      </c>
      <c r="M708" s="21" t="n">
        <f aca="false">K708-L708</f>
        <v>-0.0232701157663418</v>
      </c>
      <c r="N708" s="21" t="n">
        <f aca="false">LN(J708)</f>
        <v>14.3771513291602</v>
      </c>
      <c r="O708" s="21" t="n">
        <f aca="false">AVERAGEIFS($N$2:$N$2705,$B$2:$B$2705,B708)</f>
        <v>13.7731732709914</v>
      </c>
      <c r="P708" s="21" t="n">
        <f aca="false">N708-O708</f>
        <v>0.603978058168753</v>
      </c>
      <c r="Q708" s="7" t="n">
        <v>0</v>
      </c>
      <c r="R708" s="3" t="n">
        <f aca="false">IF(AND(Q708=1,B708-_xlfn.MINIFS($B$2:$B$2705,$A$2:$A$2705,A708)&lt;10),1,0)</f>
        <v>0</v>
      </c>
      <c r="S708" s="7" t="n">
        <v>0</v>
      </c>
      <c r="T708" s="3" t="n">
        <f aca="false">_xlfn.MINIFS($B$2:$B$2705,$A$2:$A$2705,A708)</f>
        <v>1901</v>
      </c>
      <c r="U708" s="3" t="n">
        <f aca="false">B708-T708</f>
        <v>44</v>
      </c>
      <c r="V708" s="3" t="str">
        <f aca="false">INDEX(Pop_Inputs!$Q$2:$Q$29,MATCH(C708,Pop_Inputs!$A$2:$A$29,0))</f>
        <v>Midwest</v>
      </c>
      <c r="W708" s="30"/>
      <c r="X708" s="3" t="str">
        <f aca="false">IF(W708="","",LN(W708))</f>
        <v/>
      </c>
      <c r="Y708" s="3" t="str">
        <f aca="false">IF(X708="","",X708-AVERAGEIFS($X$2:$X$2705,$B$2:$B$2705,B708))</f>
        <v/>
      </c>
      <c r="Z708" s="21" t="n">
        <f aca="false">P708</f>
        <v>0.603978058168753</v>
      </c>
      <c r="AA708" s="3" t="n">
        <f aca="false">R708</f>
        <v>0</v>
      </c>
      <c r="AB708" s="21" t="n">
        <f aca="false">P708</f>
        <v>0.603978058168753</v>
      </c>
      <c r="AC708" s="3" t="str">
        <f aca="false">Y708</f>
        <v/>
      </c>
      <c r="AD708" s="3" t="n">
        <f aca="false">R708</f>
        <v>0</v>
      </c>
    </row>
    <row r="709" customFormat="false" ht="15" hidden="false" customHeight="true" outlineLevel="0" collapsed="false">
      <c r="A709" s="7" t="s">
        <v>57</v>
      </c>
      <c r="B709" s="7" t="n">
        <v>1945</v>
      </c>
      <c r="C709" s="7" t="s">
        <v>143</v>
      </c>
      <c r="D709" s="7" t="n">
        <v>61</v>
      </c>
      <c r="E709" s="7" t="n">
        <v>93</v>
      </c>
      <c r="F709" s="3" t="n">
        <f aca="false">COUNTIFS($B$2:$B$2705,B709,$C$2:$C$2705,C709)</f>
        <v>1</v>
      </c>
      <c r="G709" s="3" t="n">
        <f aca="false">MIN(INT((MIN(B709,2020)-1900)/10)+1,12)</f>
        <v>5</v>
      </c>
      <c r="H709" s="3" t="n">
        <f aca="false">(MIN(B709,2020)-1900-10*(G709-1))/10</f>
        <v>0.5</v>
      </c>
      <c r="I709" s="20" t="n">
        <f aca="false">EXP(LN(INDEX(Pop_Inputs!$B$2:$N$29,MATCH(C709,Pop_Inputs!$A$2:$A$29,0),G709))*(1-H709)+LN(INDEX(Pop_Inputs!$B$2:$N$29,MATCH(C709,Pop_Inputs!$A$2:$A$29,0),G709+1))*H709)</f>
        <v>479193.623475939</v>
      </c>
      <c r="J709" s="20" t="n">
        <f aca="false">I709/F709</f>
        <v>479193.623475939</v>
      </c>
      <c r="K709" s="21" t="n">
        <f aca="false">D709/(D709+E709)</f>
        <v>0.396103896103896</v>
      </c>
      <c r="L709" s="21" t="n">
        <f aca="false">AVERAGEIFS($K$2:$K$2705,$B$2:$B$2705,B709)</f>
        <v>0.499780182880436</v>
      </c>
      <c r="M709" s="21" t="n">
        <f aca="false">K709-L709</f>
        <v>-0.10367628677654</v>
      </c>
      <c r="N709" s="21" t="n">
        <f aca="false">LN(J709)</f>
        <v>13.079860019092</v>
      </c>
      <c r="O709" s="21" t="n">
        <f aca="false">AVERAGEIFS($N$2:$N$2705,$B$2:$B$2705,B709)</f>
        <v>13.7731732709914</v>
      </c>
      <c r="P709" s="21" t="n">
        <f aca="false">N709-O709</f>
        <v>-0.693313251899399</v>
      </c>
      <c r="Q709" s="7" t="n">
        <v>0</v>
      </c>
      <c r="R709" s="3" t="n">
        <f aca="false">IF(AND(Q709=1,B709-_xlfn.MINIFS($B$2:$B$2705,$A$2:$A$2705,A709)&lt;10),1,0)</f>
        <v>0</v>
      </c>
      <c r="S709" s="7" t="n">
        <v>0</v>
      </c>
      <c r="T709" s="3" t="n">
        <f aca="false">_xlfn.MINIFS($B$2:$B$2705,$A$2:$A$2705,A709)</f>
        <v>1901</v>
      </c>
      <c r="U709" s="3" t="n">
        <f aca="false">B709-T709</f>
        <v>44</v>
      </c>
      <c r="V709" s="3" t="str">
        <f aca="false">INDEX(Pop_Inputs!$Q$2:$Q$29,MATCH(C709,Pop_Inputs!$A$2:$A$29,0))</f>
        <v>Midwest</v>
      </c>
      <c r="W709" s="30"/>
      <c r="X709" s="3" t="str">
        <f aca="false">IF(W709="","",LN(W709))</f>
        <v/>
      </c>
      <c r="Y709" s="3" t="str">
        <f aca="false">IF(X709="","",X709-AVERAGEIFS($X$2:$X$2705,$B$2:$B$2705,B709))</f>
        <v/>
      </c>
      <c r="Z709" s="21" t="n">
        <f aca="false">P709</f>
        <v>-0.693313251899399</v>
      </c>
      <c r="AA709" s="3" t="n">
        <f aca="false">R709</f>
        <v>0</v>
      </c>
      <c r="AB709" s="21" t="n">
        <f aca="false">P709</f>
        <v>-0.693313251899399</v>
      </c>
      <c r="AC709" s="3" t="str">
        <f aca="false">Y709</f>
        <v/>
      </c>
      <c r="AD709" s="3" t="n">
        <f aca="false">R709</f>
        <v>0</v>
      </c>
    </row>
    <row r="710" customFormat="false" ht="15" hidden="false" customHeight="true" outlineLevel="0" collapsed="false">
      <c r="A710" s="7" t="s">
        <v>66</v>
      </c>
      <c r="B710" s="7" t="n">
        <v>1945</v>
      </c>
      <c r="C710" s="7" t="s">
        <v>151</v>
      </c>
      <c r="D710" s="7" t="n">
        <v>73</v>
      </c>
      <c r="E710" s="7" t="n">
        <v>72</v>
      </c>
      <c r="F710" s="3" t="n">
        <f aca="false">COUNTIFS($B$2:$B$2705,B710,$C$2:$C$2705,C710)</f>
        <v>1</v>
      </c>
      <c r="G710" s="3" t="n">
        <f aca="false">MIN(INT((MIN(B710,2020)-1900)/10)+1,12)</f>
        <v>5</v>
      </c>
      <c r="H710" s="3" t="n">
        <f aca="false">(MIN(B710,2020)-1900-10*(G710-1))/10</f>
        <v>0.5</v>
      </c>
      <c r="I710" s="20" t="n">
        <f aca="false">EXP(LN(INDEX(Pop_Inputs!$B$2:$N$29,MATCH(C710,Pop_Inputs!$A$2:$A$29,0),G710))*(1-H710)+LN(INDEX(Pop_Inputs!$B$2:$N$29,MATCH(C710,Pop_Inputs!$A$2:$A$29,0),G710+1))*H710)</f>
        <v>896386.523486381</v>
      </c>
      <c r="J710" s="20" t="n">
        <f aca="false">I710/F710</f>
        <v>896386.523486381</v>
      </c>
      <c r="K710" s="21" t="n">
        <f aca="false">D710/(D710+E710)</f>
        <v>0.503448275862069</v>
      </c>
      <c r="L710" s="21" t="n">
        <f aca="false">AVERAGEIFS($K$2:$K$2705,$B$2:$B$2705,B710)</f>
        <v>0.499780182880436</v>
      </c>
      <c r="M710" s="21" t="n">
        <f aca="false">K710-L710</f>
        <v>0.00366809298163323</v>
      </c>
      <c r="N710" s="21" t="n">
        <f aca="false">LN(J710)</f>
        <v>13.7061269867557</v>
      </c>
      <c r="O710" s="21" t="n">
        <f aca="false">AVERAGEIFS($N$2:$N$2705,$B$2:$B$2705,B710)</f>
        <v>13.7731732709914</v>
      </c>
      <c r="P710" s="21" t="n">
        <f aca="false">N710-O710</f>
        <v>-0.0670462842357296</v>
      </c>
      <c r="Q710" s="7" t="n">
        <v>0</v>
      </c>
      <c r="R710" s="3" t="n">
        <f aca="false">IF(AND(Q710=1,B710-_xlfn.MINIFS($B$2:$B$2705,$A$2:$A$2705,A710)&lt;10),1,0)</f>
        <v>0</v>
      </c>
      <c r="S710" s="7" t="n">
        <v>0</v>
      </c>
      <c r="T710" s="3" t="n">
        <f aca="false">_xlfn.MINIFS($B$2:$B$2705,$A$2:$A$2705,A710)</f>
        <v>1901</v>
      </c>
      <c r="U710" s="3" t="n">
        <f aca="false">B710-T710</f>
        <v>44</v>
      </c>
      <c r="V710" s="3" t="str">
        <f aca="false">INDEX(Pop_Inputs!$Q$2:$Q$29,MATCH(C710,Pop_Inputs!$A$2:$A$29,0))</f>
        <v>Midwest</v>
      </c>
      <c r="W710" s="30"/>
      <c r="X710" s="3" t="str">
        <f aca="false">IF(W710="","",LN(W710))</f>
        <v/>
      </c>
      <c r="Y710" s="3" t="str">
        <f aca="false">IF(X710="","",X710-AVERAGEIFS($X$2:$X$2705,$B$2:$B$2705,B710))</f>
        <v/>
      </c>
      <c r="Z710" s="21" t="n">
        <f aca="false">P710</f>
        <v>-0.0670462842357296</v>
      </c>
      <c r="AA710" s="3" t="n">
        <f aca="false">R710</f>
        <v>0</v>
      </c>
      <c r="AB710" s="21" t="n">
        <f aca="false">P710</f>
        <v>-0.0670462842357296</v>
      </c>
      <c r="AC710" s="3" t="str">
        <f aca="false">Y710</f>
        <v/>
      </c>
      <c r="AD710" s="3" t="n">
        <f aca="false">R710</f>
        <v>0</v>
      </c>
    </row>
    <row r="711" customFormat="false" ht="15" hidden="false" customHeight="true" outlineLevel="0" collapsed="false">
      <c r="A711" s="7" t="s">
        <v>67</v>
      </c>
      <c r="B711" s="7" t="n">
        <v>1945</v>
      </c>
      <c r="C711" s="7" t="s">
        <v>152</v>
      </c>
      <c r="D711" s="7" t="n">
        <v>88</v>
      </c>
      <c r="E711" s="7" t="n">
        <v>65</v>
      </c>
      <c r="F711" s="3" t="n">
        <f aca="false">COUNTIFS($B$2:$B$2705,B711,$C$2:$C$2705,C711)</f>
        <v>1</v>
      </c>
      <c r="G711" s="3" t="n">
        <f aca="false">MIN(INT((MIN(B711,2020)-1900)/10)+1,12)</f>
        <v>5</v>
      </c>
      <c r="H711" s="3" t="n">
        <f aca="false">(MIN(B711,2020)-1900-10*(G711-1))/10</f>
        <v>0.5</v>
      </c>
      <c r="I711" s="20" t="n">
        <f aca="false">EXP(LN(INDEX(Pop_Inputs!$B$2:$N$29,MATCH(C711,Pop_Inputs!$A$2:$A$29,0),G711))*(1-H711)+LN(INDEX(Pop_Inputs!$B$2:$N$29,MATCH(C711,Pop_Inputs!$A$2:$A$29,0),G711+1))*H711)</f>
        <v>1732825.68908012</v>
      </c>
      <c r="J711" s="20" t="n">
        <f aca="false">I711/F711</f>
        <v>1732825.68908012</v>
      </c>
      <c r="K711" s="21" t="n">
        <f aca="false">D711/(D711+E711)</f>
        <v>0.57516339869281</v>
      </c>
      <c r="L711" s="21" t="n">
        <f aca="false">AVERAGEIFS($K$2:$K$2705,$B$2:$B$2705,B711)</f>
        <v>0.499780182880436</v>
      </c>
      <c r="M711" s="21" t="n">
        <f aca="false">K711-L711</f>
        <v>0.0753832158123747</v>
      </c>
      <c r="N711" s="21" t="n">
        <f aca="false">LN(J711)</f>
        <v>14.3652639803037</v>
      </c>
      <c r="O711" s="21" t="n">
        <f aca="false">AVERAGEIFS($N$2:$N$2705,$B$2:$B$2705,B711)</f>
        <v>13.7731732709914</v>
      </c>
      <c r="P711" s="21" t="n">
        <f aca="false">N711-O711</f>
        <v>0.592090709312268</v>
      </c>
      <c r="Q711" s="7" t="n">
        <v>0</v>
      </c>
      <c r="R711" s="3" t="n">
        <f aca="false">IF(AND(Q711=1,B711-_xlfn.MINIFS($B$2:$B$2705,$A$2:$A$2705,A711)&lt;10),1,0)</f>
        <v>0</v>
      </c>
      <c r="S711" s="7" t="n">
        <v>0</v>
      </c>
      <c r="T711" s="3" t="n">
        <f aca="false">_xlfn.MINIFS($B$2:$B$2705,$A$2:$A$2705,A711)</f>
        <v>1901</v>
      </c>
      <c r="U711" s="3" t="n">
        <f aca="false">B711-T711</f>
        <v>44</v>
      </c>
      <c r="V711" s="3" t="str">
        <f aca="false">INDEX(Pop_Inputs!$Q$2:$Q$29,MATCH(C711,Pop_Inputs!$A$2:$A$29,0))</f>
        <v>Midwest</v>
      </c>
      <c r="W711" s="30"/>
      <c r="X711" s="3" t="str">
        <f aca="false">IF(W711="","",LN(W711))</f>
        <v/>
      </c>
      <c r="Y711" s="3" t="str">
        <f aca="false">IF(X711="","",X711-AVERAGEIFS($X$2:$X$2705,$B$2:$B$2705,B711))</f>
        <v/>
      </c>
      <c r="Z711" s="21" t="n">
        <f aca="false">P711</f>
        <v>0.592090709312268</v>
      </c>
      <c r="AA711" s="3" t="n">
        <f aca="false">R711</f>
        <v>0</v>
      </c>
      <c r="AB711" s="21" t="n">
        <f aca="false">P711</f>
        <v>0.592090709312268</v>
      </c>
      <c r="AC711" s="3" t="str">
        <f aca="false">Y711</f>
        <v/>
      </c>
      <c r="AD711" s="3" t="n">
        <f aca="false">R711</f>
        <v>0</v>
      </c>
    </row>
    <row r="712" customFormat="false" ht="15" hidden="false" customHeight="true" outlineLevel="0" collapsed="false">
      <c r="A712" s="7" t="s">
        <v>62</v>
      </c>
      <c r="B712" s="7" t="n">
        <v>1945</v>
      </c>
      <c r="C712" s="7" t="s">
        <v>154</v>
      </c>
      <c r="D712" s="7" t="n">
        <v>87</v>
      </c>
      <c r="E712" s="7" t="n">
        <v>67</v>
      </c>
      <c r="F712" s="3" t="n">
        <f aca="false">COUNTIFS($B$2:$B$2705,B712,$C$2:$C$2705,C712)</f>
        <v>3</v>
      </c>
      <c r="G712" s="3" t="n">
        <f aca="false">MIN(INT((MIN(B712,2020)-1900)/10)+1,12)</f>
        <v>5</v>
      </c>
      <c r="H712" s="3" t="n">
        <f aca="false">(MIN(B712,2020)-1900-10*(G712-1))/10</f>
        <v>0.5</v>
      </c>
      <c r="I712" s="20" t="n">
        <f aca="false">EXP(LN(INDEX(Pop_Inputs!$B$2:$N$29,MATCH(C712,Pop_Inputs!$A$2:$A$29,0),G712))*(1-H712)+LN(INDEX(Pop_Inputs!$B$2:$N$29,MATCH(C712,Pop_Inputs!$A$2:$A$29,0),G712+1))*H712)</f>
        <v>7670365.04836732</v>
      </c>
      <c r="J712" s="20" t="n">
        <f aca="false">I712/F712</f>
        <v>2556788.34945577</v>
      </c>
      <c r="K712" s="21" t="n">
        <f aca="false">D712/(D712+E712)</f>
        <v>0.564935064935065</v>
      </c>
      <c r="L712" s="21" t="n">
        <f aca="false">AVERAGEIFS($K$2:$K$2705,$B$2:$B$2705,B712)</f>
        <v>0.499780182880436</v>
      </c>
      <c r="M712" s="21" t="n">
        <f aca="false">K712-L712</f>
        <v>0.0651548820546292</v>
      </c>
      <c r="N712" s="21" t="n">
        <f aca="false">LN(J712)</f>
        <v>14.754262477854</v>
      </c>
      <c r="O712" s="21" t="n">
        <f aca="false">AVERAGEIFS($N$2:$N$2705,$B$2:$B$2705,B712)</f>
        <v>13.7731732709914</v>
      </c>
      <c r="P712" s="21" t="n">
        <f aca="false">N712-O712</f>
        <v>0.981089206862567</v>
      </c>
      <c r="Q712" s="7" t="n">
        <v>0</v>
      </c>
      <c r="R712" s="3" t="n">
        <f aca="false">IF(AND(Q712=1,B712-_xlfn.MINIFS($B$2:$B$2705,$A$2:$A$2705,A712)&lt;10),1,0)</f>
        <v>0</v>
      </c>
      <c r="S712" s="7" t="n">
        <v>0</v>
      </c>
      <c r="T712" s="3" t="n">
        <f aca="false">_xlfn.MINIFS($B$2:$B$2705,$A$2:$A$2705,A712)</f>
        <v>1901</v>
      </c>
      <c r="U712" s="3" t="n">
        <f aca="false">B712-T712</f>
        <v>44</v>
      </c>
      <c r="V712" s="3" t="str">
        <f aca="false">INDEX(Pop_Inputs!$Q$2:$Q$29,MATCH(C712,Pop_Inputs!$A$2:$A$29,0))</f>
        <v>Northeast</v>
      </c>
      <c r="W712" s="30"/>
      <c r="X712" s="3" t="str">
        <f aca="false">IF(W712="","",LN(W712))</f>
        <v/>
      </c>
      <c r="Y712" s="3" t="str">
        <f aca="false">IF(X712="","",X712-AVERAGEIFS($X$2:$X$2705,$B$2:$B$2705,B712))</f>
        <v/>
      </c>
      <c r="Z712" s="21" t="n">
        <f aca="false">P712</f>
        <v>0.981089206862567</v>
      </c>
      <c r="AA712" s="3" t="n">
        <f aca="false">R712</f>
        <v>0</v>
      </c>
      <c r="AB712" s="21" t="n">
        <f aca="false">P712</f>
        <v>0.981089206862567</v>
      </c>
      <c r="AC712" s="3" t="str">
        <f aca="false">Y712</f>
        <v/>
      </c>
      <c r="AD712" s="3" t="n">
        <f aca="false">R712</f>
        <v>0</v>
      </c>
    </row>
    <row r="713" customFormat="false" ht="15" hidden="false" customHeight="true" outlineLevel="0" collapsed="false">
      <c r="A713" s="7" t="s">
        <v>68</v>
      </c>
      <c r="B713" s="7" t="n">
        <v>1945</v>
      </c>
      <c r="C713" s="7" t="s">
        <v>160</v>
      </c>
      <c r="D713" s="7" t="n">
        <v>87</v>
      </c>
      <c r="E713" s="7" t="n">
        <v>67</v>
      </c>
      <c r="F713" s="3" t="n">
        <f aca="false">COUNTIFS($B$2:$B$2705,B713,$C$2:$C$2705,C713)</f>
        <v>1</v>
      </c>
      <c r="G713" s="3" t="n">
        <f aca="false">MIN(INT((MIN(B713,2020)-1900)/10)+1,12)</f>
        <v>5</v>
      </c>
      <c r="H713" s="3" t="n">
        <f aca="false">(MIN(B713,2020)-1900-10*(G713-1))/10</f>
        <v>0.5</v>
      </c>
      <c r="I713" s="20" t="n">
        <f aca="false">EXP(LN(INDEX(Pop_Inputs!$B$2:$N$29,MATCH(C713,Pop_Inputs!$A$2:$A$29,0),G713))*(1-H713)+LN(INDEX(Pop_Inputs!$B$2:$N$29,MATCH(C713,Pop_Inputs!$A$2:$A$29,0),G713+1))*H713)</f>
        <v>729326.40991397</v>
      </c>
      <c r="J713" s="20" t="n">
        <f aca="false">I713/F713</f>
        <v>729326.40991397</v>
      </c>
      <c r="K713" s="21" t="n">
        <f aca="false">D713/(D713+E713)</f>
        <v>0.564935064935065</v>
      </c>
      <c r="L713" s="21" t="n">
        <f aca="false">AVERAGEIFS($K$2:$K$2705,$B$2:$B$2705,B713)</f>
        <v>0.499780182880436</v>
      </c>
      <c r="M713" s="21" t="n">
        <f aca="false">K713-L713</f>
        <v>0.0651548820546292</v>
      </c>
      <c r="N713" s="21" t="n">
        <f aca="false">LN(J713)</f>
        <v>13.4998766610055</v>
      </c>
      <c r="O713" s="21" t="n">
        <f aca="false">AVERAGEIFS($N$2:$N$2705,$B$2:$B$2705,B713)</f>
        <v>13.7731732709914</v>
      </c>
      <c r="P713" s="21" t="n">
        <f aca="false">N713-O713</f>
        <v>-0.273296609985945</v>
      </c>
      <c r="Q713" s="7" t="n">
        <v>0</v>
      </c>
      <c r="R713" s="3" t="n">
        <f aca="false">IF(AND(Q713=1,B713-_xlfn.MINIFS($B$2:$B$2705,$A$2:$A$2705,A713)&lt;10),1,0)</f>
        <v>0</v>
      </c>
      <c r="S713" s="7" t="n">
        <v>0</v>
      </c>
      <c r="T713" s="3" t="n">
        <f aca="false">_xlfn.MINIFS($B$2:$B$2705,$A$2:$A$2705,A713)</f>
        <v>1901</v>
      </c>
      <c r="U713" s="3" t="n">
        <f aca="false">B713-T713</f>
        <v>44</v>
      </c>
      <c r="V713" s="3" t="str">
        <f aca="false">INDEX(Pop_Inputs!$Q$2:$Q$29,MATCH(C713,Pop_Inputs!$A$2:$A$29,0))</f>
        <v>South</v>
      </c>
      <c r="W713" s="30"/>
      <c r="X713" s="3" t="str">
        <f aca="false">IF(W713="","",LN(W713))</f>
        <v/>
      </c>
      <c r="Y713" s="3" t="str">
        <f aca="false">IF(X713="","",X713-AVERAGEIFS($X$2:$X$2705,$B$2:$B$2705,B713))</f>
        <v/>
      </c>
      <c r="Z713" s="21" t="n">
        <f aca="false">P713</f>
        <v>-0.273296609985945</v>
      </c>
      <c r="AA713" s="3" t="n">
        <f aca="false">R713</f>
        <v>0</v>
      </c>
      <c r="AB713" s="21" t="n">
        <f aca="false">P713</f>
        <v>-0.273296609985945</v>
      </c>
      <c r="AC713" s="3" t="str">
        <f aca="false">Y713</f>
        <v/>
      </c>
      <c r="AD713" s="3" t="n">
        <f aca="false">R713</f>
        <v>0</v>
      </c>
    </row>
    <row r="714" customFormat="false" ht="15" hidden="false" customHeight="true" outlineLevel="0" collapsed="false">
      <c r="A714" s="7" t="s">
        <v>70</v>
      </c>
      <c r="B714" s="7" t="n">
        <v>1945</v>
      </c>
      <c r="C714" s="7" t="s">
        <v>154</v>
      </c>
      <c r="D714" s="7" t="n">
        <v>81</v>
      </c>
      <c r="E714" s="7" t="n">
        <v>71</v>
      </c>
      <c r="F714" s="3" t="n">
        <f aca="false">COUNTIFS($B$2:$B$2705,B714,$C$2:$C$2705,C714)</f>
        <v>3</v>
      </c>
      <c r="G714" s="3" t="n">
        <f aca="false">MIN(INT((MIN(B714,2020)-1900)/10)+1,12)</f>
        <v>5</v>
      </c>
      <c r="H714" s="3" t="n">
        <f aca="false">(MIN(B714,2020)-1900-10*(G714-1))/10</f>
        <v>0.5</v>
      </c>
      <c r="I714" s="20" t="n">
        <f aca="false">EXP(LN(INDEX(Pop_Inputs!$B$2:$N$29,MATCH(C714,Pop_Inputs!$A$2:$A$29,0),G714))*(1-H714)+LN(INDEX(Pop_Inputs!$B$2:$N$29,MATCH(C714,Pop_Inputs!$A$2:$A$29,0),G714+1))*H714)</f>
        <v>7670365.04836732</v>
      </c>
      <c r="J714" s="20" t="n">
        <f aca="false">I714/F714</f>
        <v>2556788.34945577</v>
      </c>
      <c r="K714" s="21" t="n">
        <f aca="false">D714/(D714+E714)</f>
        <v>0.532894736842105</v>
      </c>
      <c r="L714" s="21" t="n">
        <f aca="false">AVERAGEIFS($K$2:$K$2705,$B$2:$B$2705,B714)</f>
        <v>0.499780182880436</v>
      </c>
      <c r="M714" s="21" t="n">
        <f aca="false">K714-L714</f>
        <v>0.0331145539616696</v>
      </c>
      <c r="N714" s="21" t="n">
        <f aca="false">LN(J714)</f>
        <v>14.754262477854</v>
      </c>
      <c r="O714" s="21" t="n">
        <f aca="false">AVERAGEIFS($N$2:$N$2705,$B$2:$B$2705,B714)</f>
        <v>13.7731732709914</v>
      </c>
      <c r="P714" s="21" t="n">
        <f aca="false">N714-O714</f>
        <v>0.981089206862567</v>
      </c>
      <c r="Q714" s="7" t="n">
        <v>0</v>
      </c>
      <c r="R714" s="3" t="n">
        <f aca="false">IF(AND(Q714=1,B714-_xlfn.MINIFS($B$2:$B$2705,$A$2:$A$2705,A714)&lt;10),1,0)</f>
        <v>0</v>
      </c>
      <c r="S714" s="7" t="n">
        <v>1</v>
      </c>
      <c r="T714" s="3" t="n">
        <f aca="false">_xlfn.MINIFS($B$2:$B$2705,$A$2:$A$2705,A714)</f>
        <v>1903</v>
      </c>
      <c r="U714" s="3" t="n">
        <f aca="false">B714-T714</f>
        <v>42</v>
      </c>
      <c r="V714" s="3" t="str">
        <f aca="false">INDEX(Pop_Inputs!$Q$2:$Q$29,MATCH(C714,Pop_Inputs!$A$2:$A$29,0))</f>
        <v>Northeast</v>
      </c>
      <c r="W714" s="30"/>
      <c r="X714" s="3" t="str">
        <f aca="false">IF(W714="","",LN(W714))</f>
        <v/>
      </c>
      <c r="Y714" s="3" t="str">
        <f aca="false">IF(X714="","",X714-AVERAGEIFS($X$2:$X$2705,$B$2:$B$2705,B714))</f>
        <v/>
      </c>
      <c r="Z714" s="21" t="n">
        <f aca="false">P714</f>
        <v>0.981089206862567</v>
      </c>
      <c r="AA714" s="3" t="n">
        <f aca="false">R714</f>
        <v>0</v>
      </c>
      <c r="AB714" s="21" t="n">
        <f aca="false">P714</f>
        <v>0.981089206862567</v>
      </c>
      <c r="AC714" s="3" t="str">
        <f aca="false">Y714</f>
        <v/>
      </c>
      <c r="AD714" s="3" t="n">
        <f aca="false">R714</f>
        <v>0</v>
      </c>
    </row>
    <row r="715" customFormat="false" ht="15" hidden="false" customHeight="true" outlineLevel="0" collapsed="false">
      <c r="A715" s="7" t="s">
        <v>69</v>
      </c>
      <c r="B715" s="7" t="n">
        <v>1945</v>
      </c>
      <c r="C715" s="7" t="s">
        <v>146</v>
      </c>
      <c r="D715" s="7" t="n">
        <v>52</v>
      </c>
      <c r="E715" s="7" t="n">
        <v>98</v>
      </c>
      <c r="F715" s="3" t="n">
        <f aca="false">COUNTIFS($B$2:$B$2705,B715,$C$2:$C$2705,C715)</f>
        <v>2</v>
      </c>
      <c r="G715" s="3" t="n">
        <f aca="false">MIN(INT((MIN(B715,2020)-1900)/10)+1,12)</f>
        <v>5</v>
      </c>
      <c r="H715" s="3" t="n">
        <f aca="false">(MIN(B715,2020)-1900-10*(G715-1))/10</f>
        <v>0.5</v>
      </c>
      <c r="I715" s="20" t="n">
        <f aca="false">EXP(LN(INDEX(Pop_Inputs!$B$2:$N$29,MATCH(C715,Pop_Inputs!$A$2:$A$29,0),G715))*(1-H715)+LN(INDEX(Pop_Inputs!$B$2:$N$29,MATCH(C715,Pop_Inputs!$A$2:$A$29,0),G715+1))*H715)</f>
        <v>2000240.27833408</v>
      </c>
      <c r="J715" s="20" t="n">
        <f aca="false">I715/F715</f>
        <v>1000120.13916704</v>
      </c>
      <c r="K715" s="21" t="n">
        <f aca="false">D715/(D715+E715)</f>
        <v>0.346666666666667</v>
      </c>
      <c r="L715" s="21" t="n">
        <f aca="false">AVERAGEIFS($K$2:$K$2705,$B$2:$B$2705,B715)</f>
        <v>0.499780182880436</v>
      </c>
      <c r="M715" s="21" t="n">
        <f aca="false">K715-L715</f>
        <v>-0.153113516213769</v>
      </c>
      <c r="N715" s="21" t="n">
        <f aca="false">LN(J715)</f>
        <v>13.8156306899152</v>
      </c>
      <c r="O715" s="21" t="n">
        <f aca="false">AVERAGEIFS($N$2:$N$2705,$B$2:$B$2705,B715)</f>
        <v>13.7731732709914</v>
      </c>
      <c r="P715" s="21" t="n">
        <f aca="false">N715-O715</f>
        <v>0.042457418923739</v>
      </c>
      <c r="Q715" s="7" t="n">
        <v>0</v>
      </c>
      <c r="R715" s="3" t="n">
        <f aca="false">IF(AND(Q715=1,B715-_xlfn.MINIFS($B$2:$B$2705,$A$2:$A$2705,A715)&lt;10),1,0)</f>
        <v>0</v>
      </c>
      <c r="S715" s="7" t="n">
        <v>0</v>
      </c>
      <c r="T715" s="3" t="n">
        <f aca="false">_xlfn.MINIFS($B$2:$B$2705,$A$2:$A$2705,A715)</f>
        <v>1901</v>
      </c>
      <c r="U715" s="3" t="n">
        <f aca="false">B715-T715</f>
        <v>44</v>
      </c>
      <c r="V715" s="3" t="str">
        <f aca="false">INDEX(Pop_Inputs!$Q$2:$Q$29,MATCH(C715,Pop_Inputs!$A$2:$A$29,0))</f>
        <v>Northeast</v>
      </c>
      <c r="W715" s="30"/>
      <c r="X715" s="3" t="str">
        <f aca="false">IF(W715="","",LN(W715))</f>
        <v/>
      </c>
      <c r="Y715" s="3" t="str">
        <f aca="false">IF(X715="","",X715-AVERAGEIFS($X$2:$X$2705,$B$2:$B$2705,B715))</f>
        <v/>
      </c>
      <c r="Z715" s="21" t="n">
        <f aca="false">P715</f>
        <v>0.042457418923739</v>
      </c>
      <c r="AA715" s="3" t="n">
        <f aca="false">R715</f>
        <v>0</v>
      </c>
      <c r="AB715" s="21" t="n">
        <f aca="false">P715</f>
        <v>0.042457418923739</v>
      </c>
      <c r="AC715" s="3" t="str">
        <f aca="false">Y715</f>
        <v/>
      </c>
      <c r="AD715" s="3" t="n">
        <f aca="false">R715</f>
        <v>0</v>
      </c>
    </row>
    <row r="716" customFormat="false" ht="15" hidden="false" customHeight="true" outlineLevel="0" collapsed="false">
      <c r="A716" s="7" t="s">
        <v>60</v>
      </c>
      <c r="B716" s="7" t="n">
        <v>1945</v>
      </c>
      <c r="C716" s="7" t="s">
        <v>146</v>
      </c>
      <c r="D716" s="7" t="n">
        <v>46</v>
      </c>
      <c r="E716" s="7" t="n">
        <v>108</v>
      </c>
      <c r="F716" s="3" t="n">
        <f aca="false">COUNTIFS($B$2:$B$2705,B716,$C$2:$C$2705,C716)</f>
        <v>2</v>
      </c>
      <c r="G716" s="3" t="n">
        <f aca="false">MIN(INT((MIN(B716,2020)-1900)/10)+1,12)</f>
        <v>5</v>
      </c>
      <c r="H716" s="3" t="n">
        <f aca="false">(MIN(B716,2020)-1900-10*(G716-1))/10</f>
        <v>0.5</v>
      </c>
      <c r="I716" s="20" t="n">
        <f aca="false">EXP(LN(INDEX(Pop_Inputs!$B$2:$N$29,MATCH(C716,Pop_Inputs!$A$2:$A$29,0),G716))*(1-H716)+LN(INDEX(Pop_Inputs!$B$2:$N$29,MATCH(C716,Pop_Inputs!$A$2:$A$29,0),G716+1))*H716)</f>
        <v>2000240.27833408</v>
      </c>
      <c r="J716" s="20" t="n">
        <f aca="false">I716/F716</f>
        <v>1000120.13916704</v>
      </c>
      <c r="K716" s="21" t="n">
        <f aca="false">D716/(D716+E716)</f>
        <v>0.298701298701299</v>
      </c>
      <c r="L716" s="21" t="n">
        <f aca="false">AVERAGEIFS($K$2:$K$2705,$B$2:$B$2705,B716)</f>
        <v>0.499780182880436</v>
      </c>
      <c r="M716" s="21" t="n">
        <f aca="false">K716-L716</f>
        <v>-0.201078884179137</v>
      </c>
      <c r="N716" s="21" t="n">
        <f aca="false">LN(J716)</f>
        <v>13.8156306899152</v>
      </c>
      <c r="O716" s="21" t="n">
        <f aca="false">AVERAGEIFS($N$2:$N$2705,$B$2:$B$2705,B716)</f>
        <v>13.7731732709914</v>
      </c>
      <c r="P716" s="21" t="n">
        <f aca="false">N716-O716</f>
        <v>0.042457418923739</v>
      </c>
      <c r="Q716" s="7" t="n">
        <v>0</v>
      </c>
      <c r="R716" s="3" t="n">
        <f aca="false">IF(AND(Q716=1,B716-_xlfn.MINIFS($B$2:$B$2705,$A$2:$A$2705,A716)&lt;10),1,0)</f>
        <v>0</v>
      </c>
      <c r="S716" s="7" t="n">
        <v>0</v>
      </c>
      <c r="T716" s="3" t="n">
        <f aca="false">_xlfn.MINIFS($B$2:$B$2705,$A$2:$A$2705,A716)</f>
        <v>1901</v>
      </c>
      <c r="U716" s="3" t="n">
        <f aca="false">B716-T716</f>
        <v>44</v>
      </c>
      <c r="V716" s="3" t="str">
        <f aca="false">INDEX(Pop_Inputs!$Q$2:$Q$29,MATCH(C716,Pop_Inputs!$A$2:$A$29,0))</f>
        <v>Northeast</v>
      </c>
      <c r="W716" s="30"/>
      <c r="X716" s="3" t="str">
        <f aca="false">IF(W716="","",LN(W716))</f>
        <v/>
      </c>
      <c r="Y716" s="3" t="str">
        <f aca="false">IF(X716="","",X716-AVERAGEIFS($X$2:$X$2705,$B$2:$B$2705,B716))</f>
        <v/>
      </c>
      <c r="Z716" s="21" t="n">
        <f aca="false">P716</f>
        <v>0.042457418923739</v>
      </c>
      <c r="AA716" s="3" t="n">
        <f aca="false">R716</f>
        <v>0</v>
      </c>
      <c r="AB716" s="21" t="n">
        <f aca="false">P716</f>
        <v>0.042457418923739</v>
      </c>
      <c r="AC716" s="3" t="str">
        <f aca="false">Y716</f>
        <v/>
      </c>
      <c r="AD716" s="3" t="n">
        <f aca="false">R716</f>
        <v>0</v>
      </c>
    </row>
    <row r="717" customFormat="false" ht="15" hidden="false" customHeight="true" outlineLevel="0" collapsed="false">
      <c r="A717" s="7" t="s">
        <v>58</v>
      </c>
      <c r="B717" s="7" t="n">
        <v>1945</v>
      </c>
      <c r="C717" s="7" t="s">
        <v>144</v>
      </c>
      <c r="D717" s="7" t="n">
        <v>82</v>
      </c>
      <c r="E717" s="7" t="n">
        <v>72</v>
      </c>
      <c r="F717" s="3" t="n">
        <f aca="false">COUNTIFS($B$2:$B$2705,B717,$C$2:$C$2705,C717)</f>
        <v>1</v>
      </c>
      <c r="G717" s="3" t="n">
        <f aca="false">MIN(INT((MIN(B717,2020)-1900)/10)+1,12)</f>
        <v>5</v>
      </c>
      <c r="H717" s="3" t="n">
        <f aca="false">(MIN(B717,2020)-1900-10*(G717-1))/10</f>
        <v>0.5</v>
      </c>
      <c r="I717" s="20" t="n">
        <f aca="false">EXP(LN(INDEX(Pop_Inputs!$B$2:$N$29,MATCH(C717,Pop_Inputs!$A$2:$A$29,0),G717))*(1-H717)+LN(INDEX(Pop_Inputs!$B$2:$N$29,MATCH(C717,Pop_Inputs!$A$2:$A$29,0),G717+1))*H717)</f>
        <v>674227.588544106</v>
      </c>
      <c r="J717" s="20" t="n">
        <f aca="false">I717/F717</f>
        <v>674227.588544106</v>
      </c>
      <c r="K717" s="21" t="n">
        <f aca="false">D717/(D717+E717)</f>
        <v>0.532467532467532</v>
      </c>
      <c r="L717" s="21" t="n">
        <f aca="false">AVERAGEIFS($K$2:$K$2705,$B$2:$B$2705,B717)</f>
        <v>0.499780182880436</v>
      </c>
      <c r="M717" s="21" t="n">
        <f aca="false">K717-L717</f>
        <v>0.0326873495870967</v>
      </c>
      <c r="N717" s="21" t="n">
        <f aca="false">LN(J717)</f>
        <v>13.4213230013603</v>
      </c>
      <c r="O717" s="21" t="n">
        <f aca="false">AVERAGEIFS($N$2:$N$2705,$B$2:$B$2705,B717)</f>
        <v>13.7731732709914</v>
      </c>
      <c r="P717" s="21" t="n">
        <f aca="false">N717-O717</f>
        <v>-0.3518502696311</v>
      </c>
      <c r="Q717" s="7" t="n">
        <v>0</v>
      </c>
      <c r="R717" s="3" t="n">
        <f aca="false">IF(AND(Q717=1,B717-_xlfn.MINIFS($B$2:$B$2705,$A$2:$A$2705,A717)&lt;10),1,0)</f>
        <v>0</v>
      </c>
      <c r="S717" s="7" t="n">
        <v>0</v>
      </c>
      <c r="T717" s="3" t="n">
        <f aca="false">_xlfn.MINIFS($B$2:$B$2705,$A$2:$A$2705,A717)</f>
        <v>1901</v>
      </c>
      <c r="U717" s="3" t="n">
        <f aca="false">B717-T717</f>
        <v>44</v>
      </c>
      <c r="V717" s="3" t="str">
        <f aca="false">INDEX(Pop_Inputs!$Q$2:$Q$29,MATCH(C717,Pop_Inputs!$A$2:$A$29,0))</f>
        <v>Northeast</v>
      </c>
      <c r="W717" s="30"/>
      <c r="X717" s="3" t="str">
        <f aca="false">IF(W717="","",LN(W717))</f>
        <v/>
      </c>
      <c r="Y717" s="3" t="str">
        <f aca="false">IF(X717="","",X717-AVERAGEIFS($X$2:$X$2705,$B$2:$B$2705,B717))</f>
        <v/>
      </c>
      <c r="Z717" s="21" t="n">
        <f aca="false">P717</f>
        <v>-0.3518502696311</v>
      </c>
      <c r="AA717" s="3" t="n">
        <f aca="false">R717</f>
        <v>0</v>
      </c>
      <c r="AB717" s="21" t="n">
        <f aca="false">P717</f>
        <v>-0.3518502696311</v>
      </c>
      <c r="AC717" s="3" t="str">
        <f aca="false">Y717</f>
        <v/>
      </c>
      <c r="AD717" s="3" t="n">
        <f aca="false">R717</f>
        <v>0</v>
      </c>
    </row>
    <row r="718" customFormat="false" ht="15" hidden="false" customHeight="true" outlineLevel="0" collapsed="false">
      <c r="A718" s="7" t="s">
        <v>61</v>
      </c>
      <c r="B718" s="7" t="n">
        <v>1945</v>
      </c>
      <c r="C718" s="7" t="s">
        <v>154</v>
      </c>
      <c r="D718" s="7" t="n">
        <v>78</v>
      </c>
      <c r="E718" s="7" t="n">
        <v>74</v>
      </c>
      <c r="F718" s="3" t="n">
        <f aca="false">COUNTIFS($B$2:$B$2705,B718,$C$2:$C$2705,C718)</f>
        <v>3</v>
      </c>
      <c r="G718" s="3" t="n">
        <f aca="false">MIN(INT((MIN(B718,2020)-1900)/10)+1,12)</f>
        <v>5</v>
      </c>
      <c r="H718" s="3" t="n">
        <f aca="false">(MIN(B718,2020)-1900-10*(G718-1))/10</f>
        <v>0.5</v>
      </c>
      <c r="I718" s="20" t="n">
        <f aca="false">EXP(LN(INDEX(Pop_Inputs!$B$2:$N$29,MATCH(C718,Pop_Inputs!$A$2:$A$29,0),G718))*(1-H718)+LN(INDEX(Pop_Inputs!$B$2:$N$29,MATCH(C718,Pop_Inputs!$A$2:$A$29,0),G718+1))*H718)</f>
        <v>7670365.04836732</v>
      </c>
      <c r="J718" s="20" t="n">
        <f aca="false">I718/F718</f>
        <v>2556788.34945577</v>
      </c>
      <c r="K718" s="21" t="n">
        <f aca="false">D718/(D718+E718)</f>
        <v>0.513157894736842</v>
      </c>
      <c r="L718" s="21" t="n">
        <f aca="false">AVERAGEIFS($K$2:$K$2705,$B$2:$B$2705,B718)</f>
        <v>0.499780182880436</v>
      </c>
      <c r="M718" s="21" t="n">
        <f aca="false">K718-L718</f>
        <v>0.0133777118564064</v>
      </c>
      <c r="N718" s="21" t="n">
        <f aca="false">LN(J718)</f>
        <v>14.754262477854</v>
      </c>
      <c r="O718" s="21" t="n">
        <f aca="false">AVERAGEIFS($N$2:$N$2705,$B$2:$B$2705,B718)</f>
        <v>13.7731732709914</v>
      </c>
      <c r="P718" s="21" t="n">
        <f aca="false">N718-O718</f>
        <v>0.981089206862567</v>
      </c>
      <c r="Q718" s="7" t="n">
        <v>0</v>
      </c>
      <c r="R718" s="3" t="n">
        <f aca="false">IF(AND(Q718=1,B718-_xlfn.MINIFS($B$2:$B$2705,$A$2:$A$2705,A718)&lt;10),1,0)</f>
        <v>0</v>
      </c>
      <c r="S718" s="7" t="n">
        <v>0</v>
      </c>
      <c r="T718" s="3" t="n">
        <f aca="false">_xlfn.MINIFS($B$2:$B$2705,$A$2:$A$2705,A718)</f>
        <v>1901</v>
      </c>
      <c r="U718" s="3" t="n">
        <f aca="false">B718-T718</f>
        <v>44</v>
      </c>
      <c r="V718" s="3" t="str">
        <f aca="false">INDEX(Pop_Inputs!$Q$2:$Q$29,MATCH(C718,Pop_Inputs!$A$2:$A$29,0))</f>
        <v>Northeast</v>
      </c>
      <c r="W718" s="30"/>
      <c r="X718" s="3" t="str">
        <f aca="false">IF(W718="","",LN(W718))</f>
        <v/>
      </c>
      <c r="Y718" s="3" t="str">
        <f aca="false">IF(X718="","",X718-AVERAGEIFS($X$2:$X$2705,$B$2:$B$2705,B718))</f>
        <v/>
      </c>
      <c r="Z718" s="21" t="n">
        <f aca="false">P718</f>
        <v>0.981089206862567</v>
      </c>
      <c r="AA718" s="3" t="n">
        <f aca="false">R718</f>
        <v>0</v>
      </c>
      <c r="AB718" s="21" t="n">
        <f aca="false">P718</f>
        <v>0.981089206862567</v>
      </c>
      <c r="AC718" s="3" t="str">
        <f aca="false">Y718</f>
        <v/>
      </c>
      <c r="AD718" s="3" t="n">
        <f aca="false">R718</f>
        <v>0</v>
      </c>
    </row>
    <row r="719" customFormat="false" ht="15" hidden="false" customHeight="true" outlineLevel="0" collapsed="false">
      <c r="A719" s="7" t="s">
        <v>59</v>
      </c>
      <c r="B719" s="7" t="n">
        <v>1945</v>
      </c>
      <c r="C719" s="7" t="s">
        <v>145</v>
      </c>
      <c r="D719" s="7" t="n">
        <v>95</v>
      </c>
      <c r="E719" s="7" t="n">
        <v>59</v>
      </c>
      <c r="F719" s="3" t="n">
        <f aca="false">COUNTIFS($B$2:$B$2705,B719,$C$2:$C$2705,C719)</f>
        <v>2</v>
      </c>
      <c r="G719" s="3" t="n">
        <f aca="false">MIN(INT((MIN(B719,2020)-1900)/10)+1,12)</f>
        <v>5</v>
      </c>
      <c r="H719" s="3" t="n">
        <f aca="false">(MIN(B719,2020)-1900-10*(G719-1))/10</f>
        <v>0.5</v>
      </c>
      <c r="I719" s="20" t="n">
        <f aca="false">EXP(LN(INDEX(Pop_Inputs!$B$2:$N$29,MATCH(C719,Pop_Inputs!$A$2:$A$29,0),G719))*(1-H719)+LN(INDEX(Pop_Inputs!$B$2:$N$29,MATCH(C719,Pop_Inputs!$A$2:$A$29,0),G719+1))*H719)</f>
        <v>836173.822962666</v>
      </c>
      <c r="J719" s="20" t="n">
        <f aca="false">I719/F719</f>
        <v>418086.911481333</v>
      </c>
      <c r="K719" s="21" t="n">
        <f aca="false">D719/(D719+E719)</f>
        <v>0.616883116883117</v>
      </c>
      <c r="L719" s="21" t="n">
        <f aca="false">AVERAGEIFS($K$2:$K$2705,$B$2:$B$2705,B719)</f>
        <v>0.499780182880436</v>
      </c>
      <c r="M719" s="21" t="n">
        <f aca="false">K719-L719</f>
        <v>0.117102934002681</v>
      </c>
      <c r="N719" s="21" t="n">
        <f aca="false">LN(J719)</f>
        <v>12.9434446120982</v>
      </c>
      <c r="O719" s="21" t="n">
        <f aca="false">AVERAGEIFS($N$2:$N$2705,$B$2:$B$2705,B719)</f>
        <v>13.7731732709914</v>
      </c>
      <c r="P719" s="21" t="n">
        <f aca="false">N719-O719</f>
        <v>-0.829728658893231</v>
      </c>
      <c r="Q719" s="7" t="n">
        <v>0</v>
      </c>
      <c r="R719" s="3" t="n">
        <f aca="false">IF(AND(Q719=1,B719-_xlfn.MINIFS($B$2:$B$2705,$A$2:$A$2705,A719)&lt;10),1,0)</f>
        <v>0</v>
      </c>
      <c r="S719" s="7" t="n">
        <v>0</v>
      </c>
      <c r="T719" s="3" t="n">
        <f aca="false">_xlfn.MINIFS($B$2:$B$2705,$A$2:$A$2705,A719)</f>
        <v>1901</v>
      </c>
      <c r="U719" s="3" t="n">
        <f aca="false">B719-T719</f>
        <v>44</v>
      </c>
      <c r="V719" s="3" t="str">
        <f aca="false">INDEX(Pop_Inputs!$Q$2:$Q$29,MATCH(C719,Pop_Inputs!$A$2:$A$29,0))</f>
        <v>Midwest</v>
      </c>
      <c r="W719" s="30"/>
      <c r="X719" s="3" t="str">
        <f aca="false">IF(W719="","",LN(W719))</f>
        <v/>
      </c>
      <c r="Y719" s="3" t="str">
        <f aca="false">IF(X719="","",X719-AVERAGEIFS($X$2:$X$2705,$B$2:$B$2705,B719))</f>
        <v/>
      </c>
      <c r="Z719" s="21" t="n">
        <f aca="false">P719</f>
        <v>-0.829728658893231</v>
      </c>
      <c r="AA719" s="3" t="n">
        <f aca="false">R719</f>
        <v>0</v>
      </c>
      <c r="AB719" s="21" t="n">
        <f aca="false">P719</f>
        <v>-0.829728658893231</v>
      </c>
      <c r="AC719" s="3" t="str">
        <f aca="false">Y719</f>
        <v/>
      </c>
      <c r="AD719" s="3" t="n">
        <f aca="false">R719</f>
        <v>0</v>
      </c>
    </row>
    <row r="720" customFormat="false" ht="15" hidden="false" customHeight="true" outlineLevel="0" collapsed="false">
      <c r="A720" s="7" t="s">
        <v>54</v>
      </c>
      <c r="B720" s="7" t="n">
        <v>1946</v>
      </c>
      <c r="C720" s="7" t="s">
        <v>150</v>
      </c>
      <c r="D720" s="7" t="n">
        <v>81</v>
      </c>
      <c r="E720" s="7" t="n">
        <v>72</v>
      </c>
      <c r="F720" s="3" t="n">
        <f aca="false">COUNTIFS($B$2:$B$2705,B720,$C$2:$C$2705,C720)</f>
        <v>2</v>
      </c>
      <c r="G720" s="3" t="n">
        <f aca="false">MIN(INT((MIN(B720,2020)-1900)/10)+1,12)</f>
        <v>5</v>
      </c>
      <c r="H720" s="3" t="n">
        <f aca="false">(MIN(B720,2020)-1900-10*(G720-1))/10</f>
        <v>0.6</v>
      </c>
      <c r="I720" s="20" t="n">
        <f aca="false">EXP(LN(INDEX(Pop_Inputs!$B$2:$N$29,MATCH(C720,Pop_Inputs!$A$2:$A$29,0),G720))*(1-H720)+LN(INDEX(Pop_Inputs!$B$2:$N$29,MATCH(C720,Pop_Inputs!$A$2:$A$29,0),G720+1))*H720)</f>
        <v>789049.406449461</v>
      </c>
      <c r="J720" s="20" t="n">
        <f aca="false">I720/F720</f>
        <v>394524.703224731</v>
      </c>
      <c r="K720" s="21" t="n">
        <f aca="false">D720/(D720+E720)</f>
        <v>0.529411764705882</v>
      </c>
      <c r="L720" s="21" t="n">
        <f aca="false">AVERAGEIFS($K$2:$K$2705,$B$2:$B$2705,B720)</f>
        <v>0.499828806814101</v>
      </c>
      <c r="M720" s="21" t="n">
        <f aca="false">K720-L720</f>
        <v>0.0295829578917814</v>
      </c>
      <c r="N720" s="21" t="n">
        <f aca="false">LN(J720)</f>
        <v>12.8854370363817</v>
      </c>
      <c r="O720" s="21" t="n">
        <f aca="false">AVERAGEIFS($N$2:$N$2705,$B$2:$B$2705,B720)</f>
        <v>13.77995055835</v>
      </c>
      <c r="P720" s="21" t="n">
        <f aca="false">N720-O720</f>
        <v>-0.894513521968285</v>
      </c>
      <c r="Q720" s="7" t="n">
        <v>0</v>
      </c>
      <c r="R720" s="3" t="n">
        <f aca="false">IF(AND(Q720=1,B720-_xlfn.MINIFS($B$2:$B$2705,$A$2:$A$2705,A720)&lt;10),1,0)</f>
        <v>0</v>
      </c>
      <c r="S720" s="7" t="n">
        <v>0</v>
      </c>
      <c r="T720" s="3" t="n">
        <f aca="false">_xlfn.MINIFS($B$2:$B$2705,$A$2:$A$2705,A720)</f>
        <v>1901</v>
      </c>
      <c r="U720" s="3" t="n">
        <f aca="false">B720-T720</f>
        <v>45</v>
      </c>
      <c r="V720" s="3" t="str">
        <f aca="false">INDEX(Pop_Inputs!$Q$2:$Q$29,MATCH(C720,Pop_Inputs!$A$2:$A$29,0))</f>
        <v>Northeast</v>
      </c>
      <c r="W720" s="30"/>
      <c r="X720" s="3" t="str">
        <f aca="false">IF(W720="","",LN(W720))</f>
        <v/>
      </c>
      <c r="Y720" s="3" t="str">
        <f aca="false">IF(X720="","",X720-AVERAGEIFS($X$2:$X$2705,$B$2:$B$2705,B720))</f>
        <v/>
      </c>
      <c r="Z720" s="21" t="n">
        <f aca="false">P720</f>
        <v>-0.894513521968285</v>
      </c>
      <c r="AA720" s="3" t="n">
        <f aca="false">R720</f>
        <v>0</v>
      </c>
      <c r="AB720" s="21" t="n">
        <f aca="false">P720</f>
        <v>-0.894513521968285</v>
      </c>
      <c r="AC720" s="3" t="str">
        <f aca="false">Y720</f>
        <v/>
      </c>
      <c r="AD720" s="3" t="n">
        <f aca="false">R720</f>
        <v>0</v>
      </c>
    </row>
    <row r="721" customFormat="false" ht="15" hidden="false" customHeight="true" outlineLevel="0" collapsed="false">
      <c r="A721" s="7" t="s">
        <v>63</v>
      </c>
      <c r="B721" s="7" t="n">
        <v>1946</v>
      </c>
      <c r="C721" s="7" t="s">
        <v>145</v>
      </c>
      <c r="D721" s="7" t="n">
        <v>66</v>
      </c>
      <c r="E721" s="7" t="n">
        <v>88</v>
      </c>
      <c r="F721" s="3" t="n">
        <f aca="false">COUNTIFS($B$2:$B$2705,B721,$C$2:$C$2705,C721)</f>
        <v>2</v>
      </c>
      <c r="G721" s="3" t="n">
        <f aca="false">MIN(INT((MIN(B721,2020)-1900)/10)+1,12)</f>
        <v>5</v>
      </c>
      <c r="H721" s="3" t="n">
        <f aca="false">(MIN(B721,2020)-1900-10*(G721-1))/10</f>
        <v>0.6</v>
      </c>
      <c r="I721" s="20" t="n">
        <f aca="false">EXP(LN(INDEX(Pop_Inputs!$B$2:$N$29,MATCH(C721,Pop_Inputs!$A$2:$A$29,0),G721))*(1-H721)+LN(INDEX(Pop_Inputs!$B$2:$N$29,MATCH(C721,Pop_Inputs!$A$2:$A$29,0),G721+1))*H721)</f>
        <v>840258.162609046</v>
      </c>
      <c r="J721" s="20" t="n">
        <f aca="false">I721/F721</f>
        <v>420129.081304523</v>
      </c>
      <c r="K721" s="21" t="n">
        <f aca="false">D721/(D721+E721)</f>
        <v>0.428571428571429</v>
      </c>
      <c r="L721" s="21" t="n">
        <f aca="false">AVERAGEIFS($K$2:$K$2705,$B$2:$B$2705,B721)</f>
        <v>0.499828806814101</v>
      </c>
      <c r="M721" s="21" t="n">
        <f aca="false">K721-L721</f>
        <v>-0.0712573782426724</v>
      </c>
      <c r="N721" s="21" t="n">
        <f aca="false">LN(J721)</f>
        <v>12.9483172794807</v>
      </c>
      <c r="O721" s="21" t="n">
        <f aca="false">AVERAGEIFS($N$2:$N$2705,$B$2:$B$2705,B721)</f>
        <v>13.77995055835</v>
      </c>
      <c r="P721" s="21" t="n">
        <f aca="false">N721-O721</f>
        <v>-0.831633278869232</v>
      </c>
      <c r="Q721" s="7" t="n">
        <v>0</v>
      </c>
      <c r="R721" s="3" t="n">
        <f aca="false">IF(AND(Q721=1,B721-_xlfn.MINIFS($B$2:$B$2705,$A$2:$A$2705,A721)&lt;10),1,0)</f>
        <v>0</v>
      </c>
      <c r="S721" s="7" t="n">
        <v>0</v>
      </c>
      <c r="T721" s="3" t="n">
        <f aca="false">_xlfn.MINIFS($B$2:$B$2705,$A$2:$A$2705,A721)</f>
        <v>1901</v>
      </c>
      <c r="U721" s="3" t="n">
        <f aca="false">B721-T721</f>
        <v>45</v>
      </c>
      <c r="V721" s="3" t="str">
        <f aca="false">INDEX(Pop_Inputs!$Q$2:$Q$29,MATCH(C721,Pop_Inputs!$A$2:$A$29,0))</f>
        <v>Midwest</v>
      </c>
      <c r="W721" s="30"/>
      <c r="X721" s="3" t="str">
        <f aca="false">IF(W721="","",LN(W721))</f>
        <v/>
      </c>
      <c r="Y721" s="3" t="str">
        <f aca="false">IF(X721="","",X721-AVERAGEIFS($X$2:$X$2705,$B$2:$B$2705,B721))</f>
        <v/>
      </c>
      <c r="Z721" s="21" t="n">
        <f aca="false">P721</f>
        <v>-0.831633278869232</v>
      </c>
      <c r="AA721" s="3" t="n">
        <f aca="false">R721</f>
        <v>0</v>
      </c>
      <c r="AB721" s="21" t="n">
        <f aca="false">P721</f>
        <v>-0.831633278869232</v>
      </c>
      <c r="AC721" s="3" t="str">
        <f aca="false">Y721</f>
        <v/>
      </c>
      <c r="AD721" s="3" t="n">
        <f aca="false">R721</f>
        <v>0</v>
      </c>
    </row>
    <row r="722" customFormat="false" ht="15" hidden="false" customHeight="true" outlineLevel="0" collapsed="false">
      <c r="A722" s="7" t="s">
        <v>64</v>
      </c>
      <c r="B722" s="7" t="n">
        <v>1946</v>
      </c>
      <c r="C722" s="7" t="s">
        <v>150</v>
      </c>
      <c r="D722" s="7" t="n">
        <v>104</v>
      </c>
      <c r="E722" s="7" t="n">
        <v>50</v>
      </c>
      <c r="F722" s="3" t="n">
        <f aca="false">COUNTIFS($B$2:$B$2705,B722,$C$2:$C$2705,C722)</f>
        <v>2</v>
      </c>
      <c r="G722" s="3" t="n">
        <f aca="false">MIN(INT((MIN(B722,2020)-1900)/10)+1,12)</f>
        <v>5</v>
      </c>
      <c r="H722" s="3" t="n">
        <f aca="false">(MIN(B722,2020)-1900-10*(G722-1))/10</f>
        <v>0.6</v>
      </c>
      <c r="I722" s="20" t="n">
        <f aca="false">EXP(LN(INDEX(Pop_Inputs!$B$2:$N$29,MATCH(C722,Pop_Inputs!$A$2:$A$29,0),G722))*(1-H722)+LN(INDEX(Pop_Inputs!$B$2:$N$29,MATCH(C722,Pop_Inputs!$A$2:$A$29,0),G722+1))*H722)</f>
        <v>789049.406449461</v>
      </c>
      <c r="J722" s="20" t="n">
        <f aca="false">I722/F722</f>
        <v>394524.703224731</v>
      </c>
      <c r="K722" s="21" t="n">
        <f aca="false">D722/(D722+E722)</f>
        <v>0.675324675324675</v>
      </c>
      <c r="L722" s="21" t="n">
        <f aca="false">AVERAGEIFS($K$2:$K$2705,$B$2:$B$2705,B722)</f>
        <v>0.499828806814101</v>
      </c>
      <c r="M722" s="21" t="n">
        <f aca="false">K722-L722</f>
        <v>0.175495868510574</v>
      </c>
      <c r="N722" s="21" t="n">
        <f aca="false">LN(J722)</f>
        <v>12.8854370363817</v>
      </c>
      <c r="O722" s="21" t="n">
        <f aca="false">AVERAGEIFS($N$2:$N$2705,$B$2:$B$2705,B722)</f>
        <v>13.77995055835</v>
      </c>
      <c r="P722" s="21" t="n">
        <f aca="false">N722-O722</f>
        <v>-0.894513521968285</v>
      </c>
      <c r="Q722" s="7" t="n">
        <v>0</v>
      </c>
      <c r="R722" s="3" t="n">
        <f aca="false">IF(AND(Q722=1,B722-_xlfn.MINIFS($B$2:$B$2705,$A$2:$A$2705,A722)&lt;10),1,0)</f>
        <v>0</v>
      </c>
      <c r="S722" s="7" t="n">
        <v>0</v>
      </c>
      <c r="T722" s="3" t="n">
        <f aca="false">_xlfn.MINIFS($B$2:$B$2705,$A$2:$A$2705,A722)</f>
        <v>1901</v>
      </c>
      <c r="U722" s="3" t="n">
        <f aca="false">B722-T722</f>
        <v>45</v>
      </c>
      <c r="V722" s="3" t="str">
        <f aca="false">INDEX(Pop_Inputs!$Q$2:$Q$29,MATCH(C722,Pop_Inputs!$A$2:$A$29,0))</f>
        <v>Northeast</v>
      </c>
      <c r="W722" s="30"/>
      <c r="X722" s="3" t="str">
        <f aca="false">IF(W722="","",LN(W722))</f>
        <v/>
      </c>
      <c r="Y722" s="3" t="str">
        <f aca="false">IF(X722="","",X722-AVERAGEIFS($X$2:$X$2705,$B$2:$B$2705,B722))</f>
        <v/>
      </c>
      <c r="Z722" s="21" t="n">
        <f aca="false">P722</f>
        <v>-0.894513521968285</v>
      </c>
      <c r="AA722" s="3" t="n">
        <f aca="false">R722</f>
        <v>0</v>
      </c>
      <c r="AB722" s="21" t="n">
        <f aca="false">P722</f>
        <v>-0.894513521968285</v>
      </c>
      <c r="AC722" s="3" t="str">
        <f aca="false">Y722</f>
        <v/>
      </c>
      <c r="AD722" s="3" t="n">
        <f aca="false">R722</f>
        <v>0</v>
      </c>
    </row>
    <row r="723" customFormat="false" ht="15" hidden="false" customHeight="true" outlineLevel="0" collapsed="false">
      <c r="A723" s="7" t="s">
        <v>56</v>
      </c>
      <c r="B723" s="7" t="n">
        <v>1946</v>
      </c>
      <c r="C723" s="7" t="s">
        <v>142</v>
      </c>
      <c r="D723" s="7" t="n">
        <v>82</v>
      </c>
      <c r="E723" s="7" t="n">
        <v>71</v>
      </c>
      <c r="F723" s="3" t="n">
        <f aca="false">COUNTIFS($B$2:$B$2705,B723,$C$2:$C$2705,C723)</f>
        <v>2</v>
      </c>
      <c r="G723" s="3" t="n">
        <f aca="false">MIN(INT((MIN(B723,2020)-1900)/10)+1,12)</f>
        <v>5</v>
      </c>
      <c r="H723" s="3" t="n">
        <f aca="false">(MIN(B723,2020)-1900-10*(G723-1))/10</f>
        <v>0.6</v>
      </c>
      <c r="I723" s="20" t="n">
        <f aca="false">EXP(LN(INDEX(Pop_Inputs!$B$2:$N$29,MATCH(C723,Pop_Inputs!$A$2:$A$29,0),G723))*(1-H723)+LN(INDEX(Pop_Inputs!$B$2:$N$29,MATCH(C723,Pop_Inputs!$A$2:$A$29,0),G723+1))*H723)</f>
        <v>3529577.97044314</v>
      </c>
      <c r="J723" s="20" t="n">
        <f aca="false">I723/F723</f>
        <v>1764788.98522157</v>
      </c>
      <c r="K723" s="21" t="n">
        <f aca="false">D723/(D723+E723)</f>
        <v>0.535947712418301</v>
      </c>
      <c r="L723" s="21" t="n">
        <f aca="false">AVERAGEIFS($K$2:$K$2705,$B$2:$B$2705,B723)</f>
        <v>0.499828806814101</v>
      </c>
      <c r="M723" s="21" t="n">
        <f aca="false">K723-L723</f>
        <v>0.0361189056041997</v>
      </c>
      <c r="N723" s="21" t="n">
        <f aca="false">LN(J723)</f>
        <v>14.383541686087</v>
      </c>
      <c r="O723" s="21" t="n">
        <f aca="false">AVERAGEIFS($N$2:$N$2705,$B$2:$B$2705,B723)</f>
        <v>13.77995055835</v>
      </c>
      <c r="P723" s="21" t="n">
        <f aca="false">N723-O723</f>
        <v>0.60359112773704</v>
      </c>
      <c r="Q723" s="7" t="n">
        <v>0</v>
      </c>
      <c r="R723" s="3" t="n">
        <f aca="false">IF(AND(Q723=1,B723-_xlfn.MINIFS($B$2:$B$2705,$A$2:$A$2705,A723)&lt;10),1,0)</f>
        <v>0</v>
      </c>
      <c r="S723" s="7" t="n">
        <v>0</v>
      </c>
      <c r="T723" s="3" t="n">
        <f aca="false">_xlfn.MINIFS($B$2:$B$2705,$A$2:$A$2705,A723)</f>
        <v>1901</v>
      </c>
      <c r="U723" s="3" t="n">
        <f aca="false">B723-T723</f>
        <v>45</v>
      </c>
      <c r="V723" s="3" t="str">
        <f aca="false">INDEX(Pop_Inputs!$Q$2:$Q$29,MATCH(C723,Pop_Inputs!$A$2:$A$29,0))</f>
        <v>Midwest</v>
      </c>
      <c r="W723" s="30"/>
      <c r="X723" s="3" t="str">
        <f aca="false">IF(W723="","",LN(W723))</f>
        <v/>
      </c>
      <c r="Y723" s="3" t="str">
        <f aca="false">IF(X723="","",X723-AVERAGEIFS($X$2:$X$2705,$B$2:$B$2705,B723))</f>
        <v/>
      </c>
      <c r="Z723" s="21" t="n">
        <f aca="false">P723</f>
        <v>0.60359112773704</v>
      </c>
      <c r="AA723" s="3" t="n">
        <f aca="false">R723</f>
        <v>0</v>
      </c>
      <c r="AB723" s="21" t="n">
        <f aca="false">P723</f>
        <v>0.60359112773704</v>
      </c>
      <c r="AC723" s="3" t="str">
        <f aca="false">Y723</f>
        <v/>
      </c>
      <c r="AD723" s="3" t="n">
        <f aca="false">R723</f>
        <v>0</v>
      </c>
    </row>
    <row r="724" customFormat="false" ht="15" hidden="false" customHeight="true" outlineLevel="0" collapsed="false">
      <c r="A724" s="7" t="s">
        <v>65</v>
      </c>
      <c r="B724" s="7" t="n">
        <v>1946</v>
      </c>
      <c r="C724" s="7" t="s">
        <v>142</v>
      </c>
      <c r="D724" s="7" t="n">
        <v>74</v>
      </c>
      <c r="E724" s="7" t="n">
        <v>80</v>
      </c>
      <c r="F724" s="3" t="n">
        <f aca="false">COUNTIFS($B$2:$B$2705,B724,$C$2:$C$2705,C724)</f>
        <v>2</v>
      </c>
      <c r="G724" s="3" t="n">
        <f aca="false">MIN(INT((MIN(B724,2020)-1900)/10)+1,12)</f>
        <v>5</v>
      </c>
      <c r="H724" s="3" t="n">
        <f aca="false">(MIN(B724,2020)-1900-10*(G724-1))/10</f>
        <v>0.6</v>
      </c>
      <c r="I724" s="20" t="n">
        <f aca="false">EXP(LN(INDEX(Pop_Inputs!$B$2:$N$29,MATCH(C724,Pop_Inputs!$A$2:$A$29,0),G724))*(1-H724)+LN(INDEX(Pop_Inputs!$B$2:$N$29,MATCH(C724,Pop_Inputs!$A$2:$A$29,0),G724+1))*H724)</f>
        <v>3529577.97044314</v>
      </c>
      <c r="J724" s="20" t="n">
        <f aca="false">I724/F724</f>
        <v>1764788.98522157</v>
      </c>
      <c r="K724" s="21" t="n">
        <f aca="false">D724/(D724+E724)</f>
        <v>0.480519480519481</v>
      </c>
      <c r="L724" s="21" t="n">
        <f aca="false">AVERAGEIFS($K$2:$K$2705,$B$2:$B$2705,B724)</f>
        <v>0.499828806814101</v>
      </c>
      <c r="M724" s="21" t="n">
        <f aca="false">K724-L724</f>
        <v>-0.0193093262946204</v>
      </c>
      <c r="N724" s="21" t="n">
        <f aca="false">LN(J724)</f>
        <v>14.383541686087</v>
      </c>
      <c r="O724" s="21" t="n">
        <f aca="false">AVERAGEIFS($N$2:$N$2705,$B$2:$B$2705,B724)</f>
        <v>13.77995055835</v>
      </c>
      <c r="P724" s="21" t="n">
        <f aca="false">N724-O724</f>
        <v>0.60359112773704</v>
      </c>
      <c r="Q724" s="7" t="n">
        <v>0</v>
      </c>
      <c r="R724" s="3" t="n">
        <f aca="false">IF(AND(Q724=1,B724-_xlfn.MINIFS($B$2:$B$2705,$A$2:$A$2705,A724)&lt;10),1,0)</f>
        <v>0</v>
      </c>
      <c r="S724" s="7" t="n">
        <v>0</v>
      </c>
      <c r="T724" s="3" t="n">
        <f aca="false">_xlfn.MINIFS($B$2:$B$2705,$A$2:$A$2705,A724)</f>
        <v>1901</v>
      </c>
      <c r="U724" s="3" t="n">
        <f aca="false">B724-T724</f>
        <v>45</v>
      </c>
      <c r="V724" s="3" t="str">
        <f aca="false">INDEX(Pop_Inputs!$Q$2:$Q$29,MATCH(C724,Pop_Inputs!$A$2:$A$29,0))</f>
        <v>Midwest</v>
      </c>
      <c r="W724" s="30"/>
      <c r="X724" s="3" t="str">
        <f aca="false">IF(W724="","",LN(W724))</f>
        <v/>
      </c>
      <c r="Y724" s="3" t="str">
        <f aca="false">IF(X724="","",X724-AVERAGEIFS($X$2:$X$2705,$B$2:$B$2705,B724))</f>
        <v/>
      </c>
      <c r="Z724" s="21" t="n">
        <f aca="false">P724</f>
        <v>0.60359112773704</v>
      </c>
      <c r="AA724" s="3" t="n">
        <f aca="false">R724</f>
        <v>0</v>
      </c>
      <c r="AB724" s="21" t="n">
        <f aca="false">P724</f>
        <v>0.60359112773704</v>
      </c>
      <c r="AC724" s="3" t="str">
        <f aca="false">Y724</f>
        <v/>
      </c>
      <c r="AD724" s="3" t="n">
        <f aca="false">R724</f>
        <v>0</v>
      </c>
    </row>
    <row r="725" customFormat="false" ht="15" hidden="false" customHeight="true" outlineLevel="0" collapsed="false">
      <c r="A725" s="7" t="s">
        <v>57</v>
      </c>
      <c r="B725" s="7" t="n">
        <v>1946</v>
      </c>
      <c r="C725" s="7" t="s">
        <v>143</v>
      </c>
      <c r="D725" s="7" t="n">
        <v>67</v>
      </c>
      <c r="E725" s="7" t="n">
        <v>87</v>
      </c>
      <c r="F725" s="3" t="n">
        <f aca="false">COUNTIFS($B$2:$B$2705,B725,$C$2:$C$2705,C725)</f>
        <v>1</v>
      </c>
      <c r="G725" s="3" t="n">
        <f aca="false">MIN(INT((MIN(B725,2020)-1900)/10)+1,12)</f>
        <v>5</v>
      </c>
      <c r="H725" s="3" t="n">
        <f aca="false">(MIN(B725,2020)-1900-10*(G725-1))/10</f>
        <v>0.6</v>
      </c>
      <c r="I725" s="20" t="n">
        <f aca="false">EXP(LN(INDEX(Pop_Inputs!$B$2:$N$29,MATCH(C725,Pop_Inputs!$A$2:$A$29,0),G725))*(1-H725)+LN(INDEX(Pop_Inputs!$B$2:$N$29,MATCH(C725,Pop_Inputs!$A$2:$A$29,0),G725+1))*H725)</f>
        <v>484054.862250401</v>
      </c>
      <c r="J725" s="20" t="n">
        <f aca="false">I725/F725</f>
        <v>484054.862250401</v>
      </c>
      <c r="K725" s="21" t="n">
        <f aca="false">D725/(D725+E725)</f>
        <v>0.435064935064935</v>
      </c>
      <c r="L725" s="21" t="n">
        <f aca="false">AVERAGEIFS($K$2:$K$2705,$B$2:$B$2705,B725)</f>
        <v>0.499828806814101</v>
      </c>
      <c r="M725" s="21" t="n">
        <f aca="false">K725-L725</f>
        <v>-0.0647638717491659</v>
      </c>
      <c r="N725" s="21" t="n">
        <f aca="false">LN(J725)</f>
        <v>13.089953531032</v>
      </c>
      <c r="O725" s="21" t="n">
        <f aca="false">AVERAGEIFS($N$2:$N$2705,$B$2:$B$2705,B725)</f>
        <v>13.77995055835</v>
      </c>
      <c r="P725" s="21" t="n">
        <f aca="false">N725-O725</f>
        <v>-0.689997027317984</v>
      </c>
      <c r="Q725" s="7" t="n">
        <v>0</v>
      </c>
      <c r="R725" s="3" t="n">
        <f aca="false">IF(AND(Q725=1,B725-_xlfn.MINIFS($B$2:$B$2705,$A$2:$A$2705,A725)&lt;10),1,0)</f>
        <v>0</v>
      </c>
      <c r="S725" s="7" t="n">
        <v>0</v>
      </c>
      <c r="T725" s="3" t="n">
        <f aca="false">_xlfn.MINIFS($B$2:$B$2705,$A$2:$A$2705,A725)</f>
        <v>1901</v>
      </c>
      <c r="U725" s="3" t="n">
        <f aca="false">B725-T725</f>
        <v>45</v>
      </c>
      <c r="V725" s="3" t="str">
        <f aca="false">INDEX(Pop_Inputs!$Q$2:$Q$29,MATCH(C725,Pop_Inputs!$A$2:$A$29,0))</f>
        <v>Midwest</v>
      </c>
      <c r="W725" s="30"/>
      <c r="X725" s="3" t="str">
        <f aca="false">IF(W725="","",LN(W725))</f>
        <v/>
      </c>
      <c r="Y725" s="3" t="str">
        <f aca="false">IF(X725="","",X725-AVERAGEIFS($X$2:$X$2705,$B$2:$B$2705,B725))</f>
        <v/>
      </c>
      <c r="Z725" s="21" t="n">
        <f aca="false">P725</f>
        <v>-0.689997027317984</v>
      </c>
      <c r="AA725" s="3" t="n">
        <f aca="false">R725</f>
        <v>0</v>
      </c>
      <c r="AB725" s="21" t="n">
        <f aca="false">P725</f>
        <v>-0.689997027317984</v>
      </c>
      <c r="AC725" s="3" t="str">
        <f aca="false">Y725</f>
        <v/>
      </c>
      <c r="AD725" s="3" t="n">
        <f aca="false">R725</f>
        <v>0</v>
      </c>
    </row>
    <row r="726" customFormat="false" ht="15" hidden="false" customHeight="true" outlineLevel="0" collapsed="false">
      <c r="A726" s="7" t="s">
        <v>66</v>
      </c>
      <c r="B726" s="7" t="n">
        <v>1946</v>
      </c>
      <c r="C726" s="7" t="s">
        <v>151</v>
      </c>
      <c r="D726" s="7" t="n">
        <v>68</v>
      </c>
      <c r="E726" s="7" t="n">
        <v>86</v>
      </c>
      <c r="F726" s="3" t="n">
        <f aca="false">COUNTIFS($B$2:$B$2705,B726,$C$2:$C$2705,C726)</f>
        <v>1</v>
      </c>
      <c r="G726" s="3" t="n">
        <f aca="false">MIN(INT((MIN(B726,2020)-1900)/10)+1,12)</f>
        <v>5</v>
      </c>
      <c r="H726" s="3" t="n">
        <f aca="false">(MIN(B726,2020)-1900-10*(G726-1))/10</f>
        <v>0.6</v>
      </c>
      <c r="I726" s="20" t="n">
        <f aca="false">EXP(LN(INDEX(Pop_Inputs!$B$2:$N$29,MATCH(C726,Pop_Inputs!$A$2:$A$29,0),G726))*(1-H726)+LN(INDEX(Pop_Inputs!$B$2:$N$29,MATCH(C726,Pop_Inputs!$A$2:$A$29,0),G726+1))*H726)</f>
        <v>900040.900828874</v>
      </c>
      <c r="J726" s="20" t="n">
        <f aca="false">I726/F726</f>
        <v>900040.900828874</v>
      </c>
      <c r="K726" s="21" t="n">
        <f aca="false">D726/(D726+E726)</f>
        <v>0.441558441558442</v>
      </c>
      <c r="L726" s="21" t="n">
        <f aca="false">AVERAGEIFS($K$2:$K$2705,$B$2:$B$2705,B726)</f>
        <v>0.499828806814101</v>
      </c>
      <c r="M726" s="21" t="n">
        <f aca="false">K726-L726</f>
        <v>-0.0582703652556594</v>
      </c>
      <c r="N726" s="21" t="n">
        <f aca="false">LN(J726)</f>
        <v>13.7101954866393</v>
      </c>
      <c r="O726" s="21" t="n">
        <f aca="false">AVERAGEIFS($N$2:$N$2705,$B$2:$B$2705,B726)</f>
        <v>13.77995055835</v>
      </c>
      <c r="P726" s="21" t="n">
        <f aca="false">N726-O726</f>
        <v>-0.0697550717107003</v>
      </c>
      <c r="Q726" s="7" t="n">
        <v>0</v>
      </c>
      <c r="R726" s="3" t="n">
        <f aca="false">IF(AND(Q726=1,B726-_xlfn.MINIFS($B$2:$B$2705,$A$2:$A$2705,A726)&lt;10),1,0)</f>
        <v>0</v>
      </c>
      <c r="S726" s="7" t="n">
        <v>0</v>
      </c>
      <c r="T726" s="3" t="n">
        <f aca="false">_xlfn.MINIFS($B$2:$B$2705,$A$2:$A$2705,A726)</f>
        <v>1901</v>
      </c>
      <c r="U726" s="3" t="n">
        <f aca="false">B726-T726</f>
        <v>45</v>
      </c>
      <c r="V726" s="3" t="str">
        <f aca="false">INDEX(Pop_Inputs!$Q$2:$Q$29,MATCH(C726,Pop_Inputs!$A$2:$A$29,0))</f>
        <v>Midwest</v>
      </c>
      <c r="W726" s="30"/>
      <c r="X726" s="3" t="str">
        <f aca="false">IF(W726="","",LN(W726))</f>
        <v/>
      </c>
      <c r="Y726" s="3" t="str">
        <f aca="false">IF(X726="","",X726-AVERAGEIFS($X$2:$X$2705,$B$2:$B$2705,B726))</f>
        <v/>
      </c>
      <c r="Z726" s="21" t="n">
        <f aca="false">P726</f>
        <v>-0.0697550717107003</v>
      </c>
      <c r="AA726" s="3" t="n">
        <f aca="false">R726</f>
        <v>0</v>
      </c>
      <c r="AB726" s="21" t="n">
        <f aca="false">P726</f>
        <v>-0.0697550717107003</v>
      </c>
      <c r="AC726" s="3" t="str">
        <f aca="false">Y726</f>
        <v/>
      </c>
      <c r="AD726" s="3" t="n">
        <f aca="false">R726</f>
        <v>0</v>
      </c>
    </row>
    <row r="727" customFormat="false" ht="15" hidden="false" customHeight="true" outlineLevel="0" collapsed="false">
      <c r="A727" s="7" t="s">
        <v>67</v>
      </c>
      <c r="B727" s="7" t="n">
        <v>1946</v>
      </c>
      <c r="C727" s="7" t="s">
        <v>152</v>
      </c>
      <c r="D727" s="7" t="n">
        <v>92</v>
      </c>
      <c r="E727" s="7" t="n">
        <v>62</v>
      </c>
      <c r="F727" s="3" t="n">
        <f aca="false">COUNTIFS($B$2:$B$2705,B727,$C$2:$C$2705,C727)</f>
        <v>1</v>
      </c>
      <c r="G727" s="3" t="n">
        <f aca="false">MIN(INT((MIN(B727,2020)-1900)/10)+1,12)</f>
        <v>5</v>
      </c>
      <c r="H727" s="3" t="n">
        <f aca="false">(MIN(B727,2020)-1900-10*(G727-1))/10</f>
        <v>0.6</v>
      </c>
      <c r="I727" s="20" t="n">
        <f aca="false">EXP(LN(INDEX(Pop_Inputs!$B$2:$N$29,MATCH(C727,Pop_Inputs!$A$2:$A$29,0),G727))*(1-H727)+LN(INDEX(Pop_Inputs!$B$2:$N$29,MATCH(C727,Pop_Inputs!$A$2:$A$29,0),G727+1))*H727)</f>
        <v>1755569.23987739</v>
      </c>
      <c r="J727" s="20" t="n">
        <f aca="false">I727/F727</f>
        <v>1755569.23987739</v>
      </c>
      <c r="K727" s="21" t="n">
        <f aca="false">D727/(D727+E727)</f>
        <v>0.597402597402597</v>
      </c>
      <c r="L727" s="21" t="n">
        <f aca="false">AVERAGEIFS($K$2:$K$2705,$B$2:$B$2705,B727)</f>
        <v>0.499828806814101</v>
      </c>
      <c r="M727" s="21" t="n">
        <f aca="false">K727-L727</f>
        <v>0.0975737905884965</v>
      </c>
      <c r="N727" s="21" t="n">
        <f aca="false">LN(J727)</f>
        <v>14.3783037154975</v>
      </c>
      <c r="O727" s="21" t="n">
        <f aca="false">AVERAGEIFS($N$2:$N$2705,$B$2:$B$2705,B727)</f>
        <v>13.77995055835</v>
      </c>
      <c r="P727" s="21" t="n">
        <f aca="false">N727-O727</f>
        <v>0.598353157147511</v>
      </c>
      <c r="Q727" s="7" t="n">
        <v>0</v>
      </c>
      <c r="R727" s="3" t="n">
        <f aca="false">IF(AND(Q727=1,B727-_xlfn.MINIFS($B$2:$B$2705,$A$2:$A$2705,A727)&lt;10),1,0)</f>
        <v>0</v>
      </c>
      <c r="S727" s="7" t="n">
        <v>0</v>
      </c>
      <c r="T727" s="3" t="n">
        <f aca="false">_xlfn.MINIFS($B$2:$B$2705,$A$2:$A$2705,A727)</f>
        <v>1901</v>
      </c>
      <c r="U727" s="3" t="n">
        <f aca="false">B727-T727</f>
        <v>45</v>
      </c>
      <c r="V727" s="3" t="str">
        <f aca="false">INDEX(Pop_Inputs!$Q$2:$Q$29,MATCH(C727,Pop_Inputs!$A$2:$A$29,0))</f>
        <v>Midwest</v>
      </c>
      <c r="W727" s="30"/>
      <c r="X727" s="3" t="str">
        <f aca="false">IF(W727="","",LN(W727))</f>
        <v/>
      </c>
      <c r="Y727" s="3" t="str">
        <f aca="false">IF(X727="","",X727-AVERAGEIFS($X$2:$X$2705,$B$2:$B$2705,B727))</f>
        <v/>
      </c>
      <c r="Z727" s="21" t="n">
        <f aca="false">P727</f>
        <v>0.598353157147511</v>
      </c>
      <c r="AA727" s="3" t="n">
        <f aca="false">R727</f>
        <v>0</v>
      </c>
      <c r="AB727" s="21" t="n">
        <f aca="false">P727</f>
        <v>0.598353157147511</v>
      </c>
      <c r="AC727" s="3" t="str">
        <f aca="false">Y727</f>
        <v/>
      </c>
      <c r="AD727" s="3" t="n">
        <f aca="false">R727</f>
        <v>0</v>
      </c>
    </row>
    <row r="728" customFormat="false" ht="15" hidden="false" customHeight="true" outlineLevel="0" collapsed="false">
      <c r="A728" s="7" t="s">
        <v>62</v>
      </c>
      <c r="B728" s="7" t="n">
        <v>1946</v>
      </c>
      <c r="C728" s="7" t="s">
        <v>154</v>
      </c>
      <c r="D728" s="7" t="n">
        <v>96</v>
      </c>
      <c r="E728" s="7" t="n">
        <v>60</v>
      </c>
      <c r="F728" s="3" t="n">
        <f aca="false">COUNTIFS($B$2:$B$2705,B728,$C$2:$C$2705,C728)</f>
        <v>3</v>
      </c>
      <c r="G728" s="3" t="n">
        <f aca="false">MIN(INT((MIN(B728,2020)-1900)/10)+1,12)</f>
        <v>5</v>
      </c>
      <c r="H728" s="3" t="n">
        <f aca="false">(MIN(B728,2020)-1900-10*(G728-1))/10</f>
        <v>0.6</v>
      </c>
      <c r="I728" s="20" t="n">
        <f aca="false">EXP(LN(INDEX(Pop_Inputs!$B$2:$N$29,MATCH(C728,Pop_Inputs!$A$2:$A$29,0),G728))*(1-H728)+LN(INDEX(Pop_Inputs!$B$2:$N$29,MATCH(C728,Pop_Inputs!$A$2:$A$29,0),G728+1))*H728)</f>
        <v>7714180.00812243</v>
      </c>
      <c r="J728" s="20" t="n">
        <f aca="false">I728/F728</f>
        <v>2571393.33604081</v>
      </c>
      <c r="K728" s="21" t="n">
        <f aca="false">D728/(D728+E728)</f>
        <v>0.615384615384615</v>
      </c>
      <c r="L728" s="21" t="n">
        <f aca="false">AVERAGEIFS($K$2:$K$2705,$B$2:$B$2705,B728)</f>
        <v>0.499828806814101</v>
      </c>
      <c r="M728" s="21" t="n">
        <f aca="false">K728-L728</f>
        <v>0.115555808570515</v>
      </c>
      <c r="N728" s="21" t="n">
        <f aca="false">LN(J728)</f>
        <v>14.7599584640604</v>
      </c>
      <c r="O728" s="21" t="n">
        <f aca="false">AVERAGEIFS($N$2:$N$2705,$B$2:$B$2705,B728)</f>
        <v>13.77995055835</v>
      </c>
      <c r="P728" s="21" t="n">
        <f aca="false">N728-O728</f>
        <v>0.980007905710494</v>
      </c>
      <c r="Q728" s="7" t="n">
        <v>0</v>
      </c>
      <c r="R728" s="3" t="n">
        <f aca="false">IF(AND(Q728=1,B728-_xlfn.MINIFS($B$2:$B$2705,$A$2:$A$2705,A728)&lt;10),1,0)</f>
        <v>0</v>
      </c>
      <c r="S728" s="7" t="n">
        <v>0</v>
      </c>
      <c r="T728" s="3" t="n">
        <f aca="false">_xlfn.MINIFS($B$2:$B$2705,$A$2:$A$2705,A728)</f>
        <v>1901</v>
      </c>
      <c r="U728" s="3" t="n">
        <f aca="false">B728-T728</f>
        <v>45</v>
      </c>
      <c r="V728" s="3" t="str">
        <f aca="false">INDEX(Pop_Inputs!$Q$2:$Q$29,MATCH(C728,Pop_Inputs!$A$2:$A$29,0))</f>
        <v>Northeast</v>
      </c>
      <c r="W728" s="30"/>
      <c r="X728" s="3" t="str">
        <f aca="false">IF(W728="","",LN(W728))</f>
        <v/>
      </c>
      <c r="Y728" s="3" t="str">
        <f aca="false">IF(X728="","",X728-AVERAGEIFS($X$2:$X$2705,$B$2:$B$2705,B728))</f>
        <v/>
      </c>
      <c r="Z728" s="21" t="n">
        <f aca="false">P728</f>
        <v>0.980007905710494</v>
      </c>
      <c r="AA728" s="3" t="n">
        <f aca="false">R728</f>
        <v>0</v>
      </c>
      <c r="AB728" s="21" t="n">
        <f aca="false">P728</f>
        <v>0.980007905710494</v>
      </c>
      <c r="AC728" s="3" t="str">
        <f aca="false">Y728</f>
        <v/>
      </c>
      <c r="AD728" s="3" t="n">
        <f aca="false">R728</f>
        <v>0</v>
      </c>
    </row>
    <row r="729" customFormat="false" ht="15" hidden="false" customHeight="true" outlineLevel="0" collapsed="false">
      <c r="A729" s="7" t="s">
        <v>68</v>
      </c>
      <c r="B729" s="7" t="n">
        <v>1946</v>
      </c>
      <c r="C729" s="7" t="s">
        <v>160</v>
      </c>
      <c r="D729" s="7" t="n">
        <v>76</v>
      </c>
      <c r="E729" s="7" t="n">
        <v>78</v>
      </c>
      <c r="F729" s="3" t="n">
        <f aca="false">COUNTIFS($B$2:$B$2705,B729,$C$2:$C$2705,C729)</f>
        <v>1</v>
      </c>
      <c r="G729" s="3" t="n">
        <f aca="false">MIN(INT((MIN(B729,2020)-1900)/10)+1,12)</f>
        <v>5</v>
      </c>
      <c r="H729" s="3" t="n">
        <f aca="false">(MIN(B729,2020)-1900-10*(G729-1))/10</f>
        <v>0.6</v>
      </c>
      <c r="I729" s="20" t="n">
        <f aca="false">EXP(LN(INDEX(Pop_Inputs!$B$2:$N$29,MATCH(C729,Pop_Inputs!$A$2:$A$29,0),G729))*(1-H729)+LN(INDEX(Pop_Inputs!$B$2:$N$29,MATCH(C729,Pop_Inputs!$A$2:$A$29,0),G729+1))*H729)</f>
        <v>743347.185856787</v>
      </c>
      <c r="J729" s="20" t="n">
        <f aca="false">I729/F729</f>
        <v>743347.185856787</v>
      </c>
      <c r="K729" s="21" t="n">
        <f aca="false">D729/(D729+E729)</f>
        <v>0.493506493506494</v>
      </c>
      <c r="L729" s="21" t="n">
        <f aca="false">AVERAGEIFS($K$2:$K$2705,$B$2:$B$2705,B729)</f>
        <v>0.499828806814101</v>
      </c>
      <c r="M729" s="21" t="n">
        <f aca="false">K729-L729</f>
        <v>-0.00632231330760741</v>
      </c>
      <c r="N729" s="21" t="n">
        <f aca="false">LN(J729)</f>
        <v>13.5189184902763</v>
      </c>
      <c r="O729" s="21" t="n">
        <f aca="false">AVERAGEIFS($N$2:$N$2705,$B$2:$B$2705,B729)</f>
        <v>13.77995055835</v>
      </c>
      <c r="P729" s="21" t="n">
        <f aca="false">N729-O729</f>
        <v>-0.261032068073629</v>
      </c>
      <c r="Q729" s="7" t="n">
        <v>0</v>
      </c>
      <c r="R729" s="3" t="n">
        <f aca="false">IF(AND(Q729=1,B729-_xlfn.MINIFS($B$2:$B$2705,$A$2:$A$2705,A729)&lt;10),1,0)</f>
        <v>0</v>
      </c>
      <c r="S729" s="7" t="n">
        <v>0</v>
      </c>
      <c r="T729" s="3" t="n">
        <f aca="false">_xlfn.MINIFS($B$2:$B$2705,$A$2:$A$2705,A729)</f>
        <v>1901</v>
      </c>
      <c r="U729" s="3" t="n">
        <f aca="false">B729-T729</f>
        <v>45</v>
      </c>
      <c r="V729" s="3" t="str">
        <f aca="false">INDEX(Pop_Inputs!$Q$2:$Q$29,MATCH(C729,Pop_Inputs!$A$2:$A$29,0))</f>
        <v>South</v>
      </c>
      <c r="W729" s="30"/>
      <c r="X729" s="3" t="str">
        <f aca="false">IF(W729="","",LN(W729))</f>
        <v/>
      </c>
      <c r="Y729" s="3" t="str">
        <f aca="false">IF(X729="","",X729-AVERAGEIFS($X$2:$X$2705,$B$2:$B$2705,B729))</f>
        <v/>
      </c>
      <c r="Z729" s="21" t="n">
        <f aca="false">P729</f>
        <v>-0.261032068073629</v>
      </c>
      <c r="AA729" s="3" t="n">
        <f aca="false">R729</f>
        <v>0</v>
      </c>
      <c r="AB729" s="21" t="n">
        <f aca="false">P729</f>
        <v>-0.261032068073629</v>
      </c>
      <c r="AC729" s="3" t="str">
        <f aca="false">Y729</f>
        <v/>
      </c>
      <c r="AD729" s="3" t="n">
        <f aca="false">R729</f>
        <v>0</v>
      </c>
    </row>
    <row r="730" customFormat="false" ht="15" hidden="false" customHeight="true" outlineLevel="0" collapsed="false">
      <c r="A730" s="7" t="s">
        <v>70</v>
      </c>
      <c r="B730" s="7" t="n">
        <v>1946</v>
      </c>
      <c r="C730" s="7" t="s">
        <v>154</v>
      </c>
      <c r="D730" s="7" t="n">
        <v>87</v>
      </c>
      <c r="E730" s="7" t="n">
        <v>67</v>
      </c>
      <c r="F730" s="3" t="n">
        <f aca="false">COUNTIFS($B$2:$B$2705,B730,$C$2:$C$2705,C730)</f>
        <v>3</v>
      </c>
      <c r="G730" s="3" t="n">
        <f aca="false">MIN(INT((MIN(B730,2020)-1900)/10)+1,12)</f>
        <v>5</v>
      </c>
      <c r="H730" s="3" t="n">
        <f aca="false">(MIN(B730,2020)-1900-10*(G730-1))/10</f>
        <v>0.6</v>
      </c>
      <c r="I730" s="20" t="n">
        <f aca="false">EXP(LN(INDEX(Pop_Inputs!$B$2:$N$29,MATCH(C730,Pop_Inputs!$A$2:$A$29,0),G730))*(1-H730)+LN(INDEX(Pop_Inputs!$B$2:$N$29,MATCH(C730,Pop_Inputs!$A$2:$A$29,0),G730+1))*H730)</f>
        <v>7714180.00812243</v>
      </c>
      <c r="J730" s="20" t="n">
        <f aca="false">I730/F730</f>
        <v>2571393.33604081</v>
      </c>
      <c r="K730" s="21" t="n">
        <f aca="false">D730/(D730+E730)</f>
        <v>0.564935064935065</v>
      </c>
      <c r="L730" s="21" t="n">
        <f aca="false">AVERAGEIFS($K$2:$K$2705,$B$2:$B$2705,B730)</f>
        <v>0.499828806814101</v>
      </c>
      <c r="M730" s="21" t="n">
        <f aca="false">K730-L730</f>
        <v>0.065106258120964</v>
      </c>
      <c r="N730" s="21" t="n">
        <f aca="false">LN(J730)</f>
        <v>14.7599584640604</v>
      </c>
      <c r="O730" s="21" t="n">
        <f aca="false">AVERAGEIFS($N$2:$N$2705,$B$2:$B$2705,B730)</f>
        <v>13.77995055835</v>
      </c>
      <c r="P730" s="21" t="n">
        <f aca="false">N730-O730</f>
        <v>0.980007905710494</v>
      </c>
      <c r="Q730" s="7" t="n">
        <v>0</v>
      </c>
      <c r="R730" s="3" t="n">
        <f aca="false">IF(AND(Q730=1,B730-_xlfn.MINIFS($B$2:$B$2705,$A$2:$A$2705,A730)&lt;10),1,0)</f>
        <v>0</v>
      </c>
      <c r="S730" s="7" t="n">
        <v>1</v>
      </c>
      <c r="T730" s="3" t="n">
        <f aca="false">_xlfn.MINIFS($B$2:$B$2705,$A$2:$A$2705,A730)</f>
        <v>1903</v>
      </c>
      <c r="U730" s="3" t="n">
        <f aca="false">B730-T730</f>
        <v>43</v>
      </c>
      <c r="V730" s="3" t="str">
        <f aca="false">INDEX(Pop_Inputs!$Q$2:$Q$29,MATCH(C730,Pop_Inputs!$A$2:$A$29,0))</f>
        <v>Northeast</v>
      </c>
      <c r="W730" s="30"/>
      <c r="X730" s="3" t="str">
        <f aca="false">IF(W730="","",LN(W730))</f>
        <v/>
      </c>
      <c r="Y730" s="3" t="str">
        <f aca="false">IF(X730="","",X730-AVERAGEIFS($X$2:$X$2705,$B$2:$B$2705,B730))</f>
        <v/>
      </c>
      <c r="Z730" s="21" t="n">
        <f aca="false">P730</f>
        <v>0.980007905710494</v>
      </c>
      <c r="AA730" s="3" t="n">
        <f aca="false">R730</f>
        <v>0</v>
      </c>
      <c r="AB730" s="21" t="n">
        <f aca="false">P730</f>
        <v>0.980007905710494</v>
      </c>
      <c r="AC730" s="3" t="str">
        <f aca="false">Y730</f>
        <v/>
      </c>
      <c r="AD730" s="3" t="n">
        <f aca="false">R730</f>
        <v>0</v>
      </c>
    </row>
    <row r="731" customFormat="false" ht="15" hidden="false" customHeight="true" outlineLevel="0" collapsed="false">
      <c r="A731" s="7" t="s">
        <v>69</v>
      </c>
      <c r="B731" s="7" t="n">
        <v>1946</v>
      </c>
      <c r="C731" s="7" t="s">
        <v>146</v>
      </c>
      <c r="D731" s="7" t="n">
        <v>49</v>
      </c>
      <c r="E731" s="7" t="n">
        <v>105</v>
      </c>
      <c r="F731" s="3" t="n">
        <f aca="false">COUNTIFS($B$2:$B$2705,B731,$C$2:$C$2705,C731)</f>
        <v>2</v>
      </c>
      <c r="G731" s="3" t="n">
        <f aca="false">MIN(INT((MIN(B731,2020)-1900)/10)+1,12)</f>
        <v>5</v>
      </c>
      <c r="H731" s="3" t="n">
        <f aca="false">(MIN(B731,2020)-1900-10*(G731-1))/10</f>
        <v>0.6</v>
      </c>
      <c r="I731" s="20" t="n">
        <f aca="false">EXP(LN(INDEX(Pop_Inputs!$B$2:$N$29,MATCH(C731,Pop_Inputs!$A$2:$A$29,0),G731))*(1-H731)+LN(INDEX(Pop_Inputs!$B$2:$N$29,MATCH(C731,Pop_Inputs!$A$2:$A$29,0),G731+1))*H731)</f>
        <v>2014313.784583</v>
      </c>
      <c r="J731" s="20" t="n">
        <f aca="false">I731/F731</f>
        <v>1007156.8922915</v>
      </c>
      <c r="K731" s="21" t="n">
        <f aca="false">D731/(D731+E731)</f>
        <v>0.318181818181818</v>
      </c>
      <c r="L731" s="21" t="n">
        <f aca="false">AVERAGEIFS($K$2:$K$2705,$B$2:$B$2705,B731)</f>
        <v>0.499828806814101</v>
      </c>
      <c r="M731" s="21" t="n">
        <f aca="false">K731-L731</f>
        <v>-0.181646988632283</v>
      </c>
      <c r="N731" s="21" t="n">
        <f aca="false">LN(J731)</f>
        <v>13.8226419612446</v>
      </c>
      <c r="O731" s="21" t="n">
        <f aca="false">AVERAGEIFS($N$2:$N$2705,$B$2:$B$2705,B731)</f>
        <v>13.77995055835</v>
      </c>
      <c r="P731" s="21" t="n">
        <f aca="false">N731-O731</f>
        <v>0.0426914028946666</v>
      </c>
      <c r="Q731" s="7" t="n">
        <v>0</v>
      </c>
      <c r="R731" s="3" t="n">
        <f aca="false">IF(AND(Q731=1,B731-_xlfn.MINIFS($B$2:$B$2705,$A$2:$A$2705,A731)&lt;10),1,0)</f>
        <v>0</v>
      </c>
      <c r="S731" s="7" t="n">
        <v>0</v>
      </c>
      <c r="T731" s="3" t="n">
        <f aca="false">_xlfn.MINIFS($B$2:$B$2705,$A$2:$A$2705,A731)</f>
        <v>1901</v>
      </c>
      <c r="U731" s="3" t="n">
        <f aca="false">B731-T731</f>
        <v>45</v>
      </c>
      <c r="V731" s="3" t="str">
        <f aca="false">INDEX(Pop_Inputs!$Q$2:$Q$29,MATCH(C731,Pop_Inputs!$A$2:$A$29,0))</f>
        <v>Northeast</v>
      </c>
      <c r="W731" s="30"/>
      <c r="X731" s="3" t="str">
        <f aca="false">IF(W731="","",LN(W731))</f>
        <v/>
      </c>
      <c r="Y731" s="3" t="str">
        <f aca="false">IF(X731="","",X731-AVERAGEIFS($X$2:$X$2705,$B$2:$B$2705,B731))</f>
        <v/>
      </c>
      <c r="Z731" s="21" t="n">
        <f aca="false">P731</f>
        <v>0.0426914028946666</v>
      </c>
      <c r="AA731" s="3" t="n">
        <f aca="false">R731</f>
        <v>0</v>
      </c>
      <c r="AB731" s="21" t="n">
        <f aca="false">P731</f>
        <v>0.0426914028946666</v>
      </c>
      <c r="AC731" s="3" t="str">
        <f aca="false">Y731</f>
        <v/>
      </c>
      <c r="AD731" s="3" t="n">
        <f aca="false">R731</f>
        <v>0</v>
      </c>
    </row>
    <row r="732" customFormat="false" ht="15" hidden="false" customHeight="true" outlineLevel="0" collapsed="false">
      <c r="A732" s="7" t="s">
        <v>60</v>
      </c>
      <c r="B732" s="7" t="n">
        <v>1946</v>
      </c>
      <c r="C732" s="7" t="s">
        <v>146</v>
      </c>
      <c r="D732" s="7" t="n">
        <v>69</v>
      </c>
      <c r="E732" s="7" t="n">
        <v>85</v>
      </c>
      <c r="F732" s="3" t="n">
        <f aca="false">COUNTIFS($B$2:$B$2705,B732,$C$2:$C$2705,C732)</f>
        <v>2</v>
      </c>
      <c r="G732" s="3" t="n">
        <f aca="false">MIN(INT((MIN(B732,2020)-1900)/10)+1,12)</f>
        <v>5</v>
      </c>
      <c r="H732" s="3" t="n">
        <f aca="false">(MIN(B732,2020)-1900-10*(G732-1))/10</f>
        <v>0.6</v>
      </c>
      <c r="I732" s="20" t="n">
        <f aca="false">EXP(LN(INDEX(Pop_Inputs!$B$2:$N$29,MATCH(C732,Pop_Inputs!$A$2:$A$29,0),G732))*(1-H732)+LN(INDEX(Pop_Inputs!$B$2:$N$29,MATCH(C732,Pop_Inputs!$A$2:$A$29,0),G732+1))*H732)</f>
        <v>2014313.784583</v>
      </c>
      <c r="J732" s="20" t="n">
        <f aca="false">I732/F732</f>
        <v>1007156.8922915</v>
      </c>
      <c r="K732" s="21" t="n">
        <f aca="false">D732/(D732+E732)</f>
        <v>0.448051948051948</v>
      </c>
      <c r="L732" s="21" t="n">
        <f aca="false">AVERAGEIFS($K$2:$K$2705,$B$2:$B$2705,B732)</f>
        <v>0.499828806814101</v>
      </c>
      <c r="M732" s="21" t="n">
        <f aca="false">K732-L732</f>
        <v>-0.0517768587621529</v>
      </c>
      <c r="N732" s="21" t="n">
        <f aca="false">LN(J732)</f>
        <v>13.8226419612446</v>
      </c>
      <c r="O732" s="21" t="n">
        <f aca="false">AVERAGEIFS($N$2:$N$2705,$B$2:$B$2705,B732)</f>
        <v>13.77995055835</v>
      </c>
      <c r="P732" s="21" t="n">
        <f aca="false">N732-O732</f>
        <v>0.0426914028946666</v>
      </c>
      <c r="Q732" s="7" t="n">
        <v>0</v>
      </c>
      <c r="R732" s="3" t="n">
        <f aca="false">IF(AND(Q732=1,B732-_xlfn.MINIFS($B$2:$B$2705,$A$2:$A$2705,A732)&lt;10),1,0)</f>
        <v>0</v>
      </c>
      <c r="S732" s="7" t="n">
        <v>0</v>
      </c>
      <c r="T732" s="3" t="n">
        <f aca="false">_xlfn.MINIFS($B$2:$B$2705,$A$2:$A$2705,A732)</f>
        <v>1901</v>
      </c>
      <c r="U732" s="3" t="n">
        <f aca="false">B732-T732</f>
        <v>45</v>
      </c>
      <c r="V732" s="3" t="str">
        <f aca="false">INDEX(Pop_Inputs!$Q$2:$Q$29,MATCH(C732,Pop_Inputs!$A$2:$A$29,0))</f>
        <v>Northeast</v>
      </c>
      <c r="W732" s="30"/>
      <c r="X732" s="3" t="str">
        <f aca="false">IF(W732="","",LN(W732))</f>
        <v/>
      </c>
      <c r="Y732" s="3" t="str">
        <f aca="false">IF(X732="","",X732-AVERAGEIFS($X$2:$X$2705,$B$2:$B$2705,B732))</f>
        <v/>
      </c>
      <c r="Z732" s="21" t="n">
        <f aca="false">P732</f>
        <v>0.0426914028946666</v>
      </c>
      <c r="AA732" s="3" t="n">
        <f aca="false">R732</f>
        <v>0</v>
      </c>
      <c r="AB732" s="21" t="n">
        <f aca="false">P732</f>
        <v>0.0426914028946666</v>
      </c>
      <c r="AC732" s="3" t="str">
        <f aca="false">Y732</f>
        <v/>
      </c>
      <c r="AD732" s="3" t="n">
        <f aca="false">R732</f>
        <v>0</v>
      </c>
    </row>
    <row r="733" customFormat="false" ht="15" hidden="false" customHeight="true" outlineLevel="0" collapsed="false">
      <c r="A733" s="7" t="s">
        <v>58</v>
      </c>
      <c r="B733" s="7" t="n">
        <v>1946</v>
      </c>
      <c r="C733" s="7" t="s">
        <v>144</v>
      </c>
      <c r="D733" s="7" t="n">
        <v>63</v>
      </c>
      <c r="E733" s="7" t="n">
        <v>91</v>
      </c>
      <c r="F733" s="3" t="n">
        <f aca="false">COUNTIFS($B$2:$B$2705,B733,$C$2:$C$2705,C733)</f>
        <v>1</v>
      </c>
      <c r="G733" s="3" t="n">
        <f aca="false">MIN(INT((MIN(B733,2020)-1900)/10)+1,12)</f>
        <v>5</v>
      </c>
      <c r="H733" s="3" t="n">
        <f aca="false">(MIN(B733,2020)-1900-10*(G733-1))/10</f>
        <v>0.6</v>
      </c>
      <c r="I733" s="20" t="n">
        <f aca="false">EXP(LN(INDEX(Pop_Inputs!$B$2:$N$29,MATCH(C733,Pop_Inputs!$A$2:$A$29,0),G733))*(1-H733)+LN(INDEX(Pop_Inputs!$B$2:$N$29,MATCH(C733,Pop_Inputs!$A$2:$A$29,0),G733+1))*H733)</f>
        <v>674742.483802318</v>
      </c>
      <c r="J733" s="20" t="n">
        <f aca="false">I733/F733</f>
        <v>674742.483802318</v>
      </c>
      <c r="K733" s="21" t="n">
        <f aca="false">D733/(D733+E733)</f>
        <v>0.409090909090909</v>
      </c>
      <c r="L733" s="21" t="n">
        <f aca="false">AVERAGEIFS($K$2:$K$2705,$B$2:$B$2705,B733)</f>
        <v>0.499828806814101</v>
      </c>
      <c r="M733" s="21" t="n">
        <f aca="false">K733-L733</f>
        <v>-0.0907378977231918</v>
      </c>
      <c r="N733" s="21" t="n">
        <f aca="false">LN(J733)</f>
        <v>13.4220863915849</v>
      </c>
      <c r="O733" s="21" t="n">
        <f aca="false">AVERAGEIFS($N$2:$N$2705,$B$2:$B$2705,B733)</f>
        <v>13.77995055835</v>
      </c>
      <c r="P733" s="21" t="n">
        <f aca="false">N733-O733</f>
        <v>-0.357864166765063</v>
      </c>
      <c r="Q733" s="7" t="n">
        <v>0</v>
      </c>
      <c r="R733" s="3" t="n">
        <f aca="false">IF(AND(Q733=1,B733-_xlfn.MINIFS($B$2:$B$2705,$A$2:$A$2705,A733)&lt;10),1,0)</f>
        <v>0</v>
      </c>
      <c r="S733" s="7" t="n">
        <v>0</v>
      </c>
      <c r="T733" s="3" t="n">
        <f aca="false">_xlfn.MINIFS($B$2:$B$2705,$A$2:$A$2705,A733)</f>
        <v>1901</v>
      </c>
      <c r="U733" s="3" t="n">
        <f aca="false">B733-T733</f>
        <v>45</v>
      </c>
      <c r="V733" s="3" t="str">
        <f aca="false">INDEX(Pop_Inputs!$Q$2:$Q$29,MATCH(C733,Pop_Inputs!$A$2:$A$29,0))</f>
        <v>Northeast</v>
      </c>
      <c r="W733" s="30"/>
      <c r="X733" s="3" t="str">
        <f aca="false">IF(W733="","",LN(W733))</f>
        <v/>
      </c>
      <c r="Y733" s="3" t="str">
        <f aca="false">IF(X733="","",X733-AVERAGEIFS($X$2:$X$2705,$B$2:$B$2705,B733))</f>
        <v/>
      </c>
      <c r="Z733" s="21" t="n">
        <f aca="false">P733</f>
        <v>-0.357864166765063</v>
      </c>
      <c r="AA733" s="3" t="n">
        <f aca="false">R733</f>
        <v>0</v>
      </c>
      <c r="AB733" s="21" t="n">
        <f aca="false">P733</f>
        <v>-0.357864166765063</v>
      </c>
      <c r="AC733" s="3" t="str">
        <f aca="false">Y733</f>
        <v/>
      </c>
      <c r="AD733" s="3" t="n">
        <f aca="false">R733</f>
        <v>0</v>
      </c>
    </row>
    <row r="734" customFormat="false" ht="15" hidden="false" customHeight="true" outlineLevel="0" collapsed="false">
      <c r="A734" s="7" t="s">
        <v>61</v>
      </c>
      <c r="B734" s="7" t="n">
        <v>1946</v>
      </c>
      <c r="C734" s="7" t="s">
        <v>154</v>
      </c>
      <c r="D734" s="7" t="n">
        <v>61</v>
      </c>
      <c r="E734" s="7" t="n">
        <v>93</v>
      </c>
      <c r="F734" s="3" t="n">
        <f aca="false">COUNTIFS($B$2:$B$2705,B734,$C$2:$C$2705,C734)</f>
        <v>3</v>
      </c>
      <c r="G734" s="3" t="n">
        <f aca="false">MIN(INT((MIN(B734,2020)-1900)/10)+1,12)</f>
        <v>5</v>
      </c>
      <c r="H734" s="3" t="n">
        <f aca="false">(MIN(B734,2020)-1900-10*(G734-1))/10</f>
        <v>0.6</v>
      </c>
      <c r="I734" s="20" t="n">
        <f aca="false">EXP(LN(INDEX(Pop_Inputs!$B$2:$N$29,MATCH(C734,Pop_Inputs!$A$2:$A$29,0),G734))*(1-H734)+LN(INDEX(Pop_Inputs!$B$2:$N$29,MATCH(C734,Pop_Inputs!$A$2:$A$29,0),G734+1))*H734)</f>
        <v>7714180.00812243</v>
      </c>
      <c r="J734" s="20" t="n">
        <f aca="false">I734/F734</f>
        <v>2571393.33604081</v>
      </c>
      <c r="K734" s="21" t="n">
        <f aca="false">D734/(D734+E734)</f>
        <v>0.396103896103896</v>
      </c>
      <c r="L734" s="21" t="n">
        <f aca="false">AVERAGEIFS($K$2:$K$2705,$B$2:$B$2705,B734)</f>
        <v>0.499828806814101</v>
      </c>
      <c r="M734" s="21" t="n">
        <f aca="false">K734-L734</f>
        <v>-0.103724910710205</v>
      </c>
      <c r="N734" s="21" t="n">
        <f aca="false">LN(J734)</f>
        <v>14.7599584640604</v>
      </c>
      <c r="O734" s="21" t="n">
        <f aca="false">AVERAGEIFS($N$2:$N$2705,$B$2:$B$2705,B734)</f>
        <v>13.77995055835</v>
      </c>
      <c r="P734" s="21" t="n">
        <f aca="false">N734-O734</f>
        <v>0.980007905710494</v>
      </c>
      <c r="Q734" s="7" t="n">
        <v>0</v>
      </c>
      <c r="R734" s="3" t="n">
        <f aca="false">IF(AND(Q734=1,B734-_xlfn.MINIFS($B$2:$B$2705,$A$2:$A$2705,A734)&lt;10),1,0)</f>
        <v>0</v>
      </c>
      <c r="S734" s="7" t="n">
        <v>0</v>
      </c>
      <c r="T734" s="3" t="n">
        <f aca="false">_xlfn.MINIFS($B$2:$B$2705,$A$2:$A$2705,A734)</f>
        <v>1901</v>
      </c>
      <c r="U734" s="3" t="n">
        <f aca="false">B734-T734</f>
        <v>45</v>
      </c>
      <c r="V734" s="3" t="str">
        <f aca="false">INDEX(Pop_Inputs!$Q$2:$Q$29,MATCH(C734,Pop_Inputs!$A$2:$A$29,0))</f>
        <v>Northeast</v>
      </c>
      <c r="W734" s="30"/>
      <c r="X734" s="3" t="str">
        <f aca="false">IF(W734="","",LN(W734))</f>
        <v/>
      </c>
      <c r="Y734" s="3" t="str">
        <f aca="false">IF(X734="","",X734-AVERAGEIFS($X$2:$X$2705,$B$2:$B$2705,B734))</f>
        <v/>
      </c>
      <c r="Z734" s="21" t="n">
        <f aca="false">P734</f>
        <v>0.980007905710494</v>
      </c>
      <c r="AA734" s="3" t="n">
        <f aca="false">R734</f>
        <v>0</v>
      </c>
      <c r="AB734" s="21" t="n">
        <f aca="false">P734</f>
        <v>0.980007905710494</v>
      </c>
      <c r="AC734" s="3" t="str">
        <f aca="false">Y734</f>
        <v/>
      </c>
      <c r="AD734" s="3" t="n">
        <f aca="false">R734</f>
        <v>0</v>
      </c>
    </row>
    <row r="735" customFormat="false" ht="15" hidden="false" customHeight="true" outlineLevel="0" collapsed="false">
      <c r="A735" s="7" t="s">
        <v>59</v>
      </c>
      <c r="B735" s="7" t="n">
        <v>1946</v>
      </c>
      <c r="C735" s="7" t="s">
        <v>145</v>
      </c>
      <c r="D735" s="7" t="n">
        <v>98</v>
      </c>
      <c r="E735" s="7" t="n">
        <v>58</v>
      </c>
      <c r="F735" s="3" t="n">
        <f aca="false">COUNTIFS($B$2:$B$2705,B735,$C$2:$C$2705,C735)</f>
        <v>2</v>
      </c>
      <c r="G735" s="3" t="n">
        <f aca="false">MIN(INT((MIN(B735,2020)-1900)/10)+1,12)</f>
        <v>5</v>
      </c>
      <c r="H735" s="3" t="n">
        <f aca="false">(MIN(B735,2020)-1900-10*(G735-1))/10</f>
        <v>0.6</v>
      </c>
      <c r="I735" s="20" t="n">
        <f aca="false">EXP(LN(INDEX(Pop_Inputs!$B$2:$N$29,MATCH(C735,Pop_Inputs!$A$2:$A$29,0),G735))*(1-H735)+LN(INDEX(Pop_Inputs!$B$2:$N$29,MATCH(C735,Pop_Inputs!$A$2:$A$29,0),G735+1))*H735)</f>
        <v>840258.162609046</v>
      </c>
      <c r="J735" s="20" t="n">
        <f aca="false">I735/F735</f>
        <v>420129.081304523</v>
      </c>
      <c r="K735" s="21" t="n">
        <f aca="false">D735/(D735+E735)</f>
        <v>0.628205128205128</v>
      </c>
      <c r="L735" s="21" t="n">
        <f aca="false">AVERAGEIFS($K$2:$K$2705,$B$2:$B$2705,B735)</f>
        <v>0.499828806814101</v>
      </c>
      <c r="M735" s="21" t="n">
        <f aca="false">K735-L735</f>
        <v>0.128376321391027</v>
      </c>
      <c r="N735" s="21" t="n">
        <f aca="false">LN(J735)</f>
        <v>12.9483172794807</v>
      </c>
      <c r="O735" s="21" t="n">
        <f aca="false">AVERAGEIFS($N$2:$N$2705,$B$2:$B$2705,B735)</f>
        <v>13.77995055835</v>
      </c>
      <c r="P735" s="21" t="n">
        <f aca="false">N735-O735</f>
        <v>-0.831633278869232</v>
      </c>
      <c r="Q735" s="7" t="n">
        <v>0</v>
      </c>
      <c r="R735" s="3" t="n">
        <f aca="false">IF(AND(Q735=1,B735-_xlfn.MINIFS($B$2:$B$2705,$A$2:$A$2705,A735)&lt;10),1,0)</f>
        <v>0</v>
      </c>
      <c r="S735" s="7" t="n">
        <v>0</v>
      </c>
      <c r="T735" s="3" t="n">
        <f aca="false">_xlfn.MINIFS($B$2:$B$2705,$A$2:$A$2705,A735)</f>
        <v>1901</v>
      </c>
      <c r="U735" s="3" t="n">
        <f aca="false">B735-T735</f>
        <v>45</v>
      </c>
      <c r="V735" s="3" t="str">
        <f aca="false">INDEX(Pop_Inputs!$Q$2:$Q$29,MATCH(C735,Pop_Inputs!$A$2:$A$29,0))</f>
        <v>Midwest</v>
      </c>
      <c r="W735" s="30"/>
      <c r="X735" s="3" t="str">
        <f aca="false">IF(W735="","",LN(W735))</f>
        <v/>
      </c>
      <c r="Y735" s="3" t="str">
        <f aca="false">IF(X735="","",X735-AVERAGEIFS($X$2:$X$2705,$B$2:$B$2705,B735))</f>
        <v/>
      </c>
      <c r="Z735" s="21" t="n">
        <f aca="false">P735</f>
        <v>-0.831633278869232</v>
      </c>
      <c r="AA735" s="3" t="n">
        <f aca="false">R735</f>
        <v>0</v>
      </c>
      <c r="AB735" s="21" t="n">
        <f aca="false">P735</f>
        <v>-0.831633278869232</v>
      </c>
      <c r="AC735" s="3" t="str">
        <f aca="false">Y735</f>
        <v/>
      </c>
      <c r="AD735" s="3" t="n">
        <f aca="false">R735</f>
        <v>0</v>
      </c>
    </row>
    <row r="736" customFormat="false" ht="15" hidden="false" customHeight="true" outlineLevel="0" collapsed="false">
      <c r="A736" s="7" t="s">
        <v>54</v>
      </c>
      <c r="B736" s="7" t="n">
        <v>1947</v>
      </c>
      <c r="C736" s="7" t="s">
        <v>150</v>
      </c>
      <c r="D736" s="7" t="n">
        <v>86</v>
      </c>
      <c r="E736" s="7" t="n">
        <v>68</v>
      </c>
      <c r="F736" s="3" t="n">
        <f aca="false">COUNTIFS($B$2:$B$2705,B736,$C$2:$C$2705,C736)</f>
        <v>2</v>
      </c>
      <c r="G736" s="3" t="n">
        <f aca="false">MIN(INT((MIN(B736,2020)-1900)/10)+1,12)</f>
        <v>5</v>
      </c>
      <c r="H736" s="3" t="n">
        <f aca="false">(MIN(B736,2020)-1900-10*(G736-1))/10</f>
        <v>0.7</v>
      </c>
      <c r="I736" s="20" t="n">
        <f aca="false">EXP(LN(INDEX(Pop_Inputs!$B$2:$N$29,MATCH(C736,Pop_Inputs!$A$2:$A$29,0),G736))*(1-H736)+LN(INDEX(Pop_Inputs!$B$2:$N$29,MATCH(C736,Pop_Inputs!$A$2:$A$29,0),G736+1))*H736)</f>
        <v>792129.967414959</v>
      </c>
      <c r="J736" s="20" t="n">
        <f aca="false">I736/F736</f>
        <v>396064.98370748</v>
      </c>
      <c r="K736" s="21" t="n">
        <f aca="false">D736/(D736+E736)</f>
        <v>0.558441558441558</v>
      </c>
      <c r="L736" s="21" t="n">
        <f aca="false">AVERAGEIFS($K$2:$K$2705,$B$2:$B$2705,B736)</f>
        <v>0.5</v>
      </c>
      <c r="M736" s="21" t="n">
        <f aca="false">K736-L736</f>
        <v>0.0584415584415584</v>
      </c>
      <c r="N736" s="21" t="n">
        <f aca="false">LN(J736)</f>
        <v>12.8893335770451</v>
      </c>
      <c r="O736" s="21" t="n">
        <f aca="false">AVERAGEIFS($N$2:$N$2705,$B$2:$B$2705,B736)</f>
        <v>13.7867278457085</v>
      </c>
      <c r="P736" s="21" t="n">
        <f aca="false">N736-O736</f>
        <v>-0.897394268663408</v>
      </c>
      <c r="Q736" s="7" t="n">
        <v>0</v>
      </c>
      <c r="R736" s="3" t="n">
        <f aca="false">IF(AND(Q736=1,B736-_xlfn.MINIFS($B$2:$B$2705,$A$2:$A$2705,A736)&lt;10),1,0)</f>
        <v>0</v>
      </c>
      <c r="S736" s="7" t="n">
        <v>0</v>
      </c>
      <c r="T736" s="3" t="n">
        <f aca="false">_xlfn.MINIFS($B$2:$B$2705,$A$2:$A$2705,A736)</f>
        <v>1901</v>
      </c>
      <c r="U736" s="3" t="n">
        <f aca="false">B736-T736</f>
        <v>46</v>
      </c>
      <c r="V736" s="3" t="str">
        <f aca="false">INDEX(Pop_Inputs!$Q$2:$Q$29,MATCH(C736,Pop_Inputs!$A$2:$A$29,0))</f>
        <v>Northeast</v>
      </c>
      <c r="W736" s="30"/>
      <c r="X736" s="3" t="str">
        <f aca="false">IF(W736="","",LN(W736))</f>
        <v/>
      </c>
      <c r="Y736" s="3" t="str">
        <f aca="false">IF(X736="","",X736-AVERAGEIFS($X$2:$X$2705,$B$2:$B$2705,B736))</f>
        <v/>
      </c>
      <c r="Z736" s="21" t="n">
        <f aca="false">P736</f>
        <v>-0.897394268663408</v>
      </c>
      <c r="AA736" s="3" t="n">
        <f aca="false">R736</f>
        <v>0</v>
      </c>
      <c r="AB736" s="21" t="n">
        <f aca="false">P736</f>
        <v>-0.897394268663408</v>
      </c>
      <c r="AC736" s="3" t="str">
        <f aca="false">Y736</f>
        <v/>
      </c>
      <c r="AD736" s="3" t="n">
        <f aca="false">R736</f>
        <v>0</v>
      </c>
    </row>
    <row r="737" customFormat="false" ht="15" hidden="false" customHeight="true" outlineLevel="0" collapsed="false">
      <c r="A737" s="7" t="s">
        <v>63</v>
      </c>
      <c r="B737" s="7" t="n">
        <v>1947</v>
      </c>
      <c r="C737" s="7" t="s">
        <v>145</v>
      </c>
      <c r="D737" s="7" t="n">
        <v>59</v>
      </c>
      <c r="E737" s="7" t="n">
        <v>95</v>
      </c>
      <c r="F737" s="3" t="n">
        <f aca="false">COUNTIFS($B$2:$B$2705,B737,$C$2:$C$2705,C737)</f>
        <v>2</v>
      </c>
      <c r="G737" s="3" t="n">
        <f aca="false">MIN(INT((MIN(B737,2020)-1900)/10)+1,12)</f>
        <v>5</v>
      </c>
      <c r="H737" s="3" t="n">
        <f aca="false">(MIN(B737,2020)-1900-10*(G737-1))/10</f>
        <v>0.7</v>
      </c>
      <c r="I737" s="20" t="n">
        <f aca="false">EXP(LN(INDEX(Pop_Inputs!$B$2:$N$29,MATCH(C737,Pop_Inputs!$A$2:$A$29,0),G737))*(1-H737)+LN(INDEX(Pop_Inputs!$B$2:$N$29,MATCH(C737,Pop_Inputs!$A$2:$A$29,0),G737+1))*H737)</f>
        <v>844362.452449855</v>
      </c>
      <c r="J737" s="20" t="n">
        <f aca="false">I737/F737</f>
        <v>422181.226224928</v>
      </c>
      <c r="K737" s="21" t="n">
        <f aca="false">D737/(D737+E737)</f>
        <v>0.383116883116883</v>
      </c>
      <c r="L737" s="21" t="n">
        <f aca="false">AVERAGEIFS($K$2:$K$2705,$B$2:$B$2705,B737)</f>
        <v>0.5</v>
      </c>
      <c r="M737" s="21" t="n">
        <f aca="false">K737-L737</f>
        <v>-0.116883116883117</v>
      </c>
      <c r="N737" s="21" t="n">
        <f aca="false">LN(J737)</f>
        <v>12.9531899468632</v>
      </c>
      <c r="O737" s="21" t="n">
        <f aca="false">AVERAGEIFS($N$2:$N$2705,$B$2:$B$2705,B737)</f>
        <v>13.7867278457085</v>
      </c>
      <c r="P737" s="21" t="n">
        <f aca="false">N737-O737</f>
        <v>-0.833537898845234</v>
      </c>
      <c r="Q737" s="7" t="n">
        <v>0</v>
      </c>
      <c r="R737" s="3" t="n">
        <f aca="false">IF(AND(Q737=1,B737-_xlfn.MINIFS($B$2:$B$2705,$A$2:$A$2705,A737)&lt;10),1,0)</f>
        <v>0</v>
      </c>
      <c r="S737" s="7" t="n">
        <v>0</v>
      </c>
      <c r="T737" s="3" t="n">
        <f aca="false">_xlfn.MINIFS($B$2:$B$2705,$A$2:$A$2705,A737)</f>
        <v>1901</v>
      </c>
      <c r="U737" s="3" t="n">
        <f aca="false">B737-T737</f>
        <v>46</v>
      </c>
      <c r="V737" s="3" t="str">
        <f aca="false">INDEX(Pop_Inputs!$Q$2:$Q$29,MATCH(C737,Pop_Inputs!$A$2:$A$29,0))</f>
        <v>Midwest</v>
      </c>
      <c r="W737" s="30"/>
      <c r="X737" s="3" t="str">
        <f aca="false">IF(W737="","",LN(W737))</f>
        <v/>
      </c>
      <c r="Y737" s="3" t="str">
        <f aca="false">IF(X737="","",X737-AVERAGEIFS($X$2:$X$2705,$B$2:$B$2705,B737))</f>
        <v/>
      </c>
      <c r="Z737" s="21" t="n">
        <f aca="false">P737</f>
        <v>-0.833537898845234</v>
      </c>
      <c r="AA737" s="3" t="n">
        <f aca="false">R737</f>
        <v>0</v>
      </c>
      <c r="AB737" s="21" t="n">
        <f aca="false">P737</f>
        <v>-0.833537898845234</v>
      </c>
      <c r="AC737" s="3" t="str">
        <f aca="false">Y737</f>
        <v/>
      </c>
      <c r="AD737" s="3" t="n">
        <f aca="false">R737</f>
        <v>0</v>
      </c>
    </row>
    <row r="738" customFormat="false" ht="15" hidden="false" customHeight="true" outlineLevel="0" collapsed="false">
      <c r="A738" s="7" t="s">
        <v>64</v>
      </c>
      <c r="B738" s="7" t="n">
        <v>1947</v>
      </c>
      <c r="C738" s="7" t="s">
        <v>150</v>
      </c>
      <c r="D738" s="7" t="n">
        <v>83</v>
      </c>
      <c r="E738" s="7" t="n">
        <v>71</v>
      </c>
      <c r="F738" s="3" t="n">
        <f aca="false">COUNTIFS($B$2:$B$2705,B738,$C$2:$C$2705,C738)</f>
        <v>2</v>
      </c>
      <c r="G738" s="3" t="n">
        <f aca="false">MIN(INT((MIN(B738,2020)-1900)/10)+1,12)</f>
        <v>5</v>
      </c>
      <c r="H738" s="3" t="n">
        <f aca="false">(MIN(B738,2020)-1900-10*(G738-1))/10</f>
        <v>0.7</v>
      </c>
      <c r="I738" s="20" t="n">
        <f aca="false">EXP(LN(INDEX(Pop_Inputs!$B$2:$N$29,MATCH(C738,Pop_Inputs!$A$2:$A$29,0),G738))*(1-H738)+LN(INDEX(Pop_Inputs!$B$2:$N$29,MATCH(C738,Pop_Inputs!$A$2:$A$29,0),G738+1))*H738)</f>
        <v>792129.967414959</v>
      </c>
      <c r="J738" s="20" t="n">
        <f aca="false">I738/F738</f>
        <v>396064.98370748</v>
      </c>
      <c r="K738" s="21" t="n">
        <f aca="false">D738/(D738+E738)</f>
        <v>0.538961038961039</v>
      </c>
      <c r="L738" s="21" t="n">
        <f aca="false">AVERAGEIFS($K$2:$K$2705,$B$2:$B$2705,B738)</f>
        <v>0.5</v>
      </c>
      <c r="M738" s="21" t="n">
        <f aca="false">K738-L738</f>
        <v>0.038961038961039</v>
      </c>
      <c r="N738" s="21" t="n">
        <f aca="false">LN(J738)</f>
        <v>12.8893335770451</v>
      </c>
      <c r="O738" s="21" t="n">
        <f aca="false">AVERAGEIFS($N$2:$N$2705,$B$2:$B$2705,B738)</f>
        <v>13.7867278457085</v>
      </c>
      <c r="P738" s="21" t="n">
        <f aca="false">N738-O738</f>
        <v>-0.897394268663408</v>
      </c>
      <c r="Q738" s="7" t="n">
        <v>0</v>
      </c>
      <c r="R738" s="3" t="n">
        <f aca="false">IF(AND(Q738=1,B738-_xlfn.MINIFS($B$2:$B$2705,$A$2:$A$2705,A738)&lt;10),1,0)</f>
        <v>0</v>
      </c>
      <c r="S738" s="7" t="n">
        <v>0</v>
      </c>
      <c r="T738" s="3" t="n">
        <f aca="false">_xlfn.MINIFS($B$2:$B$2705,$A$2:$A$2705,A738)</f>
        <v>1901</v>
      </c>
      <c r="U738" s="3" t="n">
        <f aca="false">B738-T738</f>
        <v>46</v>
      </c>
      <c r="V738" s="3" t="str">
        <f aca="false">INDEX(Pop_Inputs!$Q$2:$Q$29,MATCH(C738,Pop_Inputs!$A$2:$A$29,0))</f>
        <v>Northeast</v>
      </c>
      <c r="W738" s="30"/>
      <c r="X738" s="3" t="str">
        <f aca="false">IF(W738="","",LN(W738))</f>
        <v/>
      </c>
      <c r="Y738" s="3" t="str">
        <f aca="false">IF(X738="","",X738-AVERAGEIFS($X$2:$X$2705,$B$2:$B$2705,B738))</f>
        <v/>
      </c>
      <c r="Z738" s="21" t="n">
        <f aca="false">P738</f>
        <v>-0.897394268663408</v>
      </c>
      <c r="AA738" s="3" t="n">
        <f aca="false">R738</f>
        <v>0</v>
      </c>
      <c r="AB738" s="21" t="n">
        <f aca="false">P738</f>
        <v>-0.897394268663408</v>
      </c>
      <c r="AC738" s="3" t="str">
        <f aca="false">Y738</f>
        <v/>
      </c>
      <c r="AD738" s="3" t="n">
        <f aca="false">R738</f>
        <v>0</v>
      </c>
    </row>
    <row r="739" customFormat="false" ht="15" hidden="false" customHeight="true" outlineLevel="0" collapsed="false">
      <c r="A739" s="7" t="s">
        <v>56</v>
      </c>
      <c r="B739" s="7" t="n">
        <v>1947</v>
      </c>
      <c r="C739" s="7" t="s">
        <v>142</v>
      </c>
      <c r="D739" s="7" t="n">
        <v>69</v>
      </c>
      <c r="E739" s="7" t="n">
        <v>85</v>
      </c>
      <c r="F739" s="3" t="n">
        <f aca="false">COUNTIFS($B$2:$B$2705,B739,$C$2:$C$2705,C739)</f>
        <v>2</v>
      </c>
      <c r="G739" s="3" t="n">
        <f aca="false">MIN(INT((MIN(B739,2020)-1900)/10)+1,12)</f>
        <v>5</v>
      </c>
      <c r="H739" s="3" t="n">
        <f aca="false">(MIN(B739,2020)-1900-10*(G739-1))/10</f>
        <v>0.7</v>
      </c>
      <c r="I739" s="20" t="n">
        <f aca="false">EXP(LN(INDEX(Pop_Inputs!$B$2:$N$29,MATCH(C739,Pop_Inputs!$A$2:$A$29,0),G739))*(1-H739)+LN(INDEX(Pop_Inputs!$B$2:$N$29,MATCH(C739,Pop_Inputs!$A$2:$A$29,0),G739+1))*H739)</f>
        <v>3552205.45532508</v>
      </c>
      <c r="J739" s="20" t="n">
        <f aca="false">I739/F739</f>
        <v>1776102.72766254</v>
      </c>
      <c r="K739" s="21" t="n">
        <f aca="false">D739/(D739+E739)</f>
        <v>0.448051948051948</v>
      </c>
      <c r="L739" s="21" t="n">
        <f aca="false">AVERAGEIFS($K$2:$K$2705,$B$2:$B$2705,B739)</f>
        <v>0.5</v>
      </c>
      <c r="M739" s="21" t="n">
        <f aca="false">K739-L739</f>
        <v>-0.051948051948052</v>
      </c>
      <c r="N739" s="21" t="n">
        <f aca="false">LN(J739)</f>
        <v>14.3899320430138</v>
      </c>
      <c r="O739" s="21" t="n">
        <f aca="false">AVERAGEIFS($N$2:$N$2705,$B$2:$B$2705,B739)</f>
        <v>13.7867278457085</v>
      </c>
      <c r="P739" s="21" t="n">
        <f aca="false">N739-O739</f>
        <v>0.603204197305329</v>
      </c>
      <c r="Q739" s="7" t="n">
        <v>0</v>
      </c>
      <c r="R739" s="3" t="n">
        <f aca="false">IF(AND(Q739=1,B739-_xlfn.MINIFS($B$2:$B$2705,$A$2:$A$2705,A739)&lt;10),1,0)</f>
        <v>0</v>
      </c>
      <c r="S739" s="7" t="n">
        <v>0</v>
      </c>
      <c r="T739" s="3" t="n">
        <f aca="false">_xlfn.MINIFS($B$2:$B$2705,$A$2:$A$2705,A739)</f>
        <v>1901</v>
      </c>
      <c r="U739" s="3" t="n">
        <f aca="false">B739-T739</f>
        <v>46</v>
      </c>
      <c r="V739" s="3" t="str">
        <f aca="false">INDEX(Pop_Inputs!$Q$2:$Q$29,MATCH(C739,Pop_Inputs!$A$2:$A$29,0))</f>
        <v>Midwest</v>
      </c>
      <c r="W739" s="30"/>
      <c r="X739" s="3" t="str">
        <f aca="false">IF(W739="","",LN(W739))</f>
        <v/>
      </c>
      <c r="Y739" s="3" t="str">
        <f aca="false">IF(X739="","",X739-AVERAGEIFS($X$2:$X$2705,$B$2:$B$2705,B739))</f>
        <v/>
      </c>
      <c r="Z739" s="21" t="n">
        <f aca="false">P739</f>
        <v>0.603204197305329</v>
      </c>
      <c r="AA739" s="3" t="n">
        <f aca="false">R739</f>
        <v>0</v>
      </c>
      <c r="AB739" s="21" t="n">
        <f aca="false">P739</f>
        <v>0.603204197305329</v>
      </c>
      <c r="AC739" s="3" t="str">
        <f aca="false">Y739</f>
        <v/>
      </c>
      <c r="AD739" s="3" t="n">
        <f aca="false">R739</f>
        <v>0</v>
      </c>
    </row>
    <row r="740" customFormat="false" ht="15" hidden="false" customHeight="true" outlineLevel="0" collapsed="false">
      <c r="A740" s="7" t="s">
        <v>65</v>
      </c>
      <c r="B740" s="7" t="n">
        <v>1947</v>
      </c>
      <c r="C740" s="7" t="s">
        <v>142</v>
      </c>
      <c r="D740" s="7" t="n">
        <v>70</v>
      </c>
      <c r="E740" s="7" t="n">
        <v>84</v>
      </c>
      <c r="F740" s="3" t="n">
        <f aca="false">COUNTIFS($B$2:$B$2705,B740,$C$2:$C$2705,C740)</f>
        <v>2</v>
      </c>
      <c r="G740" s="3" t="n">
        <f aca="false">MIN(INT((MIN(B740,2020)-1900)/10)+1,12)</f>
        <v>5</v>
      </c>
      <c r="H740" s="3" t="n">
        <f aca="false">(MIN(B740,2020)-1900-10*(G740-1))/10</f>
        <v>0.7</v>
      </c>
      <c r="I740" s="20" t="n">
        <f aca="false">EXP(LN(INDEX(Pop_Inputs!$B$2:$N$29,MATCH(C740,Pop_Inputs!$A$2:$A$29,0),G740))*(1-H740)+LN(INDEX(Pop_Inputs!$B$2:$N$29,MATCH(C740,Pop_Inputs!$A$2:$A$29,0),G740+1))*H740)</f>
        <v>3552205.45532508</v>
      </c>
      <c r="J740" s="20" t="n">
        <f aca="false">I740/F740</f>
        <v>1776102.72766254</v>
      </c>
      <c r="K740" s="21" t="n">
        <f aca="false">D740/(D740+E740)</f>
        <v>0.454545454545455</v>
      </c>
      <c r="L740" s="21" t="n">
        <f aca="false">AVERAGEIFS($K$2:$K$2705,$B$2:$B$2705,B740)</f>
        <v>0.5</v>
      </c>
      <c r="M740" s="21" t="n">
        <f aca="false">K740-L740</f>
        <v>-0.0454545454545455</v>
      </c>
      <c r="N740" s="21" t="n">
        <f aca="false">LN(J740)</f>
        <v>14.3899320430138</v>
      </c>
      <c r="O740" s="21" t="n">
        <f aca="false">AVERAGEIFS($N$2:$N$2705,$B$2:$B$2705,B740)</f>
        <v>13.7867278457085</v>
      </c>
      <c r="P740" s="21" t="n">
        <f aca="false">N740-O740</f>
        <v>0.603204197305329</v>
      </c>
      <c r="Q740" s="7" t="n">
        <v>0</v>
      </c>
      <c r="R740" s="3" t="n">
        <f aca="false">IF(AND(Q740=1,B740-_xlfn.MINIFS($B$2:$B$2705,$A$2:$A$2705,A740)&lt;10),1,0)</f>
        <v>0</v>
      </c>
      <c r="S740" s="7" t="n">
        <v>0</v>
      </c>
      <c r="T740" s="3" t="n">
        <f aca="false">_xlfn.MINIFS($B$2:$B$2705,$A$2:$A$2705,A740)</f>
        <v>1901</v>
      </c>
      <c r="U740" s="3" t="n">
        <f aca="false">B740-T740</f>
        <v>46</v>
      </c>
      <c r="V740" s="3" t="str">
        <f aca="false">INDEX(Pop_Inputs!$Q$2:$Q$29,MATCH(C740,Pop_Inputs!$A$2:$A$29,0))</f>
        <v>Midwest</v>
      </c>
      <c r="W740" s="30"/>
      <c r="X740" s="3" t="str">
        <f aca="false">IF(W740="","",LN(W740))</f>
        <v/>
      </c>
      <c r="Y740" s="3" t="str">
        <f aca="false">IF(X740="","",X740-AVERAGEIFS($X$2:$X$2705,$B$2:$B$2705,B740))</f>
        <v/>
      </c>
      <c r="Z740" s="21" t="n">
        <f aca="false">P740</f>
        <v>0.603204197305329</v>
      </c>
      <c r="AA740" s="3" t="n">
        <f aca="false">R740</f>
        <v>0</v>
      </c>
      <c r="AB740" s="21" t="n">
        <f aca="false">P740</f>
        <v>0.603204197305329</v>
      </c>
      <c r="AC740" s="3" t="str">
        <f aca="false">Y740</f>
        <v/>
      </c>
      <c r="AD740" s="3" t="n">
        <f aca="false">R740</f>
        <v>0</v>
      </c>
    </row>
    <row r="741" customFormat="false" ht="15" hidden="false" customHeight="true" outlineLevel="0" collapsed="false">
      <c r="A741" s="7" t="s">
        <v>57</v>
      </c>
      <c r="B741" s="7" t="n">
        <v>1947</v>
      </c>
      <c r="C741" s="7" t="s">
        <v>143</v>
      </c>
      <c r="D741" s="7" t="n">
        <v>73</v>
      </c>
      <c r="E741" s="7" t="n">
        <v>81</v>
      </c>
      <c r="F741" s="3" t="n">
        <f aca="false">COUNTIFS($B$2:$B$2705,B741,$C$2:$C$2705,C741)</f>
        <v>1</v>
      </c>
      <c r="G741" s="3" t="n">
        <f aca="false">MIN(INT((MIN(B741,2020)-1900)/10)+1,12)</f>
        <v>5</v>
      </c>
      <c r="H741" s="3" t="n">
        <f aca="false">(MIN(B741,2020)-1900-10*(G741-1))/10</f>
        <v>0.7</v>
      </c>
      <c r="I741" s="20" t="n">
        <f aca="false">EXP(LN(INDEX(Pop_Inputs!$B$2:$N$29,MATCH(C741,Pop_Inputs!$A$2:$A$29,0),G741))*(1-H741)+LN(INDEX(Pop_Inputs!$B$2:$N$29,MATCH(C741,Pop_Inputs!$A$2:$A$29,0),G741+1))*H741)</f>
        <v>488965.416460761</v>
      </c>
      <c r="J741" s="20" t="n">
        <f aca="false">I741/F741</f>
        <v>488965.416460761</v>
      </c>
      <c r="K741" s="21" t="n">
        <f aca="false">D741/(D741+E741)</f>
        <v>0.474025974025974</v>
      </c>
      <c r="L741" s="21" t="n">
        <f aca="false">AVERAGEIFS($K$2:$K$2705,$B$2:$B$2705,B741)</f>
        <v>0.5</v>
      </c>
      <c r="M741" s="21" t="n">
        <f aca="false">K741-L741</f>
        <v>-0.025974025974026</v>
      </c>
      <c r="N741" s="21" t="n">
        <f aca="false">LN(J741)</f>
        <v>13.1000470429719</v>
      </c>
      <c r="O741" s="21" t="n">
        <f aca="false">AVERAGEIFS($N$2:$N$2705,$B$2:$B$2705,B741)</f>
        <v>13.7867278457085</v>
      </c>
      <c r="P741" s="21" t="n">
        <f aca="false">N741-O741</f>
        <v>-0.68668080273657</v>
      </c>
      <c r="Q741" s="7" t="n">
        <v>0</v>
      </c>
      <c r="R741" s="3" t="n">
        <f aca="false">IF(AND(Q741=1,B741-_xlfn.MINIFS($B$2:$B$2705,$A$2:$A$2705,A741)&lt;10),1,0)</f>
        <v>0</v>
      </c>
      <c r="S741" s="7" t="n">
        <v>0</v>
      </c>
      <c r="T741" s="3" t="n">
        <f aca="false">_xlfn.MINIFS($B$2:$B$2705,$A$2:$A$2705,A741)</f>
        <v>1901</v>
      </c>
      <c r="U741" s="3" t="n">
        <f aca="false">B741-T741</f>
        <v>46</v>
      </c>
      <c r="V741" s="3" t="str">
        <f aca="false">INDEX(Pop_Inputs!$Q$2:$Q$29,MATCH(C741,Pop_Inputs!$A$2:$A$29,0))</f>
        <v>Midwest</v>
      </c>
      <c r="W741" s="30"/>
      <c r="X741" s="3" t="str">
        <f aca="false">IF(W741="","",LN(W741))</f>
        <v/>
      </c>
      <c r="Y741" s="3" t="str">
        <f aca="false">IF(X741="","",X741-AVERAGEIFS($X$2:$X$2705,$B$2:$B$2705,B741))</f>
        <v/>
      </c>
      <c r="Z741" s="21" t="n">
        <f aca="false">P741</f>
        <v>-0.68668080273657</v>
      </c>
      <c r="AA741" s="3" t="n">
        <f aca="false">R741</f>
        <v>0</v>
      </c>
      <c r="AB741" s="21" t="n">
        <f aca="false">P741</f>
        <v>-0.68668080273657</v>
      </c>
      <c r="AC741" s="3" t="str">
        <f aca="false">Y741</f>
        <v/>
      </c>
      <c r="AD741" s="3" t="n">
        <f aca="false">R741</f>
        <v>0</v>
      </c>
    </row>
    <row r="742" customFormat="false" ht="15" hidden="false" customHeight="true" outlineLevel="0" collapsed="false">
      <c r="A742" s="7" t="s">
        <v>66</v>
      </c>
      <c r="B742" s="7" t="n">
        <v>1947</v>
      </c>
      <c r="C742" s="7" t="s">
        <v>151</v>
      </c>
      <c r="D742" s="7" t="n">
        <v>80</v>
      </c>
      <c r="E742" s="7" t="n">
        <v>74</v>
      </c>
      <c r="F742" s="3" t="n">
        <f aca="false">COUNTIFS($B$2:$B$2705,B742,$C$2:$C$2705,C742)</f>
        <v>1</v>
      </c>
      <c r="G742" s="3" t="n">
        <f aca="false">MIN(INT((MIN(B742,2020)-1900)/10)+1,12)</f>
        <v>5</v>
      </c>
      <c r="H742" s="3" t="n">
        <f aca="false">(MIN(B742,2020)-1900-10*(G742-1))/10</f>
        <v>0.7</v>
      </c>
      <c r="I742" s="20" t="n">
        <f aca="false">EXP(LN(INDEX(Pop_Inputs!$B$2:$N$29,MATCH(C742,Pop_Inputs!$A$2:$A$29,0),G742))*(1-H742)+LN(INDEX(Pop_Inputs!$B$2:$N$29,MATCH(C742,Pop_Inputs!$A$2:$A$29,0),G742+1))*H742)</f>
        <v>903710.17629111</v>
      </c>
      <c r="J742" s="20" t="n">
        <f aca="false">I742/F742</f>
        <v>903710.17629111</v>
      </c>
      <c r="K742" s="21" t="n">
        <f aca="false">D742/(D742+E742)</f>
        <v>0.519480519480519</v>
      </c>
      <c r="L742" s="21" t="n">
        <f aca="false">AVERAGEIFS($K$2:$K$2705,$B$2:$B$2705,B742)</f>
        <v>0.5</v>
      </c>
      <c r="M742" s="21" t="n">
        <f aca="false">K742-L742</f>
        <v>0.0194805194805194</v>
      </c>
      <c r="N742" s="21" t="n">
        <f aca="false">LN(J742)</f>
        <v>13.7142639865228</v>
      </c>
      <c r="O742" s="21" t="n">
        <f aca="false">AVERAGEIFS($N$2:$N$2705,$B$2:$B$2705,B742)</f>
        <v>13.7867278457085</v>
      </c>
      <c r="P742" s="21" t="n">
        <f aca="false">N742-O742</f>
        <v>-0.0724638591856675</v>
      </c>
      <c r="Q742" s="7" t="n">
        <v>0</v>
      </c>
      <c r="R742" s="3" t="n">
        <f aca="false">IF(AND(Q742=1,B742-_xlfn.MINIFS($B$2:$B$2705,$A$2:$A$2705,A742)&lt;10),1,0)</f>
        <v>0</v>
      </c>
      <c r="S742" s="7" t="n">
        <v>0</v>
      </c>
      <c r="T742" s="3" t="n">
        <f aca="false">_xlfn.MINIFS($B$2:$B$2705,$A$2:$A$2705,A742)</f>
        <v>1901</v>
      </c>
      <c r="U742" s="3" t="n">
        <f aca="false">B742-T742</f>
        <v>46</v>
      </c>
      <c r="V742" s="3" t="str">
        <f aca="false">INDEX(Pop_Inputs!$Q$2:$Q$29,MATCH(C742,Pop_Inputs!$A$2:$A$29,0))</f>
        <v>Midwest</v>
      </c>
      <c r="W742" s="30"/>
      <c r="X742" s="3" t="str">
        <f aca="false">IF(W742="","",LN(W742))</f>
        <v/>
      </c>
      <c r="Y742" s="3" t="str">
        <f aca="false">IF(X742="","",X742-AVERAGEIFS($X$2:$X$2705,$B$2:$B$2705,B742))</f>
        <v/>
      </c>
      <c r="Z742" s="21" t="n">
        <f aca="false">P742</f>
        <v>-0.0724638591856675</v>
      </c>
      <c r="AA742" s="3" t="n">
        <f aca="false">R742</f>
        <v>0</v>
      </c>
      <c r="AB742" s="21" t="n">
        <f aca="false">P742</f>
        <v>-0.0724638591856675</v>
      </c>
      <c r="AC742" s="3" t="str">
        <f aca="false">Y742</f>
        <v/>
      </c>
      <c r="AD742" s="3" t="n">
        <f aca="false">R742</f>
        <v>0</v>
      </c>
    </row>
    <row r="743" customFormat="false" ht="15" hidden="false" customHeight="true" outlineLevel="0" collapsed="false">
      <c r="A743" s="7" t="s">
        <v>67</v>
      </c>
      <c r="B743" s="7" t="n">
        <v>1947</v>
      </c>
      <c r="C743" s="7" t="s">
        <v>152</v>
      </c>
      <c r="D743" s="7" t="n">
        <v>85</v>
      </c>
      <c r="E743" s="7" t="n">
        <v>69</v>
      </c>
      <c r="F743" s="3" t="n">
        <f aca="false">COUNTIFS($B$2:$B$2705,B743,$C$2:$C$2705,C743)</f>
        <v>1</v>
      </c>
      <c r="G743" s="3" t="n">
        <f aca="false">MIN(INT((MIN(B743,2020)-1900)/10)+1,12)</f>
        <v>5</v>
      </c>
      <c r="H743" s="3" t="n">
        <f aca="false">(MIN(B743,2020)-1900-10*(G743-1))/10</f>
        <v>0.7</v>
      </c>
      <c r="I743" s="20" t="n">
        <f aca="false">EXP(LN(INDEX(Pop_Inputs!$B$2:$N$29,MATCH(C743,Pop_Inputs!$A$2:$A$29,0),G743))*(1-H743)+LN(INDEX(Pop_Inputs!$B$2:$N$29,MATCH(C743,Pop_Inputs!$A$2:$A$29,0),G743+1))*H743)</f>
        <v>1778611.30258277</v>
      </c>
      <c r="J743" s="20" t="n">
        <f aca="false">I743/F743</f>
        <v>1778611.30258277</v>
      </c>
      <c r="K743" s="21" t="n">
        <f aca="false">D743/(D743+E743)</f>
        <v>0.551948051948052</v>
      </c>
      <c r="L743" s="21" t="n">
        <f aca="false">AVERAGEIFS($K$2:$K$2705,$B$2:$B$2705,B743)</f>
        <v>0.5</v>
      </c>
      <c r="M743" s="21" t="n">
        <f aca="false">K743-L743</f>
        <v>0.051948051948052</v>
      </c>
      <c r="N743" s="21" t="n">
        <f aca="false">LN(J743)</f>
        <v>14.3913434506912</v>
      </c>
      <c r="O743" s="21" t="n">
        <f aca="false">AVERAGEIFS($N$2:$N$2705,$B$2:$B$2705,B743)</f>
        <v>13.7867278457085</v>
      </c>
      <c r="P743" s="21" t="n">
        <f aca="false">N743-O743</f>
        <v>0.604615604982753</v>
      </c>
      <c r="Q743" s="7" t="n">
        <v>0</v>
      </c>
      <c r="R743" s="3" t="n">
        <f aca="false">IF(AND(Q743=1,B743-_xlfn.MINIFS($B$2:$B$2705,$A$2:$A$2705,A743)&lt;10),1,0)</f>
        <v>0</v>
      </c>
      <c r="S743" s="7" t="n">
        <v>0</v>
      </c>
      <c r="T743" s="3" t="n">
        <f aca="false">_xlfn.MINIFS($B$2:$B$2705,$A$2:$A$2705,A743)</f>
        <v>1901</v>
      </c>
      <c r="U743" s="3" t="n">
        <f aca="false">B743-T743</f>
        <v>46</v>
      </c>
      <c r="V743" s="3" t="str">
        <f aca="false">INDEX(Pop_Inputs!$Q$2:$Q$29,MATCH(C743,Pop_Inputs!$A$2:$A$29,0))</f>
        <v>Midwest</v>
      </c>
      <c r="W743" s="30"/>
      <c r="X743" s="3" t="str">
        <f aca="false">IF(W743="","",LN(W743))</f>
        <v/>
      </c>
      <c r="Y743" s="3" t="str">
        <f aca="false">IF(X743="","",X743-AVERAGEIFS($X$2:$X$2705,$B$2:$B$2705,B743))</f>
        <v/>
      </c>
      <c r="Z743" s="21" t="n">
        <f aca="false">P743</f>
        <v>0.604615604982753</v>
      </c>
      <c r="AA743" s="3" t="n">
        <f aca="false">R743</f>
        <v>0</v>
      </c>
      <c r="AB743" s="21" t="n">
        <f aca="false">P743</f>
        <v>0.604615604982753</v>
      </c>
      <c r="AC743" s="3" t="str">
        <f aca="false">Y743</f>
        <v/>
      </c>
      <c r="AD743" s="3" t="n">
        <f aca="false">R743</f>
        <v>0</v>
      </c>
    </row>
    <row r="744" customFormat="false" ht="15" hidden="false" customHeight="true" outlineLevel="0" collapsed="false">
      <c r="A744" s="7" t="s">
        <v>62</v>
      </c>
      <c r="B744" s="7" t="n">
        <v>1947</v>
      </c>
      <c r="C744" s="7" t="s">
        <v>154</v>
      </c>
      <c r="D744" s="7" t="n">
        <v>94</v>
      </c>
      <c r="E744" s="7" t="n">
        <v>60</v>
      </c>
      <c r="F744" s="3" t="n">
        <f aca="false">COUNTIFS($B$2:$B$2705,B744,$C$2:$C$2705,C744)</f>
        <v>3</v>
      </c>
      <c r="G744" s="3" t="n">
        <f aca="false">MIN(INT((MIN(B744,2020)-1900)/10)+1,12)</f>
        <v>5</v>
      </c>
      <c r="H744" s="3" t="n">
        <f aca="false">(MIN(B744,2020)-1900-10*(G744-1))/10</f>
        <v>0.7</v>
      </c>
      <c r="I744" s="20" t="n">
        <f aca="false">EXP(LN(INDEX(Pop_Inputs!$B$2:$N$29,MATCH(C744,Pop_Inputs!$A$2:$A$29,0),G744))*(1-H744)+LN(INDEX(Pop_Inputs!$B$2:$N$29,MATCH(C744,Pop_Inputs!$A$2:$A$29,0),G744+1))*H744)</f>
        <v>7758245.24940731</v>
      </c>
      <c r="J744" s="20" t="n">
        <f aca="false">I744/F744</f>
        <v>2586081.74980244</v>
      </c>
      <c r="K744" s="21" t="n">
        <f aca="false">D744/(D744+E744)</f>
        <v>0.61038961038961</v>
      </c>
      <c r="L744" s="21" t="n">
        <f aca="false">AVERAGEIFS($K$2:$K$2705,$B$2:$B$2705,B744)</f>
        <v>0.5</v>
      </c>
      <c r="M744" s="21" t="n">
        <f aca="false">K744-L744</f>
        <v>0.11038961038961</v>
      </c>
      <c r="N744" s="21" t="n">
        <f aca="false">LN(J744)</f>
        <v>14.7656544502669</v>
      </c>
      <c r="O744" s="21" t="n">
        <f aca="false">AVERAGEIFS($N$2:$N$2705,$B$2:$B$2705,B744)</f>
        <v>13.7867278457085</v>
      </c>
      <c r="P744" s="21" t="n">
        <f aca="false">N744-O744</f>
        <v>0.978926604558421</v>
      </c>
      <c r="Q744" s="7" t="n">
        <v>0</v>
      </c>
      <c r="R744" s="3" t="n">
        <f aca="false">IF(AND(Q744=1,B744-_xlfn.MINIFS($B$2:$B$2705,$A$2:$A$2705,A744)&lt;10),1,0)</f>
        <v>0</v>
      </c>
      <c r="S744" s="7" t="n">
        <v>0</v>
      </c>
      <c r="T744" s="3" t="n">
        <f aca="false">_xlfn.MINIFS($B$2:$B$2705,$A$2:$A$2705,A744)</f>
        <v>1901</v>
      </c>
      <c r="U744" s="3" t="n">
        <f aca="false">B744-T744</f>
        <v>46</v>
      </c>
      <c r="V744" s="3" t="str">
        <f aca="false">INDEX(Pop_Inputs!$Q$2:$Q$29,MATCH(C744,Pop_Inputs!$A$2:$A$29,0))</f>
        <v>Northeast</v>
      </c>
      <c r="W744" s="30"/>
      <c r="X744" s="3" t="str">
        <f aca="false">IF(W744="","",LN(W744))</f>
        <v/>
      </c>
      <c r="Y744" s="3" t="str">
        <f aca="false">IF(X744="","",X744-AVERAGEIFS($X$2:$X$2705,$B$2:$B$2705,B744))</f>
        <v/>
      </c>
      <c r="Z744" s="21" t="n">
        <f aca="false">P744</f>
        <v>0.978926604558421</v>
      </c>
      <c r="AA744" s="3" t="n">
        <f aca="false">R744</f>
        <v>0</v>
      </c>
      <c r="AB744" s="21" t="n">
        <f aca="false">P744</f>
        <v>0.978926604558421</v>
      </c>
      <c r="AC744" s="3" t="str">
        <f aca="false">Y744</f>
        <v/>
      </c>
      <c r="AD744" s="3" t="n">
        <f aca="false">R744</f>
        <v>0</v>
      </c>
    </row>
    <row r="745" customFormat="false" ht="15" hidden="false" customHeight="true" outlineLevel="0" collapsed="false">
      <c r="A745" s="7" t="s">
        <v>68</v>
      </c>
      <c r="B745" s="7" t="n">
        <v>1947</v>
      </c>
      <c r="C745" s="7" t="s">
        <v>160</v>
      </c>
      <c r="D745" s="7" t="n">
        <v>64</v>
      </c>
      <c r="E745" s="7" t="n">
        <v>90</v>
      </c>
      <c r="F745" s="3" t="n">
        <f aca="false">COUNTIFS($B$2:$B$2705,B745,$C$2:$C$2705,C745)</f>
        <v>1</v>
      </c>
      <c r="G745" s="3" t="n">
        <f aca="false">MIN(INT((MIN(B745,2020)-1900)/10)+1,12)</f>
        <v>5</v>
      </c>
      <c r="H745" s="3" t="n">
        <f aca="false">(MIN(B745,2020)-1900-10*(G745-1))/10</f>
        <v>0.7</v>
      </c>
      <c r="I745" s="20" t="n">
        <f aca="false">EXP(LN(INDEX(Pop_Inputs!$B$2:$N$29,MATCH(C745,Pop_Inputs!$A$2:$A$29,0),G745))*(1-H745)+LN(INDEX(Pop_Inputs!$B$2:$N$29,MATCH(C745,Pop_Inputs!$A$2:$A$29,0),G745+1))*H745)</f>
        <v>757637.501138048</v>
      </c>
      <c r="J745" s="20" t="n">
        <f aca="false">I745/F745</f>
        <v>757637.501138048</v>
      </c>
      <c r="K745" s="21" t="n">
        <f aca="false">D745/(D745+E745)</f>
        <v>0.415584415584416</v>
      </c>
      <c r="L745" s="21" t="n">
        <f aca="false">AVERAGEIFS($K$2:$K$2705,$B$2:$B$2705,B745)</f>
        <v>0.5</v>
      </c>
      <c r="M745" s="21" t="n">
        <f aca="false">K745-L745</f>
        <v>-0.0844155844155844</v>
      </c>
      <c r="N745" s="21" t="n">
        <f aca="false">LN(J745)</f>
        <v>13.5379603195472</v>
      </c>
      <c r="O745" s="21" t="n">
        <f aca="false">AVERAGEIFS($N$2:$N$2705,$B$2:$B$2705,B745)</f>
        <v>13.7867278457085</v>
      </c>
      <c r="P745" s="21" t="n">
        <f aca="false">N745-O745</f>
        <v>-0.248767526161311</v>
      </c>
      <c r="Q745" s="7" t="n">
        <v>0</v>
      </c>
      <c r="R745" s="3" t="n">
        <f aca="false">IF(AND(Q745=1,B745-_xlfn.MINIFS($B$2:$B$2705,$A$2:$A$2705,A745)&lt;10),1,0)</f>
        <v>0</v>
      </c>
      <c r="S745" s="7" t="n">
        <v>0</v>
      </c>
      <c r="T745" s="3" t="n">
        <f aca="false">_xlfn.MINIFS($B$2:$B$2705,$A$2:$A$2705,A745)</f>
        <v>1901</v>
      </c>
      <c r="U745" s="3" t="n">
        <f aca="false">B745-T745</f>
        <v>46</v>
      </c>
      <c r="V745" s="3" t="str">
        <f aca="false">INDEX(Pop_Inputs!$Q$2:$Q$29,MATCH(C745,Pop_Inputs!$A$2:$A$29,0))</f>
        <v>South</v>
      </c>
      <c r="W745" s="30"/>
      <c r="X745" s="3" t="str">
        <f aca="false">IF(W745="","",LN(W745))</f>
        <v/>
      </c>
      <c r="Y745" s="3" t="str">
        <f aca="false">IF(X745="","",X745-AVERAGEIFS($X$2:$X$2705,$B$2:$B$2705,B745))</f>
        <v/>
      </c>
      <c r="Z745" s="21" t="n">
        <f aca="false">P745</f>
        <v>-0.248767526161311</v>
      </c>
      <c r="AA745" s="3" t="n">
        <f aca="false">R745</f>
        <v>0</v>
      </c>
      <c r="AB745" s="21" t="n">
        <f aca="false">P745</f>
        <v>-0.248767526161311</v>
      </c>
      <c r="AC745" s="3" t="str">
        <f aca="false">Y745</f>
        <v/>
      </c>
      <c r="AD745" s="3" t="n">
        <f aca="false">R745</f>
        <v>0</v>
      </c>
    </row>
    <row r="746" customFormat="false" ht="15" hidden="false" customHeight="true" outlineLevel="0" collapsed="false">
      <c r="A746" s="7" t="s">
        <v>70</v>
      </c>
      <c r="B746" s="7" t="n">
        <v>1947</v>
      </c>
      <c r="C746" s="7" t="s">
        <v>154</v>
      </c>
      <c r="D746" s="7" t="n">
        <v>97</v>
      </c>
      <c r="E746" s="7" t="n">
        <v>57</v>
      </c>
      <c r="F746" s="3" t="n">
        <f aca="false">COUNTIFS($B$2:$B$2705,B746,$C$2:$C$2705,C746)</f>
        <v>3</v>
      </c>
      <c r="G746" s="3" t="n">
        <f aca="false">MIN(INT((MIN(B746,2020)-1900)/10)+1,12)</f>
        <v>5</v>
      </c>
      <c r="H746" s="3" t="n">
        <f aca="false">(MIN(B746,2020)-1900-10*(G746-1))/10</f>
        <v>0.7</v>
      </c>
      <c r="I746" s="20" t="n">
        <f aca="false">EXP(LN(INDEX(Pop_Inputs!$B$2:$N$29,MATCH(C746,Pop_Inputs!$A$2:$A$29,0),G746))*(1-H746)+LN(INDEX(Pop_Inputs!$B$2:$N$29,MATCH(C746,Pop_Inputs!$A$2:$A$29,0),G746+1))*H746)</f>
        <v>7758245.24940731</v>
      </c>
      <c r="J746" s="20" t="n">
        <f aca="false">I746/F746</f>
        <v>2586081.74980244</v>
      </c>
      <c r="K746" s="21" t="n">
        <f aca="false">D746/(D746+E746)</f>
        <v>0.62987012987013</v>
      </c>
      <c r="L746" s="21" t="n">
        <f aca="false">AVERAGEIFS($K$2:$K$2705,$B$2:$B$2705,B746)</f>
        <v>0.5</v>
      </c>
      <c r="M746" s="21" t="n">
        <f aca="false">K746-L746</f>
        <v>0.12987012987013</v>
      </c>
      <c r="N746" s="21" t="n">
        <f aca="false">LN(J746)</f>
        <v>14.7656544502669</v>
      </c>
      <c r="O746" s="21" t="n">
        <f aca="false">AVERAGEIFS($N$2:$N$2705,$B$2:$B$2705,B746)</f>
        <v>13.7867278457085</v>
      </c>
      <c r="P746" s="21" t="n">
        <f aca="false">N746-O746</f>
        <v>0.978926604558421</v>
      </c>
      <c r="Q746" s="7" t="n">
        <v>0</v>
      </c>
      <c r="R746" s="3" t="n">
        <f aca="false">IF(AND(Q746=1,B746-_xlfn.MINIFS($B$2:$B$2705,$A$2:$A$2705,A746)&lt;10),1,0)</f>
        <v>0</v>
      </c>
      <c r="S746" s="7" t="n">
        <v>1</v>
      </c>
      <c r="T746" s="3" t="n">
        <f aca="false">_xlfn.MINIFS($B$2:$B$2705,$A$2:$A$2705,A746)</f>
        <v>1903</v>
      </c>
      <c r="U746" s="3" t="n">
        <f aca="false">B746-T746</f>
        <v>44</v>
      </c>
      <c r="V746" s="3" t="str">
        <f aca="false">INDEX(Pop_Inputs!$Q$2:$Q$29,MATCH(C746,Pop_Inputs!$A$2:$A$29,0))</f>
        <v>Northeast</v>
      </c>
      <c r="W746" s="30"/>
      <c r="X746" s="3" t="str">
        <f aca="false">IF(W746="","",LN(W746))</f>
        <v/>
      </c>
      <c r="Y746" s="3" t="str">
        <f aca="false">IF(X746="","",X746-AVERAGEIFS($X$2:$X$2705,$B$2:$B$2705,B746))</f>
        <v/>
      </c>
      <c r="Z746" s="21" t="n">
        <f aca="false">P746</f>
        <v>0.978926604558421</v>
      </c>
      <c r="AA746" s="3" t="n">
        <f aca="false">R746</f>
        <v>0</v>
      </c>
      <c r="AB746" s="21" t="n">
        <f aca="false">P746</f>
        <v>0.978926604558421</v>
      </c>
      <c r="AC746" s="3" t="str">
        <f aca="false">Y746</f>
        <v/>
      </c>
      <c r="AD746" s="3" t="n">
        <f aca="false">R746</f>
        <v>0</v>
      </c>
    </row>
    <row r="747" customFormat="false" ht="15" hidden="false" customHeight="true" outlineLevel="0" collapsed="false">
      <c r="A747" s="7" t="s">
        <v>69</v>
      </c>
      <c r="B747" s="7" t="n">
        <v>1947</v>
      </c>
      <c r="C747" s="7" t="s">
        <v>146</v>
      </c>
      <c r="D747" s="7" t="n">
        <v>78</v>
      </c>
      <c r="E747" s="7" t="n">
        <v>76</v>
      </c>
      <c r="F747" s="3" t="n">
        <f aca="false">COUNTIFS($B$2:$B$2705,B747,$C$2:$C$2705,C747)</f>
        <v>2</v>
      </c>
      <c r="G747" s="3" t="n">
        <f aca="false">MIN(INT((MIN(B747,2020)-1900)/10)+1,12)</f>
        <v>5</v>
      </c>
      <c r="H747" s="3" t="n">
        <f aca="false">(MIN(B747,2020)-1900-10*(G747-1))/10</f>
        <v>0.7</v>
      </c>
      <c r="I747" s="20" t="n">
        <f aca="false">EXP(LN(INDEX(Pop_Inputs!$B$2:$N$29,MATCH(C747,Pop_Inputs!$A$2:$A$29,0),G747))*(1-H747)+LN(INDEX(Pop_Inputs!$B$2:$N$29,MATCH(C747,Pop_Inputs!$A$2:$A$29,0),G747+1))*H747)</f>
        <v>2028486.31072482</v>
      </c>
      <c r="J747" s="20" t="n">
        <f aca="false">I747/F747</f>
        <v>1014243.15536241</v>
      </c>
      <c r="K747" s="21" t="n">
        <f aca="false">D747/(D747+E747)</f>
        <v>0.506493506493506</v>
      </c>
      <c r="L747" s="21" t="n">
        <f aca="false">AVERAGEIFS($K$2:$K$2705,$B$2:$B$2705,B747)</f>
        <v>0.5</v>
      </c>
      <c r="M747" s="21" t="n">
        <f aca="false">K747-L747</f>
        <v>0.00649350649350644</v>
      </c>
      <c r="N747" s="21" t="n">
        <f aca="false">LN(J747)</f>
        <v>13.8296532325741</v>
      </c>
      <c r="O747" s="21" t="n">
        <f aca="false">AVERAGEIFS($N$2:$N$2705,$B$2:$B$2705,B747)</f>
        <v>13.7867278457085</v>
      </c>
      <c r="P747" s="21" t="n">
        <f aca="false">N747-O747</f>
        <v>0.0429253868655959</v>
      </c>
      <c r="Q747" s="7" t="n">
        <v>0</v>
      </c>
      <c r="R747" s="3" t="n">
        <f aca="false">IF(AND(Q747=1,B747-_xlfn.MINIFS($B$2:$B$2705,$A$2:$A$2705,A747)&lt;10),1,0)</f>
        <v>0</v>
      </c>
      <c r="S747" s="7" t="n">
        <v>0</v>
      </c>
      <c r="T747" s="3" t="n">
        <f aca="false">_xlfn.MINIFS($B$2:$B$2705,$A$2:$A$2705,A747)</f>
        <v>1901</v>
      </c>
      <c r="U747" s="3" t="n">
        <f aca="false">B747-T747</f>
        <v>46</v>
      </c>
      <c r="V747" s="3" t="str">
        <f aca="false">INDEX(Pop_Inputs!$Q$2:$Q$29,MATCH(C747,Pop_Inputs!$A$2:$A$29,0))</f>
        <v>Northeast</v>
      </c>
      <c r="W747" s="30"/>
      <c r="X747" s="3" t="str">
        <f aca="false">IF(W747="","",LN(W747))</f>
        <v/>
      </c>
      <c r="Y747" s="3" t="str">
        <f aca="false">IF(X747="","",X747-AVERAGEIFS($X$2:$X$2705,$B$2:$B$2705,B747))</f>
        <v/>
      </c>
      <c r="Z747" s="21" t="n">
        <f aca="false">P747</f>
        <v>0.0429253868655959</v>
      </c>
      <c r="AA747" s="3" t="n">
        <f aca="false">R747</f>
        <v>0</v>
      </c>
      <c r="AB747" s="21" t="n">
        <f aca="false">P747</f>
        <v>0.0429253868655959</v>
      </c>
      <c r="AC747" s="3" t="str">
        <f aca="false">Y747</f>
        <v/>
      </c>
      <c r="AD747" s="3" t="n">
        <f aca="false">R747</f>
        <v>0</v>
      </c>
    </row>
    <row r="748" customFormat="false" ht="15" hidden="false" customHeight="true" outlineLevel="0" collapsed="false">
      <c r="A748" s="7" t="s">
        <v>60</v>
      </c>
      <c r="B748" s="7" t="n">
        <v>1947</v>
      </c>
      <c r="C748" s="7" t="s">
        <v>146</v>
      </c>
      <c r="D748" s="7" t="n">
        <v>62</v>
      </c>
      <c r="E748" s="7" t="n">
        <v>92</v>
      </c>
      <c r="F748" s="3" t="n">
        <f aca="false">COUNTIFS($B$2:$B$2705,B748,$C$2:$C$2705,C748)</f>
        <v>2</v>
      </c>
      <c r="G748" s="3" t="n">
        <f aca="false">MIN(INT((MIN(B748,2020)-1900)/10)+1,12)</f>
        <v>5</v>
      </c>
      <c r="H748" s="3" t="n">
        <f aca="false">(MIN(B748,2020)-1900-10*(G748-1))/10</f>
        <v>0.7</v>
      </c>
      <c r="I748" s="20" t="n">
        <f aca="false">EXP(LN(INDEX(Pop_Inputs!$B$2:$N$29,MATCH(C748,Pop_Inputs!$A$2:$A$29,0),G748))*(1-H748)+LN(INDEX(Pop_Inputs!$B$2:$N$29,MATCH(C748,Pop_Inputs!$A$2:$A$29,0),G748+1))*H748)</f>
        <v>2028486.31072482</v>
      </c>
      <c r="J748" s="20" t="n">
        <f aca="false">I748/F748</f>
        <v>1014243.15536241</v>
      </c>
      <c r="K748" s="21" t="n">
        <f aca="false">D748/(D748+E748)</f>
        <v>0.402597402597403</v>
      </c>
      <c r="L748" s="21" t="n">
        <f aca="false">AVERAGEIFS($K$2:$K$2705,$B$2:$B$2705,B748)</f>
        <v>0.5</v>
      </c>
      <c r="M748" s="21" t="n">
        <f aca="false">K748-L748</f>
        <v>-0.0974025974025974</v>
      </c>
      <c r="N748" s="21" t="n">
        <f aca="false">LN(J748)</f>
        <v>13.8296532325741</v>
      </c>
      <c r="O748" s="21" t="n">
        <f aca="false">AVERAGEIFS($N$2:$N$2705,$B$2:$B$2705,B748)</f>
        <v>13.7867278457085</v>
      </c>
      <c r="P748" s="21" t="n">
        <f aca="false">N748-O748</f>
        <v>0.0429253868655959</v>
      </c>
      <c r="Q748" s="7" t="n">
        <v>0</v>
      </c>
      <c r="R748" s="3" t="n">
        <f aca="false">IF(AND(Q748=1,B748-_xlfn.MINIFS($B$2:$B$2705,$A$2:$A$2705,A748)&lt;10),1,0)</f>
        <v>0</v>
      </c>
      <c r="S748" s="7" t="n">
        <v>0</v>
      </c>
      <c r="T748" s="3" t="n">
        <f aca="false">_xlfn.MINIFS($B$2:$B$2705,$A$2:$A$2705,A748)</f>
        <v>1901</v>
      </c>
      <c r="U748" s="3" t="n">
        <f aca="false">B748-T748</f>
        <v>46</v>
      </c>
      <c r="V748" s="3" t="str">
        <f aca="false">INDEX(Pop_Inputs!$Q$2:$Q$29,MATCH(C748,Pop_Inputs!$A$2:$A$29,0))</f>
        <v>Northeast</v>
      </c>
      <c r="W748" s="30"/>
      <c r="X748" s="3" t="str">
        <f aca="false">IF(W748="","",LN(W748))</f>
        <v/>
      </c>
      <c r="Y748" s="3" t="str">
        <f aca="false">IF(X748="","",X748-AVERAGEIFS($X$2:$X$2705,$B$2:$B$2705,B748))</f>
        <v/>
      </c>
      <c r="Z748" s="21" t="n">
        <f aca="false">P748</f>
        <v>0.0429253868655959</v>
      </c>
      <c r="AA748" s="3" t="n">
        <f aca="false">R748</f>
        <v>0</v>
      </c>
      <c r="AB748" s="21" t="n">
        <f aca="false">P748</f>
        <v>0.0429253868655959</v>
      </c>
      <c r="AC748" s="3" t="str">
        <f aca="false">Y748</f>
        <v/>
      </c>
      <c r="AD748" s="3" t="n">
        <f aca="false">R748</f>
        <v>0</v>
      </c>
    </row>
    <row r="749" customFormat="false" ht="15" hidden="false" customHeight="true" outlineLevel="0" collapsed="false">
      <c r="A749" s="7" t="s">
        <v>58</v>
      </c>
      <c r="B749" s="7" t="n">
        <v>1947</v>
      </c>
      <c r="C749" s="7" t="s">
        <v>144</v>
      </c>
      <c r="D749" s="7" t="n">
        <v>62</v>
      </c>
      <c r="E749" s="7" t="n">
        <v>92</v>
      </c>
      <c r="F749" s="3" t="n">
        <f aca="false">COUNTIFS($B$2:$B$2705,B749,$C$2:$C$2705,C749)</f>
        <v>1</v>
      </c>
      <c r="G749" s="3" t="n">
        <f aca="false">MIN(INT((MIN(B749,2020)-1900)/10)+1,12)</f>
        <v>5</v>
      </c>
      <c r="H749" s="3" t="n">
        <f aca="false">(MIN(B749,2020)-1900-10*(G749-1))/10</f>
        <v>0.7</v>
      </c>
      <c r="I749" s="20" t="n">
        <f aca="false">EXP(LN(INDEX(Pop_Inputs!$B$2:$N$29,MATCH(C749,Pop_Inputs!$A$2:$A$29,0),G749))*(1-H749)+LN(INDEX(Pop_Inputs!$B$2:$N$29,MATCH(C749,Pop_Inputs!$A$2:$A$29,0),G749+1))*H749)</f>
        <v>675257.772276607</v>
      </c>
      <c r="J749" s="20" t="n">
        <f aca="false">I749/F749</f>
        <v>675257.772276607</v>
      </c>
      <c r="K749" s="21" t="n">
        <f aca="false">D749/(D749+E749)</f>
        <v>0.402597402597403</v>
      </c>
      <c r="L749" s="21" t="n">
        <f aca="false">AVERAGEIFS($K$2:$K$2705,$B$2:$B$2705,B749)</f>
        <v>0.5</v>
      </c>
      <c r="M749" s="21" t="n">
        <f aca="false">K749-L749</f>
        <v>-0.0974025974025974</v>
      </c>
      <c r="N749" s="21" t="n">
        <f aca="false">LN(J749)</f>
        <v>13.4228497818094</v>
      </c>
      <c r="O749" s="21" t="n">
        <f aca="false">AVERAGEIFS($N$2:$N$2705,$B$2:$B$2705,B749)</f>
        <v>13.7867278457085</v>
      </c>
      <c r="P749" s="21" t="n">
        <f aca="false">N749-O749</f>
        <v>-0.363878063899024</v>
      </c>
      <c r="Q749" s="7" t="n">
        <v>0</v>
      </c>
      <c r="R749" s="3" t="n">
        <f aca="false">IF(AND(Q749=1,B749-_xlfn.MINIFS($B$2:$B$2705,$A$2:$A$2705,A749)&lt;10),1,0)</f>
        <v>0</v>
      </c>
      <c r="S749" s="7" t="n">
        <v>0</v>
      </c>
      <c r="T749" s="3" t="n">
        <f aca="false">_xlfn.MINIFS($B$2:$B$2705,$A$2:$A$2705,A749)</f>
        <v>1901</v>
      </c>
      <c r="U749" s="3" t="n">
        <f aca="false">B749-T749</f>
        <v>46</v>
      </c>
      <c r="V749" s="3" t="str">
        <f aca="false">INDEX(Pop_Inputs!$Q$2:$Q$29,MATCH(C749,Pop_Inputs!$A$2:$A$29,0))</f>
        <v>Northeast</v>
      </c>
      <c r="W749" s="30"/>
      <c r="X749" s="3" t="str">
        <f aca="false">IF(W749="","",LN(W749))</f>
        <v/>
      </c>
      <c r="Y749" s="3" t="str">
        <f aca="false">IF(X749="","",X749-AVERAGEIFS($X$2:$X$2705,$B$2:$B$2705,B749))</f>
        <v/>
      </c>
      <c r="Z749" s="21" t="n">
        <f aca="false">P749</f>
        <v>-0.363878063899024</v>
      </c>
      <c r="AA749" s="3" t="n">
        <f aca="false">R749</f>
        <v>0</v>
      </c>
      <c r="AB749" s="21" t="n">
        <f aca="false">P749</f>
        <v>-0.363878063899024</v>
      </c>
      <c r="AC749" s="3" t="str">
        <f aca="false">Y749</f>
        <v/>
      </c>
      <c r="AD749" s="3" t="n">
        <f aca="false">R749</f>
        <v>0</v>
      </c>
    </row>
    <row r="750" customFormat="false" ht="15" hidden="false" customHeight="true" outlineLevel="0" collapsed="false">
      <c r="A750" s="7" t="s">
        <v>61</v>
      </c>
      <c r="B750" s="7" t="n">
        <v>1947</v>
      </c>
      <c r="C750" s="7" t="s">
        <v>154</v>
      </c>
      <c r="D750" s="7" t="n">
        <v>81</v>
      </c>
      <c r="E750" s="7" t="n">
        <v>73</v>
      </c>
      <c r="F750" s="3" t="n">
        <f aca="false">COUNTIFS($B$2:$B$2705,B750,$C$2:$C$2705,C750)</f>
        <v>3</v>
      </c>
      <c r="G750" s="3" t="n">
        <f aca="false">MIN(INT((MIN(B750,2020)-1900)/10)+1,12)</f>
        <v>5</v>
      </c>
      <c r="H750" s="3" t="n">
        <f aca="false">(MIN(B750,2020)-1900-10*(G750-1))/10</f>
        <v>0.7</v>
      </c>
      <c r="I750" s="20" t="n">
        <f aca="false">EXP(LN(INDEX(Pop_Inputs!$B$2:$N$29,MATCH(C750,Pop_Inputs!$A$2:$A$29,0),G750))*(1-H750)+LN(INDEX(Pop_Inputs!$B$2:$N$29,MATCH(C750,Pop_Inputs!$A$2:$A$29,0),G750+1))*H750)</f>
        <v>7758245.24940731</v>
      </c>
      <c r="J750" s="20" t="n">
        <f aca="false">I750/F750</f>
        <v>2586081.74980244</v>
      </c>
      <c r="K750" s="21" t="n">
        <f aca="false">D750/(D750+E750)</f>
        <v>0.525974025974026</v>
      </c>
      <c r="L750" s="21" t="n">
        <f aca="false">AVERAGEIFS($K$2:$K$2705,$B$2:$B$2705,B750)</f>
        <v>0.5</v>
      </c>
      <c r="M750" s="21" t="n">
        <f aca="false">K750-L750</f>
        <v>0.025974025974026</v>
      </c>
      <c r="N750" s="21" t="n">
        <f aca="false">LN(J750)</f>
        <v>14.7656544502669</v>
      </c>
      <c r="O750" s="21" t="n">
        <f aca="false">AVERAGEIFS($N$2:$N$2705,$B$2:$B$2705,B750)</f>
        <v>13.7867278457085</v>
      </c>
      <c r="P750" s="21" t="n">
        <f aca="false">N750-O750</f>
        <v>0.978926604558421</v>
      </c>
      <c r="Q750" s="7" t="n">
        <v>0</v>
      </c>
      <c r="R750" s="3" t="n">
        <f aca="false">IF(AND(Q750=1,B750-_xlfn.MINIFS($B$2:$B$2705,$A$2:$A$2705,A750)&lt;10),1,0)</f>
        <v>0</v>
      </c>
      <c r="S750" s="7" t="n">
        <v>0</v>
      </c>
      <c r="T750" s="3" t="n">
        <f aca="false">_xlfn.MINIFS($B$2:$B$2705,$A$2:$A$2705,A750)</f>
        <v>1901</v>
      </c>
      <c r="U750" s="3" t="n">
        <f aca="false">B750-T750</f>
        <v>46</v>
      </c>
      <c r="V750" s="3" t="str">
        <f aca="false">INDEX(Pop_Inputs!$Q$2:$Q$29,MATCH(C750,Pop_Inputs!$A$2:$A$29,0))</f>
        <v>Northeast</v>
      </c>
      <c r="W750" s="30"/>
      <c r="X750" s="3" t="str">
        <f aca="false">IF(W750="","",LN(W750))</f>
        <v/>
      </c>
      <c r="Y750" s="3" t="str">
        <f aca="false">IF(X750="","",X750-AVERAGEIFS($X$2:$X$2705,$B$2:$B$2705,B750))</f>
        <v/>
      </c>
      <c r="Z750" s="21" t="n">
        <f aca="false">P750</f>
        <v>0.978926604558421</v>
      </c>
      <c r="AA750" s="3" t="n">
        <f aca="false">R750</f>
        <v>0</v>
      </c>
      <c r="AB750" s="21" t="n">
        <f aca="false">P750</f>
        <v>0.978926604558421</v>
      </c>
      <c r="AC750" s="3" t="str">
        <f aca="false">Y750</f>
        <v/>
      </c>
      <c r="AD750" s="3" t="n">
        <f aca="false">R750</f>
        <v>0</v>
      </c>
    </row>
    <row r="751" customFormat="false" ht="15" hidden="false" customHeight="true" outlineLevel="0" collapsed="false">
      <c r="A751" s="7" t="s">
        <v>59</v>
      </c>
      <c r="B751" s="7" t="n">
        <v>1947</v>
      </c>
      <c r="C751" s="7" t="s">
        <v>145</v>
      </c>
      <c r="D751" s="7" t="n">
        <v>89</v>
      </c>
      <c r="E751" s="7" t="n">
        <v>65</v>
      </c>
      <c r="F751" s="3" t="n">
        <f aca="false">COUNTIFS($B$2:$B$2705,B751,$C$2:$C$2705,C751)</f>
        <v>2</v>
      </c>
      <c r="G751" s="3" t="n">
        <f aca="false">MIN(INT((MIN(B751,2020)-1900)/10)+1,12)</f>
        <v>5</v>
      </c>
      <c r="H751" s="3" t="n">
        <f aca="false">(MIN(B751,2020)-1900-10*(G751-1))/10</f>
        <v>0.7</v>
      </c>
      <c r="I751" s="20" t="n">
        <f aca="false">EXP(LN(INDEX(Pop_Inputs!$B$2:$N$29,MATCH(C751,Pop_Inputs!$A$2:$A$29,0),G751))*(1-H751)+LN(INDEX(Pop_Inputs!$B$2:$N$29,MATCH(C751,Pop_Inputs!$A$2:$A$29,0),G751+1))*H751)</f>
        <v>844362.452449855</v>
      </c>
      <c r="J751" s="20" t="n">
        <f aca="false">I751/F751</f>
        <v>422181.226224928</v>
      </c>
      <c r="K751" s="21" t="n">
        <f aca="false">D751/(D751+E751)</f>
        <v>0.577922077922078</v>
      </c>
      <c r="L751" s="21" t="n">
        <f aca="false">AVERAGEIFS($K$2:$K$2705,$B$2:$B$2705,B751)</f>
        <v>0.5</v>
      </c>
      <c r="M751" s="21" t="n">
        <f aca="false">K751-L751</f>
        <v>0.077922077922078</v>
      </c>
      <c r="N751" s="21" t="n">
        <f aca="false">LN(J751)</f>
        <v>12.9531899468632</v>
      </c>
      <c r="O751" s="21" t="n">
        <f aca="false">AVERAGEIFS($N$2:$N$2705,$B$2:$B$2705,B751)</f>
        <v>13.7867278457085</v>
      </c>
      <c r="P751" s="21" t="n">
        <f aca="false">N751-O751</f>
        <v>-0.833537898845234</v>
      </c>
      <c r="Q751" s="7" t="n">
        <v>0</v>
      </c>
      <c r="R751" s="3" t="n">
        <f aca="false">IF(AND(Q751=1,B751-_xlfn.MINIFS($B$2:$B$2705,$A$2:$A$2705,A751)&lt;10),1,0)</f>
        <v>0</v>
      </c>
      <c r="S751" s="7" t="n">
        <v>0</v>
      </c>
      <c r="T751" s="3" t="n">
        <f aca="false">_xlfn.MINIFS($B$2:$B$2705,$A$2:$A$2705,A751)</f>
        <v>1901</v>
      </c>
      <c r="U751" s="3" t="n">
        <f aca="false">B751-T751</f>
        <v>46</v>
      </c>
      <c r="V751" s="3" t="str">
        <f aca="false">INDEX(Pop_Inputs!$Q$2:$Q$29,MATCH(C751,Pop_Inputs!$A$2:$A$29,0))</f>
        <v>Midwest</v>
      </c>
      <c r="W751" s="30"/>
      <c r="X751" s="3" t="str">
        <f aca="false">IF(W751="","",LN(W751))</f>
        <v/>
      </c>
      <c r="Y751" s="3" t="str">
        <f aca="false">IF(X751="","",X751-AVERAGEIFS($X$2:$X$2705,$B$2:$B$2705,B751))</f>
        <v/>
      </c>
      <c r="Z751" s="21" t="n">
        <f aca="false">P751</f>
        <v>-0.833537898845234</v>
      </c>
      <c r="AA751" s="3" t="n">
        <f aca="false">R751</f>
        <v>0</v>
      </c>
      <c r="AB751" s="21" t="n">
        <f aca="false">P751</f>
        <v>-0.833537898845234</v>
      </c>
      <c r="AC751" s="3" t="str">
        <f aca="false">Y751</f>
        <v/>
      </c>
      <c r="AD751" s="3" t="n">
        <f aca="false">R751</f>
        <v>0</v>
      </c>
    </row>
    <row r="752" customFormat="false" ht="15" hidden="false" customHeight="true" outlineLevel="0" collapsed="false">
      <c r="A752" s="7" t="s">
        <v>54</v>
      </c>
      <c r="B752" s="7" t="n">
        <v>1948</v>
      </c>
      <c r="C752" s="7" t="s">
        <v>150</v>
      </c>
      <c r="D752" s="7" t="n">
        <v>91</v>
      </c>
      <c r="E752" s="7" t="n">
        <v>62</v>
      </c>
      <c r="F752" s="3" t="n">
        <f aca="false">COUNTIFS($B$2:$B$2705,B752,$C$2:$C$2705,C752)</f>
        <v>2</v>
      </c>
      <c r="G752" s="3" t="n">
        <f aca="false">MIN(INT((MIN(B752,2020)-1900)/10)+1,12)</f>
        <v>5</v>
      </c>
      <c r="H752" s="3" t="n">
        <f aca="false">(MIN(B752,2020)-1900-10*(G752-1))/10</f>
        <v>0.8</v>
      </c>
      <c r="I752" s="20" t="n">
        <f aca="false">EXP(LN(INDEX(Pop_Inputs!$B$2:$N$29,MATCH(C752,Pop_Inputs!$A$2:$A$29,0),G752))*(1-H752)+LN(INDEX(Pop_Inputs!$B$2:$N$29,MATCH(C752,Pop_Inputs!$A$2:$A$29,0),G752+1))*H752)</f>
        <v>795222.555328056</v>
      </c>
      <c r="J752" s="20" t="n">
        <f aca="false">I752/F752</f>
        <v>397611.277664028</v>
      </c>
      <c r="K752" s="21" t="n">
        <f aca="false">D752/(D752+E752)</f>
        <v>0.594771241830065</v>
      </c>
      <c r="L752" s="21" t="n">
        <f aca="false">AVERAGEIFS($K$2:$K$2705,$B$2:$B$2705,B752)</f>
        <v>0.499671508613478</v>
      </c>
      <c r="M752" s="21" t="n">
        <f aca="false">K752-L752</f>
        <v>0.0950997332165876</v>
      </c>
      <c r="N752" s="21" t="n">
        <f aca="false">LN(J752)</f>
        <v>12.8932301177084</v>
      </c>
      <c r="O752" s="21" t="n">
        <f aca="false">AVERAGEIFS($N$2:$N$2705,$B$2:$B$2705,B752)</f>
        <v>13.793505133067</v>
      </c>
      <c r="P752" s="21" t="n">
        <f aca="false">N752-O752</f>
        <v>-0.900275015358531</v>
      </c>
      <c r="Q752" s="7" t="n">
        <v>0</v>
      </c>
      <c r="R752" s="3" t="n">
        <f aca="false">IF(AND(Q752=1,B752-_xlfn.MINIFS($B$2:$B$2705,$A$2:$A$2705,A752)&lt;10),1,0)</f>
        <v>0</v>
      </c>
      <c r="S752" s="7" t="n">
        <v>0</v>
      </c>
      <c r="T752" s="3" t="n">
        <f aca="false">_xlfn.MINIFS($B$2:$B$2705,$A$2:$A$2705,A752)</f>
        <v>1901</v>
      </c>
      <c r="U752" s="3" t="n">
        <f aca="false">B752-T752</f>
        <v>47</v>
      </c>
      <c r="V752" s="3" t="str">
        <f aca="false">INDEX(Pop_Inputs!$Q$2:$Q$29,MATCH(C752,Pop_Inputs!$A$2:$A$29,0))</f>
        <v>Northeast</v>
      </c>
      <c r="W752" s="30"/>
      <c r="X752" s="3" t="str">
        <f aca="false">IF(W752="","",LN(W752))</f>
        <v/>
      </c>
      <c r="Y752" s="3" t="str">
        <f aca="false">IF(X752="","",X752-AVERAGEIFS($X$2:$X$2705,$B$2:$B$2705,B752))</f>
        <v/>
      </c>
      <c r="Z752" s="21" t="n">
        <f aca="false">P752</f>
        <v>-0.900275015358531</v>
      </c>
      <c r="AA752" s="3" t="n">
        <f aca="false">R752</f>
        <v>0</v>
      </c>
      <c r="AB752" s="21" t="n">
        <f aca="false">P752</f>
        <v>-0.900275015358531</v>
      </c>
      <c r="AC752" s="3" t="str">
        <f aca="false">Y752</f>
        <v/>
      </c>
      <c r="AD752" s="3" t="n">
        <f aca="false">R752</f>
        <v>0</v>
      </c>
    </row>
    <row r="753" customFormat="false" ht="15" hidden="false" customHeight="true" outlineLevel="0" collapsed="false">
      <c r="A753" s="7" t="s">
        <v>63</v>
      </c>
      <c r="B753" s="7" t="n">
        <v>1948</v>
      </c>
      <c r="C753" s="7" t="s">
        <v>145</v>
      </c>
      <c r="D753" s="7" t="n">
        <v>59</v>
      </c>
      <c r="E753" s="7" t="n">
        <v>94</v>
      </c>
      <c r="F753" s="3" t="n">
        <f aca="false">COUNTIFS($B$2:$B$2705,B753,$C$2:$C$2705,C753)</f>
        <v>2</v>
      </c>
      <c r="G753" s="3" t="n">
        <f aca="false">MIN(INT((MIN(B753,2020)-1900)/10)+1,12)</f>
        <v>5</v>
      </c>
      <c r="H753" s="3" t="n">
        <f aca="false">(MIN(B753,2020)-1900-10*(G753-1))/10</f>
        <v>0.8</v>
      </c>
      <c r="I753" s="20" t="n">
        <f aca="false">EXP(LN(INDEX(Pop_Inputs!$B$2:$N$29,MATCH(C753,Pop_Inputs!$A$2:$A$29,0),G753))*(1-H753)+LN(INDEX(Pop_Inputs!$B$2:$N$29,MATCH(C753,Pop_Inputs!$A$2:$A$29,0),G753+1))*H753)</f>
        <v>848486.789932985</v>
      </c>
      <c r="J753" s="20" t="n">
        <f aca="false">I753/F753</f>
        <v>424243.394966493</v>
      </c>
      <c r="K753" s="21" t="n">
        <f aca="false">D753/(D753+E753)</f>
        <v>0.38562091503268</v>
      </c>
      <c r="L753" s="21" t="n">
        <f aca="false">AVERAGEIFS($K$2:$K$2705,$B$2:$B$2705,B753)</f>
        <v>0.499671508613478</v>
      </c>
      <c r="M753" s="21" t="n">
        <f aca="false">K753-L753</f>
        <v>-0.114050593580798</v>
      </c>
      <c r="N753" s="21" t="n">
        <f aca="false">LN(J753)</f>
        <v>12.9580626142457</v>
      </c>
      <c r="O753" s="21" t="n">
        <f aca="false">AVERAGEIFS($N$2:$N$2705,$B$2:$B$2705,B753)</f>
        <v>13.793505133067</v>
      </c>
      <c r="P753" s="21" t="n">
        <f aca="false">N753-O753</f>
        <v>-0.835442518821235</v>
      </c>
      <c r="Q753" s="7" t="n">
        <v>0</v>
      </c>
      <c r="R753" s="3" t="n">
        <f aca="false">IF(AND(Q753=1,B753-_xlfn.MINIFS($B$2:$B$2705,$A$2:$A$2705,A753)&lt;10),1,0)</f>
        <v>0</v>
      </c>
      <c r="S753" s="7" t="n">
        <v>0</v>
      </c>
      <c r="T753" s="3" t="n">
        <f aca="false">_xlfn.MINIFS($B$2:$B$2705,$A$2:$A$2705,A753)</f>
        <v>1901</v>
      </c>
      <c r="U753" s="3" t="n">
        <f aca="false">B753-T753</f>
        <v>47</v>
      </c>
      <c r="V753" s="3" t="str">
        <f aca="false">INDEX(Pop_Inputs!$Q$2:$Q$29,MATCH(C753,Pop_Inputs!$A$2:$A$29,0))</f>
        <v>Midwest</v>
      </c>
      <c r="W753" s="30"/>
      <c r="X753" s="3" t="str">
        <f aca="false">IF(W753="","",LN(W753))</f>
        <v/>
      </c>
      <c r="Y753" s="3" t="str">
        <f aca="false">IF(X753="","",X753-AVERAGEIFS($X$2:$X$2705,$B$2:$B$2705,B753))</f>
        <v/>
      </c>
      <c r="Z753" s="21" t="n">
        <f aca="false">P753</f>
        <v>-0.835442518821235</v>
      </c>
      <c r="AA753" s="3" t="n">
        <f aca="false">R753</f>
        <v>0</v>
      </c>
      <c r="AB753" s="21" t="n">
        <f aca="false">P753</f>
        <v>-0.835442518821235</v>
      </c>
      <c r="AC753" s="3" t="str">
        <f aca="false">Y753</f>
        <v/>
      </c>
      <c r="AD753" s="3" t="n">
        <f aca="false">R753</f>
        <v>0</v>
      </c>
    </row>
    <row r="754" customFormat="false" ht="15" hidden="false" customHeight="true" outlineLevel="0" collapsed="false">
      <c r="A754" s="7" t="s">
        <v>64</v>
      </c>
      <c r="B754" s="7" t="n">
        <v>1948</v>
      </c>
      <c r="C754" s="7" t="s">
        <v>150</v>
      </c>
      <c r="D754" s="7" t="n">
        <v>96</v>
      </c>
      <c r="E754" s="7" t="n">
        <v>59</v>
      </c>
      <c r="F754" s="3" t="n">
        <f aca="false">COUNTIFS($B$2:$B$2705,B754,$C$2:$C$2705,C754)</f>
        <v>2</v>
      </c>
      <c r="G754" s="3" t="n">
        <f aca="false">MIN(INT((MIN(B754,2020)-1900)/10)+1,12)</f>
        <v>5</v>
      </c>
      <c r="H754" s="3" t="n">
        <f aca="false">(MIN(B754,2020)-1900-10*(G754-1))/10</f>
        <v>0.8</v>
      </c>
      <c r="I754" s="20" t="n">
        <f aca="false">EXP(LN(INDEX(Pop_Inputs!$B$2:$N$29,MATCH(C754,Pop_Inputs!$A$2:$A$29,0),G754))*(1-H754)+LN(INDEX(Pop_Inputs!$B$2:$N$29,MATCH(C754,Pop_Inputs!$A$2:$A$29,0),G754+1))*H754)</f>
        <v>795222.555328056</v>
      </c>
      <c r="J754" s="20" t="n">
        <f aca="false">I754/F754</f>
        <v>397611.277664028</v>
      </c>
      <c r="K754" s="21" t="n">
        <f aca="false">D754/(D754+E754)</f>
        <v>0.619354838709677</v>
      </c>
      <c r="L754" s="21" t="n">
        <f aca="false">AVERAGEIFS($K$2:$K$2705,$B$2:$B$2705,B754)</f>
        <v>0.499671508613478</v>
      </c>
      <c r="M754" s="21" t="n">
        <f aca="false">K754-L754</f>
        <v>0.1196833300962</v>
      </c>
      <c r="N754" s="21" t="n">
        <f aca="false">LN(J754)</f>
        <v>12.8932301177084</v>
      </c>
      <c r="O754" s="21" t="n">
        <f aca="false">AVERAGEIFS($N$2:$N$2705,$B$2:$B$2705,B754)</f>
        <v>13.793505133067</v>
      </c>
      <c r="P754" s="21" t="n">
        <f aca="false">N754-O754</f>
        <v>-0.900275015358531</v>
      </c>
      <c r="Q754" s="7" t="n">
        <v>0</v>
      </c>
      <c r="R754" s="3" t="n">
        <f aca="false">IF(AND(Q754=1,B754-_xlfn.MINIFS($B$2:$B$2705,$A$2:$A$2705,A754)&lt;10),1,0)</f>
        <v>0</v>
      </c>
      <c r="S754" s="7" t="n">
        <v>0</v>
      </c>
      <c r="T754" s="3" t="n">
        <f aca="false">_xlfn.MINIFS($B$2:$B$2705,$A$2:$A$2705,A754)</f>
        <v>1901</v>
      </c>
      <c r="U754" s="3" t="n">
        <f aca="false">B754-T754</f>
        <v>47</v>
      </c>
      <c r="V754" s="3" t="str">
        <f aca="false">INDEX(Pop_Inputs!$Q$2:$Q$29,MATCH(C754,Pop_Inputs!$A$2:$A$29,0))</f>
        <v>Northeast</v>
      </c>
      <c r="W754" s="30"/>
      <c r="X754" s="3" t="str">
        <f aca="false">IF(W754="","",LN(W754))</f>
        <v/>
      </c>
      <c r="Y754" s="3" t="str">
        <f aca="false">IF(X754="","",X754-AVERAGEIFS($X$2:$X$2705,$B$2:$B$2705,B754))</f>
        <v/>
      </c>
      <c r="Z754" s="21" t="n">
        <f aca="false">P754</f>
        <v>-0.900275015358531</v>
      </c>
      <c r="AA754" s="3" t="n">
        <f aca="false">R754</f>
        <v>0</v>
      </c>
      <c r="AB754" s="21" t="n">
        <f aca="false">P754</f>
        <v>-0.900275015358531</v>
      </c>
      <c r="AC754" s="3" t="str">
        <f aca="false">Y754</f>
        <v/>
      </c>
      <c r="AD754" s="3" t="n">
        <f aca="false">R754</f>
        <v>0</v>
      </c>
    </row>
    <row r="755" customFormat="false" ht="15" hidden="false" customHeight="true" outlineLevel="0" collapsed="false">
      <c r="A755" s="7" t="s">
        <v>56</v>
      </c>
      <c r="B755" s="7" t="n">
        <v>1948</v>
      </c>
      <c r="C755" s="7" t="s">
        <v>142</v>
      </c>
      <c r="D755" s="7" t="n">
        <v>64</v>
      </c>
      <c r="E755" s="7" t="n">
        <v>90</v>
      </c>
      <c r="F755" s="3" t="n">
        <f aca="false">COUNTIFS($B$2:$B$2705,B755,$C$2:$C$2705,C755)</f>
        <v>2</v>
      </c>
      <c r="G755" s="3" t="n">
        <f aca="false">MIN(INT((MIN(B755,2020)-1900)/10)+1,12)</f>
        <v>5</v>
      </c>
      <c r="H755" s="3" t="n">
        <f aca="false">(MIN(B755,2020)-1900-10*(G755-1))/10</f>
        <v>0.8</v>
      </c>
      <c r="I755" s="20" t="n">
        <f aca="false">EXP(LN(INDEX(Pop_Inputs!$B$2:$N$29,MATCH(C755,Pop_Inputs!$A$2:$A$29,0),G755))*(1-H755)+LN(INDEX(Pop_Inputs!$B$2:$N$29,MATCH(C755,Pop_Inputs!$A$2:$A$29,0),G755+1))*H755)</f>
        <v>3574978.00091298</v>
      </c>
      <c r="J755" s="20" t="n">
        <f aca="false">I755/F755</f>
        <v>1787489.00045649</v>
      </c>
      <c r="K755" s="21" t="n">
        <f aca="false">D755/(D755+E755)</f>
        <v>0.415584415584416</v>
      </c>
      <c r="L755" s="21" t="n">
        <f aca="false">AVERAGEIFS($K$2:$K$2705,$B$2:$B$2705,B755)</f>
        <v>0.499671508613478</v>
      </c>
      <c r="M755" s="21" t="n">
        <f aca="false">K755-L755</f>
        <v>-0.0840870930290622</v>
      </c>
      <c r="N755" s="21" t="n">
        <f aca="false">LN(J755)</f>
        <v>14.3963223999406</v>
      </c>
      <c r="O755" s="21" t="n">
        <f aca="false">AVERAGEIFS($N$2:$N$2705,$B$2:$B$2705,B755)</f>
        <v>13.793505133067</v>
      </c>
      <c r="P755" s="21" t="n">
        <f aca="false">N755-O755</f>
        <v>0.602817266873618</v>
      </c>
      <c r="Q755" s="7" t="n">
        <v>0</v>
      </c>
      <c r="R755" s="3" t="n">
        <f aca="false">IF(AND(Q755=1,B755-_xlfn.MINIFS($B$2:$B$2705,$A$2:$A$2705,A755)&lt;10),1,0)</f>
        <v>0</v>
      </c>
      <c r="S755" s="7" t="n">
        <v>0</v>
      </c>
      <c r="T755" s="3" t="n">
        <f aca="false">_xlfn.MINIFS($B$2:$B$2705,$A$2:$A$2705,A755)</f>
        <v>1901</v>
      </c>
      <c r="U755" s="3" t="n">
        <f aca="false">B755-T755</f>
        <v>47</v>
      </c>
      <c r="V755" s="3" t="str">
        <f aca="false">INDEX(Pop_Inputs!$Q$2:$Q$29,MATCH(C755,Pop_Inputs!$A$2:$A$29,0))</f>
        <v>Midwest</v>
      </c>
      <c r="W755" s="30"/>
      <c r="X755" s="3" t="str">
        <f aca="false">IF(W755="","",LN(W755))</f>
        <v/>
      </c>
      <c r="Y755" s="3" t="str">
        <f aca="false">IF(X755="","",X755-AVERAGEIFS($X$2:$X$2705,$B$2:$B$2705,B755))</f>
        <v/>
      </c>
      <c r="Z755" s="21" t="n">
        <f aca="false">P755</f>
        <v>0.602817266873618</v>
      </c>
      <c r="AA755" s="3" t="n">
        <f aca="false">R755</f>
        <v>0</v>
      </c>
      <c r="AB755" s="21" t="n">
        <f aca="false">P755</f>
        <v>0.602817266873618</v>
      </c>
      <c r="AC755" s="3" t="str">
        <f aca="false">Y755</f>
        <v/>
      </c>
      <c r="AD755" s="3" t="n">
        <f aca="false">R755</f>
        <v>0</v>
      </c>
    </row>
    <row r="756" customFormat="false" ht="15" hidden="false" customHeight="true" outlineLevel="0" collapsed="false">
      <c r="A756" s="7" t="s">
        <v>65</v>
      </c>
      <c r="B756" s="7" t="n">
        <v>1948</v>
      </c>
      <c r="C756" s="7" t="s">
        <v>142</v>
      </c>
      <c r="D756" s="7" t="n">
        <v>51</v>
      </c>
      <c r="E756" s="7" t="n">
        <v>101</v>
      </c>
      <c r="F756" s="3" t="n">
        <f aca="false">COUNTIFS($B$2:$B$2705,B756,$C$2:$C$2705,C756)</f>
        <v>2</v>
      </c>
      <c r="G756" s="3" t="n">
        <f aca="false">MIN(INT((MIN(B756,2020)-1900)/10)+1,12)</f>
        <v>5</v>
      </c>
      <c r="H756" s="3" t="n">
        <f aca="false">(MIN(B756,2020)-1900-10*(G756-1))/10</f>
        <v>0.8</v>
      </c>
      <c r="I756" s="20" t="n">
        <f aca="false">EXP(LN(INDEX(Pop_Inputs!$B$2:$N$29,MATCH(C756,Pop_Inputs!$A$2:$A$29,0),G756))*(1-H756)+LN(INDEX(Pop_Inputs!$B$2:$N$29,MATCH(C756,Pop_Inputs!$A$2:$A$29,0),G756+1))*H756)</f>
        <v>3574978.00091298</v>
      </c>
      <c r="J756" s="20" t="n">
        <f aca="false">I756/F756</f>
        <v>1787489.00045649</v>
      </c>
      <c r="K756" s="21" t="n">
        <f aca="false">D756/(D756+E756)</f>
        <v>0.335526315789474</v>
      </c>
      <c r="L756" s="21" t="n">
        <f aca="false">AVERAGEIFS($K$2:$K$2705,$B$2:$B$2705,B756)</f>
        <v>0.499671508613478</v>
      </c>
      <c r="M756" s="21" t="n">
        <f aca="false">K756-L756</f>
        <v>-0.164145192824004</v>
      </c>
      <c r="N756" s="21" t="n">
        <f aca="false">LN(J756)</f>
        <v>14.3963223999406</v>
      </c>
      <c r="O756" s="21" t="n">
        <f aca="false">AVERAGEIFS($N$2:$N$2705,$B$2:$B$2705,B756)</f>
        <v>13.793505133067</v>
      </c>
      <c r="P756" s="21" t="n">
        <f aca="false">N756-O756</f>
        <v>0.602817266873618</v>
      </c>
      <c r="Q756" s="7" t="n">
        <v>0</v>
      </c>
      <c r="R756" s="3" t="n">
        <f aca="false">IF(AND(Q756=1,B756-_xlfn.MINIFS($B$2:$B$2705,$A$2:$A$2705,A756)&lt;10),1,0)</f>
        <v>0</v>
      </c>
      <c r="S756" s="7" t="n">
        <v>0</v>
      </c>
      <c r="T756" s="3" t="n">
        <f aca="false">_xlfn.MINIFS($B$2:$B$2705,$A$2:$A$2705,A756)</f>
        <v>1901</v>
      </c>
      <c r="U756" s="3" t="n">
        <f aca="false">B756-T756</f>
        <v>47</v>
      </c>
      <c r="V756" s="3" t="str">
        <f aca="false">INDEX(Pop_Inputs!$Q$2:$Q$29,MATCH(C756,Pop_Inputs!$A$2:$A$29,0))</f>
        <v>Midwest</v>
      </c>
      <c r="W756" s="30"/>
      <c r="X756" s="3" t="str">
        <f aca="false">IF(W756="","",LN(W756))</f>
        <v/>
      </c>
      <c r="Y756" s="3" t="str">
        <f aca="false">IF(X756="","",X756-AVERAGEIFS($X$2:$X$2705,$B$2:$B$2705,B756))</f>
        <v/>
      </c>
      <c r="Z756" s="21" t="n">
        <f aca="false">P756</f>
        <v>0.602817266873618</v>
      </c>
      <c r="AA756" s="3" t="n">
        <f aca="false">R756</f>
        <v>0</v>
      </c>
      <c r="AB756" s="21" t="n">
        <f aca="false">P756</f>
        <v>0.602817266873618</v>
      </c>
      <c r="AC756" s="3" t="str">
        <f aca="false">Y756</f>
        <v/>
      </c>
      <c r="AD756" s="3" t="n">
        <f aca="false">R756</f>
        <v>0</v>
      </c>
    </row>
    <row r="757" customFormat="false" ht="15" hidden="false" customHeight="true" outlineLevel="0" collapsed="false">
      <c r="A757" s="7" t="s">
        <v>57</v>
      </c>
      <c r="B757" s="7" t="n">
        <v>1948</v>
      </c>
      <c r="C757" s="7" t="s">
        <v>143</v>
      </c>
      <c r="D757" s="7" t="n">
        <v>64</v>
      </c>
      <c r="E757" s="7" t="n">
        <v>89</v>
      </c>
      <c r="F757" s="3" t="n">
        <f aca="false">COUNTIFS($B$2:$B$2705,B757,$C$2:$C$2705,C757)</f>
        <v>1</v>
      </c>
      <c r="G757" s="3" t="n">
        <f aca="false">MIN(INT((MIN(B757,2020)-1900)/10)+1,12)</f>
        <v>5</v>
      </c>
      <c r="H757" s="3" t="n">
        <f aca="false">(MIN(B757,2020)-1900-10*(G757-1))/10</f>
        <v>0.8</v>
      </c>
      <c r="I757" s="20" t="n">
        <f aca="false">EXP(LN(INDEX(Pop_Inputs!$B$2:$N$29,MATCH(C757,Pop_Inputs!$A$2:$A$29,0),G757))*(1-H757)+LN(INDEX(Pop_Inputs!$B$2:$N$29,MATCH(C757,Pop_Inputs!$A$2:$A$29,0),G757+1))*H757)</f>
        <v>493925.786393541</v>
      </c>
      <c r="J757" s="20" t="n">
        <f aca="false">I757/F757</f>
        <v>493925.786393541</v>
      </c>
      <c r="K757" s="21" t="n">
        <f aca="false">D757/(D757+E757)</f>
        <v>0.418300653594771</v>
      </c>
      <c r="L757" s="21" t="n">
        <f aca="false">AVERAGEIFS($K$2:$K$2705,$B$2:$B$2705,B757)</f>
        <v>0.499671508613478</v>
      </c>
      <c r="M757" s="21" t="n">
        <f aca="false">K757-L757</f>
        <v>-0.0813708550187066</v>
      </c>
      <c r="N757" s="21" t="n">
        <f aca="false">LN(J757)</f>
        <v>13.1101405549118</v>
      </c>
      <c r="O757" s="21" t="n">
        <f aca="false">AVERAGEIFS($N$2:$N$2705,$B$2:$B$2705,B757)</f>
        <v>13.793505133067</v>
      </c>
      <c r="P757" s="21" t="n">
        <f aca="false">N757-O757</f>
        <v>-0.683364578155157</v>
      </c>
      <c r="Q757" s="7" t="n">
        <v>0</v>
      </c>
      <c r="R757" s="3" t="n">
        <f aca="false">IF(AND(Q757=1,B757-_xlfn.MINIFS($B$2:$B$2705,$A$2:$A$2705,A757)&lt;10),1,0)</f>
        <v>0</v>
      </c>
      <c r="S757" s="7" t="n">
        <v>0</v>
      </c>
      <c r="T757" s="3" t="n">
        <f aca="false">_xlfn.MINIFS($B$2:$B$2705,$A$2:$A$2705,A757)</f>
        <v>1901</v>
      </c>
      <c r="U757" s="3" t="n">
        <f aca="false">B757-T757</f>
        <v>47</v>
      </c>
      <c r="V757" s="3" t="str">
        <f aca="false">INDEX(Pop_Inputs!$Q$2:$Q$29,MATCH(C757,Pop_Inputs!$A$2:$A$29,0))</f>
        <v>Midwest</v>
      </c>
      <c r="W757" s="30"/>
      <c r="X757" s="3" t="str">
        <f aca="false">IF(W757="","",LN(W757))</f>
        <v/>
      </c>
      <c r="Y757" s="3" t="str">
        <f aca="false">IF(X757="","",X757-AVERAGEIFS($X$2:$X$2705,$B$2:$B$2705,B757))</f>
        <v/>
      </c>
      <c r="Z757" s="21" t="n">
        <f aca="false">P757</f>
        <v>-0.683364578155157</v>
      </c>
      <c r="AA757" s="3" t="n">
        <f aca="false">R757</f>
        <v>0</v>
      </c>
      <c r="AB757" s="21" t="n">
        <f aca="false">P757</f>
        <v>-0.683364578155157</v>
      </c>
      <c r="AC757" s="3" t="str">
        <f aca="false">Y757</f>
        <v/>
      </c>
      <c r="AD757" s="3" t="n">
        <f aca="false">R757</f>
        <v>0</v>
      </c>
    </row>
    <row r="758" customFormat="false" ht="15" hidden="false" customHeight="true" outlineLevel="0" collapsed="false">
      <c r="A758" s="7" t="s">
        <v>66</v>
      </c>
      <c r="B758" s="7" t="n">
        <v>1948</v>
      </c>
      <c r="C758" s="7" t="s">
        <v>151</v>
      </c>
      <c r="D758" s="7" t="n">
        <v>97</v>
      </c>
      <c r="E758" s="7" t="n">
        <v>58</v>
      </c>
      <c r="F758" s="3" t="n">
        <f aca="false">COUNTIFS($B$2:$B$2705,B758,$C$2:$C$2705,C758)</f>
        <v>1</v>
      </c>
      <c r="G758" s="3" t="n">
        <f aca="false">MIN(INT((MIN(B758,2020)-1900)/10)+1,12)</f>
        <v>5</v>
      </c>
      <c r="H758" s="3" t="n">
        <f aca="false">(MIN(B758,2020)-1900-10*(G758-1))/10</f>
        <v>0.8</v>
      </c>
      <c r="I758" s="20" t="n">
        <f aca="false">EXP(LN(INDEX(Pop_Inputs!$B$2:$N$29,MATCH(C758,Pop_Inputs!$A$2:$A$29,0),G758))*(1-H758)+LN(INDEX(Pop_Inputs!$B$2:$N$29,MATCH(C758,Pop_Inputs!$A$2:$A$29,0),G758+1))*H758)</f>
        <v>907394.410609555</v>
      </c>
      <c r="J758" s="20" t="n">
        <f aca="false">I758/F758</f>
        <v>907394.410609555</v>
      </c>
      <c r="K758" s="21" t="n">
        <f aca="false">D758/(D758+E758)</f>
        <v>0.625806451612903</v>
      </c>
      <c r="L758" s="21" t="n">
        <f aca="false">AVERAGEIFS($K$2:$K$2705,$B$2:$B$2705,B758)</f>
        <v>0.499671508613478</v>
      </c>
      <c r="M758" s="21" t="n">
        <f aca="false">K758-L758</f>
        <v>0.126134942999425</v>
      </c>
      <c r="N758" s="21" t="n">
        <f aca="false">LN(J758)</f>
        <v>13.7183324864063</v>
      </c>
      <c r="O758" s="21" t="n">
        <f aca="false">AVERAGEIFS($N$2:$N$2705,$B$2:$B$2705,B758)</f>
        <v>13.793505133067</v>
      </c>
      <c r="P758" s="21" t="n">
        <f aca="false">N758-O758</f>
        <v>-0.0751726466606382</v>
      </c>
      <c r="Q758" s="7" t="n">
        <v>0</v>
      </c>
      <c r="R758" s="3" t="n">
        <f aca="false">IF(AND(Q758=1,B758-_xlfn.MINIFS($B$2:$B$2705,$A$2:$A$2705,A758)&lt;10),1,0)</f>
        <v>0</v>
      </c>
      <c r="S758" s="7" t="n">
        <v>0</v>
      </c>
      <c r="T758" s="3" t="n">
        <f aca="false">_xlfn.MINIFS($B$2:$B$2705,$A$2:$A$2705,A758)</f>
        <v>1901</v>
      </c>
      <c r="U758" s="3" t="n">
        <f aca="false">B758-T758</f>
        <v>47</v>
      </c>
      <c r="V758" s="3" t="str">
        <f aca="false">INDEX(Pop_Inputs!$Q$2:$Q$29,MATCH(C758,Pop_Inputs!$A$2:$A$29,0))</f>
        <v>Midwest</v>
      </c>
      <c r="W758" s="30"/>
      <c r="X758" s="3" t="str">
        <f aca="false">IF(W758="","",LN(W758))</f>
        <v/>
      </c>
      <c r="Y758" s="3" t="str">
        <f aca="false">IF(X758="","",X758-AVERAGEIFS($X$2:$X$2705,$B$2:$B$2705,B758))</f>
        <v/>
      </c>
      <c r="Z758" s="21" t="n">
        <f aca="false">P758</f>
        <v>-0.0751726466606382</v>
      </c>
      <c r="AA758" s="3" t="n">
        <f aca="false">R758</f>
        <v>0</v>
      </c>
      <c r="AB758" s="21" t="n">
        <f aca="false">P758</f>
        <v>-0.0751726466606382</v>
      </c>
      <c r="AC758" s="3" t="str">
        <f aca="false">Y758</f>
        <v/>
      </c>
      <c r="AD758" s="3" t="n">
        <f aca="false">R758</f>
        <v>0</v>
      </c>
    </row>
    <row r="759" customFormat="false" ht="15" hidden="false" customHeight="true" outlineLevel="0" collapsed="false">
      <c r="A759" s="7" t="s">
        <v>67</v>
      </c>
      <c r="B759" s="7" t="n">
        <v>1948</v>
      </c>
      <c r="C759" s="7" t="s">
        <v>152</v>
      </c>
      <c r="D759" s="7" t="n">
        <v>78</v>
      </c>
      <c r="E759" s="7" t="n">
        <v>76</v>
      </c>
      <c r="F759" s="3" t="n">
        <f aca="false">COUNTIFS($B$2:$B$2705,B759,$C$2:$C$2705,C759)</f>
        <v>1</v>
      </c>
      <c r="G759" s="3" t="n">
        <f aca="false">MIN(INT((MIN(B759,2020)-1900)/10)+1,12)</f>
        <v>5</v>
      </c>
      <c r="H759" s="3" t="n">
        <f aca="false">(MIN(B759,2020)-1900-10*(G759-1))/10</f>
        <v>0.8</v>
      </c>
      <c r="I759" s="20" t="n">
        <f aca="false">EXP(LN(INDEX(Pop_Inputs!$B$2:$N$29,MATCH(C759,Pop_Inputs!$A$2:$A$29,0),G759))*(1-H759)+LN(INDEX(Pop_Inputs!$B$2:$N$29,MATCH(C759,Pop_Inputs!$A$2:$A$29,0),G759+1))*H759)</f>
        <v>1801955.79520186</v>
      </c>
      <c r="J759" s="20" t="n">
        <f aca="false">I759/F759</f>
        <v>1801955.79520186</v>
      </c>
      <c r="K759" s="21" t="n">
        <f aca="false">D759/(D759+E759)</f>
        <v>0.506493506493506</v>
      </c>
      <c r="L759" s="21" t="n">
        <f aca="false">AVERAGEIFS($K$2:$K$2705,$B$2:$B$2705,B759)</f>
        <v>0.499671508613478</v>
      </c>
      <c r="M759" s="21" t="n">
        <f aca="false">K759-L759</f>
        <v>0.00682199788002863</v>
      </c>
      <c r="N759" s="21" t="n">
        <f aca="false">LN(J759)</f>
        <v>14.404383185885</v>
      </c>
      <c r="O759" s="21" t="n">
        <f aca="false">AVERAGEIFS($N$2:$N$2705,$B$2:$B$2705,B759)</f>
        <v>13.793505133067</v>
      </c>
      <c r="P759" s="21" t="n">
        <f aca="false">N759-O759</f>
        <v>0.610878052817993</v>
      </c>
      <c r="Q759" s="7" t="n">
        <v>0</v>
      </c>
      <c r="R759" s="3" t="n">
        <f aca="false">IF(AND(Q759=1,B759-_xlfn.MINIFS($B$2:$B$2705,$A$2:$A$2705,A759)&lt;10),1,0)</f>
        <v>0</v>
      </c>
      <c r="S759" s="7" t="n">
        <v>0</v>
      </c>
      <c r="T759" s="3" t="n">
        <f aca="false">_xlfn.MINIFS($B$2:$B$2705,$A$2:$A$2705,A759)</f>
        <v>1901</v>
      </c>
      <c r="U759" s="3" t="n">
        <f aca="false">B759-T759</f>
        <v>47</v>
      </c>
      <c r="V759" s="3" t="str">
        <f aca="false">INDEX(Pop_Inputs!$Q$2:$Q$29,MATCH(C759,Pop_Inputs!$A$2:$A$29,0))</f>
        <v>Midwest</v>
      </c>
      <c r="W759" s="30"/>
      <c r="X759" s="3" t="str">
        <f aca="false">IF(W759="","",LN(W759))</f>
        <v/>
      </c>
      <c r="Y759" s="3" t="str">
        <f aca="false">IF(X759="","",X759-AVERAGEIFS($X$2:$X$2705,$B$2:$B$2705,B759))</f>
        <v/>
      </c>
      <c r="Z759" s="21" t="n">
        <f aca="false">P759</f>
        <v>0.610878052817993</v>
      </c>
      <c r="AA759" s="3" t="n">
        <f aca="false">R759</f>
        <v>0</v>
      </c>
      <c r="AB759" s="21" t="n">
        <f aca="false">P759</f>
        <v>0.610878052817993</v>
      </c>
      <c r="AC759" s="3" t="str">
        <f aca="false">Y759</f>
        <v/>
      </c>
      <c r="AD759" s="3" t="n">
        <f aca="false">R759</f>
        <v>0</v>
      </c>
    </row>
    <row r="760" customFormat="false" ht="15" hidden="false" customHeight="true" outlineLevel="0" collapsed="false">
      <c r="A760" s="7" t="s">
        <v>62</v>
      </c>
      <c r="B760" s="7" t="n">
        <v>1948</v>
      </c>
      <c r="C760" s="7" t="s">
        <v>154</v>
      </c>
      <c r="D760" s="7" t="n">
        <v>84</v>
      </c>
      <c r="E760" s="7" t="n">
        <v>70</v>
      </c>
      <c r="F760" s="3" t="n">
        <f aca="false">COUNTIFS($B$2:$B$2705,B760,$C$2:$C$2705,C760)</f>
        <v>3</v>
      </c>
      <c r="G760" s="3" t="n">
        <f aca="false">MIN(INT((MIN(B760,2020)-1900)/10)+1,12)</f>
        <v>5</v>
      </c>
      <c r="H760" s="3" t="n">
        <f aca="false">(MIN(B760,2020)-1900-10*(G760-1))/10</f>
        <v>0.8</v>
      </c>
      <c r="I760" s="20" t="n">
        <f aca="false">EXP(LN(INDEX(Pop_Inputs!$B$2:$N$29,MATCH(C760,Pop_Inputs!$A$2:$A$29,0),G760))*(1-H760)+LN(INDEX(Pop_Inputs!$B$2:$N$29,MATCH(C760,Pop_Inputs!$A$2:$A$29,0),G760+1))*H760)</f>
        <v>7802562.20188996</v>
      </c>
      <c r="J760" s="20" t="n">
        <f aca="false">I760/F760</f>
        <v>2600854.06729665</v>
      </c>
      <c r="K760" s="21" t="n">
        <f aca="false">D760/(D760+E760)</f>
        <v>0.545454545454545</v>
      </c>
      <c r="L760" s="21" t="n">
        <f aca="false">AVERAGEIFS($K$2:$K$2705,$B$2:$B$2705,B760)</f>
        <v>0.499671508613478</v>
      </c>
      <c r="M760" s="21" t="n">
        <f aca="false">K760-L760</f>
        <v>0.0457830368410676</v>
      </c>
      <c r="N760" s="21" t="n">
        <f aca="false">LN(J760)</f>
        <v>14.7713504364733</v>
      </c>
      <c r="O760" s="21" t="n">
        <f aca="false">AVERAGEIFS($N$2:$N$2705,$B$2:$B$2705,B760)</f>
        <v>13.793505133067</v>
      </c>
      <c r="P760" s="21" t="n">
        <f aca="false">N760-O760</f>
        <v>0.977845303406346</v>
      </c>
      <c r="Q760" s="7" t="n">
        <v>0</v>
      </c>
      <c r="R760" s="3" t="n">
        <f aca="false">IF(AND(Q760=1,B760-_xlfn.MINIFS($B$2:$B$2705,$A$2:$A$2705,A760)&lt;10),1,0)</f>
        <v>0</v>
      </c>
      <c r="S760" s="7" t="n">
        <v>0</v>
      </c>
      <c r="T760" s="3" t="n">
        <f aca="false">_xlfn.MINIFS($B$2:$B$2705,$A$2:$A$2705,A760)</f>
        <v>1901</v>
      </c>
      <c r="U760" s="3" t="n">
        <f aca="false">B760-T760</f>
        <v>47</v>
      </c>
      <c r="V760" s="3" t="str">
        <f aca="false">INDEX(Pop_Inputs!$Q$2:$Q$29,MATCH(C760,Pop_Inputs!$A$2:$A$29,0))</f>
        <v>Northeast</v>
      </c>
      <c r="W760" s="30"/>
      <c r="X760" s="3" t="str">
        <f aca="false">IF(W760="","",LN(W760))</f>
        <v/>
      </c>
      <c r="Y760" s="3" t="str">
        <f aca="false">IF(X760="","",X760-AVERAGEIFS($X$2:$X$2705,$B$2:$B$2705,B760))</f>
        <v/>
      </c>
      <c r="Z760" s="21" t="n">
        <f aca="false">P760</f>
        <v>0.977845303406346</v>
      </c>
      <c r="AA760" s="3" t="n">
        <f aca="false">R760</f>
        <v>0</v>
      </c>
      <c r="AB760" s="21" t="n">
        <f aca="false">P760</f>
        <v>0.977845303406346</v>
      </c>
      <c r="AC760" s="3" t="str">
        <f aca="false">Y760</f>
        <v/>
      </c>
      <c r="AD760" s="3" t="n">
        <f aca="false">R760</f>
        <v>0</v>
      </c>
    </row>
    <row r="761" customFormat="false" ht="15" hidden="false" customHeight="true" outlineLevel="0" collapsed="false">
      <c r="A761" s="7" t="s">
        <v>68</v>
      </c>
      <c r="B761" s="7" t="n">
        <v>1948</v>
      </c>
      <c r="C761" s="7" t="s">
        <v>160</v>
      </c>
      <c r="D761" s="7" t="n">
        <v>56</v>
      </c>
      <c r="E761" s="7" t="n">
        <v>97</v>
      </c>
      <c r="F761" s="3" t="n">
        <f aca="false">COUNTIFS($B$2:$B$2705,B761,$C$2:$C$2705,C761)</f>
        <v>1</v>
      </c>
      <c r="G761" s="3" t="n">
        <f aca="false">MIN(INT((MIN(B761,2020)-1900)/10)+1,12)</f>
        <v>5</v>
      </c>
      <c r="H761" s="3" t="n">
        <f aca="false">(MIN(B761,2020)-1900-10*(G761-1))/10</f>
        <v>0.8</v>
      </c>
      <c r="I761" s="20" t="n">
        <f aca="false">EXP(LN(INDEX(Pop_Inputs!$B$2:$N$29,MATCH(C761,Pop_Inputs!$A$2:$A$29,0),G761))*(1-H761)+LN(INDEX(Pop_Inputs!$B$2:$N$29,MATCH(C761,Pop_Inputs!$A$2:$A$29,0),G761+1))*H761)</f>
        <v>772202.537457775</v>
      </c>
      <c r="J761" s="20" t="n">
        <f aca="false">I761/F761</f>
        <v>772202.537457775</v>
      </c>
      <c r="K761" s="21" t="n">
        <f aca="false">D761/(D761+E761)</f>
        <v>0.366013071895425</v>
      </c>
      <c r="L761" s="21" t="n">
        <f aca="false">AVERAGEIFS($K$2:$K$2705,$B$2:$B$2705,B761)</f>
        <v>0.499671508613478</v>
      </c>
      <c r="M761" s="21" t="n">
        <f aca="false">K761-L761</f>
        <v>-0.133658436718053</v>
      </c>
      <c r="N761" s="21" t="n">
        <f aca="false">LN(J761)</f>
        <v>13.557002148818</v>
      </c>
      <c r="O761" s="21" t="n">
        <f aca="false">AVERAGEIFS($N$2:$N$2705,$B$2:$B$2705,B761)</f>
        <v>13.793505133067</v>
      </c>
      <c r="P761" s="21" t="n">
        <f aca="false">N761-O761</f>
        <v>-0.236502984248995</v>
      </c>
      <c r="Q761" s="7" t="n">
        <v>0</v>
      </c>
      <c r="R761" s="3" t="n">
        <f aca="false">IF(AND(Q761=1,B761-_xlfn.MINIFS($B$2:$B$2705,$A$2:$A$2705,A761)&lt;10),1,0)</f>
        <v>0</v>
      </c>
      <c r="S761" s="7" t="n">
        <v>0</v>
      </c>
      <c r="T761" s="3" t="n">
        <f aca="false">_xlfn.MINIFS($B$2:$B$2705,$A$2:$A$2705,A761)</f>
        <v>1901</v>
      </c>
      <c r="U761" s="3" t="n">
        <f aca="false">B761-T761</f>
        <v>47</v>
      </c>
      <c r="V761" s="3" t="str">
        <f aca="false">INDEX(Pop_Inputs!$Q$2:$Q$29,MATCH(C761,Pop_Inputs!$A$2:$A$29,0))</f>
        <v>South</v>
      </c>
      <c r="W761" s="30"/>
      <c r="X761" s="3" t="str">
        <f aca="false">IF(W761="","",LN(W761))</f>
        <v/>
      </c>
      <c r="Y761" s="3" t="str">
        <f aca="false">IF(X761="","",X761-AVERAGEIFS($X$2:$X$2705,$B$2:$B$2705,B761))</f>
        <v/>
      </c>
      <c r="Z761" s="21" t="n">
        <f aca="false">P761</f>
        <v>-0.236502984248995</v>
      </c>
      <c r="AA761" s="3" t="n">
        <f aca="false">R761</f>
        <v>0</v>
      </c>
      <c r="AB761" s="21" t="n">
        <f aca="false">P761</f>
        <v>-0.236502984248995</v>
      </c>
      <c r="AC761" s="3" t="str">
        <f aca="false">Y761</f>
        <v/>
      </c>
      <c r="AD761" s="3" t="n">
        <f aca="false">R761</f>
        <v>0</v>
      </c>
    </row>
    <row r="762" customFormat="false" ht="15" hidden="false" customHeight="true" outlineLevel="0" collapsed="false">
      <c r="A762" s="7" t="s">
        <v>70</v>
      </c>
      <c r="B762" s="7" t="n">
        <v>1948</v>
      </c>
      <c r="C762" s="7" t="s">
        <v>154</v>
      </c>
      <c r="D762" s="7" t="n">
        <v>94</v>
      </c>
      <c r="E762" s="7" t="n">
        <v>60</v>
      </c>
      <c r="F762" s="3" t="n">
        <f aca="false">COUNTIFS($B$2:$B$2705,B762,$C$2:$C$2705,C762)</f>
        <v>3</v>
      </c>
      <c r="G762" s="3" t="n">
        <f aca="false">MIN(INT((MIN(B762,2020)-1900)/10)+1,12)</f>
        <v>5</v>
      </c>
      <c r="H762" s="3" t="n">
        <f aca="false">(MIN(B762,2020)-1900-10*(G762-1))/10</f>
        <v>0.8</v>
      </c>
      <c r="I762" s="20" t="n">
        <f aca="false">EXP(LN(INDEX(Pop_Inputs!$B$2:$N$29,MATCH(C762,Pop_Inputs!$A$2:$A$29,0),G762))*(1-H762)+LN(INDEX(Pop_Inputs!$B$2:$N$29,MATCH(C762,Pop_Inputs!$A$2:$A$29,0),G762+1))*H762)</f>
        <v>7802562.20188996</v>
      </c>
      <c r="J762" s="20" t="n">
        <f aca="false">I762/F762</f>
        <v>2600854.06729665</v>
      </c>
      <c r="K762" s="21" t="n">
        <f aca="false">D762/(D762+E762)</f>
        <v>0.61038961038961</v>
      </c>
      <c r="L762" s="21" t="n">
        <f aca="false">AVERAGEIFS($K$2:$K$2705,$B$2:$B$2705,B762)</f>
        <v>0.499671508613478</v>
      </c>
      <c r="M762" s="21" t="n">
        <f aca="false">K762-L762</f>
        <v>0.110718101776133</v>
      </c>
      <c r="N762" s="21" t="n">
        <f aca="false">LN(J762)</f>
        <v>14.7713504364733</v>
      </c>
      <c r="O762" s="21" t="n">
        <f aca="false">AVERAGEIFS($N$2:$N$2705,$B$2:$B$2705,B762)</f>
        <v>13.793505133067</v>
      </c>
      <c r="P762" s="21" t="n">
        <f aca="false">N762-O762</f>
        <v>0.977845303406346</v>
      </c>
      <c r="Q762" s="7" t="n">
        <v>0</v>
      </c>
      <c r="R762" s="3" t="n">
        <f aca="false">IF(AND(Q762=1,B762-_xlfn.MINIFS($B$2:$B$2705,$A$2:$A$2705,A762)&lt;10),1,0)</f>
        <v>0</v>
      </c>
      <c r="S762" s="7" t="n">
        <v>1</v>
      </c>
      <c r="T762" s="3" t="n">
        <f aca="false">_xlfn.MINIFS($B$2:$B$2705,$A$2:$A$2705,A762)</f>
        <v>1903</v>
      </c>
      <c r="U762" s="3" t="n">
        <f aca="false">B762-T762</f>
        <v>45</v>
      </c>
      <c r="V762" s="3" t="str">
        <f aca="false">INDEX(Pop_Inputs!$Q$2:$Q$29,MATCH(C762,Pop_Inputs!$A$2:$A$29,0))</f>
        <v>Northeast</v>
      </c>
      <c r="W762" s="30"/>
      <c r="X762" s="3" t="str">
        <f aca="false">IF(W762="","",LN(W762))</f>
        <v/>
      </c>
      <c r="Y762" s="3" t="str">
        <f aca="false">IF(X762="","",X762-AVERAGEIFS($X$2:$X$2705,$B$2:$B$2705,B762))</f>
        <v/>
      </c>
      <c r="Z762" s="21" t="n">
        <f aca="false">P762</f>
        <v>0.977845303406346</v>
      </c>
      <c r="AA762" s="3" t="n">
        <f aca="false">R762</f>
        <v>0</v>
      </c>
      <c r="AB762" s="21" t="n">
        <f aca="false">P762</f>
        <v>0.977845303406346</v>
      </c>
      <c r="AC762" s="3" t="str">
        <f aca="false">Y762</f>
        <v/>
      </c>
      <c r="AD762" s="3" t="n">
        <f aca="false">R762</f>
        <v>0</v>
      </c>
    </row>
    <row r="763" customFormat="false" ht="15" hidden="false" customHeight="true" outlineLevel="0" collapsed="false">
      <c r="A763" s="7" t="s">
        <v>69</v>
      </c>
      <c r="B763" s="7" t="n">
        <v>1948</v>
      </c>
      <c r="C763" s="7" t="s">
        <v>146</v>
      </c>
      <c r="D763" s="7" t="n">
        <v>84</v>
      </c>
      <c r="E763" s="7" t="n">
        <v>70</v>
      </c>
      <c r="F763" s="3" t="n">
        <f aca="false">COUNTIFS($B$2:$B$2705,B763,$C$2:$C$2705,C763)</f>
        <v>2</v>
      </c>
      <c r="G763" s="3" t="n">
        <f aca="false">MIN(INT((MIN(B763,2020)-1900)/10)+1,12)</f>
        <v>5</v>
      </c>
      <c r="H763" s="3" t="n">
        <f aca="false">(MIN(B763,2020)-1900-10*(G763-1))/10</f>
        <v>0.8</v>
      </c>
      <c r="I763" s="20" t="n">
        <f aca="false">EXP(LN(INDEX(Pop_Inputs!$B$2:$N$29,MATCH(C763,Pop_Inputs!$A$2:$A$29,0),G763))*(1-H763)+LN(INDEX(Pop_Inputs!$B$2:$N$29,MATCH(C763,Pop_Inputs!$A$2:$A$29,0),G763+1))*H763)</f>
        <v>2042758.55345439</v>
      </c>
      <c r="J763" s="20" t="n">
        <f aca="false">I763/F763</f>
        <v>1021379.2767272</v>
      </c>
      <c r="K763" s="21" t="n">
        <f aca="false">D763/(D763+E763)</f>
        <v>0.545454545454545</v>
      </c>
      <c r="L763" s="21" t="n">
        <f aca="false">AVERAGEIFS($K$2:$K$2705,$B$2:$B$2705,B763)</f>
        <v>0.499671508613478</v>
      </c>
      <c r="M763" s="21" t="n">
        <f aca="false">K763-L763</f>
        <v>0.0457830368410676</v>
      </c>
      <c r="N763" s="21" t="n">
        <f aca="false">LN(J763)</f>
        <v>13.8366645039035</v>
      </c>
      <c r="O763" s="21" t="n">
        <f aca="false">AVERAGEIFS($N$2:$N$2705,$B$2:$B$2705,B763)</f>
        <v>13.793505133067</v>
      </c>
      <c r="P763" s="21" t="n">
        <f aca="false">N763-O763</f>
        <v>0.0431593708365234</v>
      </c>
      <c r="Q763" s="7" t="n">
        <v>0</v>
      </c>
      <c r="R763" s="3" t="n">
        <f aca="false">IF(AND(Q763=1,B763-_xlfn.MINIFS($B$2:$B$2705,$A$2:$A$2705,A763)&lt;10),1,0)</f>
        <v>0</v>
      </c>
      <c r="S763" s="7" t="n">
        <v>0</v>
      </c>
      <c r="T763" s="3" t="n">
        <f aca="false">_xlfn.MINIFS($B$2:$B$2705,$A$2:$A$2705,A763)</f>
        <v>1901</v>
      </c>
      <c r="U763" s="3" t="n">
        <f aca="false">B763-T763</f>
        <v>47</v>
      </c>
      <c r="V763" s="3" t="str">
        <f aca="false">INDEX(Pop_Inputs!$Q$2:$Q$29,MATCH(C763,Pop_Inputs!$A$2:$A$29,0))</f>
        <v>Northeast</v>
      </c>
      <c r="W763" s="30"/>
      <c r="X763" s="3" t="str">
        <f aca="false">IF(W763="","",LN(W763))</f>
        <v/>
      </c>
      <c r="Y763" s="3" t="str">
        <f aca="false">IF(X763="","",X763-AVERAGEIFS($X$2:$X$2705,$B$2:$B$2705,B763))</f>
        <v/>
      </c>
      <c r="Z763" s="21" t="n">
        <f aca="false">P763</f>
        <v>0.0431593708365234</v>
      </c>
      <c r="AA763" s="3" t="n">
        <f aca="false">R763</f>
        <v>0</v>
      </c>
      <c r="AB763" s="21" t="n">
        <f aca="false">P763</f>
        <v>0.0431593708365234</v>
      </c>
      <c r="AC763" s="3" t="str">
        <f aca="false">Y763</f>
        <v/>
      </c>
      <c r="AD763" s="3" t="n">
        <f aca="false">R763</f>
        <v>0</v>
      </c>
    </row>
    <row r="764" customFormat="false" ht="15" hidden="false" customHeight="true" outlineLevel="0" collapsed="false">
      <c r="A764" s="7" t="s">
        <v>60</v>
      </c>
      <c r="B764" s="7" t="n">
        <v>1948</v>
      </c>
      <c r="C764" s="7" t="s">
        <v>146</v>
      </c>
      <c r="D764" s="7" t="n">
        <v>66</v>
      </c>
      <c r="E764" s="7" t="n">
        <v>88</v>
      </c>
      <c r="F764" s="3" t="n">
        <f aca="false">COUNTIFS($B$2:$B$2705,B764,$C$2:$C$2705,C764)</f>
        <v>2</v>
      </c>
      <c r="G764" s="3" t="n">
        <f aca="false">MIN(INT((MIN(B764,2020)-1900)/10)+1,12)</f>
        <v>5</v>
      </c>
      <c r="H764" s="3" t="n">
        <f aca="false">(MIN(B764,2020)-1900-10*(G764-1))/10</f>
        <v>0.8</v>
      </c>
      <c r="I764" s="20" t="n">
        <f aca="false">EXP(LN(INDEX(Pop_Inputs!$B$2:$N$29,MATCH(C764,Pop_Inputs!$A$2:$A$29,0),G764))*(1-H764)+LN(INDEX(Pop_Inputs!$B$2:$N$29,MATCH(C764,Pop_Inputs!$A$2:$A$29,0),G764+1))*H764)</f>
        <v>2042758.55345439</v>
      </c>
      <c r="J764" s="20" t="n">
        <f aca="false">I764/F764</f>
        <v>1021379.2767272</v>
      </c>
      <c r="K764" s="21" t="n">
        <f aca="false">D764/(D764+E764)</f>
        <v>0.428571428571429</v>
      </c>
      <c r="L764" s="21" t="n">
        <f aca="false">AVERAGEIFS($K$2:$K$2705,$B$2:$B$2705,B764)</f>
        <v>0.499671508613478</v>
      </c>
      <c r="M764" s="21" t="n">
        <f aca="false">K764-L764</f>
        <v>-0.0711000800420493</v>
      </c>
      <c r="N764" s="21" t="n">
        <f aca="false">LN(J764)</f>
        <v>13.8366645039035</v>
      </c>
      <c r="O764" s="21" t="n">
        <f aca="false">AVERAGEIFS($N$2:$N$2705,$B$2:$B$2705,B764)</f>
        <v>13.793505133067</v>
      </c>
      <c r="P764" s="21" t="n">
        <f aca="false">N764-O764</f>
        <v>0.0431593708365234</v>
      </c>
      <c r="Q764" s="7" t="n">
        <v>0</v>
      </c>
      <c r="R764" s="3" t="n">
        <f aca="false">IF(AND(Q764=1,B764-_xlfn.MINIFS($B$2:$B$2705,$A$2:$A$2705,A764)&lt;10),1,0)</f>
        <v>0</v>
      </c>
      <c r="S764" s="7" t="n">
        <v>0</v>
      </c>
      <c r="T764" s="3" t="n">
        <f aca="false">_xlfn.MINIFS($B$2:$B$2705,$A$2:$A$2705,A764)</f>
        <v>1901</v>
      </c>
      <c r="U764" s="3" t="n">
        <f aca="false">B764-T764</f>
        <v>47</v>
      </c>
      <c r="V764" s="3" t="str">
        <f aca="false">INDEX(Pop_Inputs!$Q$2:$Q$29,MATCH(C764,Pop_Inputs!$A$2:$A$29,0))</f>
        <v>Northeast</v>
      </c>
      <c r="W764" s="30"/>
      <c r="X764" s="3" t="str">
        <f aca="false">IF(W764="","",LN(W764))</f>
        <v/>
      </c>
      <c r="Y764" s="3" t="str">
        <f aca="false">IF(X764="","",X764-AVERAGEIFS($X$2:$X$2705,$B$2:$B$2705,B764))</f>
        <v/>
      </c>
      <c r="Z764" s="21" t="n">
        <f aca="false">P764</f>
        <v>0.0431593708365234</v>
      </c>
      <c r="AA764" s="3" t="n">
        <f aca="false">R764</f>
        <v>0</v>
      </c>
      <c r="AB764" s="21" t="n">
        <f aca="false">P764</f>
        <v>0.0431593708365234</v>
      </c>
      <c r="AC764" s="3" t="str">
        <f aca="false">Y764</f>
        <v/>
      </c>
      <c r="AD764" s="3" t="n">
        <f aca="false">R764</f>
        <v>0</v>
      </c>
    </row>
    <row r="765" customFormat="false" ht="15" hidden="false" customHeight="true" outlineLevel="0" collapsed="false">
      <c r="A765" s="7" t="s">
        <v>58</v>
      </c>
      <c r="B765" s="7" t="n">
        <v>1948</v>
      </c>
      <c r="C765" s="7" t="s">
        <v>144</v>
      </c>
      <c r="D765" s="7" t="n">
        <v>83</v>
      </c>
      <c r="E765" s="7" t="n">
        <v>71</v>
      </c>
      <c r="F765" s="3" t="n">
        <f aca="false">COUNTIFS($B$2:$B$2705,B765,$C$2:$C$2705,C765)</f>
        <v>1</v>
      </c>
      <c r="G765" s="3" t="n">
        <f aca="false">MIN(INT((MIN(B765,2020)-1900)/10)+1,12)</f>
        <v>5</v>
      </c>
      <c r="H765" s="3" t="n">
        <f aca="false">(MIN(B765,2020)-1900-10*(G765-1))/10</f>
        <v>0.8</v>
      </c>
      <c r="I765" s="20" t="n">
        <f aca="false">EXP(LN(INDEX(Pop_Inputs!$B$2:$N$29,MATCH(C765,Pop_Inputs!$A$2:$A$29,0),G765))*(1-H765)+LN(INDEX(Pop_Inputs!$B$2:$N$29,MATCH(C765,Pop_Inputs!$A$2:$A$29,0),G765+1))*H765)</f>
        <v>675773.454267265</v>
      </c>
      <c r="J765" s="20" t="n">
        <f aca="false">I765/F765</f>
        <v>675773.454267265</v>
      </c>
      <c r="K765" s="21" t="n">
        <f aca="false">D765/(D765+E765)</f>
        <v>0.538961038961039</v>
      </c>
      <c r="L765" s="21" t="n">
        <f aca="false">AVERAGEIFS($K$2:$K$2705,$B$2:$B$2705,B765)</f>
        <v>0.499671508613478</v>
      </c>
      <c r="M765" s="21" t="n">
        <f aca="false">K765-L765</f>
        <v>0.0392895303475612</v>
      </c>
      <c r="N765" s="21" t="n">
        <f aca="false">LN(J765)</f>
        <v>13.423613172034</v>
      </c>
      <c r="O765" s="21" t="n">
        <f aca="false">AVERAGEIFS($N$2:$N$2705,$B$2:$B$2705,B765)</f>
        <v>13.793505133067</v>
      </c>
      <c r="P765" s="21" t="n">
        <f aca="false">N765-O765</f>
        <v>-0.369891961032989</v>
      </c>
      <c r="Q765" s="7" t="n">
        <v>0</v>
      </c>
      <c r="R765" s="3" t="n">
        <f aca="false">IF(AND(Q765=1,B765-_xlfn.MINIFS($B$2:$B$2705,$A$2:$A$2705,A765)&lt;10),1,0)</f>
        <v>0</v>
      </c>
      <c r="S765" s="7" t="n">
        <v>0</v>
      </c>
      <c r="T765" s="3" t="n">
        <f aca="false">_xlfn.MINIFS($B$2:$B$2705,$A$2:$A$2705,A765)</f>
        <v>1901</v>
      </c>
      <c r="U765" s="3" t="n">
        <f aca="false">B765-T765</f>
        <v>47</v>
      </c>
      <c r="V765" s="3" t="str">
        <f aca="false">INDEX(Pop_Inputs!$Q$2:$Q$29,MATCH(C765,Pop_Inputs!$A$2:$A$29,0))</f>
        <v>Northeast</v>
      </c>
      <c r="W765" s="30"/>
      <c r="X765" s="3" t="str">
        <f aca="false">IF(W765="","",LN(W765))</f>
        <v/>
      </c>
      <c r="Y765" s="3" t="str">
        <f aca="false">IF(X765="","",X765-AVERAGEIFS($X$2:$X$2705,$B$2:$B$2705,B765))</f>
        <v/>
      </c>
      <c r="Z765" s="21" t="n">
        <f aca="false">P765</f>
        <v>-0.369891961032989</v>
      </c>
      <c r="AA765" s="3" t="n">
        <f aca="false">R765</f>
        <v>0</v>
      </c>
      <c r="AB765" s="21" t="n">
        <f aca="false">P765</f>
        <v>-0.369891961032989</v>
      </c>
      <c r="AC765" s="3" t="str">
        <f aca="false">Y765</f>
        <v/>
      </c>
      <c r="AD765" s="3" t="n">
        <f aca="false">R765</f>
        <v>0</v>
      </c>
    </row>
    <row r="766" customFormat="false" ht="15" hidden="false" customHeight="true" outlineLevel="0" collapsed="false">
      <c r="A766" s="7" t="s">
        <v>61</v>
      </c>
      <c r="B766" s="7" t="n">
        <v>1948</v>
      </c>
      <c r="C766" s="7" t="s">
        <v>154</v>
      </c>
      <c r="D766" s="7" t="n">
        <v>78</v>
      </c>
      <c r="E766" s="7" t="n">
        <v>76</v>
      </c>
      <c r="F766" s="3" t="n">
        <f aca="false">COUNTIFS($B$2:$B$2705,B766,$C$2:$C$2705,C766)</f>
        <v>3</v>
      </c>
      <c r="G766" s="3" t="n">
        <f aca="false">MIN(INT((MIN(B766,2020)-1900)/10)+1,12)</f>
        <v>5</v>
      </c>
      <c r="H766" s="3" t="n">
        <f aca="false">(MIN(B766,2020)-1900-10*(G766-1))/10</f>
        <v>0.8</v>
      </c>
      <c r="I766" s="20" t="n">
        <f aca="false">EXP(LN(INDEX(Pop_Inputs!$B$2:$N$29,MATCH(C766,Pop_Inputs!$A$2:$A$29,0),G766))*(1-H766)+LN(INDEX(Pop_Inputs!$B$2:$N$29,MATCH(C766,Pop_Inputs!$A$2:$A$29,0),G766+1))*H766)</f>
        <v>7802562.20188996</v>
      </c>
      <c r="J766" s="20" t="n">
        <f aca="false">I766/F766</f>
        <v>2600854.06729665</v>
      </c>
      <c r="K766" s="21" t="n">
        <f aca="false">D766/(D766+E766)</f>
        <v>0.506493506493506</v>
      </c>
      <c r="L766" s="21" t="n">
        <f aca="false">AVERAGEIFS($K$2:$K$2705,$B$2:$B$2705,B766)</f>
        <v>0.499671508613478</v>
      </c>
      <c r="M766" s="21" t="n">
        <f aca="false">K766-L766</f>
        <v>0.00682199788002863</v>
      </c>
      <c r="N766" s="21" t="n">
        <f aca="false">LN(J766)</f>
        <v>14.7713504364733</v>
      </c>
      <c r="O766" s="21" t="n">
        <f aca="false">AVERAGEIFS($N$2:$N$2705,$B$2:$B$2705,B766)</f>
        <v>13.793505133067</v>
      </c>
      <c r="P766" s="21" t="n">
        <f aca="false">N766-O766</f>
        <v>0.977845303406346</v>
      </c>
      <c r="Q766" s="7" t="n">
        <v>0</v>
      </c>
      <c r="R766" s="3" t="n">
        <f aca="false">IF(AND(Q766=1,B766-_xlfn.MINIFS($B$2:$B$2705,$A$2:$A$2705,A766)&lt;10),1,0)</f>
        <v>0</v>
      </c>
      <c r="S766" s="7" t="n">
        <v>0</v>
      </c>
      <c r="T766" s="3" t="n">
        <f aca="false">_xlfn.MINIFS($B$2:$B$2705,$A$2:$A$2705,A766)</f>
        <v>1901</v>
      </c>
      <c r="U766" s="3" t="n">
        <f aca="false">B766-T766</f>
        <v>47</v>
      </c>
      <c r="V766" s="3" t="str">
        <f aca="false">INDEX(Pop_Inputs!$Q$2:$Q$29,MATCH(C766,Pop_Inputs!$A$2:$A$29,0))</f>
        <v>Northeast</v>
      </c>
      <c r="W766" s="30"/>
      <c r="X766" s="3" t="str">
        <f aca="false">IF(W766="","",LN(W766))</f>
        <v/>
      </c>
      <c r="Y766" s="3" t="str">
        <f aca="false">IF(X766="","",X766-AVERAGEIFS($X$2:$X$2705,$B$2:$B$2705,B766))</f>
        <v/>
      </c>
      <c r="Z766" s="21" t="n">
        <f aca="false">P766</f>
        <v>0.977845303406346</v>
      </c>
      <c r="AA766" s="3" t="n">
        <f aca="false">R766</f>
        <v>0</v>
      </c>
      <c r="AB766" s="21" t="n">
        <f aca="false">P766</f>
        <v>0.977845303406346</v>
      </c>
      <c r="AC766" s="3" t="str">
        <f aca="false">Y766</f>
        <v/>
      </c>
      <c r="AD766" s="3" t="n">
        <f aca="false">R766</f>
        <v>0</v>
      </c>
    </row>
    <row r="767" customFormat="false" ht="15" hidden="false" customHeight="true" outlineLevel="0" collapsed="false">
      <c r="A767" s="7" t="s">
        <v>59</v>
      </c>
      <c r="B767" s="7" t="n">
        <v>1948</v>
      </c>
      <c r="C767" s="7" t="s">
        <v>145</v>
      </c>
      <c r="D767" s="7" t="n">
        <v>85</v>
      </c>
      <c r="E767" s="7" t="n">
        <v>69</v>
      </c>
      <c r="F767" s="3" t="n">
        <f aca="false">COUNTIFS($B$2:$B$2705,B767,$C$2:$C$2705,C767)</f>
        <v>2</v>
      </c>
      <c r="G767" s="3" t="n">
        <f aca="false">MIN(INT((MIN(B767,2020)-1900)/10)+1,12)</f>
        <v>5</v>
      </c>
      <c r="H767" s="3" t="n">
        <f aca="false">(MIN(B767,2020)-1900-10*(G767-1))/10</f>
        <v>0.8</v>
      </c>
      <c r="I767" s="20" t="n">
        <f aca="false">EXP(LN(INDEX(Pop_Inputs!$B$2:$N$29,MATCH(C767,Pop_Inputs!$A$2:$A$29,0),G767))*(1-H767)+LN(INDEX(Pop_Inputs!$B$2:$N$29,MATCH(C767,Pop_Inputs!$A$2:$A$29,0),G767+1))*H767)</f>
        <v>848486.789932985</v>
      </c>
      <c r="J767" s="20" t="n">
        <f aca="false">I767/F767</f>
        <v>424243.394966493</v>
      </c>
      <c r="K767" s="21" t="n">
        <f aca="false">D767/(D767+E767)</f>
        <v>0.551948051948052</v>
      </c>
      <c r="L767" s="21" t="n">
        <f aca="false">AVERAGEIFS($K$2:$K$2705,$B$2:$B$2705,B767)</f>
        <v>0.499671508613478</v>
      </c>
      <c r="M767" s="21" t="n">
        <f aca="false">K767-L767</f>
        <v>0.0522765433345742</v>
      </c>
      <c r="N767" s="21" t="n">
        <f aca="false">LN(J767)</f>
        <v>12.9580626142457</v>
      </c>
      <c r="O767" s="21" t="n">
        <f aca="false">AVERAGEIFS($N$2:$N$2705,$B$2:$B$2705,B767)</f>
        <v>13.793505133067</v>
      </c>
      <c r="P767" s="21" t="n">
        <f aca="false">N767-O767</f>
        <v>-0.835442518821235</v>
      </c>
      <c r="Q767" s="7" t="n">
        <v>0</v>
      </c>
      <c r="R767" s="3" t="n">
        <f aca="false">IF(AND(Q767=1,B767-_xlfn.MINIFS($B$2:$B$2705,$A$2:$A$2705,A767)&lt;10),1,0)</f>
        <v>0</v>
      </c>
      <c r="S767" s="7" t="n">
        <v>0</v>
      </c>
      <c r="T767" s="3" t="n">
        <f aca="false">_xlfn.MINIFS($B$2:$B$2705,$A$2:$A$2705,A767)</f>
        <v>1901</v>
      </c>
      <c r="U767" s="3" t="n">
        <f aca="false">B767-T767</f>
        <v>47</v>
      </c>
      <c r="V767" s="3" t="str">
        <f aca="false">INDEX(Pop_Inputs!$Q$2:$Q$29,MATCH(C767,Pop_Inputs!$A$2:$A$29,0))</f>
        <v>Midwest</v>
      </c>
      <c r="W767" s="30"/>
      <c r="X767" s="3" t="str">
        <f aca="false">IF(W767="","",LN(W767))</f>
        <v/>
      </c>
      <c r="Y767" s="3" t="str">
        <f aca="false">IF(X767="","",X767-AVERAGEIFS($X$2:$X$2705,$B$2:$B$2705,B767))</f>
        <v/>
      </c>
      <c r="Z767" s="21" t="n">
        <f aca="false">P767</f>
        <v>-0.835442518821235</v>
      </c>
      <c r="AA767" s="3" t="n">
        <f aca="false">R767</f>
        <v>0</v>
      </c>
      <c r="AB767" s="21" t="n">
        <f aca="false">P767</f>
        <v>-0.835442518821235</v>
      </c>
      <c r="AC767" s="3" t="str">
        <f aca="false">Y767</f>
        <v/>
      </c>
      <c r="AD767" s="3" t="n">
        <f aca="false">R767</f>
        <v>0</v>
      </c>
    </row>
    <row r="768" customFormat="false" ht="15" hidden="false" customHeight="true" outlineLevel="0" collapsed="false">
      <c r="A768" s="7" t="s">
        <v>54</v>
      </c>
      <c r="B768" s="7" t="n">
        <v>1949</v>
      </c>
      <c r="C768" s="7" t="s">
        <v>150</v>
      </c>
      <c r="D768" s="7" t="n">
        <v>75</v>
      </c>
      <c r="E768" s="7" t="n">
        <v>79</v>
      </c>
      <c r="F768" s="3" t="n">
        <f aca="false">COUNTIFS($B$2:$B$2705,B768,$C$2:$C$2705,C768)</f>
        <v>2</v>
      </c>
      <c r="G768" s="3" t="n">
        <f aca="false">MIN(INT((MIN(B768,2020)-1900)/10)+1,12)</f>
        <v>5</v>
      </c>
      <c r="H768" s="3" t="n">
        <f aca="false">(MIN(B768,2020)-1900-10*(G768-1))/10</f>
        <v>0.9</v>
      </c>
      <c r="I768" s="20" t="n">
        <f aca="false">EXP(LN(INDEX(Pop_Inputs!$B$2:$N$29,MATCH(C768,Pop_Inputs!$A$2:$A$29,0),G768))*(1-H768)+LN(INDEX(Pop_Inputs!$B$2:$N$29,MATCH(C768,Pop_Inputs!$A$2:$A$29,0),G768+1))*H768)</f>
        <v>798327.217143659</v>
      </c>
      <c r="J768" s="20" t="n">
        <f aca="false">I768/F768</f>
        <v>399163.608571829</v>
      </c>
      <c r="K768" s="21" t="n">
        <f aca="false">D768/(D768+E768)</f>
        <v>0.487012987012987</v>
      </c>
      <c r="L768" s="21" t="n">
        <f aca="false">AVERAGEIFS($K$2:$K$2705,$B$2:$B$2705,B768)</f>
        <v>0.5</v>
      </c>
      <c r="M768" s="21" t="n">
        <f aca="false">K768-L768</f>
        <v>-0.012987012987013</v>
      </c>
      <c r="N768" s="21" t="n">
        <f aca="false">LN(J768)</f>
        <v>12.8971266583718</v>
      </c>
      <c r="O768" s="21" t="n">
        <f aca="false">AVERAGEIFS($N$2:$N$2705,$B$2:$B$2705,B768)</f>
        <v>13.8002824204255</v>
      </c>
      <c r="P768" s="21" t="n">
        <f aca="false">N768-O768</f>
        <v>-0.903155762053656</v>
      </c>
      <c r="Q768" s="7" t="n">
        <v>0</v>
      </c>
      <c r="R768" s="3" t="n">
        <f aca="false">IF(AND(Q768=1,B768-_xlfn.MINIFS($B$2:$B$2705,$A$2:$A$2705,A768)&lt;10),1,0)</f>
        <v>0</v>
      </c>
      <c r="S768" s="7" t="n">
        <v>0</v>
      </c>
      <c r="T768" s="3" t="n">
        <f aca="false">_xlfn.MINIFS($B$2:$B$2705,$A$2:$A$2705,A768)</f>
        <v>1901</v>
      </c>
      <c r="U768" s="3" t="n">
        <f aca="false">B768-T768</f>
        <v>48</v>
      </c>
      <c r="V768" s="3" t="str">
        <f aca="false">INDEX(Pop_Inputs!$Q$2:$Q$29,MATCH(C768,Pop_Inputs!$A$2:$A$29,0))</f>
        <v>Northeast</v>
      </c>
      <c r="W768" s="30"/>
      <c r="X768" s="3" t="str">
        <f aca="false">IF(W768="","",LN(W768))</f>
        <v/>
      </c>
      <c r="Y768" s="3" t="str">
        <f aca="false">IF(X768="","",X768-AVERAGEIFS($X$2:$X$2705,$B$2:$B$2705,B768))</f>
        <v/>
      </c>
      <c r="Z768" s="21" t="n">
        <f aca="false">P768</f>
        <v>-0.903155762053656</v>
      </c>
      <c r="AA768" s="3" t="n">
        <f aca="false">R768</f>
        <v>0</v>
      </c>
      <c r="AB768" s="21" t="n">
        <f aca="false">P768</f>
        <v>-0.903155762053656</v>
      </c>
      <c r="AC768" s="3" t="str">
        <f aca="false">Y768</f>
        <v/>
      </c>
      <c r="AD768" s="3" t="n">
        <f aca="false">R768</f>
        <v>0</v>
      </c>
    </row>
    <row r="769" customFormat="false" ht="15" hidden="false" customHeight="true" outlineLevel="0" collapsed="false">
      <c r="A769" s="7" t="s">
        <v>63</v>
      </c>
      <c r="B769" s="7" t="n">
        <v>1949</v>
      </c>
      <c r="C769" s="7" t="s">
        <v>145</v>
      </c>
      <c r="D769" s="7" t="n">
        <v>53</v>
      </c>
      <c r="E769" s="7" t="n">
        <v>101</v>
      </c>
      <c r="F769" s="3" t="n">
        <f aca="false">COUNTIFS($B$2:$B$2705,B769,$C$2:$C$2705,C769)</f>
        <v>2</v>
      </c>
      <c r="G769" s="3" t="n">
        <f aca="false">MIN(INT((MIN(B769,2020)-1900)/10)+1,12)</f>
        <v>5</v>
      </c>
      <c r="H769" s="3" t="n">
        <f aca="false">(MIN(B769,2020)-1900-10*(G769-1))/10</f>
        <v>0.9</v>
      </c>
      <c r="I769" s="20" t="n">
        <f aca="false">EXP(LN(INDEX(Pop_Inputs!$B$2:$N$29,MATCH(C769,Pop_Inputs!$A$2:$A$29,0),G769))*(1-H769)+LN(INDEX(Pop_Inputs!$B$2:$N$29,MATCH(C769,Pop_Inputs!$A$2:$A$29,0),G769+1))*H769)</f>
        <v>852631.272982301</v>
      </c>
      <c r="J769" s="20" t="n">
        <f aca="false">I769/F769</f>
        <v>426315.636491151</v>
      </c>
      <c r="K769" s="21" t="n">
        <f aca="false">D769/(D769+E769)</f>
        <v>0.344155844155844</v>
      </c>
      <c r="L769" s="21" t="n">
        <f aca="false">AVERAGEIFS($K$2:$K$2705,$B$2:$B$2705,B769)</f>
        <v>0.5</v>
      </c>
      <c r="M769" s="21" t="n">
        <f aca="false">K769-L769</f>
        <v>-0.155844155844156</v>
      </c>
      <c r="N769" s="21" t="n">
        <f aca="false">LN(J769)</f>
        <v>12.9629352816282</v>
      </c>
      <c r="O769" s="21" t="n">
        <f aca="false">AVERAGEIFS($N$2:$N$2705,$B$2:$B$2705,B769)</f>
        <v>13.8002824204255</v>
      </c>
      <c r="P769" s="21" t="n">
        <f aca="false">N769-O769</f>
        <v>-0.83734713879724</v>
      </c>
      <c r="Q769" s="7" t="n">
        <v>0</v>
      </c>
      <c r="R769" s="3" t="n">
        <f aca="false">IF(AND(Q769=1,B769-_xlfn.MINIFS($B$2:$B$2705,$A$2:$A$2705,A769)&lt;10),1,0)</f>
        <v>0</v>
      </c>
      <c r="S769" s="7" t="n">
        <v>0</v>
      </c>
      <c r="T769" s="3" t="n">
        <f aca="false">_xlfn.MINIFS($B$2:$B$2705,$A$2:$A$2705,A769)</f>
        <v>1901</v>
      </c>
      <c r="U769" s="3" t="n">
        <f aca="false">B769-T769</f>
        <v>48</v>
      </c>
      <c r="V769" s="3" t="str">
        <f aca="false">INDEX(Pop_Inputs!$Q$2:$Q$29,MATCH(C769,Pop_Inputs!$A$2:$A$29,0))</f>
        <v>Midwest</v>
      </c>
      <c r="W769" s="30"/>
      <c r="X769" s="3" t="str">
        <f aca="false">IF(W769="","",LN(W769))</f>
        <v/>
      </c>
      <c r="Y769" s="3" t="str">
        <f aca="false">IF(X769="","",X769-AVERAGEIFS($X$2:$X$2705,$B$2:$B$2705,B769))</f>
        <v/>
      </c>
      <c r="Z769" s="21" t="n">
        <f aca="false">P769</f>
        <v>-0.83734713879724</v>
      </c>
      <c r="AA769" s="3" t="n">
        <f aca="false">R769</f>
        <v>0</v>
      </c>
      <c r="AB769" s="21" t="n">
        <f aca="false">P769</f>
        <v>-0.83734713879724</v>
      </c>
      <c r="AC769" s="3" t="str">
        <f aca="false">Y769</f>
        <v/>
      </c>
      <c r="AD769" s="3" t="n">
        <f aca="false">R769</f>
        <v>0</v>
      </c>
    </row>
    <row r="770" customFormat="false" ht="15" hidden="false" customHeight="true" outlineLevel="0" collapsed="false">
      <c r="A770" s="7" t="s">
        <v>64</v>
      </c>
      <c r="B770" s="7" t="n">
        <v>1949</v>
      </c>
      <c r="C770" s="7" t="s">
        <v>150</v>
      </c>
      <c r="D770" s="7" t="n">
        <v>96</v>
      </c>
      <c r="E770" s="7" t="n">
        <v>58</v>
      </c>
      <c r="F770" s="3" t="n">
        <f aca="false">COUNTIFS($B$2:$B$2705,B770,$C$2:$C$2705,C770)</f>
        <v>2</v>
      </c>
      <c r="G770" s="3" t="n">
        <f aca="false">MIN(INT((MIN(B770,2020)-1900)/10)+1,12)</f>
        <v>5</v>
      </c>
      <c r="H770" s="3" t="n">
        <f aca="false">(MIN(B770,2020)-1900-10*(G770-1))/10</f>
        <v>0.9</v>
      </c>
      <c r="I770" s="20" t="n">
        <f aca="false">EXP(LN(INDEX(Pop_Inputs!$B$2:$N$29,MATCH(C770,Pop_Inputs!$A$2:$A$29,0),G770))*(1-H770)+LN(INDEX(Pop_Inputs!$B$2:$N$29,MATCH(C770,Pop_Inputs!$A$2:$A$29,0),G770+1))*H770)</f>
        <v>798327.217143659</v>
      </c>
      <c r="J770" s="20" t="n">
        <f aca="false">I770/F770</f>
        <v>399163.608571829</v>
      </c>
      <c r="K770" s="21" t="n">
        <f aca="false">D770/(D770+E770)</f>
        <v>0.623376623376623</v>
      </c>
      <c r="L770" s="21" t="n">
        <f aca="false">AVERAGEIFS($K$2:$K$2705,$B$2:$B$2705,B770)</f>
        <v>0.5</v>
      </c>
      <c r="M770" s="21" t="n">
        <f aca="false">K770-L770</f>
        <v>0.123376623376623</v>
      </c>
      <c r="N770" s="21" t="n">
        <f aca="false">LN(J770)</f>
        <v>12.8971266583718</v>
      </c>
      <c r="O770" s="21" t="n">
        <f aca="false">AVERAGEIFS($N$2:$N$2705,$B$2:$B$2705,B770)</f>
        <v>13.8002824204255</v>
      </c>
      <c r="P770" s="21" t="n">
        <f aca="false">N770-O770</f>
        <v>-0.903155762053656</v>
      </c>
      <c r="Q770" s="7" t="n">
        <v>0</v>
      </c>
      <c r="R770" s="3" t="n">
        <f aca="false">IF(AND(Q770=1,B770-_xlfn.MINIFS($B$2:$B$2705,$A$2:$A$2705,A770)&lt;10),1,0)</f>
        <v>0</v>
      </c>
      <c r="S770" s="7" t="n">
        <v>0</v>
      </c>
      <c r="T770" s="3" t="n">
        <f aca="false">_xlfn.MINIFS($B$2:$B$2705,$A$2:$A$2705,A770)</f>
        <v>1901</v>
      </c>
      <c r="U770" s="3" t="n">
        <f aca="false">B770-T770</f>
        <v>48</v>
      </c>
      <c r="V770" s="3" t="str">
        <f aca="false">INDEX(Pop_Inputs!$Q$2:$Q$29,MATCH(C770,Pop_Inputs!$A$2:$A$29,0))</f>
        <v>Northeast</v>
      </c>
      <c r="W770" s="30"/>
      <c r="X770" s="3" t="str">
        <f aca="false">IF(W770="","",LN(W770))</f>
        <v/>
      </c>
      <c r="Y770" s="3" t="str">
        <f aca="false">IF(X770="","",X770-AVERAGEIFS($X$2:$X$2705,$B$2:$B$2705,B770))</f>
        <v/>
      </c>
      <c r="Z770" s="21" t="n">
        <f aca="false">P770</f>
        <v>-0.903155762053656</v>
      </c>
      <c r="AA770" s="3" t="n">
        <f aca="false">R770</f>
        <v>0</v>
      </c>
      <c r="AB770" s="21" t="n">
        <f aca="false">P770</f>
        <v>-0.903155762053656</v>
      </c>
      <c r="AC770" s="3" t="str">
        <f aca="false">Y770</f>
        <v/>
      </c>
      <c r="AD770" s="3" t="n">
        <f aca="false">R770</f>
        <v>0</v>
      </c>
    </row>
    <row r="771" customFormat="false" ht="15" hidden="false" customHeight="true" outlineLevel="0" collapsed="false">
      <c r="A771" s="7" t="s">
        <v>56</v>
      </c>
      <c r="B771" s="7" t="n">
        <v>1949</v>
      </c>
      <c r="C771" s="7" t="s">
        <v>142</v>
      </c>
      <c r="D771" s="7" t="n">
        <v>61</v>
      </c>
      <c r="E771" s="7" t="n">
        <v>93</v>
      </c>
      <c r="F771" s="3" t="n">
        <f aca="false">COUNTIFS($B$2:$B$2705,B771,$C$2:$C$2705,C771)</f>
        <v>2</v>
      </c>
      <c r="G771" s="3" t="n">
        <f aca="false">MIN(INT((MIN(B771,2020)-1900)/10)+1,12)</f>
        <v>5</v>
      </c>
      <c r="H771" s="3" t="n">
        <f aca="false">(MIN(B771,2020)-1900-10*(G771-1))/10</f>
        <v>0.9</v>
      </c>
      <c r="I771" s="20" t="n">
        <f aca="false">EXP(LN(INDEX(Pop_Inputs!$B$2:$N$29,MATCH(C771,Pop_Inputs!$A$2:$A$29,0),G771))*(1-H771)+LN(INDEX(Pop_Inputs!$B$2:$N$29,MATCH(C771,Pop_Inputs!$A$2:$A$29,0),G771+1))*H771)</f>
        <v>3597896.53716472</v>
      </c>
      <c r="J771" s="20" t="n">
        <f aca="false">I771/F771</f>
        <v>1798948.26858236</v>
      </c>
      <c r="K771" s="21" t="n">
        <f aca="false">D771/(D771+E771)</f>
        <v>0.396103896103896</v>
      </c>
      <c r="L771" s="21" t="n">
        <f aca="false">AVERAGEIFS($K$2:$K$2705,$B$2:$B$2705,B771)</f>
        <v>0.5</v>
      </c>
      <c r="M771" s="21" t="n">
        <f aca="false">K771-L771</f>
        <v>-0.103896103896104</v>
      </c>
      <c r="N771" s="21" t="n">
        <f aca="false">LN(J771)</f>
        <v>14.4027127568674</v>
      </c>
      <c r="O771" s="21" t="n">
        <f aca="false">AVERAGEIFS($N$2:$N$2705,$B$2:$B$2705,B771)</f>
        <v>13.8002824204255</v>
      </c>
      <c r="P771" s="21" t="n">
        <f aca="false">N771-O771</f>
        <v>0.602430336441906</v>
      </c>
      <c r="Q771" s="7" t="n">
        <v>0</v>
      </c>
      <c r="R771" s="3" t="n">
        <f aca="false">IF(AND(Q771=1,B771-_xlfn.MINIFS($B$2:$B$2705,$A$2:$A$2705,A771)&lt;10),1,0)</f>
        <v>0</v>
      </c>
      <c r="S771" s="7" t="n">
        <v>0</v>
      </c>
      <c r="T771" s="3" t="n">
        <f aca="false">_xlfn.MINIFS($B$2:$B$2705,$A$2:$A$2705,A771)</f>
        <v>1901</v>
      </c>
      <c r="U771" s="3" t="n">
        <f aca="false">B771-T771</f>
        <v>48</v>
      </c>
      <c r="V771" s="3" t="str">
        <f aca="false">INDEX(Pop_Inputs!$Q$2:$Q$29,MATCH(C771,Pop_Inputs!$A$2:$A$29,0))</f>
        <v>Midwest</v>
      </c>
      <c r="W771" s="30"/>
      <c r="X771" s="3" t="str">
        <f aca="false">IF(W771="","",LN(W771))</f>
        <v/>
      </c>
      <c r="Y771" s="3" t="str">
        <f aca="false">IF(X771="","",X771-AVERAGEIFS($X$2:$X$2705,$B$2:$B$2705,B771))</f>
        <v/>
      </c>
      <c r="Z771" s="21" t="n">
        <f aca="false">P771</f>
        <v>0.602430336441906</v>
      </c>
      <c r="AA771" s="3" t="n">
        <f aca="false">R771</f>
        <v>0</v>
      </c>
      <c r="AB771" s="21" t="n">
        <f aca="false">P771</f>
        <v>0.602430336441906</v>
      </c>
      <c r="AC771" s="3" t="str">
        <f aca="false">Y771</f>
        <v/>
      </c>
      <c r="AD771" s="3" t="n">
        <f aca="false">R771</f>
        <v>0</v>
      </c>
    </row>
    <row r="772" customFormat="false" ht="15" hidden="false" customHeight="true" outlineLevel="0" collapsed="false">
      <c r="A772" s="7" t="s">
        <v>65</v>
      </c>
      <c r="B772" s="7" t="n">
        <v>1949</v>
      </c>
      <c r="C772" s="7" t="s">
        <v>142</v>
      </c>
      <c r="D772" s="7" t="n">
        <v>63</v>
      </c>
      <c r="E772" s="7" t="n">
        <v>91</v>
      </c>
      <c r="F772" s="3" t="n">
        <f aca="false">COUNTIFS($B$2:$B$2705,B772,$C$2:$C$2705,C772)</f>
        <v>2</v>
      </c>
      <c r="G772" s="3" t="n">
        <f aca="false">MIN(INT((MIN(B772,2020)-1900)/10)+1,12)</f>
        <v>5</v>
      </c>
      <c r="H772" s="3" t="n">
        <f aca="false">(MIN(B772,2020)-1900-10*(G772-1))/10</f>
        <v>0.9</v>
      </c>
      <c r="I772" s="20" t="n">
        <f aca="false">EXP(LN(INDEX(Pop_Inputs!$B$2:$N$29,MATCH(C772,Pop_Inputs!$A$2:$A$29,0),G772))*(1-H772)+LN(INDEX(Pop_Inputs!$B$2:$N$29,MATCH(C772,Pop_Inputs!$A$2:$A$29,0),G772+1))*H772)</f>
        <v>3597896.53716472</v>
      </c>
      <c r="J772" s="20" t="n">
        <f aca="false">I772/F772</f>
        <v>1798948.26858236</v>
      </c>
      <c r="K772" s="21" t="n">
        <f aca="false">D772/(D772+E772)</f>
        <v>0.409090909090909</v>
      </c>
      <c r="L772" s="21" t="n">
        <f aca="false">AVERAGEIFS($K$2:$K$2705,$B$2:$B$2705,B772)</f>
        <v>0.5</v>
      </c>
      <c r="M772" s="21" t="n">
        <f aca="false">K772-L772</f>
        <v>-0.0909090909090909</v>
      </c>
      <c r="N772" s="21" t="n">
        <f aca="false">LN(J772)</f>
        <v>14.4027127568674</v>
      </c>
      <c r="O772" s="21" t="n">
        <f aca="false">AVERAGEIFS($N$2:$N$2705,$B$2:$B$2705,B772)</f>
        <v>13.8002824204255</v>
      </c>
      <c r="P772" s="21" t="n">
        <f aca="false">N772-O772</f>
        <v>0.602430336441906</v>
      </c>
      <c r="Q772" s="7" t="n">
        <v>0</v>
      </c>
      <c r="R772" s="3" t="n">
        <f aca="false">IF(AND(Q772=1,B772-_xlfn.MINIFS($B$2:$B$2705,$A$2:$A$2705,A772)&lt;10),1,0)</f>
        <v>0</v>
      </c>
      <c r="S772" s="7" t="n">
        <v>0</v>
      </c>
      <c r="T772" s="3" t="n">
        <f aca="false">_xlfn.MINIFS($B$2:$B$2705,$A$2:$A$2705,A772)</f>
        <v>1901</v>
      </c>
      <c r="U772" s="3" t="n">
        <f aca="false">B772-T772</f>
        <v>48</v>
      </c>
      <c r="V772" s="3" t="str">
        <f aca="false">INDEX(Pop_Inputs!$Q$2:$Q$29,MATCH(C772,Pop_Inputs!$A$2:$A$29,0))</f>
        <v>Midwest</v>
      </c>
      <c r="W772" s="30"/>
      <c r="X772" s="3" t="str">
        <f aca="false">IF(W772="","",LN(W772))</f>
        <v/>
      </c>
      <c r="Y772" s="3" t="str">
        <f aca="false">IF(X772="","",X772-AVERAGEIFS($X$2:$X$2705,$B$2:$B$2705,B772))</f>
        <v/>
      </c>
      <c r="Z772" s="21" t="n">
        <f aca="false">P772</f>
        <v>0.602430336441906</v>
      </c>
      <c r="AA772" s="3" t="n">
        <f aca="false">R772</f>
        <v>0</v>
      </c>
      <c r="AB772" s="21" t="n">
        <f aca="false">P772</f>
        <v>0.602430336441906</v>
      </c>
      <c r="AC772" s="3" t="str">
        <f aca="false">Y772</f>
        <v/>
      </c>
      <c r="AD772" s="3" t="n">
        <f aca="false">R772</f>
        <v>0</v>
      </c>
    </row>
    <row r="773" customFormat="false" ht="15" hidden="false" customHeight="true" outlineLevel="0" collapsed="false">
      <c r="A773" s="7" t="s">
        <v>57</v>
      </c>
      <c r="B773" s="7" t="n">
        <v>1949</v>
      </c>
      <c r="C773" s="7" t="s">
        <v>143</v>
      </c>
      <c r="D773" s="7" t="n">
        <v>62</v>
      </c>
      <c r="E773" s="7" t="n">
        <v>92</v>
      </c>
      <c r="F773" s="3" t="n">
        <f aca="false">COUNTIFS($B$2:$B$2705,B773,$C$2:$C$2705,C773)</f>
        <v>1</v>
      </c>
      <c r="G773" s="3" t="n">
        <f aca="false">MIN(INT((MIN(B773,2020)-1900)/10)+1,12)</f>
        <v>5</v>
      </c>
      <c r="H773" s="3" t="n">
        <f aca="false">(MIN(B773,2020)-1900-10*(G773-1))/10</f>
        <v>0.9</v>
      </c>
      <c r="I773" s="20" t="n">
        <f aca="false">EXP(LN(INDEX(Pop_Inputs!$B$2:$N$29,MATCH(C773,Pop_Inputs!$A$2:$A$29,0),G773))*(1-H773)+LN(INDEX(Pop_Inputs!$B$2:$N$29,MATCH(C773,Pop_Inputs!$A$2:$A$29,0),G773+1))*H773)</f>
        <v>498936.477410474</v>
      </c>
      <c r="J773" s="20" t="n">
        <f aca="false">I773/F773</f>
        <v>498936.477410474</v>
      </c>
      <c r="K773" s="21" t="n">
        <f aca="false">D773/(D773+E773)</f>
        <v>0.402597402597403</v>
      </c>
      <c r="L773" s="21" t="n">
        <f aca="false">AVERAGEIFS($K$2:$K$2705,$B$2:$B$2705,B773)</f>
        <v>0.5</v>
      </c>
      <c r="M773" s="21" t="n">
        <f aca="false">K773-L773</f>
        <v>-0.0974025974025974</v>
      </c>
      <c r="N773" s="21" t="n">
        <f aca="false">LN(J773)</f>
        <v>13.1202340668517</v>
      </c>
      <c r="O773" s="21" t="n">
        <f aca="false">AVERAGEIFS($N$2:$N$2705,$B$2:$B$2705,B773)</f>
        <v>13.8002824204255</v>
      </c>
      <c r="P773" s="21" t="n">
        <f aca="false">N773-O773</f>
        <v>-0.680048353573742</v>
      </c>
      <c r="Q773" s="7" t="n">
        <v>0</v>
      </c>
      <c r="R773" s="3" t="n">
        <f aca="false">IF(AND(Q773=1,B773-_xlfn.MINIFS($B$2:$B$2705,$A$2:$A$2705,A773)&lt;10),1,0)</f>
        <v>0</v>
      </c>
      <c r="S773" s="7" t="n">
        <v>0</v>
      </c>
      <c r="T773" s="3" t="n">
        <f aca="false">_xlfn.MINIFS($B$2:$B$2705,$A$2:$A$2705,A773)</f>
        <v>1901</v>
      </c>
      <c r="U773" s="3" t="n">
        <f aca="false">B773-T773</f>
        <v>48</v>
      </c>
      <c r="V773" s="3" t="str">
        <f aca="false">INDEX(Pop_Inputs!$Q$2:$Q$29,MATCH(C773,Pop_Inputs!$A$2:$A$29,0))</f>
        <v>Midwest</v>
      </c>
      <c r="W773" s="30"/>
      <c r="X773" s="3" t="str">
        <f aca="false">IF(W773="","",LN(W773))</f>
        <v/>
      </c>
      <c r="Y773" s="3" t="str">
        <f aca="false">IF(X773="","",X773-AVERAGEIFS($X$2:$X$2705,$B$2:$B$2705,B773))</f>
        <v/>
      </c>
      <c r="Z773" s="21" t="n">
        <f aca="false">P773</f>
        <v>-0.680048353573742</v>
      </c>
      <c r="AA773" s="3" t="n">
        <f aca="false">R773</f>
        <v>0</v>
      </c>
      <c r="AB773" s="21" t="n">
        <f aca="false">P773</f>
        <v>-0.680048353573742</v>
      </c>
      <c r="AC773" s="3" t="str">
        <f aca="false">Y773</f>
        <v/>
      </c>
      <c r="AD773" s="3" t="n">
        <f aca="false">R773</f>
        <v>0</v>
      </c>
    </row>
    <row r="774" customFormat="false" ht="15" hidden="false" customHeight="true" outlineLevel="0" collapsed="false">
      <c r="A774" s="7" t="s">
        <v>66</v>
      </c>
      <c r="B774" s="7" t="n">
        <v>1949</v>
      </c>
      <c r="C774" s="7" t="s">
        <v>151</v>
      </c>
      <c r="D774" s="7" t="n">
        <v>89</v>
      </c>
      <c r="E774" s="7" t="n">
        <v>65</v>
      </c>
      <c r="F774" s="3" t="n">
        <f aca="false">COUNTIFS($B$2:$B$2705,B774,$C$2:$C$2705,C774)</f>
        <v>1</v>
      </c>
      <c r="G774" s="3" t="n">
        <f aca="false">MIN(INT((MIN(B774,2020)-1900)/10)+1,12)</f>
        <v>5</v>
      </c>
      <c r="H774" s="3" t="n">
        <f aca="false">(MIN(B774,2020)-1900-10*(G774-1))/10</f>
        <v>0.9</v>
      </c>
      <c r="I774" s="20" t="n">
        <f aca="false">EXP(LN(INDEX(Pop_Inputs!$B$2:$N$29,MATCH(C774,Pop_Inputs!$A$2:$A$29,0),G774))*(1-H774)+LN(INDEX(Pop_Inputs!$B$2:$N$29,MATCH(C774,Pop_Inputs!$A$2:$A$29,0),G774+1))*H774)</f>
        <v>911093.664768288</v>
      </c>
      <c r="J774" s="20" t="n">
        <f aca="false">I774/F774</f>
        <v>911093.664768288</v>
      </c>
      <c r="K774" s="21" t="n">
        <f aca="false">D774/(D774+E774)</f>
        <v>0.577922077922078</v>
      </c>
      <c r="L774" s="21" t="n">
        <f aca="false">AVERAGEIFS($K$2:$K$2705,$B$2:$B$2705,B774)</f>
        <v>0.5</v>
      </c>
      <c r="M774" s="21" t="n">
        <f aca="false">K774-L774</f>
        <v>0.077922077922078</v>
      </c>
      <c r="N774" s="21" t="n">
        <f aca="false">LN(J774)</f>
        <v>13.7224009862899</v>
      </c>
      <c r="O774" s="21" t="n">
        <f aca="false">AVERAGEIFS($N$2:$N$2705,$B$2:$B$2705,B774)</f>
        <v>13.8002824204255</v>
      </c>
      <c r="P774" s="21" t="n">
        <f aca="false">N774-O774</f>
        <v>-0.0778814341356053</v>
      </c>
      <c r="Q774" s="7" t="n">
        <v>0</v>
      </c>
      <c r="R774" s="3" t="n">
        <f aca="false">IF(AND(Q774=1,B774-_xlfn.MINIFS($B$2:$B$2705,$A$2:$A$2705,A774)&lt;10),1,0)</f>
        <v>0</v>
      </c>
      <c r="S774" s="7" t="n">
        <v>0</v>
      </c>
      <c r="T774" s="3" t="n">
        <f aca="false">_xlfn.MINIFS($B$2:$B$2705,$A$2:$A$2705,A774)</f>
        <v>1901</v>
      </c>
      <c r="U774" s="3" t="n">
        <f aca="false">B774-T774</f>
        <v>48</v>
      </c>
      <c r="V774" s="3" t="str">
        <f aca="false">INDEX(Pop_Inputs!$Q$2:$Q$29,MATCH(C774,Pop_Inputs!$A$2:$A$29,0))</f>
        <v>Midwest</v>
      </c>
      <c r="W774" s="30"/>
      <c r="X774" s="3" t="str">
        <f aca="false">IF(W774="","",LN(W774))</f>
        <v/>
      </c>
      <c r="Y774" s="3" t="str">
        <f aca="false">IF(X774="","",X774-AVERAGEIFS($X$2:$X$2705,$B$2:$B$2705,B774))</f>
        <v/>
      </c>
      <c r="Z774" s="21" t="n">
        <f aca="false">P774</f>
        <v>-0.0778814341356053</v>
      </c>
      <c r="AA774" s="3" t="n">
        <f aca="false">R774</f>
        <v>0</v>
      </c>
      <c r="AB774" s="21" t="n">
        <f aca="false">P774</f>
        <v>-0.0778814341356053</v>
      </c>
      <c r="AC774" s="3" t="str">
        <f aca="false">Y774</f>
        <v/>
      </c>
      <c r="AD774" s="3" t="n">
        <f aca="false">R774</f>
        <v>0</v>
      </c>
    </row>
    <row r="775" customFormat="false" ht="15" hidden="false" customHeight="true" outlineLevel="0" collapsed="false">
      <c r="A775" s="7" t="s">
        <v>67</v>
      </c>
      <c r="B775" s="7" t="n">
        <v>1949</v>
      </c>
      <c r="C775" s="7" t="s">
        <v>152</v>
      </c>
      <c r="D775" s="7" t="n">
        <v>87</v>
      </c>
      <c r="E775" s="7" t="n">
        <v>67</v>
      </c>
      <c r="F775" s="3" t="n">
        <f aca="false">COUNTIFS($B$2:$B$2705,B775,$C$2:$C$2705,C775)</f>
        <v>1</v>
      </c>
      <c r="G775" s="3" t="n">
        <f aca="false">MIN(INT((MIN(B775,2020)-1900)/10)+1,12)</f>
        <v>5</v>
      </c>
      <c r="H775" s="3" t="n">
        <f aca="false">(MIN(B775,2020)-1900-10*(G775-1))/10</f>
        <v>0.9</v>
      </c>
      <c r="I775" s="20" t="n">
        <f aca="false">EXP(LN(INDEX(Pop_Inputs!$B$2:$N$29,MATCH(C775,Pop_Inputs!$A$2:$A$29,0),G775))*(1-H775)+LN(INDEX(Pop_Inputs!$B$2:$N$29,MATCH(C775,Pop_Inputs!$A$2:$A$29,0),G775+1))*H775)</f>
        <v>1825606.68716454</v>
      </c>
      <c r="J775" s="20" t="n">
        <f aca="false">I775/F775</f>
        <v>1825606.68716454</v>
      </c>
      <c r="K775" s="21" t="n">
        <f aca="false">D775/(D775+E775)</f>
        <v>0.564935064935065</v>
      </c>
      <c r="L775" s="21" t="n">
        <f aca="false">AVERAGEIFS($K$2:$K$2705,$B$2:$B$2705,B775)</f>
        <v>0.5</v>
      </c>
      <c r="M775" s="21" t="n">
        <f aca="false">K775-L775</f>
        <v>0.064935064935065</v>
      </c>
      <c r="N775" s="21" t="n">
        <f aca="false">LN(J775)</f>
        <v>14.4174229210787</v>
      </c>
      <c r="O775" s="21" t="n">
        <f aca="false">AVERAGEIFS($N$2:$N$2705,$B$2:$B$2705,B775)</f>
        <v>13.8002824204255</v>
      </c>
      <c r="P775" s="21" t="n">
        <f aca="false">N775-O775</f>
        <v>0.617140500653232</v>
      </c>
      <c r="Q775" s="7" t="n">
        <v>0</v>
      </c>
      <c r="R775" s="3" t="n">
        <f aca="false">IF(AND(Q775=1,B775-_xlfn.MINIFS($B$2:$B$2705,$A$2:$A$2705,A775)&lt;10),1,0)</f>
        <v>0</v>
      </c>
      <c r="S775" s="7" t="n">
        <v>0</v>
      </c>
      <c r="T775" s="3" t="n">
        <f aca="false">_xlfn.MINIFS($B$2:$B$2705,$A$2:$A$2705,A775)</f>
        <v>1901</v>
      </c>
      <c r="U775" s="3" t="n">
        <f aca="false">B775-T775</f>
        <v>48</v>
      </c>
      <c r="V775" s="3" t="str">
        <f aca="false">INDEX(Pop_Inputs!$Q$2:$Q$29,MATCH(C775,Pop_Inputs!$A$2:$A$29,0))</f>
        <v>Midwest</v>
      </c>
      <c r="W775" s="30"/>
      <c r="X775" s="3" t="str">
        <f aca="false">IF(W775="","",LN(W775))</f>
        <v/>
      </c>
      <c r="Y775" s="3" t="str">
        <f aca="false">IF(X775="","",X775-AVERAGEIFS($X$2:$X$2705,$B$2:$B$2705,B775))</f>
        <v/>
      </c>
      <c r="Z775" s="21" t="n">
        <f aca="false">P775</f>
        <v>0.617140500653232</v>
      </c>
      <c r="AA775" s="3" t="n">
        <f aca="false">R775</f>
        <v>0</v>
      </c>
      <c r="AB775" s="21" t="n">
        <f aca="false">P775</f>
        <v>0.617140500653232</v>
      </c>
      <c r="AC775" s="3" t="str">
        <f aca="false">Y775</f>
        <v/>
      </c>
      <c r="AD775" s="3" t="n">
        <f aca="false">R775</f>
        <v>0</v>
      </c>
    </row>
    <row r="776" customFormat="false" ht="15" hidden="false" customHeight="true" outlineLevel="0" collapsed="false">
      <c r="A776" s="7" t="s">
        <v>62</v>
      </c>
      <c r="B776" s="7" t="n">
        <v>1949</v>
      </c>
      <c r="C776" s="7" t="s">
        <v>154</v>
      </c>
      <c r="D776" s="7" t="n">
        <v>97</v>
      </c>
      <c r="E776" s="7" t="n">
        <v>57</v>
      </c>
      <c r="F776" s="3" t="n">
        <f aca="false">COUNTIFS($B$2:$B$2705,B776,$C$2:$C$2705,C776)</f>
        <v>3</v>
      </c>
      <c r="G776" s="3" t="n">
        <f aca="false">MIN(INT((MIN(B776,2020)-1900)/10)+1,12)</f>
        <v>5</v>
      </c>
      <c r="H776" s="3" t="n">
        <f aca="false">(MIN(B776,2020)-1900-10*(G776-1))/10</f>
        <v>0.9</v>
      </c>
      <c r="I776" s="20" t="n">
        <f aca="false">EXP(LN(INDEX(Pop_Inputs!$B$2:$N$29,MATCH(C776,Pop_Inputs!$A$2:$A$29,0),G776))*(1-H776)+LN(INDEX(Pop_Inputs!$B$2:$N$29,MATCH(C776,Pop_Inputs!$A$2:$A$29,0),G776+1))*H776)</f>
        <v>7847132.30340491</v>
      </c>
      <c r="J776" s="20" t="n">
        <f aca="false">I776/F776</f>
        <v>2615710.76780164</v>
      </c>
      <c r="K776" s="21" t="n">
        <f aca="false">D776/(D776+E776)</f>
        <v>0.62987012987013</v>
      </c>
      <c r="L776" s="21" t="n">
        <f aca="false">AVERAGEIFS($K$2:$K$2705,$B$2:$B$2705,B776)</f>
        <v>0.5</v>
      </c>
      <c r="M776" s="21" t="n">
        <f aca="false">K776-L776</f>
        <v>0.12987012987013</v>
      </c>
      <c r="N776" s="21" t="n">
        <f aca="false">LN(J776)</f>
        <v>14.7770464226798</v>
      </c>
      <c r="O776" s="21" t="n">
        <f aca="false">AVERAGEIFS($N$2:$N$2705,$B$2:$B$2705,B776)</f>
        <v>13.8002824204255</v>
      </c>
      <c r="P776" s="21" t="n">
        <f aca="false">N776-O776</f>
        <v>0.976764002254271</v>
      </c>
      <c r="Q776" s="7" t="n">
        <v>0</v>
      </c>
      <c r="R776" s="3" t="n">
        <f aca="false">IF(AND(Q776=1,B776-_xlfn.MINIFS($B$2:$B$2705,$A$2:$A$2705,A776)&lt;10),1,0)</f>
        <v>0</v>
      </c>
      <c r="S776" s="7" t="n">
        <v>0</v>
      </c>
      <c r="T776" s="3" t="n">
        <f aca="false">_xlfn.MINIFS($B$2:$B$2705,$A$2:$A$2705,A776)</f>
        <v>1901</v>
      </c>
      <c r="U776" s="3" t="n">
        <f aca="false">B776-T776</f>
        <v>48</v>
      </c>
      <c r="V776" s="3" t="str">
        <f aca="false">INDEX(Pop_Inputs!$Q$2:$Q$29,MATCH(C776,Pop_Inputs!$A$2:$A$29,0))</f>
        <v>Northeast</v>
      </c>
      <c r="W776" s="30"/>
      <c r="X776" s="3" t="str">
        <f aca="false">IF(W776="","",LN(W776))</f>
        <v/>
      </c>
      <c r="Y776" s="3" t="str">
        <f aca="false">IF(X776="","",X776-AVERAGEIFS($X$2:$X$2705,$B$2:$B$2705,B776))</f>
        <v/>
      </c>
      <c r="Z776" s="21" t="n">
        <f aca="false">P776</f>
        <v>0.976764002254271</v>
      </c>
      <c r="AA776" s="3" t="n">
        <f aca="false">R776</f>
        <v>0</v>
      </c>
      <c r="AB776" s="21" t="n">
        <f aca="false">P776</f>
        <v>0.976764002254271</v>
      </c>
      <c r="AC776" s="3" t="str">
        <f aca="false">Y776</f>
        <v/>
      </c>
      <c r="AD776" s="3" t="n">
        <f aca="false">R776</f>
        <v>0</v>
      </c>
    </row>
    <row r="777" customFormat="false" ht="15" hidden="false" customHeight="true" outlineLevel="0" collapsed="false">
      <c r="A777" s="7" t="s">
        <v>68</v>
      </c>
      <c r="B777" s="7" t="n">
        <v>1949</v>
      </c>
      <c r="C777" s="7" t="s">
        <v>160</v>
      </c>
      <c r="D777" s="7" t="n">
        <v>50</v>
      </c>
      <c r="E777" s="7" t="n">
        <v>104</v>
      </c>
      <c r="F777" s="3" t="n">
        <f aca="false">COUNTIFS($B$2:$B$2705,B777,$C$2:$C$2705,C777)</f>
        <v>1</v>
      </c>
      <c r="G777" s="3" t="n">
        <f aca="false">MIN(INT((MIN(B777,2020)-1900)/10)+1,12)</f>
        <v>5</v>
      </c>
      <c r="H777" s="3" t="n">
        <f aca="false">(MIN(B777,2020)-1900-10*(G777-1))/10</f>
        <v>0.9</v>
      </c>
      <c r="I777" s="20" t="n">
        <f aca="false">EXP(LN(INDEX(Pop_Inputs!$B$2:$N$29,MATCH(C777,Pop_Inputs!$A$2:$A$29,0),G777))*(1-H777)+LN(INDEX(Pop_Inputs!$B$2:$N$29,MATCH(C777,Pop_Inputs!$A$2:$A$29,0),G777+1))*H777)</f>
        <v>787047.576130442</v>
      </c>
      <c r="J777" s="20" t="n">
        <f aca="false">I777/F777</f>
        <v>787047.576130442</v>
      </c>
      <c r="K777" s="21" t="n">
        <f aca="false">D777/(D777+E777)</f>
        <v>0.324675324675325</v>
      </c>
      <c r="L777" s="21" t="n">
        <f aca="false">AVERAGEIFS($K$2:$K$2705,$B$2:$B$2705,B777)</f>
        <v>0.5</v>
      </c>
      <c r="M777" s="21" t="n">
        <f aca="false">K777-L777</f>
        <v>-0.175324675324675</v>
      </c>
      <c r="N777" s="21" t="n">
        <f aca="false">LN(J777)</f>
        <v>13.5760439780888</v>
      </c>
      <c r="O777" s="21" t="n">
        <f aca="false">AVERAGEIFS($N$2:$N$2705,$B$2:$B$2705,B777)</f>
        <v>13.8002824204255</v>
      </c>
      <c r="P777" s="21" t="n">
        <f aca="false">N777-O777</f>
        <v>-0.224238442336679</v>
      </c>
      <c r="Q777" s="7" t="n">
        <v>0</v>
      </c>
      <c r="R777" s="3" t="n">
        <f aca="false">IF(AND(Q777=1,B777-_xlfn.MINIFS($B$2:$B$2705,$A$2:$A$2705,A777)&lt;10),1,0)</f>
        <v>0</v>
      </c>
      <c r="S777" s="7" t="n">
        <v>0</v>
      </c>
      <c r="T777" s="3" t="n">
        <f aca="false">_xlfn.MINIFS($B$2:$B$2705,$A$2:$A$2705,A777)</f>
        <v>1901</v>
      </c>
      <c r="U777" s="3" t="n">
        <f aca="false">B777-T777</f>
        <v>48</v>
      </c>
      <c r="V777" s="3" t="str">
        <f aca="false">INDEX(Pop_Inputs!$Q$2:$Q$29,MATCH(C777,Pop_Inputs!$A$2:$A$29,0))</f>
        <v>South</v>
      </c>
      <c r="W777" s="30"/>
      <c r="X777" s="3" t="str">
        <f aca="false">IF(W777="","",LN(W777))</f>
        <v/>
      </c>
      <c r="Y777" s="3" t="str">
        <f aca="false">IF(X777="","",X777-AVERAGEIFS($X$2:$X$2705,$B$2:$B$2705,B777))</f>
        <v/>
      </c>
      <c r="Z777" s="21" t="n">
        <f aca="false">P777</f>
        <v>-0.224238442336679</v>
      </c>
      <c r="AA777" s="3" t="n">
        <f aca="false">R777</f>
        <v>0</v>
      </c>
      <c r="AB777" s="21" t="n">
        <f aca="false">P777</f>
        <v>-0.224238442336679</v>
      </c>
      <c r="AC777" s="3" t="str">
        <f aca="false">Y777</f>
        <v/>
      </c>
      <c r="AD777" s="3" t="n">
        <f aca="false">R777</f>
        <v>0</v>
      </c>
    </row>
    <row r="778" customFormat="false" ht="15" hidden="false" customHeight="true" outlineLevel="0" collapsed="false">
      <c r="A778" s="7" t="s">
        <v>70</v>
      </c>
      <c r="B778" s="7" t="n">
        <v>1949</v>
      </c>
      <c r="C778" s="7" t="s">
        <v>154</v>
      </c>
      <c r="D778" s="7" t="n">
        <v>97</v>
      </c>
      <c r="E778" s="7" t="n">
        <v>57</v>
      </c>
      <c r="F778" s="3" t="n">
        <f aca="false">COUNTIFS($B$2:$B$2705,B778,$C$2:$C$2705,C778)</f>
        <v>3</v>
      </c>
      <c r="G778" s="3" t="n">
        <f aca="false">MIN(INT((MIN(B778,2020)-1900)/10)+1,12)</f>
        <v>5</v>
      </c>
      <c r="H778" s="3" t="n">
        <f aca="false">(MIN(B778,2020)-1900-10*(G778-1))/10</f>
        <v>0.9</v>
      </c>
      <c r="I778" s="20" t="n">
        <f aca="false">EXP(LN(INDEX(Pop_Inputs!$B$2:$N$29,MATCH(C778,Pop_Inputs!$A$2:$A$29,0),G778))*(1-H778)+LN(INDEX(Pop_Inputs!$B$2:$N$29,MATCH(C778,Pop_Inputs!$A$2:$A$29,0),G778+1))*H778)</f>
        <v>7847132.30340491</v>
      </c>
      <c r="J778" s="20" t="n">
        <f aca="false">I778/F778</f>
        <v>2615710.76780164</v>
      </c>
      <c r="K778" s="21" t="n">
        <f aca="false">D778/(D778+E778)</f>
        <v>0.62987012987013</v>
      </c>
      <c r="L778" s="21" t="n">
        <f aca="false">AVERAGEIFS($K$2:$K$2705,$B$2:$B$2705,B778)</f>
        <v>0.5</v>
      </c>
      <c r="M778" s="21" t="n">
        <f aca="false">K778-L778</f>
        <v>0.12987012987013</v>
      </c>
      <c r="N778" s="21" t="n">
        <f aca="false">LN(J778)</f>
        <v>14.7770464226798</v>
      </c>
      <c r="O778" s="21" t="n">
        <f aca="false">AVERAGEIFS($N$2:$N$2705,$B$2:$B$2705,B778)</f>
        <v>13.8002824204255</v>
      </c>
      <c r="P778" s="21" t="n">
        <f aca="false">N778-O778</f>
        <v>0.976764002254271</v>
      </c>
      <c r="Q778" s="7" t="n">
        <v>0</v>
      </c>
      <c r="R778" s="3" t="n">
        <f aca="false">IF(AND(Q778=1,B778-_xlfn.MINIFS($B$2:$B$2705,$A$2:$A$2705,A778)&lt;10),1,0)</f>
        <v>0</v>
      </c>
      <c r="S778" s="7" t="n">
        <v>1</v>
      </c>
      <c r="T778" s="3" t="n">
        <f aca="false">_xlfn.MINIFS($B$2:$B$2705,$A$2:$A$2705,A778)</f>
        <v>1903</v>
      </c>
      <c r="U778" s="3" t="n">
        <f aca="false">B778-T778</f>
        <v>46</v>
      </c>
      <c r="V778" s="3" t="str">
        <f aca="false">INDEX(Pop_Inputs!$Q$2:$Q$29,MATCH(C778,Pop_Inputs!$A$2:$A$29,0))</f>
        <v>Northeast</v>
      </c>
      <c r="W778" s="30"/>
      <c r="X778" s="3" t="str">
        <f aca="false">IF(W778="","",LN(W778))</f>
        <v/>
      </c>
      <c r="Y778" s="3" t="str">
        <f aca="false">IF(X778="","",X778-AVERAGEIFS($X$2:$X$2705,$B$2:$B$2705,B778))</f>
        <v/>
      </c>
      <c r="Z778" s="21" t="n">
        <f aca="false">P778</f>
        <v>0.976764002254271</v>
      </c>
      <c r="AA778" s="3" t="n">
        <f aca="false">R778</f>
        <v>0</v>
      </c>
      <c r="AB778" s="21" t="n">
        <f aca="false">P778</f>
        <v>0.976764002254271</v>
      </c>
      <c r="AC778" s="3" t="str">
        <f aca="false">Y778</f>
        <v/>
      </c>
      <c r="AD778" s="3" t="n">
        <f aca="false">R778</f>
        <v>0</v>
      </c>
    </row>
    <row r="779" customFormat="false" ht="15" hidden="false" customHeight="true" outlineLevel="0" collapsed="false">
      <c r="A779" s="7" t="s">
        <v>69</v>
      </c>
      <c r="B779" s="7" t="n">
        <v>1949</v>
      </c>
      <c r="C779" s="7" t="s">
        <v>146</v>
      </c>
      <c r="D779" s="7" t="n">
        <v>81</v>
      </c>
      <c r="E779" s="7" t="n">
        <v>73</v>
      </c>
      <c r="F779" s="3" t="n">
        <f aca="false">COUNTIFS($B$2:$B$2705,B779,$C$2:$C$2705,C779)</f>
        <v>2</v>
      </c>
      <c r="G779" s="3" t="n">
        <f aca="false">MIN(INT((MIN(B779,2020)-1900)/10)+1,12)</f>
        <v>5</v>
      </c>
      <c r="H779" s="3" t="n">
        <f aca="false">(MIN(B779,2020)-1900-10*(G779-1))/10</f>
        <v>0.9</v>
      </c>
      <c r="I779" s="20" t="n">
        <f aca="false">EXP(LN(INDEX(Pop_Inputs!$B$2:$N$29,MATCH(C779,Pop_Inputs!$A$2:$A$29,0),G779))*(1-H779)+LN(INDEX(Pop_Inputs!$B$2:$N$29,MATCH(C779,Pop_Inputs!$A$2:$A$29,0),G779+1))*H779)</f>
        <v>2057131.21436842</v>
      </c>
      <c r="J779" s="20" t="n">
        <f aca="false">I779/F779</f>
        <v>1028565.60718421</v>
      </c>
      <c r="K779" s="21" t="n">
        <f aca="false">D779/(D779+E779)</f>
        <v>0.525974025974026</v>
      </c>
      <c r="L779" s="21" t="n">
        <f aca="false">AVERAGEIFS($K$2:$K$2705,$B$2:$B$2705,B779)</f>
        <v>0.5</v>
      </c>
      <c r="M779" s="21" t="n">
        <f aca="false">K779-L779</f>
        <v>0.025974025974026</v>
      </c>
      <c r="N779" s="21" t="n">
        <f aca="false">LN(J779)</f>
        <v>13.8436757752329</v>
      </c>
      <c r="O779" s="21" t="n">
        <f aca="false">AVERAGEIFS($N$2:$N$2705,$B$2:$B$2705,B779)</f>
        <v>13.8002824204255</v>
      </c>
      <c r="P779" s="21" t="n">
        <f aca="false">N779-O779</f>
        <v>0.043393354807451</v>
      </c>
      <c r="Q779" s="7" t="n">
        <v>0</v>
      </c>
      <c r="R779" s="3" t="n">
        <f aca="false">IF(AND(Q779=1,B779-_xlfn.MINIFS($B$2:$B$2705,$A$2:$A$2705,A779)&lt;10),1,0)</f>
        <v>0</v>
      </c>
      <c r="S779" s="7" t="n">
        <v>0</v>
      </c>
      <c r="T779" s="3" t="n">
        <f aca="false">_xlfn.MINIFS($B$2:$B$2705,$A$2:$A$2705,A779)</f>
        <v>1901</v>
      </c>
      <c r="U779" s="3" t="n">
        <f aca="false">B779-T779</f>
        <v>48</v>
      </c>
      <c r="V779" s="3" t="str">
        <f aca="false">INDEX(Pop_Inputs!$Q$2:$Q$29,MATCH(C779,Pop_Inputs!$A$2:$A$29,0))</f>
        <v>Northeast</v>
      </c>
      <c r="W779" s="30"/>
      <c r="X779" s="3" t="str">
        <f aca="false">IF(W779="","",LN(W779))</f>
        <v/>
      </c>
      <c r="Y779" s="3" t="str">
        <f aca="false">IF(X779="","",X779-AVERAGEIFS($X$2:$X$2705,$B$2:$B$2705,B779))</f>
        <v/>
      </c>
      <c r="Z779" s="21" t="n">
        <f aca="false">P779</f>
        <v>0.043393354807451</v>
      </c>
      <c r="AA779" s="3" t="n">
        <f aca="false">R779</f>
        <v>0</v>
      </c>
      <c r="AB779" s="21" t="n">
        <f aca="false">P779</f>
        <v>0.043393354807451</v>
      </c>
      <c r="AC779" s="3" t="str">
        <f aca="false">Y779</f>
        <v/>
      </c>
      <c r="AD779" s="3" t="n">
        <f aca="false">R779</f>
        <v>0</v>
      </c>
    </row>
    <row r="780" customFormat="false" ht="15" hidden="false" customHeight="true" outlineLevel="0" collapsed="false">
      <c r="A780" s="7" t="s">
        <v>60</v>
      </c>
      <c r="B780" s="7" t="n">
        <v>1949</v>
      </c>
      <c r="C780" s="7" t="s">
        <v>146</v>
      </c>
      <c r="D780" s="7" t="n">
        <v>81</v>
      </c>
      <c r="E780" s="7" t="n">
        <v>73</v>
      </c>
      <c r="F780" s="3" t="n">
        <f aca="false">COUNTIFS($B$2:$B$2705,B780,$C$2:$C$2705,C780)</f>
        <v>2</v>
      </c>
      <c r="G780" s="3" t="n">
        <f aca="false">MIN(INT((MIN(B780,2020)-1900)/10)+1,12)</f>
        <v>5</v>
      </c>
      <c r="H780" s="3" t="n">
        <f aca="false">(MIN(B780,2020)-1900-10*(G780-1))/10</f>
        <v>0.9</v>
      </c>
      <c r="I780" s="20" t="n">
        <f aca="false">EXP(LN(INDEX(Pop_Inputs!$B$2:$N$29,MATCH(C780,Pop_Inputs!$A$2:$A$29,0),G780))*(1-H780)+LN(INDEX(Pop_Inputs!$B$2:$N$29,MATCH(C780,Pop_Inputs!$A$2:$A$29,0),G780+1))*H780)</f>
        <v>2057131.21436842</v>
      </c>
      <c r="J780" s="20" t="n">
        <f aca="false">I780/F780</f>
        <v>1028565.60718421</v>
      </c>
      <c r="K780" s="21" t="n">
        <f aca="false">D780/(D780+E780)</f>
        <v>0.525974025974026</v>
      </c>
      <c r="L780" s="21" t="n">
        <f aca="false">AVERAGEIFS($K$2:$K$2705,$B$2:$B$2705,B780)</f>
        <v>0.5</v>
      </c>
      <c r="M780" s="21" t="n">
        <f aca="false">K780-L780</f>
        <v>0.025974025974026</v>
      </c>
      <c r="N780" s="21" t="n">
        <f aca="false">LN(J780)</f>
        <v>13.8436757752329</v>
      </c>
      <c r="O780" s="21" t="n">
        <f aca="false">AVERAGEIFS($N$2:$N$2705,$B$2:$B$2705,B780)</f>
        <v>13.8002824204255</v>
      </c>
      <c r="P780" s="21" t="n">
        <f aca="false">N780-O780</f>
        <v>0.043393354807451</v>
      </c>
      <c r="Q780" s="7" t="n">
        <v>0</v>
      </c>
      <c r="R780" s="3" t="n">
        <f aca="false">IF(AND(Q780=1,B780-_xlfn.MINIFS($B$2:$B$2705,$A$2:$A$2705,A780)&lt;10),1,0)</f>
        <v>0</v>
      </c>
      <c r="S780" s="7" t="n">
        <v>0</v>
      </c>
      <c r="T780" s="3" t="n">
        <f aca="false">_xlfn.MINIFS($B$2:$B$2705,$A$2:$A$2705,A780)</f>
        <v>1901</v>
      </c>
      <c r="U780" s="3" t="n">
        <f aca="false">B780-T780</f>
        <v>48</v>
      </c>
      <c r="V780" s="3" t="str">
        <f aca="false">INDEX(Pop_Inputs!$Q$2:$Q$29,MATCH(C780,Pop_Inputs!$A$2:$A$29,0))</f>
        <v>Northeast</v>
      </c>
      <c r="W780" s="30"/>
      <c r="X780" s="3" t="str">
        <f aca="false">IF(W780="","",LN(W780))</f>
        <v/>
      </c>
      <c r="Y780" s="3" t="str">
        <f aca="false">IF(X780="","",X780-AVERAGEIFS($X$2:$X$2705,$B$2:$B$2705,B780))</f>
        <v/>
      </c>
      <c r="Z780" s="21" t="n">
        <f aca="false">P780</f>
        <v>0.043393354807451</v>
      </c>
      <c r="AA780" s="3" t="n">
        <f aca="false">R780</f>
        <v>0</v>
      </c>
      <c r="AB780" s="21" t="n">
        <f aca="false">P780</f>
        <v>0.043393354807451</v>
      </c>
      <c r="AC780" s="3" t="str">
        <f aca="false">Y780</f>
        <v/>
      </c>
      <c r="AD780" s="3" t="n">
        <f aca="false">R780</f>
        <v>0</v>
      </c>
    </row>
    <row r="781" customFormat="false" ht="15" hidden="false" customHeight="true" outlineLevel="0" collapsed="false">
      <c r="A781" s="7" t="s">
        <v>58</v>
      </c>
      <c r="B781" s="7" t="n">
        <v>1949</v>
      </c>
      <c r="C781" s="7" t="s">
        <v>144</v>
      </c>
      <c r="D781" s="7" t="n">
        <v>71</v>
      </c>
      <c r="E781" s="7" t="n">
        <v>83</v>
      </c>
      <c r="F781" s="3" t="n">
        <f aca="false">COUNTIFS($B$2:$B$2705,B781,$C$2:$C$2705,C781)</f>
        <v>1</v>
      </c>
      <c r="G781" s="3" t="n">
        <f aca="false">MIN(INT((MIN(B781,2020)-1900)/10)+1,12)</f>
        <v>5</v>
      </c>
      <c r="H781" s="3" t="n">
        <f aca="false">(MIN(B781,2020)-1900-10*(G781-1))/10</f>
        <v>0.9</v>
      </c>
      <c r="I781" s="20" t="n">
        <f aca="false">EXP(LN(INDEX(Pop_Inputs!$B$2:$N$29,MATCH(C781,Pop_Inputs!$A$2:$A$29,0),G781))*(1-H781)+LN(INDEX(Pop_Inputs!$B$2:$N$29,MATCH(C781,Pop_Inputs!$A$2:$A$29,0),G781+1))*H781)</f>
        <v>676289.530074813</v>
      </c>
      <c r="J781" s="20" t="n">
        <f aca="false">I781/F781</f>
        <v>676289.530074813</v>
      </c>
      <c r="K781" s="21" t="n">
        <f aca="false">D781/(D781+E781)</f>
        <v>0.461038961038961</v>
      </c>
      <c r="L781" s="21" t="n">
        <f aca="false">AVERAGEIFS($K$2:$K$2705,$B$2:$B$2705,B781)</f>
        <v>0.5</v>
      </c>
      <c r="M781" s="21" t="n">
        <f aca="false">K781-L781</f>
        <v>-0.038961038961039</v>
      </c>
      <c r="N781" s="21" t="n">
        <f aca="false">LN(J781)</f>
        <v>13.4243765622585</v>
      </c>
      <c r="O781" s="21" t="n">
        <f aca="false">AVERAGEIFS($N$2:$N$2705,$B$2:$B$2705,B781)</f>
        <v>13.8002824204255</v>
      </c>
      <c r="P781" s="21" t="n">
        <f aca="false">N781-O781</f>
        <v>-0.37590585816695</v>
      </c>
      <c r="Q781" s="7" t="n">
        <v>0</v>
      </c>
      <c r="R781" s="3" t="n">
        <f aca="false">IF(AND(Q781=1,B781-_xlfn.MINIFS($B$2:$B$2705,$A$2:$A$2705,A781)&lt;10),1,0)</f>
        <v>0</v>
      </c>
      <c r="S781" s="7" t="n">
        <v>0</v>
      </c>
      <c r="T781" s="3" t="n">
        <f aca="false">_xlfn.MINIFS($B$2:$B$2705,$A$2:$A$2705,A781)</f>
        <v>1901</v>
      </c>
      <c r="U781" s="3" t="n">
        <f aca="false">B781-T781</f>
        <v>48</v>
      </c>
      <c r="V781" s="3" t="str">
        <f aca="false">INDEX(Pop_Inputs!$Q$2:$Q$29,MATCH(C781,Pop_Inputs!$A$2:$A$29,0))</f>
        <v>Northeast</v>
      </c>
      <c r="W781" s="30"/>
      <c r="X781" s="3" t="str">
        <f aca="false">IF(W781="","",LN(W781))</f>
        <v/>
      </c>
      <c r="Y781" s="3" t="str">
        <f aca="false">IF(X781="","",X781-AVERAGEIFS($X$2:$X$2705,$B$2:$B$2705,B781))</f>
        <v/>
      </c>
      <c r="Z781" s="21" t="n">
        <f aca="false">P781</f>
        <v>-0.37590585816695</v>
      </c>
      <c r="AA781" s="3" t="n">
        <f aca="false">R781</f>
        <v>0</v>
      </c>
      <c r="AB781" s="21" t="n">
        <f aca="false">P781</f>
        <v>-0.37590585816695</v>
      </c>
      <c r="AC781" s="3" t="str">
        <f aca="false">Y781</f>
        <v/>
      </c>
      <c r="AD781" s="3" t="n">
        <f aca="false">R781</f>
        <v>0</v>
      </c>
    </row>
    <row r="782" customFormat="false" ht="15" hidden="false" customHeight="true" outlineLevel="0" collapsed="false">
      <c r="A782" s="7" t="s">
        <v>61</v>
      </c>
      <c r="B782" s="7" t="n">
        <v>1949</v>
      </c>
      <c r="C782" s="7" t="s">
        <v>154</v>
      </c>
      <c r="D782" s="7" t="n">
        <v>73</v>
      </c>
      <c r="E782" s="7" t="n">
        <v>81</v>
      </c>
      <c r="F782" s="3" t="n">
        <f aca="false">COUNTIFS($B$2:$B$2705,B782,$C$2:$C$2705,C782)</f>
        <v>3</v>
      </c>
      <c r="G782" s="3" t="n">
        <f aca="false">MIN(INT((MIN(B782,2020)-1900)/10)+1,12)</f>
        <v>5</v>
      </c>
      <c r="H782" s="3" t="n">
        <f aca="false">(MIN(B782,2020)-1900-10*(G782-1))/10</f>
        <v>0.9</v>
      </c>
      <c r="I782" s="20" t="n">
        <f aca="false">EXP(LN(INDEX(Pop_Inputs!$B$2:$N$29,MATCH(C782,Pop_Inputs!$A$2:$A$29,0),G782))*(1-H782)+LN(INDEX(Pop_Inputs!$B$2:$N$29,MATCH(C782,Pop_Inputs!$A$2:$A$29,0),G782+1))*H782)</f>
        <v>7847132.30340491</v>
      </c>
      <c r="J782" s="20" t="n">
        <f aca="false">I782/F782</f>
        <v>2615710.76780164</v>
      </c>
      <c r="K782" s="21" t="n">
        <f aca="false">D782/(D782+E782)</f>
        <v>0.474025974025974</v>
      </c>
      <c r="L782" s="21" t="n">
        <f aca="false">AVERAGEIFS($K$2:$K$2705,$B$2:$B$2705,B782)</f>
        <v>0.5</v>
      </c>
      <c r="M782" s="21" t="n">
        <f aca="false">K782-L782</f>
        <v>-0.025974025974026</v>
      </c>
      <c r="N782" s="21" t="n">
        <f aca="false">LN(J782)</f>
        <v>14.7770464226798</v>
      </c>
      <c r="O782" s="21" t="n">
        <f aca="false">AVERAGEIFS($N$2:$N$2705,$B$2:$B$2705,B782)</f>
        <v>13.8002824204255</v>
      </c>
      <c r="P782" s="21" t="n">
        <f aca="false">N782-O782</f>
        <v>0.976764002254271</v>
      </c>
      <c r="Q782" s="7" t="n">
        <v>0</v>
      </c>
      <c r="R782" s="3" t="n">
        <f aca="false">IF(AND(Q782=1,B782-_xlfn.MINIFS($B$2:$B$2705,$A$2:$A$2705,A782)&lt;10),1,0)</f>
        <v>0</v>
      </c>
      <c r="S782" s="7" t="n">
        <v>0</v>
      </c>
      <c r="T782" s="3" t="n">
        <f aca="false">_xlfn.MINIFS($B$2:$B$2705,$A$2:$A$2705,A782)</f>
        <v>1901</v>
      </c>
      <c r="U782" s="3" t="n">
        <f aca="false">B782-T782</f>
        <v>48</v>
      </c>
      <c r="V782" s="3" t="str">
        <f aca="false">INDEX(Pop_Inputs!$Q$2:$Q$29,MATCH(C782,Pop_Inputs!$A$2:$A$29,0))</f>
        <v>Northeast</v>
      </c>
      <c r="W782" s="30"/>
      <c r="X782" s="3" t="str">
        <f aca="false">IF(W782="","",LN(W782))</f>
        <v/>
      </c>
      <c r="Y782" s="3" t="str">
        <f aca="false">IF(X782="","",X782-AVERAGEIFS($X$2:$X$2705,$B$2:$B$2705,B782))</f>
        <v/>
      </c>
      <c r="Z782" s="21" t="n">
        <f aca="false">P782</f>
        <v>0.976764002254271</v>
      </c>
      <c r="AA782" s="3" t="n">
        <f aca="false">R782</f>
        <v>0</v>
      </c>
      <c r="AB782" s="21" t="n">
        <f aca="false">P782</f>
        <v>0.976764002254271</v>
      </c>
      <c r="AC782" s="3" t="str">
        <f aca="false">Y782</f>
        <v/>
      </c>
      <c r="AD782" s="3" t="n">
        <f aca="false">R782</f>
        <v>0</v>
      </c>
    </row>
    <row r="783" customFormat="false" ht="15" hidden="false" customHeight="true" outlineLevel="0" collapsed="false">
      <c r="A783" s="7" t="s">
        <v>59</v>
      </c>
      <c r="B783" s="7" t="n">
        <v>1949</v>
      </c>
      <c r="C783" s="7" t="s">
        <v>145</v>
      </c>
      <c r="D783" s="7" t="n">
        <v>96</v>
      </c>
      <c r="E783" s="7" t="n">
        <v>58</v>
      </c>
      <c r="F783" s="3" t="n">
        <f aca="false">COUNTIFS($B$2:$B$2705,B783,$C$2:$C$2705,C783)</f>
        <v>2</v>
      </c>
      <c r="G783" s="3" t="n">
        <f aca="false">MIN(INT((MIN(B783,2020)-1900)/10)+1,12)</f>
        <v>5</v>
      </c>
      <c r="H783" s="3" t="n">
        <f aca="false">(MIN(B783,2020)-1900-10*(G783-1))/10</f>
        <v>0.9</v>
      </c>
      <c r="I783" s="20" t="n">
        <f aca="false">EXP(LN(INDEX(Pop_Inputs!$B$2:$N$29,MATCH(C783,Pop_Inputs!$A$2:$A$29,0),G783))*(1-H783)+LN(INDEX(Pop_Inputs!$B$2:$N$29,MATCH(C783,Pop_Inputs!$A$2:$A$29,0),G783+1))*H783)</f>
        <v>852631.272982301</v>
      </c>
      <c r="J783" s="20" t="n">
        <f aca="false">I783/F783</f>
        <v>426315.636491151</v>
      </c>
      <c r="K783" s="21" t="n">
        <f aca="false">D783/(D783+E783)</f>
        <v>0.623376623376623</v>
      </c>
      <c r="L783" s="21" t="n">
        <f aca="false">AVERAGEIFS($K$2:$K$2705,$B$2:$B$2705,B783)</f>
        <v>0.5</v>
      </c>
      <c r="M783" s="21" t="n">
        <f aca="false">K783-L783</f>
        <v>0.123376623376623</v>
      </c>
      <c r="N783" s="21" t="n">
        <f aca="false">LN(J783)</f>
        <v>12.9629352816282</v>
      </c>
      <c r="O783" s="21" t="n">
        <f aca="false">AVERAGEIFS($N$2:$N$2705,$B$2:$B$2705,B783)</f>
        <v>13.8002824204255</v>
      </c>
      <c r="P783" s="21" t="n">
        <f aca="false">N783-O783</f>
        <v>-0.83734713879724</v>
      </c>
      <c r="Q783" s="7" t="n">
        <v>0</v>
      </c>
      <c r="R783" s="3" t="n">
        <f aca="false">IF(AND(Q783=1,B783-_xlfn.MINIFS($B$2:$B$2705,$A$2:$A$2705,A783)&lt;10),1,0)</f>
        <v>0</v>
      </c>
      <c r="S783" s="7" t="n">
        <v>0</v>
      </c>
      <c r="T783" s="3" t="n">
        <f aca="false">_xlfn.MINIFS($B$2:$B$2705,$A$2:$A$2705,A783)</f>
        <v>1901</v>
      </c>
      <c r="U783" s="3" t="n">
        <f aca="false">B783-T783</f>
        <v>48</v>
      </c>
      <c r="V783" s="3" t="str">
        <f aca="false">INDEX(Pop_Inputs!$Q$2:$Q$29,MATCH(C783,Pop_Inputs!$A$2:$A$29,0))</f>
        <v>Midwest</v>
      </c>
      <c r="W783" s="30"/>
      <c r="X783" s="3" t="str">
        <f aca="false">IF(W783="","",LN(W783))</f>
        <v/>
      </c>
      <c r="Y783" s="3" t="str">
        <f aca="false">IF(X783="","",X783-AVERAGEIFS($X$2:$X$2705,$B$2:$B$2705,B783))</f>
        <v/>
      </c>
      <c r="Z783" s="21" t="n">
        <f aca="false">P783</f>
        <v>-0.83734713879724</v>
      </c>
      <c r="AA783" s="3" t="n">
        <f aca="false">R783</f>
        <v>0</v>
      </c>
      <c r="AB783" s="21" t="n">
        <f aca="false">P783</f>
        <v>-0.83734713879724</v>
      </c>
      <c r="AC783" s="3" t="str">
        <f aca="false">Y783</f>
        <v/>
      </c>
      <c r="AD783" s="3" t="n">
        <f aca="false">R783</f>
        <v>0</v>
      </c>
    </row>
    <row r="784" customFormat="false" ht="15" hidden="false" customHeight="true" outlineLevel="0" collapsed="false">
      <c r="A784" s="7" t="s">
        <v>54</v>
      </c>
      <c r="B784" s="7" t="n">
        <v>1950</v>
      </c>
      <c r="C784" s="7" t="s">
        <v>150</v>
      </c>
      <c r="D784" s="7" t="n">
        <v>83</v>
      </c>
      <c r="E784" s="7" t="n">
        <v>71</v>
      </c>
      <c r="F784" s="3" t="n">
        <f aca="false">COUNTIFS($B$2:$B$2705,B784,$C$2:$C$2705,C784)</f>
        <v>2</v>
      </c>
      <c r="G784" s="3" t="n">
        <f aca="false">MIN(INT((MIN(B784,2020)-1900)/10)+1,12)</f>
        <v>6</v>
      </c>
      <c r="H784" s="3" t="n">
        <f aca="false">(MIN(B784,2020)-1900-10*(G784-1))/10</f>
        <v>0</v>
      </c>
      <c r="I784" s="20" t="n">
        <f aca="false">EXP(LN(INDEX(Pop_Inputs!$B$2:$N$29,MATCH(C784,Pop_Inputs!$A$2:$A$29,0),G784))*(1-H784)+LN(INDEX(Pop_Inputs!$B$2:$N$29,MATCH(C784,Pop_Inputs!$A$2:$A$29,0),G784+1))*H784)</f>
        <v>801444</v>
      </c>
      <c r="J784" s="20" t="n">
        <f aca="false">I784/F784</f>
        <v>400722</v>
      </c>
      <c r="K784" s="21" t="n">
        <f aca="false">D784/(D784+E784)</f>
        <v>0.538961038961039</v>
      </c>
      <c r="L784" s="21" t="n">
        <f aca="false">AVERAGEIFS($K$2:$K$2705,$B$2:$B$2705,B784)</f>
        <v>0.499891244376539</v>
      </c>
      <c r="M784" s="21" t="n">
        <f aca="false">K784-L784</f>
        <v>0.0390697945845005</v>
      </c>
      <c r="N784" s="21" t="n">
        <f aca="false">LN(J784)</f>
        <v>12.9010231990352</v>
      </c>
      <c r="O784" s="21" t="n">
        <f aca="false">AVERAGEIFS($N$2:$N$2705,$B$2:$B$2705,B784)</f>
        <v>13.807059707784</v>
      </c>
      <c r="P784" s="21" t="n">
        <f aca="false">N784-O784</f>
        <v>-0.906036508748779</v>
      </c>
      <c r="Q784" s="7" t="n">
        <v>0</v>
      </c>
      <c r="R784" s="3" t="n">
        <f aca="false">IF(AND(Q784=1,B784-_xlfn.MINIFS($B$2:$B$2705,$A$2:$A$2705,A784)&lt;10),1,0)</f>
        <v>0</v>
      </c>
      <c r="S784" s="7" t="n">
        <v>0</v>
      </c>
      <c r="T784" s="3" t="n">
        <f aca="false">_xlfn.MINIFS($B$2:$B$2705,$A$2:$A$2705,A784)</f>
        <v>1901</v>
      </c>
      <c r="U784" s="3" t="n">
        <f aca="false">B784-T784</f>
        <v>49</v>
      </c>
      <c r="V784" s="3" t="str">
        <f aca="false">INDEX(Pop_Inputs!$Q$2:$Q$29,MATCH(C784,Pop_Inputs!$A$2:$A$29,0))</f>
        <v>Northeast</v>
      </c>
      <c r="W784" s="30"/>
      <c r="X784" s="3" t="str">
        <f aca="false">IF(W784="","",LN(W784))</f>
        <v/>
      </c>
      <c r="Y784" s="3" t="str">
        <f aca="false">IF(X784="","",X784-AVERAGEIFS($X$2:$X$2705,$B$2:$B$2705,B784))</f>
        <v/>
      </c>
      <c r="Z784" s="21" t="n">
        <f aca="false">P784</f>
        <v>-0.906036508748779</v>
      </c>
      <c r="AA784" s="3" t="n">
        <f aca="false">R784</f>
        <v>0</v>
      </c>
      <c r="AB784" s="21" t="n">
        <f aca="false">P784</f>
        <v>-0.906036508748779</v>
      </c>
      <c r="AC784" s="3" t="str">
        <f aca="false">Y784</f>
        <v/>
      </c>
      <c r="AD784" s="3" t="n">
        <f aca="false">R784</f>
        <v>0</v>
      </c>
    </row>
    <row r="785" customFormat="false" ht="15" hidden="false" customHeight="true" outlineLevel="0" collapsed="false">
      <c r="A785" s="7" t="s">
        <v>63</v>
      </c>
      <c r="B785" s="7" t="n">
        <v>1950</v>
      </c>
      <c r="C785" s="7" t="s">
        <v>145</v>
      </c>
      <c r="D785" s="7" t="n">
        <v>58</v>
      </c>
      <c r="E785" s="7" t="n">
        <v>96</v>
      </c>
      <c r="F785" s="3" t="n">
        <f aca="false">COUNTIFS($B$2:$B$2705,B785,$C$2:$C$2705,C785)</f>
        <v>2</v>
      </c>
      <c r="G785" s="3" t="n">
        <f aca="false">MIN(INT((MIN(B785,2020)-1900)/10)+1,12)</f>
        <v>6</v>
      </c>
      <c r="H785" s="3" t="n">
        <f aca="false">(MIN(B785,2020)-1900-10*(G785-1))/10</f>
        <v>0</v>
      </c>
      <c r="I785" s="20" t="n">
        <f aca="false">EXP(LN(INDEX(Pop_Inputs!$B$2:$N$29,MATCH(C785,Pop_Inputs!$A$2:$A$29,0),G785))*(1-H785)+LN(INDEX(Pop_Inputs!$B$2:$N$29,MATCH(C785,Pop_Inputs!$A$2:$A$29,0),G785+1))*H785)</f>
        <v>856796</v>
      </c>
      <c r="J785" s="20" t="n">
        <f aca="false">I785/F785</f>
        <v>428398</v>
      </c>
      <c r="K785" s="21" t="n">
        <f aca="false">D785/(D785+E785)</f>
        <v>0.376623376623377</v>
      </c>
      <c r="L785" s="21" t="n">
        <f aca="false">AVERAGEIFS($K$2:$K$2705,$B$2:$B$2705,B785)</f>
        <v>0.499891244376539</v>
      </c>
      <c r="M785" s="21" t="n">
        <f aca="false">K785-L785</f>
        <v>-0.123267867753162</v>
      </c>
      <c r="N785" s="21" t="n">
        <f aca="false">LN(J785)</f>
        <v>12.9678079490108</v>
      </c>
      <c r="O785" s="21" t="n">
        <f aca="false">AVERAGEIFS($N$2:$N$2705,$B$2:$B$2705,B785)</f>
        <v>13.807059707784</v>
      </c>
      <c r="P785" s="21" t="n">
        <f aca="false">N785-O785</f>
        <v>-0.839251758773239</v>
      </c>
      <c r="Q785" s="7" t="n">
        <v>0</v>
      </c>
      <c r="R785" s="3" t="n">
        <f aca="false">IF(AND(Q785=1,B785-_xlfn.MINIFS($B$2:$B$2705,$A$2:$A$2705,A785)&lt;10),1,0)</f>
        <v>0</v>
      </c>
      <c r="S785" s="7" t="n">
        <v>0</v>
      </c>
      <c r="T785" s="3" t="n">
        <f aca="false">_xlfn.MINIFS($B$2:$B$2705,$A$2:$A$2705,A785)</f>
        <v>1901</v>
      </c>
      <c r="U785" s="3" t="n">
        <f aca="false">B785-T785</f>
        <v>49</v>
      </c>
      <c r="V785" s="3" t="str">
        <f aca="false">INDEX(Pop_Inputs!$Q$2:$Q$29,MATCH(C785,Pop_Inputs!$A$2:$A$29,0))</f>
        <v>Midwest</v>
      </c>
      <c r="W785" s="30"/>
      <c r="X785" s="3" t="str">
        <f aca="false">IF(W785="","",LN(W785))</f>
        <v/>
      </c>
      <c r="Y785" s="3" t="str">
        <f aca="false">IF(X785="","",X785-AVERAGEIFS($X$2:$X$2705,$B$2:$B$2705,B785))</f>
        <v/>
      </c>
      <c r="Z785" s="21" t="n">
        <f aca="false">P785</f>
        <v>-0.839251758773239</v>
      </c>
      <c r="AA785" s="3" t="n">
        <f aca="false">R785</f>
        <v>0</v>
      </c>
      <c r="AB785" s="21" t="n">
        <f aca="false">P785</f>
        <v>-0.839251758773239</v>
      </c>
      <c r="AC785" s="3" t="str">
        <f aca="false">Y785</f>
        <v/>
      </c>
      <c r="AD785" s="3" t="n">
        <f aca="false">R785</f>
        <v>0</v>
      </c>
    </row>
    <row r="786" customFormat="false" ht="15" hidden="false" customHeight="true" outlineLevel="0" collapsed="false">
      <c r="A786" s="7" t="s">
        <v>64</v>
      </c>
      <c r="B786" s="7" t="n">
        <v>1950</v>
      </c>
      <c r="C786" s="7" t="s">
        <v>150</v>
      </c>
      <c r="D786" s="7" t="n">
        <v>94</v>
      </c>
      <c r="E786" s="7" t="n">
        <v>60</v>
      </c>
      <c r="F786" s="3" t="n">
        <f aca="false">COUNTIFS($B$2:$B$2705,B786,$C$2:$C$2705,C786)</f>
        <v>2</v>
      </c>
      <c r="G786" s="3" t="n">
        <f aca="false">MIN(INT((MIN(B786,2020)-1900)/10)+1,12)</f>
        <v>6</v>
      </c>
      <c r="H786" s="3" t="n">
        <f aca="false">(MIN(B786,2020)-1900-10*(G786-1))/10</f>
        <v>0</v>
      </c>
      <c r="I786" s="20" t="n">
        <f aca="false">EXP(LN(INDEX(Pop_Inputs!$B$2:$N$29,MATCH(C786,Pop_Inputs!$A$2:$A$29,0),G786))*(1-H786)+LN(INDEX(Pop_Inputs!$B$2:$N$29,MATCH(C786,Pop_Inputs!$A$2:$A$29,0),G786+1))*H786)</f>
        <v>801444</v>
      </c>
      <c r="J786" s="20" t="n">
        <f aca="false">I786/F786</f>
        <v>400722</v>
      </c>
      <c r="K786" s="21" t="n">
        <f aca="false">D786/(D786+E786)</f>
        <v>0.61038961038961</v>
      </c>
      <c r="L786" s="21" t="n">
        <f aca="false">AVERAGEIFS($K$2:$K$2705,$B$2:$B$2705,B786)</f>
        <v>0.499891244376539</v>
      </c>
      <c r="M786" s="21" t="n">
        <f aca="false">K786-L786</f>
        <v>0.110498366013072</v>
      </c>
      <c r="N786" s="21" t="n">
        <f aca="false">LN(J786)</f>
        <v>12.9010231990352</v>
      </c>
      <c r="O786" s="21" t="n">
        <f aca="false">AVERAGEIFS($N$2:$N$2705,$B$2:$B$2705,B786)</f>
        <v>13.807059707784</v>
      </c>
      <c r="P786" s="21" t="n">
        <f aca="false">N786-O786</f>
        <v>-0.906036508748779</v>
      </c>
      <c r="Q786" s="7" t="n">
        <v>0</v>
      </c>
      <c r="R786" s="3" t="n">
        <f aca="false">IF(AND(Q786=1,B786-_xlfn.MINIFS($B$2:$B$2705,$A$2:$A$2705,A786)&lt;10),1,0)</f>
        <v>0</v>
      </c>
      <c r="S786" s="7" t="n">
        <v>0</v>
      </c>
      <c r="T786" s="3" t="n">
        <f aca="false">_xlfn.MINIFS($B$2:$B$2705,$A$2:$A$2705,A786)</f>
        <v>1901</v>
      </c>
      <c r="U786" s="3" t="n">
        <f aca="false">B786-T786</f>
        <v>49</v>
      </c>
      <c r="V786" s="3" t="str">
        <f aca="false">INDEX(Pop_Inputs!$Q$2:$Q$29,MATCH(C786,Pop_Inputs!$A$2:$A$29,0))</f>
        <v>Northeast</v>
      </c>
      <c r="W786" s="30"/>
      <c r="X786" s="3" t="str">
        <f aca="false">IF(W786="","",LN(W786))</f>
        <v/>
      </c>
      <c r="Y786" s="3" t="str">
        <f aca="false">IF(X786="","",X786-AVERAGEIFS($X$2:$X$2705,$B$2:$B$2705,B786))</f>
        <v/>
      </c>
      <c r="Z786" s="21" t="n">
        <f aca="false">P786</f>
        <v>-0.906036508748779</v>
      </c>
      <c r="AA786" s="3" t="n">
        <f aca="false">R786</f>
        <v>0</v>
      </c>
      <c r="AB786" s="21" t="n">
        <f aca="false">P786</f>
        <v>-0.906036508748779</v>
      </c>
      <c r="AC786" s="3" t="str">
        <f aca="false">Y786</f>
        <v/>
      </c>
      <c r="AD786" s="3" t="n">
        <f aca="false">R786</f>
        <v>0</v>
      </c>
    </row>
    <row r="787" customFormat="false" ht="15" hidden="false" customHeight="true" outlineLevel="0" collapsed="false">
      <c r="A787" s="7" t="s">
        <v>56</v>
      </c>
      <c r="B787" s="7" t="n">
        <v>1950</v>
      </c>
      <c r="C787" s="7" t="s">
        <v>142</v>
      </c>
      <c r="D787" s="7" t="n">
        <v>64</v>
      </c>
      <c r="E787" s="7" t="n">
        <v>89</v>
      </c>
      <c r="F787" s="3" t="n">
        <f aca="false">COUNTIFS($B$2:$B$2705,B787,$C$2:$C$2705,C787)</f>
        <v>2</v>
      </c>
      <c r="G787" s="3" t="n">
        <f aca="false">MIN(INT((MIN(B787,2020)-1900)/10)+1,12)</f>
        <v>6</v>
      </c>
      <c r="H787" s="3" t="n">
        <f aca="false">(MIN(B787,2020)-1900-10*(G787-1))/10</f>
        <v>0</v>
      </c>
      <c r="I787" s="20" t="n">
        <f aca="false">EXP(LN(INDEX(Pop_Inputs!$B$2:$N$29,MATCH(C787,Pop_Inputs!$A$2:$A$29,0),G787))*(1-H787)+LN(INDEX(Pop_Inputs!$B$2:$N$29,MATCH(C787,Pop_Inputs!$A$2:$A$29,0),G787+1))*H787)</f>
        <v>3620962</v>
      </c>
      <c r="J787" s="20" t="n">
        <f aca="false">I787/F787</f>
        <v>1810481</v>
      </c>
      <c r="K787" s="21" t="n">
        <f aca="false">D787/(D787+E787)</f>
        <v>0.418300653594771</v>
      </c>
      <c r="L787" s="21" t="n">
        <f aca="false">AVERAGEIFS($K$2:$K$2705,$B$2:$B$2705,B787)</f>
        <v>0.499891244376539</v>
      </c>
      <c r="M787" s="21" t="n">
        <f aca="false">K787-L787</f>
        <v>-0.0815905907817672</v>
      </c>
      <c r="N787" s="21" t="n">
        <f aca="false">LN(J787)</f>
        <v>14.4091031137942</v>
      </c>
      <c r="O787" s="21" t="n">
        <f aca="false">AVERAGEIFS($N$2:$N$2705,$B$2:$B$2705,B787)</f>
        <v>13.807059707784</v>
      </c>
      <c r="P787" s="21" t="n">
        <f aca="false">N787-O787</f>
        <v>0.602043406010195</v>
      </c>
      <c r="Q787" s="7" t="n">
        <v>0</v>
      </c>
      <c r="R787" s="3" t="n">
        <f aca="false">IF(AND(Q787=1,B787-_xlfn.MINIFS($B$2:$B$2705,$A$2:$A$2705,A787)&lt;10),1,0)</f>
        <v>0</v>
      </c>
      <c r="S787" s="7" t="n">
        <v>0</v>
      </c>
      <c r="T787" s="3" t="n">
        <f aca="false">_xlfn.MINIFS($B$2:$B$2705,$A$2:$A$2705,A787)</f>
        <v>1901</v>
      </c>
      <c r="U787" s="3" t="n">
        <f aca="false">B787-T787</f>
        <v>49</v>
      </c>
      <c r="V787" s="3" t="str">
        <f aca="false">INDEX(Pop_Inputs!$Q$2:$Q$29,MATCH(C787,Pop_Inputs!$A$2:$A$29,0))</f>
        <v>Midwest</v>
      </c>
      <c r="W787" s="30"/>
      <c r="X787" s="3" t="str">
        <f aca="false">IF(W787="","",LN(W787))</f>
        <v/>
      </c>
      <c r="Y787" s="3" t="str">
        <f aca="false">IF(X787="","",X787-AVERAGEIFS($X$2:$X$2705,$B$2:$B$2705,B787))</f>
        <v/>
      </c>
      <c r="Z787" s="21" t="n">
        <f aca="false">P787</f>
        <v>0.602043406010195</v>
      </c>
      <c r="AA787" s="3" t="n">
        <f aca="false">R787</f>
        <v>0</v>
      </c>
      <c r="AB787" s="21" t="n">
        <f aca="false">P787</f>
        <v>0.602043406010195</v>
      </c>
      <c r="AC787" s="3" t="str">
        <f aca="false">Y787</f>
        <v/>
      </c>
      <c r="AD787" s="3" t="n">
        <f aca="false">R787</f>
        <v>0</v>
      </c>
    </row>
    <row r="788" customFormat="false" ht="15" hidden="false" customHeight="true" outlineLevel="0" collapsed="false">
      <c r="A788" s="7" t="s">
        <v>65</v>
      </c>
      <c r="B788" s="7" t="n">
        <v>1950</v>
      </c>
      <c r="C788" s="7" t="s">
        <v>142</v>
      </c>
      <c r="D788" s="7" t="n">
        <v>60</v>
      </c>
      <c r="E788" s="7" t="n">
        <v>94</v>
      </c>
      <c r="F788" s="3" t="n">
        <f aca="false">COUNTIFS($B$2:$B$2705,B788,$C$2:$C$2705,C788)</f>
        <v>2</v>
      </c>
      <c r="G788" s="3" t="n">
        <f aca="false">MIN(INT((MIN(B788,2020)-1900)/10)+1,12)</f>
        <v>6</v>
      </c>
      <c r="H788" s="3" t="n">
        <f aca="false">(MIN(B788,2020)-1900-10*(G788-1))/10</f>
        <v>0</v>
      </c>
      <c r="I788" s="20" t="n">
        <f aca="false">EXP(LN(INDEX(Pop_Inputs!$B$2:$N$29,MATCH(C788,Pop_Inputs!$A$2:$A$29,0),G788))*(1-H788)+LN(INDEX(Pop_Inputs!$B$2:$N$29,MATCH(C788,Pop_Inputs!$A$2:$A$29,0),G788+1))*H788)</f>
        <v>3620962</v>
      </c>
      <c r="J788" s="20" t="n">
        <f aca="false">I788/F788</f>
        <v>1810481</v>
      </c>
      <c r="K788" s="21" t="n">
        <f aca="false">D788/(D788+E788)</f>
        <v>0.38961038961039</v>
      </c>
      <c r="L788" s="21" t="n">
        <f aca="false">AVERAGEIFS($K$2:$K$2705,$B$2:$B$2705,B788)</f>
        <v>0.499891244376539</v>
      </c>
      <c r="M788" s="21" t="n">
        <f aca="false">K788-L788</f>
        <v>-0.110280854766149</v>
      </c>
      <c r="N788" s="21" t="n">
        <f aca="false">LN(J788)</f>
        <v>14.4091031137942</v>
      </c>
      <c r="O788" s="21" t="n">
        <f aca="false">AVERAGEIFS($N$2:$N$2705,$B$2:$B$2705,B788)</f>
        <v>13.807059707784</v>
      </c>
      <c r="P788" s="21" t="n">
        <f aca="false">N788-O788</f>
        <v>0.602043406010195</v>
      </c>
      <c r="Q788" s="7" t="n">
        <v>0</v>
      </c>
      <c r="R788" s="3" t="n">
        <f aca="false">IF(AND(Q788=1,B788-_xlfn.MINIFS($B$2:$B$2705,$A$2:$A$2705,A788)&lt;10),1,0)</f>
        <v>0</v>
      </c>
      <c r="S788" s="7" t="n">
        <v>0</v>
      </c>
      <c r="T788" s="3" t="n">
        <f aca="false">_xlfn.MINIFS($B$2:$B$2705,$A$2:$A$2705,A788)</f>
        <v>1901</v>
      </c>
      <c r="U788" s="3" t="n">
        <f aca="false">B788-T788</f>
        <v>49</v>
      </c>
      <c r="V788" s="3" t="str">
        <f aca="false">INDEX(Pop_Inputs!$Q$2:$Q$29,MATCH(C788,Pop_Inputs!$A$2:$A$29,0))</f>
        <v>Midwest</v>
      </c>
      <c r="W788" s="30"/>
      <c r="X788" s="3" t="str">
        <f aca="false">IF(W788="","",LN(W788))</f>
        <v/>
      </c>
      <c r="Y788" s="3" t="str">
        <f aca="false">IF(X788="","",X788-AVERAGEIFS($X$2:$X$2705,$B$2:$B$2705,B788))</f>
        <v/>
      </c>
      <c r="Z788" s="21" t="n">
        <f aca="false">P788</f>
        <v>0.602043406010195</v>
      </c>
      <c r="AA788" s="3" t="n">
        <f aca="false">R788</f>
        <v>0</v>
      </c>
      <c r="AB788" s="21" t="n">
        <f aca="false">P788</f>
        <v>0.602043406010195</v>
      </c>
      <c r="AC788" s="3" t="str">
        <f aca="false">Y788</f>
        <v/>
      </c>
      <c r="AD788" s="3" t="n">
        <f aca="false">R788</f>
        <v>0</v>
      </c>
    </row>
    <row r="789" customFormat="false" ht="15" hidden="false" customHeight="true" outlineLevel="0" collapsed="false">
      <c r="A789" s="7" t="s">
        <v>57</v>
      </c>
      <c r="B789" s="7" t="n">
        <v>1950</v>
      </c>
      <c r="C789" s="7" t="s">
        <v>143</v>
      </c>
      <c r="D789" s="7" t="n">
        <v>66</v>
      </c>
      <c r="E789" s="7" t="n">
        <v>87</v>
      </c>
      <c r="F789" s="3" t="n">
        <f aca="false">COUNTIFS($B$2:$B$2705,B789,$C$2:$C$2705,C789)</f>
        <v>1</v>
      </c>
      <c r="G789" s="3" t="n">
        <f aca="false">MIN(INT((MIN(B789,2020)-1900)/10)+1,12)</f>
        <v>6</v>
      </c>
      <c r="H789" s="3" t="n">
        <f aca="false">(MIN(B789,2020)-1900-10*(G789-1))/10</f>
        <v>0</v>
      </c>
      <c r="I789" s="20" t="n">
        <f aca="false">EXP(LN(INDEX(Pop_Inputs!$B$2:$N$29,MATCH(C789,Pop_Inputs!$A$2:$A$29,0),G789))*(1-H789)+LN(INDEX(Pop_Inputs!$B$2:$N$29,MATCH(C789,Pop_Inputs!$A$2:$A$29,0),G789+1))*H789)</f>
        <v>503998</v>
      </c>
      <c r="J789" s="20" t="n">
        <f aca="false">I789/F789</f>
        <v>503998</v>
      </c>
      <c r="K789" s="21" t="n">
        <f aca="false">D789/(D789+E789)</f>
        <v>0.431372549019608</v>
      </c>
      <c r="L789" s="21" t="n">
        <f aca="false">AVERAGEIFS($K$2:$K$2705,$B$2:$B$2705,B789)</f>
        <v>0.499891244376539</v>
      </c>
      <c r="M789" s="21" t="n">
        <f aca="false">K789-L789</f>
        <v>-0.0685186953569306</v>
      </c>
      <c r="N789" s="21" t="n">
        <f aca="false">LN(J789)</f>
        <v>13.1303275787917</v>
      </c>
      <c r="O789" s="21" t="n">
        <f aca="false">AVERAGEIFS($N$2:$N$2705,$B$2:$B$2705,B789)</f>
        <v>13.807059707784</v>
      </c>
      <c r="P789" s="21" t="n">
        <f aca="false">N789-O789</f>
        <v>-0.676732128992327</v>
      </c>
      <c r="Q789" s="7" t="n">
        <v>0</v>
      </c>
      <c r="R789" s="3" t="n">
        <f aca="false">IF(AND(Q789=1,B789-_xlfn.MINIFS($B$2:$B$2705,$A$2:$A$2705,A789)&lt;10),1,0)</f>
        <v>0</v>
      </c>
      <c r="S789" s="7" t="n">
        <v>0</v>
      </c>
      <c r="T789" s="3" t="n">
        <f aca="false">_xlfn.MINIFS($B$2:$B$2705,$A$2:$A$2705,A789)</f>
        <v>1901</v>
      </c>
      <c r="U789" s="3" t="n">
        <f aca="false">B789-T789</f>
        <v>49</v>
      </c>
      <c r="V789" s="3" t="str">
        <f aca="false">INDEX(Pop_Inputs!$Q$2:$Q$29,MATCH(C789,Pop_Inputs!$A$2:$A$29,0))</f>
        <v>Midwest</v>
      </c>
      <c r="W789" s="30"/>
      <c r="X789" s="3" t="str">
        <f aca="false">IF(W789="","",LN(W789))</f>
        <v/>
      </c>
      <c r="Y789" s="3" t="str">
        <f aca="false">IF(X789="","",X789-AVERAGEIFS($X$2:$X$2705,$B$2:$B$2705,B789))</f>
        <v/>
      </c>
      <c r="Z789" s="21" t="n">
        <f aca="false">P789</f>
        <v>-0.676732128992327</v>
      </c>
      <c r="AA789" s="3" t="n">
        <f aca="false">R789</f>
        <v>0</v>
      </c>
      <c r="AB789" s="21" t="n">
        <f aca="false">P789</f>
        <v>-0.676732128992327</v>
      </c>
      <c r="AC789" s="3" t="str">
        <f aca="false">Y789</f>
        <v/>
      </c>
      <c r="AD789" s="3" t="n">
        <f aca="false">R789</f>
        <v>0</v>
      </c>
    </row>
    <row r="790" customFormat="false" ht="15" hidden="false" customHeight="true" outlineLevel="0" collapsed="false">
      <c r="A790" s="7" t="s">
        <v>66</v>
      </c>
      <c r="B790" s="7" t="n">
        <v>1950</v>
      </c>
      <c r="C790" s="7" t="s">
        <v>151</v>
      </c>
      <c r="D790" s="7" t="n">
        <v>92</v>
      </c>
      <c r="E790" s="7" t="n">
        <v>62</v>
      </c>
      <c r="F790" s="3" t="n">
        <f aca="false">COUNTIFS($B$2:$B$2705,B790,$C$2:$C$2705,C790)</f>
        <v>1</v>
      </c>
      <c r="G790" s="3" t="n">
        <f aca="false">MIN(INT((MIN(B790,2020)-1900)/10)+1,12)</f>
        <v>6</v>
      </c>
      <c r="H790" s="3" t="n">
        <f aca="false">(MIN(B790,2020)-1900-10*(G790-1))/10</f>
        <v>0</v>
      </c>
      <c r="I790" s="20" t="n">
        <f aca="false">EXP(LN(INDEX(Pop_Inputs!$B$2:$N$29,MATCH(C790,Pop_Inputs!$A$2:$A$29,0),G790))*(1-H790)+LN(INDEX(Pop_Inputs!$B$2:$N$29,MATCH(C790,Pop_Inputs!$A$2:$A$29,0),G790+1))*H790)</f>
        <v>914808.000000001</v>
      </c>
      <c r="J790" s="20" t="n">
        <f aca="false">I790/F790</f>
        <v>914808.000000001</v>
      </c>
      <c r="K790" s="21" t="n">
        <f aca="false">D790/(D790+E790)</f>
        <v>0.597402597402597</v>
      </c>
      <c r="L790" s="21" t="n">
        <f aca="false">AVERAGEIFS($K$2:$K$2705,$B$2:$B$2705,B790)</f>
        <v>0.499891244376539</v>
      </c>
      <c r="M790" s="21" t="n">
        <f aca="false">K790-L790</f>
        <v>0.0975113530260589</v>
      </c>
      <c r="N790" s="21" t="n">
        <f aca="false">LN(J790)</f>
        <v>13.7264694861734</v>
      </c>
      <c r="O790" s="21" t="n">
        <f aca="false">AVERAGEIFS($N$2:$N$2705,$B$2:$B$2705,B790)</f>
        <v>13.807059707784</v>
      </c>
      <c r="P790" s="21" t="n">
        <f aca="false">N790-O790</f>
        <v>-0.0805902216105743</v>
      </c>
      <c r="Q790" s="7" t="n">
        <v>0</v>
      </c>
      <c r="R790" s="3" t="n">
        <f aca="false">IF(AND(Q790=1,B790-_xlfn.MINIFS($B$2:$B$2705,$A$2:$A$2705,A790)&lt;10),1,0)</f>
        <v>0</v>
      </c>
      <c r="S790" s="7" t="n">
        <v>0</v>
      </c>
      <c r="T790" s="3" t="n">
        <f aca="false">_xlfn.MINIFS($B$2:$B$2705,$A$2:$A$2705,A790)</f>
        <v>1901</v>
      </c>
      <c r="U790" s="3" t="n">
        <f aca="false">B790-T790</f>
        <v>49</v>
      </c>
      <c r="V790" s="3" t="str">
        <f aca="false">INDEX(Pop_Inputs!$Q$2:$Q$29,MATCH(C790,Pop_Inputs!$A$2:$A$29,0))</f>
        <v>Midwest</v>
      </c>
      <c r="W790" s="30"/>
      <c r="X790" s="3" t="str">
        <f aca="false">IF(W790="","",LN(W790))</f>
        <v/>
      </c>
      <c r="Y790" s="3" t="str">
        <f aca="false">IF(X790="","",X790-AVERAGEIFS($X$2:$X$2705,$B$2:$B$2705,B790))</f>
        <v/>
      </c>
      <c r="Z790" s="21" t="n">
        <f aca="false">P790</f>
        <v>-0.0805902216105743</v>
      </c>
      <c r="AA790" s="3" t="n">
        <f aca="false">R790</f>
        <v>0</v>
      </c>
      <c r="AB790" s="21" t="n">
        <f aca="false">P790</f>
        <v>-0.0805902216105743</v>
      </c>
      <c r="AC790" s="3" t="str">
        <f aca="false">Y790</f>
        <v/>
      </c>
      <c r="AD790" s="3" t="n">
        <f aca="false">R790</f>
        <v>0</v>
      </c>
    </row>
    <row r="791" customFormat="false" ht="15" hidden="false" customHeight="true" outlineLevel="0" collapsed="false">
      <c r="A791" s="7" t="s">
        <v>67</v>
      </c>
      <c r="B791" s="7" t="n">
        <v>1950</v>
      </c>
      <c r="C791" s="7" t="s">
        <v>152</v>
      </c>
      <c r="D791" s="7" t="n">
        <v>95</v>
      </c>
      <c r="E791" s="7" t="n">
        <v>59</v>
      </c>
      <c r="F791" s="3" t="n">
        <f aca="false">COUNTIFS($B$2:$B$2705,B791,$C$2:$C$2705,C791)</f>
        <v>1</v>
      </c>
      <c r="G791" s="3" t="n">
        <f aca="false">MIN(INT((MIN(B791,2020)-1900)/10)+1,12)</f>
        <v>6</v>
      </c>
      <c r="H791" s="3" t="n">
        <f aca="false">(MIN(B791,2020)-1900-10*(G791-1))/10</f>
        <v>0</v>
      </c>
      <c r="I791" s="20" t="n">
        <f aca="false">EXP(LN(INDEX(Pop_Inputs!$B$2:$N$29,MATCH(C791,Pop_Inputs!$A$2:$A$29,0),G791))*(1-H791)+LN(INDEX(Pop_Inputs!$B$2:$N$29,MATCH(C791,Pop_Inputs!$A$2:$A$29,0),G791+1))*H791)</f>
        <v>1849568</v>
      </c>
      <c r="J791" s="20" t="n">
        <f aca="false">I791/F791</f>
        <v>1849568</v>
      </c>
      <c r="K791" s="21" t="n">
        <f aca="false">D791/(D791+E791)</f>
        <v>0.616883116883117</v>
      </c>
      <c r="L791" s="21" t="n">
        <f aca="false">AVERAGEIFS($K$2:$K$2705,$B$2:$B$2705,B791)</f>
        <v>0.499891244376539</v>
      </c>
      <c r="M791" s="21" t="n">
        <f aca="false">K791-L791</f>
        <v>0.116991872506578</v>
      </c>
      <c r="N791" s="21" t="n">
        <f aca="false">LN(J791)</f>
        <v>14.4304626562725</v>
      </c>
      <c r="O791" s="21" t="n">
        <f aca="false">AVERAGEIFS($N$2:$N$2705,$B$2:$B$2705,B791)</f>
        <v>13.807059707784</v>
      </c>
      <c r="P791" s="21" t="n">
        <f aca="false">N791-O791</f>
        <v>0.623402948488476</v>
      </c>
      <c r="Q791" s="7" t="n">
        <v>0</v>
      </c>
      <c r="R791" s="3" t="n">
        <f aca="false">IF(AND(Q791=1,B791-_xlfn.MINIFS($B$2:$B$2705,$A$2:$A$2705,A791)&lt;10),1,0)</f>
        <v>0</v>
      </c>
      <c r="S791" s="7" t="n">
        <v>0</v>
      </c>
      <c r="T791" s="3" t="n">
        <f aca="false">_xlfn.MINIFS($B$2:$B$2705,$A$2:$A$2705,A791)</f>
        <v>1901</v>
      </c>
      <c r="U791" s="3" t="n">
        <f aca="false">B791-T791</f>
        <v>49</v>
      </c>
      <c r="V791" s="3" t="str">
        <f aca="false">INDEX(Pop_Inputs!$Q$2:$Q$29,MATCH(C791,Pop_Inputs!$A$2:$A$29,0))</f>
        <v>Midwest</v>
      </c>
      <c r="W791" s="30"/>
      <c r="X791" s="3" t="str">
        <f aca="false">IF(W791="","",LN(W791))</f>
        <v/>
      </c>
      <c r="Y791" s="3" t="str">
        <f aca="false">IF(X791="","",X791-AVERAGEIFS($X$2:$X$2705,$B$2:$B$2705,B791))</f>
        <v/>
      </c>
      <c r="Z791" s="21" t="n">
        <f aca="false">P791</f>
        <v>0.623402948488476</v>
      </c>
      <c r="AA791" s="3" t="n">
        <f aca="false">R791</f>
        <v>0</v>
      </c>
      <c r="AB791" s="21" t="n">
        <f aca="false">P791</f>
        <v>0.623402948488476</v>
      </c>
      <c r="AC791" s="3" t="str">
        <f aca="false">Y791</f>
        <v/>
      </c>
      <c r="AD791" s="3" t="n">
        <f aca="false">R791</f>
        <v>0</v>
      </c>
    </row>
    <row r="792" customFormat="false" ht="15" hidden="false" customHeight="true" outlineLevel="0" collapsed="false">
      <c r="A792" s="7" t="s">
        <v>62</v>
      </c>
      <c r="B792" s="7" t="n">
        <v>1950</v>
      </c>
      <c r="C792" s="7" t="s">
        <v>154</v>
      </c>
      <c r="D792" s="7" t="n">
        <v>89</v>
      </c>
      <c r="E792" s="7" t="n">
        <v>65</v>
      </c>
      <c r="F792" s="3" t="n">
        <f aca="false">COUNTIFS($B$2:$B$2705,B792,$C$2:$C$2705,C792)</f>
        <v>3</v>
      </c>
      <c r="G792" s="3" t="n">
        <f aca="false">MIN(INT((MIN(B792,2020)-1900)/10)+1,12)</f>
        <v>6</v>
      </c>
      <c r="H792" s="3" t="n">
        <f aca="false">(MIN(B792,2020)-1900-10*(G792-1))/10</f>
        <v>0</v>
      </c>
      <c r="I792" s="20" t="n">
        <f aca="false">EXP(LN(INDEX(Pop_Inputs!$B$2:$N$29,MATCH(C792,Pop_Inputs!$A$2:$A$29,0),G792))*(1-H792)+LN(INDEX(Pop_Inputs!$B$2:$N$29,MATCH(C792,Pop_Inputs!$A$2:$A$29,0),G792+1))*H792)</f>
        <v>7891957</v>
      </c>
      <c r="J792" s="20" t="n">
        <f aca="false">I792/F792</f>
        <v>2630652.33333333</v>
      </c>
      <c r="K792" s="21" t="n">
        <f aca="false">D792/(D792+E792)</f>
        <v>0.577922077922078</v>
      </c>
      <c r="L792" s="21" t="n">
        <f aca="false">AVERAGEIFS($K$2:$K$2705,$B$2:$B$2705,B792)</f>
        <v>0.499891244376539</v>
      </c>
      <c r="M792" s="21" t="n">
        <f aca="false">K792-L792</f>
        <v>0.0780308335455395</v>
      </c>
      <c r="N792" s="21" t="n">
        <f aca="false">LN(J792)</f>
        <v>14.7827424088862</v>
      </c>
      <c r="O792" s="21" t="n">
        <f aca="false">AVERAGEIFS($N$2:$N$2705,$B$2:$B$2705,B792)</f>
        <v>13.807059707784</v>
      </c>
      <c r="P792" s="21" t="n">
        <f aca="false">N792-O792</f>
        <v>0.975682701102199</v>
      </c>
      <c r="Q792" s="7" t="n">
        <v>0</v>
      </c>
      <c r="R792" s="3" t="n">
        <f aca="false">IF(AND(Q792=1,B792-_xlfn.MINIFS($B$2:$B$2705,$A$2:$A$2705,A792)&lt;10),1,0)</f>
        <v>0</v>
      </c>
      <c r="S792" s="7" t="n">
        <v>0</v>
      </c>
      <c r="T792" s="3" t="n">
        <f aca="false">_xlfn.MINIFS($B$2:$B$2705,$A$2:$A$2705,A792)</f>
        <v>1901</v>
      </c>
      <c r="U792" s="3" t="n">
        <f aca="false">B792-T792</f>
        <v>49</v>
      </c>
      <c r="V792" s="3" t="str">
        <f aca="false">INDEX(Pop_Inputs!$Q$2:$Q$29,MATCH(C792,Pop_Inputs!$A$2:$A$29,0))</f>
        <v>Northeast</v>
      </c>
      <c r="W792" s="30"/>
      <c r="X792" s="3" t="str">
        <f aca="false">IF(W792="","",LN(W792))</f>
        <v/>
      </c>
      <c r="Y792" s="3" t="str">
        <f aca="false">IF(X792="","",X792-AVERAGEIFS($X$2:$X$2705,$B$2:$B$2705,B792))</f>
        <v/>
      </c>
      <c r="Z792" s="21" t="n">
        <f aca="false">P792</f>
        <v>0.975682701102199</v>
      </c>
      <c r="AA792" s="3" t="n">
        <f aca="false">R792</f>
        <v>0</v>
      </c>
      <c r="AB792" s="21" t="n">
        <f aca="false">P792</f>
        <v>0.975682701102199</v>
      </c>
      <c r="AC792" s="3" t="str">
        <f aca="false">Y792</f>
        <v/>
      </c>
      <c r="AD792" s="3" t="n">
        <f aca="false">R792</f>
        <v>0</v>
      </c>
    </row>
    <row r="793" customFormat="false" ht="15" hidden="false" customHeight="true" outlineLevel="0" collapsed="false">
      <c r="A793" s="7" t="s">
        <v>68</v>
      </c>
      <c r="B793" s="7" t="n">
        <v>1950</v>
      </c>
      <c r="C793" s="7" t="s">
        <v>160</v>
      </c>
      <c r="D793" s="7" t="n">
        <v>67</v>
      </c>
      <c r="E793" s="7" t="n">
        <v>87</v>
      </c>
      <c r="F793" s="3" t="n">
        <f aca="false">COUNTIFS($B$2:$B$2705,B793,$C$2:$C$2705,C793)</f>
        <v>1</v>
      </c>
      <c r="G793" s="3" t="n">
        <f aca="false">MIN(INT((MIN(B793,2020)-1900)/10)+1,12)</f>
        <v>6</v>
      </c>
      <c r="H793" s="3" t="n">
        <f aca="false">(MIN(B793,2020)-1900-10*(G793-1))/10</f>
        <v>0</v>
      </c>
      <c r="I793" s="20" t="n">
        <f aca="false">EXP(LN(INDEX(Pop_Inputs!$B$2:$N$29,MATCH(C793,Pop_Inputs!$A$2:$A$29,0),G793))*(1-H793)+LN(INDEX(Pop_Inputs!$B$2:$N$29,MATCH(C793,Pop_Inputs!$A$2:$A$29,0),G793+1))*H793)</f>
        <v>802178</v>
      </c>
      <c r="J793" s="20" t="n">
        <f aca="false">I793/F793</f>
        <v>802178</v>
      </c>
      <c r="K793" s="21" t="n">
        <f aca="false">D793/(D793+E793)</f>
        <v>0.435064935064935</v>
      </c>
      <c r="L793" s="21" t="n">
        <f aca="false">AVERAGEIFS($K$2:$K$2705,$B$2:$B$2705,B793)</f>
        <v>0.499891244376539</v>
      </c>
      <c r="M793" s="21" t="n">
        <f aca="false">K793-L793</f>
        <v>-0.0648263093116034</v>
      </c>
      <c r="N793" s="21" t="n">
        <f aca="false">LN(J793)</f>
        <v>13.5950858073596</v>
      </c>
      <c r="O793" s="21" t="n">
        <f aca="false">AVERAGEIFS($N$2:$N$2705,$B$2:$B$2705,B793)</f>
        <v>13.807059707784</v>
      </c>
      <c r="P793" s="21" t="n">
        <f aca="false">N793-O793</f>
        <v>-0.211973900424361</v>
      </c>
      <c r="Q793" s="7" t="n">
        <v>0</v>
      </c>
      <c r="R793" s="3" t="n">
        <f aca="false">IF(AND(Q793=1,B793-_xlfn.MINIFS($B$2:$B$2705,$A$2:$A$2705,A793)&lt;10),1,0)</f>
        <v>0</v>
      </c>
      <c r="S793" s="7" t="n">
        <v>0</v>
      </c>
      <c r="T793" s="3" t="n">
        <f aca="false">_xlfn.MINIFS($B$2:$B$2705,$A$2:$A$2705,A793)</f>
        <v>1901</v>
      </c>
      <c r="U793" s="3" t="n">
        <f aca="false">B793-T793</f>
        <v>49</v>
      </c>
      <c r="V793" s="3" t="str">
        <f aca="false">INDEX(Pop_Inputs!$Q$2:$Q$29,MATCH(C793,Pop_Inputs!$A$2:$A$29,0))</f>
        <v>South</v>
      </c>
      <c r="W793" s="30"/>
      <c r="X793" s="3" t="str">
        <f aca="false">IF(W793="","",LN(W793))</f>
        <v/>
      </c>
      <c r="Y793" s="3" t="str">
        <f aca="false">IF(X793="","",X793-AVERAGEIFS($X$2:$X$2705,$B$2:$B$2705,B793))</f>
        <v/>
      </c>
      <c r="Z793" s="21" t="n">
        <f aca="false">P793</f>
        <v>-0.211973900424361</v>
      </c>
      <c r="AA793" s="3" t="n">
        <f aca="false">R793</f>
        <v>0</v>
      </c>
      <c r="AB793" s="21" t="n">
        <f aca="false">P793</f>
        <v>-0.211973900424361</v>
      </c>
      <c r="AC793" s="3" t="str">
        <f aca="false">Y793</f>
        <v/>
      </c>
      <c r="AD793" s="3" t="n">
        <f aca="false">R793</f>
        <v>0</v>
      </c>
    </row>
    <row r="794" customFormat="false" ht="15" hidden="false" customHeight="true" outlineLevel="0" collapsed="false">
      <c r="A794" s="7" t="s">
        <v>70</v>
      </c>
      <c r="B794" s="7" t="n">
        <v>1950</v>
      </c>
      <c r="C794" s="7" t="s">
        <v>154</v>
      </c>
      <c r="D794" s="7" t="n">
        <v>98</v>
      </c>
      <c r="E794" s="7" t="n">
        <v>56</v>
      </c>
      <c r="F794" s="3" t="n">
        <f aca="false">COUNTIFS($B$2:$B$2705,B794,$C$2:$C$2705,C794)</f>
        <v>3</v>
      </c>
      <c r="G794" s="3" t="n">
        <f aca="false">MIN(INT((MIN(B794,2020)-1900)/10)+1,12)</f>
        <v>6</v>
      </c>
      <c r="H794" s="3" t="n">
        <f aca="false">(MIN(B794,2020)-1900-10*(G794-1))/10</f>
        <v>0</v>
      </c>
      <c r="I794" s="20" t="n">
        <f aca="false">EXP(LN(INDEX(Pop_Inputs!$B$2:$N$29,MATCH(C794,Pop_Inputs!$A$2:$A$29,0),G794))*(1-H794)+LN(INDEX(Pop_Inputs!$B$2:$N$29,MATCH(C794,Pop_Inputs!$A$2:$A$29,0),G794+1))*H794)</f>
        <v>7891957</v>
      </c>
      <c r="J794" s="20" t="n">
        <f aca="false">I794/F794</f>
        <v>2630652.33333333</v>
      </c>
      <c r="K794" s="21" t="n">
        <f aca="false">D794/(D794+E794)</f>
        <v>0.636363636363636</v>
      </c>
      <c r="L794" s="21" t="n">
        <f aca="false">AVERAGEIFS($K$2:$K$2705,$B$2:$B$2705,B794)</f>
        <v>0.499891244376539</v>
      </c>
      <c r="M794" s="21" t="n">
        <f aca="false">K794-L794</f>
        <v>0.136472391987098</v>
      </c>
      <c r="N794" s="21" t="n">
        <f aca="false">LN(J794)</f>
        <v>14.7827424088862</v>
      </c>
      <c r="O794" s="21" t="n">
        <f aca="false">AVERAGEIFS($N$2:$N$2705,$B$2:$B$2705,B794)</f>
        <v>13.807059707784</v>
      </c>
      <c r="P794" s="21" t="n">
        <f aca="false">N794-O794</f>
        <v>0.975682701102199</v>
      </c>
      <c r="Q794" s="7" t="n">
        <v>0</v>
      </c>
      <c r="R794" s="3" t="n">
        <f aca="false">IF(AND(Q794=1,B794-_xlfn.MINIFS($B$2:$B$2705,$A$2:$A$2705,A794)&lt;10),1,0)</f>
        <v>0</v>
      </c>
      <c r="S794" s="7" t="n">
        <v>1</v>
      </c>
      <c r="T794" s="3" t="n">
        <f aca="false">_xlfn.MINIFS($B$2:$B$2705,$A$2:$A$2705,A794)</f>
        <v>1903</v>
      </c>
      <c r="U794" s="3" t="n">
        <f aca="false">B794-T794</f>
        <v>47</v>
      </c>
      <c r="V794" s="3" t="str">
        <f aca="false">INDEX(Pop_Inputs!$Q$2:$Q$29,MATCH(C794,Pop_Inputs!$A$2:$A$29,0))</f>
        <v>Northeast</v>
      </c>
      <c r="W794" s="30"/>
      <c r="X794" s="3" t="str">
        <f aca="false">IF(W794="","",LN(W794))</f>
        <v/>
      </c>
      <c r="Y794" s="3" t="str">
        <f aca="false">IF(X794="","",X794-AVERAGEIFS($X$2:$X$2705,$B$2:$B$2705,B794))</f>
        <v/>
      </c>
      <c r="Z794" s="21" t="n">
        <f aca="false">P794</f>
        <v>0.975682701102199</v>
      </c>
      <c r="AA794" s="3" t="n">
        <f aca="false">R794</f>
        <v>0</v>
      </c>
      <c r="AB794" s="21" t="n">
        <f aca="false">P794</f>
        <v>0.975682701102199</v>
      </c>
      <c r="AC794" s="3" t="str">
        <f aca="false">Y794</f>
        <v/>
      </c>
      <c r="AD794" s="3" t="n">
        <f aca="false">R794</f>
        <v>0</v>
      </c>
    </row>
    <row r="795" customFormat="false" ht="15" hidden="false" customHeight="true" outlineLevel="0" collapsed="false">
      <c r="A795" s="7" t="s">
        <v>69</v>
      </c>
      <c r="B795" s="7" t="n">
        <v>1950</v>
      </c>
      <c r="C795" s="7" t="s">
        <v>146</v>
      </c>
      <c r="D795" s="7" t="n">
        <v>52</v>
      </c>
      <c r="E795" s="7" t="n">
        <v>102</v>
      </c>
      <c r="F795" s="3" t="n">
        <f aca="false">COUNTIFS($B$2:$B$2705,B795,$C$2:$C$2705,C795)</f>
        <v>2</v>
      </c>
      <c r="G795" s="3" t="n">
        <f aca="false">MIN(INT((MIN(B795,2020)-1900)/10)+1,12)</f>
        <v>6</v>
      </c>
      <c r="H795" s="3" t="n">
        <f aca="false">(MIN(B795,2020)-1900-10*(G795-1))/10</f>
        <v>0</v>
      </c>
      <c r="I795" s="20" t="n">
        <f aca="false">EXP(LN(INDEX(Pop_Inputs!$B$2:$N$29,MATCH(C795,Pop_Inputs!$A$2:$A$29,0),G795))*(1-H795)+LN(INDEX(Pop_Inputs!$B$2:$N$29,MATCH(C795,Pop_Inputs!$A$2:$A$29,0),G795+1))*H795)</f>
        <v>2071605</v>
      </c>
      <c r="J795" s="20" t="n">
        <f aca="false">I795/F795</f>
        <v>1035802.5</v>
      </c>
      <c r="K795" s="21" t="n">
        <f aca="false">D795/(D795+E795)</f>
        <v>0.337662337662338</v>
      </c>
      <c r="L795" s="21" t="n">
        <f aca="false">AVERAGEIFS($K$2:$K$2705,$B$2:$B$2705,B795)</f>
        <v>0.499891244376539</v>
      </c>
      <c r="M795" s="21" t="n">
        <f aca="false">K795-L795</f>
        <v>-0.162228906714201</v>
      </c>
      <c r="N795" s="21" t="n">
        <f aca="false">LN(J795)</f>
        <v>13.8506870465624</v>
      </c>
      <c r="O795" s="21" t="n">
        <f aca="false">AVERAGEIFS($N$2:$N$2705,$B$2:$B$2705,B795)</f>
        <v>13.807059707784</v>
      </c>
      <c r="P795" s="21" t="n">
        <f aca="false">N795-O795</f>
        <v>0.0436273387783803</v>
      </c>
      <c r="Q795" s="7" t="n">
        <v>0</v>
      </c>
      <c r="R795" s="3" t="n">
        <f aca="false">IF(AND(Q795=1,B795-_xlfn.MINIFS($B$2:$B$2705,$A$2:$A$2705,A795)&lt;10),1,0)</f>
        <v>0</v>
      </c>
      <c r="S795" s="7" t="n">
        <v>0</v>
      </c>
      <c r="T795" s="3" t="n">
        <f aca="false">_xlfn.MINIFS($B$2:$B$2705,$A$2:$A$2705,A795)</f>
        <v>1901</v>
      </c>
      <c r="U795" s="3" t="n">
        <f aca="false">B795-T795</f>
        <v>49</v>
      </c>
      <c r="V795" s="3" t="str">
        <f aca="false">INDEX(Pop_Inputs!$Q$2:$Q$29,MATCH(C795,Pop_Inputs!$A$2:$A$29,0))</f>
        <v>Northeast</v>
      </c>
      <c r="W795" s="30"/>
      <c r="X795" s="3" t="str">
        <f aca="false">IF(W795="","",LN(W795))</f>
        <v/>
      </c>
      <c r="Y795" s="3" t="str">
        <f aca="false">IF(X795="","",X795-AVERAGEIFS($X$2:$X$2705,$B$2:$B$2705,B795))</f>
        <v/>
      </c>
      <c r="Z795" s="21" t="n">
        <f aca="false">P795</f>
        <v>0.0436273387783803</v>
      </c>
      <c r="AA795" s="3" t="n">
        <f aca="false">R795</f>
        <v>0</v>
      </c>
      <c r="AB795" s="21" t="n">
        <f aca="false">P795</f>
        <v>0.0436273387783803</v>
      </c>
      <c r="AC795" s="3" t="str">
        <f aca="false">Y795</f>
        <v/>
      </c>
      <c r="AD795" s="3" t="n">
        <f aca="false">R795</f>
        <v>0</v>
      </c>
    </row>
    <row r="796" customFormat="false" ht="15" hidden="false" customHeight="true" outlineLevel="0" collapsed="false">
      <c r="A796" s="7" t="s">
        <v>60</v>
      </c>
      <c r="B796" s="7" t="n">
        <v>1950</v>
      </c>
      <c r="C796" s="7" t="s">
        <v>146</v>
      </c>
      <c r="D796" s="7" t="n">
        <v>91</v>
      </c>
      <c r="E796" s="7" t="n">
        <v>63</v>
      </c>
      <c r="F796" s="3" t="n">
        <f aca="false">COUNTIFS($B$2:$B$2705,B796,$C$2:$C$2705,C796)</f>
        <v>2</v>
      </c>
      <c r="G796" s="3" t="n">
        <f aca="false">MIN(INT((MIN(B796,2020)-1900)/10)+1,12)</f>
        <v>6</v>
      </c>
      <c r="H796" s="3" t="n">
        <f aca="false">(MIN(B796,2020)-1900-10*(G796-1))/10</f>
        <v>0</v>
      </c>
      <c r="I796" s="20" t="n">
        <f aca="false">EXP(LN(INDEX(Pop_Inputs!$B$2:$N$29,MATCH(C796,Pop_Inputs!$A$2:$A$29,0),G796))*(1-H796)+LN(INDEX(Pop_Inputs!$B$2:$N$29,MATCH(C796,Pop_Inputs!$A$2:$A$29,0),G796+1))*H796)</f>
        <v>2071605</v>
      </c>
      <c r="J796" s="20" t="n">
        <f aca="false">I796/F796</f>
        <v>1035802.5</v>
      </c>
      <c r="K796" s="21" t="n">
        <f aca="false">D796/(D796+E796)</f>
        <v>0.590909090909091</v>
      </c>
      <c r="L796" s="21" t="n">
        <f aca="false">AVERAGEIFS($K$2:$K$2705,$B$2:$B$2705,B796)</f>
        <v>0.499891244376539</v>
      </c>
      <c r="M796" s="21" t="n">
        <f aca="false">K796-L796</f>
        <v>0.0910178465325525</v>
      </c>
      <c r="N796" s="21" t="n">
        <f aca="false">LN(J796)</f>
        <v>13.8506870465624</v>
      </c>
      <c r="O796" s="21" t="n">
        <f aca="false">AVERAGEIFS($N$2:$N$2705,$B$2:$B$2705,B796)</f>
        <v>13.807059707784</v>
      </c>
      <c r="P796" s="21" t="n">
        <f aca="false">N796-O796</f>
        <v>0.0436273387783803</v>
      </c>
      <c r="Q796" s="7" t="n">
        <v>0</v>
      </c>
      <c r="R796" s="3" t="n">
        <f aca="false">IF(AND(Q796=1,B796-_xlfn.MINIFS($B$2:$B$2705,$A$2:$A$2705,A796)&lt;10),1,0)</f>
        <v>0</v>
      </c>
      <c r="S796" s="7" t="n">
        <v>0</v>
      </c>
      <c r="T796" s="3" t="n">
        <f aca="false">_xlfn.MINIFS($B$2:$B$2705,$A$2:$A$2705,A796)</f>
        <v>1901</v>
      </c>
      <c r="U796" s="3" t="n">
        <f aca="false">B796-T796</f>
        <v>49</v>
      </c>
      <c r="V796" s="3" t="str">
        <f aca="false">INDEX(Pop_Inputs!$Q$2:$Q$29,MATCH(C796,Pop_Inputs!$A$2:$A$29,0))</f>
        <v>Northeast</v>
      </c>
      <c r="W796" s="30"/>
      <c r="X796" s="3" t="str">
        <f aca="false">IF(W796="","",LN(W796))</f>
        <v/>
      </c>
      <c r="Y796" s="3" t="str">
        <f aca="false">IF(X796="","",X796-AVERAGEIFS($X$2:$X$2705,$B$2:$B$2705,B796))</f>
        <v/>
      </c>
      <c r="Z796" s="21" t="n">
        <f aca="false">P796</f>
        <v>0.0436273387783803</v>
      </c>
      <c r="AA796" s="3" t="n">
        <f aca="false">R796</f>
        <v>0</v>
      </c>
      <c r="AB796" s="21" t="n">
        <f aca="false">P796</f>
        <v>0.0436273387783803</v>
      </c>
      <c r="AC796" s="3" t="str">
        <f aca="false">Y796</f>
        <v/>
      </c>
      <c r="AD796" s="3" t="n">
        <f aca="false">R796</f>
        <v>0</v>
      </c>
    </row>
    <row r="797" customFormat="false" ht="15" hidden="false" customHeight="true" outlineLevel="0" collapsed="false">
      <c r="A797" s="7" t="s">
        <v>58</v>
      </c>
      <c r="B797" s="7" t="n">
        <v>1950</v>
      </c>
      <c r="C797" s="7" t="s">
        <v>144</v>
      </c>
      <c r="D797" s="7" t="n">
        <v>57</v>
      </c>
      <c r="E797" s="7" t="n">
        <v>96</v>
      </c>
      <c r="F797" s="3" t="n">
        <f aca="false">COUNTIFS($B$2:$B$2705,B797,$C$2:$C$2705,C797)</f>
        <v>1</v>
      </c>
      <c r="G797" s="3" t="n">
        <f aca="false">MIN(INT((MIN(B797,2020)-1900)/10)+1,12)</f>
        <v>6</v>
      </c>
      <c r="H797" s="3" t="n">
        <f aca="false">(MIN(B797,2020)-1900-10*(G797-1))/10</f>
        <v>0</v>
      </c>
      <c r="I797" s="20" t="n">
        <f aca="false">EXP(LN(INDEX(Pop_Inputs!$B$2:$N$29,MATCH(C797,Pop_Inputs!$A$2:$A$29,0),G797))*(1-H797)+LN(INDEX(Pop_Inputs!$B$2:$N$29,MATCH(C797,Pop_Inputs!$A$2:$A$29,0),G797+1))*H797)</f>
        <v>676805.999999999</v>
      </c>
      <c r="J797" s="20" t="n">
        <f aca="false">I797/F797</f>
        <v>676805.999999999</v>
      </c>
      <c r="K797" s="21" t="n">
        <f aca="false">D797/(D797+E797)</f>
        <v>0.372549019607843</v>
      </c>
      <c r="L797" s="21" t="n">
        <f aca="false">AVERAGEIFS($K$2:$K$2705,$B$2:$B$2705,B797)</f>
        <v>0.499891244376539</v>
      </c>
      <c r="M797" s="21" t="n">
        <f aca="false">K797-L797</f>
        <v>-0.127342224768695</v>
      </c>
      <c r="N797" s="21" t="n">
        <f aca="false">LN(J797)</f>
        <v>13.4251399524831</v>
      </c>
      <c r="O797" s="21" t="n">
        <f aca="false">AVERAGEIFS($N$2:$N$2705,$B$2:$B$2705,B797)</f>
        <v>13.807059707784</v>
      </c>
      <c r="P797" s="21" t="n">
        <f aca="false">N797-O797</f>
        <v>-0.381919755300912</v>
      </c>
      <c r="Q797" s="7" t="n">
        <v>0</v>
      </c>
      <c r="R797" s="3" t="n">
        <f aca="false">IF(AND(Q797=1,B797-_xlfn.MINIFS($B$2:$B$2705,$A$2:$A$2705,A797)&lt;10),1,0)</f>
        <v>0</v>
      </c>
      <c r="S797" s="7" t="n">
        <v>0</v>
      </c>
      <c r="T797" s="3" t="n">
        <f aca="false">_xlfn.MINIFS($B$2:$B$2705,$A$2:$A$2705,A797)</f>
        <v>1901</v>
      </c>
      <c r="U797" s="3" t="n">
        <f aca="false">B797-T797</f>
        <v>49</v>
      </c>
      <c r="V797" s="3" t="str">
        <f aca="false">INDEX(Pop_Inputs!$Q$2:$Q$29,MATCH(C797,Pop_Inputs!$A$2:$A$29,0))</f>
        <v>Northeast</v>
      </c>
      <c r="W797" s="30"/>
      <c r="X797" s="3" t="str">
        <f aca="false">IF(W797="","",LN(W797))</f>
        <v/>
      </c>
      <c r="Y797" s="3" t="str">
        <f aca="false">IF(X797="","",X797-AVERAGEIFS($X$2:$X$2705,$B$2:$B$2705,B797))</f>
        <v/>
      </c>
      <c r="Z797" s="21" t="n">
        <f aca="false">P797</f>
        <v>-0.381919755300912</v>
      </c>
      <c r="AA797" s="3" t="n">
        <f aca="false">R797</f>
        <v>0</v>
      </c>
      <c r="AB797" s="21" t="n">
        <f aca="false">P797</f>
        <v>-0.381919755300912</v>
      </c>
      <c r="AC797" s="3" t="str">
        <f aca="false">Y797</f>
        <v/>
      </c>
      <c r="AD797" s="3" t="n">
        <f aca="false">R797</f>
        <v>0</v>
      </c>
    </row>
    <row r="798" customFormat="false" ht="15" hidden="false" customHeight="true" outlineLevel="0" collapsed="false">
      <c r="A798" s="7" t="s">
        <v>61</v>
      </c>
      <c r="B798" s="7" t="n">
        <v>1950</v>
      </c>
      <c r="C798" s="7" t="s">
        <v>154</v>
      </c>
      <c r="D798" s="7" t="n">
        <v>86</v>
      </c>
      <c r="E798" s="7" t="n">
        <v>68</v>
      </c>
      <c r="F798" s="3" t="n">
        <f aca="false">COUNTIFS($B$2:$B$2705,B798,$C$2:$C$2705,C798)</f>
        <v>3</v>
      </c>
      <c r="G798" s="3" t="n">
        <f aca="false">MIN(INT((MIN(B798,2020)-1900)/10)+1,12)</f>
        <v>6</v>
      </c>
      <c r="H798" s="3" t="n">
        <f aca="false">(MIN(B798,2020)-1900-10*(G798-1))/10</f>
        <v>0</v>
      </c>
      <c r="I798" s="20" t="n">
        <f aca="false">EXP(LN(INDEX(Pop_Inputs!$B$2:$N$29,MATCH(C798,Pop_Inputs!$A$2:$A$29,0),G798))*(1-H798)+LN(INDEX(Pop_Inputs!$B$2:$N$29,MATCH(C798,Pop_Inputs!$A$2:$A$29,0),G798+1))*H798)</f>
        <v>7891957</v>
      </c>
      <c r="J798" s="20" t="n">
        <f aca="false">I798/F798</f>
        <v>2630652.33333333</v>
      </c>
      <c r="K798" s="21" t="n">
        <f aca="false">D798/(D798+E798)</f>
        <v>0.558441558441558</v>
      </c>
      <c r="L798" s="21" t="n">
        <f aca="false">AVERAGEIFS($K$2:$K$2705,$B$2:$B$2705,B798)</f>
        <v>0.499891244376539</v>
      </c>
      <c r="M798" s="21" t="n">
        <f aca="false">K798-L798</f>
        <v>0.0585503140650199</v>
      </c>
      <c r="N798" s="21" t="n">
        <f aca="false">LN(J798)</f>
        <v>14.7827424088862</v>
      </c>
      <c r="O798" s="21" t="n">
        <f aca="false">AVERAGEIFS($N$2:$N$2705,$B$2:$B$2705,B798)</f>
        <v>13.807059707784</v>
      </c>
      <c r="P798" s="21" t="n">
        <f aca="false">N798-O798</f>
        <v>0.975682701102199</v>
      </c>
      <c r="Q798" s="7" t="n">
        <v>0</v>
      </c>
      <c r="R798" s="3" t="n">
        <f aca="false">IF(AND(Q798=1,B798-_xlfn.MINIFS($B$2:$B$2705,$A$2:$A$2705,A798)&lt;10),1,0)</f>
        <v>0</v>
      </c>
      <c r="S798" s="7" t="n">
        <v>0</v>
      </c>
      <c r="T798" s="3" t="n">
        <f aca="false">_xlfn.MINIFS($B$2:$B$2705,$A$2:$A$2705,A798)</f>
        <v>1901</v>
      </c>
      <c r="U798" s="3" t="n">
        <f aca="false">B798-T798</f>
        <v>49</v>
      </c>
      <c r="V798" s="3" t="str">
        <f aca="false">INDEX(Pop_Inputs!$Q$2:$Q$29,MATCH(C798,Pop_Inputs!$A$2:$A$29,0))</f>
        <v>Northeast</v>
      </c>
      <c r="W798" s="30"/>
      <c r="X798" s="3" t="str">
        <f aca="false">IF(W798="","",LN(W798))</f>
        <v/>
      </c>
      <c r="Y798" s="3" t="str">
        <f aca="false">IF(X798="","",X798-AVERAGEIFS($X$2:$X$2705,$B$2:$B$2705,B798))</f>
        <v/>
      </c>
      <c r="Z798" s="21" t="n">
        <f aca="false">P798</f>
        <v>0.975682701102199</v>
      </c>
      <c r="AA798" s="3" t="n">
        <f aca="false">R798</f>
        <v>0</v>
      </c>
      <c r="AB798" s="21" t="n">
        <f aca="false">P798</f>
        <v>0.975682701102199</v>
      </c>
      <c r="AC798" s="3" t="str">
        <f aca="false">Y798</f>
        <v/>
      </c>
      <c r="AD798" s="3" t="n">
        <f aca="false">R798</f>
        <v>0</v>
      </c>
    </row>
    <row r="799" customFormat="false" ht="15" hidden="false" customHeight="true" outlineLevel="0" collapsed="false">
      <c r="A799" s="7" t="s">
        <v>59</v>
      </c>
      <c r="B799" s="7" t="n">
        <v>1950</v>
      </c>
      <c r="C799" s="7" t="s">
        <v>145</v>
      </c>
      <c r="D799" s="7" t="n">
        <v>78</v>
      </c>
      <c r="E799" s="7" t="n">
        <v>75</v>
      </c>
      <c r="F799" s="3" t="n">
        <f aca="false">COUNTIFS($B$2:$B$2705,B799,$C$2:$C$2705,C799)</f>
        <v>2</v>
      </c>
      <c r="G799" s="3" t="n">
        <f aca="false">MIN(INT((MIN(B799,2020)-1900)/10)+1,12)</f>
        <v>6</v>
      </c>
      <c r="H799" s="3" t="n">
        <f aca="false">(MIN(B799,2020)-1900-10*(G799-1))/10</f>
        <v>0</v>
      </c>
      <c r="I799" s="20" t="n">
        <f aca="false">EXP(LN(INDEX(Pop_Inputs!$B$2:$N$29,MATCH(C799,Pop_Inputs!$A$2:$A$29,0),G799))*(1-H799)+LN(INDEX(Pop_Inputs!$B$2:$N$29,MATCH(C799,Pop_Inputs!$A$2:$A$29,0),G799+1))*H799)</f>
        <v>856796</v>
      </c>
      <c r="J799" s="20" t="n">
        <f aca="false">I799/F799</f>
        <v>428398</v>
      </c>
      <c r="K799" s="21" t="n">
        <f aca="false">D799/(D799+E799)</f>
        <v>0.509803921568627</v>
      </c>
      <c r="L799" s="21" t="n">
        <f aca="false">AVERAGEIFS($K$2:$K$2705,$B$2:$B$2705,B799)</f>
        <v>0.499891244376539</v>
      </c>
      <c r="M799" s="21" t="n">
        <f aca="false">K799-L799</f>
        <v>0.00991267719208894</v>
      </c>
      <c r="N799" s="21" t="n">
        <f aca="false">LN(J799)</f>
        <v>12.9678079490108</v>
      </c>
      <c r="O799" s="21" t="n">
        <f aca="false">AVERAGEIFS($N$2:$N$2705,$B$2:$B$2705,B799)</f>
        <v>13.807059707784</v>
      </c>
      <c r="P799" s="21" t="n">
        <f aca="false">N799-O799</f>
        <v>-0.839251758773239</v>
      </c>
      <c r="Q799" s="7" t="n">
        <v>0</v>
      </c>
      <c r="R799" s="3" t="n">
        <f aca="false">IF(AND(Q799=1,B799-_xlfn.MINIFS($B$2:$B$2705,$A$2:$A$2705,A799)&lt;10),1,0)</f>
        <v>0</v>
      </c>
      <c r="S799" s="7" t="n">
        <v>0</v>
      </c>
      <c r="T799" s="3" t="n">
        <f aca="false">_xlfn.MINIFS($B$2:$B$2705,$A$2:$A$2705,A799)</f>
        <v>1901</v>
      </c>
      <c r="U799" s="3" t="n">
        <f aca="false">B799-T799</f>
        <v>49</v>
      </c>
      <c r="V799" s="3" t="str">
        <f aca="false">INDEX(Pop_Inputs!$Q$2:$Q$29,MATCH(C799,Pop_Inputs!$A$2:$A$29,0))</f>
        <v>Midwest</v>
      </c>
      <c r="W799" s="30"/>
      <c r="X799" s="3" t="str">
        <f aca="false">IF(W799="","",LN(W799))</f>
        <v/>
      </c>
      <c r="Y799" s="3" t="str">
        <f aca="false">IF(X799="","",X799-AVERAGEIFS($X$2:$X$2705,$B$2:$B$2705,B799))</f>
        <v/>
      </c>
      <c r="Z799" s="21" t="n">
        <f aca="false">P799</f>
        <v>-0.839251758773239</v>
      </c>
      <c r="AA799" s="3" t="n">
        <f aca="false">R799</f>
        <v>0</v>
      </c>
      <c r="AB799" s="21" t="n">
        <f aca="false">P799</f>
        <v>-0.839251758773239</v>
      </c>
      <c r="AC799" s="3" t="str">
        <f aca="false">Y799</f>
        <v/>
      </c>
      <c r="AD799" s="3" t="n">
        <f aca="false">R799</f>
        <v>0</v>
      </c>
    </row>
    <row r="800" customFormat="false" ht="15" hidden="false" customHeight="true" outlineLevel="0" collapsed="false">
      <c r="A800" s="7" t="s">
        <v>54</v>
      </c>
      <c r="B800" s="7" t="n">
        <v>1951</v>
      </c>
      <c r="C800" s="7" t="s">
        <v>150</v>
      </c>
      <c r="D800" s="7" t="n">
        <v>76</v>
      </c>
      <c r="E800" s="7" t="n">
        <v>78</v>
      </c>
      <c r="F800" s="3" t="n">
        <f aca="false">COUNTIFS($B$2:$B$2705,B800,$C$2:$C$2705,C800)</f>
        <v>2</v>
      </c>
      <c r="G800" s="3" t="n">
        <f aca="false">MIN(INT((MIN(B800,2020)-1900)/10)+1,12)</f>
        <v>6</v>
      </c>
      <c r="H800" s="3" t="n">
        <f aca="false">(MIN(B800,2020)-1900-10*(G800-1))/10</f>
        <v>0.1</v>
      </c>
      <c r="I800" s="20" t="n">
        <f aca="false">EXP(LN(INDEX(Pop_Inputs!$B$2:$N$29,MATCH(C800,Pop_Inputs!$A$2:$A$29,0),G800))*(1-H800)+LN(INDEX(Pop_Inputs!$B$2:$N$29,MATCH(C800,Pop_Inputs!$A$2:$A$29,0),G800+1))*H800)</f>
        <v>790353.561561738</v>
      </c>
      <c r="J800" s="20" t="n">
        <f aca="false">I800/F800</f>
        <v>395176.780780869</v>
      </c>
      <c r="K800" s="21" t="n">
        <f aca="false">D800/(D800+E800)</f>
        <v>0.493506493506494</v>
      </c>
      <c r="L800" s="21" t="n">
        <f aca="false">AVERAGEIFS($K$2:$K$2705,$B$2:$B$2705,B800)</f>
        <v>0.499705310612954</v>
      </c>
      <c r="M800" s="21" t="n">
        <f aca="false">K800-L800</f>
        <v>-0.00619881710646042</v>
      </c>
      <c r="N800" s="21" t="n">
        <f aca="false">LN(J800)</f>
        <v>12.887088490045</v>
      </c>
      <c r="O800" s="21" t="n">
        <f aca="false">AVERAGEIFS($N$2:$N$2705,$B$2:$B$2705,B800)</f>
        <v>13.8007817854944</v>
      </c>
      <c r="P800" s="21" t="n">
        <f aca="false">N800-O800</f>
        <v>-0.9136932954494</v>
      </c>
      <c r="Q800" s="7" t="n">
        <v>0</v>
      </c>
      <c r="R800" s="3" t="n">
        <f aca="false">IF(AND(Q800=1,B800-_xlfn.MINIFS($B$2:$B$2705,$A$2:$A$2705,A800)&lt;10),1,0)</f>
        <v>0</v>
      </c>
      <c r="S800" s="7" t="n">
        <v>0</v>
      </c>
      <c r="T800" s="3" t="n">
        <f aca="false">_xlfn.MINIFS($B$2:$B$2705,$A$2:$A$2705,A800)</f>
        <v>1901</v>
      </c>
      <c r="U800" s="3" t="n">
        <f aca="false">B800-T800</f>
        <v>50</v>
      </c>
      <c r="V800" s="3" t="str">
        <f aca="false">INDEX(Pop_Inputs!$Q$2:$Q$29,MATCH(C800,Pop_Inputs!$A$2:$A$29,0))</f>
        <v>Northeast</v>
      </c>
      <c r="W800" s="30"/>
      <c r="X800" s="3" t="str">
        <f aca="false">IF(W800="","",LN(W800))</f>
        <v/>
      </c>
      <c r="Y800" s="3" t="str">
        <f aca="false">IF(X800="","",X800-AVERAGEIFS($X$2:$X$2705,$B$2:$B$2705,B800))</f>
        <v/>
      </c>
      <c r="Z800" s="21" t="n">
        <f aca="false">P800</f>
        <v>-0.9136932954494</v>
      </c>
      <c r="AA800" s="3" t="n">
        <f aca="false">R800</f>
        <v>0</v>
      </c>
      <c r="AB800" s="21" t="n">
        <f aca="false">P800</f>
        <v>-0.9136932954494</v>
      </c>
      <c r="AC800" s="3" t="str">
        <f aca="false">Y800</f>
        <v/>
      </c>
      <c r="AD800" s="3" t="n">
        <f aca="false">R800</f>
        <v>0</v>
      </c>
    </row>
    <row r="801" customFormat="false" ht="15" hidden="false" customHeight="true" outlineLevel="0" collapsed="false">
      <c r="A801" s="7" t="s">
        <v>63</v>
      </c>
      <c r="B801" s="7" t="n">
        <v>1951</v>
      </c>
      <c r="C801" s="7" t="s">
        <v>145</v>
      </c>
      <c r="D801" s="7" t="n">
        <v>52</v>
      </c>
      <c r="E801" s="7" t="n">
        <v>102</v>
      </c>
      <c r="F801" s="3" t="n">
        <f aca="false">COUNTIFS($B$2:$B$2705,B801,$C$2:$C$2705,C801)</f>
        <v>2</v>
      </c>
      <c r="G801" s="3" t="n">
        <f aca="false">MIN(INT((MIN(B801,2020)-1900)/10)+1,12)</f>
        <v>6</v>
      </c>
      <c r="H801" s="3" t="n">
        <f aca="false">(MIN(B801,2020)-1900-10*(G801-1))/10</f>
        <v>0.1</v>
      </c>
      <c r="I801" s="20" t="n">
        <f aca="false">EXP(LN(INDEX(Pop_Inputs!$B$2:$N$29,MATCH(C801,Pop_Inputs!$A$2:$A$29,0),G801))*(1-H801)+LN(INDEX(Pop_Inputs!$B$2:$N$29,MATCH(C801,Pop_Inputs!$A$2:$A$29,0),G801+1))*H801)</f>
        <v>845468.281198032</v>
      </c>
      <c r="J801" s="20" t="n">
        <f aca="false">I801/F801</f>
        <v>422734.140599016</v>
      </c>
      <c r="K801" s="21" t="n">
        <f aca="false">D801/(D801+E801)</f>
        <v>0.337662337662338</v>
      </c>
      <c r="L801" s="21" t="n">
        <f aca="false">AVERAGEIFS($K$2:$K$2705,$B$2:$B$2705,B801)</f>
        <v>0.499705310612954</v>
      </c>
      <c r="M801" s="21" t="n">
        <f aca="false">K801-L801</f>
        <v>-0.162042972950616</v>
      </c>
      <c r="N801" s="21" t="n">
        <f aca="false">LN(J801)</f>
        <v>12.9544987512115</v>
      </c>
      <c r="O801" s="21" t="n">
        <f aca="false">AVERAGEIFS($N$2:$N$2705,$B$2:$B$2705,B801)</f>
        <v>13.8007817854944</v>
      </c>
      <c r="P801" s="21" t="n">
        <f aca="false">N801-O801</f>
        <v>-0.846283034282862</v>
      </c>
      <c r="Q801" s="7" t="n">
        <v>0</v>
      </c>
      <c r="R801" s="3" t="n">
        <f aca="false">IF(AND(Q801=1,B801-_xlfn.MINIFS($B$2:$B$2705,$A$2:$A$2705,A801)&lt;10),1,0)</f>
        <v>0</v>
      </c>
      <c r="S801" s="7" t="n">
        <v>0</v>
      </c>
      <c r="T801" s="3" t="n">
        <f aca="false">_xlfn.MINIFS($B$2:$B$2705,$A$2:$A$2705,A801)</f>
        <v>1901</v>
      </c>
      <c r="U801" s="3" t="n">
        <f aca="false">B801-T801</f>
        <v>50</v>
      </c>
      <c r="V801" s="3" t="str">
        <f aca="false">INDEX(Pop_Inputs!$Q$2:$Q$29,MATCH(C801,Pop_Inputs!$A$2:$A$29,0))</f>
        <v>Midwest</v>
      </c>
      <c r="W801" s="30"/>
      <c r="X801" s="3" t="str">
        <f aca="false">IF(W801="","",LN(W801))</f>
        <v/>
      </c>
      <c r="Y801" s="3" t="str">
        <f aca="false">IF(X801="","",X801-AVERAGEIFS($X$2:$X$2705,$B$2:$B$2705,B801))</f>
        <v/>
      </c>
      <c r="Z801" s="21" t="n">
        <f aca="false">P801</f>
        <v>-0.846283034282862</v>
      </c>
      <c r="AA801" s="3" t="n">
        <f aca="false">R801</f>
        <v>0</v>
      </c>
      <c r="AB801" s="21" t="n">
        <f aca="false">P801</f>
        <v>-0.846283034282862</v>
      </c>
      <c r="AC801" s="3" t="str">
        <f aca="false">Y801</f>
        <v/>
      </c>
      <c r="AD801" s="3" t="n">
        <f aca="false">R801</f>
        <v>0</v>
      </c>
    </row>
    <row r="802" customFormat="false" ht="15" hidden="false" customHeight="true" outlineLevel="0" collapsed="false">
      <c r="A802" s="7" t="s">
        <v>64</v>
      </c>
      <c r="B802" s="7" t="n">
        <v>1951</v>
      </c>
      <c r="C802" s="7" t="s">
        <v>150</v>
      </c>
      <c r="D802" s="7" t="n">
        <v>87</v>
      </c>
      <c r="E802" s="7" t="n">
        <v>67</v>
      </c>
      <c r="F802" s="3" t="n">
        <f aca="false">COUNTIFS($B$2:$B$2705,B802,$C$2:$C$2705,C802)</f>
        <v>2</v>
      </c>
      <c r="G802" s="3" t="n">
        <f aca="false">MIN(INT((MIN(B802,2020)-1900)/10)+1,12)</f>
        <v>6</v>
      </c>
      <c r="H802" s="3" t="n">
        <f aca="false">(MIN(B802,2020)-1900-10*(G802-1))/10</f>
        <v>0.1</v>
      </c>
      <c r="I802" s="20" t="n">
        <f aca="false">EXP(LN(INDEX(Pop_Inputs!$B$2:$N$29,MATCH(C802,Pop_Inputs!$A$2:$A$29,0),G802))*(1-H802)+LN(INDEX(Pop_Inputs!$B$2:$N$29,MATCH(C802,Pop_Inputs!$A$2:$A$29,0),G802+1))*H802)</f>
        <v>790353.561561738</v>
      </c>
      <c r="J802" s="20" t="n">
        <f aca="false">I802/F802</f>
        <v>395176.780780869</v>
      </c>
      <c r="K802" s="21" t="n">
        <f aca="false">D802/(D802+E802)</f>
        <v>0.564935064935065</v>
      </c>
      <c r="L802" s="21" t="n">
        <f aca="false">AVERAGEIFS($K$2:$K$2705,$B$2:$B$2705,B802)</f>
        <v>0.499705310612954</v>
      </c>
      <c r="M802" s="21" t="n">
        <f aca="false">K802-L802</f>
        <v>0.065229754322111</v>
      </c>
      <c r="N802" s="21" t="n">
        <f aca="false">LN(J802)</f>
        <v>12.887088490045</v>
      </c>
      <c r="O802" s="21" t="n">
        <f aca="false">AVERAGEIFS($N$2:$N$2705,$B$2:$B$2705,B802)</f>
        <v>13.8007817854944</v>
      </c>
      <c r="P802" s="21" t="n">
        <f aca="false">N802-O802</f>
        <v>-0.9136932954494</v>
      </c>
      <c r="Q802" s="7" t="n">
        <v>0</v>
      </c>
      <c r="R802" s="3" t="n">
        <f aca="false">IF(AND(Q802=1,B802-_xlfn.MINIFS($B$2:$B$2705,$A$2:$A$2705,A802)&lt;10),1,0)</f>
        <v>0</v>
      </c>
      <c r="S802" s="7" t="n">
        <v>0</v>
      </c>
      <c r="T802" s="3" t="n">
        <f aca="false">_xlfn.MINIFS($B$2:$B$2705,$A$2:$A$2705,A802)</f>
        <v>1901</v>
      </c>
      <c r="U802" s="3" t="n">
        <f aca="false">B802-T802</f>
        <v>50</v>
      </c>
      <c r="V802" s="3" t="str">
        <f aca="false">INDEX(Pop_Inputs!$Q$2:$Q$29,MATCH(C802,Pop_Inputs!$A$2:$A$29,0))</f>
        <v>Northeast</v>
      </c>
      <c r="W802" s="30"/>
      <c r="X802" s="3" t="str">
        <f aca="false">IF(W802="","",LN(W802))</f>
        <v/>
      </c>
      <c r="Y802" s="3" t="str">
        <f aca="false">IF(X802="","",X802-AVERAGEIFS($X$2:$X$2705,$B$2:$B$2705,B802))</f>
        <v/>
      </c>
      <c r="Z802" s="21" t="n">
        <f aca="false">P802</f>
        <v>-0.9136932954494</v>
      </c>
      <c r="AA802" s="3" t="n">
        <f aca="false">R802</f>
        <v>0</v>
      </c>
      <c r="AB802" s="21" t="n">
        <f aca="false">P802</f>
        <v>-0.9136932954494</v>
      </c>
      <c r="AC802" s="3" t="str">
        <f aca="false">Y802</f>
        <v/>
      </c>
      <c r="AD802" s="3" t="n">
        <f aca="false">R802</f>
        <v>0</v>
      </c>
    </row>
    <row r="803" customFormat="false" ht="15" hidden="false" customHeight="true" outlineLevel="0" collapsed="false">
      <c r="A803" s="7" t="s">
        <v>56</v>
      </c>
      <c r="B803" s="7" t="n">
        <v>1951</v>
      </c>
      <c r="C803" s="7" t="s">
        <v>142</v>
      </c>
      <c r="D803" s="7" t="n">
        <v>62</v>
      </c>
      <c r="E803" s="7" t="n">
        <v>92</v>
      </c>
      <c r="F803" s="3" t="n">
        <f aca="false">COUNTIFS($B$2:$B$2705,B803,$C$2:$C$2705,C803)</f>
        <v>2</v>
      </c>
      <c r="G803" s="3" t="n">
        <f aca="false">MIN(INT((MIN(B803,2020)-1900)/10)+1,12)</f>
        <v>6</v>
      </c>
      <c r="H803" s="3" t="n">
        <f aca="false">(MIN(B803,2020)-1900-10*(G803-1))/10</f>
        <v>0.1</v>
      </c>
      <c r="I803" s="20" t="n">
        <f aca="false">EXP(LN(INDEX(Pop_Inputs!$B$2:$N$29,MATCH(C803,Pop_Inputs!$A$2:$A$29,0),G803))*(1-H803)+LN(INDEX(Pop_Inputs!$B$2:$N$29,MATCH(C803,Pop_Inputs!$A$2:$A$29,0),G803+1))*H803)</f>
        <v>3613843.55536363</v>
      </c>
      <c r="J803" s="20" t="n">
        <f aca="false">I803/F803</f>
        <v>1806921.77768182</v>
      </c>
      <c r="K803" s="21" t="n">
        <f aca="false">D803/(D803+E803)</f>
        <v>0.402597402597403</v>
      </c>
      <c r="L803" s="21" t="n">
        <f aca="false">AVERAGEIFS($K$2:$K$2705,$B$2:$B$2705,B803)</f>
        <v>0.499705310612954</v>
      </c>
      <c r="M803" s="21" t="n">
        <f aca="false">K803-L803</f>
        <v>-0.0971079080155513</v>
      </c>
      <c r="N803" s="21" t="n">
        <f aca="false">LN(J803)</f>
        <v>14.4071352801381</v>
      </c>
      <c r="O803" s="21" t="n">
        <f aca="false">AVERAGEIFS($N$2:$N$2705,$B$2:$B$2705,B803)</f>
        <v>13.8007817854944</v>
      </c>
      <c r="P803" s="21" t="n">
        <f aca="false">N803-O803</f>
        <v>0.606353494643745</v>
      </c>
      <c r="Q803" s="7" t="n">
        <v>0</v>
      </c>
      <c r="R803" s="3" t="n">
        <f aca="false">IF(AND(Q803=1,B803-_xlfn.MINIFS($B$2:$B$2705,$A$2:$A$2705,A803)&lt;10),1,0)</f>
        <v>0</v>
      </c>
      <c r="S803" s="7" t="n">
        <v>0</v>
      </c>
      <c r="T803" s="3" t="n">
        <f aca="false">_xlfn.MINIFS($B$2:$B$2705,$A$2:$A$2705,A803)</f>
        <v>1901</v>
      </c>
      <c r="U803" s="3" t="n">
        <f aca="false">B803-T803</f>
        <v>50</v>
      </c>
      <c r="V803" s="3" t="str">
        <f aca="false">INDEX(Pop_Inputs!$Q$2:$Q$29,MATCH(C803,Pop_Inputs!$A$2:$A$29,0))</f>
        <v>Midwest</v>
      </c>
      <c r="W803" s="30"/>
      <c r="X803" s="3" t="str">
        <f aca="false">IF(W803="","",LN(W803))</f>
        <v/>
      </c>
      <c r="Y803" s="3" t="str">
        <f aca="false">IF(X803="","",X803-AVERAGEIFS($X$2:$X$2705,$B$2:$B$2705,B803))</f>
        <v/>
      </c>
      <c r="Z803" s="21" t="n">
        <f aca="false">P803</f>
        <v>0.606353494643745</v>
      </c>
      <c r="AA803" s="3" t="n">
        <f aca="false">R803</f>
        <v>0</v>
      </c>
      <c r="AB803" s="21" t="n">
        <f aca="false">P803</f>
        <v>0.606353494643745</v>
      </c>
      <c r="AC803" s="3" t="str">
        <f aca="false">Y803</f>
        <v/>
      </c>
      <c r="AD803" s="3" t="n">
        <f aca="false">R803</f>
        <v>0</v>
      </c>
    </row>
    <row r="804" customFormat="false" ht="15" hidden="false" customHeight="true" outlineLevel="0" collapsed="false">
      <c r="A804" s="7" t="s">
        <v>65</v>
      </c>
      <c r="B804" s="7" t="n">
        <v>1951</v>
      </c>
      <c r="C804" s="7" t="s">
        <v>142</v>
      </c>
      <c r="D804" s="7" t="n">
        <v>81</v>
      </c>
      <c r="E804" s="7" t="n">
        <v>73</v>
      </c>
      <c r="F804" s="3" t="n">
        <f aca="false">COUNTIFS($B$2:$B$2705,B804,$C$2:$C$2705,C804)</f>
        <v>2</v>
      </c>
      <c r="G804" s="3" t="n">
        <f aca="false">MIN(INT((MIN(B804,2020)-1900)/10)+1,12)</f>
        <v>6</v>
      </c>
      <c r="H804" s="3" t="n">
        <f aca="false">(MIN(B804,2020)-1900-10*(G804-1))/10</f>
        <v>0.1</v>
      </c>
      <c r="I804" s="20" t="n">
        <f aca="false">EXP(LN(INDEX(Pop_Inputs!$B$2:$N$29,MATCH(C804,Pop_Inputs!$A$2:$A$29,0),G804))*(1-H804)+LN(INDEX(Pop_Inputs!$B$2:$N$29,MATCH(C804,Pop_Inputs!$A$2:$A$29,0),G804+1))*H804)</f>
        <v>3613843.55536363</v>
      </c>
      <c r="J804" s="20" t="n">
        <f aca="false">I804/F804</f>
        <v>1806921.77768182</v>
      </c>
      <c r="K804" s="21" t="n">
        <f aca="false">D804/(D804+E804)</f>
        <v>0.525974025974026</v>
      </c>
      <c r="L804" s="21" t="n">
        <f aca="false">AVERAGEIFS($K$2:$K$2705,$B$2:$B$2705,B804)</f>
        <v>0.499705310612954</v>
      </c>
      <c r="M804" s="21" t="n">
        <f aca="false">K804-L804</f>
        <v>0.0262687153610721</v>
      </c>
      <c r="N804" s="21" t="n">
        <f aca="false">LN(J804)</f>
        <v>14.4071352801381</v>
      </c>
      <c r="O804" s="21" t="n">
        <f aca="false">AVERAGEIFS($N$2:$N$2705,$B$2:$B$2705,B804)</f>
        <v>13.8007817854944</v>
      </c>
      <c r="P804" s="21" t="n">
        <f aca="false">N804-O804</f>
        <v>0.606353494643745</v>
      </c>
      <c r="Q804" s="7" t="n">
        <v>0</v>
      </c>
      <c r="R804" s="3" t="n">
        <f aca="false">IF(AND(Q804=1,B804-_xlfn.MINIFS($B$2:$B$2705,$A$2:$A$2705,A804)&lt;10),1,0)</f>
        <v>0</v>
      </c>
      <c r="S804" s="7" t="n">
        <v>0</v>
      </c>
      <c r="T804" s="3" t="n">
        <f aca="false">_xlfn.MINIFS($B$2:$B$2705,$A$2:$A$2705,A804)</f>
        <v>1901</v>
      </c>
      <c r="U804" s="3" t="n">
        <f aca="false">B804-T804</f>
        <v>50</v>
      </c>
      <c r="V804" s="3" t="str">
        <f aca="false">INDEX(Pop_Inputs!$Q$2:$Q$29,MATCH(C804,Pop_Inputs!$A$2:$A$29,0))</f>
        <v>Midwest</v>
      </c>
      <c r="W804" s="30"/>
      <c r="X804" s="3" t="str">
        <f aca="false">IF(W804="","",LN(W804))</f>
        <v/>
      </c>
      <c r="Y804" s="3" t="str">
        <f aca="false">IF(X804="","",X804-AVERAGEIFS($X$2:$X$2705,$B$2:$B$2705,B804))</f>
        <v/>
      </c>
      <c r="Z804" s="21" t="n">
        <f aca="false">P804</f>
        <v>0.606353494643745</v>
      </c>
      <c r="AA804" s="3" t="n">
        <f aca="false">R804</f>
        <v>0</v>
      </c>
      <c r="AB804" s="21" t="n">
        <f aca="false">P804</f>
        <v>0.606353494643745</v>
      </c>
      <c r="AC804" s="3" t="str">
        <f aca="false">Y804</f>
        <v/>
      </c>
      <c r="AD804" s="3" t="n">
        <f aca="false">R804</f>
        <v>0</v>
      </c>
    </row>
    <row r="805" customFormat="false" ht="15" hidden="false" customHeight="true" outlineLevel="0" collapsed="false">
      <c r="A805" s="7" t="s">
        <v>57</v>
      </c>
      <c r="B805" s="7" t="n">
        <v>1951</v>
      </c>
      <c r="C805" s="7" t="s">
        <v>143</v>
      </c>
      <c r="D805" s="7" t="n">
        <v>68</v>
      </c>
      <c r="E805" s="7" t="n">
        <v>86</v>
      </c>
      <c r="F805" s="3" t="n">
        <f aca="false">COUNTIFS($B$2:$B$2705,B805,$C$2:$C$2705,C805)</f>
        <v>1</v>
      </c>
      <c r="G805" s="3" t="n">
        <f aca="false">MIN(INT((MIN(B805,2020)-1900)/10)+1,12)</f>
        <v>6</v>
      </c>
      <c r="H805" s="3" t="n">
        <f aca="false">(MIN(B805,2020)-1900-10*(G805-1))/10</f>
        <v>0.1</v>
      </c>
      <c r="I805" s="20" t="n">
        <f aca="false">EXP(LN(INDEX(Pop_Inputs!$B$2:$N$29,MATCH(C805,Pop_Inputs!$A$2:$A$29,0),G805))*(1-H805)+LN(INDEX(Pop_Inputs!$B$2:$N$29,MATCH(C805,Pop_Inputs!$A$2:$A$29,0),G805+1))*H805)</f>
        <v>503853.012452194</v>
      </c>
      <c r="J805" s="20" t="n">
        <f aca="false">I805/F805</f>
        <v>503853.012452194</v>
      </c>
      <c r="K805" s="21" t="n">
        <f aca="false">D805/(D805+E805)</f>
        <v>0.441558441558442</v>
      </c>
      <c r="L805" s="21" t="n">
        <f aca="false">AVERAGEIFS($K$2:$K$2705,$B$2:$B$2705,B805)</f>
        <v>0.499705310612954</v>
      </c>
      <c r="M805" s="21" t="n">
        <f aca="false">K805-L805</f>
        <v>-0.0581468690545124</v>
      </c>
      <c r="N805" s="21" t="n">
        <f aca="false">LN(J805)</f>
        <v>13.1300398625578</v>
      </c>
      <c r="O805" s="21" t="n">
        <f aca="false">AVERAGEIFS($N$2:$N$2705,$B$2:$B$2705,B805)</f>
        <v>13.8007817854944</v>
      </c>
      <c r="P805" s="21" t="n">
        <f aca="false">N805-O805</f>
        <v>-0.670741922936587</v>
      </c>
      <c r="Q805" s="7" t="n">
        <v>0</v>
      </c>
      <c r="R805" s="3" t="n">
        <f aca="false">IF(AND(Q805=1,B805-_xlfn.MINIFS($B$2:$B$2705,$A$2:$A$2705,A805)&lt;10),1,0)</f>
        <v>0</v>
      </c>
      <c r="S805" s="7" t="n">
        <v>0</v>
      </c>
      <c r="T805" s="3" t="n">
        <f aca="false">_xlfn.MINIFS($B$2:$B$2705,$A$2:$A$2705,A805)</f>
        <v>1901</v>
      </c>
      <c r="U805" s="3" t="n">
        <f aca="false">B805-T805</f>
        <v>50</v>
      </c>
      <c r="V805" s="3" t="str">
        <f aca="false">INDEX(Pop_Inputs!$Q$2:$Q$29,MATCH(C805,Pop_Inputs!$A$2:$A$29,0))</f>
        <v>Midwest</v>
      </c>
      <c r="W805" s="30"/>
      <c r="X805" s="3" t="str">
        <f aca="false">IF(W805="","",LN(W805))</f>
        <v/>
      </c>
      <c r="Y805" s="3" t="str">
        <f aca="false">IF(X805="","",X805-AVERAGEIFS($X$2:$X$2705,$B$2:$B$2705,B805))</f>
        <v/>
      </c>
      <c r="Z805" s="21" t="n">
        <f aca="false">P805</f>
        <v>-0.670741922936587</v>
      </c>
      <c r="AA805" s="3" t="n">
        <f aca="false">R805</f>
        <v>0</v>
      </c>
      <c r="AB805" s="21" t="n">
        <f aca="false">P805</f>
        <v>-0.670741922936587</v>
      </c>
      <c r="AC805" s="3" t="str">
        <f aca="false">Y805</f>
        <v/>
      </c>
      <c r="AD805" s="3" t="n">
        <f aca="false">R805</f>
        <v>0</v>
      </c>
    </row>
    <row r="806" customFormat="false" ht="15" hidden="false" customHeight="true" outlineLevel="0" collapsed="false">
      <c r="A806" s="7" t="s">
        <v>66</v>
      </c>
      <c r="B806" s="7" t="n">
        <v>1951</v>
      </c>
      <c r="C806" s="7" t="s">
        <v>151</v>
      </c>
      <c r="D806" s="7" t="n">
        <v>93</v>
      </c>
      <c r="E806" s="7" t="n">
        <v>61</v>
      </c>
      <c r="F806" s="3" t="n">
        <f aca="false">COUNTIFS($B$2:$B$2705,B806,$C$2:$C$2705,C806)</f>
        <v>1</v>
      </c>
      <c r="G806" s="3" t="n">
        <f aca="false">MIN(INT((MIN(B806,2020)-1900)/10)+1,12)</f>
        <v>6</v>
      </c>
      <c r="H806" s="3" t="n">
        <f aca="false">(MIN(B806,2020)-1900-10*(G806-1))/10</f>
        <v>0.1</v>
      </c>
      <c r="I806" s="20" t="n">
        <f aca="false">EXP(LN(INDEX(Pop_Inputs!$B$2:$N$29,MATCH(C806,Pop_Inputs!$A$2:$A$29,0),G806))*(1-H806)+LN(INDEX(Pop_Inputs!$B$2:$N$29,MATCH(C806,Pop_Inputs!$A$2:$A$29,0),G806+1))*H806)</f>
        <v>910856.260920802</v>
      </c>
      <c r="J806" s="20" t="n">
        <f aca="false">I806/F806</f>
        <v>910856.260920802</v>
      </c>
      <c r="K806" s="21" t="n">
        <f aca="false">D806/(D806+E806)</f>
        <v>0.603896103896104</v>
      </c>
      <c r="L806" s="21" t="n">
        <f aca="false">AVERAGEIFS($K$2:$K$2705,$B$2:$B$2705,B806)</f>
        <v>0.499705310612954</v>
      </c>
      <c r="M806" s="21" t="n">
        <f aca="false">K806-L806</f>
        <v>0.10419079328315</v>
      </c>
      <c r="N806" s="21" t="n">
        <f aca="false">LN(J806)</f>
        <v>13.7221403821476</v>
      </c>
      <c r="O806" s="21" t="n">
        <f aca="false">AVERAGEIFS($N$2:$N$2705,$B$2:$B$2705,B806)</f>
        <v>13.8007817854944</v>
      </c>
      <c r="P806" s="21" t="n">
        <f aca="false">N806-O806</f>
        <v>-0.0786414033467739</v>
      </c>
      <c r="Q806" s="7" t="n">
        <v>0</v>
      </c>
      <c r="R806" s="3" t="n">
        <f aca="false">IF(AND(Q806=1,B806-_xlfn.MINIFS($B$2:$B$2705,$A$2:$A$2705,A806)&lt;10),1,0)</f>
        <v>0</v>
      </c>
      <c r="S806" s="7" t="n">
        <v>0</v>
      </c>
      <c r="T806" s="3" t="n">
        <f aca="false">_xlfn.MINIFS($B$2:$B$2705,$A$2:$A$2705,A806)</f>
        <v>1901</v>
      </c>
      <c r="U806" s="3" t="n">
        <f aca="false">B806-T806</f>
        <v>50</v>
      </c>
      <c r="V806" s="3" t="str">
        <f aca="false">INDEX(Pop_Inputs!$Q$2:$Q$29,MATCH(C806,Pop_Inputs!$A$2:$A$29,0))</f>
        <v>Midwest</v>
      </c>
      <c r="W806" s="30"/>
      <c r="X806" s="3" t="str">
        <f aca="false">IF(W806="","",LN(W806))</f>
        <v/>
      </c>
      <c r="Y806" s="3" t="str">
        <f aca="false">IF(X806="","",X806-AVERAGEIFS($X$2:$X$2705,$B$2:$B$2705,B806))</f>
        <v/>
      </c>
      <c r="Z806" s="21" t="n">
        <f aca="false">P806</f>
        <v>-0.0786414033467739</v>
      </c>
      <c r="AA806" s="3" t="n">
        <f aca="false">R806</f>
        <v>0</v>
      </c>
      <c r="AB806" s="21" t="n">
        <f aca="false">P806</f>
        <v>-0.0786414033467739</v>
      </c>
      <c r="AC806" s="3" t="str">
        <f aca="false">Y806</f>
        <v/>
      </c>
      <c r="AD806" s="3" t="n">
        <f aca="false">R806</f>
        <v>0</v>
      </c>
    </row>
    <row r="807" customFormat="false" ht="15" hidden="false" customHeight="true" outlineLevel="0" collapsed="false">
      <c r="A807" s="7" t="s">
        <v>67</v>
      </c>
      <c r="B807" s="7" t="n">
        <v>1951</v>
      </c>
      <c r="C807" s="7" t="s">
        <v>152</v>
      </c>
      <c r="D807" s="7" t="n">
        <v>73</v>
      </c>
      <c r="E807" s="7" t="n">
        <v>81</v>
      </c>
      <c r="F807" s="3" t="n">
        <f aca="false">COUNTIFS($B$2:$B$2705,B807,$C$2:$C$2705,C807)</f>
        <v>1</v>
      </c>
      <c r="G807" s="3" t="n">
        <f aca="false">MIN(INT((MIN(B807,2020)-1900)/10)+1,12)</f>
        <v>6</v>
      </c>
      <c r="H807" s="3" t="n">
        <f aca="false">(MIN(B807,2020)-1900-10*(G807-1))/10</f>
        <v>0.1</v>
      </c>
      <c r="I807" s="20" t="n">
        <f aca="false">EXP(LN(INDEX(Pop_Inputs!$B$2:$N$29,MATCH(C807,Pop_Inputs!$A$2:$A$29,0),G807))*(1-H807)+LN(INDEX(Pop_Inputs!$B$2:$N$29,MATCH(C807,Pop_Inputs!$A$2:$A$29,0),G807+1))*H807)</f>
        <v>1830790.55988063</v>
      </c>
      <c r="J807" s="20" t="n">
        <f aca="false">I807/F807</f>
        <v>1830790.55988063</v>
      </c>
      <c r="K807" s="21" t="n">
        <f aca="false">D807/(D807+E807)</f>
        <v>0.474025974025974</v>
      </c>
      <c r="L807" s="21" t="n">
        <f aca="false">AVERAGEIFS($K$2:$K$2705,$B$2:$B$2705,B807)</f>
        <v>0.499705310612954</v>
      </c>
      <c r="M807" s="21" t="n">
        <f aca="false">K807-L807</f>
        <v>-0.0256793365869799</v>
      </c>
      <c r="N807" s="21" t="n">
        <f aca="false">LN(J807)</f>
        <v>14.4202584314673</v>
      </c>
      <c r="O807" s="21" t="n">
        <f aca="false">AVERAGEIFS($N$2:$N$2705,$B$2:$B$2705,B807)</f>
        <v>13.8007817854944</v>
      </c>
      <c r="P807" s="21" t="n">
        <f aca="false">N807-O807</f>
        <v>0.619476645972894</v>
      </c>
      <c r="Q807" s="7" t="n">
        <v>0</v>
      </c>
      <c r="R807" s="3" t="n">
        <f aca="false">IF(AND(Q807=1,B807-_xlfn.MINIFS($B$2:$B$2705,$A$2:$A$2705,A807)&lt;10),1,0)</f>
        <v>0</v>
      </c>
      <c r="S807" s="7" t="n">
        <v>0</v>
      </c>
      <c r="T807" s="3" t="n">
        <f aca="false">_xlfn.MINIFS($B$2:$B$2705,$A$2:$A$2705,A807)</f>
        <v>1901</v>
      </c>
      <c r="U807" s="3" t="n">
        <f aca="false">B807-T807</f>
        <v>50</v>
      </c>
      <c r="V807" s="3" t="str">
        <f aca="false">INDEX(Pop_Inputs!$Q$2:$Q$29,MATCH(C807,Pop_Inputs!$A$2:$A$29,0))</f>
        <v>Midwest</v>
      </c>
      <c r="W807" s="30"/>
      <c r="X807" s="3" t="str">
        <f aca="false">IF(W807="","",LN(W807))</f>
        <v/>
      </c>
      <c r="Y807" s="3" t="str">
        <f aca="false">IF(X807="","",X807-AVERAGEIFS($X$2:$X$2705,$B$2:$B$2705,B807))</f>
        <v/>
      </c>
      <c r="Z807" s="21" t="n">
        <f aca="false">P807</f>
        <v>0.619476645972894</v>
      </c>
      <c r="AA807" s="3" t="n">
        <f aca="false">R807</f>
        <v>0</v>
      </c>
      <c r="AB807" s="21" t="n">
        <f aca="false">P807</f>
        <v>0.619476645972894</v>
      </c>
      <c r="AC807" s="3" t="str">
        <f aca="false">Y807</f>
        <v/>
      </c>
      <c r="AD807" s="3" t="n">
        <f aca="false">R807</f>
        <v>0</v>
      </c>
    </row>
    <row r="808" customFormat="false" ht="15" hidden="false" customHeight="true" outlineLevel="0" collapsed="false">
      <c r="A808" s="7" t="s">
        <v>62</v>
      </c>
      <c r="B808" s="7" t="n">
        <v>1951</v>
      </c>
      <c r="C808" s="7" t="s">
        <v>154</v>
      </c>
      <c r="D808" s="7" t="n">
        <v>97</v>
      </c>
      <c r="E808" s="7" t="n">
        <v>60</v>
      </c>
      <c r="F808" s="3" t="n">
        <f aca="false">COUNTIFS($B$2:$B$2705,B808,$C$2:$C$2705,C808)</f>
        <v>3</v>
      </c>
      <c r="G808" s="3" t="n">
        <f aca="false">MIN(INT((MIN(B808,2020)-1900)/10)+1,12)</f>
        <v>6</v>
      </c>
      <c r="H808" s="3" t="n">
        <f aca="false">(MIN(B808,2020)-1900-10*(G808-1))/10</f>
        <v>0.1</v>
      </c>
      <c r="I808" s="20" t="n">
        <f aca="false">EXP(LN(INDEX(Pop_Inputs!$B$2:$N$29,MATCH(C808,Pop_Inputs!$A$2:$A$29,0),G808))*(1-H808)+LN(INDEX(Pop_Inputs!$B$2:$N$29,MATCH(C808,Pop_Inputs!$A$2:$A$29,0),G808+1))*H808)</f>
        <v>7880890.12475341</v>
      </c>
      <c r="J808" s="20" t="n">
        <f aca="false">I808/F808</f>
        <v>2626963.3749178</v>
      </c>
      <c r="K808" s="21" t="n">
        <f aca="false">D808/(D808+E808)</f>
        <v>0.617834394904459</v>
      </c>
      <c r="L808" s="21" t="n">
        <f aca="false">AVERAGEIFS($K$2:$K$2705,$B$2:$B$2705,B808)</f>
        <v>0.499705310612954</v>
      </c>
      <c r="M808" s="21" t="n">
        <f aca="false">K808-L808</f>
        <v>0.118129084291505</v>
      </c>
      <c r="N808" s="21" t="n">
        <f aca="false">LN(J808)</f>
        <v>14.7813391267805</v>
      </c>
      <c r="O808" s="21" t="n">
        <f aca="false">AVERAGEIFS($N$2:$N$2705,$B$2:$B$2705,B808)</f>
        <v>13.8007817854944</v>
      </c>
      <c r="P808" s="21" t="n">
        <f aca="false">N808-O808</f>
        <v>0.980557341286167</v>
      </c>
      <c r="Q808" s="7" t="n">
        <v>0</v>
      </c>
      <c r="R808" s="3" t="n">
        <f aca="false">IF(AND(Q808=1,B808-_xlfn.MINIFS($B$2:$B$2705,$A$2:$A$2705,A808)&lt;10),1,0)</f>
        <v>0</v>
      </c>
      <c r="S808" s="7" t="n">
        <v>0</v>
      </c>
      <c r="T808" s="3" t="n">
        <f aca="false">_xlfn.MINIFS($B$2:$B$2705,$A$2:$A$2705,A808)</f>
        <v>1901</v>
      </c>
      <c r="U808" s="3" t="n">
        <f aca="false">B808-T808</f>
        <v>50</v>
      </c>
      <c r="V808" s="3" t="str">
        <f aca="false">INDEX(Pop_Inputs!$Q$2:$Q$29,MATCH(C808,Pop_Inputs!$A$2:$A$29,0))</f>
        <v>Northeast</v>
      </c>
      <c r="W808" s="30"/>
      <c r="X808" s="3" t="str">
        <f aca="false">IF(W808="","",LN(W808))</f>
        <v/>
      </c>
      <c r="Y808" s="3" t="str">
        <f aca="false">IF(X808="","",X808-AVERAGEIFS($X$2:$X$2705,$B$2:$B$2705,B808))</f>
        <v/>
      </c>
      <c r="Z808" s="21" t="n">
        <f aca="false">P808</f>
        <v>0.980557341286167</v>
      </c>
      <c r="AA808" s="3" t="n">
        <f aca="false">R808</f>
        <v>0</v>
      </c>
      <c r="AB808" s="21" t="n">
        <f aca="false">P808</f>
        <v>0.980557341286167</v>
      </c>
      <c r="AC808" s="3" t="str">
        <f aca="false">Y808</f>
        <v/>
      </c>
      <c r="AD808" s="3" t="n">
        <f aca="false">R808</f>
        <v>0</v>
      </c>
    </row>
    <row r="809" customFormat="false" ht="15" hidden="false" customHeight="true" outlineLevel="0" collapsed="false">
      <c r="A809" s="7" t="s">
        <v>68</v>
      </c>
      <c r="B809" s="7" t="n">
        <v>1951</v>
      </c>
      <c r="C809" s="7" t="s">
        <v>160</v>
      </c>
      <c r="D809" s="7" t="n">
        <v>62</v>
      </c>
      <c r="E809" s="7" t="n">
        <v>92</v>
      </c>
      <c r="F809" s="3" t="n">
        <f aca="false">COUNTIFS($B$2:$B$2705,B809,$C$2:$C$2705,C809)</f>
        <v>1</v>
      </c>
      <c r="G809" s="3" t="n">
        <f aca="false">MIN(INT((MIN(B809,2020)-1900)/10)+1,12)</f>
        <v>6</v>
      </c>
      <c r="H809" s="3" t="n">
        <f aca="false">(MIN(B809,2020)-1900-10*(G809-1))/10</f>
        <v>0.1</v>
      </c>
      <c r="I809" s="20" t="n">
        <f aca="false">EXP(LN(INDEX(Pop_Inputs!$B$2:$N$29,MATCH(C809,Pop_Inputs!$A$2:$A$29,0),G809))*(1-H809)+LN(INDEX(Pop_Inputs!$B$2:$N$29,MATCH(C809,Pop_Inputs!$A$2:$A$29,0),G809+1))*H809)</f>
        <v>798271.28444926</v>
      </c>
      <c r="J809" s="20" t="n">
        <f aca="false">I809/F809</f>
        <v>798271.28444926</v>
      </c>
      <c r="K809" s="21" t="n">
        <f aca="false">D809/(D809+E809)</f>
        <v>0.402597402597403</v>
      </c>
      <c r="L809" s="21" t="n">
        <f aca="false">AVERAGEIFS($K$2:$K$2705,$B$2:$B$2705,B809)</f>
        <v>0.499705310612954</v>
      </c>
      <c r="M809" s="21" t="n">
        <f aca="false">K809-L809</f>
        <v>-0.0971079080155513</v>
      </c>
      <c r="N809" s="21" t="n">
        <f aca="false">LN(J809)</f>
        <v>13.5902037741104</v>
      </c>
      <c r="O809" s="21" t="n">
        <f aca="false">AVERAGEIFS($N$2:$N$2705,$B$2:$B$2705,B809)</f>
        <v>13.8007817854944</v>
      </c>
      <c r="P809" s="21" t="n">
        <f aca="false">N809-O809</f>
        <v>-0.210578011383989</v>
      </c>
      <c r="Q809" s="7" t="n">
        <v>0</v>
      </c>
      <c r="R809" s="3" t="n">
        <f aca="false">IF(AND(Q809=1,B809-_xlfn.MINIFS($B$2:$B$2705,$A$2:$A$2705,A809)&lt;10),1,0)</f>
        <v>0</v>
      </c>
      <c r="S809" s="7" t="n">
        <v>0</v>
      </c>
      <c r="T809" s="3" t="n">
        <f aca="false">_xlfn.MINIFS($B$2:$B$2705,$A$2:$A$2705,A809)</f>
        <v>1901</v>
      </c>
      <c r="U809" s="3" t="n">
        <f aca="false">B809-T809</f>
        <v>50</v>
      </c>
      <c r="V809" s="3" t="str">
        <f aca="false">INDEX(Pop_Inputs!$Q$2:$Q$29,MATCH(C809,Pop_Inputs!$A$2:$A$29,0))</f>
        <v>South</v>
      </c>
      <c r="W809" s="30"/>
      <c r="X809" s="3" t="str">
        <f aca="false">IF(W809="","",LN(W809))</f>
        <v/>
      </c>
      <c r="Y809" s="3" t="str">
        <f aca="false">IF(X809="","",X809-AVERAGEIFS($X$2:$X$2705,$B$2:$B$2705,B809))</f>
        <v/>
      </c>
      <c r="Z809" s="21" t="n">
        <f aca="false">P809</f>
        <v>-0.210578011383989</v>
      </c>
      <c r="AA809" s="3" t="n">
        <f aca="false">R809</f>
        <v>0</v>
      </c>
      <c r="AB809" s="21" t="n">
        <f aca="false">P809</f>
        <v>-0.210578011383989</v>
      </c>
      <c r="AC809" s="3" t="str">
        <f aca="false">Y809</f>
        <v/>
      </c>
      <c r="AD809" s="3" t="n">
        <f aca="false">R809</f>
        <v>0</v>
      </c>
    </row>
    <row r="810" customFormat="false" ht="15" hidden="false" customHeight="true" outlineLevel="0" collapsed="false">
      <c r="A810" s="7" t="s">
        <v>70</v>
      </c>
      <c r="B810" s="7" t="n">
        <v>1951</v>
      </c>
      <c r="C810" s="7" t="s">
        <v>154</v>
      </c>
      <c r="D810" s="7" t="n">
        <v>98</v>
      </c>
      <c r="E810" s="7" t="n">
        <v>56</v>
      </c>
      <c r="F810" s="3" t="n">
        <f aca="false">COUNTIFS($B$2:$B$2705,B810,$C$2:$C$2705,C810)</f>
        <v>3</v>
      </c>
      <c r="G810" s="3" t="n">
        <f aca="false">MIN(INT((MIN(B810,2020)-1900)/10)+1,12)</f>
        <v>6</v>
      </c>
      <c r="H810" s="3" t="n">
        <f aca="false">(MIN(B810,2020)-1900-10*(G810-1))/10</f>
        <v>0.1</v>
      </c>
      <c r="I810" s="20" t="n">
        <f aca="false">EXP(LN(INDEX(Pop_Inputs!$B$2:$N$29,MATCH(C810,Pop_Inputs!$A$2:$A$29,0),G810))*(1-H810)+LN(INDEX(Pop_Inputs!$B$2:$N$29,MATCH(C810,Pop_Inputs!$A$2:$A$29,0),G810+1))*H810)</f>
        <v>7880890.12475341</v>
      </c>
      <c r="J810" s="20" t="n">
        <f aca="false">I810/F810</f>
        <v>2626963.3749178</v>
      </c>
      <c r="K810" s="21" t="n">
        <f aca="false">D810/(D810+E810)</f>
        <v>0.636363636363636</v>
      </c>
      <c r="L810" s="21" t="n">
        <f aca="false">AVERAGEIFS($K$2:$K$2705,$B$2:$B$2705,B810)</f>
        <v>0.499705310612954</v>
      </c>
      <c r="M810" s="21" t="n">
        <f aca="false">K810-L810</f>
        <v>0.136658325750682</v>
      </c>
      <c r="N810" s="21" t="n">
        <f aca="false">LN(J810)</f>
        <v>14.7813391267805</v>
      </c>
      <c r="O810" s="21" t="n">
        <f aca="false">AVERAGEIFS($N$2:$N$2705,$B$2:$B$2705,B810)</f>
        <v>13.8007817854944</v>
      </c>
      <c r="P810" s="21" t="n">
        <f aca="false">N810-O810</f>
        <v>0.980557341286167</v>
      </c>
      <c r="Q810" s="7" t="n">
        <v>0</v>
      </c>
      <c r="R810" s="3" t="n">
        <f aca="false">IF(AND(Q810=1,B810-_xlfn.MINIFS($B$2:$B$2705,$A$2:$A$2705,A810)&lt;10),1,0)</f>
        <v>0</v>
      </c>
      <c r="S810" s="7" t="n">
        <v>1</v>
      </c>
      <c r="T810" s="3" t="n">
        <f aca="false">_xlfn.MINIFS($B$2:$B$2705,$A$2:$A$2705,A810)</f>
        <v>1903</v>
      </c>
      <c r="U810" s="3" t="n">
        <f aca="false">B810-T810</f>
        <v>48</v>
      </c>
      <c r="V810" s="3" t="str">
        <f aca="false">INDEX(Pop_Inputs!$Q$2:$Q$29,MATCH(C810,Pop_Inputs!$A$2:$A$29,0))</f>
        <v>Northeast</v>
      </c>
      <c r="W810" s="30"/>
      <c r="X810" s="3" t="str">
        <f aca="false">IF(W810="","",LN(W810))</f>
        <v/>
      </c>
      <c r="Y810" s="3" t="str">
        <f aca="false">IF(X810="","",X810-AVERAGEIFS($X$2:$X$2705,$B$2:$B$2705,B810))</f>
        <v/>
      </c>
      <c r="Z810" s="21" t="n">
        <f aca="false">P810</f>
        <v>0.980557341286167</v>
      </c>
      <c r="AA810" s="3" t="n">
        <f aca="false">R810</f>
        <v>0</v>
      </c>
      <c r="AB810" s="21" t="n">
        <f aca="false">P810</f>
        <v>0.980557341286167</v>
      </c>
      <c r="AC810" s="3" t="str">
        <f aca="false">Y810</f>
        <v/>
      </c>
      <c r="AD810" s="3" t="n">
        <f aca="false">R810</f>
        <v>0</v>
      </c>
    </row>
    <row r="811" customFormat="false" ht="15" hidden="false" customHeight="true" outlineLevel="0" collapsed="false">
      <c r="A811" s="7" t="s">
        <v>69</v>
      </c>
      <c r="B811" s="7" t="n">
        <v>1951</v>
      </c>
      <c r="C811" s="7" t="s">
        <v>146</v>
      </c>
      <c r="D811" s="7" t="n">
        <v>70</v>
      </c>
      <c r="E811" s="7" t="n">
        <v>84</v>
      </c>
      <c r="F811" s="3" t="n">
        <f aca="false">COUNTIFS($B$2:$B$2705,B811,$C$2:$C$2705,C811)</f>
        <v>2</v>
      </c>
      <c r="G811" s="3" t="n">
        <f aca="false">MIN(INT((MIN(B811,2020)-1900)/10)+1,12)</f>
        <v>6</v>
      </c>
      <c r="H811" s="3" t="n">
        <f aca="false">(MIN(B811,2020)-1900-10*(G811-1))/10</f>
        <v>0.1</v>
      </c>
      <c r="I811" s="20" t="n">
        <f aca="false">EXP(LN(INDEX(Pop_Inputs!$B$2:$N$29,MATCH(C811,Pop_Inputs!$A$2:$A$29,0),G811))*(1-H811)+LN(INDEX(Pop_Inputs!$B$2:$N$29,MATCH(C811,Pop_Inputs!$A$2:$A$29,0),G811+1))*H811)</f>
        <v>2064589.75638464</v>
      </c>
      <c r="J811" s="20" t="n">
        <f aca="false">I811/F811</f>
        <v>1032294.87819232</v>
      </c>
      <c r="K811" s="21" t="n">
        <f aca="false">D811/(D811+E811)</f>
        <v>0.454545454545455</v>
      </c>
      <c r="L811" s="21" t="n">
        <f aca="false">AVERAGEIFS($K$2:$K$2705,$B$2:$B$2705,B811)</f>
        <v>0.499705310612954</v>
      </c>
      <c r="M811" s="21" t="n">
        <f aca="false">K811-L811</f>
        <v>-0.0451598560674994</v>
      </c>
      <c r="N811" s="21" t="n">
        <f aca="false">LN(J811)</f>
        <v>13.8472949188917</v>
      </c>
      <c r="O811" s="21" t="n">
        <f aca="false">AVERAGEIFS($N$2:$N$2705,$B$2:$B$2705,B811)</f>
        <v>13.8007817854944</v>
      </c>
      <c r="P811" s="21" t="n">
        <f aca="false">N811-O811</f>
        <v>0.0465131333973723</v>
      </c>
      <c r="Q811" s="7" t="n">
        <v>0</v>
      </c>
      <c r="R811" s="3" t="n">
        <f aca="false">IF(AND(Q811=1,B811-_xlfn.MINIFS($B$2:$B$2705,$A$2:$A$2705,A811)&lt;10),1,0)</f>
        <v>0</v>
      </c>
      <c r="S811" s="7" t="n">
        <v>0</v>
      </c>
      <c r="T811" s="3" t="n">
        <f aca="false">_xlfn.MINIFS($B$2:$B$2705,$A$2:$A$2705,A811)</f>
        <v>1901</v>
      </c>
      <c r="U811" s="3" t="n">
        <f aca="false">B811-T811</f>
        <v>50</v>
      </c>
      <c r="V811" s="3" t="str">
        <f aca="false">INDEX(Pop_Inputs!$Q$2:$Q$29,MATCH(C811,Pop_Inputs!$A$2:$A$29,0))</f>
        <v>Northeast</v>
      </c>
      <c r="W811" s="30"/>
      <c r="X811" s="3" t="str">
        <f aca="false">IF(W811="","",LN(W811))</f>
        <v/>
      </c>
      <c r="Y811" s="3" t="str">
        <f aca="false">IF(X811="","",X811-AVERAGEIFS($X$2:$X$2705,$B$2:$B$2705,B811))</f>
        <v/>
      </c>
      <c r="Z811" s="21" t="n">
        <f aca="false">P811</f>
        <v>0.0465131333973723</v>
      </c>
      <c r="AA811" s="3" t="n">
        <f aca="false">R811</f>
        <v>0</v>
      </c>
      <c r="AB811" s="21" t="n">
        <f aca="false">P811</f>
        <v>0.0465131333973723</v>
      </c>
      <c r="AC811" s="3" t="str">
        <f aca="false">Y811</f>
        <v/>
      </c>
      <c r="AD811" s="3" t="n">
        <f aca="false">R811</f>
        <v>0</v>
      </c>
    </row>
    <row r="812" customFormat="false" ht="15" hidden="false" customHeight="true" outlineLevel="0" collapsed="false">
      <c r="A812" s="7" t="s">
        <v>60</v>
      </c>
      <c r="B812" s="7" t="n">
        <v>1951</v>
      </c>
      <c r="C812" s="7" t="s">
        <v>146</v>
      </c>
      <c r="D812" s="7" t="n">
        <v>73</v>
      </c>
      <c r="E812" s="7" t="n">
        <v>81</v>
      </c>
      <c r="F812" s="3" t="n">
        <f aca="false">COUNTIFS($B$2:$B$2705,B812,$C$2:$C$2705,C812)</f>
        <v>2</v>
      </c>
      <c r="G812" s="3" t="n">
        <f aca="false">MIN(INT((MIN(B812,2020)-1900)/10)+1,12)</f>
        <v>6</v>
      </c>
      <c r="H812" s="3" t="n">
        <f aca="false">(MIN(B812,2020)-1900-10*(G812-1))/10</f>
        <v>0.1</v>
      </c>
      <c r="I812" s="20" t="n">
        <f aca="false">EXP(LN(INDEX(Pop_Inputs!$B$2:$N$29,MATCH(C812,Pop_Inputs!$A$2:$A$29,0),G812))*(1-H812)+LN(INDEX(Pop_Inputs!$B$2:$N$29,MATCH(C812,Pop_Inputs!$A$2:$A$29,0),G812+1))*H812)</f>
        <v>2064589.75638464</v>
      </c>
      <c r="J812" s="20" t="n">
        <f aca="false">I812/F812</f>
        <v>1032294.87819232</v>
      </c>
      <c r="K812" s="21" t="n">
        <f aca="false">D812/(D812+E812)</f>
        <v>0.474025974025974</v>
      </c>
      <c r="L812" s="21" t="n">
        <f aca="false">AVERAGEIFS($K$2:$K$2705,$B$2:$B$2705,B812)</f>
        <v>0.499705310612954</v>
      </c>
      <c r="M812" s="21" t="n">
        <f aca="false">K812-L812</f>
        <v>-0.0256793365869799</v>
      </c>
      <c r="N812" s="21" t="n">
        <f aca="false">LN(J812)</f>
        <v>13.8472949188917</v>
      </c>
      <c r="O812" s="21" t="n">
        <f aca="false">AVERAGEIFS($N$2:$N$2705,$B$2:$B$2705,B812)</f>
        <v>13.8007817854944</v>
      </c>
      <c r="P812" s="21" t="n">
        <f aca="false">N812-O812</f>
        <v>0.0465131333973723</v>
      </c>
      <c r="Q812" s="7" t="n">
        <v>0</v>
      </c>
      <c r="R812" s="3" t="n">
        <f aca="false">IF(AND(Q812=1,B812-_xlfn.MINIFS($B$2:$B$2705,$A$2:$A$2705,A812)&lt;10),1,0)</f>
        <v>0</v>
      </c>
      <c r="S812" s="7" t="n">
        <v>0</v>
      </c>
      <c r="T812" s="3" t="n">
        <f aca="false">_xlfn.MINIFS($B$2:$B$2705,$A$2:$A$2705,A812)</f>
        <v>1901</v>
      </c>
      <c r="U812" s="3" t="n">
        <f aca="false">B812-T812</f>
        <v>50</v>
      </c>
      <c r="V812" s="3" t="str">
        <f aca="false">INDEX(Pop_Inputs!$Q$2:$Q$29,MATCH(C812,Pop_Inputs!$A$2:$A$29,0))</f>
        <v>Northeast</v>
      </c>
      <c r="W812" s="30"/>
      <c r="X812" s="3" t="str">
        <f aca="false">IF(W812="","",LN(W812))</f>
        <v/>
      </c>
      <c r="Y812" s="3" t="str">
        <f aca="false">IF(X812="","",X812-AVERAGEIFS($X$2:$X$2705,$B$2:$B$2705,B812))</f>
        <v/>
      </c>
      <c r="Z812" s="21" t="n">
        <f aca="false">P812</f>
        <v>0.0465131333973723</v>
      </c>
      <c r="AA812" s="3" t="n">
        <f aca="false">R812</f>
        <v>0</v>
      </c>
      <c r="AB812" s="21" t="n">
        <f aca="false">P812</f>
        <v>0.0465131333973723</v>
      </c>
      <c r="AC812" s="3" t="str">
        <f aca="false">Y812</f>
        <v/>
      </c>
      <c r="AD812" s="3" t="n">
        <f aca="false">R812</f>
        <v>0</v>
      </c>
    </row>
    <row r="813" customFormat="false" ht="15" hidden="false" customHeight="true" outlineLevel="0" collapsed="false">
      <c r="A813" s="7" t="s">
        <v>58</v>
      </c>
      <c r="B813" s="7" t="n">
        <v>1951</v>
      </c>
      <c r="C813" s="7" t="s">
        <v>144</v>
      </c>
      <c r="D813" s="7" t="n">
        <v>64</v>
      </c>
      <c r="E813" s="7" t="n">
        <v>90</v>
      </c>
      <c r="F813" s="3" t="n">
        <f aca="false">COUNTIFS($B$2:$B$2705,B813,$C$2:$C$2705,C813)</f>
        <v>1</v>
      </c>
      <c r="G813" s="3" t="n">
        <f aca="false">MIN(INT((MIN(B813,2020)-1900)/10)+1,12)</f>
        <v>6</v>
      </c>
      <c r="H813" s="3" t="n">
        <f aca="false">(MIN(B813,2020)-1900-10*(G813-1))/10</f>
        <v>0.1</v>
      </c>
      <c r="I813" s="20" t="n">
        <f aca="false">EXP(LN(INDEX(Pop_Inputs!$B$2:$N$29,MATCH(C813,Pop_Inputs!$A$2:$A$29,0),G813))*(1-H813)+LN(INDEX(Pop_Inputs!$B$2:$N$29,MATCH(C813,Pop_Inputs!$A$2:$A$29,0),G813+1))*H813)</f>
        <v>669183.67748611</v>
      </c>
      <c r="J813" s="20" t="n">
        <f aca="false">I813/F813</f>
        <v>669183.67748611</v>
      </c>
      <c r="K813" s="21" t="n">
        <f aca="false">D813/(D813+E813)</f>
        <v>0.415584415584416</v>
      </c>
      <c r="L813" s="21" t="n">
        <f aca="false">AVERAGEIFS($K$2:$K$2705,$B$2:$B$2705,B813)</f>
        <v>0.499705310612954</v>
      </c>
      <c r="M813" s="21" t="n">
        <f aca="false">K813-L813</f>
        <v>-0.0841208950285383</v>
      </c>
      <c r="N813" s="21" t="n">
        <f aca="false">LN(J813)</f>
        <v>13.4138138567126</v>
      </c>
      <c r="O813" s="21" t="n">
        <f aca="false">AVERAGEIFS($N$2:$N$2705,$B$2:$B$2705,B813)</f>
        <v>13.8007817854944</v>
      </c>
      <c r="P813" s="21" t="n">
        <f aca="false">N813-O813</f>
        <v>-0.386967928781749</v>
      </c>
      <c r="Q813" s="7" t="n">
        <v>0</v>
      </c>
      <c r="R813" s="3" t="n">
        <f aca="false">IF(AND(Q813=1,B813-_xlfn.MINIFS($B$2:$B$2705,$A$2:$A$2705,A813)&lt;10),1,0)</f>
        <v>0</v>
      </c>
      <c r="S813" s="7" t="n">
        <v>0</v>
      </c>
      <c r="T813" s="3" t="n">
        <f aca="false">_xlfn.MINIFS($B$2:$B$2705,$A$2:$A$2705,A813)</f>
        <v>1901</v>
      </c>
      <c r="U813" s="3" t="n">
        <f aca="false">B813-T813</f>
        <v>50</v>
      </c>
      <c r="V813" s="3" t="str">
        <f aca="false">INDEX(Pop_Inputs!$Q$2:$Q$29,MATCH(C813,Pop_Inputs!$A$2:$A$29,0))</f>
        <v>Northeast</v>
      </c>
      <c r="W813" s="30"/>
      <c r="X813" s="3" t="str">
        <f aca="false">IF(W813="","",LN(W813))</f>
        <v/>
      </c>
      <c r="Y813" s="3" t="str">
        <f aca="false">IF(X813="","",X813-AVERAGEIFS($X$2:$X$2705,$B$2:$B$2705,B813))</f>
        <v/>
      </c>
      <c r="Z813" s="21" t="n">
        <f aca="false">P813</f>
        <v>-0.386967928781749</v>
      </c>
      <c r="AA813" s="3" t="n">
        <f aca="false">R813</f>
        <v>0</v>
      </c>
      <c r="AB813" s="21" t="n">
        <f aca="false">P813</f>
        <v>-0.386967928781749</v>
      </c>
      <c r="AC813" s="3" t="str">
        <f aca="false">Y813</f>
        <v/>
      </c>
      <c r="AD813" s="3" t="n">
        <f aca="false">R813</f>
        <v>0</v>
      </c>
    </row>
    <row r="814" customFormat="false" ht="15" hidden="false" customHeight="true" outlineLevel="0" collapsed="false">
      <c r="A814" s="7" t="s">
        <v>61</v>
      </c>
      <c r="B814" s="7" t="n">
        <v>1951</v>
      </c>
      <c r="C814" s="7" t="s">
        <v>154</v>
      </c>
      <c r="D814" s="7" t="n">
        <v>98</v>
      </c>
      <c r="E814" s="7" t="n">
        <v>59</v>
      </c>
      <c r="F814" s="3" t="n">
        <f aca="false">COUNTIFS($B$2:$B$2705,B814,$C$2:$C$2705,C814)</f>
        <v>3</v>
      </c>
      <c r="G814" s="3" t="n">
        <f aca="false">MIN(INT((MIN(B814,2020)-1900)/10)+1,12)</f>
        <v>6</v>
      </c>
      <c r="H814" s="3" t="n">
        <f aca="false">(MIN(B814,2020)-1900-10*(G814-1))/10</f>
        <v>0.1</v>
      </c>
      <c r="I814" s="20" t="n">
        <f aca="false">EXP(LN(INDEX(Pop_Inputs!$B$2:$N$29,MATCH(C814,Pop_Inputs!$A$2:$A$29,0),G814))*(1-H814)+LN(INDEX(Pop_Inputs!$B$2:$N$29,MATCH(C814,Pop_Inputs!$A$2:$A$29,0),G814+1))*H814)</f>
        <v>7880890.12475341</v>
      </c>
      <c r="J814" s="20" t="n">
        <f aca="false">I814/F814</f>
        <v>2626963.3749178</v>
      </c>
      <c r="K814" s="21" t="n">
        <f aca="false">D814/(D814+E814)</f>
        <v>0.624203821656051</v>
      </c>
      <c r="L814" s="21" t="n">
        <f aca="false">AVERAGEIFS($K$2:$K$2705,$B$2:$B$2705,B814)</f>
        <v>0.499705310612954</v>
      </c>
      <c r="M814" s="21" t="n">
        <f aca="false">K814-L814</f>
        <v>0.124498511043097</v>
      </c>
      <c r="N814" s="21" t="n">
        <f aca="false">LN(J814)</f>
        <v>14.7813391267805</v>
      </c>
      <c r="O814" s="21" t="n">
        <f aca="false">AVERAGEIFS($N$2:$N$2705,$B$2:$B$2705,B814)</f>
        <v>13.8007817854944</v>
      </c>
      <c r="P814" s="21" t="n">
        <f aca="false">N814-O814</f>
        <v>0.980557341286167</v>
      </c>
      <c r="Q814" s="7" t="n">
        <v>0</v>
      </c>
      <c r="R814" s="3" t="n">
        <f aca="false">IF(AND(Q814=1,B814-_xlfn.MINIFS($B$2:$B$2705,$A$2:$A$2705,A814)&lt;10),1,0)</f>
        <v>0</v>
      </c>
      <c r="S814" s="7" t="n">
        <v>0</v>
      </c>
      <c r="T814" s="3" t="n">
        <f aca="false">_xlfn.MINIFS($B$2:$B$2705,$A$2:$A$2705,A814)</f>
        <v>1901</v>
      </c>
      <c r="U814" s="3" t="n">
        <f aca="false">B814-T814</f>
        <v>50</v>
      </c>
      <c r="V814" s="3" t="str">
        <f aca="false">INDEX(Pop_Inputs!$Q$2:$Q$29,MATCH(C814,Pop_Inputs!$A$2:$A$29,0))</f>
        <v>Northeast</v>
      </c>
      <c r="W814" s="30"/>
      <c r="X814" s="3" t="str">
        <f aca="false">IF(W814="","",LN(W814))</f>
        <v/>
      </c>
      <c r="Y814" s="3" t="str">
        <f aca="false">IF(X814="","",X814-AVERAGEIFS($X$2:$X$2705,$B$2:$B$2705,B814))</f>
        <v/>
      </c>
      <c r="Z814" s="21" t="n">
        <f aca="false">P814</f>
        <v>0.980557341286167</v>
      </c>
      <c r="AA814" s="3" t="n">
        <f aca="false">R814</f>
        <v>0</v>
      </c>
      <c r="AB814" s="21" t="n">
        <f aca="false">P814</f>
        <v>0.980557341286167</v>
      </c>
      <c r="AC814" s="3" t="str">
        <f aca="false">Y814</f>
        <v/>
      </c>
      <c r="AD814" s="3" t="n">
        <f aca="false">R814</f>
        <v>0</v>
      </c>
    </row>
    <row r="815" customFormat="false" ht="15" hidden="false" customHeight="true" outlineLevel="0" collapsed="false">
      <c r="A815" s="7" t="s">
        <v>59</v>
      </c>
      <c r="B815" s="7" t="n">
        <v>1951</v>
      </c>
      <c r="C815" s="7" t="s">
        <v>145</v>
      </c>
      <c r="D815" s="7" t="n">
        <v>81</v>
      </c>
      <c r="E815" s="7" t="n">
        <v>73</v>
      </c>
      <c r="F815" s="3" t="n">
        <f aca="false">COUNTIFS($B$2:$B$2705,B815,$C$2:$C$2705,C815)</f>
        <v>2</v>
      </c>
      <c r="G815" s="3" t="n">
        <f aca="false">MIN(INT((MIN(B815,2020)-1900)/10)+1,12)</f>
        <v>6</v>
      </c>
      <c r="H815" s="3" t="n">
        <f aca="false">(MIN(B815,2020)-1900-10*(G815-1))/10</f>
        <v>0.1</v>
      </c>
      <c r="I815" s="20" t="n">
        <f aca="false">EXP(LN(INDEX(Pop_Inputs!$B$2:$N$29,MATCH(C815,Pop_Inputs!$A$2:$A$29,0),G815))*(1-H815)+LN(INDEX(Pop_Inputs!$B$2:$N$29,MATCH(C815,Pop_Inputs!$A$2:$A$29,0),G815+1))*H815)</f>
        <v>845468.281198032</v>
      </c>
      <c r="J815" s="20" t="n">
        <f aca="false">I815/F815</f>
        <v>422734.140599016</v>
      </c>
      <c r="K815" s="21" t="n">
        <f aca="false">D815/(D815+E815)</f>
        <v>0.525974025974026</v>
      </c>
      <c r="L815" s="21" t="n">
        <f aca="false">AVERAGEIFS($K$2:$K$2705,$B$2:$B$2705,B815)</f>
        <v>0.499705310612954</v>
      </c>
      <c r="M815" s="21" t="n">
        <f aca="false">K815-L815</f>
        <v>0.0262687153610721</v>
      </c>
      <c r="N815" s="21" t="n">
        <f aca="false">LN(J815)</f>
        <v>12.9544987512115</v>
      </c>
      <c r="O815" s="21" t="n">
        <f aca="false">AVERAGEIFS($N$2:$N$2705,$B$2:$B$2705,B815)</f>
        <v>13.8007817854944</v>
      </c>
      <c r="P815" s="21" t="n">
        <f aca="false">N815-O815</f>
        <v>-0.846283034282862</v>
      </c>
      <c r="Q815" s="7" t="n">
        <v>0</v>
      </c>
      <c r="R815" s="3" t="n">
        <f aca="false">IF(AND(Q815=1,B815-_xlfn.MINIFS($B$2:$B$2705,$A$2:$A$2705,A815)&lt;10),1,0)</f>
        <v>0</v>
      </c>
      <c r="S815" s="7" t="n">
        <v>0</v>
      </c>
      <c r="T815" s="3" t="n">
        <f aca="false">_xlfn.MINIFS($B$2:$B$2705,$A$2:$A$2705,A815)</f>
        <v>1901</v>
      </c>
      <c r="U815" s="3" t="n">
        <f aca="false">B815-T815</f>
        <v>50</v>
      </c>
      <c r="V815" s="3" t="str">
        <f aca="false">INDEX(Pop_Inputs!$Q$2:$Q$29,MATCH(C815,Pop_Inputs!$A$2:$A$29,0))</f>
        <v>Midwest</v>
      </c>
      <c r="W815" s="30"/>
      <c r="X815" s="3" t="str">
        <f aca="false">IF(W815="","",LN(W815))</f>
        <v/>
      </c>
      <c r="Y815" s="3" t="str">
        <f aca="false">IF(X815="","",X815-AVERAGEIFS($X$2:$X$2705,$B$2:$B$2705,B815))</f>
        <v/>
      </c>
      <c r="Z815" s="21" t="n">
        <f aca="false">P815</f>
        <v>-0.846283034282862</v>
      </c>
      <c r="AA815" s="3" t="n">
        <f aca="false">R815</f>
        <v>0</v>
      </c>
      <c r="AB815" s="21" t="n">
        <f aca="false">P815</f>
        <v>-0.846283034282862</v>
      </c>
      <c r="AC815" s="3" t="str">
        <f aca="false">Y815</f>
        <v/>
      </c>
      <c r="AD815" s="3" t="n">
        <f aca="false">R815</f>
        <v>0</v>
      </c>
    </row>
    <row r="816" customFormat="false" ht="15" hidden="false" customHeight="true" outlineLevel="0" collapsed="false">
      <c r="A816" s="7" t="s">
        <v>54</v>
      </c>
      <c r="B816" s="7" t="n">
        <v>1952</v>
      </c>
      <c r="C816" s="7" t="s">
        <v>150</v>
      </c>
      <c r="D816" s="7" t="n">
        <v>64</v>
      </c>
      <c r="E816" s="7" t="n">
        <v>89</v>
      </c>
      <c r="F816" s="3" t="n">
        <f aca="false">COUNTIFS($B$2:$B$2705,B816,$C$2:$C$2705,C816)</f>
        <v>2</v>
      </c>
      <c r="G816" s="3" t="n">
        <f aca="false">MIN(INT((MIN(B816,2020)-1900)/10)+1,12)</f>
        <v>6</v>
      </c>
      <c r="H816" s="3" t="n">
        <f aca="false">(MIN(B816,2020)-1900-10*(G816-1))/10</f>
        <v>0.2</v>
      </c>
      <c r="I816" s="20" t="n">
        <f aca="false">EXP(LN(INDEX(Pop_Inputs!$B$2:$N$29,MATCH(C816,Pop_Inputs!$A$2:$A$29,0),G816))*(1-H816)+LN(INDEX(Pop_Inputs!$B$2:$N$29,MATCH(C816,Pop_Inputs!$A$2:$A$29,0),G816+1))*H816)</f>
        <v>779416.593390585</v>
      </c>
      <c r="J816" s="20" t="n">
        <f aca="false">I816/F816</f>
        <v>389708.296695293</v>
      </c>
      <c r="K816" s="21" t="n">
        <f aca="false">D816/(D816+E816)</f>
        <v>0.418300653594771</v>
      </c>
      <c r="L816" s="21" t="n">
        <f aca="false">AVERAGEIFS($K$2:$K$2705,$B$2:$B$2705,B816)</f>
        <v>0.500018568033274</v>
      </c>
      <c r="M816" s="21" t="n">
        <f aca="false">K816-L816</f>
        <v>-0.0817179144385027</v>
      </c>
      <c r="N816" s="21" t="n">
        <f aca="false">LN(J816)</f>
        <v>12.8731537810547</v>
      </c>
      <c r="O816" s="21" t="n">
        <f aca="false">AVERAGEIFS($N$2:$N$2705,$B$2:$B$2705,B816)</f>
        <v>13.7945038632048</v>
      </c>
      <c r="P816" s="21" t="n">
        <f aca="false">N816-O816</f>
        <v>-0.921350082150022</v>
      </c>
      <c r="Q816" s="7" t="n">
        <v>0</v>
      </c>
      <c r="R816" s="3" t="n">
        <f aca="false">IF(AND(Q816=1,B816-_xlfn.MINIFS($B$2:$B$2705,$A$2:$A$2705,A816)&lt;10),1,0)</f>
        <v>0</v>
      </c>
      <c r="S816" s="7" t="n">
        <v>0</v>
      </c>
      <c r="T816" s="3" t="n">
        <f aca="false">_xlfn.MINIFS($B$2:$B$2705,$A$2:$A$2705,A816)</f>
        <v>1901</v>
      </c>
      <c r="U816" s="3" t="n">
        <f aca="false">B816-T816</f>
        <v>51</v>
      </c>
      <c r="V816" s="3" t="str">
        <f aca="false">INDEX(Pop_Inputs!$Q$2:$Q$29,MATCH(C816,Pop_Inputs!$A$2:$A$29,0))</f>
        <v>Northeast</v>
      </c>
      <c r="W816" s="30"/>
      <c r="X816" s="3" t="str">
        <f aca="false">IF(W816="","",LN(W816))</f>
        <v/>
      </c>
      <c r="Y816" s="3" t="str">
        <f aca="false">IF(X816="","",X816-AVERAGEIFS($X$2:$X$2705,$B$2:$B$2705,B816))</f>
        <v/>
      </c>
      <c r="Z816" s="21" t="n">
        <f aca="false">P816</f>
        <v>-0.921350082150022</v>
      </c>
      <c r="AA816" s="3" t="n">
        <f aca="false">R816</f>
        <v>0</v>
      </c>
      <c r="AB816" s="21" t="n">
        <f aca="false">P816</f>
        <v>-0.921350082150022</v>
      </c>
      <c r="AC816" s="3" t="str">
        <f aca="false">Y816</f>
        <v/>
      </c>
      <c r="AD816" s="3" t="n">
        <f aca="false">R816</f>
        <v>0</v>
      </c>
    </row>
    <row r="817" customFormat="false" ht="15" hidden="false" customHeight="true" outlineLevel="0" collapsed="false">
      <c r="A817" s="7" t="s">
        <v>63</v>
      </c>
      <c r="B817" s="7" t="n">
        <v>1952</v>
      </c>
      <c r="C817" s="7" t="s">
        <v>145</v>
      </c>
      <c r="D817" s="7" t="n">
        <v>64</v>
      </c>
      <c r="E817" s="7" t="n">
        <v>90</v>
      </c>
      <c r="F817" s="3" t="n">
        <f aca="false">COUNTIFS($B$2:$B$2705,B817,$C$2:$C$2705,C817)</f>
        <v>2</v>
      </c>
      <c r="G817" s="3" t="n">
        <f aca="false">MIN(INT((MIN(B817,2020)-1900)/10)+1,12)</f>
        <v>6</v>
      </c>
      <c r="H817" s="3" t="n">
        <f aca="false">(MIN(B817,2020)-1900-10*(G817-1))/10</f>
        <v>0.2</v>
      </c>
      <c r="I817" s="20" t="n">
        <f aca="false">EXP(LN(INDEX(Pop_Inputs!$B$2:$N$29,MATCH(C817,Pop_Inputs!$A$2:$A$29,0),G817))*(1-H817)+LN(INDEX(Pop_Inputs!$B$2:$N$29,MATCH(C817,Pop_Inputs!$A$2:$A$29,0),G817+1))*H817)</f>
        <v>834290.326416038</v>
      </c>
      <c r="J817" s="20" t="n">
        <f aca="false">I817/F817</f>
        <v>417145.163208019</v>
      </c>
      <c r="K817" s="21" t="n">
        <f aca="false">D817/(D817+E817)</f>
        <v>0.415584415584416</v>
      </c>
      <c r="L817" s="21" t="n">
        <f aca="false">AVERAGEIFS($K$2:$K$2705,$B$2:$B$2705,B817)</f>
        <v>0.500018568033274</v>
      </c>
      <c r="M817" s="21" t="n">
        <f aca="false">K817-L817</f>
        <v>-0.0844341524488583</v>
      </c>
      <c r="N817" s="21" t="n">
        <f aca="false">LN(J817)</f>
        <v>12.9411895534123</v>
      </c>
      <c r="O817" s="21" t="n">
        <f aca="false">AVERAGEIFS($N$2:$N$2705,$B$2:$B$2705,B817)</f>
        <v>13.7945038632048</v>
      </c>
      <c r="P817" s="21" t="n">
        <f aca="false">N817-O817</f>
        <v>-0.853314309792484</v>
      </c>
      <c r="Q817" s="7" t="n">
        <v>0</v>
      </c>
      <c r="R817" s="3" t="n">
        <f aca="false">IF(AND(Q817=1,B817-_xlfn.MINIFS($B$2:$B$2705,$A$2:$A$2705,A817)&lt;10),1,0)</f>
        <v>0</v>
      </c>
      <c r="S817" s="7" t="n">
        <v>0</v>
      </c>
      <c r="T817" s="3" t="n">
        <f aca="false">_xlfn.MINIFS($B$2:$B$2705,$A$2:$A$2705,A817)</f>
        <v>1901</v>
      </c>
      <c r="U817" s="3" t="n">
        <f aca="false">B817-T817</f>
        <v>51</v>
      </c>
      <c r="V817" s="3" t="str">
        <f aca="false">INDEX(Pop_Inputs!$Q$2:$Q$29,MATCH(C817,Pop_Inputs!$A$2:$A$29,0))</f>
        <v>Midwest</v>
      </c>
      <c r="W817" s="30"/>
      <c r="X817" s="3" t="str">
        <f aca="false">IF(W817="","",LN(W817))</f>
        <v/>
      </c>
      <c r="Y817" s="3" t="str">
        <f aca="false">IF(X817="","",X817-AVERAGEIFS($X$2:$X$2705,$B$2:$B$2705,B817))</f>
        <v/>
      </c>
      <c r="Z817" s="21" t="n">
        <f aca="false">P817</f>
        <v>-0.853314309792484</v>
      </c>
      <c r="AA817" s="3" t="n">
        <f aca="false">R817</f>
        <v>0</v>
      </c>
      <c r="AB817" s="21" t="n">
        <f aca="false">P817</f>
        <v>-0.853314309792484</v>
      </c>
      <c r="AC817" s="3" t="str">
        <f aca="false">Y817</f>
        <v/>
      </c>
      <c r="AD817" s="3" t="n">
        <f aca="false">R817</f>
        <v>0</v>
      </c>
    </row>
    <row r="818" customFormat="false" ht="15" hidden="false" customHeight="true" outlineLevel="0" collapsed="false">
      <c r="A818" s="7" t="s">
        <v>64</v>
      </c>
      <c r="B818" s="7" t="n">
        <v>1952</v>
      </c>
      <c r="C818" s="7" t="s">
        <v>150</v>
      </c>
      <c r="D818" s="7" t="n">
        <v>76</v>
      </c>
      <c r="E818" s="7" t="n">
        <v>78</v>
      </c>
      <c r="F818" s="3" t="n">
        <f aca="false">COUNTIFS($B$2:$B$2705,B818,$C$2:$C$2705,C818)</f>
        <v>2</v>
      </c>
      <c r="G818" s="3" t="n">
        <f aca="false">MIN(INT((MIN(B818,2020)-1900)/10)+1,12)</f>
        <v>6</v>
      </c>
      <c r="H818" s="3" t="n">
        <f aca="false">(MIN(B818,2020)-1900-10*(G818-1))/10</f>
        <v>0.2</v>
      </c>
      <c r="I818" s="20" t="n">
        <f aca="false">EXP(LN(INDEX(Pop_Inputs!$B$2:$N$29,MATCH(C818,Pop_Inputs!$A$2:$A$29,0),G818))*(1-H818)+LN(INDEX(Pop_Inputs!$B$2:$N$29,MATCH(C818,Pop_Inputs!$A$2:$A$29,0),G818+1))*H818)</f>
        <v>779416.593390585</v>
      </c>
      <c r="J818" s="20" t="n">
        <f aca="false">I818/F818</f>
        <v>389708.296695293</v>
      </c>
      <c r="K818" s="21" t="n">
        <f aca="false">D818/(D818+E818)</f>
        <v>0.493506493506494</v>
      </c>
      <c r="L818" s="21" t="n">
        <f aca="false">AVERAGEIFS($K$2:$K$2705,$B$2:$B$2705,B818)</f>
        <v>0.500018568033274</v>
      </c>
      <c r="M818" s="21" t="n">
        <f aca="false">K818-L818</f>
        <v>-0.00651207452678043</v>
      </c>
      <c r="N818" s="21" t="n">
        <f aca="false">LN(J818)</f>
        <v>12.8731537810547</v>
      </c>
      <c r="O818" s="21" t="n">
        <f aca="false">AVERAGEIFS($N$2:$N$2705,$B$2:$B$2705,B818)</f>
        <v>13.7945038632048</v>
      </c>
      <c r="P818" s="21" t="n">
        <f aca="false">N818-O818</f>
        <v>-0.921350082150022</v>
      </c>
      <c r="Q818" s="7" t="n">
        <v>0</v>
      </c>
      <c r="R818" s="3" t="n">
        <f aca="false">IF(AND(Q818=1,B818-_xlfn.MINIFS($B$2:$B$2705,$A$2:$A$2705,A818)&lt;10),1,0)</f>
        <v>0</v>
      </c>
      <c r="S818" s="7" t="n">
        <v>0</v>
      </c>
      <c r="T818" s="3" t="n">
        <f aca="false">_xlfn.MINIFS($B$2:$B$2705,$A$2:$A$2705,A818)</f>
        <v>1901</v>
      </c>
      <c r="U818" s="3" t="n">
        <f aca="false">B818-T818</f>
        <v>51</v>
      </c>
      <c r="V818" s="3" t="str">
        <f aca="false">INDEX(Pop_Inputs!$Q$2:$Q$29,MATCH(C818,Pop_Inputs!$A$2:$A$29,0))</f>
        <v>Northeast</v>
      </c>
      <c r="W818" s="30"/>
      <c r="X818" s="3" t="str">
        <f aca="false">IF(W818="","",LN(W818))</f>
        <v/>
      </c>
      <c r="Y818" s="3" t="str">
        <f aca="false">IF(X818="","",X818-AVERAGEIFS($X$2:$X$2705,$B$2:$B$2705,B818))</f>
        <v/>
      </c>
      <c r="Z818" s="21" t="n">
        <f aca="false">P818</f>
        <v>-0.921350082150022</v>
      </c>
      <c r="AA818" s="3" t="n">
        <f aca="false">R818</f>
        <v>0</v>
      </c>
      <c r="AB818" s="21" t="n">
        <f aca="false">P818</f>
        <v>-0.921350082150022</v>
      </c>
      <c r="AC818" s="3" t="str">
        <f aca="false">Y818</f>
        <v/>
      </c>
      <c r="AD818" s="3" t="n">
        <f aca="false">R818</f>
        <v>0</v>
      </c>
    </row>
    <row r="819" customFormat="false" ht="15" hidden="false" customHeight="true" outlineLevel="0" collapsed="false">
      <c r="A819" s="7" t="s">
        <v>56</v>
      </c>
      <c r="B819" s="7" t="n">
        <v>1952</v>
      </c>
      <c r="C819" s="7" t="s">
        <v>142</v>
      </c>
      <c r="D819" s="7" t="n">
        <v>77</v>
      </c>
      <c r="E819" s="7" t="n">
        <v>77</v>
      </c>
      <c r="F819" s="3" t="n">
        <f aca="false">COUNTIFS($B$2:$B$2705,B819,$C$2:$C$2705,C819)</f>
        <v>2</v>
      </c>
      <c r="G819" s="3" t="n">
        <f aca="false">MIN(INT((MIN(B819,2020)-1900)/10)+1,12)</f>
        <v>6</v>
      </c>
      <c r="H819" s="3" t="n">
        <f aca="false">(MIN(B819,2020)-1900-10*(G819-1))/10</f>
        <v>0.2</v>
      </c>
      <c r="I819" s="20" t="n">
        <f aca="false">EXP(LN(INDEX(Pop_Inputs!$B$2:$N$29,MATCH(C819,Pop_Inputs!$A$2:$A$29,0),G819))*(1-H819)+LN(INDEX(Pop_Inputs!$B$2:$N$29,MATCH(C819,Pop_Inputs!$A$2:$A$29,0),G819+1))*H819)</f>
        <v>3606739.10486861</v>
      </c>
      <c r="J819" s="20" t="n">
        <f aca="false">I819/F819</f>
        <v>1803369.5524343</v>
      </c>
      <c r="K819" s="21" t="n">
        <f aca="false">D819/(D819+E819)</f>
        <v>0.5</v>
      </c>
      <c r="L819" s="21" t="n">
        <f aca="false">AVERAGEIFS($K$2:$K$2705,$B$2:$B$2705,B819)</f>
        <v>0.500018568033274</v>
      </c>
      <c r="M819" s="21" t="n">
        <f aca="false">K819-L819</f>
        <v>-1.85680332739357E-005</v>
      </c>
      <c r="N819" s="21" t="n">
        <f aca="false">LN(J819)</f>
        <v>14.4051674464821</v>
      </c>
      <c r="O819" s="21" t="n">
        <f aca="false">AVERAGEIFS($N$2:$N$2705,$B$2:$B$2705,B819)</f>
        <v>13.7945038632048</v>
      </c>
      <c r="P819" s="21" t="n">
        <f aca="false">N819-O819</f>
        <v>0.610663583277296</v>
      </c>
      <c r="Q819" s="7" t="n">
        <v>0</v>
      </c>
      <c r="R819" s="3" t="n">
        <f aca="false">IF(AND(Q819=1,B819-_xlfn.MINIFS($B$2:$B$2705,$A$2:$A$2705,A819)&lt;10),1,0)</f>
        <v>0</v>
      </c>
      <c r="S819" s="7" t="n">
        <v>0</v>
      </c>
      <c r="T819" s="3" t="n">
        <f aca="false">_xlfn.MINIFS($B$2:$B$2705,$A$2:$A$2705,A819)</f>
        <v>1901</v>
      </c>
      <c r="U819" s="3" t="n">
        <f aca="false">B819-T819</f>
        <v>51</v>
      </c>
      <c r="V819" s="3" t="str">
        <f aca="false">INDEX(Pop_Inputs!$Q$2:$Q$29,MATCH(C819,Pop_Inputs!$A$2:$A$29,0))</f>
        <v>Midwest</v>
      </c>
      <c r="W819" s="30"/>
      <c r="X819" s="3" t="str">
        <f aca="false">IF(W819="","",LN(W819))</f>
        <v/>
      </c>
      <c r="Y819" s="3" t="str">
        <f aca="false">IF(X819="","",X819-AVERAGEIFS($X$2:$X$2705,$B$2:$B$2705,B819))</f>
        <v/>
      </c>
      <c r="Z819" s="21" t="n">
        <f aca="false">P819</f>
        <v>0.610663583277296</v>
      </c>
      <c r="AA819" s="3" t="n">
        <f aca="false">R819</f>
        <v>0</v>
      </c>
      <c r="AB819" s="21" t="n">
        <f aca="false">P819</f>
        <v>0.610663583277296</v>
      </c>
      <c r="AC819" s="3" t="str">
        <f aca="false">Y819</f>
        <v/>
      </c>
      <c r="AD819" s="3" t="n">
        <f aca="false">R819</f>
        <v>0</v>
      </c>
    </row>
    <row r="820" customFormat="false" ht="15" hidden="false" customHeight="true" outlineLevel="0" collapsed="false">
      <c r="A820" s="7" t="s">
        <v>65</v>
      </c>
      <c r="B820" s="7" t="n">
        <v>1952</v>
      </c>
      <c r="C820" s="7" t="s">
        <v>142</v>
      </c>
      <c r="D820" s="7" t="n">
        <v>81</v>
      </c>
      <c r="E820" s="7" t="n">
        <v>73</v>
      </c>
      <c r="F820" s="3" t="n">
        <f aca="false">COUNTIFS($B$2:$B$2705,B820,$C$2:$C$2705,C820)</f>
        <v>2</v>
      </c>
      <c r="G820" s="3" t="n">
        <f aca="false">MIN(INT((MIN(B820,2020)-1900)/10)+1,12)</f>
        <v>6</v>
      </c>
      <c r="H820" s="3" t="n">
        <f aca="false">(MIN(B820,2020)-1900-10*(G820-1))/10</f>
        <v>0.2</v>
      </c>
      <c r="I820" s="20" t="n">
        <f aca="false">EXP(LN(INDEX(Pop_Inputs!$B$2:$N$29,MATCH(C820,Pop_Inputs!$A$2:$A$29,0),G820))*(1-H820)+LN(INDEX(Pop_Inputs!$B$2:$N$29,MATCH(C820,Pop_Inputs!$A$2:$A$29,0),G820+1))*H820)</f>
        <v>3606739.10486861</v>
      </c>
      <c r="J820" s="20" t="n">
        <f aca="false">I820/F820</f>
        <v>1803369.5524343</v>
      </c>
      <c r="K820" s="21" t="n">
        <f aca="false">D820/(D820+E820)</f>
        <v>0.525974025974026</v>
      </c>
      <c r="L820" s="21" t="n">
        <f aca="false">AVERAGEIFS($K$2:$K$2705,$B$2:$B$2705,B820)</f>
        <v>0.500018568033274</v>
      </c>
      <c r="M820" s="21" t="n">
        <f aca="false">K820-L820</f>
        <v>0.025955457940752</v>
      </c>
      <c r="N820" s="21" t="n">
        <f aca="false">LN(J820)</f>
        <v>14.4051674464821</v>
      </c>
      <c r="O820" s="21" t="n">
        <f aca="false">AVERAGEIFS($N$2:$N$2705,$B$2:$B$2705,B820)</f>
        <v>13.7945038632048</v>
      </c>
      <c r="P820" s="21" t="n">
        <f aca="false">N820-O820</f>
        <v>0.610663583277296</v>
      </c>
      <c r="Q820" s="7" t="n">
        <v>0</v>
      </c>
      <c r="R820" s="3" t="n">
        <f aca="false">IF(AND(Q820=1,B820-_xlfn.MINIFS($B$2:$B$2705,$A$2:$A$2705,A820)&lt;10),1,0)</f>
        <v>0</v>
      </c>
      <c r="S820" s="7" t="n">
        <v>0</v>
      </c>
      <c r="T820" s="3" t="n">
        <f aca="false">_xlfn.MINIFS($B$2:$B$2705,$A$2:$A$2705,A820)</f>
        <v>1901</v>
      </c>
      <c r="U820" s="3" t="n">
        <f aca="false">B820-T820</f>
        <v>51</v>
      </c>
      <c r="V820" s="3" t="str">
        <f aca="false">INDEX(Pop_Inputs!$Q$2:$Q$29,MATCH(C820,Pop_Inputs!$A$2:$A$29,0))</f>
        <v>Midwest</v>
      </c>
      <c r="W820" s="30"/>
      <c r="X820" s="3" t="str">
        <f aca="false">IF(W820="","",LN(W820))</f>
        <v/>
      </c>
      <c r="Y820" s="3" t="str">
        <f aca="false">IF(X820="","",X820-AVERAGEIFS($X$2:$X$2705,$B$2:$B$2705,B820))</f>
        <v/>
      </c>
      <c r="Z820" s="21" t="n">
        <f aca="false">P820</f>
        <v>0.610663583277296</v>
      </c>
      <c r="AA820" s="3" t="n">
        <f aca="false">R820</f>
        <v>0</v>
      </c>
      <c r="AB820" s="21" t="n">
        <f aca="false">P820</f>
        <v>0.610663583277296</v>
      </c>
      <c r="AC820" s="3" t="str">
        <f aca="false">Y820</f>
        <v/>
      </c>
      <c r="AD820" s="3" t="n">
        <f aca="false">R820</f>
        <v>0</v>
      </c>
    </row>
    <row r="821" customFormat="false" ht="15" hidden="false" customHeight="true" outlineLevel="0" collapsed="false">
      <c r="A821" s="7" t="s">
        <v>57</v>
      </c>
      <c r="B821" s="7" t="n">
        <v>1952</v>
      </c>
      <c r="C821" s="7" t="s">
        <v>143</v>
      </c>
      <c r="D821" s="7" t="n">
        <v>69</v>
      </c>
      <c r="E821" s="7" t="n">
        <v>85</v>
      </c>
      <c r="F821" s="3" t="n">
        <f aca="false">COUNTIFS($B$2:$B$2705,B821,$C$2:$C$2705,C821)</f>
        <v>1</v>
      </c>
      <c r="G821" s="3" t="n">
        <f aca="false">MIN(INT((MIN(B821,2020)-1900)/10)+1,12)</f>
        <v>6</v>
      </c>
      <c r="H821" s="3" t="n">
        <f aca="false">(MIN(B821,2020)-1900-10*(G821-1))/10</f>
        <v>0.2</v>
      </c>
      <c r="I821" s="20" t="n">
        <f aca="false">EXP(LN(INDEX(Pop_Inputs!$B$2:$N$29,MATCH(C821,Pop_Inputs!$A$2:$A$29,0),G821))*(1-H821)+LN(INDEX(Pop_Inputs!$B$2:$N$29,MATCH(C821,Pop_Inputs!$A$2:$A$29,0),G821+1))*H821)</f>
        <v>503708.066613659</v>
      </c>
      <c r="J821" s="20" t="n">
        <f aca="false">I821/F821</f>
        <v>503708.066613659</v>
      </c>
      <c r="K821" s="21" t="n">
        <f aca="false">D821/(D821+E821)</f>
        <v>0.448051948051948</v>
      </c>
      <c r="L821" s="21" t="n">
        <f aca="false">AVERAGEIFS($K$2:$K$2705,$B$2:$B$2705,B821)</f>
        <v>0.500018568033274</v>
      </c>
      <c r="M821" s="21" t="n">
        <f aca="false">K821-L821</f>
        <v>-0.0519666199813259</v>
      </c>
      <c r="N821" s="21" t="n">
        <f aca="false">LN(J821)</f>
        <v>13.1297521463239</v>
      </c>
      <c r="O821" s="21" t="n">
        <f aca="false">AVERAGEIFS($N$2:$N$2705,$B$2:$B$2705,B821)</f>
        <v>13.7945038632048</v>
      </c>
      <c r="P821" s="21" t="n">
        <f aca="false">N821-O821</f>
        <v>-0.664751716880847</v>
      </c>
      <c r="Q821" s="7" t="n">
        <v>0</v>
      </c>
      <c r="R821" s="3" t="n">
        <f aca="false">IF(AND(Q821=1,B821-_xlfn.MINIFS($B$2:$B$2705,$A$2:$A$2705,A821)&lt;10),1,0)</f>
        <v>0</v>
      </c>
      <c r="S821" s="7" t="n">
        <v>0</v>
      </c>
      <c r="T821" s="3" t="n">
        <f aca="false">_xlfn.MINIFS($B$2:$B$2705,$A$2:$A$2705,A821)</f>
        <v>1901</v>
      </c>
      <c r="U821" s="3" t="n">
        <f aca="false">B821-T821</f>
        <v>51</v>
      </c>
      <c r="V821" s="3" t="str">
        <f aca="false">INDEX(Pop_Inputs!$Q$2:$Q$29,MATCH(C821,Pop_Inputs!$A$2:$A$29,0))</f>
        <v>Midwest</v>
      </c>
      <c r="W821" s="30"/>
      <c r="X821" s="3" t="str">
        <f aca="false">IF(W821="","",LN(W821))</f>
        <v/>
      </c>
      <c r="Y821" s="3" t="str">
        <f aca="false">IF(X821="","",X821-AVERAGEIFS($X$2:$X$2705,$B$2:$B$2705,B821))</f>
        <v/>
      </c>
      <c r="Z821" s="21" t="n">
        <f aca="false">P821</f>
        <v>-0.664751716880847</v>
      </c>
      <c r="AA821" s="3" t="n">
        <f aca="false">R821</f>
        <v>0</v>
      </c>
      <c r="AB821" s="21" t="n">
        <f aca="false">P821</f>
        <v>-0.664751716880847</v>
      </c>
      <c r="AC821" s="3" t="str">
        <f aca="false">Y821</f>
        <v/>
      </c>
      <c r="AD821" s="3" t="n">
        <f aca="false">R821</f>
        <v>0</v>
      </c>
    </row>
    <row r="822" customFormat="false" ht="15" hidden="false" customHeight="true" outlineLevel="0" collapsed="false">
      <c r="A822" s="7" t="s">
        <v>66</v>
      </c>
      <c r="B822" s="7" t="n">
        <v>1952</v>
      </c>
      <c r="C822" s="7" t="s">
        <v>151</v>
      </c>
      <c r="D822" s="7" t="n">
        <v>93</v>
      </c>
      <c r="E822" s="7" t="n">
        <v>61</v>
      </c>
      <c r="F822" s="3" t="n">
        <f aca="false">COUNTIFS($B$2:$B$2705,B822,$C$2:$C$2705,C822)</f>
        <v>1</v>
      </c>
      <c r="G822" s="3" t="n">
        <f aca="false">MIN(INT((MIN(B822,2020)-1900)/10)+1,12)</f>
        <v>6</v>
      </c>
      <c r="H822" s="3" t="n">
        <f aca="false">(MIN(B822,2020)-1900-10*(G822-1))/10</f>
        <v>0.2</v>
      </c>
      <c r="I822" s="20" t="n">
        <f aca="false">EXP(LN(INDEX(Pop_Inputs!$B$2:$N$29,MATCH(C822,Pop_Inputs!$A$2:$A$29,0),G822))*(1-H822)+LN(INDEX(Pop_Inputs!$B$2:$N$29,MATCH(C822,Pop_Inputs!$A$2:$A$29,0),G822+1))*H822)</f>
        <v>906921.592354486</v>
      </c>
      <c r="J822" s="20" t="n">
        <f aca="false">I822/F822</f>
        <v>906921.592354486</v>
      </c>
      <c r="K822" s="21" t="n">
        <f aca="false">D822/(D822+E822)</f>
        <v>0.603896103896104</v>
      </c>
      <c r="L822" s="21" t="n">
        <f aca="false">AVERAGEIFS($K$2:$K$2705,$B$2:$B$2705,B822)</f>
        <v>0.500018568033274</v>
      </c>
      <c r="M822" s="21" t="n">
        <f aca="false">K822-L822</f>
        <v>0.10387753586283</v>
      </c>
      <c r="N822" s="21" t="n">
        <f aca="false">LN(J822)</f>
        <v>13.7178112781218</v>
      </c>
      <c r="O822" s="21" t="n">
        <f aca="false">AVERAGEIFS($N$2:$N$2705,$B$2:$B$2705,B822)</f>
        <v>13.7945038632048</v>
      </c>
      <c r="P822" s="21" t="n">
        <f aca="false">N822-O822</f>
        <v>-0.0766925850829754</v>
      </c>
      <c r="Q822" s="7" t="n">
        <v>0</v>
      </c>
      <c r="R822" s="3" t="n">
        <f aca="false">IF(AND(Q822=1,B822-_xlfn.MINIFS($B$2:$B$2705,$A$2:$A$2705,A822)&lt;10),1,0)</f>
        <v>0</v>
      </c>
      <c r="S822" s="7" t="n">
        <v>0</v>
      </c>
      <c r="T822" s="3" t="n">
        <f aca="false">_xlfn.MINIFS($B$2:$B$2705,$A$2:$A$2705,A822)</f>
        <v>1901</v>
      </c>
      <c r="U822" s="3" t="n">
        <f aca="false">B822-T822</f>
        <v>51</v>
      </c>
      <c r="V822" s="3" t="str">
        <f aca="false">INDEX(Pop_Inputs!$Q$2:$Q$29,MATCH(C822,Pop_Inputs!$A$2:$A$29,0))</f>
        <v>Midwest</v>
      </c>
      <c r="W822" s="30"/>
      <c r="X822" s="3" t="str">
        <f aca="false">IF(W822="","",LN(W822))</f>
        <v/>
      </c>
      <c r="Y822" s="3" t="str">
        <f aca="false">IF(X822="","",X822-AVERAGEIFS($X$2:$X$2705,$B$2:$B$2705,B822))</f>
        <v/>
      </c>
      <c r="Z822" s="21" t="n">
        <f aca="false">P822</f>
        <v>-0.0766925850829754</v>
      </c>
      <c r="AA822" s="3" t="n">
        <f aca="false">R822</f>
        <v>0</v>
      </c>
      <c r="AB822" s="21" t="n">
        <f aca="false">P822</f>
        <v>-0.0766925850829754</v>
      </c>
      <c r="AC822" s="3" t="str">
        <f aca="false">Y822</f>
        <v/>
      </c>
      <c r="AD822" s="3" t="n">
        <f aca="false">R822</f>
        <v>0</v>
      </c>
    </row>
    <row r="823" customFormat="false" ht="15" hidden="false" customHeight="true" outlineLevel="0" collapsed="false">
      <c r="A823" s="7" t="s">
        <v>67</v>
      </c>
      <c r="B823" s="7" t="n">
        <v>1952</v>
      </c>
      <c r="C823" s="7" t="s">
        <v>152</v>
      </c>
      <c r="D823" s="7" t="n">
        <v>50</v>
      </c>
      <c r="E823" s="7" t="n">
        <v>104</v>
      </c>
      <c r="F823" s="3" t="n">
        <f aca="false">COUNTIFS($B$2:$B$2705,B823,$C$2:$C$2705,C823)</f>
        <v>1</v>
      </c>
      <c r="G823" s="3" t="n">
        <f aca="false">MIN(INT((MIN(B823,2020)-1900)/10)+1,12)</f>
        <v>6</v>
      </c>
      <c r="H823" s="3" t="n">
        <f aca="false">(MIN(B823,2020)-1900-10*(G823-1))/10</f>
        <v>0.2</v>
      </c>
      <c r="I823" s="20" t="n">
        <f aca="false">EXP(LN(INDEX(Pop_Inputs!$B$2:$N$29,MATCH(C823,Pop_Inputs!$A$2:$A$29,0),G823))*(1-H823)+LN(INDEX(Pop_Inputs!$B$2:$N$29,MATCH(C823,Pop_Inputs!$A$2:$A$29,0),G823+1))*H823)</f>
        <v>1812203.75468652</v>
      </c>
      <c r="J823" s="20" t="n">
        <f aca="false">I823/F823</f>
        <v>1812203.75468652</v>
      </c>
      <c r="K823" s="21" t="n">
        <f aca="false">D823/(D823+E823)</f>
        <v>0.324675324675325</v>
      </c>
      <c r="L823" s="21" t="n">
        <f aca="false">AVERAGEIFS($K$2:$K$2705,$B$2:$B$2705,B823)</f>
        <v>0.500018568033274</v>
      </c>
      <c r="M823" s="21" t="n">
        <f aca="false">K823-L823</f>
        <v>-0.175343243357949</v>
      </c>
      <c r="N823" s="21" t="n">
        <f aca="false">LN(J823)</f>
        <v>14.4100542066621</v>
      </c>
      <c r="O823" s="21" t="n">
        <f aca="false">AVERAGEIFS($N$2:$N$2705,$B$2:$B$2705,B823)</f>
        <v>13.7945038632048</v>
      </c>
      <c r="P823" s="21" t="n">
        <f aca="false">N823-O823</f>
        <v>0.615550343457313</v>
      </c>
      <c r="Q823" s="7" t="n">
        <v>0</v>
      </c>
      <c r="R823" s="3" t="n">
        <f aca="false">IF(AND(Q823=1,B823-_xlfn.MINIFS($B$2:$B$2705,$A$2:$A$2705,A823)&lt;10),1,0)</f>
        <v>0</v>
      </c>
      <c r="S823" s="7" t="n">
        <v>0</v>
      </c>
      <c r="T823" s="3" t="n">
        <f aca="false">_xlfn.MINIFS($B$2:$B$2705,$A$2:$A$2705,A823)</f>
        <v>1901</v>
      </c>
      <c r="U823" s="3" t="n">
        <f aca="false">B823-T823</f>
        <v>51</v>
      </c>
      <c r="V823" s="3" t="str">
        <f aca="false">INDEX(Pop_Inputs!$Q$2:$Q$29,MATCH(C823,Pop_Inputs!$A$2:$A$29,0))</f>
        <v>Midwest</v>
      </c>
      <c r="W823" s="30"/>
      <c r="X823" s="3" t="str">
        <f aca="false">IF(W823="","",LN(W823))</f>
        <v/>
      </c>
      <c r="Y823" s="3" t="str">
        <f aca="false">IF(X823="","",X823-AVERAGEIFS($X$2:$X$2705,$B$2:$B$2705,B823))</f>
        <v/>
      </c>
      <c r="Z823" s="21" t="n">
        <f aca="false">P823</f>
        <v>0.615550343457313</v>
      </c>
      <c r="AA823" s="3" t="n">
        <f aca="false">R823</f>
        <v>0</v>
      </c>
      <c r="AB823" s="21" t="n">
        <f aca="false">P823</f>
        <v>0.615550343457313</v>
      </c>
      <c r="AC823" s="3" t="str">
        <f aca="false">Y823</f>
        <v/>
      </c>
      <c r="AD823" s="3" t="n">
        <f aca="false">R823</f>
        <v>0</v>
      </c>
    </row>
    <row r="824" customFormat="false" ht="15" hidden="false" customHeight="true" outlineLevel="0" collapsed="false">
      <c r="A824" s="7" t="s">
        <v>62</v>
      </c>
      <c r="B824" s="7" t="n">
        <v>1952</v>
      </c>
      <c r="C824" s="7" t="s">
        <v>154</v>
      </c>
      <c r="D824" s="7" t="n">
        <v>96</v>
      </c>
      <c r="E824" s="7" t="n">
        <v>57</v>
      </c>
      <c r="F824" s="3" t="n">
        <f aca="false">COUNTIFS($B$2:$B$2705,B824,$C$2:$C$2705,C824)</f>
        <v>3</v>
      </c>
      <c r="G824" s="3" t="n">
        <f aca="false">MIN(INT((MIN(B824,2020)-1900)/10)+1,12)</f>
        <v>6</v>
      </c>
      <c r="H824" s="3" t="n">
        <f aca="false">(MIN(B824,2020)-1900-10*(G824-1))/10</f>
        <v>0.2</v>
      </c>
      <c r="I824" s="20" t="n">
        <f aca="false">EXP(LN(INDEX(Pop_Inputs!$B$2:$N$29,MATCH(C824,Pop_Inputs!$A$2:$A$29,0),G824))*(1-H824)+LN(INDEX(Pop_Inputs!$B$2:$N$29,MATCH(C824,Pop_Inputs!$A$2:$A$29,0),G824+1))*H824)</f>
        <v>7869838.76856348</v>
      </c>
      <c r="J824" s="20" t="n">
        <f aca="false">I824/F824</f>
        <v>2623279.58952116</v>
      </c>
      <c r="K824" s="21" t="n">
        <f aca="false">D824/(D824+E824)</f>
        <v>0.627450980392157</v>
      </c>
      <c r="L824" s="21" t="n">
        <f aca="false">AVERAGEIFS($K$2:$K$2705,$B$2:$B$2705,B824)</f>
        <v>0.500018568033274</v>
      </c>
      <c r="M824" s="21" t="n">
        <f aca="false">K824-L824</f>
        <v>0.127432412358883</v>
      </c>
      <c r="N824" s="21" t="n">
        <f aca="false">LN(J824)</f>
        <v>14.7799358446749</v>
      </c>
      <c r="O824" s="21" t="n">
        <f aca="false">AVERAGEIFS($N$2:$N$2705,$B$2:$B$2705,B824)</f>
        <v>13.7945038632048</v>
      </c>
      <c r="P824" s="21" t="n">
        <f aca="false">N824-O824</f>
        <v>0.985431981470136</v>
      </c>
      <c r="Q824" s="7" t="n">
        <v>0</v>
      </c>
      <c r="R824" s="3" t="n">
        <f aca="false">IF(AND(Q824=1,B824-_xlfn.MINIFS($B$2:$B$2705,$A$2:$A$2705,A824)&lt;10),1,0)</f>
        <v>0</v>
      </c>
      <c r="S824" s="7" t="n">
        <v>0</v>
      </c>
      <c r="T824" s="3" t="n">
        <f aca="false">_xlfn.MINIFS($B$2:$B$2705,$A$2:$A$2705,A824)</f>
        <v>1901</v>
      </c>
      <c r="U824" s="3" t="n">
        <f aca="false">B824-T824</f>
        <v>51</v>
      </c>
      <c r="V824" s="3" t="str">
        <f aca="false">INDEX(Pop_Inputs!$Q$2:$Q$29,MATCH(C824,Pop_Inputs!$A$2:$A$29,0))</f>
        <v>Northeast</v>
      </c>
      <c r="W824" s="30"/>
      <c r="X824" s="3" t="str">
        <f aca="false">IF(W824="","",LN(W824))</f>
        <v/>
      </c>
      <c r="Y824" s="3" t="str">
        <f aca="false">IF(X824="","",X824-AVERAGEIFS($X$2:$X$2705,$B$2:$B$2705,B824))</f>
        <v/>
      </c>
      <c r="Z824" s="21" t="n">
        <f aca="false">P824</f>
        <v>0.985431981470136</v>
      </c>
      <c r="AA824" s="3" t="n">
        <f aca="false">R824</f>
        <v>0</v>
      </c>
      <c r="AB824" s="21" t="n">
        <f aca="false">P824</f>
        <v>0.985431981470136</v>
      </c>
      <c r="AC824" s="3" t="str">
        <f aca="false">Y824</f>
        <v/>
      </c>
      <c r="AD824" s="3" t="n">
        <f aca="false">R824</f>
        <v>0</v>
      </c>
    </row>
    <row r="825" customFormat="false" ht="15" hidden="false" customHeight="true" outlineLevel="0" collapsed="false">
      <c r="A825" s="7" t="s">
        <v>68</v>
      </c>
      <c r="B825" s="7" t="n">
        <v>1952</v>
      </c>
      <c r="C825" s="7" t="s">
        <v>160</v>
      </c>
      <c r="D825" s="7" t="n">
        <v>78</v>
      </c>
      <c r="E825" s="7" t="n">
        <v>76</v>
      </c>
      <c r="F825" s="3" t="n">
        <f aca="false">COUNTIFS($B$2:$B$2705,B825,$C$2:$C$2705,C825)</f>
        <v>1</v>
      </c>
      <c r="G825" s="3" t="n">
        <f aca="false">MIN(INT((MIN(B825,2020)-1900)/10)+1,12)</f>
        <v>6</v>
      </c>
      <c r="H825" s="3" t="n">
        <f aca="false">(MIN(B825,2020)-1900-10*(G825-1))/10</f>
        <v>0.2</v>
      </c>
      <c r="I825" s="20" t="n">
        <f aca="false">EXP(LN(INDEX(Pop_Inputs!$B$2:$N$29,MATCH(C825,Pop_Inputs!$A$2:$A$29,0),G825))*(1-H825)+LN(INDEX(Pop_Inputs!$B$2:$N$29,MATCH(C825,Pop_Inputs!$A$2:$A$29,0),G825+1))*H825)</f>
        <v>794383.59513259</v>
      </c>
      <c r="J825" s="20" t="n">
        <f aca="false">I825/F825</f>
        <v>794383.59513259</v>
      </c>
      <c r="K825" s="21" t="n">
        <f aca="false">D825/(D825+E825)</f>
        <v>0.506493506493506</v>
      </c>
      <c r="L825" s="21" t="n">
        <f aca="false">AVERAGEIFS($K$2:$K$2705,$B$2:$B$2705,B825)</f>
        <v>0.500018568033274</v>
      </c>
      <c r="M825" s="21" t="n">
        <f aca="false">K825-L825</f>
        <v>0.0064749384602325</v>
      </c>
      <c r="N825" s="21" t="n">
        <f aca="false">LN(J825)</f>
        <v>13.5853217408611</v>
      </c>
      <c r="O825" s="21" t="n">
        <f aca="false">AVERAGEIFS($N$2:$N$2705,$B$2:$B$2705,B825)</f>
        <v>13.7945038632048</v>
      </c>
      <c r="P825" s="21" t="n">
        <f aca="false">N825-O825</f>
        <v>-0.209182122343618</v>
      </c>
      <c r="Q825" s="7" t="n">
        <v>0</v>
      </c>
      <c r="R825" s="3" t="n">
        <f aca="false">IF(AND(Q825=1,B825-_xlfn.MINIFS($B$2:$B$2705,$A$2:$A$2705,A825)&lt;10),1,0)</f>
        <v>0</v>
      </c>
      <c r="S825" s="7" t="n">
        <v>0</v>
      </c>
      <c r="T825" s="3" t="n">
        <f aca="false">_xlfn.MINIFS($B$2:$B$2705,$A$2:$A$2705,A825)</f>
        <v>1901</v>
      </c>
      <c r="U825" s="3" t="n">
        <f aca="false">B825-T825</f>
        <v>51</v>
      </c>
      <c r="V825" s="3" t="str">
        <f aca="false">INDEX(Pop_Inputs!$Q$2:$Q$29,MATCH(C825,Pop_Inputs!$A$2:$A$29,0))</f>
        <v>South</v>
      </c>
      <c r="W825" s="30"/>
      <c r="X825" s="3" t="str">
        <f aca="false">IF(W825="","",LN(W825))</f>
        <v/>
      </c>
      <c r="Y825" s="3" t="str">
        <f aca="false">IF(X825="","",X825-AVERAGEIFS($X$2:$X$2705,$B$2:$B$2705,B825))</f>
        <v/>
      </c>
      <c r="Z825" s="21" t="n">
        <f aca="false">P825</f>
        <v>-0.209182122343618</v>
      </c>
      <c r="AA825" s="3" t="n">
        <f aca="false">R825</f>
        <v>0</v>
      </c>
      <c r="AB825" s="21" t="n">
        <f aca="false">P825</f>
        <v>-0.209182122343618</v>
      </c>
      <c r="AC825" s="3" t="str">
        <f aca="false">Y825</f>
        <v/>
      </c>
      <c r="AD825" s="3" t="n">
        <f aca="false">R825</f>
        <v>0</v>
      </c>
    </row>
    <row r="826" customFormat="false" ht="15" hidden="false" customHeight="true" outlineLevel="0" collapsed="false">
      <c r="A826" s="7" t="s">
        <v>70</v>
      </c>
      <c r="B826" s="7" t="n">
        <v>1952</v>
      </c>
      <c r="C826" s="7" t="s">
        <v>154</v>
      </c>
      <c r="D826" s="7" t="n">
        <v>95</v>
      </c>
      <c r="E826" s="7" t="n">
        <v>59</v>
      </c>
      <c r="F826" s="3" t="n">
        <f aca="false">COUNTIFS($B$2:$B$2705,B826,$C$2:$C$2705,C826)</f>
        <v>3</v>
      </c>
      <c r="G826" s="3" t="n">
        <f aca="false">MIN(INT((MIN(B826,2020)-1900)/10)+1,12)</f>
        <v>6</v>
      </c>
      <c r="H826" s="3" t="n">
        <f aca="false">(MIN(B826,2020)-1900-10*(G826-1))/10</f>
        <v>0.2</v>
      </c>
      <c r="I826" s="20" t="n">
        <f aca="false">EXP(LN(INDEX(Pop_Inputs!$B$2:$N$29,MATCH(C826,Pop_Inputs!$A$2:$A$29,0),G826))*(1-H826)+LN(INDEX(Pop_Inputs!$B$2:$N$29,MATCH(C826,Pop_Inputs!$A$2:$A$29,0),G826+1))*H826)</f>
        <v>7869838.76856348</v>
      </c>
      <c r="J826" s="20" t="n">
        <f aca="false">I826/F826</f>
        <v>2623279.58952116</v>
      </c>
      <c r="K826" s="21" t="n">
        <f aca="false">D826/(D826+E826)</f>
        <v>0.616883116883117</v>
      </c>
      <c r="L826" s="21" t="n">
        <f aca="false">AVERAGEIFS($K$2:$K$2705,$B$2:$B$2705,B826)</f>
        <v>0.500018568033274</v>
      </c>
      <c r="M826" s="21" t="n">
        <f aca="false">K826-L826</f>
        <v>0.116864548849843</v>
      </c>
      <c r="N826" s="21" t="n">
        <f aca="false">LN(J826)</f>
        <v>14.7799358446749</v>
      </c>
      <c r="O826" s="21" t="n">
        <f aca="false">AVERAGEIFS($N$2:$N$2705,$B$2:$B$2705,B826)</f>
        <v>13.7945038632048</v>
      </c>
      <c r="P826" s="21" t="n">
        <f aca="false">N826-O826</f>
        <v>0.985431981470136</v>
      </c>
      <c r="Q826" s="7" t="n">
        <v>0</v>
      </c>
      <c r="R826" s="3" t="n">
        <f aca="false">IF(AND(Q826=1,B826-_xlfn.MINIFS($B$2:$B$2705,$A$2:$A$2705,A826)&lt;10),1,0)</f>
        <v>0</v>
      </c>
      <c r="S826" s="7" t="n">
        <v>1</v>
      </c>
      <c r="T826" s="3" t="n">
        <f aca="false">_xlfn.MINIFS($B$2:$B$2705,$A$2:$A$2705,A826)</f>
        <v>1903</v>
      </c>
      <c r="U826" s="3" t="n">
        <f aca="false">B826-T826</f>
        <v>49</v>
      </c>
      <c r="V826" s="3" t="str">
        <f aca="false">INDEX(Pop_Inputs!$Q$2:$Q$29,MATCH(C826,Pop_Inputs!$A$2:$A$29,0))</f>
        <v>Northeast</v>
      </c>
      <c r="W826" s="30"/>
      <c r="X826" s="3" t="str">
        <f aca="false">IF(W826="","",LN(W826))</f>
        <v/>
      </c>
      <c r="Y826" s="3" t="str">
        <f aca="false">IF(X826="","",X826-AVERAGEIFS($X$2:$X$2705,$B$2:$B$2705,B826))</f>
        <v/>
      </c>
      <c r="Z826" s="21" t="n">
        <f aca="false">P826</f>
        <v>0.985431981470136</v>
      </c>
      <c r="AA826" s="3" t="n">
        <f aca="false">R826</f>
        <v>0</v>
      </c>
      <c r="AB826" s="21" t="n">
        <f aca="false">P826</f>
        <v>0.985431981470136</v>
      </c>
      <c r="AC826" s="3" t="str">
        <f aca="false">Y826</f>
        <v/>
      </c>
      <c r="AD826" s="3" t="n">
        <f aca="false">R826</f>
        <v>0</v>
      </c>
    </row>
    <row r="827" customFormat="false" ht="15" hidden="false" customHeight="true" outlineLevel="0" collapsed="false">
      <c r="A827" s="7" t="s">
        <v>69</v>
      </c>
      <c r="B827" s="7" t="n">
        <v>1952</v>
      </c>
      <c r="C827" s="7" t="s">
        <v>146</v>
      </c>
      <c r="D827" s="7" t="n">
        <v>79</v>
      </c>
      <c r="E827" s="7" t="n">
        <v>75</v>
      </c>
      <c r="F827" s="3" t="n">
        <f aca="false">COUNTIFS($B$2:$B$2705,B827,$C$2:$C$2705,C827)</f>
        <v>2</v>
      </c>
      <c r="G827" s="3" t="n">
        <f aca="false">MIN(INT((MIN(B827,2020)-1900)/10)+1,12)</f>
        <v>6</v>
      </c>
      <c r="H827" s="3" t="n">
        <f aca="false">(MIN(B827,2020)-1900-10*(G827-1))/10</f>
        <v>0.2</v>
      </c>
      <c r="I827" s="20" t="n">
        <f aca="false">EXP(LN(INDEX(Pop_Inputs!$B$2:$N$29,MATCH(C827,Pop_Inputs!$A$2:$A$29,0),G827))*(1-H827)+LN(INDEX(Pop_Inputs!$B$2:$N$29,MATCH(C827,Pop_Inputs!$A$2:$A$29,0),G827+1))*H827)</f>
        <v>2057598.26905631</v>
      </c>
      <c r="J827" s="20" t="n">
        <f aca="false">I827/F827</f>
        <v>1028799.13452816</v>
      </c>
      <c r="K827" s="21" t="n">
        <f aca="false">D827/(D827+E827)</f>
        <v>0.512987012987013</v>
      </c>
      <c r="L827" s="21" t="n">
        <f aca="false">AVERAGEIFS($K$2:$K$2705,$B$2:$B$2705,B827)</f>
        <v>0.500018568033274</v>
      </c>
      <c r="M827" s="21" t="n">
        <f aca="false">K827-L827</f>
        <v>0.0129684449537391</v>
      </c>
      <c r="N827" s="21" t="n">
        <f aca="false">LN(J827)</f>
        <v>13.8439027912211</v>
      </c>
      <c r="O827" s="21" t="n">
        <f aca="false">AVERAGEIFS($N$2:$N$2705,$B$2:$B$2705,B827)</f>
        <v>13.7945038632048</v>
      </c>
      <c r="P827" s="21" t="n">
        <f aca="false">N827-O827</f>
        <v>0.049398928016366</v>
      </c>
      <c r="Q827" s="7" t="n">
        <v>0</v>
      </c>
      <c r="R827" s="3" t="n">
        <f aca="false">IF(AND(Q827=1,B827-_xlfn.MINIFS($B$2:$B$2705,$A$2:$A$2705,A827)&lt;10),1,0)</f>
        <v>0</v>
      </c>
      <c r="S827" s="7" t="n">
        <v>0</v>
      </c>
      <c r="T827" s="3" t="n">
        <f aca="false">_xlfn.MINIFS($B$2:$B$2705,$A$2:$A$2705,A827)</f>
        <v>1901</v>
      </c>
      <c r="U827" s="3" t="n">
        <f aca="false">B827-T827</f>
        <v>51</v>
      </c>
      <c r="V827" s="3" t="str">
        <f aca="false">INDEX(Pop_Inputs!$Q$2:$Q$29,MATCH(C827,Pop_Inputs!$A$2:$A$29,0))</f>
        <v>Northeast</v>
      </c>
      <c r="W827" s="30"/>
      <c r="X827" s="3" t="str">
        <f aca="false">IF(W827="","",LN(W827))</f>
        <v/>
      </c>
      <c r="Y827" s="3" t="str">
        <f aca="false">IF(X827="","",X827-AVERAGEIFS($X$2:$X$2705,$B$2:$B$2705,B827))</f>
        <v/>
      </c>
      <c r="Z827" s="21" t="n">
        <f aca="false">P827</f>
        <v>0.049398928016366</v>
      </c>
      <c r="AA827" s="3" t="n">
        <f aca="false">R827</f>
        <v>0</v>
      </c>
      <c r="AB827" s="21" t="n">
        <f aca="false">P827</f>
        <v>0.049398928016366</v>
      </c>
      <c r="AC827" s="3" t="str">
        <f aca="false">Y827</f>
        <v/>
      </c>
      <c r="AD827" s="3" t="n">
        <f aca="false">R827</f>
        <v>0</v>
      </c>
    </row>
    <row r="828" customFormat="false" ht="15" hidden="false" customHeight="true" outlineLevel="0" collapsed="false">
      <c r="A828" s="7" t="s">
        <v>60</v>
      </c>
      <c r="B828" s="7" t="n">
        <v>1952</v>
      </c>
      <c r="C828" s="7" t="s">
        <v>146</v>
      </c>
      <c r="D828" s="7" t="n">
        <v>87</v>
      </c>
      <c r="E828" s="7" t="n">
        <v>67</v>
      </c>
      <c r="F828" s="3" t="n">
        <f aca="false">COUNTIFS($B$2:$B$2705,B828,$C$2:$C$2705,C828)</f>
        <v>2</v>
      </c>
      <c r="G828" s="3" t="n">
        <f aca="false">MIN(INT((MIN(B828,2020)-1900)/10)+1,12)</f>
        <v>6</v>
      </c>
      <c r="H828" s="3" t="n">
        <f aca="false">(MIN(B828,2020)-1900-10*(G828-1))/10</f>
        <v>0.2</v>
      </c>
      <c r="I828" s="20" t="n">
        <f aca="false">EXP(LN(INDEX(Pop_Inputs!$B$2:$N$29,MATCH(C828,Pop_Inputs!$A$2:$A$29,0),G828))*(1-H828)+LN(INDEX(Pop_Inputs!$B$2:$N$29,MATCH(C828,Pop_Inputs!$A$2:$A$29,0),G828+1))*H828)</f>
        <v>2057598.26905631</v>
      </c>
      <c r="J828" s="20" t="n">
        <f aca="false">I828/F828</f>
        <v>1028799.13452816</v>
      </c>
      <c r="K828" s="21" t="n">
        <f aca="false">D828/(D828+E828)</f>
        <v>0.564935064935065</v>
      </c>
      <c r="L828" s="21" t="n">
        <f aca="false">AVERAGEIFS($K$2:$K$2705,$B$2:$B$2705,B828)</f>
        <v>0.500018568033274</v>
      </c>
      <c r="M828" s="21" t="n">
        <f aca="false">K828-L828</f>
        <v>0.064916496901791</v>
      </c>
      <c r="N828" s="21" t="n">
        <f aca="false">LN(J828)</f>
        <v>13.8439027912211</v>
      </c>
      <c r="O828" s="21" t="n">
        <f aca="false">AVERAGEIFS($N$2:$N$2705,$B$2:$B$2705,B828)</f>
        <v>13.7945038632048</v>
      </c>
      <c r="P828" s="21" t="n">
        <f aca="false">N828-O828</f>
        <v>0.049398928016366</v>
      </c>
      <c r="Q828" s="7" t="n">
        <v>0</v>
      </c>
      <c r="R828" s="3" t="n">
        <f aca="false">IF(AND(Q828=1,B828-_xlfn.MINIFS($B$2:$B$2705,$A$2:$A$2705,A828)&lt;10),1,0)</f>
        <v>0</v>
      </c>
      <c r="S828" s="7" t="n">
        <v>0</v>
      </c>
      <c r="T828" s="3" t="n">
        <f aca="false">_xlfn.MINIFS($B$2:$B$2705,$A$2:$A$2705,A828)</f>
        <v>1901</v>
      </c>
      <c r="U828" s="3" t="n">
        <f aca="false">B828-T828</f>
        <v>51</v>
      </c>
      <c r="V828" s="3" t="str">
        <f aca="false">INDEX(Pop_Inputs!$Q$2:$Q$29,MATCH(C828,Pop_Inputs!$A$2:$A$29,0))</f>
        <v>Northeast</v>
      </c>
      <c r="W828" s="30"/>
      <c r="X828" s="3" t="str">
        <f aca="false">IF(W828="","",LN(W828))</f>
        <v/>
      </c>
      <c r="Y828" s="3" t="str">
        <f aca="false">IF(X828="","",X828-AVERAGEIFS($X$2:$X$2705,$B$2:$B$2705,B828))</f>
        <v/>
      </c>
      <c r="Z828" s="21" t="n">
        <f aca="false">P828</f>
        <v>0.049398928016366</v>
      </c>
      <c r="AA828" s="3" t="n">
        <f aca="false">R828</f>
        <v>0</v>
      </c>
      <c r="AB828" s="21" t="n">
        <f aca="false">P828</f>
        <v>0.049398928016366</v>
      </c>
      <c r="AC828" s="3" t="str">
        <f aca="false">Y828</f>
        <v/>
      </c>
      <c r="AD828" s="3" t="n">
        <f aca="false">R828</f>
        <v>0</v>
      </c>
    </row>
    <row r="829" customFormat="false" ht="15" hidden="false" customHeight="true" outlineLevel="0" collapsed="false">
      <c r="A829" s="7" t="s">
        <v>58</v>
      </c>
      <c r="B829" s="7" t="n">
        <v>1952</v>
      </c>
      <c r="C829" s="7" t="s">
        <v>144</v>
      </c>
      <c r="D829" s="7" t="n">
        <v>42</v>
      </c>
      <c r="E829" s="7" t="n">
        <v>112</v>
      </c>
      <c r="F829" s="3" t="n">
        <f aca="false">COUNTIFS($B$2:$B$2705,B829,$C$2:$C$2705,C829)</f>
        <v>1</v>
      </c>
      <c r="G829" s="3" t="n">
        <f aca="false">MIN(INT((MIN(B829,2020)-1900)/10)+1,12)</f>
        <v>6</v>
      </c>
      <c r="H829" s="3" t="n">
        <f aca="false">(MIN(B829,2020)-1900-10*(G829-1))/10</f>
        <v>0.2</v>
      </c>
      <c r="I829" s="20" t="n">
        <f aca="false">EXP(LN(INDEX(Pop_Inputs!$B$2:$N$29,MATCH(C829,Pop_Inputs!$A$2:$A$29,0),G829))*(1-H829)+LN(INDEX(Pop_Inputs!$B$2:$N$29,MATCH(C829,Pop_Inputs!$A$2:$A$29,0),G829+1))*H829)</f>
        <v>661647.199070094</v>
      </c>
      <c r="J829" s="20" t="n">
        <f aca="false">I829/F829</f>
        <v>661647.199070094</v>
      </c>
      <c r="K829" s="21" t="n">
        <f aca="false">D829/(D829+E829)</f>
        <v>0.272727272727273</v>
      </c>
      <c r="L829" s="21" t="n">
        <f aca="false">AVERAGEIFS($K$2:$K$2705,$B$2:$B$2705,B829)</f>
        <v>0.500018568033274</v>
      </c>
      <c r="M829" s="21" t="n">
        <f aca="false">K829-L829</f>
        <v>-0.227291295306001</v>
      </c>
      <c r="N829" s="21" t="n">
        <f aca="false">LN(J829)</f>
        <v>13.4024877609422</v>
      </c>
      <c r="O829" s="21" t="n">
        <f aca="false">AVERAGEIFS($N$2:$N$2705,$B$2:$B$2705,B829)</f>
        <v>13.7945038632048</v>
      </c>
      <c r="P829" s="21" t="n">
        <f aca="false">N829-O829</f>
        <v>-0.392016102262588</v>
      </c>
      <c r="Q829" s="7" t="n">
        <v>0</v>
      </c>
      <c r="R829" s="3" t="n">
        <f aca="false">IF(AND(Q829=1,B829-_xlfn.MINIFS($B$2:$B$2705,$A$2:$A$2705,A829)&lt;10),1,0)</f>
        <v>0</v>
      </c>
      <c r="S829" s="7" t="n">
        <v>0</v>
      </c>
      <c r="T829" s="3" t="n">
        <f aca="false">_xlfn.MINIFS($B$2:$B$2705,$A$2:$A$2705,A829)</f>
        <v>1901</v>
      </c>
      <c r="U829" s="3" t="n">
        <f aca="false">B829-T829</f>
        <v>51</v>
      </c>
      <c r="V829" s="3" t="str">
        <f aca="false">INDEX(Pop_Inputs!$Q$2:$Q$29,MATCH(C829,Pop_Inputs!$A$2:$A$29,0))</f>
        <v>Northeast</v>
      </c>
      <c r="W829" s="30"/>
      <c r="X829" s="3" t="str">
        <f aca="false">IF(W829="","",LN(W829))</f>
        <v/>
      </c>
      <c r="Y829" s="3" t="str">
        <f aca="false">IF(X829="","",X829-AVERAGEIFS($X$2:$X$2705,$B$2:$B$2705,B829))</f>
        <v/>
      </c>
      <c r="Z829" s="21" t="n">
        <f aca="false">P829</f>
        <v>-0.392016102262588</v>
      </c>
      <c r="AA829" s="3" t="n">
        <f aca="false">R829</f>
        <v>0</v>
      </c>
      <c r="AB829" s="21" t="n">
        <f aca="false">P829</f>
        <v>-0.392016102262588</v>
      </c>
      <c r="AC829" s="3" t="str">
        <f aca="false">Y829</f>
        <v/>
      </c>
      <c r="AD829" s="3" t="n">
        <f aca="false">R829</f>
        <v>0</v>
      </c>
    </row>
    <row r="830" customFormat="false" ht="15" hidden="false" customHeight="true" outlineLevel="0" collapsed="false">
      <c r="A830" s="7" t="s">
        <v>61</v>
      </c>
      <c r="B830" s="7" t="n">
        <v>1952</v>
      </c>
      <c r="C830" s="7" t="s">
        <v>154</v>
      </c>
      <c r="D830" s="7" t="n">
        <v>92</v>
      </c>
      <c r="E830" s="7" t="n">
        <v>62</v>
      </c>
      <c r="F830" s="3" t="n">
        <f aca="false">COUNTIFS($B$2:$B$2705,B830,$C$2:$C$2705,C830)</f>
        <v>3</v>
      </c>
      <c r="G830" s="3" t="n">
        <f aca="false">MIN(INT((MIN(B830,2020)-1900)/10)+1,12)</f>
        <v>6</v>
      </c>
      <c r="H830" s="3" t="n">
        <f aca="false">(MIN(B830,2020)-1900-10*(G830-1))/10</f>
        <v>0.2</v>
      </c>
      <c r="I830" s="20" t="n">
        <f aca="false">EXP(LN(INDEX(Pop_Inputs!$B$2:$N$29,MATCH(C830,Pop_Inputs!$A$2:$A$29,0),G830))*(1-H830)+LN(INDEX(Pop_Inputs!$B$2:$N$29,MATCH(C830,Pop_Inputs!$A$2:$A$29,0),G830+1))*H830)</f>
        <v>7869838.76856348</v>
      </c>
      <c r="J830" s="20" t="n">
        <f aca="false">I830/F830</f>
        <v>2623279.58952116</v>
      </c>
      <c r="K830" s="21" t="n">
        <f aca="false">D830/(D830+E830)</f>
        <v>0.597402597402597</v>
      </c>
      <c r="L830" s="21" t="n">
        <f aca="false">AVERAGEIFS($K$2:$K$2705,$B$2:$B$2705,B830)</f>
        <v>0.500018568033274</v>
      </c>
      <c r="M830" s="21" t="n">
        <f aca="false">K830-L830</f>
        <v>0.0973840293693234</v>
      </c>
      <c r="N830" s="21" t="n">
        <f aca="false">LN(J830)</f>
        <v>14.7799358446749</v>
      </c>
      <c r="O830" s="21" t="n">
        <f aca="false">AVERAGEIFS($N$2:$N$2705,$B$2:$B$2705,B830)</f>
        <v>13.7945038632048</v>
      </c>
      <c r="P830" s="21" t="n">
        <f aca="false">N830-O830</f>
        <v>0.985431981470136</v>
      </c>
      <c r="Q830" s="7" t="n">
        <v>0</v>
      </c>
      <c r="R830" s="3" t="n">
        <f aca="false">IF(AND(Q830=1,B830-_xlfn.MINIFS($B$2:$B$2705,$A$2:$A$2705,A830)&lt;10),1,0)</f>
        <v>0</v>
      </c>
      <c r="S830" s="7" t="n">
        <v>0</v>
      </c>
      <c r="T830" s="3" t="n">
        <f aca="false">_xlfn.MINIFS($B$2:$B$2705,$A$2:$A$2705,A830)</f>
        <v>1901</v>
      </c>
      <c r="U830" s="3" t="n">
        <f aca="false">B830-T830</f>
        <v>51</v>
      </c>
      <c r="V830" s="3" t="str">
        <f aca="false">INDEX(Pop_Inputs!$Q$2:$Q$29,MATCH(C830,Pop_Inputs!$A$2:$A$29,0))</f>
        <v>Northeast</v>
      </c>
      <c r="W830" s="30"/>
      <c r="X830" s="3" t="str">
        <f aca="false">IF(W830="","",LN(W830))</f>
        <v/>
      </c>
      <c r="Y830" s="3" t="str">
        <f aca="false">IF(X830="","",X830-AVERAGEIFS($X$2:$X$2705,$B$2:$B$2705,B830))</f>
        <v/>
      </c>
      <c r="Z830" s="21" t="n">
        <f aca="false">P830</f>
        <v>0.985431981470136</v>
      </c>
      <c r="AA830" s="3" t="n">
        <f aca="false">R830</f>
        <v>0</v>
      </c>
      <c r="AB830" s="21" t="n">
        <f aca="false">P830</f>
        <v>0.985431981470136</v>
      </c>
      <c r="AC830" s="3" t="str">
        <f aca="false">Y830</f>
        <v/>
      </c>
      <c r="AD830" s="3" t="n">
        <f aca="false">R830</f>
        <v>0</v>
      </c>
    </row>
    <row r="831" customFormat="false" ht="15" hidden="false" customHeight="true" outlineLevel="0" collapsed="false">
      <c r="A831" s="7" t="s">
        <v>59</v>
      </c>
      <c r="B831" s="7" t="n">
        <v>1952</v>
      </c>
      <c r="C831" s="7" t="s">
        <v>145</v>
      </c>
      <c r="D831" s="7" t="n">
        <v>88</v>
      </c>
      <c r="E831" s="7" t="n">
        <v>66</v>
      </c>
      <c r="F831" s="3" t="n">
        <f aca="false">COUNTIFS($B$2:$B$2705,B831,$C$2:$C$2705,C831)</f>
        <v>2</v>
      </c>
      <c r="G831" s="3" t="n">
        <f aca="false">MIN(INT((MIN(B831,2020)-1900)/10)+1,12)</f>
        <v>6</v>
      </c>
      <c r="H831" s="3" t="n">
        <f aca="false">(MIN(B831,2020)-1900-10*(G831-1))/10</f>
        <v>0.2</v>
      </c>
      <c r="I831" s="20" t="n">
        <f aca="false">EXP(LN(INDEX(Pop_Inputs!$B$2:$N$29,MATCH(C831,Pop_Inputs!$A$2:$A$29,0),G831))*(1-H831)+LN(INDEX(Pop_Inputs!$B$2:$N$29,MATCH(C831,Pop_Inputs!$A$2:$A$29,0),G831+1))*H831)</f>
        <v>834290.326416038</v>
      </c>
      <c r="J831" s="20" t="n">
        <f aca="false">I831/F831</f>
        <v>417145.163208019</v>
      </c>
      <c r="K831" s="21" t="n">
        <f aca="false">D831/(D831+E831)</f>
        <v>0.571428571428571</v>
      </c>
      <c r="L831" s="21" t="n">
        <f aca="false">AVERAGEIFS($K$2:$K$2705,$B$2:$B$2705,B831)</f>
        <v>0.500018568033274</v>
      </c>
      <c r="M831" s="21" t="n">
        <f aca="false">K831-L831</f>
        <v>0.0714100033952975</v>
      </c>
      <c r="N831" s="21" t="n">
        <f aca="false">LN(J831)</f>
        <v>12.9411895534123</v>
      </c>
      <c r="O831" s="21" t="n">
        <f aca="false">AVERAGEIFS($N$2:$N$2705,$B$2:$B$2705,B831)</f>
        <v>13.7945038632048</v>
      </c>
      <c r="P831" s="21" t="n">
        <f aca="false">N831-O831</f>
        <v>-0.853314309792484</v>
      </c>
      <c r="Q831" s="7" t="n">
        <v>0</v>
      </c>
      <c r="R831" s="3" t="n">
        <f aca="false">IF(AND(Q831=1,B831-_xlfn.MINIFS($B$2:$B$2705,$A$2:$A$2705,A831)&lt;10),1,0)</f>
        <v>0</v>
      </c>
      <c r="S831" s="7" t="n">
        <v>0</v>
      </c>
      <c r="T831" s="3" t="n">
        <f aca="false">_xlfn.MINIFS($B$2:$B$2705,$A$2:$A$2705,A831)</f>
        <v>1901</v>
      </c>
      <c r="U831" s="3" t="n">
        <f aca="false">B831-T831</f>
        <v>51</v>
      </c>
      <c r="V831" s="3" t="str">
        <f aca="false">INDEX(Pop_Inputs!$Q$2:$Q$29,MATCH(C831,Pop_Inputs!$A$2:$A$29,0))</f>
        <v>Midwest</v>
      </c>
      <c r="W831" s="30"/>
      <c r="X831" s="3" t="str">
        <f aca="false">IF(W831="","",LN(W831))</f>
        <v/>
      </c>
      <c r="Y831" s="3" t="str">
        <f aca="false">IF(X831="","",X831-AVERAGEIFS($X$2:$X$2705,$B$2:$B$2705,B831))</f>
        <v/>
      </c>
      <c r="Z831" s="21" t="n">
        <f aca="false">P831</f>
        <v>-0.853314309792484</v>
      </c>
      <c r="AA831" s="3" t="n">
        <f aca="false">R831</f>
        <v>0</v>
      </c>
      <c r="AB831" s="21" t="n">
        <f aca="false">P831</f>
        <v>-0.853314309792484</v>
      </c>
      <c r="AC831" s="3" t="str">
        <f aca="false">Y831</f>
        <v/>
      </c>
      <c r="AD831" s="3" t="n">
        <f aca="false">R831</f>
        <v>0</v>
      </c>
    </row>
    <row r="832" customFormat="false" ht="15" hidden="false" customHeight="true" outlineLevel="0" collapsed="false">
      <c r="A832" s="7" t="s">
        <v>54</v>
      </c>
      <c r="B832" s="7" t="n">
        <v>1953</v>
      </c>
      <c r="C832" s="7" t="s">
        <v>158</v>
      </c>
      <c r="D832" s="7" t="n">
        <v>92</v>
      </c>
      <c r="E832" s="7" t="n">
        <v>62</v>
      </c>
      <c r="F832" s="3" t="n">
        <f aca="false">COUNTIFS($B$2:$B$2705,B832,$C$2:$C$2705,C832)</f>
        <v>1</v>
      </c>
      <c r="G832" s="3" t="n">
        <f aca="false">MIN(INT((MIN(B832,2020)-1900)/10)+1,12)</f>
        <v>6</v>
      </c>
      <c r="H832" s="3" t="n">
        <f aca="false">(MIN(B832,2020)-1900-10*(G832-1))/10</f>
        <v>0.3</v>
      </c>
      <c r="I832" s="20" t="n">
        <f aca="false">EXP(LN(INDEX(Pop_Inputs!$B$2:$N$29,MATCH(C832,Pop_Inputs!$A$2:$A$29,0),G832))*(1-H832)+LN(INDEX(Pop_Inputs!$B$2:$N$29,MATCH(C832,Pop_Inputs!$A$2:$A$29,0),G832+1))*H832)</f>
        <v>666940.428044119</v>
      </c>
      <c r="J832" s="20" t="n">
        <f aca="false">I832/F832</f>
        <v>666940.428044119</v>
      </c>
      <c r="K832" s="21" t="n">
        <f aca="false">D832/(D832+E832)</f>
        <v>0.597402597402597</v>
      </c>
      <c r="L832" s="21" t="n">
        <f aca="false">AVERAGEIFS($K$2:$K$2705,$B$2:$B$2705,B832)</f>
        <v>0.50020937785108</v>
      </c>
      <c r="M832" s="21" t="n">
        <f aca="false">K832-L832</f>
        <v>0.0971932195515172</v>
      </c>
      <c r="N832" s="21" t="n">
        <f aca="false">LN(J832)</f>
        <v>13.4104560076319</v>
      </c>
      <c r="O832" s="21" t="n">
        <f aca="false">AVERAGEIFS($N$2:$N$2705,$B$2:$B$2705,B832)</f>
        <v>13.8659999481731</v>
      </c>
      <c r="P832" s="21" t="n">
        <f aca="false">N832-O832</f>
        <v>-0.455543940541187</v>
      </c>
      <c r="Q832" s="7" t="n">
        <v>0</v>
      </c>
      <c r="R832" s="3" t="n">
        <f aca="false">IF(AND(Q832=1,B832-_xlfn.MINIFS($B$2:$B$2705,$A$2:$A$2705,A832)&lt;10),1,0)</f>
        <v>0</v>
      </c>
      <c r="S832" s="7" t="n">
        <v>0</v>
      </c>
      <c r="T832" s="3" t="n">
        <f aca="false">_xlfn.MINIFS($B$2:$B$2705,$A$2:$A$2705,A832)</f>
        <v>1901</v>
      </c>
      <c r="U832" s="3" t="n">
        <f aca="false">B832-T832</f>
        <v>52</v>
      </c>
      <c r="V832" s="3" t="str">
        <f aca="false">INDEX(Pop_Inputs!$Q$2:$Q$29,MATCH(C832,Pop_Inputs!$A$2:$A$29,0))</f>
        <v>Midwest</v>
      </c>
      <c r="W832" s="30"/>
      <c r="X832" s="3" t="str">
        <f aca="false">IF(W832="","",LN(W832))</f>
        <v/>
      </c>
      <c r="Y832" s="3" t="str">
        <f aca="false">IF(X832="","",X832-AVERAGEIFS($X$2:$X$2705,$B$2:$B$2705,B832))</f>
        <v/>
      </c>
      <c r="Z832" s="21" t="n">
        <f aca="false">P832</f>
        <v>-0.455543940541187</v>
      </c>
      <c r="AA832" s="3" t="n">
        <f aca="false">R832</f>
        <v>0</v>
      </c>
      <c r="AB832" s="21" t="n">
        <f aca="false">P832</f>
        <v>-0.455543940541187</v>
      </c>
      <c r="AC832" s="3" t="str">
        <f aca="false">Y832</f>
        <v/>
      </c>
      <c r="AD832" s="3" t="n">
        <f aca="false">R832</f>
        <v>0</v>
      </c>
    </row>
    <row r="833" customFormat="false" ht="15" hidden="false" customHeight="true" outlineLevel="0" collapsed="false">
      <c r="A833" s="7" t="s">
        <v>63</v>
      </c>
      <c r="B833" s="7" t="n">
        <v>1953</v>
      </c>
      <c r="C833" s="7" t="s">
        <v>145</v>
      </c>
      <c r="D833" s="7" t="n">
        <v>54</v>
      </c>
      <c r="E833" s="7" t="n">
        <v>100</v>
      </c>
      <c r="F833" s="3" t="n">
        <f aca="false">COUNTIFS($B$2:$B$2705,B833,$C$2:$C$2705,C833)</f>
        <v>2</v>
      </c>
      <c r="G833" s="3" t="n">
        <f aca="false">MIN(INT((MIN(B833,2020)-1900)/10)+1,12)</f>
        <v>6</v>
      </c>
      <c r="H833" s="3" t="n">
        <f aca="false">(MIN(B833,2020)-1900-10*(G833-1))/10</f>
        <v>0.3</v>
      </c>
      <c r="I833" s="20" t="n">
        <f aca="false">EXP(LN(INDEX(Pop_Inputs!$B$2:$N$29,MATCH(C833,Pop_Inputs!$A$2:$A$29,0),G833))*(1-H833)+LN(INDEX(Pop_Inputs!$B$2:$N$29,MATCH(C833,Pop_Inputs!$A$2:$A$29,0),G833+1))*H833)</f>
        <v>823260.155620604</v>
      </c>
      <c r="J833" s="20" t="n">
        <f aca="false">I833/F833</f>
        <v>411630.077810302</v>
      </c>
      <c r="K833" s="21" t="n">
        <f aca="false">D833/(D833+E833)</f>
        <v>0.350649350649351</v>
      </c>
      <c r="L833" s="21" t="n">
        <f aca="false">AVERAGEIFS($K$2:$K$2705,$B$2:$B$2705,B833)</f>
        <v>0.50020937785108</v>
      </c>
      <c r="M833" s="21" t="n">
        <f aca="false">K833-L833</f>
        <v>-0.14956002720173</v>
      </c>
      <c r="N833" s="21" t="n">
        <f aca="false">LN(J833)</f>
        <v>12.927880355613</v>
      </c>
      <c r="O833" s="21" t="n">
        <f aca="false">AVERAGEIFS($N$2:$N$2705,$B$2:$B$2705,B833)</f>
        <v>13.8659999481731</v>
      </c>
      <c r="P833" s="21" t="n">
        <f aca="false">N833-O833</f>
        <v>-0.938119592560067</v>
      </c>
      <c r="Q833" s="7" t="n">
        <v>0</v>
      </c>
      <c r="R833" s="3" t="n">
        <f aca="false">IF(AND(Q833=1,B833-_xlfn.MINIFS($B$2:$B$2705,$A$2:$A$2705,A833)&lt;10),1,0)</f>
        <v>0</v>
      </c>
      <c r="S833" s="7" t="n">
        <v>0</v>
      </c>
      <c r="T833" s="3" t="n">
        <f aca="false">_xlfn.MINIFS($B$2:$B$2705,$A$2:$A$2705,A833)</f>
        <v>1901</v>
      </c>
      <c r="U833" s="3" t="n">
        <f aca="false">B833-T833</f>
        <v>52</v>
      </c>
      <c r="V833" s="3" t="str">
        <f aca="false">INDEX(Pop_Inputs!$Q$2:$Q$29,MATCH(C833,Pop_Inputs!$A$2:$A$29,0))</f>
        <v>Midwest</v>
      </c>
      <c r="W833" s="30"/>
      <c r="X833" s="3" t="str">
        <f aca="false">IF(W833="","",LN(W833))</f>
        <v/>
      </c>
      <c r="Y833" s="3" t="str">
        <f aca="false">IF(X833="","",X833-AVERAGEIFS($X$2:$X$2705,$B$2:$B$2705,B833))</f>
        <v/>
      </c>
      <c r="Z833" s="21" t="n">
        <f aca="false">P833</f>
        <v>-0.938119592560067</v>
      </c>
      <c r="AA833" s="3" t="n">
        <f aca="false">R833</f>
        <v>0</v>
      </c>
      <c r="AB833" s="21" t="n">
        <f aca="false">P833</f>
        <v>-0.938119592560067</v>
      </c>
      <c r="AC833" s="3" t="str">
        <f aca="false">Y833</f>
        <v/>
      </c>
      <c r="AD833" s="3" t="n">
        <f aca="false">R833</f>
        <v>0</v>
      </c>
    </row>
    <row r="834" customFormat="false" ht="15" hidden="false" customHeight="true" outlineLevel="0" collapsed="false">
      <c r="A834" s="7" t="s">
        <v>64</v>
      </c>
      <c r="B834" s="7" t="n">
        <v>1953</v>
      </c>
      <c r="C834" s="7" t="s">
        <v>150</v>
      </c>
      <c r="D834" s="7" t="n">
        <v>84</v>
      </c>
      <c r="E834" s="7" t="n">
        <v>69</v>
      </c>
      <c r="F834" s="3" t="n">
        <f aca="false">COUNTIFS($B$2:$B$2705,B834,$C$2:$C$2705,C834)</f>
        <v>1</v>
      </c>
      <c r="G834" s="3" t="n">
        <f aca="false">MIN(INT((MIN(B834,2020)-1900)/10)+1,12)</f>
        <v>6</v>
      </c>
      <c r="H834" s="3" t="n">
        <f aca="false">(MIN(B834,2020)-1900-10*(G834-1))/10</f>
        <v>0.3</v>
      </c>
      <c r="I834" s="20" t="n">
        <f aca="false">EXP(LN(INDEX(Pop_Inputs!$B$2:$N$29,MATCH(C834,Pop_Inputs!$A$2:$A$29,0),G834))*(1-H834)+LN(INDEX(Pop_Inputs!$B$2:$N$29,MATCH(C834,Pop_Inputs!$A$2:$A$29,0),G834+1))*H834)</f>
        <v>768630.971754189</v>
      </c>
      <c r="J834" s="20" t="n">
        <f aca="false">I834/F834</f>
        <v>768630.971754189</v>
      </c>
      <c r="K834" s="21" t="n">
        <f aca="false">D834/(D834+E834)</f>
        <v>0.549019607843137</v>
      </c>
      <c r="L834" s="21" t="n">
        <f aca="false">AVERAGEIFS($K$2:$K$2705,$B$2:$B$2705,B834)</f>
        <v>0.50020937785108</v>
      </c>
      <c r="M834" s="21" t="n">
        <f aca="false">K834-L834</f>
        <v>0.0488102299920571</v>
      </c>
      <c r="N834" s="21" t="n">
        <f aca="false">LN(J834)</f>
        <v>13.5523662526244</v>
      </c>
      <c r="O834" s="21" t="n">
        <f aca="false">AVERAGEIFS($N$2:$N$2705,$B$2:$B$2705,B834)</f>
        <v>13.8659999481731</v>
      </c>
      <c r="P834" s="21" t="n">
        <f aca="false">N834-O834</f>
        <v>-0.31363369554866</v>
      </c>
      <c r="Q834" s="7" t="n">
        <v>0</v>
      </c>
      <c r="R834" s="3" t="n">
        <f aca="false">IF(AND(Q834=1,B834-_xlfn.MINIFS($B$2:$B$2705,$A$2:$A$2705,A834)&lt;10),1,0)</f>
        <v>0</v>
      </c>
      <c r="S834" s="7" t="n">
        <v>0</v>
      </c>
      <c r="T834" s="3" t="n">
        <f aca="false">_xlfn.MINIFS($B$2:$B$2705,$A$2:$A$2705,A834)</f>
        <v>1901</v>
      </c>
      <c r="U834" s="3" t="n">
        <f aca="false">B834-T834</f>
        <v>52</v>
      </c>
      <c r="V834" s="3" t="str">
        <f aca="false">INDEX(Pop_Inputs!$Q$2:$Q$29,MATCH(C834,Pop_Inputs!$A$2:$A$29,0))</f>
        <v>Northeast</v>
      </c>
      <c r="W834" s="30"/>
      <c r="X834" s="3" t="str">
        <f aca="false">IF(W834="","",LN(W834))</f>
        <v/>
      </c>
      <c r="Y834" s="3" t="str">
        <f aca="false">IF(X834="","",X834-AVERAGEIFS($X$2:$X$2705,$B$2:$B$2705,B834))</f>
        <v/>
      </c>
      <c r="Z834" s="21" t="n">
        <f aca="false">P834</f>
        <v>-0.31363369554866</v>
      </c>
      <c r="AA834" s="3" t="n">
        <f aca="false">R834</f>
        <v>0</v>
      </c>
      <c r="AB834" s="21" t="n">
        <f aca="false">P834</f>
        <v>-0.31363369554866</v>
      </c>
      <c r="AC834" s="3" t="str">
        <f aca="false">Y834</f>
        <v/>
      </c>
      <c r="AD834" s="3" t="n">
        <f aca="false">R834</f>
        <v>0</v>
      </c>
    </row>
    <row r="835" customFormat="false" ht="15" hidden="false" customHeight="true" outlineLevel="0" collapsed="false">
      <c r="A835" s="7" t="s">
        <v>56</v>
      </c>
      <c r="B835" s="7" t="n">
        <v>1953</v>
      </c>
      <c r="C835" s="7" t="s">
        <v>142</v>
      </c>
      <c r="D835" s="7" t="n">
        <v>65</v>
      </c>
      <c r="E835" s="7" t="n">
        <v>89</v>
      </c>
      <c r="F835" s="3" t="n">
        <f aca="false">COUNTIFS($B$2:$B$2705,B835,$C$2:$C$2705,C835)</f>
        <v>2</v>
      </c>
      <c r="G835" s="3" t="n">
        <f aca="false">MIN(INT((MIN(B835,2020)-1900)/10)+1,12)</f>
        <v>6</v>
      </c>
      <c r="H835" s="3" t="n">
        <f aca="false">(MIN(B835,2020)-1900-10*(G835-1))/10</f>
        <v>0.3</v>
      </c>
      <c r="I835" s="20" t="n">
        <f aca="false">EXP(LN(INDEX(Pop_Inputs!$B$2:$N$29,MATCH(C835,Pop_Inputs!$A$2:$A$29,0),G835))*(1-H835)+LN(INDEX(Pop_Inputs!$B$2:$N$29,MATCH(C835,Pop_Inputs!$A$2:$A$29,0),G835+1))*H835)</f>
        <v>3599648.62100385</v>
      </c>
      <c r="J835" s="20" t="n">
        <f aca="false">I835/F835</f>
        <v>1799824.31050193</v>
      </c>
      <c r="K835" s="21" t="n">
        <f aca="false">D835/(D835+E835)</f>
        <v>0.422077922077922</v>
      </c>
      <c r="L835" s="21" t="n">
        <f aca="false">AVERAGEIFS($K$2:$K$2705,$B$2:$B$2705,B835)</f>
        <v>0.50020937785108</v>
      </c>
      <c r="M835" s="21" t="n">
        <f aca="false">K835-L835</f>
        <v>-0.0781314557731582</v>
      </c>
      <c r="N835" s="21" t="n">
        <f aca="false">LN(J835)</f>
        <v>14.403199612826</v>
      </c>
      <c r="O835" s="21" t="n">
        <f aca="false">AVERAGEIFS($N$2:$N$2705,$B$2:$B$2705,B835)</f>
        <v>13.8659999481731</v>
      </c>
      <c r="P835" s="21" t="n">
        <f aca="false">N835-O835</f>
        <v>0.537199664652885</v>
      </c>
      <c r="Q835" s="7" t="n">
        <v>0</v>
      </c>
      <c r="R835" s="3" t="n">
        <f aca="false">IF(AND(Q835=1,B835-_xlfn.MINIFS($B$2:$B$2705,$A$2:$A$2705,A835)&lt;10),1,0)</f>
        <v>0</v>
      </c>
      <c r="S835" s="7" t="n">
        <v>0</v>
      </c>
      <c r="T835" s="3" t="n">
        <f aca="false">_xlfn.MINIFS($B$2:$B$2705,$A$2:$A$2705,A835)</f>
        <v>1901</v>
      </c>
      <c r="U835" s="3" t="n">
        <f aca="false">B835-T835</f>
        <v>52</v>
      </c>
      <c r="V835" s="3" t="str">
        <f aca="false">INDEX(Pop_Inputs!$Q$2:$Q$29,MATCH(C835,Pop_Inputs!$A$2:$A$29,0))</f>
        <v>Midwest</v>
      </c>
      <c r="W835" s="30"/>
      <c r="X835" s="3" t="str">
        <f aca="false">IF(W835="","",LN(W835))</f>
        <v/>
      </c>
      <c r="Y835" s="3" t="str">
        <f aca="false">IF(X835="","",X835-AVERAGEIFS($X$2:$X$2705,$B$2:$B$2705,B835))</f>
        <v/>
      </c>
      <c r="Z835" s="21" t="n">
        <f aca="false">P835</f>
        <v>0.537199664652885</v>
      </c>
      <c r="AA835" s="3" t="n">
        <f aca="false">R835</f>
        <v>0</v>
      </c>
      <c r="AB835" s="21" t="n">
        <f aca="false">P835</f>
        <v>0.537199664652885</v>
      </c>
      <c r="AC835" s="3" t="str">
        <f aca="false">Y835</f>
        <v/>
      </c>
      <c r="AD835" s="3" t="n">
        <f aca="false">R835</f>
        <v>0</v>
      </c>
    </row>
    <row r="836" customFormat="false" ht="15" hidden="false" customHeight="true" outlineLevel="0" collapsed="false">
      <c r="A836" s="7" t="s">
        <v>65</v>
      </c>
      <c r="B836" s="7" t="n">
        <v>1953</v>
      </c>
      <c r="C836" s="7" t="s">
        <v>142</v>
      </c>
      <c r="D836" s="7" t="n">
        <v>89</v>
      </c>
      <c r="E836" s="7" t="n">
        <v>65</v>
      </c>
      <c r="F836" s="3" t="n">
        <f aca="false">COUNTIFS($B$2:$B$2705,B836,$C$2:$C$2705,C836)</f>
        <v>2</v>
      </c>
      <c r="G836" s="3" t="n">
        <f aca="false">MIN(INT((MIN(B836,2020)-1900)/10)+1,12)</f>
        <v>6</v>
      </c>
      <c r="H836" s="3" t="n">
        <f aca="false">(MIN(B836,2020)-1900-10*(G836-1))/10</f>
        <v>0.3</v>
      </c>
      <c r="I836" s="20" t="n">
        <f aca="false">EXP(LN(INDEX(Pop_Inputs!$B$2:$N$29,MATCH(C836,Pop_Inputs!$A$2:$A$29,0),G836))*(1-H836)+LN(INDEX(Pop_Inputs!$B$2:$N$29,MATCH(C836,Pop_Inputs!$A$2:$A$29,0),G836+1))*H836)</f>
        <v>3599648.62100385</v>
      </c>
      <c r="J836" s="20" t="n">
        <f aca="false">I836/F836</f>
        <v>1799824.31050193</v>
      </c>
      <c r="K836" s="21" t="n">
        <f aca="false">D836/(D836+E836)</f>
        <v>0.577922077922078</v>
      </c>
      <c r="L836" s="21" t="n">
        <f aca="false">AVERAGEIFS($K$2:$K$2705,$B$2:$B$2705,B836)</f>
        <v>0.50020937785108</v>
      </c>
      <c r="M836" s="21" t="n">
        <f aca="false">K836-L836</f>
        <v>0.0777127000709977</v>
      </c>
      <c r="N836" s="21" t="n">
        <f aca="false">LN(J836)</f>
        <v>14.403199612826</v>
      </c>
      <c r="O836" s="21" t="n">
        <f aca="false">AVERAGEIFS($N$2:$N$2705,$B$2:$B$2705,B836)</f>
        <v>13.8659999481731</v>
      </c>
      <c r="P836" s="21" t="n">
        <f aca="false">N836-O836</f>
        <v>0.537199664652885</v>
      </c>
      <c r="Q836" s="7" t="n">
        <v>0</v>
      </c>
      <c r="R836" s="3" t="n">
        <f aca="false">IF(AND(Q836=1,B836-_xlfn.MINIFS($B$2:$B$2705,$A$2:$A$2705,A836)&lt;10),1,0)</f>
        <v>0</v>
      </c>
      <c r="S836" s="7" t="n">
        <v>0</v>
      </c>
      <c r="T836" s="3" t="n">
        <f aca="false">_xlfn.MINIFS($B$2:$B$2705,$A$2:$A$2705,A836)</f>
        <v>1901</v>
      </c>
      <c r="U836" s="3" t="n">
        <f aca="false">B836-T836</f>
        <v>52</v>
      </c>
      <c r="V836" s="3" t="str">
        <f aca="false">INDEX(Pop_Inputs!$Q$2:$Q$29,MATCH(C836,Pop_Inputs!$A$2:$A$29,0))</f>
        <v>Midwest</v>
      </c>
      <c r="W836" s="30"/>
      <c r="X836" s="3" t="str">
        <f aca="false">IF(W836="","",LN(W836))</f>
        <v/>
      </c>
      <c r="Y836" s="3" t="str">
        <f aca="false">IF(X836="","",X836-AVERAGEIFS($X$2:$X$2705,$B$2:$B$2705,B836))</f>
        <v/>
      </c>
      <c r="Z836" s="21" t="n">
        <f aca="false">P836</f>
        <v>0.537199664652885</v>
      </c>
      <c r="AA836" s="3" t="n">
        <f aca="false">R836</f>
        <v>0</v>
      </c>
      <c r="AB836" s="21" t="n">
        <f aca="false">P836</f>
        <v>0.537199664652885</v>
      </c>
      <c r="AC836" s="3" t="str">
        <f aca="false">Y836</f>
        <v/>
      </c>
      <c r="AD836" s="3" t="n">
        <f aca="false">R836</f>
        <v>0</v>
      </c>
    </row>
    <row r="837" customFormat="false" ht="15" hidden="false" customHeight="true" outlineLevel="0" collapsed="false">
      <c r="A837" s="7" t="s">
        <v>57</v>
      </c>
      <c r="B837" s="7" t="n">
        <v>1953</v>
      </c>
      <c r="C837" s="7" t="s">
        <v>143</v>
      </c>
      <c r="D837" s="7" t="n">
        <v>68</v>
      </c>
      <c r="E837" s="7" t="n">
        <v>86</v>
      </c>
      <c r="F837" s="3" t="n">
        <f aca="false">COUNTIFS($B$2:$B$2705,B837,$C$2:$C$2705,C837)</f>
        <v>1</v>
      </c>
      <c r="G837" s="3" t="n">
        <f aca="false">MIN(INT((MIN(B837,2020)-1900)/10)+1,12)</f>
        <v>6</v>
      </c>
      <c r="H837" s="3" t="n">
        <f aca="false">(MIN(B837,2020)-1900-10*(G837-1))/10</f>
        <v>0.3</v>
      </c>
      <c r="I837" s="20" t="n">
        <f aca="false">EXP(LN(INDEX(Pop_Inputs!$B$2:$N$29,MATCH(C837,Pop_Inputs!$A$2:$A$29,0),G837))*(1-H837)+LN(INDEX(Pop_Inputs!$B$2:$N$29,MATCH(C837,Pop_Inputs!$A$2:$A$29,0),G837+1))*H837)</f>
        <v>503563.162472396</v>
      </c>
      <c r="J837" s="20" t="n">
        <f aca="false">I837/F837</f>
        <v>503563.162472396</v>
      </c>
      <c r="K837" s="21" t="n">
        <f aca="false">D837/(D837+E837)</f>
        <v>0.441558441558442</v>
      </c>
      <c r="L837" s="21" t="n">
        <f aca="false">AVERAGEIFS($K$2:$K$2705,$B$2:$B$2705,B837)</f>
        <v>0.50020937785108</v>
      </c>
      <c r="M837" s="21" t="n">
        <f aca="false">K837-L837</f>
        <v>-0.0586509362926387</v>
      </c>
      <c r="N837" s="21" t="n">
        <f aca="false">LN(J837)</f>
        <v>13.12946443009</v>
      </c>
      <c r="O837" s="21" t="n">
        <f aca="false">AVERAGEIFS($N$2:$N$2705,$B$2:$B$2705,B837)</f>
        <v>13.8659999481731</v>
      </c>
      <c r="P837" s="21" t="n">
        <f aca="false">N837-O837</f>
        <v>-0.736535518083064</v>
      </c>
      <c r="Q837" s="7" t="n">
        <v>0</v>
      </c>
      <c r="R837" s="3" t="n">
        <f aca="false">IF(AND(Q837=1,B837-_xlfn.MINIFS($B$2:$B$2705,$A$2:$A$2705,A837)&lt;10),1,0)</f>
        <v>0</v>
      </c>
      <c r="S837" s="7" t="n">
        <v>0</v>
      </c>
      <c r="T837" s="3" t="n">
        <f aca="false">_xlfn.MINIFS($B$2:$B$2705,$A$2:$A$2705,A837)</f>
        <v>1901</v>
      </c>
      <c r="U837" s="3" t="n">
        <f aca="false">B837-T837</f>
        <v>52</v>
      </c>
      <c r="V837" s="3" t="str">
        <f aca="false">INDEX(Pop_Inputs!$Q$2:$Q$29,MATCH(C837,Pop_Inputs!$A$2:$A$29,0))</f>
        <v>Midwest</v>
      </c>
      <c r="W837" s="30"/>
      <c r="X837" s="3" t="str">
        <f aca="false">IF(W837="","",LN(W837))</f>
        <v/>
      </c>
      <c r="Y837" s="3" t="str">
        <f aca="false">IF(X837="","",X837-AVERAGEIFS($X$2:$X$2705,$B$2:$B$2705,B837))</f>
        <v/>
      </c>
      <c r="Z837" s="21" t="n">
        <f aca="false">P837</f>
        <v>-0.736535518083064</v>
      </c>
      <c r="AA837" s="3" t="n">
        <f aca="false">R837</f>
        <v>0</v>
      </c>
      <c r="AB837" s="21" t="n">
        <f aca="false">P837</f>
        <v>-0.736535518083064</v>
      </c>
      <c r="AC837" s="3" t="str">
        <f aca="false">Y837</f>
        <v/>
      </c>
      <c r="AD837" s="3" t="n">
        <f aca="false">R837</f>
        <v>0</v>
      </c>
    </row>
    <row r="838" customFormat="false" ht="15" hidden="false" customHeight="true" outlineLevel="0" collapsed="false">
      <c r="A838" s="7" t="s">
        <v>66</v>
      </c>
      <c r="B838" s="7" t="n">
        <v>1953</v>
      </c>
      <c r="C838" s="7" t="s">
        <v>151</v>
      </c>
      <c r="D838" s="7" t="n">
        <v>92</v>
      </c>
      <c r="E838" s="7" t="n">
        <v>62</v>
      </c>
      <c r="F838" s="3" t="n">
        <f aca="false">COUNTIFS($B$2:$B$2705,B838,$C$2:$C$2705,C838)</f>
        <v>1</v>
      </c>
      <c r="G838" s="3" t="n">
        <f aca="false">MIN(INT((MIN(B838,2020)-1900)/10)+1,12)</f>
        <v>6</v>
      </c>
      <c r="H838" s="3" t="n">
        <f aca="false">(MIN(B838,2020)-1900-10*(G838-1))/10</f>
        <v>0.3</v>
      </c>
      <c r="I838" s="20" t="n">
        <f aca="false">EXP(LN(INDEX(Pop_Inputs!$B$2:$N$29,MATCH(C838,Pop_Inputs!$A$2:$A$29,0),G838))*(1-H838)+LN(INDEX(Pop_Inputs!$B$2:$N$29,MATCH(C838,Pop_Inputs!$A$2:$A$29,0),G838+1))*H838)</f>
        <v>903003.920560757</v>
      </c>
      <c r="J838" s="20" t="n">
        <f aca="false">I838/F838</f>
        <v>903003.920560757</v>
      </c>
      <c r="K838" s="21" t="n">
        <f aca="false">D838/(D838+E838)</f>
        <v>0.597402597402597</v>
      </c>
      <c r="L838" s="21" t="n">
        <f aca="false">AVERAGEIFS($K$2:$K$2705,$B$2:$B$2705,B838)</f>
        <v>0.50020937785108</v>
      </c>
      <c r="M838" s="21" t="n">
        <f aca="false">K838-L838</f>
        <v>0.0971932195515172</v>
      </c>
      <c r="N838" s="21" t="n">
        <f aca="false">LN(J838)</f>
        <v>13.713482174096</v>
      </c>
      <c r="O838" s="21" t="n">
        <f aca="false">AVERAGEIFS($N$2:$N$2705,$B$2:$B$2705,B838)</f>
        <v>13.8659999481731</v>
      </c>
      <c r="P838" s="21" t="n">
        <f aca="false">N838-O838</f>
        <v>-0.152517774077134</v>
      </c>
      <c r="Q838" s="7" t="n">
        <v>0</v>
      </c>
      <c r="R838" s="3" t="n">
        <f aca="false">IF(AND(Q838=1,B838-_xlfn.MINIFS($B$2:$B$2705,$A$2:$A$2705,A838)&lt;10),1,0)</f>
        <v>0</v>
      </c>
      <c r="S838" s="7" t="n">
        <v>0</v>
      </c>
      <c r="T838" s="3" t="n">
        <f aca="false">_xlfn.MINIFS($B$2:$B$2705,$A$2:$A$2705,A838)</f>
        <v>1901</v>
      </c>
      <c r="U838" s="3" t="n">
        <f aca="false">B838-T838</f>
        <v>52</v>
      </c>
      <c r="V838" s="3" t="str">
        <f aca="false">INDEX(Pop_Inputs!$Q$2:$Q$29,MATCH(C838,Pop_Inputs!$A$2:$A$29,0))</f>
        <v>Midwest</v>
      </c>
      <c r="W838" s="30"/>
      <c r="X838" s="3" t="str">
        <f aca="false">IF(W838="","",LN(W838))</f>
        <v/>
      </c>
      <c r="Y838" s="3" t="str">
        <f aca="false">IF(X838="","",X838-AVERAGEIFS($X$2:$X$2705,$B$2:$B$2705,B838))</f>
        <v/>
      </c>
      <c r="Z838" s="21" t="n">
        <f aca="false">P838</f>
        <v>-0.152517774077134</v>
      </c>
      <c r="AA838" s="3" t="n">
        <f aca="false">R838</f>
        <v>0</v>
      </c>
      <c r="AB838" s="21" t="n">
        <f aca="false">P838</f>
        <v>-0.152517774077134</v>
      </c>
      <c r="AC838" s="3" t="str">
        <f aca="false">Y838</f>
        <v/>
      </c>
      <c r="AD838" s="3" t="n">
        <f aca="false">R838</f>
        <v>0</v>
      </c>
    </row>
    <row r="839" customFormat="false" ht="15" hidden="false" customHeight="true" outlineLevel="0" collapsed="false">
      <c r="A839" s="7" t="s">
        <v>67</v>
      </c>
      <c r="B839" s="7" t="n">
        <v>1953</v>
      </c>
      <c r="C839" s="7" t="s">
        <v>152</v>
      </c>
      <c r="D839" s="7" t="n">
        <v>60</v>
      </c>
      <c r="E839" s="7" t="n">
        <v>94</v>
      </c>
      <c r="F839" s="3" t="n">
        <f aca="false">COUNTIFS($B$2:$B$2705,B839,$C$2:$C$2705,C839)</f>
        <v>1</v>
      </c>
      <c r="G839" s="3" t="n">
        <f aca="false">MIN(INT((MIN(B839,2020)-1900)/10)+1,12)</f>
        <v>6</v>
      </c>
      <c r="H839" s="3" t="n">
        <f aca="false">(MIN(B839,2020)-1900-10*(G839-1))/10</f>
        <v>0.3</v>
      </c>
      <c r="I839" s="20" t="n">
        <f aca="false">EXP(LN(INDEX(Pop_Inputs!$B$2:$N$29,MATCH(C839,Pop_Inputs!$A$2:$A$29,0),G839))*(1-H839)+LN(INDEX(Pop_Inputs!$B$2:$N$29,MATCH(C839,Pop_Inputs!$A$2:$A$29,0),G839+1))*H839)</f>
        <v>1793805.6490274</v>
      </c>
      <c r="J839" s="20" t="n">
        <f aca="false">I839/F839</f>
        <v>1793805.6490274</v>
      </c>
      <c r="K839" s="21" t="n">
        <f aca="false">D839/(D839+E839)</f>
        <v>0.38961038961039</v>
      </c>
      <c r="L839" s="21" t="n">
        <f aca="false">AVERAGEIFS($K$2:$K$2705,$B$2:$B$2705,B839)</f>
        <v>0.50020937785108</v>
      </c>
      <c r="M839" s="21" t="n">
        <f aca="false">K839-L839</f>
        <v>-0.110598988240691</v>
      </c>
      <c r="N839" s="21" t="n">
        <f aca="false">LN(J839)</f>
        <v>14.3998499818569</v>
      </c>
      <c r="O839" s="21" t="n">
        <f aca="false">AVERAGEIFS($N$2:$N$2705,$B$2:$B$2705,B839)</f>
        <v>13.8659999481731</v>
      </c>
      <c r="P839" s="21" t="n">
        <f aca="false">N839-O839</f>
        <v>0.533850033683772</v>
      </c>
      <c r="Q839" s="7" t="n">
        <v>0</v>
      </c>
      <c r="R839" s="3" t="n">
        <f aca="false">IF(AND(Q839=1,B839-_xlfn.MINIFS($B$2:$B$2705,$A$2:$A$2705,A839)&lt;10),1,0)</f>
        <v>0</v>
      </c>
      <c r="S839" s="7" t="n">
        <v>0</v>
      </c>
      <c r="T839" s="3" t="n">
        <f aca="false">_xlfn.MINIFS($B$2:$B$2705,$A$2:$A$2705,A839)</f>
        <v>1901</v>
      </c>
      <c r="U839" s="3" t="n">
        <f aca="false">B839-T839</f>
        <v>52</v>
      </c>
      <c r="V839" s="3" t="str">
        <f aca="false">INDEX(Pop_Inputs!$Q$2:$Q$29,MATCH(C839,Pop_Inputs!$A$2:$A$29,0))</f>
        <v>Midwest</v>
      </c>
      <c r="W839" s="30"/>
      <c r="X839" s="3" t="str">
        <f aca="false">IF(W839="","",LN(W839))</f>
        <v/>
      </c>
      <c r="Y839" s="3" t="str">
        <f aca="false">IF(X839="","",X839-AVERAGEIFS($X$2:$X$2705,$B$2:$B$2705,B839))</f>
        <v/>
      </c>
      <c r="Z839" s="21" t="n">
        <f aca="false">P839</f>
        <v>0.533850033683772</v>
      </c>
      <c r="AA839" s="3" t="n">
        <f aca="false">R839</f>
        <v>0</v>
      </c>
      <c r="AB839" s="21" t="n">
        <f aca="false">P839</f>
        <v>0.533850033683772</v>
      </c>
      <c r="AC839" s="3" t="str">
        <f aca="false">Y839</f>
        <v/>
      </c>
      <c r="AD839" s="3" t="n">
        <f aca="false">R839</f>
        <v>0</v>
      </c>
    </row>
    <row r="840" customFormat="false" ht="15" hidden="false" customHeight="true" outlineLevel="0" collapsed="false">
      <c r="A840" s="7" t="s">
        <v>62</v>
      </c>
      <c r="B840" s="7" t="n">
        <v>1953</v>
      </c>
      <c r="C840" s="7" t="s">
        <v>154</v>
      </c>
      <c r="D840" s="7" t="n">
        <v>105</v>
      </c>
      <c r="E840" s="7" t="n">
        <v>49</v>
      </c>
      <c r="F840" s="3" t="n">
        <f aca="false">COUNTIFS($B$2:$B$2705,B840,$C$2:$C$2705,C840)</f>
        <v>3</v>
      </c>
      <c r="G840" s="3" t="n">
        <f aca="false">MIN(INT((MIN(B840,2020)-1900)/10)+1,12)</f>
        <v>6</v>
      </c>
      <c r="H840" s="3" t="n">
        <f aca="false">(MIN(B840,2020)-1900-10*(G840-1))/10</f>
        <v>0.3</v>
      </c>
      <c r="I840" s="20" t="n">
        <f aca="false">EXP(LN(INDEX(Pop_Inputs!$B$2:$N$29,MATCH(C840,Pop_Inputs!$A$2:$A$29,0),G840))*(1-H840)+LN(INDEX(Pop_Inputs!$B$2:$N$29,MATCH(C840,Pop_Inputs!$A$2:$A$29,0),G840+1))*H840)</f>
        <v>7858802.90966781</v>
      </c>
      <c r="J840" s="20" t="n">
        <f aca="false">I840/F840</f>
        <v>2619600.96988927</v>
      </c>
      <c r="K840" s="21" t="n">
        <f aca="false">D840/(D840+E840)</f>
        <v>0.681818181818182</v>
      </c>
      <c r="L840" s="21" t="n">
        <f aca="false">AVERAGEIFS($K$2:$K$2705,$B$2:$B$2705,B840)</f>
        <v>0.50020937785108</v>
      </c>
      <c r="M840" s="21" t="n">
        <f aca="false">K840-L840</f>
        <v>0.181608803967102</v>
      </c>
      <c r="N840" s="21" t="n">
        <f aca="false">LN(J840)</f>
        <v>14.7785325625692</v>
      </c>
      <c r="O840" s="21" t="n">
        <f aca="false">AVERAGEIFS($N$2:$N$2705,$B$2:$B$2705,B840)</f>
        <v>13.8659999481731</v>
      </c>
      <c r="P840" s="21" t="n">
        <f aca="false">N840-O840</f>
        <v>0.912532614396142</v>
      </c>
      <c r="Q840" s="7" t="n">
        <v>0</v>
      </c>
      <c r="R840" s="3" t="n">
        <f aca="false">IF(AND(Q840=1,B840-_xlfn.MINIFS($B$2:$B$2705,$A$2:$A$2705,A840)&lt;10),1,0)</f>
        <v>0</v>
      </c>
      <c r="S840" s="7" t="n">
        <v>0</v>
      </c>
      <c r="T840" s="3" t="n">
        <f aca="false">_xlfn.MINIFS($B$2:$B$2705,$A$2:$A$2705,A840)</f>
        <v>1901</v>
      </c>
      <c r="U840" s="3" t="n">
        <f aca="false">B840-T840</f>
        <v>52</v>
      </c>
      <c r="V840" s="3" t="str">
        <f aca="false">INDEX(Pop_Inputs!$Q$2:$Q$29,MATCH(C840,Pop_Inputs!$A$2:$A$29,0))</f>
        <v>Northeast</v>
      </c>
      <c r="W840" s="30"/>
      <c r="X840" s="3" t="str">
        <f aca="false">IF(W840="","",LN(W840))</f>
        <v/>
      </c>
      <c r="Y840" s="3" t="str">
        <f aca="false">IF(X840="","",X840-AVERAGEIFS($X$2:$X$2705,$B$2:$B$2705,B840))</f>
        <v/>
      </c>
      <c r="Z840" s="21" t="n">
        <f aca="false">P840</f>
        <v>0.912532614396142</v>
      </c>
      <c r="AA840" s="3" t="n">
        <f aca="false">R840</f>
        <v>0</v>
      </c>
      <c r="AB840" s="21" t="n">
        <f aca="false">P840</f>
        <v>0.912532614396142</v>
      </c>
      <c r="AC840" s="3" t="str">
        <f aca="false">Y840</f>
        <v/>
      </c>
      <c r="AD840" s="3" t="n">
        <f aca="false">R840</f>
        <v>0</v>
      </c>
    </row>
    <row r="841" customFormat="false" ht="15" hidden="false" customHeight="true" outlineLevel="0" collapsed="false">
      <c r="A841" s="7" t="s">
        <v>68</v>
      </c>
      <c r="B841" s="7" t="n">
        <v>1953</v>
      </c>
      <c r="C841" s="7" t="s">
        <v>160</v>
      </c>
      <c r="D841" s="7" t="n">
        <v>76</v>
      </c>
      <c r="E841" s="7" t="n">
        <v>76</v>
      </c>
      <c r="F841" s="3" t="n">
        <f aca="false">COUNTIFS($B$2:$B$2705,B841,$C$2:$C$2705,C841)</f>
        <v>1</v>
      </c>
      <c r="G841" s="3" t="n">
        <f aca="false">MIN(INT((MIN(B841,2020)-1900)/10)+1,12)</f>
        <v>6</v>
      </c>
      <c r="H841" s="3" t="n">
        <f aca="false">(MIN(B841,2020)-1900-10*(G841-1))/10</f>
        <v>0.3</v>
      </c>
      <c r="I841" s="20" t="n">
        <f aca="false">EXP(LN(INDEX(Pop_Inputs!$B$2:$N$29,MATCH(C841,Pop_Inputs!$A$2:$A$29,0),G841))*(1-H841)+LN(INDEX(Pop_Inputs!$B$2:$N$29,MATCH(C841,Pop_Inputs!$A$2:$A$29,0),G841+1))*H841)</f>
        <v>790514.839389649</v>
      </c>
      <c r="J841" s="20" t="n">
        <f aca="false">I841/F841</f>
        <v>790514.839389649</v>
      </c>
      <c r="K841" s="21" t="n">
        <f aca="false">D841/(D841+E841)</f>
        <v>0.5</v>
      </c>
      <c r="L841" s="21" t="n">
        <f aca="false">AVERAGEIFS($K$2:$K$2705,$B$2:$B$2705,B841)</f>
        <v>0.50020937785108</v>
      </c>
      <c r="M841" s="21" t="n">
        <f aca="false">K841-L841</f>
        <v>-0.000209377851080217</v>
      </c>
      <c r="N841" s="21" t="n">
        <f aca="false">LN(J841)</f>
        <v>13.5804397076119</v>
      </c>
      <c r="O841" s="21" t="n">
        <f aca="false">AVERAGEIFS($N$2:$N$2705,$B$2:$B$2705,B841)</f>
        <v>13.8659999481731</v>
      </c>
      <c r="P841" s="21" t="n">
        <f aca="false">N841-O841</f>
        <v>-0.285560240561209</v>
      </c>
      <c r="Q841" s="7" t="n">
        <v>0</v>
      </c>
      <c r="R841" s="3" t="n">
        <f aca="false">IF(AND(Q841=1,B841-_xlfn.MINIFS($B$2:$B$2705,$A$2:$A$2705,A841)&lt;10),1,0)</f>
        <v>0</v>
      </c>
      <c r="S841" s="7" t="n">
        <v>0</v>
      </c>
      <c r="T841" s="3" t="n">
        <f aca="false">_xlfn.MINIFS($B$2:$B$2705,$A$2:$A$2705,A841)</f>
        <v>1901</v>
      </c>
      <c r="U841" s="3" t="n">
        <f aca="false">B841-T841</f>
        <v>52</v>
      </c>
      <c r="V841" s="3" t="str">
        <f aca="false">INDEX(Pop_Inputs!$Q$2:$Q$29,MATCH(C841,Pop_Inputs!$A$2:$A$29,0))</f>
        <v>South</v>
      </c>
      <c r="W841" s="30"/>
      <c r="X841" s="3" t="str">
        <f aca="false">IF(W841="","",LN(W841))</f>
        <v/>
      </c>
      <c r="Y841" s="3" t="str">
        <f aca="false">IF(X841="","",X841-AVERAGEIFS($X$2:$X$2705,$B$2:$B$2705,B841))</f>
        <v/>
      </c>
      <c r="Z841" s="21" t="n">
        <f aca="false">P841</f>
        <v>-0.285560240561209</v>
      </c>
      <c r="AA841" s="3" t="n">
        <f aca="false">R841</f>
        <v>0</v>
      </c>
      <c r="AB841" s="21" t="n">
        <f aca="false">P841</f>
        <v>-0.285560240561209</v>
      </c>
      <c r="AC841" s="3" t="str">
        <f aca="false">Y841</f>
        <v/>
      </c>
      <c r="AD841" s="3" t="n">
        <f aca="false">R841</f>
        <v>0</v>
      </c>
    </row>
    <row r="842" customFormat="false" ht="15" hidden="false" customHeight="true" outlineLevel="0" collapsed="false">
      <c r="A842" s="7" t="s">
        <v>70</v>
      </c>
      <c r="B842" s="7" t="n">
        <v>1953</v>
      </c>
      <c r="C842" s="7" t="s">
        <v>154</v>
      </c>
      <c r="D842" s="7" t="n">
        <v>99</v>
      </c>
      <c r="E842" s="7" t="n">
        <v>52</v>
      </c>
      <c r="F842" s="3" t="n">
        <f aca="false">COUNTIFS($B$2:$B$2705,B842,$C$2:$C$2705,C842)</f>
        <v>3</v>
      </c>
      <c r="G842" s="3" t="n">
        <f aca="false">MIN(INT((MIN(B842,2020)-1900)/10)+1,12)</f>
        <v>6</v>
      </c>
      <c r="H842" s="3" t="n">
        <f aca="false">(MIN(B842,2020)-1900-10*(G842-1))/10</f>
        <v>0.3</v>
      </c>
      <c r="I842" s="20" t="n">
        <f aca="false">EXP(LN(INDEX(Pop_Inputs!$B$2:$N$29,MATCH(C842,Pop_Inputs!$A$2:$A$29,0),G842))*(1-H842)+LN(INDEX(Pop_Inputs!$B$2:$N$29,MATCH(C842,Pop_Inputs!$A$2:$A$29,0),G842+1))*H842)</f>
        <v>7858802.90966781</v>
      </c>
      <c r="J842" s="20" t="n">
        <f aca="false">I842/F842</f>
        <v>2619600.96988927</v>
      </c>
      <c r="K842" s="21" t="n">
        <f aca="false">D842/(D842+E842)</f>
        <v>0.655629139072848</v>
      </c>
      <c r="L842" s="21" t="n">
        <f aca="false">AVERAGEIFS($K$2:$K$2705,$B$2:$B$2705,B842)</f>
        <v>0.50020937785108</v>
      </c>
      <c r="M842" s="21" t="n">
        <f aca="false">K842-L842</f>
        <v>0.155419761221767</v>
      </c>
      <c r="N842" s="21" t="n">
        <f aca="false">LN(J842)</f>
        <v>14.7785325625692</v>
      </c>
      <c r="O842" s="21" t="n">
        <f aca="false">AVERAGEIFS($N$2:$N$2705,$B$2:$B$2705,B842)</f>
        <v>13.8659999481731</v>
      </c>
      <c r="P842" s="21" t="n">
        <f aca="false">N842-O842</f>
        <v>0.912532614396142</v>
      </c>
      <c r="Q842" s="7" t="n">
        <v>0</v>
      </c>
      <c r="R842" s="3" t="n">
        <f aca="false">IF(AND(Q842=1,B842-_xlfn.MINIFS($B$2:$B$2705,$A$2:$A$2705,A842)&lt;10),1,0)</f>
        <v>0</v>
      </c>
      <c r="S842" s="7" t="n">
        <v>1</v>
      </c>
      <c r="T842" s="3" t="n">
        <f aca="false">_xlfn.MINIFS($B$2:$B$2705,$A$2:$A$2705,A842)</f>
        <v>1903</v>
      </c>
      <c r="U842" s="3" t="n">
        <f aca="false">B842-T842</f>
        <v>50</v>
      </c>
      <c r="V842" s="3" t="str">
        <f aca="false">INDEX(Pop_Inputs!$Q$2:$Q$29,MATCH(C842,Pop_Inputs!$A$2:$A$29,0))</f>
        <v>Northeast</v>
      </c>
      <c r="W842" s="30"/>
      <c r="X842" s="3" t="str">
        <f aca="false">IF(W842="","",LN(W842))</f>
        <v/>
      </c>
      <c r="Y842" s="3" t="str">
        <f aca="false">IF(X842="","",X842-AVERAGEIFS($X$2:$X$2705,$B$2:$B$2705,B842))</f>
        <v/>
      </c>
      <c r="Z842" s="21" t="n">
        <f aca="false">P842</f>
        <v>0.912532614396142</v>
      </c>
      <c r="AA842" s="3" t="n">
        <f aca="false">R842</f>
        <v>0</v>
      </c>
      <c r="AB842" s="21" t="n">
        <f aca="false">P842</f>
        <v>0.912532614396142</v>
      </c>
      <c r="AC842" s="3" t="str">
        <f aca="false">Y842</f>
        <v/>
      </c>
      <c r="AD842" s="3" t="n">
        <f aca="false">R842</f>
        <v>0</v>
      </c>
    </row>
    <row r="843" customFormat="false" ht="15" hidden="false" customHeight="true" outlineLevel="0" collapsed="false">
      <c r="A843" s="7" t="s">
        <v>69</v>
      </c>
      <c r="B843" s="7" t="n">
        <v>1953</v>
      </c>
      <c r="C843" s="7" t="s">
        <v>146</v>
      </c>
      <c r="D843" s="7" t="n">
        <v>59</v>
      </c>
      <c r="E843" s="7" t="n">
        <v>95</v>
      </c>
      <c r="F843" s="3" t="n">
        <f aca="false">COUNTIFS($B$2:$B$2705,B843,$C$2:$C$2705,C843)</f>
        <v>2</v>
      </c>
      <c r="G843" s="3" t="n">
        <f aca="false">MIN(INT((MIN(B843,2020)-1900)/10)+1,12)</f>
        <v>6</v>
      </c>
      <c r="H843" s="3" t="n">
        <f aca="false">(MIN(B843,2020)-1900-10*(G843-1))/10</f>
        <v>0.3</v>
      </c>
      <c r="I843" s="20" t="n">
        <f aca="false">EXP(LN(INDEX(Pop_Inputs!$B$2:$N$29,MATCH(C843,Pop_Inputs!$A$2:$A$29,0),G843))*(1-H843)+LN(INDEX(Pop_Inputs!$B$2:$N$29,MATCH(C843,Pop_Inputs!$A$2:$A$29,0),G843+1))*H843)</f>
        <v>2050630.45756717</v>
      </c>
      <c r="J843" s="20" t="n">
        <f aca="false">I843/F843</f>
        <v>1025315.22878358</v>
      </c>
      <c r="K843" s="21" t="n">
        <f aca="false">D843/(D843+E843)</f>
        <v>0.383116883116883</v>
      </c>
      <c r="L843" s="21" t="n">
        <f aca="false">AVERAGEIFS($K$2:$K$2705,$B$2:$B$2705,B843)</f>
        <v>0.50020937785108</v>
      </c>
      <c r="M843" s="21" t="n">
        <f aca="false">K843-L843</f>
        <v>-0.117092494734197</v>
      </c>
      <c r="N843" s="21" t="n">
        <f aca="false">LN(J843)</f>
        <v>13.8405106635505</v>
      </c>
      <c r="O843" s="21" t="n">
        <f aca="false">AVERAGEIFS($N$2:$N$2705,$B$2:$B$2705,B843)</f>
        <v>13.8659999481731</v>
      </c>
      <c r="P843" s="21" t="n">
        <f aca="false">N843-O843</f>
        <v>-0.0254892846226014</v>
      </c>
      <c r="Q843" s="7" t="n">
        <v>0</v>
      </c>
      <c r="R843" s="3" t="n">
        <f aca="false">IF(AND(Q843=1,B843-_xlfn.MINIFS($B$2:$B$2705,$A$2:$A$2705,A843)&lt;10),1,0)</f>
        <v>0</v>
      </c>
      <c r="S843" s="7" t="n">
        <v>0</v>
      </c>
      <c r="T843" s="3" t="n">
        <f aca="false">_xlfn.MINIFS($B$2:$B$2705,$A$2:$A$2705,A843)</f>
        <v>1901</v>
      </c>
      <c r="U843" s="3" t="n">
        <f aca="false">B843-T843</f>
        <v>52</v>
      </c>
      <c r="V843" s="3" t="str">
        <f aca="false">INDEX(Pop_Inputs!$Q$2:$Q$29,MATCH(C843,Pop_Inputs!$A$2:$A$29,0))</f>
        <v>Northeast</v>
      </c>
      <c r="W843" s="30"/>
      <c r="X843" s="3" t="str">
        <f aca="false">IF(W843="","",LN(W843))</f>
        <v/>
      </c>
      <c r="Y843" s="3" t="str">
        <f aca="false">IF(X843="","",X843-AVERAGEIFS($X$2:$X$2705,$B$2:$B$2705,B843))</f>
        <v/>
      </c>
      <c r="Z843" s="21" t="n">
        <f aca="false">P843</f>
        <v>-0.0254892846226014</v>
      </c>
      <c r="AA843" s="3" t="n">
        <f aca="false">R843</f>
        <v>0</v>
      </c>
      <c r="AB843" s="21" t="n">
        <f aca="false">P843</f>
        <v>-0.0254892846226014</v>
      </c>
      <c r="AC843" s="3" t="str">
        <f aca="false">Y843</f>
        <v/>
      </c>
      <c r="AD843" s="3" t="n">
        <f aca="false">R843</f>
        <v>0</v>
      </c>
    </row>
    <row r="844" customFormat="false" ht="15" hidden="false" customHeight="true" outlineLevel="0" collapsed="false">
      <c r="A844" s="7" t="s">
        <v>60</v>
      </c>
      <c r="B844" s="7" t="n">
        <v>1953</v>
      </c>
      <c r="C844" s="7" t="s">
        <v>146</v>
      </c>
      <c r="D844" s="7" t="n">
        <v>83</v>
      </c>
      <c r="E844" s="7" t="n">
        <v>71</v>
      </c>
      <c r="F844" s="3" t="n">
        <f aca="false">COUNTIFS($B$2:$B$2705,B844,$C$2:$C$2705,C844)</f>
        <v>2</v>
      </c>
      <c r="G844" s="3" t="n">
        <f aca="false">MIN(INT((MIN(B844,2020)-1900)/10)+1,12)</f>
        <v>6</v>
      </c>
      <c r="H844" s="3" t="n">
        <f aca="false">(MIN(B844,2020)-1900-10*(G844-1))/10</f>
        <v>0.3</v>
      </c>
      <c r="I844" s="20" t="n">
        <f aca="false">EXP(LN(INDEX(Pop_Inputs!$B$2:$N$29,MATCH(C844,Pop_Inputs!$A$2:$A$29,0),G844))*(1-H844)+LN(INDEX(Pop_Inputs!$B$2:$N$29,MATCH(C844,Pop_Inputs!$A$2:$A$29,0),G844+1))*H844)</f>
        <v>2050630.45756717</v>
      </c>
      <c r="J844" s="20" t="n">
        <f aca="false">I844/F844</f>
        <v>1025315.22878358</v>
      </c>
      <c r="K844" s="21" t="n">
        <f aca="false">D844/(D844+E844)</f>
        <v>0.538961038961039</v>
      </c>
      <c r="L844" s="21" t="n">
        <f aca="false">AVERAGEIFS($K$2:$K$2705,$B$2:$B$2705,B844)</f>
        <v>0.50020937785108</v>
      </c>
      <c r="M844" s="21" t="n">
        <f aca="false">K844-L844</f>
        <v>0.0387516611099588</v>
      </c>
      <c r="N844" s="21" t="n">
        <f aca="false">LN(J844)</f>
        <v>13.8405106635505</v>
      </c>
      <c r="O844" s="21" t="n">
        <f aca="false">AVERAGEIFS($N$2:$N$2705,$B$2:$B$2705,B844)</f>
        <v>13.8659999481731</v>
      </c>
      <c r="P844" s="21" t="n">
        <f aca="false">N844-O844</f>
        <v>-0.0254892846226014</v>
      </c>
      <c r="Q844" s="7" t="n">
        <v>0</v>
      </c>
      <c r="R844" s="3" t="n">
        <f aca="false">IF(AND(Q844=1,B844-_xlfn.MINIFS($B$2:$B$2705,$A$2:$A$2705,A844)&lt;10),1,0)</f>
        <v>0</v>
      </c>
      <c r="S844" s="7" t="n">
        <v>0</v>
      </c>
      <c r="T844" s="3" t="n">
        <f aca="false">_xlfn.MINIFS($B$2:$B$2705,$A$2:$A$2705,A844)</f>
        <v>1901</v>
      </c>
      <c r="U844" s="3" t="n">
        <f aca="false">B844-T844</f>
        <v>52</v>
      </c>
      <c r="V844" s="3" t="str">
        <f aca="false">INDEX(Pop_Inputs!$Q$2:$Q$29,MATCH(C844,Pop_Inputs!$A$2:$A$29,0))</f>
        <v>Northeast</v>
      </c>
      <c r="W844" s="30"/>
      <c r="X844" s="3" t="str">
        <f aca="false">IF(W844="","",LN(W844))</f>
        <v/>
      </c>
      <c r="Y844" s="3" t="str">
        <f aca="false">IF(X844="","",X844-AVERAGEIFS($X$2:$X$2705,$B$2:$B$2705,B844))</f>
        <v/>
      </c>
      <c r="Z844" s="21" t="n">
        <f aca="false">P844</f>
        <v>-0.0254892846226014</v>
      </c>
      <c r="AA844" s="3" t="n">
        <f aca="false">R844</f>
        <v>0</v>
      </c>
      <c r="AB844" s="21" t="n">
        <f aca="false">P844</f>
        <v>-0.0254892846226014</v>
      </c>
      <c r="AC844" s="3" t="str">
        <f aca="false">Y844</f>
        <v/>
      </c>
      <c r="AD844" s="3" t="n">
        <f aca="false">R844</f>
        <v>0</v>
      </c>
    </row>
    <row r="845" customFormat="false" ht="15" hidden="false" customHeight="true" outlineLevel="0" collapsed="false">
      <c r="A845" s="7" t="s">
        <v>58</v>
      </c>
      <c r="B845" s="7" t="n">
        <v>1953</v>
      </c>
      <c r="C845" s="7" t="s">
        <v>144</v>
      </c>
      <c r="D845" s="7" t="n">
        <v>50</v>
      </c>
      <c r="E845" s="7" t="n">
        <v>104</v>
      </c>
      <c r="F845" s="3" t="n">
        <f aca="false">COUNTIFS($B$2:$B$2705,B845,$C$2:$C$2705,C845)</f>
        <v>1</v>
      </c>
      <c r="G845" s="3" t="n">
        <f aca="false">MIN(INT((MIN(B845,2020)-1900)/10)+1,12)</f>
        <v>6</v>
      </c>
      <c r="H845" s="3" t="n">
        <f aca="false">(MIN(B845,2020)-1900-10*(G845-1))/10</f>
        <v>0.3</v>
      </c>
      <c r="I845" s="20" t="n">
        <f aca="false">EXP(LN(INDEX(Pop_Inputs!$B$2:$N$29,MATCH(C845,Pop_Inputs!$A$2:$A$29,0),G845))*(1-H845)+LN(INDEX(Pop_Inputs!$B$2:$N$29,MATCH(C845,Pop_Inputs!$A$2:$A$29,0),G845+1))*H845)</f>
        <v>654195.597958808</v>
      </c>
      <c r="J845" s="20" t="n">
        <f aca="false">I845/F845</f>
        <v>654195.597958808</v>
      </c>
      <c r="K845" s="21" t="n">
        <f aca="false">D845/(D845+E845)</f>
        <v>0.324675324675325</v>
      </c>
      <c r="L845" s="21" t="n">
        <f aca="false">AVERAGEIFS($K$2:$K$2705,$B$2:$B$2705,B845)</f>
        <v>0.50020937785108</v>
      </c>
      <c r="M845" s="21" t="n">
        <f aca="false">K845-L845</f>
        <v>-0.175534053175756</v>
      </c>
      <c r="N845" s="21" t="n">
        <f aca="false">LN(J845)</f>
        <v>13.3911616651717</v>
      </c>
      <c r="O845" s="21" t="n">
        <f aca="false">AVERAGEIFS($N$2:$N$2705,$B$2:$B$2705,B845)</f>
        <v>13.8659999481731</v>
      </c>
      <c r="P845" s="21" t="n">
        <f aca="false">N845-O845</f>
        <v>-0.474838283001384</v>
      </c>
      <c r="Q845" s="7" t="n">
        <v>0</v>
      </c>
      <c r="R845" s="3" t="n">
        <f aca="false">IF(AND(Q845=1,B845-_xlfn.MINIFS($B$2:$B$2705,$A$2:$A$2705,A845)&lt;10),1,0)</f>
        <v>0</v>
      </c>
      <c r="S845" s="7" t="n">
        <v>0</v>
      </c>
      <c r="T845" s="3" t="n">
        <f aca="false">_xlfn.MINIFS($B$2:$B$2705,$A$2:$A$2705,A845)</f>
        <v>1901</v>
      </c>
      <c r="U845" s="3" t="n">
        <f aca="false">B845-T845</f>
        <v>52</v>
      </c>
      <c r="V845" s="3" t="str">
        <f aca="false">INDEX(Pop_Inputs!$Q$2:$Q$29,MATCH(C845,Pop_Inputs!$A$2:$A$29,0))</f>
        <v>Northeast</v>
      </c>
      <c r="W845" s="30"/>
      <c r="X845" s="3" t="str">
        <f aca="false">IF(W845="","",LN(W845))</f>
        <v/>
      </c>
      <c r="Y845" s="3" t="str">
        <f aca="false">IF(X845="","",X845-AVERAGEIFS($X$2:$X$2705,$B$2:$B$2705,B845))</f>
        <v/>
      </c>
      <c r="Z845" s="21" t="n">
        <f aca="false">P845</f>
        <v>-0.474838283001384</v>
      </c>
      <c r="AA845" s="3" t="n">
        <f aca="false">R845</f>
        <v>0</v>
      </c>
      <c r="AB845" s="21" t="n">
        <f aca="false">P845</f>
        <v>-0.474838283001384</v>
      </c>
      <c r="AC845" s="3" t="str">
        <f aca="false">Y845</f>
        <v/>
      </c>
      <c r="AD845" s="3" t="n">
        <f aca="false">R845</f>
        <v>0</v>
      </c>
    </row>
    <row r="846" customFormat="false" ht="15" hidden="false" customHeight="true" outlineLevel="0" collapsed="false">
      <c r="A846" s="7" t="s">
        <v>61</v>
      </c>
      <c r="B846" s="7" t="n">
        <v>1953</v>
      </c>
      <c r="C846" s="7" t="s">
        <v>154</v>
      </c>
      <c r="D846" s="7" t="n">
        <v>70</v>
      </c>
      <c r="E846" s="7" t="n">
        <v>84</v>
      </c>
      <c r="F846" s="3" t="n">
        <f aca="false">COUNTIFS($B$2:$B$2705,B846,$C$2:$C$2705,C846)</f>
        <v>3</v>
      </c>
      <c r="G846" s="3" t="n">
        <f aca="false">MIN(INT((MIN(B846,2020)-1900)/10)+1,12)</f>
        <v>6</v>
      </c>
      <c r="H846" s="3" t="n">
        <f aca="false">(MIN(B846,2020)-1900-10*(G846-1))/10</f>
        <v>0.3</v>
      </c>
      <c r="I846" s="20" t="n">
        <f aca="false">EXP(LN(INDEX(Pop_Inputs!$B$2:$N$29,MATCH(C846,Pop_Inputs!$A$2:$A$29,0),G846))*(1-H846)+LN(INDEX(Pop_Inputs!$B$2:$N$29,MATCH(C846,Pop_Inputs!$A$2:$A$29,0),G846+1))*H846)</f>
        <v>7858802.90966781</v>
      </c>
      <c r="J846" s="20" t="n">
        <f aca="false">I846/F846</f>
        <v>2619600.96988927</v>
      </c>
      <c r="K846" s="21" t="n">
        <f aca="false">D846/(D846+E846)</f>
        <v>0.454545454545455</v>
      </c>
      <c r="L846" s="21" t="n">
        <f aca="false">AVERAGEIFS($K$2:$K$2705,$B$2:$B$2705,B846)</f>
        <v>0.50020937785108</v>
      </c>
      <c r="M846" s="21" t="n">
        <f aca="false">K846-L846</f>
        <v>-0.0456639233056257</v>
      </c>
      <c r="N846" s="21" t="n">
        <f aca="false">LN(J846)</f>
        <v>14.7785325625692</v>
      </c>
      <c r="O846" s="21" t="n">
        <f aca="false">AVERAGEIFS($N$2:$N$2705,$B$2:$B$2705,B846)</f>
        <v>13.8659999481731</v>
      </c>
      <c r="P846" s="21" t="n">
        <f aca="false">N846-O846</f>
        <v>0.912532614396142</v>
      </c>
      <c r="Q846" s="7" t="n">
        <v>0</v>
      </c>
      <c r="R846" s="3" t="n">
        <f aca="false">IF(AND(Q846=1,B846-_xlfn.MINIFS($B$2:$B$2705,$A$2:$A$2705,A846)&lt;10),1,0)</f>
        <v>0</v>
      </c>
      <c r="S846" s="7" t="n">
        <v>0</v>
      </c>
      <c r="T846" s="3" t="n">
        <f aca="false">_xlfn.MINIFS($B$2:$B$2705,$A$2:$A$2705,A846)</f>
        <v>1901</v>
      </c>
      <c r="U846" s="3" t="n">
        <f aca="false">B846-T846</f>
        <v>52</v>
      </c>
      <c r="V846" s="3" t="str">
        <f aca="false">INDEX(Pop_Inputs!$Q$2:$Q$29,MATCH(C846,Pop_Inputs!$A$2:$A$29,0))</f>
        <v>Northeast</v>
      </c>
      <c r="W846" s="30"/>
      <c r="X846" s="3" t="str">
        <f aca="false">IF(W846="","",LN(W846))</f>
        <v/>
      </c>
      <c r="Y846" s="3" t="str">
        <f aca="false">IF(X846="","",X846-AVERAGEIFS($X$2:$X$2705,$B$2:$B$2705,B846))</f>
        <v/>
      </c>
      <c r="Z846" s="21" t="n">
        <f aca="false">P846</f>
        <v>0.912532614396142</v>
      </c>
      <c r="AA846" s="3" t="n">
        <f aca="false">R846</f>
        <v>0</v>
      </c>
      <c r="AB846" s="21" t="n">
        <f aca="false">P846</f>
        <v>0.912532614396142</v>
      </c>
      <c r="AC846" s="3" t="str">
        <f aca="false">Y846</f>
        <v/>
      </c>
      <c r="AD846" s="3" t="n">
        <f aca="false">R846</f>
        <v>0</v>
      </c>
    </row>
    <row r="847" customFormat="false" ht="15" hidden="false" customHeight="true" outlineLevel="0" collapsed="false">
      <c r="A847" s="7" t="s">
        <v>59</v>
      </c>
      <c r="B847" s="7" t="n">
        <v>1953</v>
      </c>
      <c r="C847" s="7" t="s">
        <v>145</v>
      </c>
      <c r="D847" s="7" t="n">
        <v>83</v>
      </c>
      <c r="E847" s="7" t="n">
        <v>71</v>
      </c>
      <c r="F847" s="3" t="n">
        <f aca="false">COUNTIFS($B$2:$B$2705,B847,$C$2:$C$2705,C847)</f>
        <v>2</v>
      </c>
      <c r="G847" s="3" t="n">
        <f aca="false">MIN(INT((MIN(B847,2020)-1900)/10)+1,12)</f>
        <v>6</v>
      </c>
      <c r="H847" s="3" t="n">
        <f aca="false">(MIN(B847,2020)-1900-10*(G847-1))/10</f>
        <v>0.3</v>
      </c>
      <c r="I847" s="20" t="n">
        <f aca="false">EXP(LN(INDEX(Pop_Inputs!$B$2:$N$29,MATCH(C847,Pop_Inputs!$A$2:$A$29,0),G847))*(1-H847)+LN(INDEX(Pop_Inputs!$B$2:$N$29,MATCH(C847,Pop_Inputs!$A$2:$A$29,0),G847+1))*H847)</f>
        <v>823260.155620604</v>
      </c>
      <c r="J847" s="20" t="n">
        <f aca="false">I847/F847</f>
        <v>411630.077810302</v>
      </c>
      <c r="K847" s="21" t="n">
        <f aca="false">D847/(D847+E847)</f>
        <v>0.538961038961039</v>
      </c>
      <c r="L847" s="21" t="n">
        <f aca="false">AVERAGEIFS($K$2:$K$2705,$B$2:$B$2705,B847)</f>
        <v>0.50020937785108</v>
      </c>
      <c r="M847" s="21" t="n">
        <f aca="false">K847-L847</f>
        <v>0.0387516611099588</v>
      </c>
      <c r="N847" s="21" t="n">
        <f aca="false">LN(J847)</f>
        <v>12.927880355613</v>
      </c>
      <c r="O847" s="21" t="n">
        <f aca="false">AVERAGEIFS($N$2:$N$2705,$B$2:$B$2705,B847)</f>
        <v>13.8659999481731</v>
      </c>
      <c r="P847" s="21" t="n">
        <f aca="false">N847-O847</f>
        <v>-0.938119592560067</v>
      </c>
      <c r="Q847" s="7" t="n">
        <v>0</v>
      </c>
      <c r="R847" s="3" t="n">
        <f aca="false">IF(AND(Q847=1,B847-_xlfn.MINIFS($B$2:$B$2705,$A$2:$A$2705,A847)&lt;10),1,0)</f>
        <v>0</v>
      </c>
      <c r="S847" s="7" t="n">
        <v>0</v>
      </c>
      <c r="T847" s="3" t="n">
        <f aca="false">_xlfn.MINIFS($B$2:$B$2705,$A$2:$A$2705,A847)</f>
        <v>1901</v>
      </c>
      <c r="U847" s="3" t="n">
        <f aca="false">B847-T847</f>
        <v>52</v>
      </c>
      <c r="V847" s="3" t="str">
        <f aca="false">INDEX(Pop_Inputs!$Q$2:$Q$29,MATCH(C847,Pop_Inputs!$A$2:$A$29,0))</f>
        <v>Midwest</v>
      </c>
      <c r="W847" s="30"/>
      <c r="X847" s="3" t="str">
        <f aca="false">IF(W847="","",LN(W847))</f>
        <v/>
      </c>
      <c r="Y847" s="3" t="str">
        <f aca="false">IF(X847="","",X847-AVERAGEIFS($X$2:$X$2705,$B$2:$B$2705,B847))</f>
        <v/>
      </c>
      <c r="Z847" s="21" t="n">
        <f aca="false">P847</f>
        <v>-0.938119592560067</v>
      </c>
      <c r="AA847" s="3" t="n">
        <f aca="false">R847</f>
        <v>0</v>
      </c>
      <c r="AB847" s="21" t="n">
        <f aca="false">P847</f>
        <v>-0.938119592560067</v>
      </c>
      <c r="AC847" s="3" t="str">
        <f aca="false">Y847</f>
        <v/>
      </c>
      <c r="AD847" s="3" t="n">
        <f aca="false">R847</f>
        <v>0</v>
      </c>
    </row>
    <row r="848" customFormat="false" ht="15" hidden="false" customHeight="true" outlineLevel="0" collapsed="false">
      <c r="A848" s="7" t="s">
        <v>54</v>
      </c>
      <c r="B848" s="7" t="n">
        <v>1954</v>
      </c>
      <c r="C848" s="7" t="s">
        <v>158</v>
      </c>
      <c r="D848" s="7" t="n">
        <v>89</v>
      </c>
      <c r="E848" s="7" t="n">
        <v>65</v>
      </c>
      <c r="F848" s="3" t="n">
        <f aca="false">COUNTIFS($B$2:$B$2705,B848,$C$2:$C$2705,C848)</f>
        <v>1</v>
      </c>
      <c r="G848" s="3" t="n">
        <f aca="false">MIN(INT((MIN(B848,2020)-1900)/10)+1,12)</f>
        <v>6</v>
      </c>
      <c r="H848" s="3" t="n">
        <f aca="false">(MIN(B848,2020)-1900-10*(G848-1))/10</f>
        <v>0.4</v>
      </c>
      <c r="I848" s="20" t="n">
        <f aca="false">EXP(LN(INDEX(Pop_Inputs!$B$2:$N$29,MATCH(C848,Pop_Inputs!$A$2:$A$29,0),G848))*(1-H848)+LN(INDEX(Pop_Inputs!$B$2:$N$29,MATCH(C848,Pop_Inputs!$A$2:$A$29,0),G848+1))*H848)</f>
        <v>677091.23075598</v>
      </c>
      <c r="J848" s="20" t="n">
        <f aca="false">I848/F848</f>
        <v>677091.23075598</v>
      </c>
      <c r="K848" s="21" t="n">
        <f aca="false">D848/(D848+E848)</f>
        <v>0.577922077922078</v>
      </c>
      <c r="L848" s="21" t="n">
        <f aca="false">AVERAGEIFS($K$2:$K$2705,$B$2:$B$2705,B848)</f>
        <v>0.5</v>
      </c>
      <c r="M848" s="21" t="n">
        <f aca="false">K848-L848</f>
        <v>0.077922077922078</v>
      </c>
      <c r="N848" s="21" t="n">
        <f aca="false">LN(J848)</f>
        <v>13.4255613002098</v>
      </c>
      <c r="O848" s="21" t="n">
        <f aca="false">AVERAGEIFS($N$2:$N$2705,$B$2:$B$2705,B848)</f>
        <v>13.9576595546239</v>
      </c>
      <c r="P848" s="21" t="n">
        <f aca="false">N848-O848</f>
        <v>-0.532098254414105</v>
      </c>
      <c r="Q848" s="7" t="n">
        <v>0</v>
      </c>
      <c r="R848" s="3" t="n">
        <f aca="false">IF(AND(Q848=1,B848-_xlfn.MINIFS($B$2:$B$2705,$A$2:$A$2705,A848)&lt;10),1,0)</f>
        <v>0</v>
      </c>
      <c r="S848" s="7" t="n">
        <v>0</v>
      </c>
      <c r="T848" s="3" t="n">
        <f aca="false">_xlfn.MINIFS($B$2:$B$2705,$A$2:$A$2705,A848)</f>
        <v>1901</v>
      </c>
      <c r="U848" s="3" t="n">
        <f aca="false">B848-T848</f>
        <v>53</v>
      </c>
      <c r="V848" s="3" t="str">
        <f aca="false">INDEX(Pop_Inputs!$Q$2:$Q$29,MATCH(C848,Pop_Inputs!$A$2:$A$29,0))</f>
        <v>Midwest</v>
      </c>
      <c r="W848" s="30"/>
      <c r="X848" s="3" t="str">
        <f aca="false">IF(W848="","",LN(W848))</f>
        <v/>
      </c>
      <c r="Y848" s="3" t="str">
        <f aca="false">IF(X848="","",X848-AVERAGEIFS($X$2:$X$2705,$B$2:$B$2705,B848))</f>
        <v/>
      </c>
      <c r="Z848" s="21" t="n">
        <f aca="false">P848</f>
        <v>-0.532098254414105</v>
      </c>
      <c r="AA848" s="3" t="n">
        <f aca="false">R848</f>
        <v>0</v>
      </c>
      <c r="AB848" s="21" t="n">
        <f aca="false">P848</f>
        <v>-0.532098254414105</v>
      </c>
      <c r="AC848" s="3" t="str">
        <f aca="false">Y848</f>
        <v/>
      </c>
      <c r="AD848" s="3" t="n">
        <f aca="false">R848</f>
        <v>0</v>
      </c>
    </row>
    <row r="849" customFormat="false" ht="15" hidden="false" customHeight="true" outlineLevel="0" collapsed="false">
      <c r="A849" s="7" t="s">
        <v>63</v>
      </c>
      <c r="B849" s="7" t="n">
        <v>1954</v>
      </c>
      <c r="C849" s="7" t="s">
        <v>149</v>
      </c>
      <c r="D849" s="7" t="n">
        <v>54</v>
      </c>
      <c r="E849" s="7" t="n">
        <v>100</v>
      </c>
      <c r="F849" s="3" t="n">
        <f aca="false">COUNTIFS($B$2:$B$2705,B849,$C$2:$C$2705,C849)</f>
        <v>1</v>
      </c>
      <c r="G849" s="3" t="n">
        <f aca="false">MIN(INT((MIN(B849,2020)-1900)/10)+1,12)</f>
        <v>6</v>
      </c>
      <c r="H849" s="3" t="n">
        <f aca="false">(MIN(B849,2020)-1900-10*(G849-1))/10</f>
        <v>0.4</v>
      </c>
      <c r="I849" s="20" t="n">
        <f aca="false">EXP(LN(INDEX(Pop_Inputs!$B$2:$N$29,MATCH(C849,Pop_Inputs!$A$2:$A$29,0),G849))*(1-H849)+LN(INDEX(Pop_Inputs!$B$2:$N$29,MATCH(C849,Pop_Inputs!$A$2:$A$29,0),G849+1))*H849)</f>
        <v>945419.889715368</v>
      </c>
      <c r="J849" s="20" t="n">
        <f aca="false">I849/F849</f>
        <v>945419.889715368</v>
      </c>
      <c r="K849" s="21" t="n">
        <f aca="false">D849/(D849+E849)</f>
        <v>0.350649350649351</v>
      </c>
      <c r="L849" s="21" t="n">
        <f aca="false">AVERAGEIFS($K$2:$K$2705,$B$2:$B$2705,B849)</f>
        <v>0.5</v>
      </c>
      <c r="M849" s="21" t="n">
        <f aca="false">K849-L849</f>
        <v>-0.149350649350649</v>
      </c>
      <c r="N849" s="21" t="n">
        <f aca="false">LN(J849)</f>
        <v>13.7593844355327</v>
      </c>
      <c r="O849" s="21" t="n">
        <f aca="false">AVERAGEIFS($N$2:$N$2705,$B$2:$B$2705,B849)</f>
        <v>13.9576595546239</v>
      </c>
      <c r="P849" s="21" t="n">
        <f aca="false">N849-O849</f>
        <v>-0.198275119091242</v>
      </c>
      <c r="Q849" s="7" t="n">
        <v>0</v>
      </c>
      <c r="R849" s="3" t="n">
        <f aca="false">IF(AND(Q849=1,B849-_xlfn.MINIFS($B$2:$B$2705,$A$2:$A$2705,A849)&lt;10),1,0)</f>
        <v>0</v>
      </c>
      <c r="S849" s="7" t="n">
        <v>0</v>
      </c>
      <c r="T849" s="3" t="n">
        <f aca="false">_xlfn.MINIFS($B$2:$B$2705,$A$2:$A$2705,A849)</f>
        <v>1901</v>
      </c>
      <c r="U849" s="3" t="n">
        <f aca="false">B849-T849</f>
        <v>53</v>
      </c>
      <c r="V849" s="3" t="str">
        <f aca="false">INDEX(Pop_Inputs!$Q$2:$Q$29,MATCH(C849,Pop_Inputs!$A$2:$A$29,0))</f>
        <v>South</v>
      </c>
      <c r="W849" s="30"/>
      <c r="X849" s="3" t="str">
        <f aca="false">IF(W849="","",LN(W849))</f>
        <v/>
      </c>
      <c r="Y849" s="3" t="str">
        <f aca="false">IF(X849="","",X849-AVERAGEIFS($X$2:$X$2705,$B$2:$B$2705,B849))</f>
        <v/>
      </c>
      <c r="Z849" s="21" t="n">
        <f aca="false">P849</f>
        <v>-0.198275119091242</v>
      </c>
      <c r="AA849" s="3" t="n">
        <f aca="false">R849</f>
        <v>0</v>
      </c>
      <c r="AB849" s="21" t="n">
        <f aca="false">P849</f>
        <v>-0.198275119091242</v>
      </c>
      <c r="AC849" s="3" t="str">
        <f aca="false">Y849</f>
        <v/>
      </c>
      <c r="AD849" s="3" t="n">
        <f aca="false">R849</f>
        <v>0</v>
      </c>
    </row>
    <row r="850" customFormat="false" ht="15" hidden="false" customHeight="true" outlineLevel="0" collapsed="false">
      <c r="A850" s="7" t="s">
        <v>64</v>
      </c>
      <c r="B850" s="7" t="n">
        <v>1954</v>
      </c>
      <c r="C850" s="7" t="s">
        <v>150</v>
      </c>
      <c r="D850" s="7" t="n">
        <v>69</v>
      </c>
      <c r="E850" s="7" t="n">
        <v>85</v>
      </c>
      <c r="F850" s="3" t="n">
        <f aca="false">COUNTIFS($B$2:$B$2705,B850,$C$2:$C$2705,C850)</f>
        <v>1</v>
      </c>
      <c r="G850" s="3" t="n">
        <f aca="false">MIN(INT((MIN(B850,2020)-1900)/10)+1,12)</f>
        <v>6</v>
      </c>
      <c r="H850" s="3" t="n">
        <f aca="false">(MIN(B850,2020)-1900-10*(G850-1))/10</f>
        <v>0.4</v>
      </c>
      <c r="I850" s="20" t="n">
        <f aca="false">EXP(LN(INDEX(Pop_Inputs!$B$2:$N$29,MATCH(C850,Pop_Inputs!$A$2:$A$29,0),G850))*(1-H850)+LN(INDEX(Pop_Inputs!$B$2:$N$29,MATCH(C850,Pop_Inputs!$A$2:$A$29,0),G850+1))*H850)</f>
        <v>757994.602308562</v>
      </c>
      <c r="J850" s="20" t="n">
        <f aca="false">I850/F850</f>
        <v>757994.602308562</v>
      </c>
      <c r="K850" s="21" t="n">
        <f aca="false">D850/(D850+E850)</f>
        <v>0.448051948051948</v>
      </c>
      <c r="L850" s="21" t="n">
        <f aca="false">AVERAGEIFS($K$2:$K$2705,$B$2:$B$2705,B850)</f>
        <v>0.5</v>
      </c>
      <c r="M850" s="21" t="n">
        <f aca="false">K850-L850</f>
        <v>-0.051948051948052</v>
      </c>
      <c r="N850" s="21" t="n">
        <f aca="false">LN(J850)</f>
        <v>13.5384315436342</v>
      </c>
      <c r="O850" s="21" t="n">
        <f aca="false">AVERAGEIFS($N$2:$N$2705,$B$2:$B$2705,B850)</f>
        <v>13.9576595546239</v>
      </c>
      <c r="P850" s="21" t="n">
        <f aca="false">N850-O850</f>
        <v>-0.419228010989716</v>
      </c>
      <c r="Q850" s="7" t="n">
        <v>0</v>
      </c>
      <c r="R850" s="3" t="n">
        <f aca="false">IF(AND(Q850=1,B850-_xlfn.MINIFS($B$2:$B$2705,$A$2:$A$2705,A850)&lt;10),1,0)</f>
        <v>0</v>
      </c>
      <c r="S850" s="7" t="n">
        <v>0</v>
      </c>
      <c r="T850" s="3" t="n">
        <f aca="false">_xlfn.MINIFS($B$2:$B$2705,$A$2:$A$2705,A850)</f>
        <v>1901</v>
      </c>
      <c r="U850" s="3" t="n">
        <f aca="false">B850-T850</f>
        <v>53</v>
      </c>
      <c r="V850" s="3" t="str">
        <f aca="false">INDEX(Pop_Inputs!$Q$2:$Q$29,MATCH(C850,Pop_Inputs!$A$2:$A$29,0))</f>
        <v>Northeast</v>
      </c>
      <c r="W850" s="30"/>
      <c r="X850" s="3" t="str">
        <f aca="false">IF(W850="","",LN(W850))</f>
        <v/>
      </c>
      <c r="Y850" s="3" t="str">
        <f aca="false">IF(X850="","",X850-AVERAGEIFS($X$2:$X$2705,$B$2:$B$2705,B850))</f>
        <v/>
      </c>
      <c r="Z850" s="21" t="n">
        <f aca="false">P850</f>
        <v>-0.419228010989716</v>
      </c>
      <c r="AA850" s="3" t="n">
        <f aca="false">R850</f>
        <v>0</v>
      </c>
      <c r="AB850" s="21" t="n">
        <f aca="false">P850</f>
        <v>-0.419228010989716</v>
      </c>
      <c r="AC850" s="3" t="str">
        <f aca="false">Y850</f>
        <v/>
      </c>
      <c r="AD850" s="3" t="n">
        <f aca="false">R850</f>
        <v>0</v>
      </c>
    </row>
    <row r="851" customFormat="false" ht="15" hidden="false" customHeight="true" outlineLevel="0" collapsed="false">
      <c r="A851" s="7" t="s">
        <v>56</v>
      </c>
      <c r="B851" s="7" t="n">
        <v>1954</v>
      </c>
      <c r="C851" s="7" t="s">
        <v>142</v>
      </c>
      <c r="D851" s="7" t="n">
        <v>64</v>
      </c>
      <c r="E851" s="7" t="n">
        <v>90</v>
      </c>
      <c r="F851" s="3" t="n">
        <f aca="false">COUNTIFS($B$2:$B$2705,B851,$C$2:$C$2705,C851)</f>
        <v>2</v>
      </c>
      <c r="G851" s="3" t="n">
        <f aca="false">MIN(INT((MIN(B851,2020)-1900)/10)+1,12)</f>
        <v>6</v>
      </c>
      <c r="H851" s="3" t="n">
        <f aca="false">(MIN(B851,2020)-1900-10*(G851-1))/10</f>
        <v>0.4</v>
      </c>
      <c r="I851" s="20" t="n">
        <f aca="false">EXP(LN(INDEX(Pop_Inputs!$B$2:$N$29,MATCH(C851,Pop_Inputs!$A$2:$A$29,0),G851))*(1-H851)+LN(INDEX(Pop_Inputs!$B$2:$N$29,MATCH(C851,Pop_Inputs!$A$2:$A$29,0),G851+1))*H851)</f>
        <v>3592572.07631242</v>
      </c>
      <c r="J851" s="20" t="n">
        <f aca="false">I851/F851</f>
        <v>1796286.03815621</v>
      </c>
      <c r="K851" s="21" t="n">
        <f aca="false">D851/(D851+E851)</f>
        <v>0.415584415584416</v>
      </c>
      <c r="L851" s="21" t="n">
        <f aca="false">AVERAGEIFS($K$2:$K$2705,$B$2:$B$2705,B851)</f>
        <v>0.5</v>
      </c>
      <c r="M851" s="21" t="n">
        <f aca="false">K851-L851</f>
        <v>-0.0844155844155844</v>
      </c>
      <c r="N851" s="21" t="n">
        <f aca="false">LN(J851)</f>
        <v>14.4012317791699</v>
      </c>
      <c r="O851" s="21" t="n">
        <f aca="false">AVERAGEIFS($N$2:$N$2705,$B$2:$B$2705,B851)</f>
        <v>13.9576595546239</v>
      </c>
      <c r="P851" s="21" t="n">
        <f aca="false">N851-O851</f>
        <v>0.443572224546001</v>
      </c>
      <c r="Q851" s="7" t="n">
        <v>0</v>
      </c>
      <c r="R851" s="3" t="n">
        <f aca="false">IF(AND(Q851=1,B851-_xlfn.MINIFS($B$2:$B$2705,$A$2:$A$2705,A851)&lt;10),1,0)</f>
        <v>0</v>
      </c>
      <c r="S851" s="7" t="n">
        <v>0</v>
      </c>
      <c r="T851" s="3" t="n">
        <f aca="false">_xlfn.MINIFS($B$2:$B$2705,$A$2:$A$2705,A851)</f>
        <v>1901</v>
      </c>
      <c r="U851" s="3" t="n">
        <f aca="false">B851-T851</f>
        <v>53</v>
      </c>
      <c r="V851" s="3" t="str">
        <f aca="false">INDEX(Pop_Inputs!$Q$2:$Q$29,MATCH(C851,Pop_Inputs!$A$2:$A$29,0))</f>
        <v>Midwest</v>
      </c>
      <c r="W851" s="30"/>
      <c r="X851" s="3" t="str">
        <f aca="false">IF(W851="","",LN(W851))</f>
        <v/>
      </c>
      <c r="Y851" s="3" t="str">
        <f aca="false">IF(X851="","",X851-AVERAGEIFS($X$2:$X$2705,$B$2:$B$2705,B851))</f>
        <v/>
      </c>
      <c r="Z851" s="21" t="n">
        <f aca="false">P851</f>
        <v>0.443572224546001</v>
      </c>
      <c r="AA851" s="3" t="n">
        <f aca="false">R851</f>
        <v>0</v>
      </c>
      <c r="AB851" s="21" t="n">
        <f aca="false">P851</f>
        <v>0.443572224546001</v>
      </c>
      <c r="AC851" s="3" t="str">
        <f aca="false">Y851</f>
        <v/>
      </c>
      <c r="AD851" s="3" t="n">
        <f aca="false">R851</f>
        <v>0</v>
      </c>
    </row>
    <row r="852" customFormat="false" ht="15" hidden="false" customHeight="true" outlineLevel="0" collapsed="false">
      <c r="A852" s="7" t="s">
        <v>65</v>
      </c>
      <c r="B852" s="7" t="n">
        <v>1954</v>
      </c>
      <c r="C852" s="7" t="s">
        <v>142</v>
      </c>
      <c r="D852" s="7" t="n">
        <v>94</v>
      </c>
      <c r="E852" s="7" t="n">
        <v>60</v>
      </c>
      <c r="F852" s="3" t="n">
        <f aca="false">COUNTIFS($B$2:$B$2705,B852,$C$2:$C$2705,C852)</f>
        <v>2</v>
      </c>
      <c r="G852" s="3" t="n">
        <f aca="false">MIN(INT((MIN(B852,2020)-1900)/10)+1,12)</f>
        <v>6</v>
      </c>
      <c r="H852" s="3" t="n">
        <f aca="false">(MIN(B852,2020)-1900-10*(G852-1))/10</f>
        <v>0.4</v>
      </c>
      <c r="I852" s="20" t="n">
        <f aca="false">EXP(LN(INDEX(Pop_Inputs!$B$2:$N$29,MATCH(C852,Pop_Inputs!$A$2:$A$29,0),G852))*(1-H852)+LN(INDEX(Pop_Inputs!$B$2:$N$29,MATCH(C852,Pop_Inputs!$A$2:$A$29,0),G852+1))*H852)</f>
        <v>3592572.07631242</v>
      </c>
      <c r="J852" s="20" t="n">
        <f aca="false">I852/F852</f>
        <v>1796286.03815621</v>
      </c>
      <c r="K852" s="21" t="n">
        <f aca="false">D852/(D852+E852)</f>
        <v>0.61038961038961</v>
      </c>
      <c r="L852" s="21" t="n">
        <f aca="false">AVERAGEIFS($K$2:$K$2705,$B$2:$B$2705,B852)</f>
        <v>0.5</v>
      </c>
      <c r="M852" s="21" t="n">
        <f aca="false">K852-L852</f>
        <v>0.11038961038961</v>
      </c>
      <c r="N852" s="21" t="n">
        <f aca="false">LN(J852)</f>
        <v>14.4012317791699</v>
      </c>
      <c r="O852" s="21" t="n">
        <f aca="false">AVERAGEIFS($N$2:$N$2705,$B$2:$B$2705,B852)</f>
        <v>13.9576595546239</v>
      </c>
      <c r="P852" s="21" t="n">
        <f aca="false">N852-O852</f>
        <v>0.443572224546001</v>
      </c>
      <c r="Q852" s="7" t="n">
        <v>0</v>
      </c>
      <c r="R852" s="3" t="n">
        <f aca="false">IF(AND(Q852=1,B852-_xlfn.MINIFS($B$2:$B$2705,$A$2:$A$2705,A852)&lt;10),1,0)</f>
        <v>0</v>
      </c>
      <c r="S852" s="7" t="n">
        <v>0</v>
      </c>
      <c r="T852" s="3" t="n">
        <f aca="false">_xlfn.MINIFS($B$2:$B$2705,$A$2:$A$2705,A852)</f>
        <v>1901</v>
      </c>
      <c r="U852" s="3" t="n">
        <f aca="false">B852-T852</f>
        <v>53</v>
      </c>
      <c r="V852" s="3" t="str">
        <f aca="false">INDEX(Pop_Inputs!$Q$2:$Q$29,MATCH(C852,Pop_Inputs!$A$2:$A$29,0))</f>
        <v>Midwest</v>
      </c>
      <c r="W852" s="30"/>
      <c r="X852" s="3" t="str">
        <f aca="false">IF(W852="","",LN(W852))</f>
        <v/>
      </c>
      <c r="Y852" s="3" t="str">
        <f aca="false">IF(X852="","",X852-AVERAGEIFS($X$2:$X$2705,$B$2:$B$2705,B852))</f>
        <v/>
      </c>
      <c r="Z852" s="21" t="n">
        <f aca="false">P852</f>
        <v>0.443572224546001</v>
      </c>
      <c r="AA852" s="3" t="n">
        <f aca="false">R852</f>
        <v>0</v>
      </c>
      <c r="AB852" s="21" t="n">
        <f aca="false">P852</f>
        <v>0.443572224546001</v>
      </c>
      <c r="AC852" s="3" t="str">
        <f aca="false">Y852</f>
        <v/>
      </c>
      <c r="AD852" s="3" t="n">
        <f aca="false">R852</f>
        <v>0</v>
      </c>
    </row>
    <row r="853" customFormat="false" ht="15" hidden="false" customHeight="true" outlineLevel="0" collapsed="false">
      <c r="A853" s="7" t="s">
        <v>57</v>
      </c>
      <c r="B853" s="7" t="n">
        <v>1954</v>
      </c>
      <c r="C853" s="7" t="s">
        <v>143</v>
      </c>
      <c r="D853" s="7" t="n">
        <v>74</v>
      </c>
      <c r="E853" s="7" t="n">
        <v>80</v>
      </c>
      <c r="F853" s="3" t="n">
        <f aca="false">COUNTIFS($B$2:$B$2705,B853,$C$2:$C$2705,C853)</f>
        <v>1</v>
      </c>
      <c r="G853" s="3" t="n">
        <f aca="false">MIN(INT((MIN(B853,2020)-1900)/10)+1,12)</f>
        <v>6</v>
      </c>
      <c r="H853" s="3" t="n">
        <f aca="false">(MIN(B853,2020)-1900-10*(G853-1))/10</f>
        <v>0.4</v>
      </c>
      <c r="I853" s="20" t="n">
        <f aca="false">EXP(LN(INDEX(Pop_Inputs!$B$2:$N$29,MATCH(C853,Pop_Inputs!$A$2:$A$29,0),G853))*(1-H853)+LN(INDEX(Pop_Inputs!$B$2:$N$29,MATCH(C853,Pop_Inputs!$A$2:$A$29,0),G853+1))*H853)</f>
        <v>503418.300016409</v>
      </c>
      <c r="J853" s="20" t="n">
        <f aca="false">I853/F853</f>
        <v>503418.300016409</v>
      </c>
      <c r="K853" s="21" t="n">
        <f aca="false">D853/(D853+E853)</f>
        <v>0.480519480519481</v>
      </c>
      <c r="L853" s="21" t="n">
        <f aca="false">AVERAGEIFS($K$2:$K$2705,$B$2:$B$2705,B853)</f>
        <v>0.5</v>
      </c>
      <c r="M853" s="21" t="n">
        <f aca="false">K853-L853</f>
        <v>-0.0194805194805195</v>
      </c>
      <c r="N853" s="21" t="n">
        <f aca="false">LN(J853)</f>
        <v>13.1291767138562</v>
      </c>
      <c r="O853" s="21" t="n">
        <f aca="false">AVERAGEIFS($N$2:$N$2705,$B$2:$B$2705,B853)</f>
        <v>13.9576595546239</v>
      </c>
      <c r="P853" s="21" t="n">
        <f aca="false">N853-O853</f>
        <v>-0.828482840767759</v>
      </c>
      <c r="Q853" s="7" t="n">
        <v>0</v>
      </c>
      <c r="R853" s="3" t="n">
        <f aca="false">IF(AND(Q853=1,B853-_xlfn.MINIFS($B$2:$B$2705,$A$2:$A$2705,A853)&lt;10),1,0)</f>
        <v>0</v>
      </c>
      <c r="S853" s="7" t="n">
        <v>0</v>
      </c>
      <c r="T853" s="3" t="n">
        <f aca="false">_xlfn.MINIFS($B$2:$B$2705,$A$2:$A$2705,A853)</f>
        <v>1901</v>
      </c>
      <c r="U853" s="3" t="n">
        <f aca="false">B853-T853</f>
        <v>53</v>
      </c>
      <c r="V853" s="3" t="str">
        <f aca="false">INDEX(Pop_Inputs!$Q$2:$Q$29,MATCH(C853,Pop_Inputs!$A$2:$A$29,0))</f>
        <v>Midwest</v>
      </c>
      <c r="W853" s="30"/>
      <c r="X853" s="3" t="str">
        <f aca="false">IF(W853="","",LN(W853))</f>
        <v/>
      </c>
      <c r="Y853" s="3" t="str">
        <f aca="false">IF(X853="","",X853-AVERAGEIFS($X$2:$X$2705,$B$2:$B$2705,B853))</f>
        <v/>
      </c>
      <c r="Z853" s="21" t="n">
        <f aca="false">P853</f>
        <v>-0.828482840767759</v>
      </c>
      <c r="AA853" s="3" t="n">
        <f aca="false">R853</f>
        <v>0</v>
      </c>
      <c r="AB853" s="21" t="n">
        <f aca="false">P853</f>
        <v>-0.828482840767759</v>
      </c>
      <c r="AC853" s="3" t="str">
        <f aca="false">Y853</f>
        <v/>
      </c>
      <c r="AD853" s="3" t="n">
        <f aca="false">R853</f>
        <v>0</v>
      </c>
    </row>
    <row r="854" customFormat="false" ht="15" hidden="false" customHeight="true" outlineLevel="0" collapsed="false">
      <c r="A854" s="7" t="s">
        <v>66</v>
      </c>
      <c r="B854" s="7" t="n">
        <v>1954</v>
      </c>
      <c r="C854" s="7" t="s">
        <v>151</v>
      </c>
      <c r="D854" s="7" t="n">
        <v>111</v>
      </c>
      <c r="E854" s="7" t="n">
        <v>43</v>
      </c>
      <c r="F854" s="3" t="n">
        <f aca="false">COUNTIFS($B$2:$B$2705,B854,$C$2:$C$2705,C854)</f>
        <v>1</v>
      </c>
      <c r="G854" s="3" t="n">
        <f aca="false">MIN(INT((MIN(B854,2020)-1900)/10)+1,12)</f>
        <v>6</v>
      </c>
      <c r="H854" s="3" t="n">
        <f aca="false">(MIN(B854,2020)-1900-10*(G854-1))/10</f>
        <v>0.4</v>
      </c>
      <c r="I854" s="20" t="n">
        <f aca="false">EXP(LN(INDEX(Pop_Inputs!$B$2:$N$29,MATCH(C854,Pop_Inputs!$A$2:$A$29,0),G854))*(1-H854)+LN(INDEX(Pop_Inputs!$B$2:$N$29,MATCH(C854,Pop_Inputs!$A$2:$A$29,0),G854+1))*H854)</f>
        <v>899103.17211786</v>
      </c>
      <c r="J854" s="20" t="n">
        <f aca="false">I854/F854</f>
        <v>899103.17211786</v>
      </c>
      <c r="K854" s="21" t="n">
        <f aca="false">D854/(D854+E854)</f>
        <v>0.720779220779221</v>
      </c>
      <c r="L854" s="21" t="n">
        <f aca="false">AVERAGEIFS($K$2:$K$2705,$B$2:$B$2705,B854)</f>
        <v>0.5</v>
      </c>
      <c r="M854" s="21" t="n">
        <f aca="false">K854-L854</f>
        <v>0.220779220779221</v>
      </c>
      <c r="N854" s="21" t="n">
        <f aca="false">LN(J854)</f>
        <v>13.7091530700701</v>
      </c>
      <c r="O854" s="21" t="n">
        <f aca="false">AVERAGEIFS($N$2:$N$2705,$B$2:$B$2705,B854)</f>
        <v>13.9576595546239</v>
      </c>
      <c r="P854" s="21" t="n">
        <f aca="false">N854-O854</f>
        <v>-0.248506484553769</v>
      </c>
      <c r="Q854" s="7" t="n">
        <v>0</v>
      </c>
      <c r="R854" s="3" t="n">
        <f aca="false">IF(AND(Q854=1,B854-_xlfn.MINIFS($B$2:$B$2705,$A$2:$A$2705,A854)&lt;10),1,0)</f>
        <v>0</v>
      </c>
      <c r="S854" s="7" t="n">
        <v>0</v>
      </c>
      <c r="T854" s="3" t="n">
        <f aca="false">_xlfn.MINIFS($B$2:$B$2705,$A$2:$A$2705,A854)</f>
        <v>1901</v>
      </c>
      <c r="U854" s="3" t="n">
        <f aca="false">B854-T854</f>
        <v>53</v>
      </c>
      <c r="V854" s="3" t="str">
        <f aca="false">INDEX(Pop_Inputs!$Q$2:$Q$29,MATCH(C854,Pop_Inputs!$A$2:$A$29,0))</f>
        <v>Midwest</v>
      </c>
      <c r="W854" s="30"/>
      <c r="X854" s="3" t="str">
        <f aca="false">IF(W854="","",LN(W854))</f>
        <v/>
      </c>
      <c r="Y854" s="3" t="str">
        <f aca="false">IF(X854="","",X854-AVERAGEIFS($X$2:$X$2705,$B$2:$B$2705,B854))</f>
        <v/>
      </c>
      <c r="Z854" s="21" t="n">
        <f aca="false">P854</f>
        <v>-0.248506484553769</v>
      </c>
      <c r="AA854" s="3" t="n">
        <f aca="false">R854</f>
        <v>0</v>
      </c>
      <c r="AB854" s="21" t="n">
        <f aca="false">P854</f>
        <v>-0.248506484553769</v>
      </c>
      <c r="AC854" s="3" t="str">
        <f aca="false">Y854</f>
        <v/>
      </c>
      <c r="AD854" s="3" t="n">
        <f aca="false">R854</f>
        <v>0</v>
      </c>
    </row>
    <row r="855" customFormat="false" ht="15" hidden="false" customHeight="true" outlineLevel="0" collapsed="false">
      <c r="A855" s="7" t="s">
        <v>67</v>
      </c>
      <c r="B855" s="7" t="n">
        <v>1954</v>
      </c>
      <c r="C855" s="7" t="s">
        <v>152</v>
      </c>
      <c r="D855" s="7" t="n">
        <v>68</v>
      </c>
      <c r="E855" s="7" t="n">
        <v>86</v>
      </c>
      <c r="F855" s="3" t="n">
        <f aca="false">COUNTIFS($B$2:$B$2705,B855,$C$2:$C$2705,C855)</f>
        <v>1</v>
      </c>
      <c r="G855" s="3" t="n">
        <f aca="false">MIN(INT((MIN(B855,2020)-1900)/10)+1,12)</f>
        <v>6</v>
      </c>
      <c r="H855" s="3" t="n">
        <f aca="false">(MIN(B855,2020)-1900-10*(G855-1))/10</f>
        <v>0.4</v>
      </c>
      <c r="I855" s="20" t="n">
        <f aca="false">EXP(LN(INDEX(Pop_Inputs!$B$2:$N$29,MATCH(C855,Pop_Inputs!$A$2:$A$29,0),G855))*(1-H855)+LN(INDEX(Pop_Inputs!$B$2:$N$29,MATCH(C855,Pop_Inputs!$A$2:$A$29,0),G855+1))*H855)</f>
        <v>1775594.32716176</v>
      </c>
      <c r="J855" s="20" t="n">
        <f aca="false">I855/F855</f>
        <v>1775594.32716176</v>
      </c>
      <c r="K855" s="21" t="n">
        <f aca="false">D855/(D855+E855)</f>
        <v>0.441558441558442</v>
      </c>
      <c r="L855" s="21" t="n">
        <f aca="false">AVERAGEIFS($K$2:$K$2705,$B$2:$B$2705,B855)</f>
        <v>0.5</v>
      </c>
      <c r="M855" s="21" t="n">
        <f aca="false">K855-L855</f>
        <v>-0.0584415584415585</v>
      </c>
      <c r="N855" s="21" t="n">
        <f aca="false">LN(J855)</f>
        <v>14.3896457570517</v>
      </c>
      <c r="O855" s="21" t="n">
        <f aca="false">AVERAGEIFS($N$2:$N$2705,$B$2:$B$2705,B855)</f>
        <v>13.9576595546239</v>
      </c>
      <c r="P855" s="21" t="n">
        <f aca="false">N855-O855</f>
        <v>0.431986202427755</v>
      </c>
      <c r="Q855" s="7" t="n">
        <v>0</v>
      </c>
      <c r="R855" s="3" t="n">
        <f aca="false">IF(AND(Q855=1,B855-_xlfn.MINIFS($B$2:$B$2705,$A$2:$A$2705,A855)&lt;10),1,0)</f>
        <v>0</v>
      </c>
      <c r="S855" s="7" t="n">
        <v>0</v>
      </c>
      <c r="T855" s="3" t="n">
        <f aca="false">_xlfn.MINIFS($B$2:$B$2705,$A$2:$A$2705,A855)</f>
        <v>1901</v>
      </c>
      <c r="U855" s="3" t="n">
        <f aca="false">B855-T855</f>
        <v>53</v>
      </c>
      <c r="V855" s="3" t="str">
        <f aca="false">INDEX(Pop_Inputs!$Q$2:$Q$29,MATCH(C855,Pop_Inputs!$A$2:$A$29,0))</f>
        <v>Midwest</v>
      </c>
      <c r="W855" s="30"/>
      <c r="X855" s="3" t="str">
        <f aca="false">IF(W855="","",LN(W855))</f>
        <v/>
      </c>
      <c r="Y855" s="3" t="str">
        <f aca="false">IF(X855="","",X855-AVERAGEIFS($X$2:$X$2705,$B$2:$B$2705,B855))</f>
        <v/>
      </c>
      <c r="Z855" s="21" t="n">
        <f aca="false">P855</f>
        <v>0.431986202427755</v>
      </c>
      <c r="AA855" s="3" t="n">
        <f aca="false">R855</f>
        <v>0</v>
      </c>
      <c r="AB855" s="21" t="n">
        <f aca="false">P855</f>
        <v>0.431986202427755</v>
      </c>
      <c r="AC855" s="3" t="str">
        <f aca="false">Y855</f>
        <v/>
      </c>
      <c r="AD855" s="3" t="n">
        <f aca="false">R855</f>
        <v>0</v>
      </c>
    </row>
    <row r="856" customFormat="false" ht="15" hidden="false" customHeight="true" outlineLevel="0" collapsed="false">
      <c r="A856" s="7" t="s">
        <v>62</v>
      </c>
      <c r="B856" s="7" t="n">
        <v>1954</v>
      </c>
      <c r="C856" s="7" t="s">
        <v>154</v>
      </c>
      <c r="D856" s="7" t="n">
        <v>92</v>
      </c>
      <c r="E856" s="7" t="n">
        <v>62</v>
      </c>
      <c r="F856" s="3" t="n">
        <f aca="false">COUNTIFS($B$2:$B$2705,B856,$C$2:$C$2705,C856)</f>
        <v>3</v>
      </c>
      <c r="G856" s="3" t="n">
        <f aca="false">MIN(INT((MIN(B856,2020)-1900)/10)+1,12)</f>
        <v>6</v>
      </c>
      <c r="H856" s="3" t="n">
        <f aca="false">(MIN(B856,2020)-1900-10*(G856-1))/10</f>
        <v>0.4</v>
      </c>
      <c r="I856" s="20" t="n">
        <f aca="false">EXP(LN(INDEX(Pop_Inputs!$B$2:$N$29,MATCH(C856,Pop_Inputs!$A$2:$A$29,0),G856))*(1-H856)+LN(INDEX(Pop_Inputs!$B$2:$N$29,MATCH(C856,Pop_Inputs!$A$2:$A$29,0),G856+1))*H856)</f>
        <v>7847782.52633466</v>
      </c>
      <c r="J856" s="20" t="n">
        <f aca="false">I856/F856</f>
        <v>2615927.50877822</v>
      </c>
      <c r="K856" s="21" t="n">
        <f aca="false">D856/(D856+E856)</f>
        <v>0.597402597402597</v>
      </c>
      <c r="L856" s="21" t="n">
        <f aca="false">AVERAGEIFS($K$2:$K$2705,$B$2:$B$2705,B856)</f>
        <v>0.5</v>
      </c>
      <c r="M856" s="21" t="n">
        <f aca="false">K856-L856</f>
        <v>0.0974025974025974</v>
      </c>
      <c r="N856" s="21" t="n">
        <f aca="false">LN(J856)</f>
        <v>14.7771292804636</v>
      </c>
      <c r="O856" s="21" t="n">
        <f aca="false">AVERAGEIFS($N$2:$N$2705,$B$2:$B$2705,B856)</f>
        <v>13.9576595546239</v>
      </c>
      <c r="P856" s="21" t="n">
        <f aca="false">N856-O856</f>
        <v>0.819469725839676</v>
      </c>
      <c r="Q856" s="7" t="n">
        <v>0</v>
      </c>
      <c r="R856" s="3" t="n">
        <f aca="false">IF(AND(Q856=1,B856-_xlfn.MINIFS($B$2:$B$2705,$A$2:$A$2705,A856)&lt;10),1,0)</f>
        <v>0</v>
      </c>
      <c r="S856" s="7" t="n">
        <v>0</v>
      </c>
      <c r="T856" s="3" t="n">
        <f aca="false">_xlfn.MINIFS($B$2:$B$2705,$A$2:$A$2705,A856)</f>
        <v>1901</v>
      </c>
      <c r="U856" s="3" t="n">
        <f aca="false">B856-T856</f>
        <v>53</v>
      </c>
      <c r="V856" s="3" t="str">
        <f aca="false">INDEX(Pop_Inputs!$Q$2:$Q$29,MATCH(C856,Pop_Inputs!$A$2:$A$29,0))</f>
        <v>Northeast</v>
      </c>
      <c r="W856" s="30"/>
      <c r="X856" s="3" t="str">
        <f aca="false">IF(W856="","",LN(W856))</f>
        <v/>
      </c>
      <c r="Y856" s="3" t="str">
        <f aca="false">IF(X856="","",X856-AVERAGEIFS($X$2:$X$2705,$B$2:$B$2705,B856))</f>
        <v/>
      </c>
      <c r="Z856" s="21" t="n">
        <f aca="false">P856</f>
        <v>0.819469725839676</v>
      </c>
      <c r="AA856" s="3" t="n">
        <f aca="false">R856</f>
        <v>0</v>
      </c>
      <c r="AB856" s="21" t="n">
        <f aca="false">P856</f>
        <v>0.819469725839676</v>
      </c>
      <c r="AC856" s="3" t="str">
        <f aca="false">Y856</f>
        <v/>
      </c>
      <c r="AD856" s="3" t="n">
        <f aca="false">R856</f>
        <v>0</v>
      </c>
    </row>
    <row r="857" customFormat="false" ht="15" hidden="false" customHeight="true" outlineLevel="0" collapsed="false">
      <c r="A857" s="7" t="s">
        <v>68</v>
      </c>
      <c r="B857" s="7" t="n">
        <v>1954</v>
      </c>
      <c r="C857" s="7" t="s">
        <v>160</v>
      </c>
      <c r="D857" s="7" t="n">
        <v>66</v>
      </c>
      <c r="E857" s="7" t="n">
        <v>88</v>
      </c>
      <c r="F857" s="3" t="n">
        <f aca="false">COUNTIFS($B$2:$B$2705,B857,$C$2:$C$2705,C857)</f>
        <v>1</v>
      </c>
      <c r="G857" s="3" t="n">
        <f aca="false">MIN(INT((MIN(B857,2020)-1900)/10)+1,12)</f>
        <v>6</v>
      </c>
      <c r="H857" s="3" t="n">
        <f aca="false">(MIN(B857,2020)-1900-10*(G857-1))/10</f>
        <v>0.4</v>
      </c>
      <c r="I857" s="20" t="n">
        <f aca="false">EXP(LN(INDEX(Pop_Inputs!$B$2:$N$29,MATCH(C857,Pop_Inputs!$A$2:$A$29,0),G857))*(1-H857)+LN(INDEX(Pop_Inputs!$B$2:$N$29,MATCH(C857,Pop_Inputs!$A$2:$A$29,0),G857+1))*H857)</f>
        <v>786664.925011376</v>
      </c>
      <c r="J857" s="20" t="n">
        <f aca="false">I857/F857</f>
        <v>786664.925011376</v>
      </c>
      <c r="K857" s="21" t="n">
        <f aca="false">D857/(D857+E857)</f>
        <v>0.428571428571429</v>
      </c>
      <c r="L857" s="21" t="n">
        <f aca="false">AVERAGEIFS($K$2:$K$2705,$B$2:$B$2705,B857)</f>
        <v>0.5</v>
      </c>
      <c r="M857" s="21" t="n">
        <f aca="false">K857-L857</f>
        <v>-0.0714285714285715</v>
      </c>
      <c r="N857" s="21" t="n">
        <f aca="false">LN(J857)</f>
        <v>13.5755576743626</v>
      </c>
      <c r="O857" s="21" t="n">
        <f aca="false">AVERAGEIFS($N$2:$N$2705,$B$2:$B$2705,B857)</f>
        <v>13.9576595546239</v>
      </c>
      <c r="P857" s="21" t="n">
        <f aca="false">N857-O857</f>
        <v>-0.382101880261271</v>
      </c>
      <c r="Q857" s="7" t="n">
        <v>0</v>
      </c>
      <c r="R857" s="3" t="n">
        <f aca="false">IF(AND(Q857=1,B857-_xlfn.MINIFS($B$2:$B$2705,$A$2:$A$2705,A857)&lt;10),1,0)</f>
        <v>0</v>
      </c>
      <c r="S857" s="7" t="n">
        <v>0</v>
      </c>
      <c r="T857" s="3" t="n">
        <f aca="false">_xlfn.MINIFS($B$2:$B$2705,$A$2:$A$2705,A857)</f>
        <v>1901</v>
      </c>
      <c r="U857" s="3" t="n">
        <f aca="false">B857-T857</f>
        <v>53</v>
      </c>
      <c r="V857" s="3" t="str">
        <f aca="false">INDEX(Pop_Inputs!$Q$2:$Q$29,MATCH(C857,Pop_Inputs!$A$2:$A$29,0))</f>
        <v>South</v>
      </c>
      <c r="W857" s="30"/>
      <c r="X857" s="3" t="str">
        <f aca="false">IF(W857="","",LN(W857))</f>
        <v/>
      </c>
      <c r="Y857" s="3" t="str">
        <f aca="false">IF(X857="","",X857-AVERAGEIFS($X$2:$X$2705,$B$2:$B$2705,B857))</f>
        <v/>
      </c>
      <c r="Z857" s="21" t="n">
        <f aca="false">P857</f>
        <v>-0.382101880261271</v>
      </c>
      <c r="AA857" s="3" t="n">
        <f aca="false">R857</f>
        <v>0</v>
      </c>
      <c r="AB857" s="21" t="n">
        <f aca="false">P857</f>
        <v>-0.382101880261271</v>
      </c>
      <c r="AC857" s="3" t="str">
        <f aca="false">Y857</f>
        <v/>
      </c>
      <c r="AD857" s="3" t="n">
        <f aca="false">R857</f>
        <v>0</v>
      </c>
    </row>
    <row r="858" customFormat="false" ht="15" hidden="false" customHeight="true" outlineLevel="0" collapsed="false">
      <c r="A858" s="7" t="s">
        <v>70</v>
      </c>
      <c r="B858" s="7" t="n">
        <v>1954</v>
      </c>
      <c r="C858" s="7" t="s">
        <v>154</v>
      </c>
      <c r="D858" s="7" t="n">
        <v>103</v>
      </c>
      <c r="E858" s="7" t="n">
        <v>51</v>
      </c>
      <c r="F858" s="3" t="n">
        <f aca="false">COUNTIFS($B$2:$B$2705,B858,$C$2:$C$2705,C858)</f>
        <v>3</v>
      </c>
      <c r="G858" s="3" t="n">
        <f aca="false">MIN(INT((MIN(B858,2020)-1900)/10)+1,12)</f>
        <v>6</v>
      </c>
      <c r="H858" s="3" t="n">
        <f aca="false">(MIN(B858,2020)-1900-10*(G858-1))/10</f>
        <v>0.4</v>
      </c>
      <c r="I858" s="20" t="n">
        <f aca="false">EXP(LN(INDEX(Pop_Inputs!$B$2:$N$29,MATCH(C858,Pop_Inputs!$A$2:$A$29,0),G858))*(1-H858)+LN(INDEX(Pop_Inputs!$B$2:$N$29,MATCH(C858,Pop_Inputs!$A$2:$A$29,0),G858+1))*H858)</f>
        <v>7847782.52633466</v>
      </c>
      <c r="J858" s="20" t="n">
        <f aca="false">I858/F858</f>
        <v>2615927.50877822</v>
      </c>
      <c r="K858" s="21" t="n">
        <f aca="false">D858/(D858+E858)</f>
        <v>0.668831168831169</v>
      </c>
      <c r="L858" s="21" t="n">
        <f aca="false">AVERAGEIFS($K$2:$K$2705,$B$2:$B$2705,B858)</f>
        <v>0.5</v>
      </c>
      <c r="M858" s="21" t="n">
        <f aca="false">K858-L858</f>
        <v>0.168831168831169</v>
      </c>
      <c r="N858" s="21" t="n">
        <f aca="false">LN(J858)</f>
        <v>14.7771292804636</v>
      </c>
      <c r="O858" s="21" t="n">
        <f aca="false">AVERAGEIFS($N$2:$N$2705,$B$2:$B$2705,B858)</f>
        <v>13.9576595546239</v>
      </c>
      <c r="P858" s="21" t="n">
        <f aca="false">N858-O858</f>
        <v>0.819469725839676</v>
      </c>
      <c r="Q858" s="7" t="n">
        <v>0</v>
      </c>
      <c r="R858" s="3" t="n">
        <f aca="false">IF(AND(Q858=1,B858-_xlfn.MINIFS($B$2:$B$2705,$A$2:$A$2705,A858)&lt;10),1,0)</f>
        <v>0</v>
      </c>
      <c r="S858" s="7" t="n">
        <v>1</v>
      </c>
      <c r="T858" s="3" t="n">
        <f aca="false">_xlfn.MINIFS($B$2:$B$2705,$A$2:$A$2705,A858)</f>
        <v>1903</v>
      </c>
      <c r="U858" s="3" t="n">
        <f aca="false">B858-T858</f>
        <v>51</v>
      </c>
      <c r="V858" s="3" t="str">
        <f aca="false">INDEX(Pop_Inputs!$Q$2:$Q$29,MATCH(C858,Pop_Inputs!$A$2:$A$29,0))</f>
        <v>Northeast</v>
      </c>
      <c r="W858" s="30"/>
      <c r="X858" s="3" t="str">
        <f aca="false">IF(W858="","",LN(W858))</f>
        <v/>
      </c>
      <c r="Y858" s="3" t="str">
        <f aca="false">IF(X858="","",X858-AVERAGEIFS($X$2:$X$2705,$B$2:$B$2705,B858))</f>
        <v/>
      </c>
      <c r="Z858" s="21" t="n">
        <f aca="false">P858</f>
        <v>0.819469725839676</v>
      </c>
      <c r="AA858" s="3" t="n">
        <f aca="false">R858</f>
        <v>0</v>
      </c>
      <c r="AB858" s="21" t="n">
        <f aca="false">P858</f>
        <v>0.819469725839676</v>
      </c>
      <c r="AC858" s="3" t="str">
        <f aca="false">Y858</f>
        <v/>
      </c>
      <c r="AD858" s="3" t="n">
        <f aca="false">R858</f>
        <v>0</v>
      </c>
    </row>
    <row r="859" customFormat="false" ht="15" hidden="false" customHeight="true" outlineLevel="0" collapsed="false">
      <c r="A859" s="7" t="s">
        <v>69</v>
      </c>
      <c r="B859" s="7" t="n">
        <v>1954</v>
      </c>
      <c r="C859" s="7" t="s">
        <v>146</v>
      </c>
      <c r="D859" s="7" t="n">
        <v>51</v>
      </c>
      <c r="E859" s="7" t="n">
        <v>103</v>
      </c>
      <c r="F859" s="3" t="n">
        <f aca="false">COUNTIFS($B$2:$B$2705,B859,$C$2:$C$2705,C859)</f>
        <v>2</v>
      </c>
      <c r="G859" s="3" t="n">
        <f aca="false">MIN(INT((MIN(B859,2020)-1900)/10)+1,12)</f>
        <v>6</v>
      </c>
      <c r="H859" s="3" t="n">
        <f aca="false">(MIN(B859,2020)-1900-10*(G859-1))/10</f>
        <v>0.4</v>
      </c>
      <c r="I859" s="20" t="n">
        <f aca="false">EXP(LN(INDEX(Pop_Inputs!$B$2:$N$29,MATCH(C859,Pop_Inputs!$A$2:$A$29,0),G859))*(1-H859)+LN(INDEX(Pop_Inputs!$B$2:$N$29,MATCH(C859,Pop_Inputs!$A$2:$A$29,0),G859+1))*H859)</f>
        <v>2043686.2417418</v>
      </c>
      <c r="J859" s="20" t="n">
        <f aca="false">I859/F859</f>
        <v>1021843.1208709</v>
      </c>
      <c r="K859" s="21" t="n">
        <f aca="false">D859/(D859+E859)</f>
        <v>0.331168831168831</v>
      </c>
      <c r="L859" s="21" t="n">
        <f aca="false">AVERAGEIFS($K$2:$K$2705,$B$2:$B$2705,B859)</f>
        <v>0.5</v>
      </c>
      <c r="M859" s="21" t="n">
        <f aca="false">K859-L859</f>
        <v>-0.168831168831169</v>
      </c>
      <c r="N859" s="21" t="n">
        <f aca="false">LN(J859)</f>
        <v>13.8371185358799</v>
      </c>
      <c r="O859" s="21" t="n">
        <f aca="false">AVERAGEIFS($N$2:$N$2705,$B$2:$B$2705,B859)</f>
        <v>13.9576595546239</v>
      </c>
      <c r="P859" s="21" t="n">
        <f aca="false">N859-O859</f>
        <v>-0.120541018744044</v>
      </c>
      <c r="Q859" s="7" t="n">
        <v>0</v>
      </c>
      <c r="R859" s="3" t="n">
        <f aca="false">IF(AND(Q859=1,B859-_xlfn.MINIFS($B$2:$B$2705,$A$2:$A$2705,A859)&lt;10),1,0)</f>
        <v>0</v>
      </c>
      <c r="S859" s="7" t="n">
        <v>0</v>
      </c>
      <c r="T859" s="3" t="n">
        <f aca="false">_xlfn.MINIFS($B$2:$B$2705,$A$2:$A$2705,A859)</f>
        <v>1901</v>
      </c>
      <c r="U859" s="3" t="n">
        <f aca="false">B859-T859</f>
        <v>53</v>
      </c>
      <c r="V859" s="3" t="str">
        <f aca="false">INDEX(Pop_Inputs!$Q$2:$Q$29,MATCH(C859,Pop_Inputs!$A$2:$A$29,0))</f>
        <v>Northeast</v>
      </c>
      <c r="W859" s="30"/>
      <c r="X859" s="3" t="str">
        <f aca="false">IF(W859="","",LN(W859))</f>
        <v/>
      </c>
      <c r="Y859" s="3" t="str">
        <f aca="false">IF(X859="","",X859-AVERAGEIFS($X$2:$X$2705,$B$2:$B$2705,B859))</f>
        <v/>
      </c>
      <c r="Z859" s="21" t="n">
        <f aca="false">P859</f>
        <v>-0.120541018744044</v>
      </c>
      <c r="AA859" s="3" t="n">
        <f aca="false">R859</f>
        <v>0</v>
      </c>
      <c r="AB859" s="21" t="n">
        <f aca="false">P859</f>
        <v>-0.120541018744044</v>
      </c>
      <c r="AC859" s="3" t="str">
        <f aca="false">Y859</f>
        <v/>
      </c>
      <c r="AD859" s="3" t="n">
        <f aca="false">R859</f>
        <v>0</v>
      </c>
    </row>
    <row r="860" customFormat="false" ht="15" hidden="false" customHeight="true" outlineLevel="0" collapsed="false">
      <c r="A860" s="7" t="s">
        <v>60</v>
      </c>
      <c r="B860" s="7" t="n">
        <v>1954</v>
      </c>
      <c r="C860" s="7" t="s">
        <v>146</v>
      </c>
      <c r="D860" s="7" t="n">
        <v>75</v>
      </c>
      <c r="E860" s="7" t="n">
        <v>79</v>
      </c>
      <c r="F860" s="3" t="n">
        <f aca="false">COUNTIFS($B$2:$B$2705,B860,$C$2:$C$2705,C860)</f>
        <v>2</v>
      </c>
      <c r="G860" s="3" t="n">
        <f aca="false">MIN(INT((MIN(B860,2020)-1900)/10)+1,12)</f>
        <v>6</v>
      </c>
      <c r="H860" s="3" t="n">
        <f aca="false">(MIN(B860,2020)-1900-10*(G860-1))/10</f>
        <v>0.4</v>
      </c>
      <c r="I860" s="20" t="n">
        <f aca="false">EXP(LN(INDEX(Pop_Inputs!$B$2:$N$29,MATCH(C860,Pop_Inputs!$A$2:$A$29,0),G860))*(1-H860)+LN(INDEX(Pop_Inputs!$B$2:$N$29,MATCH(C860,Pop_Inputs!$A$2:$A$29,0),G860+1))*H860)</f>
        <v>2043686.2417418</v>
      </c>
      <c r="J860" s="20" t="n">
        <f aca="false">I860/F860</f>
        <v>1021843.1208709</v>
      </c>
      <c r="K860" s="21" t="n">
        <f aca="false">D860/(D860+E860)</f>
        <v>0.487012987012987</v>
      </c>
      <c r="L860" s="21" t="n">
        <f aca="false">AVERAGEIFS($K$2:$K$2705,$B$2:$B$2705,B860)</f>
        <v>0.5</v>
      </c>
      <c r="M860" s="21" t="n">
        <f aca="false">K860-L860</f>
        <v>-0.012987012987013</v>
      </c>
      <c r="N860" s="21" t="n">
        <f aca="false">LN(J860)</f>
        <v>13.8371185358799</v>
      </c>
      <c r="O860" s="21" t="n">
        <f aca="false">AVERAGEIFS($N$2:$N$2705,$B$2:$B$2705,B860)</f>
        <v>13.9576595546239</v>
      </c>
      <c r="P860" s="21" t="n">
        <f aca="false">N860-O860</f>
        <v>-0.120541018744044</v>
      </c>
      <c r="Q860" s="7" t="n">
        <v>0</v>
      </c>
      <c r="R860" s="3" t="n">
        <f aca="false">IF(AND(Q860=1,B860-_xlfn.MINIFS($B$2:$B$2705,$A$2:$A$2705,A860)&lt;10),1,0)</f>
        <v>0</v>
      </c>
      <c r="S860" s="7" t="n">
        <v>0</v>
      </c>
      <c r="T860" s="3" t="n">
        <f aca="false">_xlfn.MINIFS($B$2:$B$2705,$A$2:$A$2705,A860)</f>
        <v>1901</v>
      </c>
      <c r="U860" s="3" t="n">
        <f aca="false">B860-T860</f>
        <v>53</v>
      </c>
      <c r="V860" s="3" t="str">
        <f aca="false">INDEX(Pop_Inputs!$Q$2:$Q$29,MATCH(C860,Pop_Inputs!$A$2:$A$29,0))</f>
        <v>Northeast</v>
      </c>
      <c r="W860" s="30"/>
      <c r="X860" s="3" t="str">
        <f aca="false">IF(W860="","",LN(W860))</f>
        <v/>
      </c>
      <c r="Y860" s="3" t="str">
        <f aca="false">IF(X860="","",X860-AVERAGEIFS($X$2:$X$2705,$B$2:$B$2705,B860))</f>
        <v/>
      </c>
      <c r="Z860" s="21" t="n">
        <f aca="false">P860</f>
        <v>-0.120541018744044</v>
      </c>
      <c r="AA860" s="3" t="n">
        <f aca="false">R860</f>
        <v>0</v>
      </c>
      <c r="AB860" s="21" t="n">
        <f aca="false">P860</f>
        <v>-0.120541018744044</v>
      </c>
      <c r="AC860" s="3" t="str">
        <f aca="false">Y860</f>
        <v/>
      </c>
      <c r="AD860" s="3" t="n">
        <f aca="false">R860</f>
        <v>0</v>
      </c>
    </row>
    <row r="861" customFormat="false" ht="15" hidden="false" customHeight="true" outlineLevel="0" collapsed="false">
      <c r="A861" s="7" t="s">
        <v>58</v>
      </c>
      <c r="B861" s="7" t="n">
        <v>1954</v>
      </c>
      <c r="C861" s="7" t="s">
        <v>144</v>
      </c>
      <c r="D861" s="7" t="n">
        <v>53</v>
      </c>
      <c r="E861" s="7" t="n">
        <v>101</v>
      </c>
      <c r="F861" s="3" t="n">
        <f aca="false">COUNTIFS($B$2:$B$2705,B861,$C$2:$C$2705,C861)</f>
        <v>1</v>
      </c>
      <c r="G861" s="3" t="n">
        <f aca="false">MIN(INT((MIN(B861,2020)-1900)/10)+1,12)</f>
        <v>6</v>
      </c>
      <c r="H861" s="3" t="n">
        <f aca="false">(MIN(B861,2020)-1900-10*(G861-1))/10</f>
        <v>0.4</v>
      </c>
      <c r="I861" s="20" t="n">
        <f aca="false">EXP(LN(INDEX(Pop_Inputs!$B$2:$N$29,MATCH(C861,Pop_Inputs!$A$2:$A$29,0),G861))*(1-H861)+LN(INDEX(Pop_Inputs!$B$2:$N$29,MATCH(C861,Pop_Inputs!$A$2:$A$29,0),G861+1))*H861)</f>
        <v>646827.918247328</v>
      </c>
      <c r="J861" s="20" t="n">
        <f aca="false">I861/F861</f>
        <v>646827.918247328</v>
      </c>
      <c r="K861" s="21" t="n">
        <f aca="false">D861/(D861+E861)</f>
        <v>0.344155844155844</v>
      </c>
      <c r="L861" s="21" t="n">
        <f aca="false">AVERAGEIFS($K$2:$K$2705,$B$2:$B$2705,B861)</f>
        <v>0.5</v>
      </c>
      <c r="M861" s="21" t="n">
        <f aca="false">K861-L861</f>
        <v>-0.155844155844156</v>
      </c>
      <c r="N861" s="21" t="n">
        <f aca="false">LN(J861)</f>
        <v>13.3798355694013</v>
      </c>
      <c r="O861" s="21" t="n">
        <f aca="false">AVERAGEIFS($N$2:$N$2705,$B$2:$B$2705,B861)</f>
        <v>13.9576595546239</v>
      </c>
      <c r="P861" s="21" t="n">
        <f aca="false">N861-O861</f>
        <v>-0.577823985222654</v>
      </c>
      <c r="Q861" s="7" t="n">
        <v>0</v>
      </c>
      <c r="R861" s="3" t="n">
        <f aca="false">IF(AND(Q861=1,B861-_xlfn.MINIFS($B$2:$B$2705,$A$2:$A$2705,A861)&lt;10),1,0)</f>
        <v>0</v>
      </c>
      <c r="S861" s="7" t="n">
        <v>0</v>
      </c>
      <c r="T861" s="3" t="n">
        <f aca="false">_xlfn.MINIFS($B$2:$B$2705,$A$2:$A$2705,A861)</f>
        <v>1901</v>
      </c>
      <c r="U861" s="3" t="n">
        <f aca="false">B861-T861</f>
        <v>53</v>
      </c>
      <c r="V861" s="3" t="str">
        <f aca="false">INDEX(Pop_Inputs!$Q$2:$Q$29,MATCH(C861,Pop_Inputs!$A$2:$A$29,0))</f>
        <v>Northeast</v>
      </c>
      <c r="W861" s="30"/>
      <c r="X861" s="3" t="str">
        <f aca="false">IF(W861="","",LN(W861))</f>
        <v/>
      </c>
      <c r="Y861" s="3" t="str">
        <f aca="false">IF(X861="","",X861-AVERAGEIFS($X$2:$X$2705,$B$2:$B$2705,B861))</f>
        <v/>
      </c>
      <c r="Z861" s="21" t="n">
        <f aca="false">P861</f>
        <v>-0.577823985222654</v>
      </c>
      <c r="AA861" s="3" t="n">
        <f aca="false">R861</f>
        <v>0</v>
      </c>
      <c r="AB861" s="21" t="n">
        <f aca="false">P861</f>
        <v>-0.577823985222654</v>
      </c>
      <c r="AC861" s="3" t="str">
        <f aca="false">Y861</f>
        <v/>
      </c>
      <c r="AD861" s="3" t="n">
        <f aca="false">R861</f>
        <v>0</v>
      </c>
    </row>
    <row r="862" customFormat="false" ht="15" hidden="false" customHeight="true" outlineLevel="0" collapsed="false">
      <c r="A862" s="7" t="s">
        <v>61</v>
      </c>
      <c r="B862" s="7" t="n">
        <v>1954</v>
      </c>
      <c r="C862" s="7" t="s">
        <v>154</v>
      </c>
      <c r="D862" s="7" t="n">
        <v>97</v>
      </c>
      <c r="E862" s="7" t="n">
        <v>57</v>
      </c>
      <c r="F862" s="3" t="n">
        <f aca="false">COUNTIFS($B$2:$B$2705,B862,$C$2:$C$2705,C862)</f>
        <v>3</v>
      </c>
      <c r="G862" s="3" t="n">
        <f aca="false">MIN(INT((MIN(B862,2020)-1900)/10)+1,12)</f>
        <v>6</v>
      </c>
      <c r="H862" s="3" t="n">
        <f aca="false">(MIN(B862,2020)-1900-10*(G862-1))/10</f>
        <v>0.4</v>
      </c>
      <c r="I862" s="20" t="n">
        <f aca="false">EXP(LN(INDEX(Pop_Inputs!$B$2:$N$29,MATCH(C862,Pop_Inputs!$A$2:$A$29,0),G862))*(1-H862)+LN(INDEX(Pop_Inputs!$B$2:$N$29,MATCH(C862,Pop_Inputs!$A$2:$A$29,0),G862+1))*H862)</f>
        <v>7847782.52633466</v>
      </c>
      <c r="J862" s="20" t="n">
        <f aca="false">I862/F862</f>
        <v>2615927.50877822</v>
      </c>
      <c r="K862" s="21" t="n">
        <f aca="false">D862/(D862+E862)</f>
        <v>0.62987012987013</v>
      </c>
      <c r="L862" s="21" t="n">
        <f aca="false">AVERAGEIFS($K$2:$K$2705,$B$2:$B$2705,B862)</f>
        <v>0.5</v>
      </c>
      <c r="M862" s="21" t="n">
        <f aca="false">K862-L862</f>
        <v>0.12987012987013</v>
      </c>
      <c r="N862" s="21" t="n">
        <f aca="false">LN(J862)</f>
        <v>14.7771292804636</v>
      </c>
      <c r="O862" s="21" t="n">
        <f aca="false">AVERAGEIFS($N$2:$N$2705,$B$2:$B$2705,B862)</f>
        <v>13.9576595546239</v>
      </c>
      <c r="P862" s="21" t="n">
        <f aca="false">N862-O862</f>
        <v>0.819469725839676</v>
      </c>
      <c r="Q862" s="7" t="n">
        <v>0</v>
      </c>
      <c r="R862" s="3" t="n">
        <f aca="false">IF(AND(Q862=1,B862-_xlfn.MINIFS($B$2:$B$2705,$A$2:$A$2705,A862)&lt;10),1,0)</f>
        <v>0</v>
      </c>
      <c r="S862" s="7" t="n">
        <v>0</v>
      </c>
      <c r="T862" s="3" t="n">
        <f aca="false">_xlfn.MINIFS($B$2:$B$2705,$A$2:$A$2705,A862)</f>
        <v>1901</v>
      </c>
      <c r="U862" s="3" t="n">
        <f aca="false">B862-T862</f>
        <v>53</v>
      </c>
      <c r="V862" s="3" t="str">
        <f aca="false">INDEX(Pop_Inputs!$Q$2:$Q$29,MATCH(C862,Pop_Inputs!$A$2:$A$29,0))</f>
        <v>Northeast</v>
      </c>
      <c r="W862" s="30"/>
      <c r="X862" s="3" t="str">
        <f aca="false">IF(W862="","",LN(W862))</f>
        <v/>
      </c>
      <c r="Y862" s="3" t="str">
        <f aca="false">IF(X862="","",X862-AVERAGEIFS($X$2:$X$2705,$B$2:$B$2705,B862))</f>
        <v/>
      </c>
      <c r="Z862" s="21" t="n">
        <f aca="false">P862</f>
        <v>0.819469725839676</v>
      </c>
      <c r="AA862" s="3" t="n">
        <f aca="false">R862</f>
        <v>0</v>
      </c>
      <c r="AB862" s="21" t="n">
        <f aca="false">P862</f>
        <v>0.819469725839676</v>
      </c>
      <c r="AC862" s="3" t="str">
        <f aca="false">Y862</f>
        <v/>
      </c>
      <c r="AD862" s="3" t="n">
        <f aca="false">R862</f>
        <v>0</v>
      </c>
    </row>
    <row r="863" customFormat="false" ht="15" hidden="false" customHeight="true" outlineLevel="0" collapsed="false">
      <c r="A863" s="7" t="s">
        <v>59</v>
      </c>
      <c r="B863" s="7" t="n">
        <v>1954</v>
      </c>
      <c r="C863" s="7" t="s">
        <v>145</v>
      </c>
      <c r="D863" s="7" t="n">
        <v>72</v>
      </c>
      <c r="E863" s="7" t="n">
        <v>82</v>
      </c>
      <c r="F863" s="3" t="n">
        <f aca="false">COUNTIFS($B$2:$B$2705,B863,$C$2:$C$2705,C863)</f>
        <v>1</v>
      </c>
      <c r="G863" s="3" t="n">
        <f aca="false">MIN(INT((MIN(B863,2020)-1900)/10)+1,12)</f>
        <v>6</v>
      </c>
      <c r="H863" s="3" t="n">
        <f aca="false">(MIN(B863,2020)-1900-10*(G863-1))/10</f>
        <v>0.4</v>
      </c>
      <c r="I863" s="20" t="n">
        <f aca="false">EXP(LN(INDEX(Pop_Inputs!$B$2:$N$29,MATCH(C863,Pop_Inputs!$A$2:$A$29,0),G863))*(1-H863)+LN(INDEX(Pop_Inputs!$B$2:$N$29,MATCH(C863,Pop_Inputs!$A$2:$A$29,0),G863+1))*H863)</f>
        <v>812375.814956391</v>
      </c>
      <c r="J863" s="20" t="n">
        <f aca="false">I863/F863</f>
        <v>812375.814956391</v>
      </c>
      <c r="K863" s="21" t="n">
        <f aca="false">D863/(D863+E863)</f>
        <v>0.467532467532468</v>
      </c>
      <c r="L863" s="21" t="n">
        <f aca="false">AVERAGEIFS($K$2:$K$2705,$B$2:$B$2705,B863)</f>
        <v>0.5</v>
      </c>
      <c r="M863" s="21" t="n">
        <f aca="false">K863-L863</f>
        <v>-0.0324675324675325</v>
      </c>
      <c r="N863" s="21" t="n">
        <f aca="false">LN(J863)</f>
        <v>13.6077183383737</v>
      </c>
      <c r="O863" s="21" t="n">
        <f aca="false">AVERAGEIFS($N$2:$N$2705,$B$2:$B$2705,B863)</f>
        <v>13.9576595546239</v>
      </c>
      <c r="P863" s="21" t="n">
        <f aca="false">N863-O863</f>
        <v>-0.34994121625018</v>
      </c>
      <c r="Q863" s="7" t="n">
        <v>0</v>
      </c>
      <c r="R863" s="3" t="n">
        <f aca="false">IF(AND(Q863=1,B863-_xlfn.MINIFS($B$2:$B$2705,$A$2:$A$2705,A863)&lt;10),1,0)</f>
        <v>0</v>
      </c>
      <c r="S863" s="7" t="n">
        <v>0</v>
      </c>
      <c r="T863" s="3" t="n">
        <f aca="false">_xlfn.MINIFS($B$2:$B$2705,$A$2:$A$2705,A863)</f>
        <v>1901</v>
      </c>
      <c r="U863" s="3" t="n">
        <f aca="false">B863-T863</f>
        <v>53</v>
      </c>
      <c r="V863" s="3" t="str">
        <f aca="false">INDEX(Pop_Inputs!$Q$2:$Q$29,MATCH(C863,Pop_Inputs!$A$2:$A$29,0))</f>
        <v>Midwest</v>
      </c>
      <c r="W863" s="30"/>
      <c r="X863" s="3" t="str">
        <f aca="false">IF(W863="","",LN(W863))</f>
        <v/>
      </c>
      <c r="Y863" s="3" t="str">
        <f aca="false">IF(X863="","",X863-AVERAGEIFS($X$2:$X$2705,$B$2:$B$2705,B863))</f>
        <v/>
      </c>
      <c r="Z863" s="21" t="n">
        <f aca="false">P863</f>
        <v>-0.34994121625018</v>
      </c>
      <c r="AA863" s="3" t="n">
        <f aca="false">R863</f>
        <v>0</v>
      </c>
      <c r="AB863" s="21" t="n">
        <f aca="false">P863</f>
        <v>-0.34994121625018</v>
      </c>
      <c r="AC863" s="3" t="str">
        <f aca="false">Y863</f>
        <v/>
      </c>
      <c r="AD863" s="3" t="n">
        <f aca="false">R863</f>
        <v>0</v>
      </c>
    </row>
    <row r="864" customFormat="false" ht="15" hidden="false" customHeight="true" outlineLevel="0" collapsed="false">
      <c r="A864" s="7" t="s">
        <v>54</v>
      </c>
      <c r="B864" s="7" t="n">
        <v>1955</v>
      </c>
      <c r="C864" s="7" t="s">
        <v>158</v>
      </c>
      <c r="D864" s="7" t="n">
        <v>85</v>
      </c>
      <c r="E864" s="7" t="n">
        <v>69</v>
      </c>
      <c r="F864" s="3" t="n">
        <f aca="false">COUNTIFS($B$2:$B$2705,B864,$C$2:$C$2705,C864)</f>
        <v>1</v>
      </c>
      <c r="G864" s="3" t="n">
        <f aca="false">MIN(INT((MIN(B864,2020)-1900)/10)+1,12)</f>
        <v>6</v>
      </c>
      <c r="H864" s="3" t="n">
        <f aca="false">(MIN(B864,2020)-1900-10*(G864-1))/10</f>
        <v>0.5</v>
      </c>
      <c r="I864" s="20" t="n">
        <f aca="false">EXP(LN(INDEX(Pop_Inputs!$B$2:$N$29,MATCH(C864,Pop_Inputs!$A$2:$A$29,0),G864))*(1-H864)+LN(INDEX(Pop_Inputs!$B$2:$N$29,MATCH(C864,Pop_Inputs!$A$2:$A$29,0),G864+1))*H864)</f>
        <v>687396.528219339</v>
      </c>
      <c r="J864" s="20" t="n">
        <f aca="false">I864/F864</f>
        <v>687396.528219339</v>
      </c>
      <c r="K864" s="21" t="n">
        <f aca="false">D864/(D864+E864)</f>
        <v>0.551948051948052</v>
      </c>
      <c r="L864" s="21" t="n">
        <f aca="false">AVERAGEIFS($K$2:$K$2705,$B$2:$B$2705,B864)</f>
        <v>0.500045093795094</v>
      </c>
      <c r="M864" s="21" t="n">
        <f aca="false">K864-L864</f>
        <v>0.0519029581529582</v>
      </c>
      <c r="N864" s="21" t="n">
        <f aca="false">LN(J864)</f>
        <v>13.4406665927877</v>
      </c>
      <c r="O864" s="21" t="n">
        <f aca="false">AVERAGEIFS($N$2:$N$2705,$B$2:$B$2705,B864)</f>
        <v>13.9484157763316</v>
      </c>
      <c r="P864" s="21" t="n">
        <f aca="false">N864-O864</f>
        <v>-0.507749183543886</v>
      </c>
      <c r="Q864" s="7" t="n">
        <v>0</v>
      </c>
      <c r="R864" s="3" t="n">
        <f aca="false">IF(AND(Q864=1,B864-_xlfn.MINIFS($B$2:$B$2705,$A$2:$A$2705,A864)&lt;10),1,0)</f>
        <v>0</v>
      </c>
      <c r="S864" s="7" t="n">
        <v>0</v>
      </c>
      <c r="T864" s="3" t="n">
        <f aca="false">_xlfn.MINIFS($B$2:$B$2705,$A$2:$A$2705,A864)</f>
        <v>1901</v>
      </c>
      <c r="U864" s="3" t="n">
        <f aca="false">B864-T864</f>
        <v>54</v>
      </c>
      <c r="V864" s="3" t="str">
        <f aca="false">INDEX(Pop_Inputs!$Q$2:$Q$29,MATCH(C864,Pop_Inputs!$A$2:$A$29,0))</f>
        <v>Midwest</v>
      </c>
      <c r="W864" s="30"/>
      <c r="X864" s="3" t="str">
        <f aca="false">IF(W864="","",LN(W864))</f>
        <v/>
      </c>
      <c r="Y864" s="3" t="str">
        <f aca="false">IF(X864="","",X864-AVERAGEIFS($X$2:$X$2705,$B$2:$B$2705,B864))</f>
        <v/>
      </c>
      <c r="Z864" s="21" t="n">
        <f aca="false">P864</f>
        <v>-0.507749183543886</v>
      </c>
      <c r="AA864" s="3" t="n">
        <f aca="false">R864</f>
        <v>0</v>
      </c>
      <c r="AB864" s="21" t="n">
        <f aca="false">P864</f>
        <v>-0.507749183543886</v>
      </c>
      <c r="AC864" s="3" t="str">
        <f aca="false">Y864</f>
        <v/>
      </c>
      <c r="AD864" s="3" t="n">
        <f aca="false">R864</f>
        <v>0</v>
      </c>
    </row>
    <row r="865" customFormat="false" ht="15" hidden="false" customHeight="true" outlineLevel="0" collapsed="false">
      <c r="A865" s="7" t="s">
        <v>63</v>
      </c>
      <c r="B865" s="7" t="n">
        <v>1955</v>
      </c>
      <c r="C865" s="7" t="s">
        <v>149</v>
      </c>
      <c r="D865" s="7" t="n">
        <v>57</v>
      </c>
      <c r="E865" s="7" t="n">
        <v>97</v>
      </c>
      <c r="F865" s="3" t="n">
        <f aca="false">COUNTIFS($B$2:$B$2705,B865,$C$2:$C$2705,C865)</f>
        <v>1</v>
      </c>
      <c r="G865" s="3" t="n">
        <f aca="false">MIN(INT((MIN(B865,2020)-1900)/10)+1,12)</f>
        <v>6</v>
      </c>
      <c r="H865" s="3" t="n">
        <f aca="false">(MIN(B865,2020)-1900-10*(G865-1))/10</f>
        <v>0.5</v>
      </c>
      <c r="I865" s="20" t="n">
        <f aca="false">EXP(LN(INDEX(Pop_Inputs!$B$2:$N$29,MATCH(C865,Pop_Inputs!$A$2:$A$29,0),G865))*(1-H865)+LN(INDEX(Pop_Inputs!$B$2:$N$29,MATCH(C865,Pop_Inputs!$A$2:$A$29,0),G865+1))*H865)</f>
        <v>944350.890819721</v>
      </c>
      <c r="J865" s="20" t="n">
        <f aca="false">I865/F865</f>
        <v>944350.890819721</v>
      </c>
      <c r="K865" s="21" t="n">
        <f aca="false">D865/(D865+E865)</f>
        <v>0.37012987012987</v>
      </c>
      <c r="L865" s="21" t="n">
        <f aca="false">AVERAGEIFS($K$2:$K$2705,$B$2:$B$2705,B865)</f>
        <v>0.500045093795094</v>
      </c>
      <c r="M865" s="21" t="n">
        <f aca="false">K865-L865</f>
        <v>-0.129915223665224</v>
      </c>
      <c r="N865" s="21" t="n">
        <f aca="false">LN(J865)</f>
        <v>13.7582530824388</v>
      </c>
      <c r="O865" s="21" t="n">
        <f aca="false">AVERAGEIFS($N$2:$N$2705,$B$2:$B$2705,B865)</f>
        <v>13.9484157763316</v>
      </c>
      <c r="P865" s="21" t="n">
        <f aca="false">N865-O865</f>
        <v>-0.19016269389283</v>
      </c>
      <c r="Q865" s="7" t="n">
        <v>0</v>
      </c>
      <c r="R865" s="3" t="n">
        <f aca="false">IF(AND(Q865=1,B865-_xlfn.MINIFS($B$2:$B$2705,$A$2:$A$2705,A865)&lt;10),1,0)</f>
        <v>0</v>
      </c>
      <c r="S865" s="7" t="n">
        <v>0</v>
      </c>
      <c r="T865" s="3" t="n">
        <f aca="false">_xlfn.MINIFS($B$2:$B$2705,$A$2:$A$2705,A865)</f>
        <v>1901</v>
      </c>
      <c r="U865" s="3" t="n">
        <f aca="false">B865-T865</f>
        <v>54</v>
      </c>
      <c r="V865" s="3" t="str">
        <f aca="false">INDEX(Pop_Inputs!$Q$2:$Q$29,MATCH(C865,Pop_Inputs!$A$2:$A$29,0))</f>
        <v>South</v>
      </c>
      <c r="W865" s="30"/>
      <c r="X865" s="3" t="str">
        <f aca="false">IF(W865="","",LN(W865))</f>
        <v/>
      </c>
      <c r="Y865" s="3" t="str">
        <f aca="false">IF(X865="","",X865-AVERAGEIFS($X$2:$X$2705,$B$2:$B$2705,B865))</f>
        <v/>
      </c>
      <c r="Z865" s="21" t="n">
        <f aca="false">P865</f>
        <v>-0.19016269389283</v>
      </c>
      <c r="AA865" s="3" t="n">
        <f aca="false">R865</f>
        <v>0</v>
      </c>
      <c r="AB865" s="21" t="n">
        <f aca="false">P865</f>
        <v>-0.19016269389283</v>
      </c>
      <c r="AC865" s="3" t="str">
        <f aca="false">Y865</f>
        <v/>
      </c>
      <c r="AD865" s="3" t="n">
        <f aca="false">R865</f>
        <v>0</v>
      </c>
    </row>
    <row r="866" customFormat="false" ht="15" hidden="false" customHeight="true" outlineLevel="0" collapsed="false">
      <c r="A866" s="7" t="s">
        <v>64</v>
      </c>
      <c r="B866" s="7" t="n">
        <v>1955</v>
      </c>
      <c r="C866" s="7" t="s">
        <v>150</v>
      </c>
      <c r="D866" s="7" t="n">
        <v>84</v>
      </c>
      <c r="E866" s="7" t="n">
        <v>70</v>
      </c>
      <c r="F866" s="3" t="n">
        <f aca="false">COUNTIFS($B$2:$B$2705,B866,$C$2:$C$2705,C866)</f>
        <v>1</v>
      </c>
      <c r="G866" s="3" t="n">
        <f aca="false">MIN(INT((MIN(B866,2020)-1900)/10)+1,12)</f>
        <v>6</v>
      </c>
      <c r="H866" s="3" t="n">
        <f aca="false">(MIN(B866,2020)-1900-10*(G866-1))/10</f>
        <v>0.5</v>
      </c>
      <c r="I866" s="20" t="n">
        <f aca="false">EXP(LN(INDEX(Pop_Inputs!$B$2:$N$29,MATCH(C866,Pop_Inputs!$A$2:$A$29,0),G866))*(1-H866)+LN(INDEX(Pop_Inputs!$B$2:$N$29,MATCH(C866,Pop_Inputs!$A$2:$A$29,0),G866+1))*H866)</f>
        <v>747505.41969139</v>
      </c>
      <c r="J866" s="20" t="n">
        <f aca="false">I866/F866</f>
        <v>747505.41969139</v>
      </c>
      <c r="K866" s="21" t="n">
        <f aca="false">D866/(D866+E866)</f>
        <v>0.545454545454545</v>
      </c>
      <c r="L866" s="21" t="n">
        <f aca="false">AVERAGEIFS($K$2:$K$2705,$B$2:$B$2705,B866)</f>
        <v>0.500045093795094</v>
      </c>
      <c r="M866" s="21" t="n">
        <f aca="false">K866-L866</f>
        <v>0.0454094516594517</v>
      </c>
      <c r="N866" s="21" t="n">
        <f aca="false">LN(J866)</f>
        <v>13.524496834644</v>
      </c>
      <c r="O866" s="21" t="n">
        <f aca="false">AVERAGEIFS($N$2:$N$2705,$B$2:$B$2705,B866)</f>
        <v>13.9484157763316</v>
      </c>
      <c r="P866" s="21" t="n">
        <f aca="false">N866-O866</f>
        <v>-0.423918941687631</v>
      </c>
      <c r="Q866" s="7" t="n">
        <v>0</v>
      </c>
      <c r="R866" s="3" t="n">
        <f aca="false">IF(AND(Q866=1,B866-_xlfn.MINIFS($B$2:$B$2705,$A$2:$A$2705,A866)&lt;10),1,0)</f>
        <v>0</v>
      </c>
      <c r="S866" s="7" t="n">
        <v>0</v>
      </c>
      <c r="T866" s="3" t="n">
        <f aca="false">_xlfn.MINIFS($B$2:$B$2705,$A$2:$A$2705,A866)</f>
        <v>1901</v>
      </c>
      <c r="U866" s="3" t="n">
        <f aca="false">B866-T866</f>
        <v>54</v>
      </c>
      <c r="V866" s="3" t="str">
        <f aca="false">INDEX(Pop_Inputs!$Q$2:$Q$29,MATCH(C866,Pop_Inputs!$A$2:$A$29,0))</f>
        <v>Northeast</v>
      </c>
      <c r="W866" s="30"/>
      <c r="X866" s="3" t="str">
        <f aca="false">IF(W866="","",LN(W866))</f>
        <v/>
      </c>
      <c r="Y866" s="3" t="str">
        <f aca="false">IF(X866="","",X866-AVERAGEIFS($X$2:$X$2705,$B$2:$B$2705,B866))</f>
        <v/>
      </c>
      <c r="Z866" s="21" t="n">
        <f aca="false">P866</f>
        <v>-0.423918941687631</v>
      </c>
      <c r="AA866" s="3" t="n">
        <f aca="false">R866</f>
        <v>0</v>
      </c>
      <c r="AB866" s="21" t="n">
        <f aca="false">P866</f>
        <v>-0.423918941687631</v>
      </c>
      <c r="AC866" s="3" t="str">
        <f aca="false">Y866</f>
        <v/>
      </c>
      <c r="AD866" s="3" t="n">
        <f aca="false">R866</f>
        <v>0</v>
      </c>
    </row>
    <row r="867" customFormat="false" ht="15" hidden="false" customHeight="true" outlineLevel="0" collapsed="false">
      <c r="A867" s="7" t="s">
        <v>56</v>
      </c>
      <c r="B867" s="7" t="n">
        <v>1955</v>
      </c>
      <c r="C867" s="7" t="s">
        <v>142</v>
      </c>
      <c r="D867" s="7" t="n">
        <v>72</v>
      </c>
      <c r="E867" s="7" t="n">
        <v>81</v>
      </c>
      <c r="F867" s="3" t="n">
        <f aca="false">COUNTIFS($B$2:$B$2705,B867,$C$2:$C$2705,C867)</f>
        <v>2</v>
      </c>
      <c r="G867" s="3" t="n">
        <f aca="false">MIN(INT((MIN(B867,2020)-1900)/10)+1,12)</f>
        <v>6</v>
      </c>
      <c r="H867" s="3" t="n">
        <f aca="false">(MIN(B867,2020)-1900-10*(G867-1))/10</f>
        <v>0.5</v>
      </c>
      <c r="I867" s="20" t="n">
        <f aca="false">EXP(LN(INDEX(Pop_Inputs!$B$2:$N$29,MATCH(C867,Pop_Inputs!$A$2:$A$29,0),G867))*(1-H867)+LN(INDEX(Pop_Inputs!$B$2:$N$29,MATCH(C867,Pop_Inputs!$A$2:$A$29,0),G867+1))*H867)</f>
        <v>3585509.44339128</v>
      </c>
      <c r="J867" s="20" t="n">
        <f aca="false">I867/F867</f>
        <v>1792754.72169564</v>
      </c>
      <c r="K867" s="21" t="n">
        <f aca="false">D867/(D867+E867)</f>
        <v>0.470588235294118</v>
      </c>
      <c r="L867" s="21" t="n">
        <f aca="false">AVERAGEIFS($K$2:$K$2705,$B$2:$B$2705,B867)</f>
        <v>0.500045093795094</v>
      </c>
      <c r="M867" s="21" t="n">
        <f aca="false">K867-L867</f>
        <v>-0.0294568585009761</v>
      </c>
      <c r="N867" s="21" t="n">
        <f aca="false">LN(J867)</f>
        <v>14.3992639455138</v>
      </c>
      <c r="O867" s="21" t="n">
        <f aca="false">AVERAGEIFS($N$2:$N$2705,$B$2:$B$2705,B867)</f>
        <v>13.9484157763316</v>
      </c>
      <c r="P867" s="21" t="n">
        <f aca="false">N867-O867</f>
        <v>0.450848169182256</v>
      </c>
      <c r="Q867" s="7" t="n">
        <v>0</v>
      </c>
      <c r="R867" s="3" t="n">
        <f aca="false">IF(AND(Q867=1,B867-_xlfn.MINIFS($B$2:$B$2705,$A$2:$A$2705,A867)&lt;10),1,0)</f>
        <v>0</v>
      </c>
      <c r="S867" s="7" t="n">
        <v>0</v>
      </c>
      <c r="T867" s="3" t="n">
        <f aca="false">_xlfn.MINIFS($B$2:$B$2705,$A$2:$A$2705,A867)</f>
        <v>1901</v>
      </c>
      <c r="U867" s="3" t="n">
        <f aca="false">B867-T867</f>
        <v>54</v>
      </c>
      <c r="V867" s="3" t="str">
        <f aca="false">INDEX(Pop_Inputs!$Q$2:$Q$29,MATCH(C867,Pop_Inputs!$A$2:$A$29,0))</f>
        <v>Midwest</v>
      </c>
      <c r="W867" s="30"/>
      <c r="X867" s="3" t="str">
        <f aca="false">IF(W867="","",LN(W867))</f>
        <v/>
      </c>
      <c r="Y867" s="3" t="str">
        <f aca="false">IF(X867="","",X867-AVERAGEIFS($X$2:$X$2705,$B$2:$B$2705,B867))</f>
        <v/>
      </c>
      <c r="Z867" s="21" t="n">
        <f aca="false">P867</f>
        <v>0.450848169182256</v>
      </c>
      <c r="AA867" s="3" t="n">
        <f aca="false">R867</f>
        <v>0</v>
      </c>
      <c r="AB867" s="21" t="n">
        <f aca="false">P867</f>
        <v>0.450848169182256</v>
      </c>
      <c r="AC867" s="3" t="str">
        <f aca="false">Y867</f>
        <v/>
      </c>
      <c r="AD867" s="3" t="n">
        <f aca="false">R867</f>
        <v>0</v>
      </c>
    </row>
    <row r="868" customFormat="false" ht="15" hidden="false" customHeight="true" outlineLevel="0" collapsed="false">
      <c r="A868" s="7" t="s">
        <v>65</v>
      </c>
      <c r="B868" s="7" t="n">
        <v>1955</v>
      </c>
      <c r="C868" s="7" t="s">
        <v>142</v>
      </c>
      <c r="D868" s="7" t="n">
        <v>91</v>
      </c>
      <c r="E868" s="7" t="n">
        <v>63</v>
      </c>
      <c r="F868" s="3" t="n">
        <f aca="false">COUNTIFS($B$2:$B$2705,B868,$C$2:$C$2705,C868)</f>
        <v>2</v>
      </c>
      <c r="G868" s="3" t="n">
        <f aca="false">MIN(INT((MIN(B868,2020)-1900)/10)+1,12)</f>
        <v>6</v>
      </c>
      <c r="H868" s="3" t="n">
        <f aca="false">(MIN(B868,2020)-1900-10*(G868-1))/10</f>
        <v>0.5</v>
      </c>
      <c r="I868" s="20" t="n">
        <f aca="false">EXP(LN(INDEX(Pop_Inputs!$B$2:$N$29,MATCH(C868,Pop_Inputs!$A$2:$A$29,0),G868))*(1-H868)+LN(INDEX(Pop_Inputs!$B$2:$N$29,MATCH(C868,Pop_Inputs!$A$2:$A$29,0),G868+1))*H868)</f>
        <v>3585509.44339128</v>
      </c>
      <c r="J868" s="20" t="n">
        <f aca="false">I868/F868</f>
        <v>1792754.72169564</v>
      </c>
      <c r="K868" s="21" t="n">
        <f aca="false">D868/(D868+E868)</f>
        <v>0.590909090909091</v>
      </c>
      <c r="L868" s="21" t="n">
        <f aca="false">AVERAGEIFS($K$2:$K$2705,$B$2:$B$2705,B868)</f>
        <v>0.500045093795094</v>
      </c>
      <c r="M868" s="21" t="n">
        <f aca="false">K868-L868</f>
        <v>0.0908639971139972</v>
      </c>
      <c r="N868" s="21" t="n">
        <f aca="false">LN(J868)</f>
        <v>14.3992639455138</v>
      </c>
      <c r="O868" s="21" t="n">
        <f aca="false">AVERAGEIFS($N$2:$N$2705,$B$2:$B$2705,B868)</f>
        <v>13.9484157763316</v>
      </c>
      <c r="P868" s="21" t="n">
        <f aca="false">N868-O868</f>
        <v>0.450848169182256</v>
      </c>
      <c r="Q868" s="7" t="n">
        <v>0</v>
      </c>
      <c r="R868" s="3" t="n">
        <f aca="false">IF(AND(Q868=1,B868-_xlfn.MINIFS($B$2:$B$2705,$A$2:$A$2705,A868)&lt;10),1,0)</f>
        <v>0</v>
      </c>
      <c r="S868" s="7" t="n">
        <v>0</v>
      </c>
      <c r="T868" s="3" t="n">
        <f aca="false">_xlfn.MINIFS($B$2:$B$2705,$A$2:$A$2705,A868)</f>
        <v>1901</v>
      </c>
      <c r="U868" s="3" t="n">
        <f aca="false">B868-T868</f>
        <v>54</v>
      </c>
      <c r="V868" s="3" t="str">
        <f aca="false">INDEX(Pop_Inputs!$Q$2:$Q$29,MATCH(C868,Pop_Inputs!$A$2:$A$29,0))</f>
        <v>Midwest</v>
      </c>
      <c r="W868" s="30"/>
      <c r="X868" s="3" t="str">
        <f aca="false">IF(W868="","",LN(W868))</f>
        <v/>
      </c>
      <c r="Y868" s="3" t="str">
        <f aca="false">IF(X868="","",X868-AVERAGEIFS($X$2:$X$2705,$B$2:$B$2705,B868))</f>
        <v/>
      </c>
      <c r="Z868" s="21" t="n">
        <f aca="false">P868</f>
        <v>0.450848169182256</v>
      </c>
      <c r="AA868" s="3" t="n">
        <f aca="false">R868</f>
        <v>0</v>
      </c>
      <c r="AB868" s="21" t="n">
        <f aca="false">P868</f>
        <v>0.450848169182256</v>
      </c>
      <c r="AC868" s="3" t="str">
        <f aca="false">Y868</f>
        <v/>
      </c>
      <c r="AD868" s="3" t="n">
        <f aca="false">R868</f>
        <v>0</v>
      </c>
    </row>
    <row r="869" customFormat="false" ht="15" hidden="false" customHeight="true" outlineLevel="0" collapsed="false">
      <c r="A869" s="7" t="s">
        <v>57</v>
      </c>
      <c r="B869" s="7" t="n">
        <v>1955</v>
      </c>
      <c r="C869" s="7" t="s">
        <v>143</v>
      </c>
      <c r="D869" s="7" t="n">
        <v>75</v>
      </c>
      <c r="E869" s="7" t="n">
        <v>79</v>
      </c>
      <c r="F869" s="3" t="n">
        <f aca="false">COUNTIFS($B$2:$B$2705,B869,$C$2:$C$2705,C869)</f>
        <v>1</v>
      </c>
      <c r="G869" s="3" t="n">
        <f aca="false">MIN(INT((MIN(B869,2020)-1900)/10)+1,12)</f>
        <v>6</v>
      </c>
      <c r="H869" s="3" t="n">
        <f aca="false">(MIN(B869,2020)-1900-10*(G869-1))/10</f>
        <v>0.5</v>
      </c>
      <c r="I869" s="20" t="n">
        <f aca="false">EXP(LN(INDEX(Pop_Inputs!$B$2:$N$29,MATCH(C869,Pop_Inputs!$A$2:$A$29,0),G869))*(1-H869)+LN(INDEX(Pop_Inputs!$B$2:$N$29,MATCH(C869,Pop_Inputs!$A$2:$A$29,0),G869+1))*H869)</f>
        <v>503273.479233707</v>
      </c>
      <c r="J869" s="20" t="n">
        <f aca="false">I869/F869</f>
        <v>503273.479233707</v>
      </c>
      <c r="K869" s="21" t="n">
        <f aca="false">D869/(D869+E869)</f>
        <v>0.487012987012987</v>
      </c>
      <c r="L869" s="21" t="n">
        <f aca="false">AVERAGEIFS($K$2:$K$2705,$B$2:$B$2705,B869)</f>
        <v>0.500045093795094</v>
      </c>
      <c r="M869" s="21" t="n">
        <f aca="false">K869-L869</f>
        <v>-0.0130321067821068</v>
      </c>
      <c r="N869" s="21" t="n">
        <f aca="false">LN(J869)</f>
        <v>13.1288889976223</v>
      </c>
      <c r="O869" s="21" t="n">
        <f aca="false">AVERAGEIFS($N$2:$N$2705,$B$2:$B$2705,B869)</f>
        <v>13.9484157763316</v>
      </c>
      <c r="P869" s="21" t="n">
        <f aca="false">N869-O869</f>
        <v>-0.819526778709314</v>
      </c>
      <c r="Q869" s="7" t="n">
        <v>0</v>
      </c>
      <c r="R869" s="3" t="n">
        <f aca="false">IF(AND(Q869=1,B869-_xlfn.MINIFS($B$2:$B$2705,$A$2:$A$2705,A869)&lt;10),1,0)</f>
        <v>0</v>
      </c>
      <c r="S869" s="7" t="n">
        <v>0</v>
      </c>
      <c r="T869" s="3" t="n">
        <f aca="false">_xlfn.MINIFS($B$2:$B$2705,$A$2:$A$2705,A869)</f>
        <v>1901</v>
      </c>
      <c r="U869" s="3" t="n">
        <f aca="false">B869-T869</f>
        <v>54</v>
      </c>
      <c r="V869" s="3" t="str">
        <f aca="false">INDEX(Pop_Inputs!$Q$2:$Q$29,MATCH(C869,Pop_Inputs!$A$2:$A$29,0))</f>
        <v>Midwest</v>
      </c>
      <c r="W869" s="30"/>
      <c r="X869" s="3" t="str">
        <f aca="false">IF(W869="","",LN(W869))</f>
        <v/>
      </c>
      <c r="Y869" s="3" t="str">
        <f aca="false">IF(X869="","",X869-AVERAGEIFS($X$2:$X$2705,$B$2:$B$2705,B869))</f>
        <v/>
      </c>
      <c r="Z869" s="21" t="n">
        <f aca="false">P869</f>
        <v>-0.819526778709314</v>
      </c>
      <c r="AA869" s="3" t="n">
        <f aca="false">R869</f>
        <v>0</v>
      </c>
      <c r="AB869" s="21" t="n">
        <f aca="false">P869</f>
        <v>-0.819526778709314</v>
      </c>
      <c r="AC869" s="3" t="str">
        <f aca="false">Y869</f>
        <v/>
      </c>
      <c r="AD869" s="3" t="n">
        <f aca="false">R869</f>
        <v>0</v>
      </c>
    </row>
    <row r="870" customFormat="false" ht="15" hidden="false" customHeight="true" outlineLevel="0" collapsed="false">
      <c r="A870" s="7" t="s">
        <v>66</v>
      </c>
      <c r="B870" s="7" t="n">
        <v>1955</v>
      </c>
      <c r="C870" s="7" t="s">
        <v>151</v>
      </c>
      <c r="D870" s="7" t="n">
        <v>93</v>
      </c>
      <c r="E870" s="7" t="n">
        <v>61</v>
      </c>
      <c r="F870" s="3" t="n">
        <f aca="false">COUNTIFS($B$2:$B$2705,B870,$C$2:$C$2705,C870)</f>
        <v>1</v>
      </c>
      <c r="G870" s="3" t="n">
        <f aca="false">MIN(INT((MIN(B870,2020)-1900)/10)+1,12)</f>
        <v>6</v>
      </c>
      <c r="H870" s="3" t="n">
        <f aca="false">(MIN(B870,2020)-1900-10*(G870-1))/10</f>
        <v>0.5</v>
      </c>
      <c r="I870" s="20" t="n">
        <f aca="false">EXP(LN(INDEX(Pop_Inputs!$B$2:$N$29,MATCH(C870,Pop_Inputs!$A$2:$A$29,0),G870))*(1-H870)+LN(INDEX(Pop_Inputs!$B$2:$N$29,MATCH(C870,Pop_Inputs!$A$2:$A$29,0),G870+1))*H870)</f>
        <v>895219.273921201</v>
      </c>
      <c r="J870" s="20" t="n">
        <f aca="false">I870/F870</f>
        <v>895219.273921201</v>
      </c>
      <c r="K870" s="21" t="n">
        <f aca="false">D870/(D870+E870)</f>
        <v>0.603896103896104</v>
      </c>
      <c r="L870" s="21" t="n">
        <f aca="false">AVERAGEIFS($K$2:$K$2705,$B$2:$B$2705,B870)</f>
        <v>0.500045093795094</v>
      </c>
      <c r="M870" s="21" t="n">
        <f aca="false">K870-L870</f>
        <v>0.10385101010101</v>
      </c>
      <c r="N870" s="21" t="n">
        <f aca="false">LN(J870)</f>
        <v>13.7048239660443</v>
      </c>
      <c r="O870" s="21" t="n">
        <f aca="false">AVERAGEIFS($N$2:$N$2705,$B$2:$B$2705,B870)</f>
        <v>13.9484157763316</v>
      </c>
      <c r="P870" s="21" t="n">
        <f aca="false">N870-O870</f>
        <v>-0.243591810287263</v>
      </c>
      <c r="Q870" s="7" t="n">
        <v>0</v>
      </c>
      <c r="R870" s="3" t="n">
        <f aca="false">IF(AND(Q870=1,B870-_xlfn.MINIFS($B$2:$B$2705,$A$2:$A$2705,A870)&lt;10),1,0)</f>
        <v>0</v>
      </c>
      <c r="S870" s="7" t="n">
        <v>0</v>
      </c>
      <c r="T870" s="3" t="n">
        <f aca="false">_xlfn.MINIFS($B$2:$B$2705,$A$2:$A$2705,A870)</f>
        <v>1901</v>
      </c>
      <c r="U870" s="3" t="n">
        <f aca="false">B870-T870</f>
        <v>54</v>
      </c>
      <c r="V870" s="3" t="str">
        <f aca="false">INDEX(Pop_Inputs!$Q$2:$Q$29,MATCH(C870,Pop_Inputs!$A$2:$A$29,0))</f>
        <v>Midwest</v>
      </c>
      <c r="W870" s="30"/>
      <c r="X870" s="3" t="str">
        <f aca="false">IF(W870="","",LN(W870))</f>
        <v/>
      </c>
      <c r="Y870" s="3" t="str">
        <f aca="false">IF(X870="","",X870-AVERAGEIFS($X$2:$X$2705,$B$2:$B$2705,B870))</f>
        <v/>
      </c>
      <c r="Z870" s="21" t="n">
        <f aca="false">P870</f>
        <v>-0.243591810287263</v>
      </c>
      <c r="AA870" s="3" t="n">
        <f aca="false">R870</f>
        <v>0</v>
      </c>
      <c r="AB870" s="21" t="n">
        <f aca="false">P870</f>
        <v>-0.243591810287263</v>
      </c>
      <c r="AC870" s="3" t="str">
        <f aca="false">Y870</f>
        <v/>
      </c>
      <c r="AD870" s="3" t="n">
        <f aca="false">R870</f>
        <v>0</v>
      </c>
    </row>
    <row r="871" customFormat="false" ht="15" hidden="false" customHeight="true" outlineLevel="0" collapsed="false">
      <c r="A871" s="7" t="s">
        <v>67</v>
      </c>
      <c r="B871" s="7" t="n">
        <v>1955</v>
      </c>
      <c r="C871" s="7" t="s">
        <v>152</v>
      </c>
      <c r="D871" s="7" t="n">
        <v>79</v>
      </c>
      <c r="E871" s="7" t="n">
        <v>75</v>
      </c>
      <c r="F871" s="3" t="n">
        <f aca="false">COUNTIFS($B$2:$B$2705,B871,$C$2:$C$2705,C871)</f>
        <v>1</v>
      </c>
      <c r="G871" s="3" t="n">
        <f aca="false">MIN(INT((MIN(B871,2020)-1900)/10)+1,12)</f>
        <v>6</v>
      </c>
      <c r="H871" s="3" t="n">
        <f aca="false">(MIN(B871,2020)-1900-10*(G871-1))/10</f>
        <v>0.5</v>
      </c>
      <c r="I871" s="20" t="n">
        <f aca="false">EXP(LN(INDEX(Pop_Inputs!$B$2:$N$29,MATCH(C871,Pop_Inputs!$A$2:$A$29,0),G871))*(1-H871)+LN(INDEX(Pop_Inputs!$B$2:$N$29,MATCH(C871,Pop_Inputs!$A$2:$A$29,0),G871+1))*H871)</f>
        <v>1757567.89279732</v>
      </c>
      <c r="J871" s="20" t="n">
        <f aca="false">I871/F871</f>
        <v>1757567.89279732</v>
      </c>
      <c r="K871" s="21" t="n">
        <f aca="false">D871/(D871+E871)</f>
        <v>0.512987012987013</v>
      </c>
      <c r="L871" s="21" t="n">
        <f aca="false">AVERAGEIFS($K$2:$K$2705,$B$2:$B$2705,B871)</f>
        <v>0.500045093795094</v>
      </c>
      <c r="M871" s="21" t="n">
        <f aca="false">K871-L871</f>
        <v>0.0129419191919192</v>
      </c>
      <c r="N871" s="21" t="n">
        <f aca="false">LN(J871)</f>
        <v>14.3794415322465</v>
      </c>
      <c r="O871" s="21" t="n">
        <f aca="false">AVERAGEIFS($N$2:$N$2705,$B$2:$B$2705,B871)</f>
        <v>13.9484157763316</v>
      </c>
      <c r="P871" s="21" t="n">
        <f aca="false">N871-O871</f>
        <v>0.431025755914877</v>
      </c>
      <c r="Q871" s="7" t="n">
        <v>0</v>
      </c>
      <c r="R871" s="3" t="n">
        <f aca="false">IF(AND(Q871=1,B871-_xlfn.MINIFS($B$2:$B$2705,$A$2:$A$2705,A871)&lt;10),1,0)</f>
        <v>0</v>
      </c>
      <c r="S871" s="7" t="n">
        <v>0</v>
      </c>
      <c r="T871" s="3" t="n">
        <f aca="false">_xlfn.MINIFS($B$2:$B$2705,$A$2:$A$2705,A871)</f>
        <v>1901</v>
      </c>
      <c r="U871" s="3" t="n">
        <f aca="false">B871-T871</f>
        <v>54</v>
      </c>
      <c r="V871" s="3" t="str">
        <f aca="false">INDEX(Pop_Inputs!$Q$2:$Q$29,MATCH(C871,Pop_Inputs!$A$2:$A$29,0))</f>
        <v>Midwest</v>
      </c>
      <c r="W871" s="30"/>
      <c r="X871" s="3" t="str">
        <f aca="false">IF(W871="","",LN(W871))</f>
        <v/>
      </c>
      <c r="Y871" s="3" t="str">
        <f aca="false">IF(X871="","",X871-AVERAGEIFS($X$2:$X$2705,$B$2:$B$2705,B871))</f>
        <v/>
      </c>
      <c r="Z871" s="21" t="n">
        <f aca="false">P871</f>
        <v>0.431025755914877</v>
      </c>
      <c r="AA871" s="3" t="n">
        <f aca="false">R871</f>
        <v>0</v>
      </c>
      <c r="AB871" s="21" t="n">
        <f aca="false">P871</f>
        <v>0.431025755914877</v>
      </c>
      <c r="AC871" s="3" t="str">
        <f aca="false">Y871</f>
        <v/>
      </c>
      <c r="AD871" s="3" t="n">
        <f aca="false">R871</f>
        <v>0</v>
      </c>
    </row>
    <row r="872" customFormat="false" ht="15" hidden="false" customHeight="true" outlineLevel="0" collapsed="false">
      <c r="A872" s="7" t="s">
        <v>62</v>
      </c>
      <c r="B872" s="7" t="n">
        <v>1955</v>
      </c>
      <c r="C872" s="7" t="s">
        <v>154</v>
      </c>
      <c r="D872" s="7" t="n">
        <v>98</v>
      </c>
      <c r="E872" s="7" t="n">
        <v>55</v>
      </c>
      <c r="F872" s="3" t="n">
        <f aca="false">COUNTIFS($B$2:$B$2705,B872,$C$2:$C$2705,C872)</f>
        <v>3</v>
      </c>
      <c r="G872" s="3" t="n">
        <f aca="false">MIN(INT((MIN(B872,2020)-1900)/10)+1,12)</f>
        <v>6</v>
      </c>
      <c r="H872" s="3" t="n">
        <f aca="false">(MIN(B872,2020)-1900-10*(G872-1))/10</f>
        <v>0.5</v>
      </c>
      <c r="I872" s="20" t="n">
        <f aca="false">EXP(LN(INDEX(Pop_Inputs!$B$2:$N$29,MATCH(C872,Pop_Inputs!$A$2:$A$29,0),G872))*(1-H872)+LN(INDEX(Pop_Inputs!$B$2:$N$29,MATCH(C872,Pop_Inputs!$A$2:$A$29,0),G872+1))*H872)</f>
        <v>7836777.59686263</v>
      </c>
      <c r="J872" s="20" t="n">
        <f aca="false">I872/F872</f>
        <v>2612259.19895421</v>
      </c>
      <c r="K872" s="21" t="n">
        <f aca="false">D872/(D872+E872)</f>
        <v>0.640522875816993</v>
      </c>
      <c r="L872" s="21" t="n">
        <f aca="false">AVERAGEIFS($K$2:$K$2705,$B$2:$B$2705,B872)</f>
        <v>0.500045093795094</v>
      </c>
      <c r="M872" s="21" t="n">
        <f aca="false">K872-L872</f>
        <v>0.1404777820219</v>
      </c>
      <c r="N872" s="21" t="n">
        <f aca="false">LN(J872)</f>
        <v>14.7757259983579</v>
      </c>
      <c r="O872" s="21" t="n">
        <f aca="false">AVERAGEIFS($N$2:$N$2705,$B$2:$B$2705,B872)</f>
        <v>13.9484157763316</v>
      </c>
      <c r="P872" s="21" t="n">
        <f aca="false">N872-O872</f>
        <v>0.827310222026348</v>
      </c>
      <c r="Q872" s="7" t="n">
        <v>0</v>
      </c>
      <c r="R872" s="3" t="n">
        <f aca="false">IF(AND(Q872=1,B872-_xlfn.MINIFS($B$2:$B$2705,$A$2:$A$2705,A872)&lt;10),1,0)</f>
        <v>0</v>
      </c>
      <c r="S872" s="7" t="n">
        <v>0</v>
      </c>
      <c r="T872" s="3" t="n">
        <f aca="false">_xlfn.MINIFS($B$2:$B$2705,$A$2:$A$2705,A872)</f>
        <v>1901</v>
      </c>
      <c r="U872" s="3" t="n">
        <f aca="false">B872-T872</f>
        <v>54</v>
      </c>
      <c r="V872" s="3" t="str">
        <f aca="false">INDEX(Pop_Inputs!$Q$2:$Q$29,MATCH(C872,Pop_Inputs!$A$2:$A$29,0))</f>
        <v>Northeast</v>
      </c>
      <c r="W872" s="30"/>
      <c r="X872" s="3" t="str">
        <f aca="false">IF(W872="","",LN(W872))</f>
        <v/>
      </c>
      <c r="Y872" s="3" t="str">
        <f aca="false">IF(X872="","",X872-AVERAGEIFS($X$2:$X$2705,$B$2:$B$2705,B872))</f>
        <v/>
      </c>
      <c r="Z872" s="21" t="n">
        <f aca="false">P872</f>
        <v>0.827310222026348</v>
      </c>
      <c r="AA872" s="3" t="n">
        <f aca="false">R872</f>
        <v>0</v>
      </c>
      <c r="AB872" s="21" t="n">
        <f aca="false">P872</f>
        <v>0.827310222026348</v>
      </c>
      <c r="AC872" s="3" t="str">
        <f aca="false">Y872</f>
        <v/>
      </c>
      <c r="AD872" s="3" t="n">
        <f aca="false">R872</f>
        <v>0</v>
      </c>
    </row>
    <row r="873" customFormat="false" ht="15" hidden="false" customHeight="true" outlineLevel="0" collapsed="false">
      <c r="A873" s="7" t="s">
        <v>68</v>
      </c>
      <c r="B873" s="7" t="n">
        <v>1955</v>
      </c>
      <c r="C873" s="7" t="s">
        <v>160</v>
      </c>
      <c r="D873" s="7" t="n">
        <v>53</v>
      </c>
      <c r="E873" s="7" t="n">
        <v>101</v>
      </c>
      <c r="F873" s="3" t="n">
        <f aca="false">COUNTIFS($B$2:$B$2705,B873,$C$2:$C$2705,C873)</f>
        <v>1</v>
      </c>
      <c r="G873" s="3" t="n">
        <f aca="false">MIN(INT((MIN(B873,2020)-1900)/10)+1,12)</f>
        <v>6</v>
      </c>
      <c r="H873" s="3" t="n">
        <f aca="false">(MIN(B873,2020)-1900-10*(G873-1))/10</f>
        <v>0.5</v>
      </c>
      <c r="I873" s="20" t="n">
        <f aca="false">EXP(LN(INDEX(Pop_Inputs!$B$2:$N$29,MATCH(C873,Pop_Inputs!$A$2:$A$29,0),G873))*(1-H873)+LN(INDEX(Pop_Inputs!$B$2:$N$29,MATCH(C873,Pop_Inputs!$A$2:$A$29,0),G873+1))*H873)</f>
        <v>782833.760237766</v>
      </c>
      <c r="J873" s="20" t="n">
        <f aca="false">I873/F873</f>
        <v>782833.760237766</v>
      </c>
      <c r="K873" s="21" t="n">
        <f aca="false">D873/(D873+E873)</f>
        <v>0.344155844155844</v>
      </c>
      <c r="L873" s="21" t="n">
        <f aca="false">AVERAGEIFS($K$2:$K$2705,$B$2:$B$2705,B873)</f>
        <v>0.500045093795094</v>
      </c>
      <c r="M873" s="21" t="n">
        <f aca="false">K873-L873</f>
        <v>-0.15588924963925</v>
      </c>
      <c r="N873" s="21" t="n">
        <f aca="false">LN(J873)</f>
        <v>13.5706756411134</v>
      </c>
      <c r="O873" s="21" t="n">
        <f aca="false">AVERAGEIFS($N$2:$N$2705,$B$2:$B$2705,B873)</f>
        <v>13.9484157763316</v>
      </c>
      <c r="P873" s="21" t="n">
        <f aca="false">N873-O873</f>
        <v>-0.377740135218195</v>
      </c>
      <c r="Q873" s="7" t="n">
        <v>0</v>
      </c>
      <c r="R873" s="3" t="n">
        <f aca="false">IF(AND(Q873=1,B873-_xlfn.MINIFS($B$2:$B$2705,$A$2:$A$2705,A873)&lt;10),1,0)</f>
        <v>0</v>
      </c>
      <c r="S873" s="7" t="n">
        <v>0</v>
      </c>
      <c r="T873" s="3" t="n">
        <f aca="false">_xlfn.MINIFS($B$2:$B$2705,$A$2:$A$2705,A873)</f>
        <v>1901</v>
      </c>
      <c r="U873" s="3" t="n">
        <f aca="false">B873-T873</f>
        <v>54</v>
      </c>
      <c r="V873" s="3" t="str">
        <f aca="false">INDEX(Pop_Inputs!$Q$2:$Q$29,MATCH(C873,Pop_Inputs!$A$2:$A$29,0))</f>
        <v>South</v>
      </c>
      <c r="W873" s="30"/>
      <c r="X873" s="3" t="str">
        <f aca="false">IF(W873="","",LN(W873))</f>
        <v/>
      </c>
      <c r="Y873" s="3" t="str">
        <f aca="false">IF(X873="","",X873-AVERAGEIFS($X$2:$X$2705,$B$2:$B$2705,B873))</f>
        <v/>
      </c>
      <c r="Z873" s="21" t="n">
        <f aca="false">P873</f>
        <v>-0.377740135218195</v>
      </c>
      <c r="AA873" s="3" t="n">
        <f aca="false">R873</f>
        <v>0</v>
      </c>
      <c r="AB873" s="21" t="n">
        <f aca="false">P873</f>
        <v>-0.377740135218195</v>
      </c>
      <c r="AC873" s="3" t="str">
        <f aca="false">Y873</f>
        <v/>
      </c>
      <c r="AD873" s="3" t="n">
        <f aca="false">R873</f>
        <v>0</v>
      </c>
    </row>
    <row r="874" customFormat="false" ht="15" hidden="false" customHeight="true" outlineLevel="0" collapsed="false">
      <c r="A874" s="7" t="s">
        <v>70</v>
      </c>
      <c r="B874" s="7" t="n">
        <v>1955</v>
      </c>
      <c r="C874" s="7" t="s">
        <v>154</v>
      </c>
      <c r="D874" s="7" t="n">
        <v>96</v>
      </c>
      <c r="E874" s="7" t="n">
        <v>58</v>
      </c>
      <c r="F874" s="3" t="n">
        <f aca="false">COUNTIFS($B$2:$B$2705,B874,$C$2:$C$2705,C874)</f>
        <v>3</v>
      </c>
      <c r="G874" s="3" t="n">
        <f aca="false">MIN(INT((MIN(B874,2020)-1900)/10)+1,12)</f>
        <v>6</v>
      </c>
      <c r="H874" s="3" t="n">
        <f aca="false">(MIN(B874,2020)-1900-10*(G874-1))/10</f>
        <v>0.5</v>
      </c>
      <c r="I874" s="20" t="n">
        <f aca="false">EXP(LN(INDEX(Pop_Inputs!$B$2:$N$29,MATCH(C874,Pop_Inputs!$A$2:$A$29,0),G874))*(1-H874)+LN(INDEX(Pop_Inputs!$B$2:$N$29,MATCH(C874,Pop_Inputs!$A$2:$A$29,0),G874+1))*H874)</f>
        <v>7836777.59686263</v>
      </c>
      <c r="J874" s="20" t="n">
        <f aca="false">I874/F874</f>
        <v>2612259.19895421</v>
      </c>
      <c r="K874" s="21" t="n">
        <f aca="false">D874/(D874+E874)</f>
        <v>0.623376623376623</v>
      </c>
      <c r="L874" s="21" t="n">
        <f aca="false">AVERAGEIFS($K$2:$K$2705,$B$2:$B$2705,B874)</f>
        <v>0.500045093795094</v>
      </c>
      <c r="M874" s="21" t="n">
        <f aca="false">K874-L874</f>
        <v>0.12333152958153</v>
      </c>
      <c r="N874" s="21" t="n">
        <f aca="false">LN(J874)</f>
        <v>14.7757259983579</v>
      </c>
      <c r="O874" s="21" t="n">
        <f aca="false">AVERAGEIFS($N$2:$N$2705,$B$2:$B$2705,B874)</f>
        <v>13.9484157763316</v>
      </c>
      <c r="P874" s="21" t="n">
        <f aca="false">N874-O874</f>
        <v>0.827310222026348</v>
      </c>
      <c r="Q874" s="7" t="n">
        <v>0</v>
      </c>
      <c r="R874" s="3" t="n">
        <f aca="false">IF(AND(Q874=1,B874-_xlfn.MINIFS($B$2:$B$2705,$A$2:$A$2705,A874)&lt;10),1,0)</f>
        <v>0</v>
      </c>
      <c r="S874" s="7" t="n">
        <v>1</v>
      </c>
      <c r="T874" s="3" t="n">
        <f aca="false">_xlfn.MINIFS($B$2:$B$2705,$A$2:$A$2705,A874)</f>
        <v>1903</v>
      </c>
      <c r="U874" s="3" t="n">
        <f aca="false">B874-T874</f>
        <v>52</v>
      </c>
      <c r="V874" s="3" t="str">
        <f aca="false">INDEX(Pop_Inputs!$Q$2:$Q$29,MATCH(C874,Pop_Inputs!$A$2:$A$29,0))</f>
        <v>Northeast</v>
      </c>
      <c r="W874" s="30"/>
      <c r="X874" s="3" t="str">
        <f aca="false">IF(W874="","",LN(W874))</f>
        <v/>
      </c>
      <c r="Y874" s="3" t="str">
        <f aca="false">IF(X874="","",X874-AVERAGEIFS($X$2:$X$2705,$B$2:$B$2705,B874))</f>
        <v/>
      </c>
      <c r="Z874" s="21" t="n">
        <f aca="false">P874</f>
        <v>0.827310222026348</v>
      </c>
      <c r="AA874" s="3" t="n">
        <f aca="false">R874</f>
        <v>0</v>
      </c>
      <c r="AB874" s="21" t="n">
        <f aca="false">P874</f>
        <v>0.827310222026348</v>
      </c>
      <c r="AC874" s="3" t="str">
        <f aca="false">Y874</f>
        <v/>
      </c>
      <c r="AD874" s="3" t="n">
        <f aca="false">R874</f>
        <v>0</v>
      </c>
    </row>
    <row r="875" customFormat="false" ht="15" hidden="false" customHeight="true" outlineLevel="0" collapsed="false">
      <c r="A875" s="7" t="s">
        <v>69</v>
      </c>
      <c r="B875" s="7" t="n">
        <v>1955</v>
      </c>
      <c r="C875" s="7" t="s">
        <v>157</v>
      </c>
      <c r="D875" s="7" t="n">
        <v>63</v>
      </c>
      <c r="E875" s="7" t="n">
        <v>91</v>
      </c>
      <c r="F875" s="3" t="n">
        <f aca="false">COUNTIFS($B$2:$B$2705,B875,$C$2:$C$2705,C875)</f>
        <v>1</v>
      </c>
      <c r="G875" s="3" t="n">
        <f aca="false">MIN(INT((MIN(B875,2020)-1900)/10)+1,12)</f>
        <v>6</v>
      </c>
      <c r="H875" s="3" t="n">
        <f aca="false">(MIN(B875,2020)-1900-10*(G875-1))/10</f>
        <v>0.5</v>
      </c>
      <c r="I875" s="20" t="n">
        <f aca="false">EXP(LN(INDEX(Pop_Inputs!$B$2:$N$29,MATCH(C875,Pop_Inputs!$A$2:$A$29,0),G875))*(1-H875)+LN(INDEX(Pop_Inputs!$B$2:$N$29,MATCH(C875,Pop_Inputs!$A$2:$A$29,0),G875+1))*H875)</f>
        <v>465984.516114001</v>
      </c>
      <c r="J875" s="20" t="n">
        <f aca="false">I875/F875</f>
        <v>465984.516114001</v>
      </c>
      <c r="K875" s="21" t="n">
        <f aca="false">D875/(D875+E875)</f>
        <v>0.409090909090909</v>
      </c>
      <c r="L875" s="21" t="n">
        <f aca="false">AVERAGEIFS($K$2:$K$2705,$B$2:$B$2705,B875)</f>
        <v>0.500045093795094</v>
      </c>
      <c r="M875" s="21" t="n">
        <f aca="false">K875-L875</f>
        <v>-0.0909541847041847</v>
      </c>
      <c r="N875" s="21" t="n">
        <f aca="false">LN(J875)</f>
        <v>13.0519076853326</v>
      </c>
      <c r="O875" s="21" t="n">
        <f aca="false">AVERAGEIFS($N$2:$N$2705,$B$2:$B$2705,B875)</f>
        <v>13.9484157763316</v>
      </c>
      <c r="P875" s="21" t="n">
        <f aca="false">N875-O875</f>
        <v>-0.896508090999017</v>
      </c>
      <c r="Q875" s="7" t="n">
        <v>0</v>
      </c>
      <c r="R875" s="3" t="n">
        <f aca="false">IF(AND(Q875=1,B875-_xlfn.MINIFS($B$2:$B$2705,$A$2:$A$2705,A875)&lt;10),1,0)</f>
        <v>0</v>
      </c>
      <c r="S875" s="7" t="n">
        <v>0</v>
      </c>
      <c r="T875" s="3" t="n">
        <f aca="false">_xlfn.MINIFS($B$2:$B$2705,$A$2:$A$2705,A875)</f>
        <v>1901</v>
      </c>
      <c r="U875" s="3" t="n">
        <f aca="false">B875-T875</f>
        <v>54</v>
      </c>
      <c r="V875" s="3" t="str">
        <f aca="false">INDEX(Pop_Inputs!$Q$2:$Q$29,MATCH(C875,Pop_Inputs!$A$2:$A$29,0))</f>
        <v>Midwest</v>
      </c>
      <c r="W875" s="30"/>
      <c r="X875" s="3" t="str">
        <f aca="false">IF(W875="","",LN(W875))</f>
        <v/>
      </c>
      <c r="Y875" s="3" t="str">
        <f aca="false">IF(X875="","",X875-AVERAGEIFS($X$2:$X$2705,$B$2:$B$2705,B875))</f>
        <v/>
      </c>
      <c r="Z875" s="21" t="n">
        <f aca="false">P875</f>
        <v>-0.896508090999017</v>
      </c>
      <c r="AA875" s="3" t="n">
        <f aca="false">R875</f>
        <v>0</v>
      </c>
      <c r="AB875" s="21" t="n">
        <f aca="false">P875</f>
        <v>-0.896508090999017</v>
      </c>
      <c r="AC875" s="3" t="str">
        <f aca="false">Y875</f>
        <v/>
      </c>
      <c r="AD875" s="3" t="n">
        <f aca="false">R875</f>
        <v>0</v>
      </c>
    </row>
    <row r="876" customFormat="false" ht="15" hidden="false" customHeight="true" outlineLevel="0" collapsed="false">
      <c r="A876" s="7" t="s">
        <v>60</v>
      </c>
      <c r="B876" s="7" t="n">
        <v>1955</v>
      </c>
      <c r="C876" s="7" t="s">
        <v>146</v>
      </c>
      <c r="D876" s="7" t="n">
        <v>77</v>
      </c>
      <c r="E876" s="7" t="n">
        <v>77</v>
      </c>
      <c r="F876" s="3" t="n">
        <f aca="false">COUNTIFS($B$2:$B$2705,B876,$C$2:$C$2705,C876)</f>
        <v>1</v>
      </c>
      <c r="G876" s="3" t="n">
        <f aca="false">MIN(INT((MIN(B876,2020)-1900)/10)+1,12)</f>
        <v>6</v>
      </c>
      <c r="H876" s="3" t="n">
        <f aca="false">(MIN(B876,2020)-1900-10*(G876-1))/10</f>
        <v>0.5</v>
      </c>
      <c r="I876" s="20" t="n">
        <f aca="false">EXP(LN(INDEX(Pop_Inputs!$B$2:$N$29,MATCH(C876,Pop_Inputs!$A$2:$A$29,0),G876))*(1-H876)+LN(INDEX(Pop_Inputs!$B$2:$N$29,MATCH(C876,Pop_Inputs!$A$2:$A$29,0),G876+1))*H876)</f>
        <v>2036765.54167631</v>
      </c>
      <c r="J876" s="20" t="n">
        <f aca="false">I876/F876</f>
        <v>2036765.54167631</v>
      </c>
      <c r="K876" s="21" t="n">
        <f aca="false">D876/(D876+E876)</f>
        <v>0.5</v>
      </c>
      <c r="L876" s="21" t="n">
        <f aca="false">AVERAGEIFS($K$2:$K$2705,$B$2:$B$2705,B876)</f>
        <v>0.500045093795094</v>
      </c>
      <c r="M876" s="21" t="n">
        <f aca="false">K876-L876</f>
        <v>-4.50937950937647E-005</v>
      </c>
      <c r="N876" s="21" t="n">
        <f aca="false">LN(J876)</f>
        <v>14.5268735887692</v>
      </c>
      <c r="O876" s="21" t="n">
        <f aca="false">AVERAGEIFS($N$2:$N$2705,$B$2:$B$2705,B876)</f>
        <v>13.9484157763316</v>
      </c>
      <c r="P876" s="21" t="n">
        <f aca="false">N876-O876</f>
        <v>0.578457812437598</v>
      </c>
      <c r="Q876" s="7" t="n">
        <v>0</v>
      </c>
      <c r="R876" s="3" t="n">
        <f aca="false">IF(AND(Q876=1,B876-_xlfn.MINIFS($B$2:$B$2705,$A$2:$A$2705,A876)&lt;10),1,0)</f>
        <v>0</v>
      </c>
      <c r="S876" s="7" t="n">
        <v>0</v>
      </c>
      <c r="T876" s="3" t="n">
        <f aca="false">_xlfn.MINIFS($B$2:$B$2705,$A$2:$A$2705,A876)</f>
        <v>1901</v>
      </c>
      <c r="U876" s="3" t="n">
        <f aca="false">B876-T876</f>
        <v>54</v>
      </c>
      <c r="V876" s="3" t="str">
        <f aca="false">INDEX(Pop_Inputs!$Q$2:$Q$29,MATCH(C876,Pop_Inputs!$A$2:$A$29,0))</f>
        <v>Northeast</v>
      </c>
      <c r="W876" s="30"/>
      <c r="X876" s="3" t="str">
        <f aca="false">IF(W876="","",LN(W876))</f>
        <v/>
      </c>
      <c r="Y876" s="3" t="str">
        <f aca="false">IF(X876="","",X876-AVERAGEIFS($X$2:$X$2705,$B$2:$B$2705,B876))</f>
        <v/>
      </c>
      <c r="Z876" s="21" t="n">
        <f aca="false">P876</f>
        <v>0.578457812437598</v>
      </c>
      <c r="AA876" s="3" t="n">
        <f aca="false">R876</f>
        <v>0</v>
      </c>
      <c r="AB876" s="21" t="n">
        <f aca="false">P876</f>
        <v>0.578457812437598</v>
      </c>
      <c r="AC876" s="3" t="str">
        <f aca="false">Y876</f>
        <v/>
      </c>
      <c r="AD876" s="3" t="n">
        <f aca="false">R876</f>
        <v>0</v>
      </c>
    </row>
    <row r="877" customFormat="false" ht="15" hidden="false" customHeight="true" outlineLevel="0" collapsed="false">
      <c r="A877" s="7" t="s">
        <v>58</v>
      </c>
      <c r="B877" s="7" t="n">
        <v>1955</v>
      </c>
      <c r="C877" s="7" t="s">
        <v>144</v>
      </c>
      <c r="D877" s="7" t="n">
        <v>60</v>
      </c>
      <c r="E877" s="7" t="n">
        <v>94</v>
      </c>
      <c r="F877" s="3" t="n">
        <f aca="false">COUNTIFS($B$2:$B$2705,B877,$C$2:$C$2705,C877)</f>
        <v>1</v>
      </c>
      <c r="G877" s="3" t="n">
        <f aca="false">MIN(INT((MIN(B877,2020)-1900)/10)+1,12)</f>
        <v>6</v>
      </c>
      <c r="H877" s="3" t="n">
        <f aca="false">(MIN(B877,2020)-1900-10*(G877-1))/10</f>
        <v>0.5</v>
      </c>
      <c r="I877" s="20" t="n">
        <f aca="false">EXP(LN(INDEX(Pop_Inputs!$B$2:$N$29,MATCH(C877,Pop_Inputs!$A$2:$A$29,0),G877))*(1-H877)+LN(INDEX(Pop_Inputs!$B$2:$N$29,MATCH(C877,Pop_Inputs!$A$2:$A$29,0),G877+1))*H877)</f>
        <v>639543.21479631</v>
      </c>
      <c r="J877" s="20" t="n">
        <f aca="false">I877/F877</f>
        <v>639543.21479631</v>
      </c>
      <c r="K877" s="21" t="n">
        <f aca="false">D877/(D877+E877)</f>
        <v>0.38961038961039</v>
      </c>
      <c r="L877" s="21" t="n">
        <f aca="false">AVERAGEIFS($K$2:$K$2705,$B$2:$B$2705,B877)</f>
        <v>0.500045093795094</v>
      </c>
      <c r="M877" s="21" t="n">
        <f aca="false">K877-L877</f>
        <v>-0.110434704184704</v>
      </c>
      <c r="N877" s="21" t="n">
        <f aca="false">LN(J877)</f>
        <v>13.3685094736308</v>
      </c>
      <c r="O877" s="21" t="n">
        <f aca="false">AVERAGEIFS($N$2:$N$2705,$B$2:$B$2705,B877)</f>
        <v>13.9484157763316</v>
      </c>
      <c r="P877" s="21" t="n">
        <f aca="false">N877-O877</f>
        <v>-0.579906302700788</v>
      </c>
      <c r="Q877" s="7" t="n">
        <v>0</v>
      </c>
      <c r="R877" s="3" t="n">
        <f aca="false">IF(AND(Q877=1,B877-_xlfn.MINIFS($B$2:$B$2705,$A$2:$A$2705,A877)&lt;10),1,0)</f>
        <v>0</v>
      </c>
      <c r="S877" s="7" t="n">
        <v>0</v>
      </c>
      <c r="T877" s="3" t="n">
        <f aca="false">_xlfn.MINIFS($B$2:$B$2705,$A$2:$A$2705,A877)</f>
        <v>1901</v>
      </c>
      <c r="U877" s="3" t="n">
        <f aca="false">B877-T877</f>
        <v>54</v>
      </c>
      <c r="V877" s="3" t="str">
        <f aca="false">INDEX(Pop_Inputs!$Q$2:$Q$29,MATCH(C877,Pop_Inputs!$A$2:$A$29,0))</f>
        <v>Northeast</v>
      </c>
      <c r="W877" s="30"/>
      <c r="X877" s="3" t="str">
        <f aca="false">IF(W877="","",LN(W877))</f>
        <v/>
      </c>
      <c r="Y877" s="3" t="str">
        <f aca="false">IF(X877="","",X877-AVERAGEIFS($X$2:$X$2705,$B$2:$B$2705,B877))</f>
        <v/>
      </c>
      <c r="Z877" s="21" t="n">
        <f aca="false">P877</f>
        <v>-0.579906302700788</v>
      </c>
      <c r="AA877" s="3" t="n">
        <f aca="false">R877</f>
        <v>0</v>
      </c>
      <c r="AB877" s="21" t="n">
        <f aca="false">P877</f>
        <v>-0.579906302700788</v>
      </c>
      <c r="AC877" s="3" t="str">
        <f aca="false">Y877</f>
        <v/>
      </c>
      <c r="AD877" s="3" t="n">
        <f aca="false">R877</f>
        <v>0</v>
      </c>
    </row>
    <row r="878" customFormat="false" ht="15" hidden="false" customHeight="true" outlineLevel="0" collapsed="false">
      <c r="A878" s="7" t="s">
        <v>61</v>
      </c>
      <c r="B878" s="7" t="n">
        <v>1955</v>
      </c>
      <c r="C878" s="7" t="s">
        <v>154</v>
      </c>
      <c r="D878" s="7" t="n">
        <v>80</v>
      </c>
      <c r="E878" s="7" t="n">
        <v>74</v>
      </c>
      <c r="F878" s="3" t="n">
        <f aca="false">COUNTIFS($B$2:$B$2705,B878,$C$2:$C$2705,C878)</f>
        <v>3</v>
      </c>
      <c r="G878" s="3" t="n">
        <f aca="false">MIN(INT((MIN(B878,2020)-1900)/10)+1,12)</f>
        <v>6</v>
      </c>
      <c r="H878" s="3" t="n">
        <f aca="false">(MIN(B878,2020)-1900-10*(G878-1))/10</f>
        <v>0.5</v>
      </c>
      <c r="I878" s="20" t="n">
        <f aca="false">EXP(LN(INDEX(Pop_Inputs!$B$2:$N$29,MATCH(C878,Pop_Inputs!$A$2:$A$29,0),G878))*(1-H878)+LN(INDEX(Pop_Inputs!$B$2:$N$29,MATCH(C878,Pop_Inputs!$A$2:$A$29,0),G878+1))*H878)</f>
        <v>7836777.59686263</v>
      </c>
      <c r="J878" s="20" t="n">
        <f aca="false">I878/F878</f>
        <v>2612259.19895421</v>
      </c>
      <c r="K878" s="21" t="n">
        <f aca="false">D878/(D878+E878)</f>
        <v>0.519480519480519</v>
      </c>
      <c r="L878" s="21" t="n">
        <f aca="false">AVERAGEIFS($K$2:$K$2705,$B$2:$B$2705,B878)</f>
        <v>0.500045093795094</v>
      </c>
      <c r="M878" s="21" t="n">
        <f aca="false">K878-L878</f>
        <v>0.0194354256854257</v>
      </c>
      <c r="N878" s="21" t="n">
        <f aca="false">LN(J878)</f>
        <v>14.7757259983579</v>
      </c>
      <c r="O878" s="21" t="n">
        <f aca="false">AVERAGEIFS($N$2:$N$2705,$B$2:$B$2705,B878)</f>
        <v>13.9484157763316</v>
      </c>
      <c r="P878" s="21" t="n">
        <f aca="false">N878-O878</f>
        <v>0.827310222026348</v>
      </c>
      <c r="Q878" s="7" t="n">
        <v>0</v>
      </c>
      <c r="R878" s="3" t="n">
        <f aca="false">IF(AND(Q878=1,B878-_xlfn.MINIFS($B$2:$B$2705,$A$2:$A$2705,A878)&lt;10),1,0)</f>
        <v>0</v>
      </c>
      <c r="S878" s="7" t="n">
        <v>0</v>
      </c>
      <c r="T878" s="3" t="n">
        <f aca="false">_xlfn.MINIFS($B$2:$B$2705,$A$2:$A$2705,A878)</f>
        <v>1901</v>
      </c>
      <c r="U878" s="3" t="n">
        <f aca="false">B878-T878</f>
        <v>54</v>
      </c>
      <c r="V878" s="3" t="str">
        <f aca="false">INDEX(Pop_Inputs!$Q$2:$Q$29,MATCH(C878,Pop_Inputs!$A$2:$A$29,0))</f>
        <v>Northeast</v>
      </c>
      <c r="W878" s="30"/>
      <c r="X878" s="3" t="str">
        <f aca="false">IF(W878="","",LN(W878))</f>
        <v/>
      </c>
      <c r="Y878" s="3" t="str">
        <f aca="false">IF(X878="","",X878-AVERAGEIFS($X$2:$X$2705,$B$2:$B$2705,B878))</f>
        <v/>
      </c>
      <c r="Z878" s="21" t="n">
        <f aca="false">P878</f>
        <v>0.827310222026348</v>
      </c>
      <c r="AA878" s="3" t="n">
        <f aca="false">R878</f>
        <v>0</v>
      </c>
      <c r="AB878" s="21" t="n">
        <f aca="false">P878</f>
        <v>0.827310222026348</v>
      </c>
      <c r="AC878" s="3" t="str">
        <f aca="false">Y878</f>
        <v/>
      </c>
      <c r="AD878" s="3" t="n">
        <f aca="false">R878</f>
        <v>0</v>
      </c>
    </row>
    <row r="879" customFormat="false" ht="15" hidden="false" customHeight="true" outlineLevel="0" collapsed="false">
      <c r="A879" s="7" t="s">
        <v>59</v>
      </c>
      <c r="B879" s="7" t="n">
        <v>1955</v>
      </c>
      <c r="C879" s="7" t="s">
        <v>145</v>
      </c>
      <c r="D879" s="7" t="n">
        <v>68</v>
      </c>
      <c r="E879" s="7" t="n">
        <v>86</v>
      </c>
      <c r="F879" s="3" t="n">
        <f aca="false">COUNTIFS($B$2:$B$2705,B879,$C$2:$C$2705,C879)</f>
        <v>1</v>
      </c>
      <c r="G879" s="3" t="n">
        <f aca="false">MIN(INT((MIN(B879,2020)-1900)/10)+1,12)</f>
        <v>6</v>
      </c>
      <c r="H879" s="3" t="n">
        <f aca="false">(MIN(B879,2020)-1900-10*(G879-1))/10</f>
        <v>0.5</v>
      </c>
      <c r="I879" s="20" t="n">
        <f aca="false">EXP(LN(INDEX(Pop_Inputs!$B$2:$N$29,MATCH(C879,Pop_Inputs!$A$2:$A$29,0),G879))*(1-H879)+LN(INDEX(Pop_Inputs!$B$2:$N$29,MATCH(C879,Pop_Inputs!$A$2:$A$29,0),G879+1))*H879)</f>
        <v>801635.376400019</v>
      </c>
      <c r="J879" s="20" t="n">
        <f aca="false">I879/F879</f>
        <v>801635.376400019</v>
      </c>
      <c r="K879" s="21" t="n">
        <f aca="false">D879/(D879+E879)</f>
        <v>0.441558441558442</v>
      </c>
      <c r="L879" s="21" t="n">
        <f aca="false">AVERAGEIFS($K$2:$K$2705,$B$2:$B$2705,B879)</f>
        <v>0.500045093795094</v>
      </c>
      <c r="M879" s="21" t="n">
        <f aca="false">K879-L879</f>
        <v>-0.0584866522366522</v>
      </c>
      <c r="N879" s="21" t="n">
        <f aca="false">LN(J879)</f>
        <v>13.5944091405745</v>
      </c>
      <c r="O879" s="21" t="n">
        <f aca="false">AVERAGEIFS($N$2:$N$2705,$B$2:$B$2705,B879)</f>
        <v>13.9484157763316</v>
      </c>
      <c r="P879" s="21" t="n">
        <f aca="false">N879-O879</f>
        <v>-0.354006635757099</v>
      </c>
      <c r="Q879" s="7" t="n">
        <v>0</v>
      </c>
      <c r="R879" s="3" t="n">
        <f aca="false">IF(AND(Q879=1,B879-_xlfn.MINIFS($B$2:$B$2705,$A$2:$A$2705,A879)&lt;10),1,0)</f>
        <v>0</v>
      </c>
      <c r="S879" s="7" t="n">
        <v>0</v>
      </c>
      <c r="T879" s="3" t="n">
        <f aca="false">_xlfn.MINIFS($B$2:$B$2705,$A$2:$A$2705,A879)</f>
        <v>1901</v>
      </c>
      <c r="U879" s="3" t="n">
        <f aca="false">B879-T879</f>
        <v>54</v>
      </c>
      <c r="V879" s="3" t="str">
        <f aca="false">INDEX(Pop_Inputs!$Q$2:$Q$29,MATCH(C879,Pop_Inputs!$A$2:$A$29,0))</f>
        <v>Midwest</v>
      </c>
      <c r="W879" s="30"/>
      <c r="X879" s="3" t="str">
        <f aca="false">IF(W879="","",LN(W879))</f>
        <v/>
      </c>
      <c r="Y879" s="3" t="str">
        <f aca="false">IF(X879="","",X879-AVERAGEIFS($X$2:$X$2705,$B$2:$B$2705,B879))</f>
        <v/>
      </c>
      <c r="Z879" s="21" t="n">
        <f aca="false">P879</f>
        <v>-0.354006635757099</v>
      </c>
      <c r="AA879" s="3" t="n">
        <f aca="false">R879</f>
        <v>0</v>
      </c>
      <c r="AB879" s="21" t="n">
        <f aca="false">P879</f>
        <v>-0.354006635757099</v>
      </c>
      <c r="AC879" s="3" t="str">
        <f aca="false">Y879</f>
        <v/>
      </c>
      <c r="AD879" s="3" t="n">
        <f aca="false">R879</f>
        <v>0</v>
      </c>
    </row>
    <row r="880" customFormat="false" ht="15" hidden="false" customHeight="true" outlineLevel="0" collapsed="false">
      <c r="A880" s="7" t="s">
        <v>54</v>
      </c>
      <c r="B880" s="7" t="n">
        <v>1956</v>
      </c>
      <c r="C880" s="7" t="s">
        <v>158</v>
      </c>
      <c r="D880" s="7" t="n">
        <v>92</v>
      </c>
      <c r="E880" s="7" t="n">
        <v>62</v>
      </c>
      <c r="F880" s="3" t="n">
        <f aca="false">COUNTIFS($B$2:$B$2705,B880,$C$2:$C$2705,C880)</f>
        <v>1</v>
      </c>
      <c r="G880" s="3" t="n">
        <f aca="false">MIN(INT((MIN(B880,2020)-1900)/10)+1,12)</f>
        <v>6</v>
      </c>
      <c r="H880" s="3" t="n">
        <f aca="false">(MIN(B880,2020)-1900-10*(G880-1))/10</f>
        <v>0.6</v>
      </c>
      <c r="I880" s="20" t="n">
        <f aca="false">EXP(LN(INDEX(Pop_Inputs!$B$2:$N$29,MATCH(C880,Pop_Inputs!$A$2:$A$29,0),G880))*(1-H880)+LN(INDEX(Pop_Inputs!$B$2:$N$29,MATCH(C880,Pop_Inputs!$A$2:$A$29,0),G880+1))*H880)</f>
        <v>697858.671837225</v>
      </c>
      <c r="J880" s="20" t="n">
        <f aca="false">I880/F880</f>
        <v>697858.671837225</v>
      </c>
      <c r="K880" s="21" t="n">
        <f aca="false">D880/(D880+E880)</f>
        <v>0.597402597402597</v>
      </c>
      <c r="L880" s="21" t="n">
        <f aca="false">AVERAGEIFS($K$2:$K$2705,$B$2:$B$2705,B880)</f>
        <v>0.5</v>
      </c>
      <c r="M880" s="21" t="n">
        <f aca="false">K880-L880</f>
        <v>0.0974025974025974</v>
      </c>
      <c r="N880" s="21" t="n">
        <f aca="false">LN(J880)</f>
        <v>13.4557718853656</v>
      </c>
      <c r="O880" s="21" t="n">
        <f aca="false">AVERAGEIFS($N$2:$N$2705,$B$2:$B$2705,B880)</f>
        <v>13.9451796835535</v>
      </c>
      <c r="P880" s="21" t="n">
        <f aca="false">N880-O880</f>
        <v>-0.489407798187866</v>
      </c>
      <c r="Q880" s="7" t="n">
        <v>0</v>
      </c>
      <c r="R880" s="3" t="n">
        <f aca="false">IF(AND(Q880=1,B880-_xlfn.MINIFS($B$2:$B$2705,$A$2:$A$2705,A880)&lt;10),1,0)</f>
        <v>0</v>
      </c>
      <c r="S880" s="7" t="n">
        <v>0</v>
      </c>
      <c r="T880" s="3" t="n">
        <f aca="false">_xlfn.MINIFS($B$2:$B$2705,$A$2:$A$2705,A880)</f>
        <v>1901</v>
      </c>
      <c r="U880" s="3" t="n">
        <f aca="false">B880-T880</f>
        <v>55</v>
      </c>
      <c r="V880" s="3" t="str">
        <f aca="false">INDEX(Pop_Inputs!$Q$2:$Q$29,MATCH(C880,Pop_Inputs!$A$2:$A$29,0))</f>
        <v>Midwest</v>
      </c>
      <c r="W880" s="30"/>
      <c r="X880" s="3" t="str">
        <f aca="false">IF(W880="","",LN(W880))</f>
        <v/>
      </c>
      <c r="Y880" s="3" t="str">
        <f aca="false">IF(X880="","",X880-AVERAGEIFS($X$2:$X$2705,$B$2:$B$2705,B880))</f>
        <v/>
      </c>
      <c r="Z880" s="21" t="n">
        <f aca="false">P880</f>
        <v>-0.489407798187866</v>
      </c>
      <c r="AA880" s="3" t="n">
        <f aca="false">R880</f>
        <v>0</v>
      </c>
      <c r="AB880" s="21" t="n">
        <f aca="false">P880</f>
        <v>-0.489407798187866</v>
      </c>
      <c r="AC880" s="3" t="str">
        <f aca="false">Y880</f>
        <v/>
      </c>
      <c r="AD880" s="3" t="n">
        <f aca="false">R880</f>
        <v>0</v>
      </c>
    </row>
    <row r="881" customFormat="false" ht="15" hidden="false" customHeight="true" outlineLevel="0" collapsed="false">
      <c r="A881" s="7" t="s">
        <v>63</v>
      </c>
      <c r="B881" s="7" t="n">
        <v>1956</v>
      </c>
      <c r="C881" s="7" t="s">
        <v>149</v>
      </c>
      <c r="D881" s="7" t="n">
        <v>69</v>
      </c>
      <c r="E881" s="7" t="n">
        <v>85</v>
      </c>
      <c r="F881" s="3" t="n">
        <f aca="false">COUNTIFS($B$2:$B$2705,B881,$C$2:$C$2705,C881)</f>
        <v>1</v>
      </c>
      <c r="G881" s="3" t="n">
        <f aca="false">MIN(INT((MIN(B881,2020)-1900)/10)+1,12)</f>
        <v>6</v>
      </c>
      <c r="H881" s="3" t="n">
        <f aca="false">(MIN(B881,2020)-1900-10*(G881-1))/10</f>
        <v>0.6</v>
      </c>
      <c r="I881" s="20" t="n">
        <f aca="false">EXP(LN(INDEX(Pop_Inputs!$B$2:$N$29,MATCH(C881,Pop_Inputs!$A$2:$A$29,0),G881))*(1-H881)+LN(INDEX(Pop_Inputs!$B$2:$N$29,MATCH(C881,Pop_Inputs!$A$2:$A$29,0),G881+1))*H881)</f>
        <v>943283.100655402</v>
      </c>
      <c r="J881" s="20" t="n">
        <f aca="false">I881/F881</f>
        <v>943283.100655402</v>
      </c>
      <c r="K881" s="21" t="n">
        <f aca="false">D881/(D881+E881)</f>
        <v>0.448051948051948</v>
      </c>
      <c r="L881" s="21" t="n">
        <f aca="false">AVERAGEIFS($K$2:$K$2705,$B$2:$B$2705,B881)</f>
        <v>0.5</v>
      </c>
      <c r="M881" s="21" t="n">
        <f aca="false">K881-L881</f>
        <v>-0.051948051948052</v>
      </c>
      <c r="N881" s="21" t="n">
        <f aca="false">LN(J881)</f>
        <v>13.7571217293449</v>
      </c>
      <c r="O881" s="21" t="n">
        <f aca="false">AVERAGEIFS($N$2:$N$2705,$B$2:$B$2705,B881)</f>
        <v>13.9451796835535</v>
      </c>
      <c r="P881" s="21" t="n">
        <f aca="false">N881-O881</f>
        <v>-0.188057954208617</v>
      </c>
      <c r="Q881" s="7" t="n">
        <v>0</v>
      </c>
      <c r="R881" s="3" t="n">
        <f aca="false">IF(AND(Q881=1,B881-_xlfn.MINIFS($B$2:$B$2705,$A$2:$A$2705,A881)&lt;10),1,0)</f>
        <v>0</v>
      </c>
      <c r="S881" s="7" t="n">
        <v>0</v>
      </c>
      <c r="T881" s="3" t="n">
        <f aca="false">_xlfn.MINIFS($B$2:$B$2705,$A$2:$A$2705,A881)</f>
        <v>1901</v>
      </c>
      <c r="U881" s="3" t="n">
        <f aca="false">B881-T881</f>
        <v>55</v>
      </c>
      <c r="V881" s="3" t="str">
        <f aca="false">INDEX(Pop_Inputs!$Q$2:$Q$29,MATCH(C881,Pop_Inputs!$A$2:$A$29,0))</f>
        <v>South</v>
      </c>
      <c r="W881" s="30"/>
      <c r="X881" s="3" t="str">
        <f aca="false">IF(W881="","",LN(W881))</f>
        <v/>
      </c>
      <c r="Y881" s="3" t="str">
        <f aca="false">IF(X881="","",X881-AVERAGEIFS($X$2:$X$2705,$B$2:$B$2705,B881))</f>
        <v/>
      </c>
      <c r="Z881" s="21" t="n">
        <f aca="false">P881</f>
        <v>-0.188057954208617</v>
      </c>
      <c r="AA881" s="3" t="n">
        <f aca="false">R881</f>
        <v>0</v>
      </c>
      <c r="AB881" s="21" t="n">
        <f aca="false">P881</f>
        <v>-0.188057954208617</v>
      </c>
      <c r="AC881" s="3" t="str">
        <f aca="false">Y881</f>
        <v/>
      </c>
      <c r="AD881" s="3" t="n">
        <f aca="false">R881</f>
        <v>0</v>
      </c>
    </row>
    <row r="882" customFormat="false" ht="15" hidden="false" customHeight="true" outlineLevel="0" collapsed="false">
      <c r="A882" s="7" t="s">
        <v>64</v>
      </c>
      <c r="B882" s="7" t="n">
        <v>1956</v>
      </c>
      <c r="C882" s="7" t="s">
        <v>150</v>
      </c>
      <c r="D882" s="7" t="n">
        <v>84</v>
      </c>
      <c r="E882" s="7" t="n">
        <v>70</v>
      </c>
      <c r="F882" s="3" t="n">
        <f aca="false">COUNTIFS($B$2:$B$2705,B882,$C$2:$C$2705,C882)</f>
        <v>1</v>
      </c>
      <c r="G882" s="3" t="n">
        <f aca="false">MIN(INT((MIN(B882,2020)-1900)/10)+1,12)</f>
        <v>6</v>
      </c>
      <c r="H882" s="3" t="n">
        <f aca="false">(MIN(B882,2020)-1900-10*(G882-1))/10</f>
        <v>0.6</v>
      </c>
      <c r="I882" s="20" t="n">
        <f aca="false">EXP(LN(INDEX(Pop_Inputs!$B$2:$N$29,MATCH(C882,Pop_Inputs!$A$2:$A$29,0),G882))*(1-H882)+LN(INDEX(Pop_Inputs!$B$2:$N$29,MATCH(C882,Pop_Inputs!$A$2:$A$29,0),G882+1))*H882)</f>
        <v>737161.387120985</v>
      </c>
      <c r="J882" s="20" t="n">
        <f aca="false">I882/F882</f>
        <v>737161.387120985</v>
      </c>
      <c r="K882" s="21" t="n">
        <f aca="false">D882/(D882+E882)</f>
        <v>0.545454545454545</v>
      </c>
      <c r="L882" s="21" t="n">
        <f aca="false">AVERAGEIFS($K$2:$K$2705,$B$2:$B$2705,B882)</f>
        <v>0.5</v>
      </c>
      <c r="M882" s="21" t="n">
        <f aca="false">K882-L882</f>
        <v>0.0454545454545454</v>
      </c>
      <c r="N882" s="21" t="n">
        <f aca="false">LN(J882)</f>
        <v>13.5105621256537</v>
      </c>
      <c r="O882" s="21" t="n">
        <f aca="false">AVERAGEIFS($N$2:$N$2705,$B$2:$B$2705,B882)</f>
        <v>13.9451796835535</v>
      </c>
      <c r="P882" s="21" t="n">
        <f aca="false">N882-O882</f>
        <v>-0.434617557899749</v>
      </c>
      <c r="Q882" s="7" t="n">
        <v>0</v>
      </c>
      <c r="R882" s="3" t="n">
        <f aca="false">IF(AND(Q882=1,B882-_xlfn.MINIFS($B$2:$B$2705,$A$2:$A$2705,A882)&lt;10),1,0)</f>
        <v>0</v>
      </c>
      <c r="S882" s="7" t="n">
        <v>0</v>
      </c>
      <c r="T882" s="3" t="n">
        <f aca="false">_xlfn.MINIFS($B$2:$B$2705,$A$2:$A$2705,A882)</f>
        <v>1901</v>
      </c>
      <c r="U882" s="3" t="n">
        <f aca="false">B882-T882</f>
        <v>55</v>
      </c>
      <c r="V882" s="3" t="str">
        <f aca="false">INDEX(Pop_Inputs!$Q$2:$Q$29,MATCH(C882,Pop_Inputs!$A$2:$A$29,0))</f>
        <v>Northeast</v>
      </c>
      <c r="W882" s="30"/>
      <c r="X882" s="3" t="str">
        <f aca="false">IF(W882="","",LN(W882))</f>
        <v/>
      </c>
      <c r="Y882" s="3" t="str">
        <f aca="false">IF(X882="","",X882-AVERAGEIFS($X$2:$X$2705,$B$2:$B$2705,B882))</f>
        <v/>
      </c>
      <c r="Z882" s="21" t="n">
        <f aca="false">P882</f>
        <v>-0.434617557899749</v>
      </c>
      <c r="AA882" s="3" t="n">
        <f aca="false">R882</f>
        <v>0</v>
      </c>
      <c r="AB882" s="21" t="n">
        <f aca="false">P882</f>
        <v>-0.434617557899749</v>
      </c>
      <c r="AC882" s="3" t="str">
        <f aca="false">Y882</f>
        <v/>
      </c>
      <c r="AD882" s="3" t="n">
        <f aca="false">R882</f>
        <v>0</v>
      </c>
    </row>
    <row r="883" customFormat="false" ht="15" hidden="false" customHeight="true" outlineLevel="0" collapsed="false">
      <c r="A883" s="7" t="s">
        <v>56</v>
      </c>
      <c r="B883" s="7" t="n">
        <v>1956</v>
      </c>
      <c r="C883" s="7" t="s">
        <v>142</v>
      </c>
      <c r="D883" s="7" t="n">
        <v>60</v>
      </c>
      <c r="E883" s="7" t="n">
        <v>94</v>
      </c>
      <c r="F883" s="3" t="n">
        <f aca="false">COUNTIFS($B$2:$B$2705,B883,$C$2:$C$2705,C883)</f>
        <v>2</v>
      </c>
      <c r="G883" s="3" t="n">
        <f aca="false">MIN(INT((MIN(B883,2020)-1900)/10)+1,12)</f>
        <v>6</v>
      </c>
      <c r="H883" s="3" t="n">
        <f aca="false">(MIN(B883,2020)-1900-10*(G883-1))/10</f>
        <v>0.6</v>
      </c>
      <c r="I883" s="20" t="n">
        <f aca="false">EXP(LN(INDEX(Pop_Inputs!$B$2:$N$29,MATCH(C883,Pop_Inputs!$A$2:$A$29,0),G883))*(1-H883)+LN(INDEX(Pop_Inputs!$B$2:$N$29,MATCH(C883,Pop_Inputs!$A$2:$A$29,0),G883+1))*H883)</f>
        <v>3578460.6948913</v>
      </c>
      <c r="J883" s="20" t="n">
        <f aca="false">I883/F883</f>
        <v>1789230.34744565</v>
      </c>
      <c r="K883" s="21" t="n">
        <f aca="false">D883/(D883+E883)</f>
        <v>0.38961038961039</v>
      </c>
      <c r="L883" s="21" t="n">
        <f aca="false">AVERAGEIFS($K$2:$K$2705,$B$2:$B$2705,B883)</f>
        <v>0.5</v>
      </c>
      <c r="M883" s="21" t="n">
        <f aca="false">K883-L883</f>
        <v>-0.11038961038961</v>
      </c>
      <c r="N883" s="21" t="n">
        <f aca="false">LN(J883)</f>
        <v>14.3972961118578</v>
      </c>
      <c r="O883" s="21" t="n">
        <f aca="false">AVERAGEIFS($N$2:$N$2705,$B$2:$B$2705,B883)</f>
        <v>13.9451796835535</v>
      </c>
      <c r="P883" s="21" t="n">
        <f aca="false">N883-O883</f>
        <v>0.452116428304313</v>
      </c>
      <c r="Q883" s="7" t="n">
        <v>0</v>
      </c>
      <c r="R883" s="3" t="n">
        <f aca="false">IF(AND(Q883=1,B883-_xlfn.MINIFS($B$2:$B$2705,$A$2:$A$2705,A883)&lt;10),1,0)</f>
        <v>0</v>
      </c>
      <c r="S883" s="7" t="n">
        <v>0</v>
      </c>
      <c r="T883" s="3" t="n">
        <f aca="false">_xlfn.MINIFS($B$2:$B$2705,$A$2:$A$2705,A883)</f>
        <v>1901</v>
      </c>
      <c r="U883" s="3" t="n">
        <f aca="false">B883-T883</f>
        <v>55</v>
      </c>
      <c r="V883" s="3" t="str">
        <f aca="false">INDEX(Pop_Inputs!$Q$2:$Q$29,MATCH(C883,Pop_Inputs!$A$2:$A$29,0))</f>
        <v>Midwest</v>
      </c>
      <c r="W883" s="30"/>
      <c r="X883" s="3" t="str">
        <f aca="false">IF(W883="","",LN(W883))</f>
        <v/>
      </c>
      <c r="Y883" s="3" t="str">
        <f aca="false">IF(X883="","",X883-AVERAGEIFS($X$2:$X$2705,$B$2:$B$2705,B883))</f>
        <v/>
      </c>
      <c r="Z883" s="21" t="n">
        <f aca="false">P883</f>
        <v>0.452116428304313</v>
      </c>
      <c r="AA883" s="3" t="n">
        <f aca="false">R883</f>
        <v>0</v>
      </c>
      <c r="AB883" s="21" t="n">
        <f aca="false">P883</f>
        <v>0.452116428304313</v>
      </c>
      <c r="AC883" s="3" t="str">
        <f aca="false">Y883</f>
        <v/>
      </c>
      <c r="AD883" s="3" t="n">
        <f aca="false">R883</f>
        <v>0</v>
      </c>
    </row>
    <row r="884" customFormat="false" ht="15" hidden="false" customHeight="true" outlineLevel="0" collapsed="false">
      <c r="A884" s="7" t="s">
        <v>65</v>
      </c>
      <c r="B884" s="7" t="n">
        <v>1956</v>
      </c>
      <c r="C884" s="7" t="s">
        <v>142</v>
      </c>
      <c r="D884" s="7" t="n">
        <v>85</v>
      </c>
      <c r="E884" s="7" t="n">
        <v>69</v>
      </c>
      <c r="F884" s="3" t="n">
        <f aca="false">COUNTIFS($B$2:$B$2705,B884,$C$2:$C$2705,C884)</f>
        <v>2</v>
      </c>
      <c r="G884" s="3" t="n">
        <f aca="false">MIN(INT((MIN(B884,2020)-1900)/10)+1,12)</f>
        <v>6</v>
      </c>
      <c r="H884" s="3" t="n">
        <f aca="false">(MIN(B884,2020)-1900-10*(G884-1))/10</f>
        <v>0.6</v>
      </c>
      <c r="I884" s="20" t="n">
        <f aca="false">EXP(LN(INDEX(Pop_Inputs!$B$2:$N$29,MATCH(C884,Pop_Inputs!$A$2:$A$29,0),G884))*(1-H884)+LN(INDEX(Pop_Inputs!$B$2:$N$29,MATCH(C884,Pop_Inputs!$A$2:$A$29,0),G884+1))*H884)</f>
        <v>3578460.6948913</v>
      </c>
      <c r="J884" s="20" t="n">
        <f aca="false">I884/F884</f>
        <v>1789230.34744565</v>
      </c>
      <c r="K884" s="21" t="n">
        <f aca="false">D884/(D884+E884)</f>
        <v>0.551948051948052</v>
      </c>
      <c r="L884" s="21" t="n">
        <f aca="false">AVERAGEIFS($K$2:$K$2705,$B$2:$B$2705,B884)</f>
        <v>0.5</v>
      </c>
      <c r="M884" s="21" t="n">
        <f aca="false">K884-L884</f>
        <v>0.051948051948052</v>
      </c>
      <c r="N884" s="21" t="n">
        <f aca="false">LN(J884)</f>
        <v>14.3972961118578</v>
      </c>
      <c r="O884" s="21" t="n">
        <f aca="false">AVERAGEIFS($N$2:$N$2705,$B$2:$B$2705,B884)</f>
        <v>13.9451796835535</v>
      </c>
      <c r="P884" s="21" t="n">
        <f aca="false">N884-O884</f>
        <v>0.452116428304313</v>
      </c>
      <c r="Q884" s="7" t="n">
        <v>0</v>
      </c>
      <c r="R884" s="3" t="n">
        <f aca="false">IF(AND(Q884=1,B884-_xlfn.MINIFS($B$2:$B$2705,$A$2:$A$2705,A884)&lt;10),1,0)</f>
        <v>0</v>
      </c>
      <c r="S884" s="7" t="n">
        <v>0</v>
      </c>
      <c r="T884" s="3" t="n">
        <f aca="false">_xlfn.MINIFS($B$2:$B$2705,$A$2:$A$2705,A884)</f>
        <v>1901</v>
      </c>
      <c r="U884" s="3" t="n">
        <f aca="false">B884-T884</f>
        <v>55</v>
      </c>
      <c r="V884" s="3" t="str">
        <f aca="false">INDEX(Pop_Inputs!$Q$2:$Q$29,MATCH(C884,Pop_Inputs!$A$2:$A$29,0))</f>
        <v>Midwest</v>
      </c>
      <c r="W884" s="30"/>
      <c r="X884" s="3" t="str">
        <f aca="false">IF(W884="","",LN(W884))</f>
        <v/>
      </c>
      <c r="Y884" s="3" t="str">
        <f aca="false">IF(X884="","",X884-AVERAGEIFS($X$2:$X$2705,$B$2:$B$2705,B884))</f>
        <v/>
      </c>
      <c r="Z884" s="21" t="n">
        <f aca="false">P884</f>
        <v>0.452116428304313</v>
      </c>
      <c r="AA884" s="3" t="n">
        <f aca="false">R884</f>
        <v>0</v>
      </c>
      <c r="AB884" s="21" t="n">
        <f aca="false">P884</f>
        <v>0.452116428304313</v>
      </c>
      <c r="AC884" s="3" t="str">
        <f aca="false">Y884</f>
        <v/>
      </c>
      <c r="AD884" s="3" t="n">
        <f aca="false">R884</f>
        <v>0</v>
      </c>
    </row>
    <row r="885" customFormat="false" ht="15" hidden="false" customHeight="true" outlineLevel="0" collapsed="false">
      <c r="A885" s="7" t="s">
        <v>57</v>
      </c>
      <c r="B885" s="7" t="n">
        <v>1956</v>
      </c>
      <c r="C885" s="7" t="s">
        <v>143</v>
      </c>
      <c r="D885" s="7" t="n">
        <v>91</v>
      </c>
      <c r="E885" s="7" t="n">
        <v>63</v>
      </c>
      <c r="F885" s="3" t="n">
        <f aca="false">COUNTIFS($B$2:$B$2705,B885,$C$2:$C$2705,C885)</f>
        <v>1</v>
      </c>
      <c r="G885" s="3" t="n">
        <f aca="false">MIN(INT((MIN(B885,2020)-1900)/10)+1,12)</f>
        <v>6</v>
      </c>
      <c r="H885" s="3" t="n">
        <f aca="false">(MIN(B885,2020)-1900-10*(G885-1))/10</f>
        <v>0.6</v>
      </c>
      <c r="I885" s="20" t="n">
        <f aca="false">EXP(LN(INDEX(Pop_Inputs!$B$2:$N$29,MATCH(C885,Pop_Inputs!$A$2:$A$29,0),G885))*(1-H885)+LN(INDEX(Pop_Inputs!$B$2:$N$29,MATCH(C885,Pop_Inputs!$A$2:$A$29,0),G885+1))*H885)</f>
        <v>503128.700112302</v>
      </c>
      <c r="J885" s="20" t="n">
        <f aca="false">I885/F885</f>
        <v>503128.700112302</v>
      </c>
      <c r="K885" s="21" t="n">
        <f aca="false">D885/(D885+E885)</f>
        <v>0.590909090909091</v>
      </c>
      <c r="L885" s="21" t="n">
        <f aca="false">AVERAGEIFS($K$2:$K$2705,$B$2:$B$2705,B885)</f>
        <v>0.5</v>
      </c>
      <c r="M885" s="21" t="n">
        <f aca="false">K885-L885</f>
        <v>0.0909090909090909</v>
      </c>
      <c r="N885" s="21" t="n">
        <f aca="false">LN(J885)</f>
        <v>13.1286012813884</v>
      </c>
      <c r="O885" s="21" t="n">
        <f aca="false">AVERAGEIFS($N$2:$N$2705,$B$2:$B$2705,B885)</f>
        <v>13.9451796835535</v>
      </c>
      <c r="P885" s="21" t="n">
        <f aca="false">N885-O885</f>
        <v>-0.816578402165067</v>
      </c>
      <c r="Q885" s="7" t="n">
        <v>0</v>
      </c>
      <c r="R885" s="3" t="n">
        <f aca="false">IF(AND(Q885=1,B885-_xlfn.MINIFS($B$2:$B$2705,$A$2:$A$2705,A885)&lt;10),1,0)</f>
        <v>0</v>
      </c>
      <c r="S885" s="7" t="n">
        <v>0</v>
      </c>
      <c r="T885" s="3" t="n">
        <f aca="false">_xlfn.MINIFS($B$2:$B$2705,$A$2:$A$2705,A885)</f>
        <v>1901</v>
      </c>
      <c r="U885" s="3" t="n">
        <f aca="false">B885-T885</f>
        <v>55</v>
      </c>
      <c r="V885" s="3" t="str">
        <f aca="false">INDEX(Pop_Inputs!$Q$2:$Q$29,MATCH(C885,Pop_Inputs!$A$2:$A$29,0))</f>
        <v>Midwest</v>
      </c>
      <c r="W885" s="30"/>
      <c r="X885" s="3" t="str">
        <f aca="false">IF(W885="","",LN(W885))</f>
        <v/>
      </c>
      <c r="Y885" s="3" t="str">
        <f aca="false">IF(X885="","",X885-AVERAGEIFS($X$2:$X$2705,$B$2:$B$2705,B885))</f>
        <v/>
      </c>
      <c r="Z885" s="21" t="n">
        <f aca="false">P885</f>
        <v>-0.816578402165067</v>
      </c>
      <c r="AA885" s="3" t="n">
        <f aca="false">R885</f>
        <v>0</v>
      </c>
      <c r="AB885" s="21" t="n">
        <f aca="false">P885</f>
        <v>-0.816578402165067</v>
      </c>
      <c r="AC885" s="3" t="str">
        <f aca="false">Y885</f>
        <v/>
      </c>
      <c r="AD885" s="3" t="n">
        <f aca="false">R885</f>
        <v>0</v>
      </c>
    </row>
    <row r="886" customFormat="false" ht="15" hidden="false" customHeight="true" outlineLevel="0" collapsed="false">
      <c r="A886" s="7" t="s">
        <v>66</v>
      </c>
      <c r="B886" s="7" t="n">
        <v>1956</v>
      </c>
      <c r="C886" s="7" t="s">
        <v>151</v>
      </c>
      <c r="D886" s="7" t="n">
        <v>88</v>
      </c>
      <c r="E886" s="7" t="n">
        <v>66</v>
      </c>
      <c r="F886" s="3" t="n">
        <f aca="false">COUNTIFS($B$2:$B$2705,B886,$C$2:$C$2705,C886)</f>
        <v>1</v>
      </c>
      <c r="G886" s="3" t="n">
        <f aca="false">MIN(INT((MIN(B886,2020)-1900)/10)+1,12)</f>
        <v>6</v>
      </c>
      <c r="H886" s="3" t="n">
        <f aca="false">(MIN(B886,2020)-1900-10*(G886-1))/10</f>
        <v>0.6</v>
      </c>
      <c r="I886" s="20" t="n">
        <f aca="false">EXP(LN(INDEX(Pop_Inputs!$B$2:$N$29,MATCH(C886,Pop_Inputs!$A$2:$A$29,0),G886))*(1-H886)+LN(INDEX(Pop_Inputs!$B$2:$N$29,MATCH(C886,Pop_Inputs!$A$2:$A$29,0),G886+1))*H886)</f>
        <v>891352.153181976</v>
      </c>
      <c r="J886" s="20" t="n">
        <f aca="false">I886/F886</f>
        <v>891352.153181976</v>
      </c>
      <c r="K886" s="21" t="n">
        <f aca="false">D886/(D886+E886)</f>
        <v>0.571428571428571</v>
      </c>
      <c r="L886" s="21" t="n">
        <f aca="false">AVERAGEIFS($K$2:$K$2705,$B$2:$B$2705,B886)</f>
        <v>0.5</v>
      </c>
      <c r="M886" s="21" t="n">
        <f aca="false">K886-L886</f>
        <v>0.0714285714285714</v>
      </c>
      <c r="N886" s="21" t="n">
        <f aca="false">LN(J886)</f>
        <v>13.7004948620185</v>
      </c>
      <c r="O886" s="21" t="n">
        <f aca="false">AVERAGEIFS($N$2:$N$2705,$B$2:$B$2705,B886)</f>
        <v>13.9451796835535</v>
      </c>
      <c r="P886" s="21" t="n">
        <f aca="false">N886-O886</f>
        <v>-0.24468482153496</v>
      </c>
      <c r="Q886" s="7" t="n">
        <v>0</v>
      </c>
      <c r="R886" s="3" t="n">
        <f aca="false">IF(AND(Q886=1,B886-_xlfn.MINIFS($B$2:$B$2705,$A$2:$A$2705,A886)&lt;10),1,0)</f>
        <v>0</v>
      </c>
      <c r="S886" s="7" t="n">
        <v>0</v>
      </c>
      <c r="T886" s="3" t="n">
        <f aca="false">_xlfn.MINIFS($B$2:$B$2705,$A$2:$A$2705,A886)</f>
        <v>1901</v>
      </c>
      <c r="U886" s="3" t="n">
        <f aca="false">B886-T886</f>
        <v>55</v>
      </c>
      <c r="V886" s="3" t="str">
        <f aca="false">INDEX(Pop_Inputs!$Q$2:$Q$29,MATCH(C886,Pop_Inputs!$A$2:$A$29,0))</f>
        <v>Midwest</v>
      </c>
      <c r="W886" s="30"/>
      <c r="X886" s="3" t="str">
        <f aca="false">IF(W886="","",LN(W886))</f>
        <v/>
      </c>
      <c r="Y886" s="3" t="str">
        <f aca="false">IF(X886="","",X886-AVERAGEIFS($X$2:$X$2705,$B$2:$B$2705,B886))</f>
        <v/>
      </c>
      <c r="Z886" s="21" t="n">
        <f aca="false">P886</f>
        <v>-0.24468482153496</v>
      </c>
      <c r="AA886" s="3" t="n">
        <f aca="false">R886</f>
        <v>0</v>
      </c>
      <c r="AB886" s="21" t="n">
        <f aca="false">P886</f>
        <v>-0.24468482153496</v>
      </c>
      <c r="AC886" s="3" t="str">
        <f aca="false">Y886</f>
        <v/>
      </c>
      <c r="AD886" s="3" t="n">
        <f aca="false">R886</f>
        <v>0</v>
      </c>
    </row>
    <row r="887" customFormat="false" ht="15" hidden="false" customHeight="true" outlineLevel="0" collapsed="false">
      <c r="A887" s="7" t="s">
        <v>67</v>
      </c>
      <c r="B887" s="7" t="n">
        <v>1956</v>
      </c>
      <c r="C887" s="7" t="s">
        <v>152</v>
      </c>
      <c r="D887" s="7" t="n">
        <v>82</v>
      </c>
      <c r="E887" s="7" t="n">
        <v>72</v>
      </c>
      <c r="F887" s="3" t="n">
        <f aca="false">COUNTIFS($B$2:$B$2705,B887,$C$2:$C$2705,C887)</f>
        <v>1</v>
      </c>
      <c r="G887" s="3" t="n">
        <f aca="false">MIN(INT((MIN(B887,2020)-1900)/10)+1,12)</f>
        <v>6</v>
      </c>
      <c r="H887" s="3" t="n">
        <f aca="false">(MIN(B887,2020)-1900-10*(G887-1))/10</f>
        <v>0.6</v>
      </c>
      <c r="I887" s="20" t="n">
        <f aca="false">EXP(LN(INDEX(Pop_Inputs!$B$2:$N$29,MATCH(C887,Pop_Inputs!$A$2:$A$29,0),G887))*(1-H887)+LN(INDEX(Pop_Inputs!$B$2:$N$29,MATCH(C887,Pop_Inputs!$A$2:$A$29,0),G887+1))*H887)</f>
        <v>1739724.46889361</v>
      </c>
      <c r="J887" s="20" t="n">
        <f aca="false">I887/F887</f>
        <v>1739724.46889361</v>
      </c>
      <c r="K887" s="21" t="n">
        <f aca="false">D887/(D887+E887)</f>
        <v>0.532467532467532</v>
      </c>
      <c r="L887" s="21" t="n">
        <f aca="false">AVERAGEIFS($K$2:$K$2705,$B$2:$B$2705,B887)</f>
        <v>0.5</v>
      </c>
      <c r="M887" s="21" t="n">
        <f aca="false">K887-L887</f>
        <v>0.0324675324675324</v>
      </c>
      <c r="N887" s="21" t="n">
        <f aca="false">LN(J887)</f>
        <v>14.3692373074413</v>
      </c>
      <c r="O887" s="21" t="n">
        <f aca="false">AVERAGEIFS($N$2:$N$2705,$B$2:$B$2705,B887)</f>
        <v>13.9451796835535</v>
      </c>
      <c r="P887" s="21" t="n">
        <f aca="false">N887-O887</f>
        <v>0.424057623887801</v>
      </c>
      <c r="Q887" s="7" t="n">
        <v>0</v>
      </c>
      <c r="R887" s="3" t="n">
        <f aca="false">IF(AND(Q887=1,B887-_xlfn.MINIFS($B$2:$B$2705,$A$2:$A$2705,A887)&lt;10),1,0)</f>
        <v>0</v>
      </c>
      <c r="S887" s="7" t="n">
        <v>0</v>
      </c>
      <c r="T887" s="3" t="n">
        <f aca="false">_xlfn.MINIFS($B$2:$B$2705,$A$2:$A$2705,A887)</f>
        <v>1901</v>
      </c>
      <c r="U887" s="3" t="n">
        <f aca="false">B887-T887</f>
        <v>55</v>
      </c>
      <c r="V887" s="3" t="str">
        <f aca="false">INDEX(Pop_Inputs!$Q$2:$Q$29,MATCH(C887,Pop_Inputs!$A$2:$A$29,0))</f>
        <v>Midwest</v>
      </c>
      <c r="W887" s="30"/>
      <c r="X887" s="3" t="str">
        <f aca="false">IF(W887="","",LN(W887))</f>
        <v/>
      </c>
      <c r="Y887" s="3" t="str">
        <f aca="false">IF(X887="","",X887-AVERAGEIFS($X$2:$X$2705,$B$2:$B$2705,B887))</f>
        <v/>
      </c>
      <c r="Z887" s="21" t="n">
        <f aca="false">P887</f>
        <v>0.424057623887801</v>
      </c>
      <c r="AA887" s="3" t="n">
        <f aca="false">R887</f>
        <v>0</v>
      </c>
      <c r="AB887" s="21" t="n">
        <f aca="false">P887</f>
        <v>0.424057623887801</v>
      </c>
      <c r="AC887" s="3" t="str">
        <f aca="false">Y887</f>
        <v/>
      </c>
      <c r="AD887" s="3" t="n">
        <f aca="false">R887</f>
        <v>0</v>
      </c>
    </row>
    <row r="888" customFormat="false" ht="15" hidden="false" customHeight="true" outlineLevel="0" collapsed="false">
      <c r="A888" s="7" t="s">
        <v>62</v>
      </c>
      <c r="B888" s="7" t="n">
        <v>1956</v>
      </c>
      <c r="C888" s="7" t="s">
        <v>154</v>
      </c>
      <c r="D888" s="7" t="n">
        <v>93</v>
      </c>
      <c r="E888" s="7" t="n">
        <v>61</v>
      </c>
      <c r="F888" s="3" t="n">
        <f aca="false">COUNTIFS($B$2:$B$2705,B888,$C$2:$C$2705,C888)</f>
        <v>3</v>
      </c>
      <c r="G888" s="3" t="n">
        <f aca="false">MIN(INT((MIN(B888,2020)-1900)/10)+1,12)</f>
        <v>6</v>
      </c>
      <c r="H888" s="3" t="n">
        <f aca="false">(MIN(B888,2020)-1900-10*(G888-1))/10</f>
        <v>0.6</v>
      </c>
      <c r="I888" s="20" t="n">
        <f aca="false">EXP(LN(INDEX(Pop_Inputs!$B$2:$N$29,MATCH(C888,Pop_Inputs!$A$2:$A$29,0),G888))*(1-H888)+LN(INDEX(Pop_Inputs!$B$2:$N$29,MATCH(C888,Pop_Inputs!$A$2:$A$29,0),G888+1))*H888)</f>
        <v>7825788.09958081</v>
      </c>
      <c r="J888" s="20" t="n">
        <f aca="false">I888/F888</f>
        <v>2608596.0331936</v>
      </c>
      <c r="K888" s="21" t="n">
        <f aca="false">D888/(D888+E888)</f>
        <v>0.603896103896104</v>
      </c>
      <c r="L888" s="21" t="n">
        <f aca="false">AVERAGEIFS($K$2:$K$2705,$B$2:$B$2705,B888)</f>
        <v>0.5</v>
      </c>
      <c r="M888" s="21" t="n">
        <f aca="false">K888-L888</f>
        <v>0.103896103896104</v>
      </c>
      <c r="N888" s="21" t="n">
        <f aca="false">LN(J888)</f>
        <v>14.7743227162523</v>
      </c>
      <c r="O888" s="21" t="n">
        <f aca="false">AVERAGEIFS($N$2:$N$2705,$B$2:$B$2705,B888)</f>
        <v>13.9451796835535</v>
      </c>
      <c r="P888" s="21" t="n">
        <f aca="false">N888-O888</f>
        <v>0.829143032698822</v>
      </c>
      <c r="Q888" s="7" t="n">
        <v>0</v>
      </c>
      <c r="R888" s="3" t="n">
        <f aca="false">IF(AND(Q888=1,B888-_xlfn.MINIFS($B$2:$B$2705,$A$2:$A$2705,A888)&lt;10),1,0)</f>
        <v>0</v>
      </c>
      <c r="S888" s="7" t="n">
        <v>0</v>
      </c>
      <c r="T888" s="3" t="n">
        <f aca="false">_xlfn.MINIFS($B$2:$B$2705,$A$2:$A$2705,A888)</f>
        <v>1901</v>
      </c>
      <c r="U888" s="3" t="n">
        <f aca="false">B888-T888</f>
        <v>55</v>
      </c>
      <c r="V888" s="3" t="str">
        <f aca="false">INDEX(Pop_Inputs!$Q$2:$Q$29,MATCH(C888,Pop_Inputs!$A$2:$A$29,0))</f>
        <v>Northeast</v>
      </c>
      <c r="W888" s="30"/>
      <c r="X888" s="3" t="str">
        <f aca="false">IF(W888="","",LN(W888))</f>
        <v/>
      </c>
      <c r="Y888" s="3" t="str">
        <f aca="false">IF(X888="","",X888-AVERAGEIFS($X$2:$X$2705,$B$2:$B$2705,B888))</f>
        <v/>
      </c>
      <c r="Z888" s="21" t="n">
        <f aca="false">P888</f>
        <v>0.829143032698822</v>
      </c>
      <c r="AA888" s="3" t="n">
        <f aca="false">R888</f>
        <v>0</v>
      </c>
      <c r="AB888" s="21" t="n">
        <f aca="false">P888</f>
        <v>0.829143032698822</v>
      </c>
      <c r="AC888" s="3" t="str">
        <f aca="false">Y888</f>
        <v/>
      </c>
      <c r="AD888" s="3" t="n">
        <f aca="false">R888</f>
        <v>0</v>
      </c>
    </row>
    <row r="889" customFormat="false" ht="15" hidden="false" customHeight="true" outlineLevel="0" collapsed="false">
      <c r="A889" s="7" t="s">
        <v>68</v>
      </c>
      <c r="B889" s="7" t="n">
        <v>1956</v>
      </c>
      <c r="C889" s="7" t="s">
        <v>160</v>
      </c>
      <c r="D889" s="7" t="n">
        <v>59</v>
      </c>
      <c r="E889" s="7" t="n">
        <v>95</v>
      </c>
      <c r="F889" s="3" t="n">
        <f aca="false">COUNTIFS($B$2:$B$2705,B889,$C$2:$C$2705,C889)</f>
        <v>1</v>
      </c>
      <c r="G889" s="3" t="n">
        <f aca="false">MIN(INT((MIN(B889,2020)-1900)/10)+1,12)</f>
        <v>6</v>
      </c>
      <c r="H889" s="3" t="n">
        <f aca="false">(MIN(B889,2020)-1900-10*(G889-1))/10</f>
        <v>0.6</v>
      </c>
      <c r="I889" s="20" t="n">
        <f aca="false">EXP(LN(INDEX(Pop_Inputs!$B$2:$N$29,MATCH(C889,Pop_Inputs!$A$2:$A$29,0),G889))*(1-H889)+LN(INDEX(Pop_Inputs!$B$2:$N$29,MATCH(C889,Pop_Inputs!$A$2:$A$29,0),G889+1))*H889)</f>
        <v>779021.253755705</v>
      </c>
      <c r="J889" s="20" t="n">
        <f aca="false">I889/F889</f>
        <v>779021.253755705</v>
      </c>
      <c r="K889" s="21" t="n">
        <f aca="false">D889/(D889+E889)</f>
        <v>0.383116883116883</v>
      </c>
      <c r="L889" s="21" t="n">
        <f aca="false">AVERAGEIFS($K$2:$K$2705,$B$2:$B$2705,B889)</f>
        <v>0.5</v>
      </c>
      <c r="M889" s="21" t="n">
        <f aca="false">K889-L889</f>
        <v>-0.116883116883117</v>
      </c>
      <c r="N889" s="21" t="n">
        <f aca="false">LN(J889)</f>
        <v>13.5657936078641</v>
      </c>
      <c r="O889" s="21" t="n">
        <f aca="false">AVERAGEIFS($N$2:$N$2705,$B$2:$B$2705,B889)</f>
        <v>13.9451796835535</v>
      </c>
      <c r="P889" s="21" t="n">
        <f aca="false">N889-O889</f>
        <v>-0.379386075689318</v>
      </c>
      <c r="Q889" s="7" t="n">
        <v>0</v>
      </c>
      <c r="R889" s="3" t="n">
        <f aca="false">IF(AND(Q889=1,B889-_xlfn.MINIFS($B$2:$B$2705,$A$2:$A$2705,A889)&lt;10),1,0)</f>
        <v>0</v>
      </c>
      <c r="S889" s="7" t="n">
        <v>0</v>
      </c>
      <c r="T889" s="3" t="n">
        <f aca="false">_xlfn.MINIFS($B$2:$B$2705,$A$2:$A$2705,A889)</f>
        <v>1901</v>
      </c>
      <c r="U889" s="3" t="n">
        <f aca="false">B889-T889</f>
        <v>55</v>
      </c>
      <c r="V889" s="3" t="str">
        <f aca="false">INDEX(Pop_Inputs!$Q$2:$Q$29,MATCH(C889,Pop_Inputs!$A$2:$A$29,0))</f>
        <v>South</v>
      </c>
      <c r="W889" s="30"/>
      <c r="X889" s="3" t="str">
        <f aca="false">IF(W889="","",LN(W889))</f>
        <v/>
      </c>
      <c r="Y889" s="3" t="str">
        <f aca="false">IF(X889="","",X889-AVERAGEIFS($X$2:$X$2705,$B$2:$B$2705,B889))</f>
        <v/>
      </c>
      <c r="Z889" s="21" t="n">
        <f aca="false">P889</f>
        <v>-0.379386075689318</v>
      </c>
      <c r="AA889" s="3" t="n">
        <f aca="false">R889</f>
        <v>0</v>
      </c>
      <c r="AB889" s="21" t="n">
        <f aca="false">P889</f>
        <v>-0.379386075689318</v>
      </c>
      <c r="AC889" s="3" t="str">
        <f aca="false">Y889</f>
        <v/>
      </c>
      <c r="AD889" s="3" t="n">
        <f aca="false">R889</f>
        <v>0</v>
      </c>
    </row>
    <row r="890" customFormat="false" ht="15" hidden="false" customHeight="true" outlineLevel="0" collapsed="false">
      <c r="A890" s="7" t="s">
        <v>70</v>
      </c>
      <c r="B890" s="7" t="n">
        <v>1956</v>
      </c>
      <c r="C890" s="7" t="s">
        <v>154</v>
      </c>
      <c r="D890" s="7" t="n">
        <v>97</v>
      </c>
      <c r="E890" s="7" t="n">
        <v>57</v>
      </c>
      <c r="F890" s="3" t="n">
        <f aca="false">COUNTIFS($B$2:$B$2705,B890,$C$2:$C$2705,C890)</f>
        <v>3</v>
      </c>
      <c r="G890" s="3" t="n">
        <f aca="false">MIN(INT((MIN(B890,2020)-1900)/10)+1,12)</f>
        <v>6</v>
      </c>
      <c r="H890" s="3" t="n">
        <f aca="false">(MIN(B890,2020)-1900-10*(G890-1))/10</f>
        <v>0.6</v>
      </c>
      <c r="I890" s="20" t="n">
        <f aca="false">EXP(LN(INDEX(Pop_Inputs!$B$2:$N$29,MATCH(C890,Pop_Inputs!$A$2:$A$29,0),G890))*(1-H890)+LN(INDEX(Pop_Inputs!$B$2:$N$29,MATCH(C890,Pop_Inputs!$A$2:$A$29,0),G890+1))*H890)</f>
        <v>7825788.09958081</v>
      </c>
      <c r="J890" s="20" t="n">
        <f aca="false">I890/F890</f>
        <v>2608596.0331936</v>
      </c>
      <c r="K890" s="21" t="n">
        <f aca="false">D890/(D890+E890)</f>
        <v>0.62987012987013</v>
      </c>
      <c r="L890" s="21" t="n">
        <f aca="false">AVERAGEIFS($K$2:$K$2705,$B$2:$B$2705,B890)</f>
        <v>0.5</v>
      </c>
      <c r="M890" s="21" t="n">
        <f aca="false">K890-L890</f>
        <v>0.12987012987013</v>
      </c>
      <c r="N890" s="21" t="n">
        <f aca="false">LN(J890)</f>
        <v>14.7743227162523</v>
      </c>
      <c r="O890" s="21" t="n">
        <f aca="false">AVERAGEIFS($N$2:$N$2705,$B$2:$B$2705,B890)</f>
        <v>13.9451796835535</v>
      </c>
      <c r="P890" s="21" t="n">
        <f aca="false">N890-O890</f>
        <v>0.829143032698822</v>
      </c>
      <c r="Q890" s="7" t="n">
        <v>0</v>
      </c>
      <c r="R890" s="3" t="n">
        <f aca="false">IF(AND(Q890=1,B890-_xlfn.MINIFS($B$2:$B$2705,$A$2:$A$2705,A890)&lt;10),1,0)</f>
        <v>0</v>
      </c>
      <c r="S890" s="7" t="n">
        <v>1</v>
      </c>
      <c r="T890" s="3" t="n">
        <f aca="false">_xlfn.MINIFS($B$2:$B$2705,$A$2:$A$2705,A890)</f>
        <v>1903</v>
      </c>
      <c r="U890" s="3" t="n">
        <f aca="false">B890-T890</f>
        <v>53</v>
      </c>
      <c r="V890" s="3" t="str">
        <f aca="false">INDEX(Pop_Inputs!$Q$2:$Q$29,MATCH(C890,Pop_Inputs!$A$2:$A$29,0))</f>
        <v>Northeast</v>
      </c>
      <c r="W890" s="30"/>
      <c r="X890" s="3" t="str">
        <f aca="false">IF(W890="","",LN(W890))</f>
        <v/>
      </c>
      <c r="Y890" s="3" t="str">
        <f aca="false">IF(X890="","",X890-AVERAGEIFS($X$2:$X$2705,$B$2:$B$2705,B890))</f>
        <v/>
      </c>
      <c r="Z890" s="21" t="n">
        <f aca="false">P890</f>
        <v>0.829143032698822</v>
      </c>
      <c r="AA890" s="3" t="n">
        <f aca="false">R890</f>
        <v>0</v>
      </c>
      <c r="AB890" s="21" t="n">
        <f aca="false">P890</f>
        <v>0.829143032698822</v>
      </c>
      <c r="AC890" s="3" t="str">
        <f aca="false">Y890</f>
        <v/>
      </c>
      <c r="AD890" s="3" t="n">
        <f aca="false">R890</f>
        <v>0</v>
      </c>
    </row>
    <row r="891" customFormat="false" ht="15" hidden="false" customHeight="true" outlineLevel="0" collapsed="false">
      <c r="A891" s="7" t="s">
        <v>69</v>
      </c>
      <c r="B891" s="7" t="n">
        <v>1956</v>
      </c>
      <c r="C891" s="7" t="s">
        <v>157</v>
      </c>
      <c r="D891" s="7" t="n">
        <v>52</v>
      </c>
      <c r="E891" s="7" t="n">
        <v>102</v>
      </c>
      <c r="F891" s="3" t="n">
        <f aca="false">COUNTIFS($B$2:$B$2705,B891,$C$2:$C$2705,C891)</f>
        <v>1</v>
      </c>
      <c r="G891" s="3" t="n">
        <f aca="false">MIN(INT((MIN(B891,2020)-1900)/10)+1,12)</f>
        <v>6</v>
      </c>
      <c r="H891" s="3" t="n">
        <f aca="false">(MIN(B891,2020)-1900-10*(G891-1))/10</f>
        <v>0.6</v>
      </c>
      <c r="I891" s="20" t="n">
        <f aca="false">EXP(LN(INDEX(Pop_Inputs!$B$2:$N$29,MATCH(C891,Pop_Inputs!$A$2:$A$29,0),G891))*(1-H891)+LN(INDEX(Pop_Inputs!$B$2:$N$29,MATCH(C891,Pop_Inputs!$A$2:$A$29,0),G891+1))*H891)</f>
        <v>467879.930663813</v>
      </c>
      <c r="J891" s="20" t="n">
        <f aca="false">I891/F891</f>
        <v>467879.930663813</v>
      </c>
      <c r="K891" s="21" t="n">
        <f aca="false">D891/(D891+E891)</f>
        <v>0.337662337662338</v>
      </c>
      <c r="L891" s="21" t="n">
        <f aca="false">AVERAGEIFS($K$2:$K$2705,$B$2:$B$2705,B891)</f>
        <v>0.5</v>
      </c>
      <c r="M891" s="21" t="n">
        <f aca="false">K891-L891</f>
        <v>-0.162337662337662</v>
      </c>
      <c r="N891" s="21" t="n">
        <f aca="false">LN(J891)</f>
        <v>13.0559669835724</v>
      </c>
      <c r="O891" s="21" t="n">
        <f aca="false">AVERAGEIFS($N$2:$N$2705,$B$2:$B$2705,B891)</f>
        <v>13.9451796835535</v>
      </c>
      <c r="P891" s="21" t="n">
        <f aca="false">N891-O891</f>
        <v>-0.889212699981076</v>
      </c>
      <c r="Q891" s="7" t="n">
        <v>0</v>
      </c>
      <c r="R891" s="3" t="n">
        <f aca="false">IF(AND(Q891=1,B891-_xlfn.MINIFS($B$2:$B$2705,$A$2:$A$2705,A891)&lt;10),1,0)</f>
        <v>0</v>
      </c>
      <c r="S891" s="7" t="n">
        <v>0</v>
      </c>
      <c r="T891" s="3" t="n">
        <f aca="false">_xlfn.MINIFS($B$2:$B$2705,$A$2:$A$2705,A891)</f>
        <v>1901</v>
      </c>
      <c r="U891" s="3" t="n">
        <f aca="false">B891-T891</f>
        <v>55</v>
      </c>
      <c r="V891" s="3" t="str">
        <f aca="false">INDEX(Pop_Inputs!$Q$2:$Q$29,MATCH(C891,Pop_Inputs!$A$2:$A$29,0))</f>
        <v>Midwest</v>
      </c>
      <c r="W891" s="30"/>
      <c r="X891" s="3" t="str">
        <f aca="false">IF(W891="","",LN(W891))</f>
        <v/>
      </c>
      <c r="Y891" s="3" t="str">
        <f aca="false">IF(X891="","",X891-AVERAGEIFS($X$2:$X$2705,$B$2:$B$2705,B891))</f>
        <v/>
      </c>
      <c r="Z891" s="21" t="n">
        <f aca="false">P891</f>
        <v>-0.889212699981076</v>
      </c>
      <c r="AA891" s="3" t="n">
        <f aca="false">R891</f>
        <v>0</v>
      </c>
      <c r="AB891" s="21" t="n">
        <f aca="false">P891</f>
        <v>-0.889212699981076</v>
      </c>
      <c r="AC891" s="3" t="str">
        <f aca="false">Y891</f>
        <v/>
      </c>
      <c r="AD891" s="3" t="n">
        <f aca="false">R891</f>
        <v>0</v>
      </c>
    </row>
    <row r="892" customFormat="false" ht="15" hidden="false" customHeight="true" outlineLevel="0" collapsed="false">
      <c r="A892" s="7" t="s">
        <v>60</v>
      </c>
      <c r="B892" s="7" t="n">
        <v>1956</v>
      </c>
      <c r="C892" s="7" t="s">
        <v>146</v>
      </c>
      <c r="D892" s="7" t="n">
        <v>71</v>
      </c>
      <c r="E892" s="7" t="n">
        <v>83</v>
      </c>
      <c r="F892" s="3" t="n">
        <f aca="false">COUNTIFS($B$2:$B$2705,B892,$C$2:$C$2705,C892)</f>
        <v>1</v>
      </c>
      <c r="G892" s="3" t="n">
        <f aca="false">MIN(INT((MIN(B892,2020)-1900)/10)+1,12)</f>
        <v>6</v>
      </c>
      <c r="H892" s="3" t="n">
        <f aca="false">(MIN(B892,2020)-1900-10*(G892-1))/10</f>
        <v>0.6</v>
      </c>
      <c r="I892" s="20" t="n">
        <f aca="false">EXP(LN(INDEX(Pop_Inputs!$B$2:$N$29,MATCH(C892,Pop_Inputs!$A$2:$A$29,0),G892))*(1-H892)+LN(INDEX(Pop_Inputs!$B$2:$N$29,MATCH(C892,Pop_Inputs!$A$2:$A$29,0),G892+1))*H892)</f>
        <v>2029868.27773738</v>
      </c>
      <c r="J892" s="20" t="n">
        <f aca="false">I892/F892</f>
        <v>2029868.27773738</v>
      </c>
      <c r="K892" s="21" t="n">
        <f aca="false">D892/(D892+E892)</f>
        <v>0.461038961038961</v>
      </c>
      <c r="L892" s="21" t="n">
        <f aca="false">AVERAGEIFS($K$2:$K$2705,$B$2:$B$2705,B892)</f>
        <v>0.5</v>
      </c>
      <c r="M892" s="21" t="n">
        <f aca="false">K892-L892</f>
        <v>-0.038961038961039</v>
      </c>
      <c r="N892" s="21" t="n">
        <f aca="false">LN(J892)</f>
        <v>14.5234814610986</v>
      </c>
      <c r="O892" s="21" t="n">
        <f aca="false">AVERAGEIFS($N$2:$N$2705,$B$2:$B$2705,B892)</f>
        <v>13.9451796835535</v>
      </c>
      <c r="P892" s="21" t="n">
        <f aca="false">N892-O892</f>
        <v>0.578301777545098</v>
      </c>
      <c r="Q892" s="7" t="n">
        <v>0</v>
      </c>
      <c r="R892" s="3" t="n">
        <f aca="false">IF(AND(Q892=1,B892-_xlfn.MINIFS($B$2:$B$2705,$A$2:$A$2705,A892)&lt;10),1,0)</f>
        <v>0</v>
      </c>
      <c r="S892" s="7" t="n">
        <v>0</v>
      </c>
      <c r="T892" s="3" t="n">
        <f aca="false">_xlfn.MINIFS($B$2:$B$2705,$A$2:$A$2705,A892)</f>
        <v>1901</v>
      </c>
      <c r="U892" s="3" t="n">
        <f aca="false">B892-T892</f>
        <v>55</v>
      </c>
      <c r="V892" s="3" t="str">
        <f aca="false">INDEX(Pop_Inputs!$Q$2:$Q$29,MATCH(C892,Pop_Inputs!$A$2:$A$29,0))</f>
        <v>Northeast</v>
      </c>
      <c r="W892" s="30"/>
      <c r="X892" s="3" t="str">
        <f aca="false">IF(W892="","",LN(W892))</f>
        <v/>
      </c>
      <c r="Y892" s="3" t="str">
        <f aca="false">IF(X892="","",X892-AVERAGEIFS($X$2:$X$2705,$B$2:$B$2705,B892))</f>
        <v/>
      </c>
      <c r="Z892" s="21" t="n">
        <f aca="false">P892</f>
        <v>0.578301777545098</v>
      </c>
      <c r="AA892" s="3" t="n">
        <f aca="false">R892</f>
        <v>0</v>
      </c>
      <c r="AB892" s="21" t="n">
        <f aca="false">P892</f>
        <v>0.578301777545098</v>
      </c>
      <c r="AC892" s="3" t="str">
        <f aca="false">Y892</f>
        <v/>
      </c>
      <c r="AD892" s="3" t="n">
        <f aca="false">R892</f>
        <v>0</v>
      </c>
    </row>
    <row r="893" customFormat="false" ht="15" hidden="false" customHeight="true" outlineLevel="0" collapsed="false">
      <c r="A893" s="7" t="s">
        <v>58</v>
      </c>
      <c r="B893" s="7" t="n">
        <v>1956</v>
      </c>
      <c r="C893" s="7" t="s">
        <v>144</v>
      </c>
      <c r="D893" s="7" t="n">
        <v>66</v>
      </c>
      <c r="E893" s="7" t="n">
        <v>88</v>
      </c>
      <c r="F893" s="3" t="n">
        <f aca="false">COUNTIFS($B$2:$B$2705,B893,$C$2:$C$2705,C893)</f>
        <v>1</v>
      </c>
      <c r="G893" s="3" t="n">
        <f aca="false">MIN(INT((MIN(B893,2020)-1900)/10)+1,12)</f>
        <v>6</v>
      </c>
      <c r="H893" s="3" t="n">
        <f aca="false">(MIN(B893,2020)-1900-10*(G893-1))/10</f>
        <v>0.6</v>
      </c>
      <c r="I893" s="20" t="n">
        <f aca="false">EXP(LN(INDEX(Pop_Inputs!$B$2:$N$29,MATCH(C893,Pop_Inputs!$A$2:$A$29,0),G893))*(1-H893)+LN(INDEX(Pop_Inputs!$B$2:$N$29,MATCH(C893,Pop_Inputs!$A$2:$A$29,0),G893+1))*H893)</f>
        <v>632340.553110765</v>
      </c>
      <c r="J893" s="20" t="n">
        <f aca="false">I893/F893</f>
        <v>632340.553110765</v>
      </c>
      <c r="K893" s="21" t="n">
        <f aca="false">D893/(D893+E893)</f>
        <v>0.428571428571429</v>
      </c>
      <c r="L893" s="21" t="n">
        <f aca="false">AVERAGEIFS($K$2:$K$2705,$B$2:$B$2705,B893)</f>
        <v>0.5</v>
      </c>
      <c r="M893" s="21" t="n">
        <f aca="false">K893-L893</f>
        <v>-0.0714285714285715</v>
      </c>
      <c r="N893" s="21" t="n">
        <f aca="false">LN(J893)</f>
        <v>13.3571833778603</v>
      </c>
      <c r="O893" s="21" t="n">
        <f aca="false">AVERAGEIFS($N$2:$N$2705,$B$2:$B$2705,B893)</f>
        <v>13.9451796835535</v>
      </c>
      <c r="P893" s="21" t="n">
        <f aca="false">N893-O893</f>
        <v>-0.587996305693119</v>
      </c>
      <c r="Q893" s="7" t="n">
        <v>0</v>
      </c>
      <c r="R893" s="3" t="n">
        <f aca="false">IF(AND(Q893=1,B893-_xlfn.MINIFS($B$2:$B$2705,$A$2:$A$2705,A893)&lt;10),1,0)</f>
        <v>0</v>
      </c>
      <c r="S893" s="7" t="n">
        <v>0</v>
      </c>
      <c r="T893" s="3" t="n">
        <f aca="false">_xlfn.MINIFS($B$2:$B$2705,$A$2:$A$2705,A893)</f>
        <v>1901</v>
      </c>
      <c r="U893" s="3" t="n">
        <f aca="false">B893-T893</f>
        <v>55</v>
      </c>
      <c r="V893" s="3" t="str">
        <f aca="false">INDEX(Pop_Inputs!$Q$2:$Q$29,MATCH(C893,Pop_Inputs!$A$2:$A$29,0))</f>
        <v>Northeast</v>
      </c>
      <c r="W893" s="30"/>
      <c r="X893" s="3" t="str">
        <f aca="false">IF(W893="","",LN(W893))</f>
        <v/>
      </c>
      <c r="Y893" s="3" t="str">
        <f aca="false">IF(X893="","",X893-AVERAGEIFS($X$2:$X$2705,$B$2:$B$2705,B893))</f>
        <v/>
      </c>
      <c r="Z893" s="21" t="n">
        <f aca="false">P893</f>
        <v>-0.587996305693119</v>
      </c>
      <c r="AA893" s="3" t="n">
        <f aca="false">R893</f>
        <v>0</v>
      </c>
      <c r="AB893" s="21" t="n">
        <f aca="false">P893</f>
        <v>-0.587996305693119</v>
      </c>
      <c r="AC893" s="3" t="str">
        <f aca="false">Y893</f>
        <v/>
      </c>
      <c r="AD893" s="3" t="n">
        <f aca="false">R893</f>
        <v>0</v>
      </c>
    </row>
    <row r="894" customFormat="false" ht="15" hidden="false" customHeight="true" outlineLevel="0" collapsed="false">
      <c r="A894" s="7" t="s">
        <v>61</v>
      </c>
      <c r="B894" s="7" t="n">
        <v>1956</v>
      </c>
      <c r="C894" s="7" t="s">
        <v>154</v>
      </c>
      <c r="D894" s="7" t="n">
        <v>67</v>
      </c>
      <c r="E894" s="7" t="n">
        <v>87</v>
      </c>
      <c r="F894" s="3" t="n">
        <f aca="false">COUNTIFS($B$2:$B$2705,B894,$C$2:$C$2705,C894)</f>
        <v>3</v>
      </c>
      <c r="G894" s="3" t="n">
        <f aca="false">MIN(INT((MIN(B894,2020)-1900)/10)+1,12)</f>
        <v>6</v>
      </c>
      <c r="H894" s="3" t="n">
        <f aca="false">(MIN(B894,2020)-1900-10*(G894-1))/10</f>
        <v>0.6</v>
      </c>
      <c r="I894" s="20" t="n">
        <f aca="false">EXP(LN(INDEX(Pop_Inputs!$B$2:$N$29,MATCH(C894,Pop_Inputs!$A$2:$A$29,0),G894))*(1-H894)+LN(INDEX(Pop_Inputs!$B$2:$N$29,MATCH(C894,Pop_Inputs!$A$2:$A$29,0),G894+1))*H894)</f>
        <v>7825788.09958081</v>
      </c>
      <c r="J894" s="20" t="n">
        <f aca="false">I894/F894</f>
        <v>2608596.0331936</v>
      </c>
      <c r="K894" s="21" t="n">
        <f aca="false">D894/(D894+E894)</f>
        <v>0.435064935064935</v>
      </c>
      <c r="L894" s="21" t="n">
        <f aca="false">AVERAGEIFS($K$2:$K$2705,$B$2:$B$2705,B894)</f>
        <v>0.5</v>
      </c>
      <c r="M894" s="21" t="n">
        <f aca="false">K894-L894</f>
        <v>-0.064935064935065</v>
      </c>
      <c r="N894" s="21" t="n">
        <f aca="false">LN(J894)</f>
        <v>14.7743227162523</v>
      </c>
      <c r="O894" s="21" t="n">
        <f aca="false">AVERAGEIFS($N$2:$N$2705,$B$2:$B$2705,B894)</f>
        <v>13.9451796835535</v>
      </c>
      <c r="P894" s="21" t="n">
        <f aca="false">N894-O894</f>
        <v>0.829143032698822</v>
      </c>
      <c r="Q894" s="7" t="n">
        <v>0</v>
      </c>
      <c r="R894" s="3" t="n">
        <f aca="false">IF(AND(Q894=1,B894-_xlfn.MINIFS($B$2:$B$2705,$A$2:$A$2705,A894)&lt;10),1,0)</f>
        <v>0</v>
      </c>
      <c r="S894" s="7" t="n">
        <v>0</v>
      </c>
      <c r="T894" s="3" t="n">
        <f aca="false">_xlfn.MINIFS($B$2:$B$2705,$A$2:$A$2705,A894)</f>
        <v>1901</v>
      </c>
      <c r="U894" s="3" t="n">
        <f aca="false">B894-T894</f>
        <v>55</v>
      </c>
      <c r="V894" s="3" t="str">
        <f aca="false">INDEX(Pop_Inputs!$Q$2:$Q$29,MATCH(C894,Pop_Inputs!$A$2:$A$29,0))</f>
        <v>Northeast</v>
      </c>
      <c r="W894" s="30"/>
      <c r="X894" s="3" t="str">
        <f aca="false">IF(W894="","",LN(W894))</f>
        <v/>
      </c>
      <c r="Y894" s="3" t="str">
        <f aca="false">IF(X894="","",X894-AVERAGEIFS($X$2:$X$2705,$B$2:$B$2705,B894))</f>
        <v/>
      </c>
      <c r="Z894" s="21" t="n">
        <f aca="false">P894</f>
        <v>0.829143032698822</v>
      </c>
      <c r="AA894" s="3" t="n">
        <f aca="false">R894</f>
        <v>0</v>
      </c>
      <c r="AB894" s="21" t="n">
        <f aca="false">P894</f>
        <v>0.829143032698822</v>
      </c>
      <c r="AC894" s="3" t="str">
        <f aca="false">Y894</f>
        <v/>
      </c>
      <c r="AD894" s="3" t="n">
        <f aca="false">R894</f>
        <v>0</v>
      </c>
    </row>
    <row r="895" customFormat="false" ht="15" hidden="false" customHeight="true" outlineLevel="0" collapsed="false">
      <c r="A895" s="7" t="s">
        <v>59</v>
      </c>
      <c r="B895" s="7" t="n">
        <v>1956</v>
      </c>
      <c r="C895" s="7" t="s">
        <v>145</v>
      </c>
      <c r="D895" s="7" t="n">
        <v>76</v>
      </c>
      <c r="E895" s="7" t="n">
        <v>78</v>
      </c>
      <c r="F895" s="3" t="n">
        <f aca="false">COUNTIFS($B$2:$B$2705,B895,$C$2:$C$2705,C895)</f>
        <v>1</v>
      </c>
      <c r="G895" s="3" t="n">
        <f aca="false">MIN(INT((MIN(B895,2020)-1900)/10)+1,12)</f>
        <v>6</v>
      </c>
      <c r="H895" s="3" t="n">
        <f aca="false">(MIN(B895,2020)-1900-10*(G895-1))/10</f>
        <v>0.6</v>
      </c>
      <c r="I895" s="20" t="n">
        <f aca="false">EXP(LN(INDEX(Pop_Inputs!$B$2:$N$29,MATCH(C895,Pop_Inputs!$A$2:$A$29,0),G895))*(1-H895)+LN(INDEX(Pop_Inputs!$B$2:$N$29,MATCH(C895,Pop_Inputs!$A$2:$A$29,0),G895+1))*H895)</f>
        <v>791036.937418547</v>
      </c>
      <c r="J895" s="20" t="n">
        <f aca="false">I895/F895</f>
        <v>791036.937418547</v>
      </c>
      <c r="K895" s="21" t="n">
        <f aca="false">D895/(D895+E895)</f>
        <v>0.493506493506494</v>
      </c>
      <c r="L895" s="21" t="n">
        <f aca="false">AVERAGEIFS($K$2:$K$2705,$B$2:$B$2705,B895)</f>
        <v>0.5</v>
      </c>
      <c r="M895" s="21" t="n">
        <f aca="false">K895-L895</f>
        <v>-0.0064935064935065</v>
      </c>
      <c r="N895" s="21" t="n">
        <f aca="false">LN(J895)</f>
        <v>13.5810999427753</v>
      </c>
      <c r="O895" s="21" t="n">
        <f aca="false">AVERAGEIFS($N$2:$N$2705,$B$2:$B$2705,B895)</f>
        <v>13.9451796835535</v>
      </c>
      <c r="P895" s="21" t="n">
        <f aca="false">N895-O895</f>
        <v>-0.364079740778216</v>
      </c>
      <c r="Q895" s="7" t="n">
        <v>0</v>
      </c>
      <c r="R895" s="3" t="n">
        <f aca="false">IF(AND(Q895=1,B895-_xlfn.MINIFS($B$2:$B$2705,$A$2:$A$2705,A895)&lt;10),1,0)</f>
        <v>0</v>
      </c>
      <c r="S895" s="7" t="n">
        <v>0</v>
      </c>
      <c r="T895" s="3" t="n">
        <f aca="false">_xlfn.MINIFS($B$2:$B$2705,$A$2:$A$2705,A895)</f>
        <v>1901</v>
      </c>
      <c r="U895" s="3" t="n">
        <f aca="false">B895-T895</f>
        <v>55</v>
      </c>
      <c r="V895" s="3" t="str">
        <f aca="false">INDEX(Pop_Inputs!$Q$2:$Q$29,MATCH(C895,Pop_Inputs!$A$2:$A$29,0))</f>
        <v>Midwest</v>
      </c>
      <c r="W895" s="30"/>
      <c r="X895" s="3" t="str">
        <f aca="false">IF(W895="","",LN(W895))</f>
        <v/>
      </c>
      <c r="Y895" s="3" t="str">
        <f aca="false">IF(X895="","",X895-AVERAGEIFS($X$2:$X$2705,$B$2:$B$2705,B895))</f>
        <v/>
      </c>
      <c r="Z895" s="21" t="n">
        <f aca="false">P895</f>
        <v>-0.364079740778216</v>
      </c>
      <c r="AA895" s="3" t="n">
        <f aca="false">R895</f>
        <v>0</v>
      </c>
      <c r="AB895" s="21" t="n">
        <f aca="false">P895</f>
        <v>-0.364079740778216</v>
      </c>
      <c r="AC895" s="3" t="str">
        <f aca="false">Y895</f>
        <v/>
      </c>
      <c r="AD895" s="3" t="n">
        <f aca="false">R895</f>
        <v>0</v>
      </c>
    </row>
    <row r="896" customFormat="false" ht="15" hidden="false" customHeight="true" outlineLevel="0" collapsed="false">
      <c r="A896" s="7" t="s">
        <v>54</v>
      </c>
      <c r="B896" s="7" t="n">
        <v>1957</v>
      </c>
      <c r="C896" s="7" t="s">
        <v>158</v>
      </c>
      <c r="D896" s="7" t="n">
        <v>95</v>
      </c>
      <c r="E896" s="7" t="n">
        <v>59</v>
      </c>
      <c r="F896" s="3" t="n">
        <f aca="false">COUNTIFS($B$2:$B$2705,B896,$C$2:$C$2705,C896)</f>
        <v>1</v>
      </c>
      <c r="G896" s="3" t="n">
        <f aca="false">MIN(INT((MIN(B896,2020)-1900)/10)+1,12)</f>
        <v>6</v>
      </c>
      <c r="H896" s="3" t="n">
        <f aca="false">(MIN(B896,2020)-1900-10*(G896-1))/10</f>
        <v>0.7</v>
      </c>
      <c r="I896" s="20" t="n">
        <f aca="false">EXP(LN(INDEX(Pop_Inputs!$B$2:$N$29,MATCH(C896,Pop_Inputs!$A$2:$A$29,0),G896))*(1-H896)+LN(INDEX(Pop_Inputs!$B$2:$N$29,MATCH(C896,Pop_Inputs!$A$2:$A$29,0),G896+1))*H896)</f>
        <v>708480.048800913</v>
      </c>
      <c r="J896" s="20" t="n">
        <f aca="false">I896/F896</f>
        <v>708480.048800913</v>
      </c>
      <c r="K896" s="21" t="n">
        <f aca="false">D896/(D896+E896)</f>
        <v>0.616883116883117</v>
      </c>
      <c r="L896" s="21" t="n">
        <f aca="false">AVERAGEIFS($K$2:$K$2705,$B$2:$B$2705,B896)</f>
        <v>0.499952253628724</v>
      </c>
      <c r="M896" s="21" t="n">
        <f aca="false">K896-L896</f>
        <v>0.116930863254393</v>
      </c>
      <c r="N896" s="21" t="n">
        <f aca="false">LN(J896)</f>
        <v>13.4708771779435</v>
      </c>
      <c r="O896" s="21" t="n">
        <f aca="false">AVERAGEIFS($N$2:$N$2705,$B$2:$B$2705,B896)</f>
        <v>13.9419435907753</v>
      </c>
      <c r="P896" s="21" t="n">
        <f aca="false">N896-O896</f>
        <v>-0.471066412831846</v>
      </c>
      <c r="Q896" s="7" t="n">
        <v>0</v>
      </c>
      <c r="R896" s="3" t="n">
        <f aca="false">IF(AND(Q896=1,B896-_xlfn.MINIFS($B$2:$B$2705,$A$2:$A$2705,A896)&lt;10),1,0)</f>
        <v>0</v>
      </c>
      <c r="S896" s="7" t="n">
        <v>0</v>
      </c>
      <c r="T896" s="3" t="n">
        <f aca="false">_xlfn.MINIFS($B$2:$B$2705,$A$2:$A$2705,A896)</f>
        <v>1901</v>
      </c>
      <c r="U896" s="3" t="n">
        <f aca="false">B896-T896</f>
        <v>56</v>
      </c>
      <c r="V896" s="3" t="str">
        <f aca="false">INDEX(Pop_Inputs!$Q$2:$Q$29,MATCH(C896,Pop_Inputs!$A$2:$A$29,0))</f>
        <v>Midwest</v>
      </c>
      <c r="W896" s="30"/>
      <c r="X896" s="3" t="str">
        <f aca="false">IF(W896="","",LN(W896))</f>
        <v/>
      </c>
      <c r="Y896" s="3" t="str">
        <f aca="false">IF(X896="","",X896-AVERAGEIFS($X$2:$X$2705,$B$2:$B$2705,B896))</f>
        <v/>
      </c>
      <c r="Z896" s="21" t="n">
        <f aca="false">P896</f>
        <v>-0.471066412831846</v>
      </c>
      <c r="AA896" s="3" t="n">
        <f aca="false">R896</f>
        <v>0</v>
      </c>
      <c r="AB896" s="21" t="n">
        <f aca="false">P896</f>
        <v>-0.471066412831846</v>
      </c>
      <c r="AC896" s="3" t="str">
        <f aca="false">Y896</f>
        <v/>
      </c>
      <c r="AD896" s="3" t="n">
        <f aca="false">R896</f>
        <v>0</v>
      </c>
    </row>
    <row r="897" customFormat="false" ht="15" hidden="false" customHeight="true" outlineLevel="0" collapsed="false">
      <c r="A897" s="7" t="s">
        <v>63</v>
      </c>
      <c r="B897" s="7" t="n">
        <v>1957</v>
      </c>
      <c r="C897" s="7" t="s">
        <v>149</v>
      </c>
      <c r="D897" s="7" t="n">
        <v>76</v>
      </c>
      <c r="E897" s="7" t="n">
        <v>76</v>
      </c>
      <c r="F897" s="3" t="n">
        <f aca="false">COUNTIFS($B$2:$B$2705,B897,$C$2:$C$2705,C897)</f>
        <v>1</v>
      </c>
      <c r="G897" s="3" t="n">
        <f aca="false">MIN(INT((MIN(B897,2020)-1900)/10)+1,12)</f>
        <v>6</v>
      </c>
      <c r="H897" s="3" t="n">
        <f aca="false">(MIN(B897,2020)-1900-10*(G897-1))/10</f>
        <v>0.7</v>
      </c>
      <c r="I897" s="20" t="n">
        <f aca="false">EXP(LN(INDEX(Pop_Inputs!$B$2:$N$29,MATCH(C897,Pop_Inputs!$A$2:$A$29,0),G897))*(1-H897)+LN(INDEX(Pop_Inputs!$B$2:$N$29,MATCH(C897,Pop_Inputs!$A$2:$A$29,0),G897+1))*H897)</f>
        <v>942216.517855682</v>
      </c>
      <c r="J897" s="20" t="n">
        <f aca="false">I897/F897</f>
        <v>942216.517855682</v>
      </c>
      <c r="K897" s="21" t="n">
        <f aca="false">D897/(D897+E897)</f>
        <v>0.5</v>
      </c>
      <c r="L897" s="21" t="n">
        <f aca="false">AVERAGEIFS($K$2:$K$2705,$B$2:$B$2705,B897)</f>
        <v>0.499952253628724</v>
      </c>
      <c r="M897" s="21" t="n">
        <f aca="false">K897-L897</f>
        <v>4.77463712758031E-005</v>
      </c>
      <c r="N897" s="21" t="n">
        <f aca="false">LN(J897)</f>
        <v>13.7559903762509</v>
      </c>
      <c r="O897" s="21" t="n">
        <f aca="false">AVERAGEIFS($N$2:$N$2705,$B$2:$B$2705,B897)</f>
        <v>13.9419435907753</v>
      </c>
      <c r="P897" s="21" t="n">
        <f aca="false">N897-O897</f>
        <v>-0.185953214524403</v>
      </c>
      <c r="Q897" s="7" t="n">
        <v>0</v>
      </c>
      <c r="R897" s="3" t="n">
        <f aca="false">IF(AND(Q897=1,B897-_xlfn.MINIFS($B$2:$B$2705,$A$2:$A$2705,A897)&lt;10),1,0)</f>
        <v>0</v>
      </c>
      <c r="S897" s="7" t="n">
        <v>0</v>
      </c>
      <c r="T897" s="3" t="n">
        <f aca="false">_xlfn.MINIFS($B$2:$B$2705,$A$2:$A$2705,A897)</f>
        <v>1901</v>
      </c>
      <c r="U897" s="3" t="n">
        <f aca="false">B897-T897</f>
        <v>56</v>
      </c>
      <c r="V897" s="3" t="str">
        <f aca="false">INDEX(Pop_Inputs!$Q$2:$Q$29,MATCH(C897,Pop_Inputs!$A$2:$A$29,0))</f>
        <v>South</v>
      </c>
      <c r="W897" s="30"/>
      <c r="X897" s="3" t="str">
        <f aca="false">IF(W897="","",LN(W897))</f>
        <v/>
      </c>
      <c r="Y897" s="3" t="str">
        <f aca="false">IF(X897="","",X897-AVERAGEIFS($X$2:$X$2705,$B$2:$B$2705,B897))</f>
        <v/>
      </c>
      <c r="Z897" s="21" t="n">
        <f aca="false">P897</f>
        <v>-0.185953214524403</v>
      </c>
      <c r="AA897" s="3" t="n">
        <f aca="false">R897</f>
        <v>0</v>
      </c>
      <c r="AB897" s="21" t="n">
        <f aca="false">P897</f>
        <v>-0.185953214524403</v>
      </c>
      <c r="AC897" s="3" t="str">
        <f aca="false">Y897</f>
        <v/>
      </c>
      <c r="AD897" s="3" t="n">
        <f aca="false">R897</f>
        <v>0</v>
      </c>
    </row>
    <row r="898" customFormat="false" ht="15" hidden="false" customHeight="true" outlineLevel="0" collapsed="false">
      <c r="A898" s="7" t="s">
        <v>64</v>
      </c>
      <c r="B898" s="7" t="n">
        <v>1957</v>
      </c>
      <c r="C898" s="7" t="s">
        <v>150</v>
      </c>
      <c r="D898" s="7" t="n">
        <v>82</v>
      </c>
      <c r="E898" s="7" t="n">
        <v>72</v>
      </c>
      <c r="F898" s="3" t="n">
        <f aca="false">COUNTIFS($B$2:$B$2705,B898,$C$2:$C$2705,C898)</f>
        <v>1</v>
      </c>
      <c r="G898" s="3" t="n">
        <f aca="false">MIN(INT((MIN(B898,2020)-1900)/10)+1,12)</f>
        <v>6</v>
      </c>
      <c r="H898" s="3" t="n">
        <f aca="false">(MIN(B898,2020)-1900-10*(G898-1))/10</f>
        <v>0.7</v>
      </c>
      <c r="I898" s="20" t="n">
        <f aca="false">EXP(LN(INDEX(Pop_Inputs!$B$2:$N$29,MATCH(C898,Pop_Inputs!$A$2:$A$29,0),G898))*(1-H898)+LN(INDEX(Pop_Inputs!$B$2:$N$29,MATCH(C898,Pop_Inputs!$A$2:$A$29,0),G898+1))*H898)</f>
        <v>726960.496000795</v>
      </c>
      <c r="J898" s="20" t="n">
        <f aca="false">I898/F898</f>
        <v>726960.496000795</v>
      </c>
      <c r="K898" s="21" t="n">
        <f aca="false">D898/(D898+E898)</f>
        <v>0.532467532467532</v>
      </c>
      <c r="L898" s="21" t="n">
        <f aca="false">AVERAGEIFS($K$2:$K$2705,$B$2:$B$2705,B898)</f>
        <v>0.499952253628724</v>
      </c>
      <c r="M898" s="21" t="n">
        <f aca="false">K898-L898</f>
        <v>0.0325152788388082</v>
      </c>
      <c r="N898" s="21" t="n">
        <f aca="false">LN(J898)</f>
        <v>13.4966274166635</v>
      </c>
      <c r="O898" s="21" t="n">
        <f aca="false">AVERAGEIFS($N$2:$N$2705,$B$2:$B$2705,B898)</f>
        <v>13.9419435907753</v>
      </c>
      <c r="P898" s="21" t="n">
        <f aca="false">N898-O898</f>
        <v>-0.445316174111866</v>
      </c>
      <c r="Q898" s="7" t="n">
        <v>0</v>
      </c>
      <c r="R898" s="3" t="n">
        <f aca="false">IF(AND(Q898=1,B898-_xlfn.MINIFS($B$2:$B$2705,$A$2:$A$2705,A898)&lt;10),1,0)</f>
        <v>0</v>
      </c>
      <c r="S898" s="7" t="n">
        <v>0</v>
      </c>
      <c r="T898" s="3" t="n">
        <f aca="false">_xlfn.MINIFS($B$2:$B$2705,$A$2:$A$2705,A898)</f>
        <v>1901</v>
      </c>
      <c r="U898" s="3" t="n">
        <f aca="false">B898-T898</f>
        <v>56</v>
      </c>
      <c r="V898" s="3" t="str">
        <f aca="false">INDEX(Pop_Inputs!$Q$2:$Q$29,MATCH(C898,Pop_Inputs!$A$2:$A$29,0))</f>
        <v>Northeast</v>
      </c>
      <c r="W898" s="30"/>
      <c r="X898" s="3" t="str">
        <f aca="false">IF(W898="","",LN(W898))</f>
        <v/>
      </c>
      <c r="Y898" s="3" t="str">
        <f aca="false">IF(X898="","",X898-AVERAGEIFS($X$2:$X$2705,$B$2:$B$2705,B898))</f>
        <v/>
      </c>
      <c r="Z898" s="21" t="n">
        <f aca="false">P898</f>
        <v>-0.445316174111866</v>
      </c>
      <c r="AA898" s="3" t="n">
        <f aca="false">R898</f>
        <v>0</v>
      </c>
      <c r="AB898" s="21" t="n">
        <f aca="false">P898</f>
        <v>-0.445316174111866</v>
      </c>
      <c r="AC898" s="3" t="str">
        <f aca="false">Y898</f>
        <v/>
      </c>
      <c r="AD898" s="3" t="n">
        <f aca="false">R898</f>
        <v>0</v>
      </c>
    </row>
    <row r="899" customFormat="false" ht="15" hidden="false" customHeight="true" outlineLevel="0" collapsed="false">
      <c r="A899" s="7" t="s">
        <v>56</v>
      </c>
      <c r="B899" s="7" t="n">
        <v>1957</v>
      </c>
      <c r="C899" s="7" t="s">
        <v>142</v>
      </c>
      <c r="D899" s="7" t="n">
        <v>62</v>
      </c>
      <c r="E899" s="7" t="n">
        <v>92</v>
      </c>
      <c r="F899" s="3" t="n">
        <f aca="false">COUNTIFS($B$2:$B$2705,B899,$C$2:$C$2705,C899)</f>
        <v>2</v>
      </c>
      <c r="G899" s="3" t="n">
        <f aca="false">MIN(INT((MIN(B899,2020)-1900)/10)+1,12)</f>
        <v>6</v>
      </c>
      <c r="H899" s="3" t="n">
        <f aca="false">(MIN(B899,2020)-1900-10*(G899-1))/10</f>
        <v>0.7</v>
      </c>
      <c r="I899" s="20" t="n">
        <f aca="false">EXP(LN(INDEX(Pop_Inputs!$B$2:$N$29,MATCH(C899,Pop_Inputs!$A$2:$A$29,0),G899))*(1-H899)+LN(INDEX(Pop_Inputs!$B$2:$N$29,MATCH(C899,Pop_Inputs!$A$2:$A$29,0),G899+1))*H899)</f>
        <v>3571425.80351713</v>
      </c>
      <c r="J899" s="20" t="n">
        <f aca="false">I899/F899</f>
        <v>1785712.90175856</v>
      </c>
      <c r="K899" s="21" t="n">
        <f aca="false">D899/(D899+E899)</f>
        <v>0.402597402597403</v>
      </c>
      <c r="L899" s="21" t="n">
        <f aca="false">AVERAGEIFS($K$2:$K$2705,$B$2:$B$2705,B899)</f>
        <v>0.499952253628724</v>
      </c>
      <c r="M899" s="21" t="n">
        <f aca="false">K899-L899</f>
        <v>-0.0973548510313216</v>
      </c>
      <c r="N899" s="21" t="n">
        <f aca="false">LN(J899)</f>
        <v>14.3953282782017</v>
      </c>
      <c r="O899" s="21" t="n">
        <f aca="false">AVERAGEIFS($N$2:$N$2705,$B$2:$B$2705,B899)</f>
        <v>13.9419435907753</v>
      </c>
      <c r="P899" s="21" t="n">
        <f aca="false">N899-O899</f>
        <v>0.45338468742637</v>
      </c>
      <c r="Q899" s="7" t="n">
        <v>0</v>
      </c>
      <c r="R899" s="3" t="n">
        <f aca="false">IF(AND(Q899=1,B899-_xlfn.MINIFS($B$2:$B$2705,$A$2:$A$2705,A899)&lt;10),1,0)</f>
        <v>0</v>
      </c>
      <c r="S899" s="7" t="n">
        <v>0</v>
      </c>
      <c r="T899" s="3" t="n">
        <f aca="false">_xlfn.MINIFS($B$2:$B$2705,$A$2:$A$2705,A899)</f>
        <v>1901</v>
      </c>
      <c r="U899" s="3" t="n">
        <f aca="false">B899-T899</f>
        <v>56</v>
      </c>
      <c r="V899" s="3" t="str">
        <f aca="false">INDEX(Pop_Inputs!$Q$2:$Q$29,MATCH(C899,Pop_Inputs!$A$2:$A$29,0))</f>
        <v>Midwest</v>
      </c>
      <c r="W899" s="30"/>
      <c r="X899" s="3" t="str">
        <f aca="false">IF(W899="","",LN(W899))</f>
        <v/>
      </c>
      <c r="Y899" s="3" t="str">
        <f aca="false">IF(X899="","",X899-AVERAGEIFS($X$2:$X$2705,$B$2:$B$2705,B899))</f>
        <v/>
      </c>
      <c r="Z899" s="21" t="n">
        <f aca="false">P899</f>
        <v>0.45338468742637</v>
      </c>
      <c r="AA899" s="3" t="n">
        <f aca="false">R899</f>
        <v>0</v>
      </c>
      <c r="AB899" s="21" t="n">
        <f aca="false">P899</f>
        <v>0.45338468742637</v>
      </c>
      <c r="AC899" s="3" t="str">
        <f aca="false">Y899</f>
        <v/>
      </c>
      <c r="AD899" s="3" t="n">
        <f aca="false">R899</f>
        <v>0</v>
      </c>
    </row>
    <row r="900" customFormat="false" ht="15" hidden="false" customHeight="true" outlineLevel="0" collapsed="false">
      <c r="A900" s="7" t="s">
        <v>65</v>
      </c>
      <c r="B900" s="7" t="n">
        <v>1957</v>
      </c>
      <c r="C900" s="7" t="s">
        <v>142</v>
      </c>
      <c r="D900" s="7" t="n">
        <v>90</v>
      </c>
      <c r="E900" s="7" t="n">
        <v>64</v>
      </c>
      <c r="F900" s="3" t="n">
        <f aca="false">COUNTIFS($B$2:$B$2705,B900,$C$2:$C$2705,C900)</f>
        <v>2</v>
      </c>
      <c r="G900" s="3" t="n">
        <f aca="false">MIN(INT((MIN(B900,2020)-1900)/10)+1,12)</f>
        <v>6</v>
      </c>
      <c r="H900" s="3" t="n">
        <f aca="false">(MIN(B900,2020)-1900-10*(G900-1))/10</f>
        <v>0.7</v>
      </c>
      <c r="I900" s="20" t="n">
        <f aca="false">EXP(LN(INDEX(Pop_Inputs!$B$2:$N$29,MATCH(C900,Pop_Inputs!$A$2:$A$29,0),G900))*(1-H900)+LN(INDEX(Pop_Inputs!$B$2:$N$29,MATCH(C900,Pop_Inputs!$A$2:$A$29,0),G900+1))*H900)</f>
        <v>3571425.80351713</v>
      </c>
      <c r="J900" s="20" t="n">
        <f aca="false">I900/F900</f>
        <v>1785712.90175856</v>
      </c>
      <c r="K900" s="21" t="n">
        <f aca="false">D900/(D900+E900)</f>
        <v>0.584415584415584</v>
      </c>
      <c r="L900" s="21" t="n">
        <f aca="false">AVERAGEIFS($K$2:$K$2705,$B$2:$B$2705,B900)</f>
        <v>0.499952253628724</v>
      </c>
      <c r="M900" s="21" t="n">
        <f aca="false">K900-L900</f>
        <v>0.0844633307868602</v>
      </c>
      <c r="N900" s="21" t="n">
        <f aca="false">LN(J900)</f>
        <v>14.3953282782017</v>
      </c>
      <c r="O900" s="21" t="n">
        <f aca="false">AVERAGEIFS($N$2:$N$2705,$B$2:$B$2705,B900)</f>
        <v>13.9419435907753</v>
      </c>
      <c r="P900" s="21" t="n">
        <f aca="false">N900-O900</f>
        <v>0.45338468742637</v>
      </c>
      <c r="Q900" s="7" t="n">
        <v>0</v>
      </c>
      <c r="R900" s="3" t="n">
        <f aca="false">IF(AND(Q900=1,B900-_xlfn.MINIFS($B$2:$B$2705,$A$2:$A$2705,A900)&lt;10),1,0)</f>
        <v>0</v>
      </c>
      <c r="S900" s="7" t="n">
        <v>0</v>
      </c>
      <c r="T900" s="3" t="n">
        <f aca="false">_xlfn.MINIFS($B$2:$B$2705,$A$2:$A$2705,A900)</f>
        <v>1901</v>
      </c>
      <c r="U900" s="3" t="n">
        <f aca="false">B900-T900</f>
        <v>56</v>
      </c>
      <c r="V900" s="3" t="str">
        <f aca="false">INDEX(Pop_Inputs!$Q$2:$Q$29,MATCH(C900,Pop_Inputs!$A$2:$A$29,0))</f>
        <v>Midwest</v>
      </c>
      <c r="W900" s="30"/>
      <c r="X900" s="3" t="str">
        <f aca="false">IF(W900="","",LN(W900))</f>
        <v/>
      </c>
      <c r="Y900" s="3" t="str">
        <f aca="false">IF(X900="","",X900-AVERAGEIFS($X$2:$X$2705,$B$2:$B$2705,B900))</f>
        <v/>
      </c>
      <c r="Z900" s="21" t="n">
        <f aca="false">P900</f>
        <v>0.45338468742637</v>
      </c>
      <c r="AA900" s="3" t="n">
        <f aca="false">R900</f>
        <v>0</v>
      </c>
      <c r="AB900" s="21" t="n">
        <f aca="false">P900</f>
        <v>0.45338468742637</v>
      </c>
      <c r="AC900" s="3" t="str">
        <f aca="false">Y900</f>
        <v/>
      </c>
      <c r="AD900" s="3" t="n">
        <f aca="false">R900</f>
        <v>0</v>
      </c>
    </row>
    <row r="901" customFormat="false" ht="15" hidden="false" customHeight="true" outlineLevel="0" collapsed="false">
      <c r="A901" s="7" t="s">
        <v>57</v>
      </c>
      <c r="B901" s="7" t="n">
        <v>1957</v>
      </c>
      <c r="C901" s="7" t="s">
        <v>143</v>
      </c>
      <c r="D901" s="7" t="n">
        <v>80</v>
      </c>
      <c r="E901" s="7" t="n">
        <v>74</v>
      </c>
      <c r="F901" s="3" t="n">
        <f aca="false">COUNTIFS($B$2:$B$2705,B901,$C$2:$C$2705,C901)</f>
        <v>1</v>
      </c>
      <c r="G901" s="3" t="n">
        <f aca="false">MIN(INT((MIN(B901,2020)-1900)/10)+1,12)</f>
        <v>6</v>
      </c>
      <c r="H901" s="3" t="n">
        <f aca="false">(MIN(B901,2020)-1900-10*(G901-1))/10</f>
        <v>0.7</v>
      </c>
      <c r="I901" s="20" t="n">
        <f aca="false">EXP(LN(INDEX(Pop_Inputs!$B$2:$N$29,MATCH(C901,Pop_Inputs!$A$2:$A$29,0),G901))*(1-H901)+LN(INDEX(Pop_Inputs!$B$2:$N$29,MATCH(C901,Pop_Inputs!$A$2:$A$29,0),G901+1))*H901)</f>
        <v>502983.962640208</v>
      </c>
      <c r="J901" s="20" t="n">
        <f aca="false">I901/F901</f>
        <v>502983.962640208</v>
      </c>
      <c r="K901" s="21" t="n">
        <f aca="false">D901/(D901+E901)</f>
        <v>0.519480519480519</v>
      </c>
      <c r="L901" s="21" t="n">
        <f aca="false">AVERAGEIFS($K$2:$K$2705,$B$2:$B$2705,B901)</f>
        <v>0.499952253628724</v>
      </c>
      <c r="M901" s="21" t="n">
        <f aca="false">K901-L901</f>
        <v>0.0195282658517952</v>
      </c>
      <c r="N901" s="21" t="n">
        <f aca="false">LN(J901)</f>
        <v>13.1283135651545</v>
      </c>
      <c r="O901" s="21" t="n">
        <f aca="false">AVERAGEIFS($N$2:$N$2705,$B$2:$B$2705,B901)</f>
        <v>13.9419435907753</v>
      </c>
      <c r="P901" s="21" t="n">
        <f aca="false">N901-O901</f>
        <v>-0.813630025620823</v>
      </c>
      <c r="Q901" s="7" t="n">
        <v>0</v>
      </c>
      <c r="R901" s="3" t="n">
        <f aca="false">IF(AND(Q901=1,B901-_xlfn.MINIFS($B$2:$B$2705,$A$2:$A$2705,A901)&lt;10),1,0)</f>
        <v>0</v>
      </c>
      <c r="S901" s="7" t="n">
        <v>0</v>
      </c>
      <c r="T901" s="3" t="n">
        <f aca="false">_xlfn.MINIFS($B$2:$B$2705,$A$2:$A$2705,A901)</f>
        <v>1901</v>
      </c>
      <c r="U901" s="3" t="n">
        <f aca="false">B901-T901</f>
        <v>56</v>
      </c>
      <c r="V901" s="3" t="str">
        <f aca="false">INDEX(Pop_Inputs!$Q$2:$Q$29,MATCH(C901,Pop_Inputs!$A$2:$A$29,0))</f>
        <v>Midwest</v>
      </c>
      <c r="W901" s="30"/>
      <c r="X901" s="3" t="str">
        <f aca="false">IF(W901="","",LN(W901))</f>
        <v/>
      </c>
      <c r="Y901" s="3" t="str">
        <f aca="false">IF(X901="","",X901-AVERAGEIFS($X$2:$X$2705,$B$2:$B$2705,B901))</f>
        <v/>
      </c>
      <c r="Z901" s="21" t="n">
        <f aca="false">P901</f>
        <v>-0.813630025620823</v>
      </c>
      <c r="AA901" s="3" t="n">
        <f aca="false">R901</f>
        <v>0</v>
      </c>
      <c r="AB901" s="21" t="n">
        <f aca="false">P901</f>
        <v>-0.813630025620823</v>
      </c>
      <c r="AC901" s="3" t="str">
        <f aca="false">Y901</f>
        <v/>
      </c>
      <c r="AD901" s="3" t="n">
        <f aca="false">R901</f>
        <v>0</v>
      </c>
    </row>
    <row r="902" customFormat="false" ht="15" hidden="false" customHeight="true" outlineLevel="0" collapsed="false">
      <c r="A902" s="7" t="s">
        <v>66</v>
      </c>
      <c r="B902" s="7" t="n">
        <v>1957</v>
      </c>
      <c r="C902" s="7" t="s">
        <v>151</v>
      </c>
      <c r="D902" s="7" t="n">
        <v>76</v>
      </c>
      <c r="E902" s="7" t="n">
        <v>77</v>
      </c>
      <c r="F902" s="3" t="n">
        <f aca="false">COUNTIFS($B$2:$B$2705,B902,$C$2:$C$2705,C902)</f>
        <v>1</v>
      </c>
      <c r="G902" s="3" t="n">
        <f aca="false">MIN(INT((MIN(B902,2020)-1900)/10)+1,12)</f>
        <v>6</v>
      </c>
      <c r="H902" s="3" t="n">
        <f aca="false">(MIN(B902,2020)-1900-10*(G902-1))/10</f>
        <v>0.7</v>
      </c>
      <c r="I902" s="20" t="n">
        <f aca="false">EXP(LN(INDEX(Pop_Inputs!$B$2:$N$29,MATCH(C902,Pop_Inputs!$A$2:$A$29,0),G902))*(1-H902)+LN(INDEX(Pop_Inputs!$B$2:$N$29,MATCH(C902,Pop_Inputs!$A$2:$A$29,0),G902+1))*H902)</f>
        <v>887501.73742582</v>
      </c>
      <c r="J902" s="20" t="n">
        <f aca="false">I902/F902</f>
        <v>887501.73742582</v>
      </c>
      <c r="K902" s="21" t="n">
        <f aca="false">D902/(D902+E902)</f>
        <v>0.496732026143791</v>
      </c>
      <c r="L902" s="21" t="n">
        <f aca="false">AVERAGEIFS($K$2:$K$2705,$B$2:$B$2705,B902)</f>
        <v>0.499952253628724</v>
      </c>
      <c r="M902" s="21" t="n">
        <f aca="false">K902-L902</f>
        <v>-0.00322022748493334</v>
      </c>
      <c r="N902" s="21" t="n">
        <f aca="false">LN(J902)</f>
        <v>13.6961657579927</v>
      </c>
      <c r="O902" s="21" t="n">
        <f aca="false">AVERAGEIFS($N$2:$N$2705,$B$2:$B$2705,B902)</f>
        <v>13.9419435907753</v>
      </c>
      <c r="P902" s="21" t="n">
        <f aca="false">N902-O902</f>
        <v>-0.245777832782654</v>
      </c>
      <c r="Q902" s="7" t="n">
        <v>0</v>
      </c>
      <c r="R902" s="3" t="n">
        <f aca="false">IF(AND(Q902=1,B902-_xlfn.MINIFS($B$2:$B$2705,$A$2:$A$2705,A902)&lt;10),1,0)</f>
        <v>0</v>
      </c>
      <c r="S902" s="7" t="n">
        <v>0</v>
      </c>
      <c r="T902" s="3" t="n">
        <f aca="false">_xlfn.MINIFS($B$2:$B$2705,$A$2:$A$2705,A902)</f>
        <v>1901</v>
      </c>
      <c r="U902" s="3" t="n">
        <f aca="false">B902-T902</f>
        <v>56</v>
      </c>
      <c r="V902" s="3" t="str">
        <f aca="false">INDEX(Pop_Inputs!$Q$2:$Q$29,MATCH(C902,Pop_Inputs!$A$2:$A$29,0))</f>
        <v>Midwest</v>
      </c>
      <c r="W902" s="30"/>
      <c r="X902" s="3" t="str">
        <f aca="false">IF(W902="","",LN(W902))</f>
        <v/>
      </c>
      <c r="Y902" s="3" t="str">
        <f aca="false">IF(X902="","",X902-AVERAGEIFS($X$2:$X$2705,$B$2:$B$2705,B902))</f>
        <v/>
      </c>
      <c r="Z902" s="21" t="n">
        <f aca="false">P902</f>
        <v>-0.245777832782654</v>
      </c>
      <c r="AA902" s="3" t="n">
        <f aca="false">R902</f>
        <v>0</v>
      </c>
      <c r="AB902" s="21" t="n">
        <f aca="false">P902</f>
        <v>-0.245777832782654</v>
      </c>
      <c r="AC902" s="3" t="str">
        <f aca="false">Y902</f>
        <v/>
      </c>
      <c r="AD902" s="3" t="n">
        <f aca="false">R902</f>
        <v>0</v>
      </c>
    </row>
    <row r="903" customFormat="false" ht="15" hidden="false" customHeight="true" outlineLevel="0" collapsed="false">
      <c r="A903" s="7" t="s">
        <v>67</v>
      </c>
      <c r="B903" s="7" t="n">
        <v>1957</v>
      </c>
      <c r="C903" s="7" t="s">
        <v>152</v>
      </c>
      <c r="D903" s="7" t="n">
        <v>78</v>
      </c>
      <c r="E903" s="7" t="n">
        <v>76</v>
      </c>
      <c r="F903" s="3" t="n">
        <f aca="false">COUNTIFS($B$2:$B$2705,B903,$C$2:$C$2705,C903)</f>
        <v>1</v>
      </c>
      <c r="G903" s="3" t="n">
        <f aca="false">MIN(INT((MIN(B903,2020)-1900)/10)+1,12)</f>
        <v>6</v>
      </c>
      <c r="H903" s="3" t="n">
        <f aca="false">(MIN(B903,2020)-1900-10*(G903-1))/10</f>
        <v>0.7</v>
      </c>
      <c r="I903" s="20" t="n">
        <f aca="false">EXP(LN(INDEX(Pop_Inputs!$B$2:$N$29,MATCH(C903,Pop_Inputs!$A$2:$A$29,0),G903))*(1-H903)+LN(INDEX(Pop_Inputs!$B$2:$N$29,MATCH(C903,Pop_Inputs!$A$2:$A$29,0),G903+1))*H903)</f>
        <v>1722062.19746653</v>
      </c>
      <c r="J903" s="20" t="n">
        <f aca="false">I903/F903</f>
        <v>1722062.19746653</v>
      </c>
      <c r="K903" s="21" t="n">
        <f aca="false">D903/(D903+E903)</f>
        <v>0.506493506493506</v>
      </c>
      <c r="L903" s="21" t="n">
        <f aca="false">AVERAGEIFS($K$2:$K$2705,$B$2:$B$2705,B903)</f>
        <v>0.499952253628724</v>
      </c>
      <c r="M903" s="21" t="n">
        <f aca="false">K903-L903</f>
        <v>0.00654125286478224</v>
      </c>
      <c r="N903" s="21" t="n">
        <f aca="false">LN(J903)</f>
        <v>14.3590330826361</v>
      </c>
      <c r="O903" s="21" t="n">
        <f aca="false">AVERAGEIFS($N$2:$N$2705,$B$2:$B$2705,B903)</f>
        <v>13.9419435907753</v>
      </c>
      <c r="P903" s="21" t="n">
        <f aca="false">N903-O903</f>
        <v>0.417089491860725</v>
      </c>
      <c r="Q903" s="7" t="n">
        <v>0</v>
      </c>
      <c r="R903" s="3" t="n">
        <f aca="false">IF(AND(Q903=1,B903-_xlfn.MINIFS($B$2:$B$2705,$A$2:$A$2705,A903)&lt;10),1,0)</f>
        <v>0</v>
      </c>
      <c r="S903" s="7" t="n">
        <v>0</v>
      </c>
      <c r="T903" s="3" t="n">
        <f aca="false">_xlfn.MINIFS($B$2:$B$2705,$A$2:$A$2705,A903)</f>
        <v>1901</v>
      </c>
      <c r="U903" s="3" t="n">
        <f aca="false">B903-T903</f>
        <v>56</v>
      </c>
      <c r="V903" s="3" t="str">
        <f aca="false">INDEX(Pop_Inputs!$Q$2:$Q$29,MATCH(C903,Pop_Inputs!$A$2:$A$29,0))</f>
        <v>Midwest</v>
      </c>
      <c r="W903" s="30"/>
      <c r="X903" s="3" t="str">
        <f aca="false">IF(W903="","",LN(W903))</f>
        <v/>
      </c>
      <c r="Y903" s="3" t="str">
        <f aca="false">IF(X903="","",X903-AVERAGEIFS($X$2:$X$2705,$B$2:$B$2705,B903))</f>
        <v/>
      </c>
      <c r="Z903" s="21" t="n">
        <f aca="false">P903</f>
        <v>0.417089491860725</v>
      </c>
      <c r="AA903" s="3" t="n">
        <f aca="false">R903</f>
        <v>0</v>
      </c>
      <c r="AB903" s="21" t="n">
        <f aca="false">P903</f>
        <v>0.417089491860725</v>
      </c>
      <c r="AC903" s="3" t="str">
        <f aca="false">Y903</f>
        <v/>
      </c>
      <c r="AD903" s="3" t="n">
        <f aca="false">R903</f>
        <v>0</v>
      </c>
    </row>
    <row r="904" customFormat="false" ht="15" hidden="false" customHeight="true" outlineLevel="0" collapsed="false">
      <c r="A904" s="7" t="s">
        <v>62</v>
      </c>
      <c r="B904" s="7" t="n">
        <v>1957</v>
      </c>
      <c r="C904" s="7" t="s">
        <v>154</v>
      </c>
      <c r="D904" s="7" t="n">
        <v>84</v>
      </c>
      <c r="E904" s="7" t="n">
        <v>70</v>
      </c>
      <c r="F904" s="3" t="n">
        <f aca="false">COUNTIFS($B$2:$B$2705,B904,$C$2:$C$2705,C904)</f>
        <v>3</v>
      </c>
      <c r="G904" s="3" t="n">
        <f aca="false">MIN(INT((MIN(B904,2020)-1900)/10)+1,12)</f>
        <v>6</v>
      </c>
      <c r="H904" s="3" t="n">
        <f aca="false">(MIN(B904,2020)-1900-10*(G904-1))/10</f>
        <v>0.7</v>
      </c>
      <c r="I904" s="20" t="n">
        <f aca="false">EXP(LN(INDEX(Pop_Inputs!$B$2:$N$29,MATCH(C904,Pop_Inputs!$A$2:$A$29,0),G904))*(1-H904)+LN(INDEX(Pop_Inputs!$B$2:$N$29,MATCH(C904,Pop_Inputs!$A$2:$A$29,0),G904+1))*H904)</f>
        <v>7814814.01284867</v>
      </c>
      <c r="J904" s="20" t="n">
        <f aca="false">I904/F904</f>
        <v>2604938.00428289</v>
      </c>
      <c r="K904" s="21" t="n">
        <f aca="false">D904/(D904+E904)</f>
        <v>0.545454545454545</v>
      </c>
      <c r="L904" s="21" t="n">
        <f aca="false">AVERAGEIFS($K$2:$K$2705,$B$2:$B$2705,B904)</f>
        <v>0.499952253628724</v>
      </c>
      <c r="M904" s="21" t="n">
        <f aca="false">K904-L904</f>
        <v>0.0455022918258212</v>
      </c>
      <c r="N904" s="21" t="n">
        <f aca="false">LN(J904)</f>
        <v>14.7729194341466</v>
      </c>
      <c r="O904" s="21" t="n">
        <f aca="false">AVERAGEIFS($N$2:$N$2705,$B$2:$B$2705,B904)</f>
        <v>13.9419435907753</v>
      </c>
      <c r="P904" s="21" t="n">
        <f aca="false">N904-O904</f>
        <v>0.830975843371295</v>
      </c>
      <c r="Q904" s="7" t="n">
        <v>0</v>
      </c>
      <c r="R904" s="3" t="n">
        <f aca="false">IF(AND(Q904=1,B904-_xlfn.MINIFS($B$2:$B$2705,$A$2:$A$2705,A904)&lt;10),1,0)</f>
        <v>0</v>
      </c>
      <c r="S904" s="7" t="n">
        <v>0</v>
      </c>
      <c r="T904" s="3" t="n">
        <f aca="false">_xlfn.MINIFS($B$2:$B$2705,$A$2:$A$2705,A904)</f>
        <v>1901</v>
      </c>
      <c r="U904" s="3" t="n">
        <f aca="false">B904-T904</f>
        <v>56</v>
      </c>
      <c r="V904" s="3" t="str">
        <f aca="false">INDEX(Pop_Inputs!$Q$2:$Q$29,MATCH(C904,Pop_Inputs!$A$2:$A$29,0))</f>
        <v>Northeast</v>
      </c>
      <c r="W904" s="30"/>
      <c r="X904" s="3" t="str">
        <f aca="false">IF(W904="","",LN(W904))</f>
        <v/>
      </c>
      <c r="Y904" s="3" t="str">
        <f aca="false">IF(X904="","",X904-AVERAGEIFS($X$2:$X$2705,$B$2:$B$2705,B904))</f>
        <v/>
      </c>
      <c r="Z904" s="21" t="n">
        <f aca="false">P904</f>
        <v>0.830975843371295</v>
      </c>
      <c r="AA904" s="3" t="n">
        <f aca="false">R904</f>
        <v>0</v>
      </c>
      <c r="AB904" s="21" t="n">
        <f aca="false">P904</f>
        <v>0.830975843371295</v>
      </c>
      <c r="AC904" s="3" t="str">
        <f aca="false">Y904</f>
        <v/>
      </c>
      <c r="AD904" s="3" t="n">
        <f aca="false">R904</f>
        <v>0</v>
      </c>
    </row>
    <row r="905" customFormat="false" ht="15" hidden="false" customHeight="true" outlineLevel="0" collapsed="false">
      <c r="A905" s="7" t="s">
        <v>68</v>
      </c>
      <c r="B905" s="7" t="n">
        <v>1957</v>
      </c>
      <c r="C905" s="7" t="s">
        <v>160</v>
      </c>
      <c r="D905" s="7" t="n">
        <v>55</v>
      </c>
      <c r="E905" s="7" t="n">
        <v>99</v>
      </c>
      <c r="F905" s="3" t="n">
        <f aca="false">COUNTIFS($B$2:$B$2705,B905,$C$2:$C$2705,C905)</f>
        <v>1</v>
      </c>
      <c r="G905" s="3" t="n">
        <f aca="false">MIN(INT((MIN(B905,2020)-1900)/10)+1,12)</f>
        <v>6</v>
      </c>
      <c r="H905" s="3" t="n">
        <f aca="false">(MIN(B905,2020)-1900-10*(G905-1))/10</f>
        <v>0.7</v>
      </c>
      <c r="I905" s="20" t="n">
        <f aca="false">EXP(LN(INDEX(Pop_Inputs!$B$2:$N$29,MATCH(C905,Pop_Inputs!$A$2:$A$29,0),G905))*(1-H905)+LN(INDEX(Pop_Inputs!$B$2:$N$29,MATCH(C905,Pop_Inputs!$A$2:$A$29,0),G905+1))*H905)</f>
        <v>775227.314696785</v>
      </c>
      <c r="J905" s="20" t="n">
        <f aca="false">I905/F905</f>
        <v>775227.314696785</v>
      </c>
      <c r="K905" s="21" t="n">
        <f aca="false">D905/(D905+E905)</f>
        <v>0.357142857142857</v>
      </c>
      <c r="L905" s="21" t="n">
        <f aca="false">AVERAGEIFS($K$2:$K$2705,$B$2:$B$2705,B905)</f>
        <v>0.499952253628724</v>
      </c>
      <c r="M905" s="21" t="n">
        <f aca="false">K905-L905</f>
        <v>-0.142809396485867</v>
      </c>
      <c r="N905" s="21" t="n">
        <f aca="false">LN(J905)</f>
        <v>13.5609115746149</v>
      </c>
      <c r="O905" s="21" t="n">
        <f aca="false">AVERAGEIFS($N$2:$N$2705,$B$2:$B$2705,B905)</f>
        <v>13.9419435907753</v>
      </c>
      <c r="P905" s="21" t="n">
        <f aca="false">N905-O905</f>
        <v>-0.381032016160443</v>
      </c>
      <c r="Q905" s="7" t="n">
        <v>0</v>
      </c>
      <c r="R905" s="3" t="n">
        <f aca="false">IF(AND(Q905=1,B905-_xlfn.MINIFS($B$2:$B$2705,$A$2:$A$2705,A905)&lt;10),1,0)</f>
        <v>0</v>
      </c>
      <c r="S905" s="7" t="n">
        <v>0</v>
      </c>
      <c r="T905" s="3" t="n">
        <f aca="false">_xlfn.MINIFS($B$2:$B$2705,$A$2:$A$2705,A905)</f>
        <v>1901</v>
      </c>
      <c r="U905" s="3" t="n">
        <f aca="false">B905-T905</f>
        <v>56</v>
      </c>
      <c r="V905" s="3" t="str">
        <f aca="false">INDEX(Pop_Inputs!$Q$2:$Q$29,MATCH(C905,Pop_Inputs!$A$2:$A$29,0))</f>
        <v>South</v>
      </c>
      <c r="W905" s="30"/>
      <c r="X905" s="3" t="str">
        <f aca="false">IF(W905="","",LN(W905))</f>
        <v/>
      </c>
      <c r="Y905" s="3" t="str">
        <f aca="false">IF(X905="","",X905-AVERAGEIFS($X$2:$X$2705,$B$2:$B$2705,B905))</f>
        <v/>
      </c>
      <c r="Z905" s="21" t="n">
        <f aca="false">P905</f>
        <v>-0.381032016160443</v>
      </c>
      <c r="AA905" s="3" t="n">
        <f aca="false">R905</f>
        <v>0</v>
      </c>
      <c r="AB905" s="21" t="n">
        <f aca="false">P905</f>
        <v>-0.381032016160443</v>
      </c>
      <c r="AC905" s="3" t="str">
        <f aca="false">Y905</f>
        <v/>
      </c>
      <c r="AD905" s="3" t="n">
        <f aca="false">R905</f>
        <v>0</v>
      </c>
    </row>
    <row r="906" customFormat="false" ht="15" hidden="false" customHeight="true" outlineLevel="0" collapsed="false">
      <c r="A906" s="7" t="s">
        <v>70</v>
      </c>
      <c r="B906" s="7" t="n">
        <v>1957</v>
      </c>
      <c r="C906" s="7" t="s">
        <v>154</v>
      </c>
      <c r="D906" s="7" t="n">
        <v>98</v>
      </c>
      <c r="E906" s="7" t="n">
        <v>56</v>
      </c>
      <c r="F906" s="3" t="n">
        <f aca="false">COUNTIFS($B$2:$B$2705,B906,$C$2:$C$2705,C906)</f>
        <v>3</v>
      </c>
      <c r="G906" s="3" t="n">
        <f aca="false">MIN(INT((MIN(B906,2020)-1900)/10)+1,12)</f>
        <v>6</v>
      </c>
      <c r="H906" s="3" t="n">
        <f aca="false">(MIN(B906,2020)-1900-10*(G906-1))/10</f>
        <v>0.7</v>
      </c>
      <c r="I906" s="20" t="n">
        <f aca="false">EXP(LN(INDEX(Pop_Inputs!$B$2:$N$29,MATCH(C906,Pop_Inputs!$A$2:$A$29,0),G906))*(1-H906)+LN(INDEX(Pop_Inputs!$B$2:$N$29,MATCH(C906,Pop_Inputs!$A$2:$A$29,0),G906+1))*H906)</f>
        <v>7814814.01284867</v>
      </c>
      <c r="J906" s="20" t="n">
        <f aca="false">I906/F906</f>
        <v>2604938.00428289</v>
      </c>
      <c r="K906" s="21" t="n">
        <f aca="false">D906/(D906+E906)</f>
        <v>0.636363636363636</v>
      </c>
      <c r="L906" s="21" t="n">
        <f aca="false">AVERAGEIFS($K$2:$K$2705,$B$2:$B$2705,B906)</f>
        <v>0.499952253628724</v>
      </c>
      <c r="M906" s="21" t="n">
        <f aca="false">K906-L906</f>
        <v>0.136411382734912</v>
      </c>
      <c r="N906" s="21" t="n">
        <f aca="false">LN(J906)</f>
        <v>14.7729194341466</v>
      </c>
      <c r="O906" s="21" t="n">
        <f aca="false">AVERAGEIFS($N$2:$N$2705,$B$2:$B$2705,B906)</f>
        <v>13.9419435907753</v>
      </c>
      <c r="P906" s="21" t="n">
        <f aca="false">N906-O906</f>
        <v>0.830975843371295</v>
      </c>
      <c r="Q906" s="7" t="n">
        <v>0</v>
      </c>
      <c r="R906" s="3" t="n">
        <f aca="false">IF(AND(Q906=1,B906-_xlfn.MINIFS($B$2:$B$2705,$A$2:$A$2705,A906)&lt;10),1,0)</f>
        <v>0</v>
      </c>
      <c r="S906" s="7" t="n">
        <v>1</v>
      </c>
      <c r="T906" s="3" t="n">
        <f aca="false">_xlfn.MINIFS($B$2:$B$2705,$A$2:$A$2705,A906)</f>
        <v>1903</v>
      </c>
      <c r="U906" s="3" t="n">
        <f aca="false">B906-T906</f>
        <v>54</v>
      </c>
      <c r="V906" s="3" t="str">
        <f aca="false">INDEX(Pop_Inputs!$Q$2:$Q$29,MATCH(C906,Pop_Inputs!$A$2:$A$29,0))</f>
        <v>Northeast</v>
      </c>
      <c r="W906" s="30"/>
      <c r="X906" s="3" t="str">
        <f aca="false">IF(W906="","",LN(W906))</f>
        <v/>
      </c>
      <c r="Y906" s="3" t="str">
        <f aca="false">IF(X906="","",X906-AVERAGEIFS($X$2:$X$2705,$B$2:$B$2705,B906))</f>
        <v/>
      </c>
      <c r="Z906" s="21" t="n">
        <f aca="false">P906</f>
        <v>0.830975843371295</v>
      </c>
      <c r="AA906" s="3" t="n">
        <f aca="false">R906</f>
        <v>0</v>
      </c>
      <c r="AB906" s="21" t="n">
        <f aca="false">P906</f>
        <v>0.830975843371295</v>
      </c>
      <c r="AC906" s="3" t="str">
        <f aca="false">Y906</f>
        <v/>
      </c>
      <c r="AD906" s="3" t="n">
        <f aca="false">R906</f>
        <v>0</v>
      </c>
    </row>
    <row r="907" customFormat="false" ht="15" hidden="false" customHeight="true" outlineLevel="0" collapsed="false">
      <c r="A907" s="7" t="s">
        <v>69</v>
      </c>
      <c r="B907" s="7" t="n">
        <v>1957</v>
      </c>
      <c r="C907" s="7" t="s">
        <v>157</v>
      </c>
      <c r="D907" s="7" t="n">
        <v>59</v>
      </c>
      <c r="E907" s="7" t="n">
        <v>94</v>
      </c>
      <c r="F907" s="3" t="n">
        <f aca="false">COUNTIFS($B$2:$B$2705,B907,$C$2:$C$2705,C907)</f>
        <v>1</v>
      </c>
      <c r="G907" s="3" t="n">
        <f aca="false">MIN(INT((MIN(B907,2020)-1900)/10)+1,12)</f>
        <v>6</v>
      </c>
      <c r="H907" s="3" t="n">
        <f aca="false">(MIN(B907,2020)-1900-10*(G907-1))/10</f>
        <v>0.7</v>
      </c>
      <c r="I907" s="20" t="n">
        <f aca="false">EXP(LN(INDEX(Pop_Inputs!$B$2:$N$29,MATCH(C907,Pop_Inputs!$A$2:$A$29,0),G907))*(1-H907)+LN(INDEX(Pop_Inputs!$B$2:$N$29,MATCH(C907,Pop_Inputs!$A$2:$A$29,0),G907+1))*H907)</f>
        <v>469783.054903952</v>
      </c>
      <c r="J907" s="20" t="n">
        <f aca="false">I907/F907</f>
        <v>469783.054903952</v>
      </c>
      <c r="K907" s="21" t="n">
        <f aca="false">D907/(D907+E907)</f>
        <v>0.38562091503268</v>
      </c>
      <c r="L907" s="21" t="n">
        <f aca="false">AVERAGEIFS($K$2:$K$2705,$B$2:$B$2705,B907)</f>
        <v>0.499952253628724</v>
      </c>
      <c r="M907" s="21" t="n">
        <f aca="false">K907-L907</f>
        <v>-0.114331338596044</v>
      </c>
      <c r="N907" s="21" t="n">
        <f aca="false">LN(J907)</f>
        <v>13.0600262818122</v>
      </c>
      <c r="O907" s="21" t="n">
        <f aca="false">AVERAGEIFS($N$2:$N$2705,$B$2:$B$2705,B907)</f>
        <v>13.9419435907753</v>
      </c>
      <c r="P907" s="21" t="n">
        <f aca="false">N907-O907</f>
        <v>-0.881917308963134</v>
      </c>
      <c r="Q907" s="7" t="n">
        <v>0</v>
      </c>
      <c r="R907" s="3" t="n">
        <f aca="false">IF(AND(Q907=1,B907-_xlfn.MINIFS($B$2:$B$2705,$A$2:$A$2705,A907)&lt;10),1,0)</f>
        <v>0</v>
      </c>
      <c r="S907" s="7" t="n">
        <v>0</v>
      </c>
      <c r="T907" s="3" t="n">
        <f aca="false">_xlfn.MINIFS($B$2:$B$2705,$A$2:$A$2705,A907)</f>
        <v>1901</v>
      </c>
      <c r="U907" s="3" t="n">
        <f aca="false">B907-T907</f>
        <v>56</v>
      </c>
      <c r="V907" s="3" t="str">
        <f aca="false">INDEX(Pop_Inputs!$Q$2:$Q$29,MATCH(C907,Pop_Inputs!$A$2:$A$29,0))</f>
        <v>Midwest</v>
      </c>
      <c r="W907" s="30"/>
      <c r="X907" s="3" t="str">
        <f aca="false">IF(W907="","",LN(W907))</f>
        <v/>
      </c>
      <c r="Y907" s="3" t="str">
        <f aca="false">IF(X907="","",X907-AVERAGEIFS($X$2:$X$2705,$B$2:$B$2705,B907))</f>
        <v/>
      </c>
      <c r="Z907" s="21" t="n">
        <f aca="false">P907</f>
        <v>-0.881917308963134</v>
      </c>
      <c r="AA907" s="3" t="n">
        <f aca="false">R907</f>
        <v>0</v>
      </c>
      <c r="AB907" s="21" t="n">
        <f aca="false">P907</f>
        <v>-0.881917308963134</v>
      </c>
      <c r="AC907" s="3" t="str">
        <f aca="false">Y907</f>
        <v/>
      </c>
      <c r="AD907" s="3" t="n">
        <f aca="false">R907</f>
        <v>0</v>
      </c>
    </row>
    <row r="908" customFormat="false" ht="15" hidden="false" customHeight="true" outlineLevel="0" collapsed="false">
      <c r="A908" s="7" t="s">
        <v>60</v>
      </c>
      <c r="B908" s="7" t="n">
        <v>1957</v>
      </c>
      <c r="C908" s="7" t="s">
        <v>146</v>
      </c>
      <c r="D908" s="7" t="n">
        <v>77</v>
      </c>
      <c r="E908" s="7" t="n">
        <v>77</v>
      </c>
      <c r="F908" s="3" t="n">
        <f aca="false">COUNTIFS($B$2:$B$2705,B908,$C$2:$C$2705,C908)</f>
        <v>1</v>
      </c>
      <c r="G908" s="3" t="n">
        <f aca="false">MIN(INT((MIN(B908,2020)-1900)/10)+1,12)</f>
        <v>6</v>
      </c>
      <c r="H908" s="3" t="n">
        <f aca="false">(MIN(B908,2020)-1900-10*(G908-1))/10</f>
        <v>0.7</v>
      </c>
      <c r="I908" s="20" t="n">
        <f aca="false">EXP(LN(INDEX(Pop_Inputs!$B$2:$N$29,MATCH(C908,Pop_Inputs!$A$2:$A$29,0),G908))*(1-H908)+LN(INDEX(Pop_Inputs!$B$2:$N$29,MATCH(C908,Pop_Inputs!$A$2:$A$29,0),G908+1))*H908)</f>
        <v>2022994.37056134</v>
      </c>
      <c r="J908" s="20" t="n">
        <f aca="false">I908/F908</f>
        <v>2022994.37056134</v>
      </c>
      <c r="K908" s="21" t="n">
        <f aca="false">D908/(D908+E908)</f>
        <v>0.5</v>
      </c>
      <c r="L908" s="21" t="n">
        <f aca="false">AVERAGEIFS($K$2:$K$2705,$B$2:$B$2705,B908)</f>
        <v>0.499952253628724</v>
      </c>
      <c r="M908" s="21" t="n">
        <f aca="false">K908-L908</f>
        <v>4.77463712758031E-005</v>
      </c>
      <c r="N908" s="21" t="n">
        <f aca="false">LN(J908)</f>
        <v>14.5200893334279</v>
      </c>
      <c r="O908" s="21" t="n">
        <f aca="false">AVERAGEIFS($N$2:$N$2705,$B$2:$B$2705,B908)</f>
        <v>13.9419435907753</v>
      </c>
      <c r="P908" s="21" t="n">
        <f aca="false">N908-O908</f>
        <v>0.578145742652596</v>
      </c>
      <c r="Q908" s="7" t="n">
        <v>0</v>
      </c>
      <c r="R908" s="3" t="n">
        <f aca="false">IF(AND(Q908=1,B908-_xlfn.MINIFS($B$2:$B$2705,$A$2:$A$2705,A908)&lt;10),1,0)</f>
        <v>0</v>
      </c>
      <c r="S908" s="7" t="n">
        <v>0</v>
      </c>
      <c r="T908" s="3" t="n">
        <f aca="false">_xlfn.MINIFS($B$2:$B$2705,$A$2:$A$2705,A908)</f>
        <v>1901</v>
      </c>
      <c r="U908" s="3" t="n">
        <f aca="false">B908-T908</f>
        <v>56</v>
      </c>
      <c r="V908" s="3" t="str">
        <f aca="false">INDEX(Pop_Inputs!$Q$2:$Q$29,MATCH(C908,Pop_Inputs!$A$2:$A$29,0))</f>
        <v>Northeast</v>
      </c>
      <c r="W908" s="30"/>
      <c r="X908" s="3" t="str">
        <f aca="false">IF(W908="","",LN(W908))</f>
        <v/>
      </c>
      <c r="Y908" s="3" t="str">
        <f aca="false">IF(X908="","",X908-AVERAGEIFS($X$2:$X$2705,$B$2:$B$2705,B908))</f>
        <v/>
      </c>
      <c r="Z908" s="21" t="n">
        <f aca="false">P908</f>
        <v>0.578145742652596</v>
      </c>
      <c r="AA908" s="3" t="n">
        <f aca="false">R908</f>
        <v>0</v>
      </c>
      <c r="AB908" s="21" t="n">
        <f aca="false">P908</f>
        <v>0.578145742652596</v>
      </c>
      <c r="AC908" s="3" t="str">
        <f aca="false">Y908</f>
        <v/>
      </c>
      <c r="AD908" s="3" t="n">
        <f aca="false">R908</f>
        <v>0</v>
      </c>
    </row>
    <row r="909" customFormat="false" ht="15" hidden="false" customHeight="true" outlineLevel="0" collapsed="false">
      <c r="A909" s="7" t="s">
        <v>58</v>
      </c>
      <c r="B909" s="7" t="n">
        <v>1957</v>
      </c>
      <c r="C909" s="7" t="s">
        <v>144</v>
      </c>
      <c r="D909" s="7" t="n">
        <v>62</v>
      </c>
      <c r="E909" s="7" t="n">
        <v>92</v>
      </c>
      <c r="F909" s="3" t="n">
        <f aca="false">COUNTIFS($B$2:$B$2705,B909,$C$2:$C$2705,C909)</f>
        <v>1</v>
      </c>
      <c r="G909" s="3" t="n">
        <f aca="false">MIN(INT((MIN(B909,2020)-1900)/10)+1,12)</f>
        <v>6</v>
      </c>
      <c r="H909" s="3" t="n">
        <f aca="false">(MIN(B909,2020)-1900-10*(G909-1))/10</f>
        <v>0.7</v>
      </c>
      <c r="I909" s="20" t="n">
        <f aca="false">EXP(LN(INDEX(Pop_Inputs!$B$2:$N$29,MATCH(C909,Pop_Inputs!$A$2:$A$29,0),G909))*(1-H909)+LN(INDEX(Pop_Inputs!$B$2:$N$29,MATCH(C909,Pop_Inputs!$A$2:$A$29,0),G909+1))*H909)</f>
        <v>625219.009220165</v>
      </c>
      <c r="J909" s="20" t="n">
        <f aca="false">I909/F909</f>
        <v>625219.009220165</v>
      </c>
      <c r="K909" s="21" t="n">
        <f aca="false">D909/(D909+E909)</f>
        <v>0.402597402597403</v>
      </c>
      <c r="L909" s="21" t="n">
        <f aca="false">AVERAGEIFS($K$2:$K$2705,$B$2:$B$2705,B909)</f>
        <v>0.499952253628724</v>
      </c>
      <c r="M909" s="21" t="n">
        <f aca="false">K909-L909</f>
        <v>-0.0973548510313216</v>
      </c>
      <c r="N909" s="21" t="n">
        <f aca="false">LN(J909)</f>
        <v>13.3458572820899</v>
      </c>
      <c r="O909" s="21" t="n">
        <f aca="false">AVERAGEIFS($N$2:$N$2705,$B$2:$B$2705,B909)</f>
        <v>13.9419435907753</v>
      </c>
      <c r="P909" s="21" t="n">
        <f aca="false">N909-O909</f>
        <v>-0.59608630868545</v>
      </c>
      <c r="Q909" s="7" t="n">
        <v>0</v>
      </c>
      <c r="R909" s="3" t="n">
        <f aca="false">IF(AND(Q909=1,B909-_xlfn.MINIFS($B$2:$B$2705,$A$2:$A$2705,A909)&lt;10),1,0)</f>
        <v>0</v>
      </c>
      <c r="S909" s="7" t="n">
        <v>0</v>
      </c>
      <c r="T909" s="3" t="n">
        <f aca="false">_xlfn.MINIFS($B$2:$B$2705,$A$2:$A$2705,A909)</f>
        <v>1901</v>
      </c>
      <c r="U909" s="3" t="n">
        <f aca="false">B909-T909</f>
        <v>56</v>
      </c>
      <c r="V909" s="3" t="str">
        <f aca="false">INDEX(Pop_Inputs!$Q$2:$Q$29,MATCH(C909,Pop_Inputs!$A$2:$A$29,0))</f>
        <v>Northeast</v>
      </c>
      <c r="W909" s="30"/>
      <c r="X909" s="3" t="str">
        <f aca="false">IF(W909="","",LN(W909))</f>
        <v/>
      </c>
      <c r="Y909" s="3" t="str">
        <f aca="false">IF(X909="","",X909-AVERAGEIFS($X$2:$X$2705,$B$2:$B$2705,B909))</f>
        <v/>
      </c>
      <c r="Z909" s="21" t="n">
        <f aca="false">P909</f>
        <v>-0.59608630868545</v>
      </c>
      <c r="AA909" s="3" t="n">
        <f aca="false">R909</f>
        <v>0</v>
      </c>
      <c r="AB909" s="21" t="n">
        <f aca="false">P909</f>
        <v>-0.59608630868545</v>
      </c>
      <c r="AC909" s="3" t="str">
        <f aca="false">Y909</f>
        <v/>
      </c>
      <c r="AD909" s="3" t="n">
        <f aca="false">R909</f>
        <v>0</v>
      </c>
    </row>
    <row r="910" customFormat="false" ht="15" hidden="false" customHeight="true" outlineLevel="0" collapsed="false">
      <c r="A910" s="7" t="s">
        <v>61</v>
      </c>
      <c r="B910" s="7" t="n">
        <v>1957</v>
      </c>
      <c r="C910" s="7" t="s">
        <v>154</v>
      </c>
      <c r="D910" s="7" t="n">
        <v>69</v>
      </c>
      <c r="E910" s="7" t="n">
        <v>85</v>
      </c>
      <c r="F910" s="3" t="n">
        <f aca="false">COUNTIFS($B$2:$B$2705,B910,$C$2:$C$2705,C910)</f>
        <v>3</v>
      </c>
      <c r="G910" s="3" t="n">
        <f aca="false">MIN(INT((MIN(B910,2020)-1900)/10)+1,12)</f>
        <v>6</v>
      </c>
      <c r="H910" s="3" t="n">
        <f aca="false">(MIN(B910,2020)-1900-10*(G910-1))/10</f>
        <v>0.7</v>
      </c>
      <c r="I910" s="20" t="n">
        <f aca="false">EXP(LN(INDEX(Pop_Inputs!$B$2:$N$29,MATCH(C910,Pop_Inputs!$A$2:$A$29,0),G910))*(1-H910)+LN(INDEX(Pop_Inputs!$B$2:$N$29,MATCH(C910,Pop_Inputs!$A$2:$A$29,0),G910+1))*H910)</f>
        <v>7814814.01284867</v>
      </c>
      <c r="J910" s="20" t="n">
        <f aca="false">I910/F910</f>
        <v>2604938.00428289</v>
      </c>
      <c r="K910" s="21" t="n">
        <f aca="false">D910/(D910+E910)</f>
        <v>0.448051948051948</v>
      </c>
      <c r="L910" s="21" t="n">
        <f aca="false">AVERAGEIFS($K$2:$K$2705,$B$2:$B$2705,B910)</f>
        <v>0.499952253628724</v>
      </c>
      <c r="M910" s="21" t="n">
        <f aca="false">K910-L910</f>
        <v>-0.0519003055767762</v>
      </c>
      <c r="N910" s="21" t="n">
        <f aca="false">LN(J910)</f>
        <v>14.7729194341466</v>
      </c>
      <c r="O910" s="21" t="n">
        <f aca="false">AVERAGEIFS($N$2:$N$2705,$B$2:$B$2705,B910)</f>
        <v>13.9419435907753</v>
      </c>
      <c r="P910" s="21" t="n">
        <f aca="false">N910-O910</f>
        <v>0.830975843371295</v>
      </c>
      <c r="Q910" s="7" t="n">
        <v>0</v>
      </c>
      <c r="R910" s="3" t="n">
        <f aca="false">IF(AND(Q910=1,B910-_xlfn.MINIFS($B$2:$B$2705,$A$2:$A$2705,A910)&lt;10),1,0)</f>
        <v>0</v>
      </c>
      <c r="S910" s="7" t="n">
        <v>0</v>
      </c>
      <c r="T910" s="3" t="n">
        <f aca="false">_xlfn.MINIFS($B$2:$B$2705,$A$2:$A$2705,A910)</f>
        <v>1901</v>
      </c>
      <c r="U910" s="3" t="n">
        <f aca="false">B910-T910</f>
        <v>56</v>
      </c>
      <c r="V910" s="3" t="str">
        <f aca="false">INDEX(Pop_Inputs!$Q$2:$Q$29,MATCH(C910,Pop_Inputs!$A$2:$A$29,0))</f>
        <v>Northeast</v>
      </c>
      <c r="W910" s="30"/>
      <c r="X910" s="3" t="str">
        <f aca="false">IF(W910="","",LN(W910))</f>
        <v/>
      </c>
      <c r="Y910" s="3" t="str">
        <f aca="false">IF(X910="","",X910-AVERAGEIFS($X$2:$X$2705,$B$2:$B$2705,B910))</f>
        <v/>
      </c>
      <c r="Z910" s="21" t="n">
        <f aca="false">P910</f>
        <v>0.830975843371295</v>
      </c>
      <c r="AA910" s="3" t="n">
        <f aca="false">R910</f>
        <v>0</v>
      </c>
      <c r="AB910" s="21" t="n">
        <f aca="false">P910</f>
        <v>0.830975843371295</v>
      </c>
      <c r="AC910" s="3" t="str">
        <f aca="false">Y910</f>
        <v/>
      </c>
      <c r="AD910" s="3" t="n">
        <f aca="false">R910</f>
        <v>0</v>
      </c>
    </row>
    <row r="911" customFormat="false" ht="15" hidden="false" customHeight="true" outlineLevel="0" collapsed="false">
      <c r="A911" s="7" t="s">
        <v>59</v>
      </c>
      <c r="B911" s="7" t="n">
        <v>1957</v>
      </c>
      <c r="C911" s="7" t="s">
        <v>145</v>
      </c>
      <c r="D911" s="7" t="n">
        <v>87</v>
      </c>
      <c r="E911" s="7" t="n">
        <v>67</v>
      </c>
      <c r="F911" s="3" t="n">
        <f aca="false">COUNTIFS($B$2:$B$2705,B911,$C$2:$C$2705,C911)</f>
        <v>1</v>
      </c>
      <c r="G911" s="3" t="n">
        <f aca="false">MIN(INT((MIN(B911,2020)-1900)/10)+1,12)</f>
        <v>6</v>
      </c>
      <c r="H911" s="3" t="n">
        <f aca="false">(MIN(B911,2020)-1900-10*(G911-1))/10</f>
        <v>0.7</v>
      </c>
      <c r="I911" s="20" t="n">
        <f aca="false">EXP(LN(INDEX(Pop_Inputs!$B$2:$N$29,MATCH(C911,Pop_Inputs!$A$2:$A$29,0),G911))*(1-H911)+LN(INDEX(Pop_Inputs!$B$2:$N$29,MATCH(C911,Pop_Inputs!$A$2:$A$29,0),G911+1))*H911)</f>
        <v>780578.620632465</v>
      </c>
      <c r="J911" s="20" t="n">
        <f aca="false">I911/F911</f>
        <v>780578.620632465</v>
      </c>
      <c r="K911" s="21" t="n">
        <f aca="false">D911/(D911+E911)</f>
        <v>0.564935064935065</v>
      </c>
      <c r="L911" s="21" t="n">
        <f aca="false">AVERAGEIFS($K$2:$K$2705,$B$2:$B$2705,B911)</f>
        <v>0.499952253628724</v>
      </c>
      <c r="M911" s="21" t="n">
        <f aca="false">K911-L911</f>
        <v>0.0649828113063408</v>
      </c>
      <c r="N911" s="21" t="n">
        <f aca="false">LN(J911)</f>
        <v>13.567790744976</v>
      </c>
      <c r="O911" s="21" t="n">
        <f aca="false">AVERAGEIFS($N$2:$N$2705,$B$2:$B$2705,B911)</f>
        <v>13.9419435907753</v>
      </c>
      <c r="P911" s="21" t="n">
        <f aca="false">N911-O911</f>
        <v>-0.374152845799333</v>
      </c>
      <c r="Q911" s="7" t="n">
        <v>0</v>
      </c>
      <c r="R911" s="3" t="n">
        <f aca="false">IF(AND(Q911=1,B911-_xlfn.MINIFS($B$2:$B$2705,$A$2:$A$2705,A911)&lt;10),1,0)</f>
        <v>0</v>
      </c>
      <c r="S911" s="7" t="n">
        <v>0</v>
      </c>
      <c r="T911" s="3" t="n">
        <f aca="false">_xlfn.MINIFS($B$2:$B$2705,$A$2:$A$2705,A911)</f>
        <v>1901</v>
      </c>
      <c r="U911" s="3" t="n">
        <f aca="false">B911-T911</f>
        <v>56</v>
      </c>
      <c r="V911" s="3" t="str">
        <f aca="false">INDEX(Pop_Inputs!$Q$2:$Q$29,MATCH(C911,Pop_Inputs!$A$2:$A$29,0))</f>
        <v>Midwest</v>
      </c>
      <c r="W911" s="30"/>
      <c r="X911" s="3" t="str">
        <f aca="false">IF(W911="","",LN(W911))</f>
        <v/>
      </c>
      <c r="Y911" s="3" t="str">
        <f aca="false">IF(X911="","",X911-AVERAGEIFS($X$2:$X$2705,$B$2:$B$2705,B911))</f>
        <v/>
      </c>
      <c r="Z911" s="21" t="n">
        <f aca="false">P911</f>
        <v>-0.374152845799333</v>
      </c>
      <c r="AA911" s="3" t="n">
        <f aca="false">R911</f>
        <v>0</v>
      </c>
      <c r="AB911" s="21" t="n">
        <f aca="false">P911</f>
        <v>-0.374152845799333</v>
      </c>
      <c r="AC911" s="3" t="str">
        <f aca="false">Y911</f>
        <v/>
      </c>
      <c r="AD911" s="3" t="n">
        <f aca="false">R911</f>
        <v>0</v>
      </c>
    </row>
    <row r="912" customFormat="false" ht="15" hidden="false" customHeight="true" outlineLevel="0" collapsed="false">
      <c r="A912" s="7" t="s">
        <v>54</v>
      </c>
      <c r="B912" s="7" t="n">
        <v>1958</v>
      </c>
      <c r="C912" s="7" t="s">
        <v>158</v>
      </c>
      <c r="D912" s="7" t="n">
        <v>92</v>
      </c>
      <c r="E912" s="7" t="n">
        <v>62</v>
      </c>
      <c r="F912" s="3" t="n">
        <f aca="false">COUNTIFS($B$2:$B$2705,B912,$C$2:$C$2705,C912)</f>
        <v>1</v>
      </c>
      <c r="G912" s="3" t="n">
        <f aca="false">MIN(INT((MIN(B912,2020)-1900)/10)+1,12)</f>
        <v>6</v>
      </c>
      <c r="H912" s="3" t="n">
        <f aca="false">(MIN(B912,2020)-1900-10*(G912-1))/10</f>
        <v>0.8</v>
      </c>
      <c r="I912" s="20" t="n">
        <f aca="false">EXP(LN(INDEX(Pop_Inputs!$B$2:$N$29,MATCH(C912,Pop_Inputs!$A$2:$A$29,0),G912))*(1-H912)+LN(INDEX(Pop_Inputs!$B$2:$N$29,MATCH(C912,Pop_Inputs!$A$2:$A$29,0),G912+1))*H912)</f>
        <v>719263.082634623</v>
      </c>
      <c r="J912" s="20" t="n">
        <f aca="false">I912/F912</f>
        <v>719263.082634623</v>
      </c>
      <c r="K912" s="21" t="n">
        <f aca="false">D912/(D912+E912)</f>
        <v>0.597402597402597</v>
      </c>
      <c r="L912" s="21" t="n">
        <f aca="false">AVERAGEIFS($K$2:$K$2705,$B$2:$B$2705,B912)</f>
        <v>0.499994694847636</v>
      </c>
      <c r="M912" s="21" t="n">
        <f aca="false">K912-L912</f>
        <v>0.0974079025549614</v>
      </c>
      <c r="N912" s="21" t="n">
        <f aca="false">LN(J912)</f>
        <v>13.4859824705214</v>
      </c>
      <c r="O912" s="21" t="n">
        <f aca="false">AVERAGEIFS($N$2:$N$2705,$B$2:$B$2705,B912)</f>
        <v>13.9235265183971</v>
      </c>
      <c r="P912" s="21" t="n">
        <f aca="false">N912-O912</f>
        <v>-0.437544047875676</v>
      </c>
      <c r="Q912" s="7" t="n">
        <v>0</v>
      </c>
      <c r="R912" s="3" t="n">
        <f aca="false">IF(AND(Q912=1,B912-_xlfn.MINIFS($B$2:$B$2705,$A$2:$A$2705,A912)&lt;10),1,0)</f>
        <v>0</v>
      </c>
      <c r="S912" s="7" t="n">
        <v>0</v>
      </c>
      <c r="T912" s="3" t="n">
        <f aca="false">_xlfn.MINIFS($B$2:$B$2705,$A$2:$A$2705,A912)</f>
        <v>1901</v>
      </c>
      <c r="U912" s="3" t="n">
        <f aca="false">B912-T912</f>
        <v>57</v>
      </c>
      <c r="V912" s="3" t="str">
        <f aca="false">INDEX(Pop_Inputs!$Q$2:$Q$29,MATCH(C912,Pop_Inputs!$A$2:$A$29,0))</f>
        <v>Midwest</v>
      </c>
      <c r="W912" s="30"/>
      <c r="X912" s="3" t="str">
        <f aca="false">IF(W912="","",LN(W912))</f>
        <v/>
      </c>
      <c r="Y912" s="3" t="str">
        <f aca="false">IF(X912="","",X912-AVERAGEIFS($X$2:$X$2705,$B$2:$B$2705,B912))</f>
        <v/>
      </c>
      <c r="Z912" s="21" t="n">
        <f aca="false">P912</f>
        <v>-0.437544047875676</v>
      </c>
      <c r="AA912" s="3" t="n">
        <f aca="false">R912</f>
        <v>0</v>
      </c>
      <c r="AB912" s="21" t="n">
        <f aca="false">P912</f>
        <v>-0.437544047875676</v>
      </c>
      <c r="AC912" s="3" t="str">
        <f aca="false">Y912</f>
        <v/>
      </c>
      <c r="AD912" s="3" t="n">
        <f aca="false">R912</f>
        <v>0</v>
      </c>
    </row>
    <row r="913" customFormat="false" ht="15" hidden="false" customHeight="true" outlineLevel="0" collapsed="false">
      <c r="A913" s="7" t="s">
        <v>63</v>
      </c>
      <c r="B913" s="7" t="n">
        <v>1958</v>
      </c>
      <c r="C913" s="7" t="s">
        <v>149</v>
      </c>
      <c r="D913" s="7" t="n">
        <v>74</v>
      </c>
      <c r="E913" s="7" t="n">
        <v>79</v>
      </c>
      <c r="F913" s="3" t="n">
        <f aca="false">COUNTIFS($B$2:$B$2705,B913,$C$2:$C$2705,C913)</f>
        <v>1</v>
      </c>
      <c r="G913" s="3" t="n">
        <f aca="false">MIN(INT((MIN(B913,2020)-1900)/10)+1,12)</f>
        <v>6</v>
      </c>
      <c r="H913" s="3" t="n">
        <f aca="false">(MIN(B913,2020)-1900-10*(G913-1))/10</f>
        <v>0.8</v>
      </c>
      <c r="I913" s="20" t="n">
        <f aca="false">EXP(LN(INDEX(Pop_Inputs!$B$2:$N$29,MATCH(C913,Pop_Inputs!$A$2:$A$29,0),G913))*(1-H913)+LN(INDEX(Pop_Inputs!$B$2:$N$29,MATCH(C913,Pop_Inputs!$A$2:$A$29,0),G913+1))*H913)</f>
        <v>941151.141055376</v>
      </c>
      <c r="J913" s="20" t="n">
        <f aca="false">I913/F913</f>
        <v>941151.141055376</v>
      </c>
      <c r="K913" s="21" t="n">
        <f aca="false">D913/(D913+E913)</f>
        <v>0.483660130718954</v>
      </c>
      <c r="L913" s="21" t="n">
        <f aca="false">AVERAGEIFS($K$2:$K$2705,$B$2:$B$2705,B913)</f>
        <v>0.499994694847636</v>
      </c>
      <c r="M913" s="21" t="n">
        <f aca="false">K913-L913</f>
        <v>-0.0163345641286818</v>
      </c>
      <c r="N913" s="21" t="n">
        <f aca="false">LN(J913)</f>
        <v>13.754859023157</v>
      </c>
      <c r="O913" s="21" t="n">
        <f aca="false">AVERAGEIFS($N$2:$N$2705,$B$2:$B$2705,B913)</f>
        <v>13.9235265183971</v>
      </c>
      <c r="P913" s="21" t="n">
        <f aca="false">N913-O913</f>
        <v>-0.168667495240047</v>
      </c>
      <c r="Q913" s="7" t="n">
        <v>0</v>
      </c>
      <c r="R913" s="3" t="n">
        <f aca="false">IF(AND(Q913=1,B913-_xlfn.MINIFS($B$2:$B$2705,$A$2:$A$2705,A913)&lt;10),1,0)</f>
        <v>0</v>
      </c>
      <c r="S913" s="7" t="n">
        <v>0</v>
      </c>
      <c r="T913" s="3" t="n">
        <f aca="false">_xlfn.MINIFS($B$2:$B$2705,$A$2:$A$2705,A913)</f>
        <v>1901</v>
      </c>
      <c r="U913" s="3" t="n">
        <f aca="false">B913-T913</f>
        <v>57</v>
      </c>
      <c r="V913" s="3" t="str">
        <f aca="false">INDEX(Pop_Inputs!$Q$2:$Q$29,MATCH(C913,Pop_Inputs!$A$2:$A$29,0))</f>
        <v>South</v>
      </c>
      <c r="W913" s="30"/>
      <c r="X913" s="3" t="str">
        <f aca="false">IF(W913="","",LN(W913))</f>
        <v/>
      </c>
      <c r="Y913" s="3" t="str">
        <f aca="false">IF(X913="","",X913-AVERAGEIFS($X$2:$X$2705,$B$2:$B$2705,B913))</f>
        <v/>
      </c>
      <c r="Z913" s="21" t="n">
        <f aca="false">P913</f>
        <v>-0.168667495240047</v>
      </c>
      <c r="AA913" s="3" t="n">
        <f aca="false">R913</f>
        <v>0</v>
      </c>
      <c r="AB913" s="21" t="n">
        <f aca="false">P913</f>
        <v>-0.168667495240047</v>
      </c>
      <c r="AC913" s="3" t="str">
        <f aca="false">Y913</f>
        <v/>
      </c>
      <c r="AD913" s="3" t="n">
        <f aca="false">R913</f>
        <v>0</v>
      </c>
    </row>
    <row r="914" customFormat="false" ht="15" hidden="false" customHeight="true" outlineLevel="0" collapsed="false">
      <c r="A914" s="7" t="s">
        <v>64</v>
      </c>
      <c r="B914" s="7" t="n">
        <v>1958</v>
      </c>
      <c r="C914" s="7" t="s">
        <v>150</v>
      </c>
      <c r="D914" s="7" t="n">
        <v>79</v>
      </c>
      <c r="E914" s="7" t="n">
        <v>75</v>
      </c>
      <c r="F914" s="3" t="n">
        <f aca="false">COUNTIFS($B$2:$B$2705,B914,$C$2:$C$2705,C914)</f>
        <v>1</v>
      </c>
      <c r="G914" s="3" t="n">
        <f aca="false">MIN(INT((MIN(B914,2020)-1900)/10)+1,12)</f>
        <v>6</v>
      </c>
      <c r="H914" s="3" t="n">
        <f aca="false">(MIN(B914,2020)-1900-10*(G914-1))/10</f>
        <v>0.8</v>
      </c>
      <c r="I914" s="20" t="n">
        <f aca="false">EXP(LN(INDEX(Pop_Inputs!$B$2:$N$29,MATCH(C914,Pop_Inputs!$A$2:$A$29,0),G914))*(1-H914)+LN(INDEX(Pop_Inputs!$B$2:$N$29,MATCH(C914,Pop_Inputs!$A$2:$A$29,0),G914+1))*H914)</f>
        <v>716900.765529366</v>
      </c>
      <c r="J914" s="20" t="n">
        <f aca="false">I914/F914</f>
        <v>716900.765529366</v>
      </c>
      <c r="K914" s="21" t="n">
        <f aca="false">D914/(D914+E914)</f>
        <v>0.512987012987013</v>
      </c>
      <c r="L914" s="21" t="n">
        <f aca="false">AVERAGEIFS($K$2:$K$2705,$B$2:$B$2705,B914)</f>
        <v>0.499994694847636</v>
      </c>
      <c r="M914" s="21" t="n">
        <f aca="false">K914-L914</f>
        <v>0.012992318139377</v>
      </c>
      <c r="N914" s="21" t="n">
        <f aca="false">LN(J914)</f>
        <v>13.4826927076732</v>
      </c>
      <c r="O914" s="21" t="n">
        <f aca="false">AVERAGEIFS($N$2:$N$2705,$B$2:$B$2705,B914)</f>
        <v>13.9235265183971</v>
      </c>
      <c r="P914" s="21" t="n">
        <f aca="false">N914-O914</f>
        <v>-0.440833810723834</v>
      </c>
      <c r="Q914" s="7" t="n">
        <v>0</v>
      </c>
      <c r="R914" s="3" t="n">
        <f aca="false">IF(AND(Q914=1,B914-_xlfn.MINIFS($B$2:$B$2705,$A$2:$A$2705,A914)&lt;10),1,0)</f>
        <v>0</v>
      </c>
      <c r="S914" s="7" t="n">
        <v>0</v>
      </c>
      <c r="T914" s="3" t="n">
        <f aca="false">_xlfn.MINIFS($B$2:$B$2705,$A$2:$A$2705,A914)</f>
        <v>1901</v>
      </c>
      <c r="U914" s="3" t="n">
        <f aca="false">B914-T914</f>
        <v>57</v>
      </c>
      <c r="V914" s="3" t="str">
        <f aca="false">INDEX(Pop_Inputs!$Q$2:$Q$29,MATCH(C914,Pop_Inputs!$A$2:$A$29,0))</f>
        <v>Northeast</v>
      </c>
      <c r="W914" s="30"/>
      <c r="X914" s="3" t="str">
        <f aca="false">IF(W914="","",LN(W914))</f>
        <v/>
      </c>
      <c r="Y914" s="3" t="str">
        <f aca="false">IF(X914="","",X914-AVERAGEIFS($X$2:$X$2705,$B$2:$B$2705,B914))</f>
        <v/>
      </c>
      <c r="Z914" s="21" t="n">
        <f aca="false">P914</f>
        <v>-0.440833810723834</v>
      </c>
      <c r="AA914" s="3" t="n">
        <f aca="false">R914</f>
        <v>0</v>
      </c>
      <c r="AB914" s="21" t="n">
        <f aca="false">P914</f>
        <v>-0.440833810723834</v>
      </c>
      <c r="AC914" s="3" t="str">
        <f aca="false">Y914</f>
        <v/>
      </c>
      <c r="AD914" s="3" t="n">
        <f aca="false">R914</f>
        <v>0</v>
      </c>
    </row>
    <row r="915" customFormat="false" ht="15" hidden="false" customHeight="true" outlineLevel="0" collapsed="false">
      <c r="A915" s="7" t="s">
        <v>56</v>
      </c>
      <c r="B915" s="7" t="n">
        <v>1958</v>
      </c>
      <c r="C915" s="7" t="s">
        <v>142</v>
      </c>
      <c r="D915" s="7" t="n">
        <v>72</v>
      </c>
      <c r="E915" s="7" t="n">
        <v>82</v>
      </c>
      <c r="F915" s="3" t="n">
        <f aca="false">COUNTIFS($B$2:$B$2705,B915,$C$2:$C$2705,C915)</f>
        <v>2</v>
      </c>
      <c r="G915" s="3" t="n">
        <f aca="false">MIN(INT((MIN(B915,2020)-1900)/10)+1,12)</f>
        <v>6</v>
      </c>
      <c r="H915" s="3" t="n">
        <f aca="false">(MIN(B915,2020)-1900-10*(G915-1))/10</f>
        <v>0.8</v>
      </c>
      <c r="I915" s="20" t="n">
        <f aca="false">EXP(LN(INDEX(Pop_Inputs!$B$2:$N$29,MATCH(C915,Pop_Inputs!$A$2:$A$29,0),G915))*(1-H915)+LN(INDEX(Pop_Inputs!$B$2:$N$29,MATCH(C915,Pop_Inputs!$A$2:$A$29,0),G915+1))*H915)</f>
        <v>3564404.74202704</v>
      </c>
      <c r="J915" s="20" t="n">
        <f aca="false">I915/F915</f>
        <v>1782202.37101352</v>
      </c>
      <c r="K915" s="21" t="n">
        <f aca="false">D915/(D915+E915)</f>
        <v>0.467532467532468</v>
      </c>
      <c r="L915" s="21" t="n">
        <f aca="false">AVERAGEIFS($K$2:$K$2705,$B$2:$B$2705,B915)</f>
        <v>0.499994694847636</v>
      </c>
      <c r="M915" s="21" t="n">
        <f aca="false">K915-L915</f>
        <v>-0.0324622273151685</v>
      </c>
      <c r="N915" s="21" t="n">
        <f aca="false">LN(J915)</f>
        <v>14.3933604445456</v>
      </c>
      <c r="O915" s="21" t="n">
        <f aca="false">AVERAGEIFS($N$2:$N$2705,$B$2:$B$2705,B915)</f>
        <v>13.9235265183971</v>
      </c>
      <c r="P915" s="21" t="n">
        <f aca="false">N915-O915</f>
        <v>0.469833926148569</v>
      </c>
      <c r="Q915" s="7" t="n">
        <v>0</v>
      </c>
      <c r="R915" s="3" t="n">
        <f aca="false">IF(AND(Q915=1,B915-_xlfn.MINIFS($B$2:$B$2705,$A$2:$A$2705,A915)&lt;10),1,0)</f>
        <v>0</v>
      </c>
      <c r="S915" s="7" t="n">
        <v>0</v>
      </c>
      <c r="T915" s="3" t="n">
        <f aca="false">_xlfn.MINIFS($B$2:$B$2705,$A$2:$A$2705,A915)</f>
        <v>1901</v>
      </c>
      <c r="U915" s="3" t="n">
        <f aca="false">B915-T915</f>
        <v>57</v>
      </c>
      <c r="V915" s="3" t="str">
        <f aca="false">INDEX(Pop_Inputs!$Q$2:$Q$29,MATCH(C915,Pop_Inputs!$A$2:$A$29,0))</f>
        <v>Midwest</v>
      </c>
      <c r="W915" s="30"/>
      <c r="X915" s="3" t="str">
        <f aca="false">IF(W915="","",LN(W915))</f>
        <v/>
      </c>
      <c r="Y915" s="3" t="str">
        <f aca="false">IF(X915="","",X915-AVERAGEIFS($X$2:$X$2705,$B$2:$B$2705,B915))</f>
        <v/>
      </c>
      <c r="Z915" s="21" t="n">
        <f aca="false">P915</f>
        <v>0.469833926148569</v>
      </c>
      <c r="AA915" s="3" t="n">
        <f aca="false">R915</f>
        <v>0</v>
      </c>
      <c r="AB915" s="21" t="n">
        <f aca="false">P915</f>
        <v>0.469833926148569</v>
      </c>
      <c r="AC915" s="3" t="str">
        <f aca="false">Y915</f>
        <v/>
      </c>
      <c r="AD915" s="3" t="n">
        <f aca="false">R915</f>
        <v>0</v>
      </c>
    </row>
    <row r="916" customFormat="false" ht="15" hidden="false" customHeight="true" outlineLevel="0" collapsed="false">
      <c r="A916" s="7" t="s">
        <v>65</v>
      </c>
      <c r="B916" s="7" t="n">
        <v>1958</v>
      </c>
      <c r="C916" s="7" t="s">
        <v>142</v>
      </c>
      <c r="D916" s="7" t="n">
        <v>82</v>
      </c>
      <c r="E916" s="7" t="n">
        <v>72</v>
      </c>
      <c r="F916" s="3" t="n">
        <f aca="false">COUNTIFS($B$2:$B$2705,B916,$C$2:$C$2705,C916)</f>
        <v>2</v>
      </c>
      <c r="G916" s="3" t="n">
        <f aca="false">MIN(INT((MIN(B916,2020)-1900)/10)+1,12)</f>
        <v>6</v>
      </c>
      <c r="H916" s="3" t="n">
        <f aca="false">(MIN(B916,2020)-1900-10*(G916-1))/10</f>
        <v>0.8</v>
      </c>
      <c r="I916" s="20" t="n">
        <f aca="false">EXP(LN(INDEX(Pop_Inputs!$B$2:$N$29,MATCH(C916,Pop_Inputs!$A$2:$A$29,0),G916))*(1-H916)+LN(INDEX(Pop_Inputs!$B$2:$N$29,MATCH(C916,Pop_Inputs!$A$2:$A$29,0),G916+1))*H916)</f>
        <v>3564404.74202704</v>
      </c>
      <c r="J916" s="20" t="n">
        <f aca="false">I916/F916</f>
        <v>1782202.37101352</v>
      </c>
      <c r="K916" s="21" t="n">
        <f aca="false">D916/(D916+E916)</f>
        <v>0.532467532467532</v>
      </c>
      <c r="L916" s="21" t="n">
        <f aca="false">AVERAGEIFS($K$2:$K$2705,$B$2:$B$2705,B916)</f>
        <v>0.499994694847636</v>
      </c>
      <c r="M916" s="21" t="n">
        <f aca="false">K916-L916</f>
        <v>0.0324728376198964</v>
      </c>
      <c r="N916" s="21" t="n">
        <f aca="false">LN(J916)</f>
        <v>14.3933604445456</v>
      </c>
      <c r="O916" s="21" t="n">
        <f aca="false">AVERAGEIFS($N$2:$N$2705,$B$2:$B$2705,B916)</f>
        <v>13.9235265183971</v>
      </c>
      <c r="P916" s="21" t="n">
        <f aca="false">N916-O916</f>
        <v>0.469833926148569</v>
      </c>
      <c r="Q916" s="7" t="n">
        <v>0</v>
      </c>
      <c r="R916" s="3" t="n">
        <f aca="false">IF(AND(Q916=1,B916-_xlfn.MINIFS($B$2:$B$2705,$A$2:$A$2705,A916)&lt;10),1,0)</f>
        <v>0</v>
      </c>
      <c r="S916" s="7" t="n">
        <v>0</v>
      </c>
      <c r="T916" s="3" t="n">
        <f aca="false">_xlfn.MINIFS($B$2:$B$2705,$A$2:$A$2705,A916)</f>
        <v>1901</v>
      </c>
      <c r="U916" s="3" t="n">
        <f aca="false">B916-T916</f>
        <v>57</v>
      </c>
      <c r="V916" s="3" t="str">
        <f aca="false">INDEX(Pop_Inputs!$Q$2:$Q$29,MATCH(C916,Pop_Inputs!$A$2:$A$29,0))</f>
        <v>Midwest</v>
      </c>
      <c r="W916" s="30"/>
      <c r="X916" s="3" t="str">
        <f aca="false">IF(W916="","",LN(W916))</f>
        <v/>
      </c>
      <c r="Y916" s="3" t="str">
        <f aca="false">IF(X916="","",X916-AVERAGEIFS($X$2:$X$2705,$B$2:$B$2705,B916))</f>
        <v/>
      </c>
      <c r="Z916" s="21" t="n">
        <f aca="false">P916</f>
        <v>0.469833926148569</v>
      </c>
      <c r="AA916" s="3" t="n">
        <f aca="false">R916</f>
        <v>0</v>
      </c>
      <c r="AB916" s="21" t="n">
        <f aca="false">P916</f>
        <v>0.469833926148569</v>
      </c>
      <c r="AC916" s="3" t="str">
        <f aca="false">Y916</f>
        <v/>
      </c>
      <c r="AD916" s="3" t="n">
        <f aca="false">R916</f>
        <v>0</v>
      </c>
    </row>
    <row r="917" customFormat="false" ht="15" hidden="false" customHeight="true" outlineLevel="0" collapsed="false">
      <c r="A917" s="7" t="s">
        <v>57</v>
      </c>
      <c r="B917" s="7" t="n">
        <v>1958</v>
      </c>
      <c r="C917" s="7" t="s">
        <v>143</v>
      </c>
      <c r="D917" s="7" t="n">
        <v>76</v>
      </c>
      <c r="E917" s="7" t="n">
        <v>78</v>
      </c>
      <c r="F917" s="3" t="n">
        <f aca="false">COUNTIFS($B$2:$B$2705,B917,$C$2:$C$2705,C917)</f>
        <v>1</v>
      </c>
      <c r="G917" s="3" t="n">
        <f aca="false">MIN(INT((MIN(B917,2020)-1900)/10)+1,12)</f>
        <v>6</v>
      </c>
      <c r="H917" s="3" t="n">
        <f aca="false">(MIN(B917,2020)-1900-10*(G917-1))/10</f>
        <v>0.8</v>
      </c>
      <c r="I917" s="20" t="n">
        <f aca="false">EXP(LN(INDEX(Pop_Inputs!$B$2:$N$29,MATCH(C917,Pop_Inputs!$A$2:$A$29,0),G917))*(1-H917)+LN(INDEX(Pop_Inputs!$B$2:$N$29,MATCH(C917,Pop_Inputs!$A$2:$A$29,0),G917+1))*H917)</f>
        <v>502839.266805445</v>
      </c>
      <c r="J917" s="20" t="n">
        <f aca="false">I917/F917</f>
        <v>502839.266805445</v>
      </c>
      <c r="K917" s="21" t="n">
        <f aca="false">D917/(D917+E917)</f>
        <v>0.493506493506494</v>
      </c>
      <c r="L917" s="21" t="n">
        <f aca="false">AVERAGEIFS($K$2:$K$2705,$B$2:$B$2705,B917)</f>
        <v>0.499994694847636</v>
      </c>
      <c r="M917" s="21" t="n">
        <f aca="false">K917-L917</f>
        <v>-0.00648820134114253</v>
      </c>
      <c r="N917" s="21" t="n">
        <f aca="false">LN(J917)</f>
        <v>13.1280258489206</v>
      </c>
      <c r="O917" s="21" t="n">
        <f aca="false">AVERAGEIFS($N$2:$N$2705,$B$2:$B$2705,B917)</f>
        <v>13.9235265183971</v>
      </c>
      <c r="P917" s="21" t="n">
        <f aca="false">N917-O917</f>
        <v>-0.79550066947643</v>
      </c>
      <c r="Q917" s="7" t="n">
        <v>0</v>
      </c>
      <c r="R917" s="3" t="n">
        <f aca="false">IF(AND(Q917=1,B917-_xlfn.MINIFS($B$2:$B$2705,$A$2:$A$2705,A917)&lt;10),1,0)</f>
        <v>0</v>
      </c>
      <c r="S917" s="7" t="n">
        <v>0</v>
      </c>
      <c r="T917" s="3" t="n">
        <f aca="false">_xlfn.MINIFS($B$2:$B$2705,$A$2:$A$2705,A917)</f>
        <v>1901</v>
      </c>
      <c r="U917" s="3" t="n">
        <f aca="false">B917-T917</f>
        <v>57</v>
      </c>
      <c r="V917" s="3" t="str">
        <f aca="false">INDEX(Pop_Inputs!$Q$2:$Q$29,MATCH(C917,Pop_Inputs!$A$2:$A$29,0))</f>
        <v>Midwest</v>
      </c>
      <c r="W917" s="30"/>
      <c r="X917" s="3" t="str">
        <f aca="false">IF(W917="","",LN(W917))</f>
        <v/>
      </c>
      <c r="Y917" s="3" t="str">
        <f aca="false">IF(X917="","",X917-AVERAGEIFS($X$2:$X$2705,$B$2:$B$2705,B917))</f>
        <v/>
      </c>
      <c r="Z917" s="21" t="n">
        <f aca="false">P917</f>
        <v>-0.79550066947643</v>
      </c>
      <c r="AA917" s="3" t="n">
        <f aca="false">R917</f>
        <v>0</v>
      </c>
      <c r="AB917" s="21" t="n">
        <f aca="false">P917</f>
        <v>-0.79550066947643</v>
      </c>
      <c r="AC917" s="3" t="str">
        <f aca="false">Y917</f>
        <v/>
      </c>
      <c r="AD917" s="3" t="n">
        <f aca="false">R917</f>
        <v>0</v>
      </c>
    </row>
    <row r="918" customFormat="false" ht="15" hidden="false" customHeight="true" outlineLevel="0" collapsed="false">
      <c r="A918" s="7" t="s">
        <v>66</v>
      </c>
      <c r="B918" s="7" t="n">
        <v>1958</v>
      </c>
      <c r="C918" s="7" t="s">
        <v>151</v>
      </c>
      <c r="D918" s="7" t="n">
        <v>77</v>
      </c>
      <c r="E918" s="7" t="n">
        <v>76</v>
      </c>
      <c r="F918" s="3" t="n">
        <f aca="false">COUNTIFS($B$2:$B$2705,B918,$C$2:$C$2705,C918)</f>
        <v>1</v>
      </c>
      <c r="G918" s="3" t="n">
        <f aca="false">MIN(INT((MIN(B918,2020)-1900)/10)+1,12)</f>
        <v>6</v>
      </c>
      <c r="H918" s="3" t="n">
        <f aca="false">(MIN(B918,2020)-1900-10*(G918-1))/10</f>
        <v>0.8</v>
      </c>
      <c r="I918" s="20" t="n">
        <f aca="false">EXP(LN(INDEX(Pop_Inputs!$B$2:$N$29,MATCH(C918,Pop_Inputs!$A$2:$A$29,0),G918))*(1-H918)+LN(INDEX(Pop_Inputs!$B$2:$N$29,MATCH(C918,Pop_Inputs!$A$2:$A$29,0),G918+1))*H918)</f>
        <v>883667.954491432</v>
      </c>
      <c r="J918" s="20" t="n">
        <f aca="false">I918/F918</f>
        <v>883667.954491432</v>
      </c>
      <c r="K918" s="21" t="n">
        <f aca="false">D918/(D918+E918)</f>
        <v>0.503267973856209</v>
      </c>
      <c r="L918" s="21" t="n">
        <f aca="false">AVERAGEIFS($K$2:$K$2705,$B$2:$B$2705,B918)</f>
        <v>0.499994694847636</v>
      </c>
      <c r="M918" s="21" t="n">
        <f aca="false">K918-L918</f>
        <v>0.0032732790085731</v>
      </c>
      <c r="N918" s="21" t="n">
        <f aca="false">LN(J918)</f>
        <v>13.6918366539669</v>
      </c>
      <c r="O918" s="21" t="n">
        <f aca="false">AVERAGEIFS($N$2:$N$2705,$B$2:$B$2705,B918)</f>
        <v>13.9235265183971</v>
      </c>
      <c r="P918" s="21" t="n">
        <f aca="false">N918-O918</f>
        <v>-0.231689864430201</v>
      </c>
      <c r="Q918" s="7" t="n">
        <v>0</v>
      </c>
      <c r="R918" s="3" t="n">
        <f aca="false">IF(AND(Q918=1,B918-_xlfn.MINIFS($B$2:$B$2705,$A$2:$A$2705,A918)&lt;10),1,0)</f>
        <v>0</v>
      </c>
      <c r="S918" s="7" t="n">
        <v>0</v>
      </c>
      <c r="T918" s="3" t="n">
        <f aca="false">_xlfn.MINIFS($B$2:$B$2705,$A$2:$A$2705,A918)</f>
        <v>1901</v>
      </c>
      <c r="U918" s="3" t="n">
        <f aca="false">B918-T918</f>
        <v>57</v>
      </c>
      <c r="V918" s="3" t="str">
        <f aca="false">INDEX(Pop_Inputs!$Q$2:$Q$29,MATCH(C918,Pop_Inputs!$A$2:$A$29,0))</f>
        <v>Midwest</v>
      </c>
      <c r="W918" s="30"/>
      <c r="X918" s="3" t="str">
        <f aca="false">IF(W918="","",LN(W918))</f>
        <v/>
      </c>
      <c r="Y918" s="3" t="str">
        <f aca="false">IF(X918="","",X918-AVERAGEIFS($X$2:$X$2705,$B$2:$B$2705,B918))</f>
        <v/>
      </c>
      <c r="Z918" s="21" t="n">
        <f aca="false">P918</f>
        <v>-0.231689864430201</v>
      </c>
      <c r="AA918" s="3" t="n">
        <f aca="false">R918</f>
        <v>0</v>
      </c>
      <c r="AB918" s="21" t="n">
        <f aca="false">P918</f>
        <v>-0.231689864430201</v>
      </c>
      <c r="AC918" s="3" t="str">
        <f aca="false">Y918</f>
        <v/>
      </c>
      <c r="AD918" s="3" t="n">
        <f aca="false">R918</f>
        <v>0</v>
      </c>
    </row>
    <row r="919" customFormat="false" ht="15" hidden="false" customHeight="true" outlineLevel="0" collapsed="false">
      <c r="A919" s="7" t="s">
        <v>67</v>
      </c>
      <c r="B919" s="7" t="n">
        <v>1958</v>
      </c>
      <c r="C919" s="7" t="s">
        <v>152</v>
      </c>
      <c r="D919" s="7" t="n">
        <v>77</v>
      </c>
      <c r="E919" s="7" t="n">
        <v>77</v>
      </c>
      <c r="F919" s="3" t="n">
        <f aca="false">COUNTIFS($B$2:$B$2705,B919,$C$2:$C$2705,C919)</f>
        <v>1</v>
      </c>
      <c r="G919" s="3" t="n">
        <f aca="false">MIN(INT((MIN(B919,2020)-1900)/10)+1,12)</f>
        <v>6</v>
      </c>
      <c r="H919" s="3" t="n">
        <f aca="false">(MIN(B919,2020)-1900-10*(G919-1))/10</f>
        <v>0.8</v>
      </c>
      <c r="I919" s="20" t="n">
        <f aca="false">EXP(LN(INDEX(Pop_Inputs!$B$2:$N$29,MATCH(C919,Pop_Inputs!$A$2:$A$29,0),G919))*(1-H919)+LN(INDEX(Pop_Inputs!$B$2:$N$29,MATCH(C919,Pop_Inputs!$A$2:$A$29,0),G919+1))*H919)</f>
        <v>1704579.23939483</v>
      </c>
      <c r="J919" s="20" t="n">
        <f aca="false">I919/F919</f>
        <v>1704579.23939483</v>
      </c>
      <c r="K919" s="21" t="n">
        <f aca="false">D919/(D919+E919)</f>
        <v>0.5</v>
      </c>
      <c r="L919" s="21" t="n">
        <f aca="false">AVERAGEIFS($K$2:$K$2705,$B$2:$B$2705,B919)</f>
        <v>0.499994694847636</v>
      </c>
      <c r="M919" s="21" t="n">
        <f aca="false">K919-L919</f>
        <v>5.30515236396578E-006</v>
      </c>
      <c r="N919" s="21" t="n">
        <f aca="false">LN(J919)</f>
        <v>14.3488288578309</v>
      </c>
      <c r="O919" s="21" t="n">
        <f aca="false">AVERAGEIFS($N$2:$N$2705,$B$2:$B$2705,B919)</f>
        <v>13.9235265183971</v>
      </c>
      <c r="P919" s="21" t="n">
        <f aca="false">N919-O919</f>
        <v>0.425302339433795</v>
      </c>
      <c r="Q919" s="7" t="n">
        <v>0</v>
      </c>
      <c r="R919" s="3" t="n">
        <f aca="false">IF(AND(Q919=1,B919-_xlfn.MINIFS($B$2:$B$2705,$A$2:$A$2705,A919)&lt;10),1,0)</f>
        <v>0</v>
      </c>
      <c r="S919" s="7" t="n">
        <v>0</v>
      </c>
      <c r="T919" s="3" t="n">
        <f aca="false">_xlfn.MINIFS($B$2:$B$2705,$A$2:$A$2705,A919)</f>
        <v>1901</v>
      </c>
      <c r="U919" s="3" t="n">
        <f aca="false">B919-T919</f>
        <v>57</v>
      </c>
      <c r="V919" s="3" t="str">
        <f aca="false">INDEX(Pop_Inputs!$Q$2:$Q$29,MATCH(C919,Pop_Inputs!$A$2:$A$29,0))</f>
        <v>Midwest</v>
      </c>
      <c r="W919" s="30"/>
      <c r="X919" s="3" t="str">
        <f aca="false">IF(W919="","",LN(W919))</f>
        <v/>
      </c>
      <c r="Y919" s="3" t="str">
        <f aca="false">IF(X919="","",X919-AVERAGEIFS($X$2:$X$2705,$B$2:$B$2705,B919))</f>
        <v/>
      </c>
      <c r="Z919" s="21" t="n">
        <f aca="false">P919</f>
        <v>0.425302339433795</v>
      </c>
      <c r="AA919" s="3" t="n">
        <f aca="false">R919</f>
        <v>0</v>
      </c>
      <c r="AB919" s="21" t="n">
        <f aca="false">P919</f>
        <v>0.425302339433795</v>
      </c>
      <c r="AC919" s="3" t="str">
        <f aca="false">Y919</f>
        <v/>
      </c>
      <c r="AD919" s="3" t="n">
        <f aca="false">R919</f>
        <v>0</v>
      </c>
    </row>
    <row r="920" customFormat="false" ht="15" hidden="false" customHeight="true" outlineLevel="0" collapsed="false">
      <c r="A920" s="7" t="s">
        <v>62</v>
      </c>
      <c r="B920" s="7" t="n">
        <v>1958</v>
      </c>
      <c r="C920" s="7" t="s">
        <v>148</v>
      </c>
      <c r="D920" s="7" t="n">
        <v>71</v>
      </c>
      <c r="E920" s="7" t="n">
        <v>83</v>
      </c>
      <c r="F920" s="3" t="n">
        <f aca="false">COUNTIFS($B$2:$B$2705,B920,$C$2:$C$2705,C920)</f>
        <v>1</v>
      </c>
      <c r="G920" s="3" t="n">
        <f aca="false">MIN(INT((MIN(B920,2020)-1900)/10)+1,12)</f>
        <v>6</v>
      </c>
      <c r="H920" s="3" t="n">
        <f aca="false">(MIN(B920,2020)-1900-10*(G920-1))/10</f>
        <v>0.8</v>
      </c>
      <c r="I920" s="20" t="n">
        <f aca="false">EXP(LN(INDEX(Pop_Inputs!$B$2:$N$29,MATCH(C920,Pop_Inputs!$A$2:$A$29,0),G920))*(1-H920)+LN(INDEX(Pop_Inputs!$B$2:$N$29,MATCH(C920,Pop_Inputs!$A$2:$A$29,0),G920+1))*H920)</f>
        <v>2367730.95482114</v>
      </c>
      <c r="J920" s="20" t="n">
        <f aca="false">I920/F920</f>
        <v>2367730.95482114</v>
      </c>
      <c r="K920" s="21" t="n">
        <f aca="false">D920/(D920+E920)</f>
        <v>0.461038961038961</v>
      </c>
      <c r="L920" s="21" t="n">
        <f aca="false">AVERAGEIFS($K$2:$K$2705,$B$2:$B$2705,B920)</f>
        <v>0.499994694847636</v>
      </c>
      <c r="M920" s="21" t="n">
        <f aca="false">K920-L920</f>
        <v>-0.038955733808675</v>
      </c>
      <c r="N920" s="21" t="n">
        <f aca="false">LN(J920)</f>
        <v>14.6774426514792</v>
      </c>
      <c r="O920" s="21" t="n">
        <f aca="false">AVERAGEIFS($N$2:$N$2705,$B$2:$B$2705,B920)</f>
        <v>13.9235265183971</v>
      </c>
      <c r="P920" s="21" t="n">
        <f aca="false">N920-O920</f>
        <v>0.753916133082171</v>
      </c>
      <c r="Q920" s="7" t="n">
        <v>0</v>
      </c>
      <c r="R920" s="3" t="n">
        <f aca="false">IF(AND(Q920=1,B920-_xlfn.MINIFS($B$2:$B$2705,$A$2:$A$2705,A920)&lt;10),1,0)</f>
        <v>0</v>
      </c>
      <c r="S920" s="7" t="n">
        <v>0</v>
      </c>
      <c r="T920" s="3" t="n">
        <f aca="false">_xlfn.MINIFS($B$2:$B$2705,$A$2:$A$2705,A920)</f>
        <v>1901</v>
      </c>
      <c r="U920" s="3" t="n">
        <f aca="false">B920-T920</f>
        <v>57</v>
      </c>
      <c r="V920" s="3" t="str">
        <f aca="false">INDEX(Pop_Inputs!$Q$2:$Q$29,MATCH(C920,Pop_Inputs!$A$2:$A$29,0))</f>
        <v>West</v>
      </c>
      <c r="W920" s="30"/>
      <c r="X920" s="3" t="str">
        <f aca="false">IF(W920="","",LN(W920))</f>
        <v/>
      </c>
      <c r="Y920" s="3" t="str">
        <f aca="false">IF(X920="","",X920-AVERAGEIFS($X$2:$X$2705,$B$2:$B$2705,B920))</f>
        <v/>
      </c>
      <c r="Z920" s="21" t="n">
        <f aca="false">P920</f>
        <v>0.753916133082171</v>
      </c>
      <c r="AA920" s="3" t="n">
        <f aca="false">R920</f>
        <v>0</v>
      </c>
      <c r="AB920" s="21" t="n">
        <f aca="false">P920</f>
        <v>0.753916133082171</v>
      </c>
      <c r="AC920" s="3" t="str">
        <f aca="false">Y920</f>
        <v/>
      </c>
      <c r="AD920" s="3" t="n">
        <f aca="false">R920</f>
        <v>0</v>
      </c>
    </row>
    <row r="921" customFormat="false" ht="15" hidden="false" customHeight="true" outlineLevel="0" collapsed="false">
      <c r="A921" s="7" t="s">
        <v>68</v>
      </c>
      <c r="B921" s="7" t="n">
        <v>1958</v>
      </c>
      <c r="C921" s="7" t="s">
        <v>160</v>
      </c>
      <c r="D921" s="7" t="n">
        <v>61</v>
      </c>
      <c r="E921" s="7" t="n">
        <v>93</v>
      </c>
      <c r="F921" s="3" t="n">
        <f aca="false">COUNTIFS($B$2:$B$2705,B921,$C$2:$C$2705,C921)</f>
        <v>1</v>
      </c>
      <c r="G921" s="3" t="n">
        <f aca="false">MIN(INT((MIN(B921,2020)-1900)/10)+1,12)</f>
        <v>6</v>
      </c>
      <c r="H921" s="3" t="n">
        <f aca="false">(MIN(B921,2020)-1900-10*(G921-1))/10</f>
        <v>0.8</v>
      </c>
      <c r="I921" s="20" t="n">
        <f aca="false">EXP(LN(INDEX(Pop_Inputs!$B$2:$N$29,MATCH(C921,Pop_Inputs!$A$2:$A$29,0),G921))*(1-H921)+LN(INDEX(Pop_Inputs!$B$2:$N$29,MATCH(C921,Pop_Inputs!$A$2:$A$29,0),G921+1))*H921)</f>
        <v>771451.852635142</v>
      </c>
      <c r="J921" s="20" t="n">
        <f aca="false">I921/F921</f>
        <v>771451.852635142</v>
      </c>
      <c r="K921" s="21" t="n">
        <f aca="false">D921/(D921+E921)</f>
        <v>0.396103896103896</v>
      </c>
      <c r="L921" s="21" t="n">
        <f aca="false">AVERAGEIFS($K$2:$K$2705,$B$2:$B$2705,B921)</f>
        <v>0.499994694847636</v>
      </c>
      <c r="M921" s="21" t="n">
        <f aca="false">K921-L921</f>
        <v>-0.10389079874374</v>
      </c>
      <c r="N921" s="21" t="n">
        <f aca="false">LN(J921)</f>
        <v>13.5560295413657</v>
      </c>
      <c r="O921" s="21" t="n">
        <f aca="false">AVERAGEIFS($N$2:$N$2705,$B$2:$B$2705,B921)</f>
        <v>13.9235265183971</v>
      </c>
      <c r="P921" s="21" t="n">
        <f aca="false">N921-O921</f>
        <v>-0.367496977031419</v>
      </c>
      <c r="Q921" s="7" t="n">
        <v>0</v>
      </c>
      <c r="R921" s="3" t="n">
        <f aca="false">IF(AND(Q921=1,B921-_xlfn.MINIFS($B$2:$B$2705,$A$2:$A$2705,A921)&lt;10),1,0)</f>
        <v>0</v>
      </c>
      <c r="S921" s="7" t="n">
        <v>0</v>
      </c>
      <c r="T921" s="3" t="n">
        <f aca="false">_xlfn.MINIFS($B$2:$B$2705,$A$2:$A$2705,A921)</f>
        <v>1901</v>
      </c>
      <c r="U921" s="3" t="n">
        <f aca="false">B921-T921</f>
        <v>57</v>
      </c>
      <c r="V921" s="3" t="str">
        <f aca="false">INDEX(Pop_Inputs!$Q$2:$Q$29,MATCH(C921,Pop_Inputs!$A$2:$A$29,0))</f>
        <v>South</v>
      </c>
      <c r="W921" s="30"/>
      <c r="X921" s="3" t="str">
        <f aca="false">IF(W921="","",LN(W921))</f>
        <v/>
      </c>
      <c r="Y921" s="3" t="str">
        <f aca="false">IF(X921="","",X921-AVERAGEIFS($X$2:$X$2705,$B$2:$B$2705,B921))</f>
        <v/>
      </c>
      <c r="Z921" s="21" t="n">
        <f aca="false">P921</f>
        <v>-0.367496977031419</v>
      </c>
      <c r="AA921" s="3" t="n">
        <f aca="false">R921</f>
        <v>0</v>
      </c>
      <c r="AB921" s="21" t="n">
        <f aca="false">P921</f>
        <v>-0.367496977031419</v>
      </c>
      <c r="AC921" s="3" t="str">
        <f aca="false">Y921</f>
        <v/>
      </c>
      <c r="AD921" s="3" t="n">
        <f aca="false">R921</f>
        <v>0</v>
      </c>
    </row>
    <row r="922" customFormat="false" ht="15" hidden="false" customHeight="true" outlineLevel="0" collapsed="false">
      <c r="A922" s="7" t="s">
        <v>70</v>
      </c>
      <c r="B922" s="7" t="n">
        <v>1958</v>
      </c>
      <c r="C922" s="7" t="s">
        <v>154</v>
      </c>
      <c r="D922" s="7" t="n">
        <v>92</v>
      </c>
      <c r="E922" s="7" t="n">
        <v>62</v>
      </c>
      <c r="F922" s="3" t="n">
        <f aca="false">COUNTIFS($B$2:$B$2705,B922,$C$2:$C$2705,C922)</f>
        <v>1</v>
      </c>
      <c r="G922" s="3" t="n">
        <f aca="false">MIN(INT((MIN(B922,2020)-1900)/10)+1,12)</f>
        <v>6</v>
      </c>
      <c r="H922" s="3" t="n">
        <f aca="false">(MIN(B922,2020)-1900-10*(G922-1))/10</f>
        <v>0.8</v>
      </c>
      <c r="I922" s="20" t="n">
        <f aca="false">EXP(LN(INDEX(Pop_Inputs!$B$2:$N$29,MATCH(C922,Pop_Inputs!$A$2:$A$29,0),G922))*(1-H922)+LN(INDEX(Pop_Inputs!$B$2:$N$29,MATCH(C922,Pop_Inputs!$A$2:$A$29,0),G922+1))*H922)</f>
        <v>7803855.31505603</v>
      </c>
      <c r="J922" s="20" t="n">
        <f aca="false">I922/F922</f>
        <v>7803855.31505603</v>
      </c>
      <c r="K922" s="21" t="n">
        <f aca="false">D922/(D922+E922)</f>
        <v>0.597402597402597</v>
      </c>
      <c r="L922" s="21" t="n">
        <f aca="false">AVERAGEIFS($K$2:$K$2705,$B$2:$B$2705,B922)</f>
        <v>0.499994694847636</v>
      </c>
      <c r="M922" s="21" t="n">
        <f aca="false">K922-L922</f>
        <v>0.0974079025549614</v>
      </c>
      <c r="N922" s="21" t="n">
        <f aca="false">LN(J922)</f>
        <v>15.8701284407091</v>
      </c>
      <c r="O922" s="21" t="n">
        <f aca="false">AVERAGEIFS($N$2:$N$2705,$B$2:$B$2705,B922)</f>
        <v>13.9235265183971</v>
      </c>
      <c r="P922" s="21" t="n">
        <f aca="false">N922-O922</f>
        <v>1.94660192231202</v>
      </c>
      <c r="Q922" s="7" t="n">
        <v>0</v>
      </c>
      <c r="R922" s="3" t="n">
        <f aca="false">IF(AND(Q922=1,B922-_xlfn.MINIFS($B$2:$B$2705,$A$2:$A$2705,A922)&lt;10),1,0)</f>
        <v>0</v>
      </c>
      <c r="S922" s="7" t="n">
        <v>1</v>
      </c>
      <c r="T922" s="3" t="n">
        <f aca="false">_xlfn.MINIFS($B$2:$B$2705,$A$2:$A$2705,A922)</f>
        <v>1903</v>
      </c>
      <c r="U922" s="3" t="n">
        <f aca="false">B922-T922</f>
        <v>55</v>
      </c>
      <c r="V922" s="3" t="str">
        <f aca="false">INDEX(Pop_Inputs!$Q$2:$Q$29,MATCH(C922,Pop_Inputs!$A$2:$A$29,0))</f>
        <v>Northeast</v>
      </c>
      <c r="W922" s="30"/>
      <c r="X922" s="3" t="str">
        <f aca="false">IF(W922="","",LN(W922))</f>
        <v/>
      </c>
      <c r="Y922" s="3" t="str">
        <f aca="false">IF(X922="","",X922-AVERAGEIFS($X$2:$X$2705,$B$2:$B$2705,B922))</f>
        <v/>
      </c>
      <c r="Z922" s="21" t="n">
        <f aca="false">P922</f>
        <v>1.94660192231202</v>
      </c>
      <c r="AA922" s="3" t="n">
        <f aca="false">R922</f>
        <v>0</v>
      </c>
      <c r="AB922" s="21" t="n">
        <f aca="false">P922</f>
        <v>1.94660192231202</v>
      </c>
      <c r="AC922" s="3" t="str">
        <f aca="false">Y922</f>
        <v/>
      </c>
      <c r="AD922" s="3" t="n">
        <f aca="false">R922</f>
        <v>0</v>
      </c>
    </row>
    <row r="923" customFormat="false" ht="15" hidden="false" customHeight="true" outlineLevel="0" collapsed="false">
      <c r="A923" s="7" t="s">
        <v>69</v>
      </c>
      <c r="B923" s="7" t="n">
        <v>1958</v>
      </c>
      <c r="C923" s="7" t="s">
        <v>157</v>
      </c>
      <c r="D923" s="7" t="n">
        <v>73</v>
      </c>
      <c r="E923" s="7" t="n">
        <v>81</v>
      </c>
      <c r="F923" s="3" t="n">
        <f aca="false">COUNTIFS($B$2:$B$2705,B923,$C$2:$C$2705,C923)</f>
        <v>1</v>
      </c>
      <c r="G923" s="3" t="n">
        <f aca="false">MIN(INT((MIN(B923,2020)-1900)/10)+1,12)</f>
        <v>6</v>
      </c>
      <c r="H923" s="3" t="n">
        <f aca="false">(MIN(B923,2020)-1900-10*(G923-1))/10</f>
        <v>0.8</v>
      </c>
      <c r="I923" s="20" t="n">
        <f aca="false">EXP(LN(INDEX(Pop_Inputs!$B$2:$N$29,MATCH(C923,Pop_Inputs!$A$2:$A$29,0),G923))*(1-H923)+LN(INDEX(Pop_Inputs!$B$2:$N$29,MATCH(C923,Pop_Inputs!$A$2:$A$29,0),G923+1))*H923)</f>
        <v>471693.920193953</v>
      </c>
      <c r="J923" s="20" t="n">
        <f aca="false">I923/F923</f>
        <v>471693.920193953</v>
      </c>
      <c r="K923" s="21" t="n">
        <f aca="false">D923/(D923+E923)</f>
        <v>0.474025974025974</v>
      </c>
      <c r="L923" s="21" t="n">
        <f aca="false">AVERAGEIFS($K$2:$K$2705,$B$2:$B$2705,B923)</f>
        <v>0.499994694847636</v>
      </c>
      <c r="M923" s="21" t="n">
        <f aca="false">K923-L923</f>
        <v>-0.025968720821662</v>
      </c>
      <c r="N923" s="21" t="n">
        <f aca="false">LN(J923)</f>
        <v>13.064085580052</v>
      </c>
      <c r="O923" s="21" t="n">
        <f aca="false">AVERAGEIFS($N$2:$N$2705,$B$2:$B$2705,B923)</f>
        <v>13.9235265183971</v>
      </c>
      <c r="P923" s="21" t="n">
        <f aca="false">N923-O923</f>
        <v>-0.859440938345047</v>
      </c>
      <c r="Q923" s="7" t="n">
        <v>0</v>
      </c>
      <c r="R923" s="3" t="n">
        <f aca="false">IF(AND(Q923=1,B923-_xlfn.MINIFS($B$2:$B$2705,$A$2:$A$2705,A923)&lt;10),1,0)</f>
        <v>0</v>
      </c>
      <c r="S923" s="7" t="n">
        <v>0</v>
      </c>
      <c r="T923" s="3" t="n">
        <f aca="false">_xlfn.MINIFS($B$2:$B$2705,$A$2:$A$2705,A923)</f>
        <v>1901</v>
      </c>
      <c r="U923" s="3" t="n">
        <f aca="false">B923-T923</f>
        <v>57</v>
      </c>
      <c r="V923" s="3" t="str">
        <f aca="false">INDEX(Pop_Inputs!$Q$2:$Q$29,MATCH(C923,Pop_Inputs!$A$2:$A$29,0))</f>
        <v>Midwest</v>
      </c>
      <c r="W923" s="30"/>
      <c r="X923" s="3" t="str">
        <f aca="false">IF(W923="","",LN(W923))</f>
        <v/>
      </c>
      <c r="Y923" s="3" t="str">
        <f aca="false">IF(X923="","",X923-AVERAGEIFS($X$2:$X$2705,$B$2:$B$2705,B923))</f>
        <v/>
      </c>
      <c r="Z923" s="21" t="n">
        <f aca="false">P923</f>
        <v>-0.859440938345047</v>
      </c>
      <c r="AA923" s="3" t="n">
        <f aca="false">R923</f>
        <v>0</v>
      </c>
      <c r="AB923" s="21" t="n">
        <f aca="false">P923</f>
        <v>-0.859440938345047</v>
      </c>
      <c r="AC923" s="3" t="str">
        <f aca="false">Y923</f>
        <v/>
      </c>
      <c r="AD923" s="3" t="n">
        <f aca="false">R923</f>
        <v>0</v>
      </c>
    </row>
    <row r="924" customFormat="false" ht="15" hidden="false" customHeight="true" outlineLevel="0" collapsed="false">
      <c r="A924" s="7" t="s">
        <v>60</v>
      </c>
      <c r="B924" s="7" t="n">
        <v>1958</v>
      </c>
      <c r="C924" s="7" t="s">
        <v>146</v>
      </c>
      <c r="D924" s="7" t="n">
        <v>69</v>
      </c>
      <c r="E924" s="7" t="n">
        <v>85</v>
      </c>
      <c r="F924" s="3" t="n">
        <f aca="false">COUNTIFS($B$2:$B$2705,B924,$C$2:$C$2705,C924)</f>
        <v>1</v>
      </c>
      <c r="G924" s="3" t="n">
        <f aca="false">MIN(INT((MIN(B924,2020)-1900)/10)+1,12)</f>
        <v>6</v>
      </c>
      <c r="H924" s="3" t="n">
        <f aca="false">(MIN(B924,2020)-1900-10*(G924-1))/10</f>
        <v>0.8</v>
      </c>
      <c r="I924" s="20" t="n">
        <f aca="false">EXP(LN(INDEX(Pop_Inputs!$B$2:$N$29,MATCH(C924,Pop_Inputs!$A$2:$A$29,0),G924))*(1-H924)+LN(INDEX(Pop_Inputs!$B$2:$N$29,MATCH(C924,Pop_Inputs!$A$2:$A$29,0),G924+1))*H924)</f>
        <v>2016143.74105331</v>
      </c>
      <c r="J924" s="20" t="n">
        <f aca="false">I924/F924</f>
        <v>2016143.74105331</v>
      </c>
      <c r="K924" s="21" t="n">
        <f aca="false">D924/(D924+E924)</f>
        <v>0.448051948051948</v>
      </c>
      <c r="L924" s="21" t="n">
        <f aca="false">AVERAGEIFS($K$2:$K$2705,$B$2:$B$2705,B924)</f>
        <v>0.499994694847636</v>
      </c>
      <c r="M924" s="21" t="n">
        <f aca="false">K924-L924</f>
        <v>-0.051942746795688</v>
      </c>
      <c r="N924" s="21" t="n">
        <f aca="false">LN(J924)</f>
        <v>14.5166972057573</v>
      </c>
      <c r="O924" s="21" t="n">
        <f aca="false">AVERAGEIFS($N$2:$N$2705,$B$2:$B$2705,B924)</f>
        <v>13.9235265183971</v>
      </c>
      <c r="P924" s="21" t="n">
        <f aca="false">N924-O924</f>
        <v>0.593170687360241</v>
      </c>
      <c r="Q924" s="7" t="n">
        <v>0</v>
      </c>
      <c r="R924" s="3" t="n">
        <f aca="false">IF(AND(Q924=1,B924-_xlfn.MINIFS($B$2:$B$2705,$A$2:$A$2705,A924)&lt;10),1,0)</f>
        <v>0</v>
      </c>
      <c r="S924" s="7" t="n">
        <v>0</v>
      </c>
      <c r="T924" s="3" t="n">
        <f aca="false">_xlfn.MINIFS($B$2:$B$2705,$A$2:$A$2705,A924)</f>
        <v>1901</v>
      </c>
      <c r="U924" s="3" t="n">
        <f aca="false">B924-T924</f>
        <v>57</v>
      </c>
      <c r="V924" s="3" t="str">
        <f aca="false">INDEX(Pop_Inputs!$Q$2:$Q$29,MATCH(C924,Pop_Inputs!$A$2:$A$29,0))</f>
        <v>Northeast</v>
      </c>
      <c r="W924" s="30"/>
      <c r="X924" s="3" t="str">
        <f aca="false">IF(W924="","",LN(W924))</f>
        <v/>
      </c>
      <c r="Y924" s="3" t="str">
        <f aca="false">IF(X924="","",X924-AVERAGEIFS($X$2:$X$2705,$B$2:$B$2705,B924))</f>
        <v/>
      </c>
      <c r="Z924" s="21" t="n">
        <f aca="false">P924</f>
        <v>0.593170687360241</v>
      </c>
      <c r="AA924" s="3" t="n">
        <f aca="false">R924</f>
        <v>0</v>
      </c>
      <c r="AB924" s="21" t="n">
        <f aca="false">P924</f>
        <v>0.593170687360241</v>
      </c>
      <c r="AC924" s="3" t="str">
        <f aca="false">Y924</f>
        <v/>
      </c>
      <c r="AD924" s="3" t="n">
        <f aca="false">R924</f>
        <v>0</v>
      </c>
    </row>
    <row r="925" customFormat="false" ht="15" hidden="false" customHeight="true" outlineLevel="0" collapsed="false">
      <c r="A925" s="7" t="s">
        <v>58</v>
      </c>
      <c r="B925" s="7" t="n">
        <v>1958</v>
      </c>
      <c r="C925" s="7" t="s">
        <v>144</v>
      </c>
      <c r="D925" s="7" t="n">
        <v>84</v>
      </c>
      <c r="E925" s="7" t="n">
        <v>70</v>
      </c>
      <c r="F925" s="3" t="n">
        <f aca="false">COUNTIFS($B$2:$B$2705,B925,$C$2:$C$2705,C925)</f>
        <v>1</v>
      </c>
      <c r="G925" s="3" t="n">
        <f aca="false">MIN(INT((MIN(B925,2020)-1900)/10)+1,12)</f>
        <v>6</v>
      </c>
      <c r="H925" s="3" t="n">
        <f aca="false">(MIN(B925,2020)-1900-10*(G925-1))/10</f>
        <v>0.8</v>
      </c>
      <c r="I925" s="20" t="n">
        <f aca="false">EXP(LN(INDEX(Pop_Inputs!$B$2:$N$29,MATCH(C925,Pop_Inputs!$A$2:$A$29,0),G925))*(1-H925)+LN(INDEX(Pop_Inputs!$B$2:$N$29,MATCH(C925,Pop_Inputs!$A$2:$A$29,0),G925+1))*H925)</f>
        <v>618177.669559922</v>
      </c>
      <c r="J925" s="20" t="n">
        <f aca="false">I925/F925</f>
        <v>618177.669559922</v>
      </c>
      <c r="K925" s="21" t="n">
        <f aca="false">D925/(D925+E925)</f>
        <v>0.545454545454545</v>
      </c>
      <c r="L925" s="21" t="n">
        <f aca="false">AVERAGEIFS($K$2:$K$2705,$B$2:$B$2705,B925)</f>
        <v>0.499994694847636</v>
      </c>
      <c r="M925" s="21" t="n">
        <f aca="false">K925-L925</f>
        <v>0.0454598506069094</v>
      </c>
      <c r="N925" s="21" t="n">
        <f aca="false">LN(J925)</f>
        <v>13.3345311863194</v>
      </c>
      <c r="O925" s="21" t="n">
        <f aca="false">AVERAGEIFS($N$2:$N$2705,$B$2:$B$2705,B925)</f>
        <v>13.9235265183971</v>
      </c>
      <c r="P925" s="21" t="n">
        <f aca="false">N925-O925</f>
        <v>-0.588995332077635</v>
      </c>
      <c r="Q925" s="7" t="n">
        <v>0</v>
      </c>
      <c r="R925" s="3" t="n">
        <f aca="false">IF(AND(Q925=1,B925-_xlfn.MINIFS($B$2:$B$2705,$A$2:$A$2705,A925)&lt;10),1,0)</f>
        <v>0</v>
      </c>
      <c r="S925" s="7" t="n">
        <v>0</v>
      </c>
      <c r="T925" s="3" t="n">
        <f aca="false">_xlfn.MINIFS($B$2:$B$2705,$A$2:$A$2705,A925)</f>
        <v>1901</v>
      </c>
      <c r="U925" s="3" t="n">
        <f aca="false">B925-T925</f>
        <v>57</v>
      </c>
      <c r="V925" s="3" t="str">
        <f aca="false">INDEX(Pop_Inputs!$Q$2:$Q$29,MATCH(C925,Pop_Inputs!$A$2:$A$29,0))</f>
        <v>Northeast</v>
      </c>
      <c r="W925" s="30"/>
      <c r="X925" s="3" t="str">
        <f aca="false">IF(W925="","",LN(W925))</f>
        <v/>
      </c>
      <c r="Y925" s="3" t="str">
        <f aca="false">IF(X925="","",X925-AVERAGEIFS($X$2:$X$2705,$B$2:$B$2705,B925))</f>
        <v/>
      </c>
      <c r="Z925" s="21" t="n">
        <f aca="false">P925</f>
        <v>-0.588995332077635</v>
      </c>
      <c r="AA925" s="3" t="n">
        <f aca="false">R925</f>
        <v>0</v>
      </c>
      <c r="AB925" s="21" t="n">
        <f aca="false">P925</f>
        <v>-0.588995332077635</v>
      </c>
      <c r="AC925" s="3" t="str">
        <f aca="false">Y925</f>
        <v/>
      </c>
      <c r="AD925" s="3" t="n">
        <f aca="false">R925</f>
        <v>0</v>
      </c>
    </row>
    <row r="926" customFormat="false" ht="15" hidden="false" customHeight="true" outlineLevel="0" collapsed="false">
      <c r="A926" s="7" t="s">
        <v>61</v>
      </c>
      <c r="B926" s="7" t="n">
        <v>1958</v>
      </c>
      <c r="C926" s="7" t="s">
        <v>147</v>
      </c>
      <c r="D926" s="7" t="n">
        <v>80</v>
      </c>
      <c r="E926" s="7" t="n">
        <v>74</v>
      </c>
      <c r="F926" s="3" t="n">
        <f aca="false">COUNTIFS($B$2:$B$2705,B926,$C$2:$C$2705,C926)</f>
        <v>1</v>
      </c>
      <c r="G926" s="3" t="n">
        <f aca="false">MIN(INT((MIN(B926,2020)-1900)/10)+1,12)</f>
        <v>6</v>
      </c>
      <c r="H926" s="3" t="n">
        <f aca="false">(MIN(B926,2020)-1900-10*(G926-1))/10</f>
        <v>0.8</v>
      </c>
      <c r="I926" s="20" t="n">
        <f aca="false">EXP(LN(INDEX(Pop_Inputs!$B$2:$N$29,MATCH(C926,Pop_Inputs!$A$2:$A$29,0),G926))*(1-H926)+LN(INDEX(Pop_Inputs!$B$2:$N$29,MATCH(C926,Pop_Inputs!$A$2:$A$29,0),G926+1))*H926)</f>
        <v>747195.161473896</v>
      </c>
      <c r="J926" s="20" t="n">
        <f aca="false">I926/F926</f>
        <v>747195.161473896</v>
      </c>
      <c r="K926" s="21" t="n">
        <f aca="false">D926/(D926+E926)</f>
        <v>0.519480519480519</v>
      </c>
      <c r="L926" s="21" t="n">
        <f aca="false">AVERAGEIFS($K$2:$K$2705,$B$2:$B$2705,B926)</f>
        <v>0.499994694847636</v>
      </c>
      <c r="M926" s="21" t="n">
        <f aca="false">K926-L926</f>
        <v>0.0194858246328834</v>
      </c>
      <c r="N926" s="21" t="n">
        <f aca="false">LN(J926)</f>
        <v>13.5240816903323</v>
      </c>
      <c r="O926" s="21" t="n">
        <f aca="false">AVERAGEIFS($N$2:$N$2705,$B$2:$B$2705,B926)</f>
        <v>13.9235265183971</v>
      </c>
      <c r="P926" s="21" t="n">
        <f aca="false">N926-O926</f>
        <v>-0.39944482806477</v>
      </c>
      <c r="Q926" s="7" t="n">
        <v>0</v>
      </c>
      <c r="R926" s="3" t="n">
        <f aca="false">IF(AND(Q926=1,B926-_xlfn.MINIFS($B$2:$B$2705,$A$2:$A$2705,A926)&lt;10),1,0)</f>
        <v>0</v>
      </c>
      <c r="S926" s="7" t="n">
        <v>0</v>
      </c>
      <c r="T926" s="3" t="n">
        <f aca="false">_xlfn.MINIFS($B$2:$B$2705,$A$2:$A$2705,A926)</f>
        <v>1901</v>
      </c>
      <c r="U926" s="3" t="n">
        <f aca="false">B926-T926</f>
        <v>57</v>
      </c>
      <c r="V926" s="3" t="str">
        <f aca="false">INDEX(Pop_Inputs!$Q$2:$Q$29,MATCH(C926,Pop_Inputs!$A$2:$A$29,0))</f>
        <v>West</v>
      </c>
      <c r="W926" s="30"/>
      <c r="X926" s="3" t="str">
        <f aca="false">IF(W926="","",LN(W926))</f>
        <v/>
      </c>
      <c r="Y926" s="3" t="str">
        <f aca="false">IF(X926="","",X926-AVERAGEIFS($X$2:$X$2705,$B$2:$B$2705,B926))</f>
        <v/>
      </c>
      <c r="Z926" s="21" t="n">
        <f aca="false">P926</f>
        <v>-0.39944482806477</v>
      </c>
      <c r="AA926" s="3" t="n">
        <f aca="false">R926</f>
        <v>0</v>
      </c>
      <c r="AB926" s="21" t="n">
        <f aca="false">P926</f>
        <v>-0.39944482806477</v>
      </c>
      <c r="AC926" s="3" t="str">
        <f aca="false">Y926</f>
        <v/>
      </c>
      <c r="AD926" s="3" t="n">
        <f aca="false">R926</f>
        <v>0</v>
      </c>
    </row>
    <row r="927" customFormat="false" ht="15" hidden="false" customHeight="true" outlineLevel="0" collapsed="false">
      <c r="A927" s="7" t="s">
        <v>59</v>
      </c>
      <c r="B927" s="7" t="n">
        <v>1958</v>
      </c>
      <c r="C927" s="7" t="s">
        <v>145</v>
      </c>
      <c r="D927" s="7" t="n">
        <v>72</v>
      </c>
      <c r="E927" s="7" t="n">
        <v>82</v>
      </c>
      <c r="F927" s="3" t="n">
        <f aca="false">COUNTIFS($B$2:$B$2705,B927,$C$2:$C$2705,C927)</f>
        <v>1</v>
      </c>
      <c r="G927" s="3" t="n">
        <f aca="false">MIN(INT((MIN(B927,2020)-1900)/10)+1,12)</f>
        <v>6</v>
      </c>
      <c r="H927" s="3" t="n">
        <f aca="false">(MIN(B927,2020)-1900-10*(G927-1))/10</f>
        <v>0.8</v>
      </c>
      <c r="I927" s="20" t="n">
        <f aca="false">EXP(LN(INDEX(Pop_Inputs!$B$2:$N$29,MATCH(C927,Pop_Inputs!$A$2:$A$29,0),G927))*(1-H927)+LN(INDEX(Pop_Inputs!$B$2:$N$29,MATCH(C927,Pop_Inputs!$A$2:$A$29,0),G927+1))*H927)</f>
        <v>770258.57348314</v>
      </c>
      <c r="J927" s="20" t="n">
        <f aca="false">I927/F927</f>
        <v>770258.57348314</v>
      </c>
      <c r="K927" s="21" t="n">
        <f aca="false">D927/(D927+E927)</f>
        <v>0.467532467532468</v>
      </c>
      <c r="L927" s="21" t="n">
        <f aca="false">AVERAGEIFS($K$2:$K$2705,$B$2:$B$2705,B927)</f>
        <v>0.499994694847636</v>
      </c>
      <c r="M927" s="21" t="n">
        <f aca="false">K927-L927</f>
        <v>-0.0324622273151685</v>
      </c>
      <c r="N927" s="21" t="n">
        <f aca="false">LN(J927)</f>
        <v>13.5544815471768</v>
      </c>
      <c r="O927" s="21" t="n">
        <f aca="false">AVERAGEIFS($N$2:$N$2705,$B$2:$B$2705,B927)</f>
        <v>13.9235265183971</v>
      </c>
      <c r="P927" s="21" t="n">
        <f aca="false">N927-O927</f>
        <v>-0.369044971220305</v>
      </c>
      <c r="Q927" s="7" t="n">
        <v>0</v>
      </c>
      <c r="R927" s="3" t="n">
        <f aca="false">IF(AND(Q927=1,B927-_xlfn.MINIFS($B$2:$B$2705,$A$2:$A$2705,A927)&lt;10),1,0)</f>
        <v>0</v>
      </c>
      <c r="S927" s="7" t="n">
        <v>0</v>
      </c>
      <c r="T927" s="3" t="n">
        <f aca="false">_xlfn.MINIFS($B$2:$B$2705,$A$2:$A$2705,A927)</f>
        <v>1901</v>
      </c>
      <c r="U927" s="3" t="n">
        <f aca="false">B927-T927</f>
        <v>57</v>
      </c>
      <c r="V927" s="3" t="str">
        <f aca="false">INDEX(Pop_Inputs!$Q$2:$Q$29,MATCH(C927,Pop_Inputs!$A$2:$A$29,0))</f>
        <v>Midwest</v>
      </c>
      <c r="W927" s="30"/>
      <c r="X927" s="3" t="str">
        <f aca="false">IF(W927="","",LN(W927))</f>
        <v/>
      </c>
      <c r="Y927" s="3" t="str">
        <f aca="false">IF(X927="","",X927-AVERAGEIFS($X$2:$X$2705,$B$2:$B$2705,B927))</f>
        <v/>
      </c>
      <c r="Z927" s="21" t="n">
        <f aca="false">P927</f>
        <v>-0.369044971220305</v>
      </c>
      <c r="AA927" s="3" t="n">
        <f aca="false">R927</f>
        <v>0</v>
      </c>
      <c r="AB927" s="21" t="n">
        <f aca="false">P927</f>
        <v>-0.369044971220305</v>
      </c>
      <c r="AC927" s="3" t="str">
        <f aca="false">Y927</f>
        <v/>
      </c>
      <c r="AD927" s="3" t="n">
        <f aca="false">R927</f>
        <v>0</v>
      </c>
    </row>
    <row r="928" customFormat="false" ht="15" hidden="false" customHeight="true" outlineLevel="0" collapsed="false">
      <c r="A928" s="7" t="s">
        <v>54</v>
      </c>
      <c r="B928" s="7" t="n">
        <v>1959</v>
      </c>
      <c r="C928" s="7" t="s">
        <v>158</v>
      </c>
      <c r="D928" s="7" t="n">
        <v>86</v>
      </c>
      <c r="E928" s="7" t="n">
        <v>70</v>
      </c>
      <c r="F928" s="3" t="n">
        <f aca="false">COUNTIFS($B$2:$B$2705,B928,$C$2:$C$2705,C928)</f>
        <v>1</v>
      </c>
      <c r="G928" s="3" t="n">
        <f aca="false">MIN(INT((MIN(B928,2020)-1900)/10)+1,12)</f>
        <v>6</v>
      </c>
      <c r="H928" s="3" t="n">
        <f aca="false">(MIN(B928,2020)-1900-10*(G928-1))/10</f>
        <v>0.9</v>
      </c>
      <c r="I928" s="20" t="n">
        <f aca="false">EXP(LN(INDEX(Pop_Inputs!$B$2:$N$29,MATCH(C928,Pop_Inputs!$A$2:$A$29,0),G928))*(1-H928)+LN(INDEX(Pop_Inputs!$B$2:$N$29,MATCH(C928,Pop_Inputs!$A$2:$A$29,0),G928+1))*H928)</f>
        <v>730210.233748493</v>
      </c>
      <c r="J928" s="20" t="n">
        <f aca="false">I928/F928</f>
        <v>730210.233748493</v>
      </c>
      <c r="K928" s="21" t="n">
        <f aca="false">D928/(D928+E928)</f>
        <v>0.551282051282051</v>
      </c>
      <c r="L928" s="21" t="n">
        <f aca="false">AVERAGEIFS($K$2:$K$2705,$B$2:$B$2705,B928)</f>
        <v>0.499906343656344</v>
      </c>
      <c r="M928" s="21" t="n">
        <f aca="false">K928-L928</f>
        <v>0.0513757076257076</v>
      </c>
      <c r="N928" s="21" t="n">
        <f aca="false">LN(J928)</f>
        <v>13.5010877630993</v>
      </c>
      <c r="O928" s="21" t="n">
        <f aca="false">AVERAGEIFS($N$2:$N$2705,$B$2:$B$2705,B928)</f>
        <v>13.9216120834156</v>
      </c>
      <c r="P928" s="21" t="n">
        <f aca="false">N928-O928</f>
        <v>-0.420524320316352</v>
      </c>
      <c r="Q928" s="7" t="n">
        <v>0</v>
      </c>
      <c r="R928" s="3" t="n">
        <f aca="false">IF(AND(Q928=1,B928-_xlfn.MINIFS($B$2:$B$2705,$A$2:$A$2705,A928)&lt;10),1,0)</f>
        <v>0</v>
      </c>
      <c r="S928" s="7" t="n">
        <v>0</v>
      </c>
      <c r="T928" s="3" t="n">
        <f aca="false">_xlfn.MINIFS($B$2:$B$2705,$A$2:$A$2705,A928)</f>
        <v>1901</v>
      </c>
      <c r="U928" s="3" t="n">
        <f aca="false">B928-T928</f>
        <v>58</v>
      </c>
      <c r="V928" s="3" t="str">
        <f aca="false">INDEX(Pop_Inputs!$Q$2:$Q$29,MATCH(C928,Pop_Inputs!$A$2:$A$29,0))</f>
        <v>Midwest</v>
      </c>
      <c r="W928" s="30"/>
      <c r="X928" s="3" t="str">
        <f aca="false">IF(W928="","",LN(W928))</f>
        <v/>
      </c>
      <c r="Y928" s="3" t="str">
        <f aca="false">IF(X928="","",X928-AVERAGEIFS($X$2:$X$2705,$B$2:$B$2705,B928))</f>
        <v/>
      </c>
      <c r="Z928" s="21" t="n">
        <f aca="false">P928</f>
        <v>-0.420524320316352</v>
      </c>
      <c r="AA928" s="3" t="n">
        <f aca="false">R928</f>
        <v>0</v>
      </c>
      <c r="AB928" s="21" t="n">
        <f aca="false">P928</f>
        <v>-0.420524320316352</v>
      </c>
      <c r="AC928" s="3" t="str">
        <f aca="false">Y928</f>
        <v/>
      </c>
      <c r="AD928" s="3" t="n">
        <f aca="false">R928</f>
        <v>0</v>
      </c>
    </row>
    <row r="929" customFormat="false" ht="15" hidden="false" customHeight="true" outlineLevel="0" collapsed="false">
      <c r="A929" s="7" t="s">
        <v>63</v>
      </c>
      <c r="B929" s="7" t="n">
        <v>1959</v>
      </c>
      <c r="C929" s="7" t="s">
        <v>149</v>
      </c>
      <c r="D929" s="7" t="n">
        <v>74</v>
      </c>
      <c r="E929" s="7" t="n">
        <v>80</v>
      </c>
      <c r="F929" s="3" t="n">
        <f aca="false">COUNTIFS($B$2:$B$2705,B929,$C$2:$C$2705,C929)</f>
        <v>1</v>
      </c>
      <c r="G929" s="3" t="n">
        <f aca="false">MIN(INT((MIN(B929,2020)-1900)/10)+1,12)</f>
        <v>6</v>
      </c>
      <c r="H929" s="3" t="n">
        <f aca="false">(MIN(B929,2020)-1900-10*(G929-1))/10</f>
        <v>0.9</v>
      </c>
      <c r="I929" s="20" t="n">
        <f aca="false">EXP(LN(INDEX(Pop_Inputs!$B$2:$N$29,MATCH(C929,Pop_Inputs!$A$2:$A$29,0),G929))*(1-H929)+LN(INDEX(Pop_Inputs!$B$2:$N$29,MATCH(C929,Pop_Inputs!$A$2:$A$29,0),G929+1))*H929)</f>
        <v>940086.968890849</v>
      </c>
      <c r="J929" s="20" t="n">
        <f aca="false">I929/F929</f>
        <v>940086.968890849</v>
      </c>
      <c r="K929" s="21" t="n">
        <f aca="false">D929/(D929+E929)</f>
        <v>0.480519480519481</v>
      </c>
      <c r="L929" s="21" t="n">
        <f aca="false">AVERAGEIFS($K$2:$K$2705,$B$2:$B$2705,B929)</f>
        <v>0.499906343656344</v>
      </c>
      <c r="M929" s="21" t="n">
        <f aca="false">K929-L929</f>
        <v>-0.0193868631368632</v>
      </c>
      <c r="N929" s="21" t="n">
        <f aca="false">LN(J929)</f>
        <v>13.7537276700631</v>
      </c>
      <c r="O929" s="21" t="n">
        <f aca="false">AVERAGEIFS($N$2:$N$2705,$B$2:$B$2705,B929)</f>
        <v>13.9216120834156</v>
      </c>
      <c r="P929" s="21" t="n">
        <f aca="false">N929-O929</f>
        <v>-0.16788441335253</v>
      </c>
      <c r="Q929" s="7" t="n">
        <v>0</v>
      </c>
      <c r="R929" s="3" t="n">
        <f aca="false">IF(AND(Q929=1,B929-_xlfn.MINIFS($B$2:$B$2705,$A$2:$A$2705,A929)&lt;10),1,0)</f>
        <v>0</v>
      </c>
      <c r="S929" s="7" t="n">
        <v>0</v>
      </c>
      <c r="T929" s="3" t="n">
        <f aca="false">_xlfn.MINIFS($B$2:$B$2705,$A$2:$A$2705,A929)</f>
        <v>1901</v>
      </c>
      <c r="U929" s="3" t="n">
        <f aca="false">B929-T929</f>
        <v>58</v>
      </c>
      <c r="V929" s="3" t="str">
        <f aca="false">INDEX(Pop_Inputs!$Q$2:$Q$29,MATCH(C929,Pop_Inputs!$A$2:$A$29,0))</f>
        <v>South</v>
      </c>
      <c r="W929" s="30"/>
      <c r="X929" s="3" t="str">
        <f aca="false">IF(W929="","",LN(W929))</f>
        <v/>
      </c>
      <c r="Y929" s="3" t="str">
        <f aca="false">IF(X929="","",X929-AVERAGEIFS($X$2:$X$2705,$B$2:$B$2705,B929))</f>
        <v/>
      </c>
      <c r="Z929" s="21" t="n">
        <f aca="false">P929</f>
        <v>-0.16788441335253</v>
      </c>
      <c r="AA929" s="3" t="n">
        <f aca="false">R929</f>
        <v>0</v>
      </c>
      <c r="AB929" s="21" t="n">
        <f aca="false">P929</f>
        <v>-0.16788441335253</v>
      </c>
      <c r="AC929" s="3" t="str">
        <f aca="false">Y929</f>
        <v/>
      </c>
      <c r="AD929" s="3" t="n">
        <f aca="false">R929</f>
        <v>0</v>
      </c>
    </row>
    <row r="930" customFormat="false" ht="15" hidden="false" customHeight="true" outlineLevel="0" collapsed="false">
      <c r="A930" s="7" t="s">
        <v>64</v>
      </c>
      <c r="B930" s="7" t="n">
        <v>1959</v>
      </c>
      <c r="C930" s="7" t="s">
        <v>150</v>
      </c>
      <c r="D930" s="7" t="n">
        <v>75</v>
      </c>
      <c r="E930" s="7" t="n">
        <v>79</v>
      </c>
      <c r="F930" s="3" t="n">
        <f aca="false">COUNTIFS($B$2:$B$2705,B930,$C$2:$C$2705,C930)</f>
        <v>1</v>
      </c>
      <c r="G930" s="3" t="n">
        <f aca="false">MIN(INT((MIN(B930,2020)-1900)/10)+1,12)</f>
        <v>6</v>
      </c>
      <c r="H930" s="3" t="n">
        <f aca="false">(MIN(B930,2020)-1900-10*(G930-1))/10</f>
        <v>0.9</v>
      </c>
      <c r="I930" s="20" t="n">
        <f aca="false">EXP(LN(INDEX(Pop_Inputs!$B$2:$N$29,MATCH(C930,Pop_Inputs!$A$2:$A$29,0),G930))*(1-H930)+LN(INDEX(Pop_Inputs!$B$2:$N$29,MATCH(C930,Pop_Inputs!$A$2:$A$29,0),G930+1))*H930)</f>
        <v>706980.242315708</v>
      </c>
      <c r="J930" s="20" t="n">
        <f aca="false">I930/F930</f>
        <v>706980.242315708</v>
      </c>
      <c r="K930" s="21" t="n">
        <f aca="false">D930/(D930+E930)</f>
        <v>0.487012987012987</v>
      </c>
      <c r="L930" s="21" t="n">
        <f aca="false">AVERAGEIFS($K$2:$K$2705,$B$2:$B$2705,B930)</f>
        <v>0.499906343656344</v>
      </c>
      <c r="M930" s="21" t="n">
        <f aca="false">K930-L930</f>
        <v>-0.0128933566433567</v>
      </c>
      <c r="N930" s="21" t="n">
        <f aca="false">LN(J930)</f>
        <v>13.468757998683</v>
      </c>
      <c r="O930" s="21" t="n">
        <f aca="false">AVERAGEIFS($N$2:$N$2705,$B$2:$B$2705,B930)</f>
        <v>13.9216120834156</v>
      </c>
      <c r="P930" s="21" t="n">
        <f aca="false">N930-O930</f>
        <v>-0.452854084732648</v>
      </c>
      <c r="Q930" s="7" t="n">
        <v>0</v>
      </c>
      <c r="R930" s="3" t="n">
        <f aca="false">IF(AND(Q930=1,B930-_xlfn.MINIFS($B$2:$B$2705,$A$2:$A$2705,A930)&lt;10),1,0)</f>
        <v>0</v>
      </c>
      <c r="S930" s="7" t="n">
        <v>0</v>
      </c>
      <c r="T930" s="3" t="n">
        <f aca="false">_xlfn.MINIFS($B$2:$B$2705,$A$2:$A$2705,A930)</f>
        <v>1901</v>
      </c>
      <c r="U930" s="3" t="n">
        <f aca="false">B930-T930</f>
        <v>58</v>
      </c>
      <c r="V930" s="3" t="str">
        <f aca="false">INDEX(Pop_Inputs!$Q$2:$Q$29,MATCH(C930,Pop_Inputs!$A$2:$A$29,0))</f>
        <v>Northeast</v>
      </c>
      <c r="W930" s="30"/>
      <c r="X930" s="3" t="str">
        <f aca="false">IF(W930="","",LN(W930))</f>
        <v/>
      </c>
      <c r="Y930" s="3" t="str">
        <f aca="false">IF(X930="","",X930-AVERAGEIFS($X$2:$X$2705,$B$2:$B$2705,B930))</f>
        <v/>
      </c>
      <c r="Z930" s="21" t="n">
        <f aca="false">P930</f>
        <v>-0.452854084732648</v>
      </c>
      <c r="AA930" s="3" t="n">
        <f aca="false">R930</f>
        <v>0</v>
      </c>
      <c r="AB930" s="21" t="n">
        <f aca="false">P930</f>
        <v>-0.452854084732648</v>
      </c>
      <c r="AC930" s="3" t="str">
        <f aca="false">Y930</f>
        <v/>
      </c>
      <c r="AD930" s="3" t="n">
        <f aca="false">R930</f>
        <v>0</v>
      </c>
    </row>
    <row r="931" customFormat="false" ht="15" hidden="false" customHeight="true" outlineLevel="0" collapsed="false">
      <c r="A931" s="7" t="s">
        <v>56</v>
      </c>
      <c r="B931" s="7" t="n">
        <v>1959</v>
      </c>
      <c r="C931" s="7" t="s">
        <v>142</v>
      </c>
      <c r="D931" s="7" t="n">
        <v>74</v>
      </c>
      <c r="E931" s="7" t="n">
        <v>80</v>
      </c>
      <c r="F931" s="3" t="n">
        <f aca="false">COUNTIFS($B$2:$B$2705,B931,$C$2:$C$2705,C931)</f>
        <v>2</v>
      </c>
      <c r="G931" s="3" t="n">
        <f aca="false">MIN(INT((MIN(B931,2020)-1900)/10)+1,12)</f>
        <v>6</v>
      </c>
      <c r="H931" s="3" t="n">
        <f aca="false">(MIN(B931,2020)-1900-10*(G931-1))/10</f>
        <v>0.9</v>
      </c>
      <c r="I931" s="20" t="n">
        <f aca="false">EXP(LN(INDEX(Pop_Inputs!$B$2:$N$29,MATCH(C931,Pop_Inputs!$A$2:$A$29,0),G931))*(1-H931)+LN(INDEX(Pop_Inputs!$B$2:$N$29,MATCH(C931,Pop_Inputs!$A$2:$A$29,0),G931+1))*H931)</f>
        <v>3557397.4832329</v>
      </c>
      <c r="J931" s="20" t="n">
        <f aca="false">I931/F931</f>
        <v>1778698.74161645</v>
      </c>
      <c r="K931" s="21" t="n">
        <f aca="false">D931/(D931+E931)</f>
        <v>0.480519480519481</v>
      </c>
      <c r="L931" s="21" t="n">
        <f aca="false">AVERAGEIFS($K$2:$K$2705,$B$2:$B$2705,B931)</f>
        <v>0.499906343656344</v>
      </c>
      <c r="M931" s="21" t="n">
        <f aca="false">K931-L931</f>
        <v>-0.0193868631368632</v>
      </c>
      <c r="N931" s="21" t="n">
        <f aca="false">LN(J931)</f>
        <v>14.3913926108896</v>
      </c>
      <c r="O931" s="21" t="n">
        <f aca="false">AVERAGEIFS($N$2:$N$2705,$B$2:$B$2705,B931)</f>
        <v>13.9216120834156</v>
      </c>
      <c r="P931" s="21" t="n">
        <f aca="false">N931-O931</f>
        <v>0.46978052747393</v>
      </c>
      <c r="Q931" s="7" t="n">
        <v>0</v>
      </c>
      <c r="R931" s="3" t="n">
        <f aca="false">IF(AND(Q931=1,B931-_xlfn.MINIFS($B$2:$B$2705,$A$2:$A$2705,A931)&lt;10),1,0)</f>
        <v>0</v>
      </c>
      <c r="S931" s="7" t="n">
        <v>0</v>
      </c>
      <c r="T931" s="3" t="n">
        <f aca="false">_xlfn.MINIFS($B$2:$B$2705,$A$2:$A$2705,A931)</f>
        <v>1901</v>
      </c>
      <c r="U931" s="3" t="n">
        <f aca="false">B931-T931</f>
        <v>58</v>
      </c>
      <c r="V931" s="3" t="str">
        <f aca="false">INDEX(Pop_Inputs!$Q$2:$Q$29,MATCH(C931,Pop_Inputs!$A$2:$A$29,0))</f>
        <v>Midwest</v>
      </c>
      <c r="W931" s="30"/>
      <c r="X931" s="3" t="str">
        <f aca="false">IF(W931="","",LN(W931))</f>
        <v/>
      </c>
      <c r="Y931" s="3" t="str">
        <f aca="false">IF(X931="","",X931-AVERAGEIFS($X$2:$X$2705,$B$2:$B$2705,B931))</f>
        <v/>
      </c>
      <c r="Z931" s="21" t="n">
        <f aca="false">P931</f>
        <v>0.46978052747393</v>
      </c>
      <c r="AA931" s="3" t="n">
        <f aca="false">R931</f>
        <v>0</v>
      </c>
      <c r="AB931" s="21" t="n">
        <f aca="false">P931</f>
        <v>0.46978052747393</v>
      </c>
      <c r="AC931" s="3" t="str">
        <f aca="false">Y931</f>
        <v/>
      </c>
      <c r="AD931" s="3" t="n">
        <f aca="false">R931</f>
        <v>0</v>
      </c>
    </row>
    <row r="932" customFormat="false" ht="15" hidden="false" customHeight="true" outlineLevel="0" collapsed="false">
      <c r="A932" s="7" t="s">
        <v>65</v>
      </c>
      <c r="B932" s="7" t="n">
        <v>1959</v>
      </c>
      <c r="C932" s="7" t="s">
        <v>142</v>
      </c>
      <c r="D932" s="7" t="n">
        <v>94</v>
      </c>
      <c r="E932" s="7" t="n">
        <v>60</v>
      </c>
      <c r="F932" s="3" t="n">
        <f aca="false">COUNTIFS($B$2:$B$2705,B932,$C$2:$C$2705,C932)</f>
        <v>2</v>
      </c>
      <c r="G932" s="3" t="n">
        <f aca="false">MIN(INT((MIN(B932,2020)-1900)/10)+1,12)</f>
        <v>6</v>
      </c>
      <c r="H932" s="3" t="n">
        <f aca="false">(MIN(B932,2020)-1900-10*(G932-1))/10</f>
        <v>0.9</v>
      </c>
      <c r="I932" s="20" t="n">
        <f aca="false">EXP(LN(INDEX(Pop_Inputs!$B$2:$N$29,MATCH(C932,Pop_Inputs!$A$2:$A$29,0),G932))*(1-H932)+LN(INDEX(Pop_Inputs!$B$2:$N$29,MATCH(C932,Pop_Inputs!$A$2:$A$29,0),G932+1))*H932)</f>
        <v>3557397.4832329</v>
      </c>
      <c r="J932" s="20" t="n">
        <f aca="false">I932/F932</f>
        <v>1778698.74161645</v>
      </c>
      <c r="K932" s="21" t="n">
        <f aca="false">D932/(D932+E932)</f>
        <v>0.61038961038961</v>
      </c>
      <c r="L932" s="21" t="n">
        <f aca="false">AVERAGEIFS($K$2:$K$2705,$B$2:$B$2705,B932)</f>
        <v>0.499906343656344</v>
      </c>
      <c r="M932" s="21" t="n">
        <f aca="false">K932-L932</f>
        <v>0.110483266733267</v>
      </c>
      <c r="N932" s="21" t="n">
        <f aca="false">LN(J932)</f>
        <v>14.3913926108896</v>
      </c>
      <c r="O932" s="21" t="n">
        <f aca="false">AVERAGEIFS($N$2:$N$2705,$B$2:$B$2705,B932)</f>
        <v>13.9216120834156</v>
      </c>
      <c r="P932" s="21" t="n">
        <f aca="false">N932-O932</f>
        <v>0.46978052747393</v>
      </c>
      <c r="Q932" s="7" t="n">
        <v>0</v>
      </c>
      <c r="R932" s="3" t="n">
        <f aca="false">IF(AND(Q932=1,B932-_xlfn.MINIFS($B$2:$B$2705,$A$2:$A$2705,A932)&lt;10),1,0)</f>
        <v>0</v>
      </c>
      <c r="S932" s="7" t="n">
        <v>0</v>
      </c>
      <c r="T932" s="3" t="n">
        <f aca="false">_xlfn.MINIFS($B$2:$B$2705,$A$2:$A$2705,A932)</f>
        <v>1901</v>
      </c>
      <c r="U932" s="3" t="n">
        <f aca="false">B932-T932</f>
        <v>58</v>
      </c>
      <c r="V932" s="3" t="str">
        <f aca="false">INDEX(Pop_Inputs!$Q$2:$Q$29,MATCH(C932,Pop_Inputs!$A$2:$A$29,0))</f>
        <v>Midwest</v>
      </c>
      <c r="W932" s="30"/>
      <c r="X932" s="3" t="str">
        <f aca="false">IF(W932="","",LN(W932))</f>
        <v/>
      </c>
      <c r="Y932" s="3" t="str">
        <f aca="false">IF(X932="","",X932-AVERAGEIFS($X$2:$X$2705,$B$2:$B$2705,B932))</f>
        <v/>
      </c>
      <c r="Z932" s="21" t="n">
        <f aca="false">P932</f>
        <v>0.46978052747393</v>
      </c>
      <c r="AA932" s="3" t="n">
        <f aca="false">R932</f>
        <v>0</v>
      </c>
      <c r="AB932" s="21" t="n">
        <f aca="false">P932</f>
        <v>0.46978052747393</v>
      </c>
      <c r="AC932" s="3" t="str">
        <f aca="false">Y932</f>
        <v/>
      </c>
      <c r="AD932" s="3" t="n">
        <f aca="false">R932</f>
        <v>0</v>
      </c>
    </row>
    <row r="933" customFormat="false" ht="15" hidden="false" customHeight="true" outlineLevel="0" collapsed="false">
      <c r="A933" s="7" t="s">
        <v>57</v>
      </c>
      <c r="B933" s="7" t="n">
        <v>1959</v>
      </c>
      <c r="C933" s="7" t="s">
        <v>143</v>
      </c>
      <c r="D933" s="7" t="n">
        <v>74</v>
      </c>
      <c r="E933" s="7" t="n">
        <v>80</v>
      </c>
      <c r="F933" s="3" t="n">
        <f aca="false">COUNTIFS($B$2:$B$2705,B933,$C$2:$C$2705,C933)</f>
        <v>1</v>
      </c>
      <c r="G933" s="3" t="n">
        <f aca="false">MIN(INT((MIN(B933,2020)-1900)/10)+1,12)</f>
        <v>6</v>
      </c>
      <c r="H933" s="3" t="n">
        <f aca="false">(MIN(B933,2020)-1900-10*(G933-1))/10</f>
        <v>0.9</v>
      </c>
      <c r="I933" s="20" t="n">
        <f aca="false">EXP(LN(INDEX(Pop_Inputs!$B$2:$N$29,MATCH(C933,Pop_Inputs!$A$2:$A$29,0),G933))*(1-H933)+LN(INDEX(Pop_Inputs!$B$2:$N$29,MATCH(C933,Pop_Inputs!$A$2:$A$29,0),G933+1))*H933)</f>
        <v>502694.612596033</v>
      </c>
      <c r="J933" s="20" t="n">
        <f aca="false">I933/F933</f>
        <v>502694.612596033</v>
      </c>
      <c r="K933" s="21" t="n">
        <f aca="false">D933/(D933+E933)</f>
        <v>0.480519480519481</v>
      </c>
      <c r="L933" s="21" t="n">
        <f aca="false">AVERAGEIFS($K$2:$K$2705,$B$2:$B$2705,B933)</f>
        <v>0.499906343656344</v>
      </c>
      <c r="M933" s="21" t="n">
        <f aca="false">K933-L933</f>
        <v>-0.0193868631368632</v>
      </c>
      <c r="N933" s="21" t="n">
        <f aca="false">LN(J933)</f>
        <v>13.1277381326868</v>
      </c>
      <c r="O933" s="21" t="n">
        <f aca="false">AVERAGEIFS($N$2:$N$2705,$B$2:$B$2705,B933)</f>
        <v>13.9216120834156</v>
      </c>
      <c r="P933" s="21" t="n">
        <f aca="false">N933-O933</f>
        <v>-0.79387395072888</v>
      </c>
      <c r="Q933" s="7" t="n">
        <v>0</v>
      </c>
      <c r="R933" s="3" t="n">
        <f aca="false">IF(AND(Q933=1,B933-_xlfn.MINIFS($B$2:$B$2705,$A$2:$A$2705,A933)&lt;10),1,0)</f>
        <v>0</v>
      </c>
      <c r="S933" s="7" t="n">
        <v>0</v>
      </c>
      <c r="T933" s="3" t="n">
        <f aca="false">_xlfn.MINIFS($B$2:$B$2705,$A$2:$A$2705,A933)</f>
        <v>1901</v>
      </c>
      <c r="U933" s="3" t="n">
        <f aca="false">B933-T933</f>
        <v>58</v>
      </c>
      <c r="V933" s="3" t="str">
        <f aca="false">INDEX(Pop_Inputs!$Q$2:$Q$29,MATCH(C933,Pop_Inputs!$A$2:$A$29,0))</f>
        <v>Midwest</v>
      </c>
      <c r="W933" s="30"/>
      <c r="X933" s="3" t="str">
        <f aca="false">IF(W933="","",LN(W933))</f>
        <v/>
      </c>
      <c r="Y933" s="3" t="str">
        <f aca="false">IF(X933="","",X933-AVERAGEIFS($X$2:$X$2705,$B$2:$B$2705,B933))</f>
        <v/>
      </c>
      <c r="Z933" s="21" t="n">
        <f aca="false">P933</f>
        <v>-0.79387395072888</v>
      </c>
      <c r="AA933" s="3" t="n">
        <f aca="false">R933</f>
        <v>0</v>
      </c>
      <c r="AB933" s="21" t="n">
        <f aca="false">P933</f>
        <v>-0.79387395072888</v>
      </c>
      <c r="AC933" s="3" t="str">
        <f aca="false">Y933</f>
        <v/>
      </c>
      <c r="AD933" s="3" t="n">
        <f aca="false">R933</f>
        <v>0</v>
      </c>
    </row>
    <row r="934" customFormat="false" ht="15" hidden="false" customHeight="true" outlineLevel="0" collapsed="false">
      <c r="A934" s="7" t="s">
        <v>66</v>
      </c>
      <c r="B934" s="7" t="n">
        <v>1959</v>
      </c>
      <c r="C934" s="7" t="s">
        <v>151</v>
      </c>
      <c r="D934" s="7" t="n">
        <v>89</v>
      </c>
      <c r="E934" s="7" t="n">
        <v>65</v>
      </c>
      <c r="F934" s="3" t="n">
        <f aca="false">COUNTIFS($B$2:$B$2705,B934,$C$2:$C$2705,C934)</f>
        <v>1</v>
      </c>
      <c r="G934" s="3" t="n">
        <f aca="false">MIN(INT((MIN(B934,2020)-1900)/10)+1,12)</f>
        <v>6</v>
      </c>
      <c r="H934" s="3" t="n">
        <f aca="false">(MIN(B934,2020)-1900-10*(G934-1))/10</f>
        <v>0.9</v>
      </c>
      <c r="I934" s="20" t="n">
        <f aca="false">EXP(LN(INDEX(Pop_Inputs!$B$2:$N$29,MATCH(C934,Pop_Inputs!$A$2:$A$29,0),G934))*(1-H934)+LN(INDEX(Pop_Inputs!$B$2:$N$29,MATCH(C934,Pop_Inputs!$A$2:$A$29,0),G934+1))*H934)</f>
        <v>879850.732529227</v>
      </c>
      <c r="J934" s="20" t="n">
        <f aca="false">I934/F934</f>
        <v>879850.732529227</v>
      </c>
      <c r="K934" s="21" t="n">
        <f aca="false">D934/(D934+E934)</f>
        <v>0.577922077922078</v>
      </c>
      <c r="L934" s="21" t="n">
        <f aca="false">AVERAGEIFS($K$2:$K$2705,$B$2:$B$2705,B934)</f>
        <v>0.499906343656344</v>
      </c>
      <c r="M934" s="21" t="n">
        <f aca="false">K934-L934</f>
        <v>0.0780157342657343</v>
      </c>
      <c r="N934" s="21" t="n">
        <f aca="false">LN(J934)</f>
        <v>13.6875075499411</v>
      </c>
      <c r="O934" s="21" t="n">
        <f aca="false">AVERAGEIFS($N$2:$N$2705,$B$2:$B$2705,B934)</f>
        <v>13.9216120834156</v>
      </c>
      <c r="P934" s="21" t="n">
        <f aca="false">N934-O934</f>
        <v>-0.234104533474593</v>
      </c>
      <c r="Q934" s="7" t="n">
        <v>0</v>
      </c>
      <c r="R934" s="3" t="n">
        <f aca="false">IF(AND(Q934=1,B934-_xlfn.MINIFS($B$2:$B$2705,$A$2:$A$2705,A934)&lt;10),1,0)</f>
        <v>0</v>
      </c>
      <c r="S934" s="7" t="n">
        <v>0</v>
      </c>
      <c r="T934" s="3" t="n">
        <f aca="false">_xlfn.MINIFS($B$2:$B$2705,$A$2:$A$2705,A934)</f>
        <v>1901</v>
      </c>
      <c r="U934" s="3" t="n">
        <f aca="false">B934-T934</f>
        <v>58</v>
      </c>
      <c r="V934" s="3" t="str">
        <f aca="false">INDEX(Pop_Inputs!$Q$2:$Q$29,MATCH(C934,Pop_Inputs!$A$2:$A$29,0))</f>
        <v>Midwest</v>
      </c>
      <c r="W934" s="30"/>
      <c r="X934" s="3" t="str">
        <f aca="false">IF(W934="","",LN(W934))</f>
        <v/>
      </c>
      <c r="Y934" s="3" t="str">
        <f aca="false">IF(X934="","",X934-AVERAGEIFS($X$2:$X$2705,$B$2:$B$2705,B934))</f>
        <v/>
      </c>
      <c r="Z934" s="21" t="n">
        <f aca="false">P934</f>
        <v>-0.234104533474593</v>
      </c>
      <c r="AA934" s="3" t="n">
        <f aca="false">R934</f>
        <v>0</v>
      </c>
      <c r="AB934" s="21" t="n">
        <f aca="false">P934</f>
        <v>-0.234104533474593</v>
      </c>
      <c r="AC934" s="3" t="str">
        <f aca="false">Y934</f>
        <v/>
      </c>
      <c r="AD934" s="3" t="n">
        <f aca="false">R934</f>
        <v>0</v>
      </c>
    </row>
    <row r="935" customFormat="false" ht="15" hidden="false" customHeight="true" outlineLevel="0" collapsed="false">
      <c r="A935" s="7" t="s">
        <v>67</v>
      </c>
      <c r="B935" s="7" t="n">
        <v>1959</v>
      </c>
      <c r="C935" s="7" t="s">
        <v>152</v>
      </c>
      <c r="D935" s="7" t="n">
        <v>76</v>
      </c>
      <c r="E935" s="7" t="n">
        <v>78</v>
      </c>
      <c r="F935" s="3" t="n">
        <f aca="false">COUNTIFS($B$2:$B$2705,B935,$C$2:$C$2705,C935)</f>
        <v>1</v>
      </c>
      <c r="G935" s="3" t="n">
        <f aca="false">MIN(INT((MIN(B935,2020)-1900)/10)+1,12)</f>
        <v>6</v>
      </c>
      <c r="H935" s="3" t="n">
        <f aca="false">(MIN(B935,2020)-1900-10*(G935-1))/10</f>
        <v>0.9</v>
      </c>
      <c r="I935" s="20" t="n">
        <f aca="false">EXP(LN(INDEX(Pop_Inputs!$B$2:$N$29,MATCH(C935,Pop_Inputs!$A$2:$A$29,0),G935))*(1-H935)+LN(INDEX(Pop_Inputs!$B$2:$N$29,MATCH(C935,Pop_Inputs!$A$2:$A$29,0),G935+1))*H935)</f>
        <v>1687273.77422866</v>
      </c>
      <c r="J935" s="20" t="n">
        <f aca="false">I935/F935</f>
        <v>1687273.77422866</v>
      </c>
      <c r="K935" s="21" t="n">
        <f aca="false">D935/(D935+E935)</f>
        <v>0.493506493506494</v>
      </c>
      <c r="L935" s="21" t="n">
        <f aca="false">AVERAGEIFS($K$2:$K$2705,$B$2:$B$2705,B935)</f>
        <v>0.499906343656344</v>
      </c>
      <c r="M935" s="21" t="n">
        <f aca="false">K935-L935</f>
        <v>-0.00639985014985017</v>
      </c>
      <c r="N935" s="21" t="n">
        <f aca="false">LN(J935)</f>
        <v>14.3386246330257</v>
      </c>
      <c r="O935" s="21" t="n">
        <f aca="false">AVERAGEIFS($N$2:$N$2705,$B$2:$B$2705,B935)</f>
        <v>13.9216120834156</v>
      </c>
      <c r="P935" s="21" t="n">
        <f aca="false">N935-O935</f>
        <v>0.417012549610023</v>
      </c>
      <c r="Q935" s="7" t="n">
        <v>0</v>
      </c>
      <c r="R935" s="3" t="n">
        <f aca="false">IF(AND(Q935=1,B935-_xlfn.MINIFS($B$2:$B$2705,$A$2:$A$2705,A935)&lt;10),1,0)</f>
        <v>0</v>
      </c>
      <c r="S935" s="7" t="n">
        <v>0</v>
      </c>
      <c r="T935" s="3" t="n">
        <f aca="false">_xlfn.MINIFS($B$2:$B$2705,$A$2:$A$2705,A935)</f>
        <v>1901</v>
      </c>
      <c r="U935" s="3" t="n">
        <f aca="false">B935-T935</f>
        <v>58</v>
      </c>
      <c r="V935" s="3" t="str">
        <f aca="false">INDEX(Pop_Inputs!$Q$2:$Q$29,MATCH(C935,Pop_Inputs!$A$2:$A$29,0))</f>
        <v>Midwest</v>
      </c>
      <c r="W935" s="30"/>
      <c r="X935" s="3" t="str">
        <f aca="false">IF(W935="","",LN(W935))</f>
        <v/>
      </c>
      <c r="Y935" s="3" t="str">
        <f aca="false">IF(X935="","",X935-AVERAGEIFS($X$2:$X$2705,$B$2:$B$2705,B935))</f>
        <v/>
      </c>
      <c r="Z935" s="21" t="n">
        <f aca="false">P935</f>
        <v>0.417012549610023</v>
      </c>
      <c r="AA935" s="3" t="n">
        <f aca="false">R935</f>
        <v>0</v>
      </c>
      <c r="AB935" s="21" t="n">
        <f aca="false">P935</f>
        <v>0.417012549610023</v>
      </c>
      <c r="AC935" s="3" t="str">
        <f aca="false">Y935</f>
        <v/>
      </c>
      <c r="AD935" s="3" t="n">
        <f aca="false">R935</f>
        <v>0</v>
      </c>
    </row>
    <row r="936" customFormat="false" ht="15" hidden="false" customHeight="true" outlineLevel="0" collapsed="false">
      <c r="A936" s="7" t="s">
        <v>62</v>
      </c>
      <c r="B936" s="7" t="n">
        <v>1959</v>
      </c>
      <c r="C936" s="7" t="s">
        <v>148</v>
      </c>
      <c r="D936" s="7" t="n">
        <v>88</v>
      </c>
      <c r="E936" s="7" t="n">
        <v>68</v>
      </c>
      <c r="F936" s="3" t="n">
        <f aca="false">COUNTIFS($B$2:$B$2705,B936,$C$2:$C$2705,C936)</f>
        <v>1</v>
      </c>
      <c r="G936" s="3" t="n">
        <f aca="false">MIN(INT((MIN(B936,2020)-1900)/10)+1,12)</f>
        <v>6</v>
      </c>
      <c r="H936" s="3" t="n">
        <f aca="false">(MIN(B936,2020)-1900-10*(G936-1))/10</f>
        <v>0.9</v>
      </c>
      <c r="I936" s="20" t="n">
        <f aca="false">EXP(LN(INDEX(Pop_Inputs!$B$2:$N$29,MATCH(C936,Pop_Inputs!$A$2:$A$29,0),G936))*(1-H936)+LN(INDEX(Pop_Inputs!$B$2:$N$29,MATCH(C936,Pop_Inputs!$A$2:$A$29,0),G936+1))*H936)</f>
        <v>2422734.10694734</v>
      </c>
      <c r="J936" s="20" t="n">
        <f aca="false">I936/F936</f>
        <v>2422734.10694734</v>
      </c>
      <c r="K936" s="21" t="n">
        <f aca="false">D936/(D936+E936)</f>
        <v>0.564102564102564</v>
      </c>
      <c r="L936" s="21" t="n">
        <f aca="false">AVERAGEIFS($K$2:$K$2705,$B$2:$B$2705,B936)</f>
        <v>0.499906343656344</v>
      </c>
      <c r="M936" s="21" t="n">
        <f aca="false">K936-L936</f>
        <v>0.0641962204462204</v>
      </c>
      <c r="N936" s="21" t="n">
        <f aca="false">LN(J936)</f>
        <v>14.7004072566526</v>
      </c>
      <c r="O936" s="21" t="n">
        <f aca="false">AVERAGEIFS($N$2:$N$2705,$B$2:$B$2705,B936)</f>
        <v>13.9216120834156</v>
      </c>
      <c r="P936" s="21" t="n">
        <f aca="false">N936-O936</f>
        <v>0.778795173236961</v>
      </c>
      <c r="Q936" s="7" t="n">
        <v>0</v>
      </c>
      <c r="R936" s="3" t="n">
        <f aca="false">IF(AND(Q936=1,B936-_xlfn.MINIFS($B$2:$B$2705,$A$2:$A$2705,A936)&lt;10),1,0)</f>
        <v>0</v>
      </c>
      <c r="S936" s="7" t="n">
        <v>0</v>
      </c>
      <c r="T936" s="3" t="n">
        <f aca="false">_xlfn.MINIFS($B$2:$B$2705,$A$2:$A$2705,A936)</f>
        <v>1901</v>
      </c>
      <c r="U936" s="3" t="n">
        <f aca="false">B936-T936</f>
        <v>58</v>
      </c>
      <c r="V936" s="3" t="str">
        <f aca="false">INDEX(Pop_Inputs!$Q$2:$Q$29,MATCH(C936,Pop_Inputs!$A$2:$A$29,0))</f>
        <v>West</v>
      </c>
      <c r="W936" s="30"/>
      <c r="X936" s="3" t="str">
        <f aca="false">IF(W936="","",LN(W936))</f>
        <v/>
      </c>
      <c r="Y936" s="3" t="str">
        <f aca="false">IF(X936="","",X936-AVERAGEIFS($X$2:$X$2705,$B$2:$B$2705,B936))</f>
        <v/>
      </c>
      <c r="Z936" s="21" t="n">
        <f aca="false">P936</f>
        <v>0.778795173236961</v>
      </c>
      <c r="AA936" s="3" t="n">
        <f aca="false">R936</f>
        <v>0</v>
      </c>
      <c r="AB936" s="21" t="n">
        <f aca="false">P936</f>
        <v>0.778795173236961</v>
      </c>
      <c r="AC936" s="3" t="str">
        <f aca="false">Y936</f>
        <v/>
      </c>
      <c r="AD936" s="3" t="n">
        <f aca="false">R936</f>
        <v>0</v>
      </c>
    </row>
    <row r="937" customFormat="false" ht="15" hidden="false" customHeight="true" outlineLevel="0" collapsed="false">
      <c r="A937" s="7" t="s">
        <v>68</v>
      </c>
      <c r="B937" s="7" t="n">
        <v>1959</v>
      </c>
      <c r="C937" s="7" t="s">
        <v>160</v>
      </c>
      <c r="D937" s="7" t="n">
        <v>63</v>
      </c>
      <c r="E937" s="7" t="n">
        <v>91</v>
      </c>
      <c r="F937" s="3" t="n">
        <f aca="false">COUNTIFS($B$2:$B$2705,B937,$C$2:$C$2705,C937)</f>
        <v>1</v>
      </c>
      <c r="G937" s="3" t="n">
        <f aca="false">MIN(INT((MIN(B937,2020)-1900)/10)+1,12)</f>
        <v>6</v>
      </c>
      <c r="H937" s="3" t="n">
        <f aca="false">(MIN(B937,2020)-1900-10*(G937-1))/10</f>
        <v>0.9</v>
      </c>
      <c r="I937" s="20" t="n">
        <f aca="false">EXP(LN(INDEX(Pop_Inputs!$B$2:$N$29,MATCH(C937,Pop_Inputs!$A$2:$A$29,0),G937))*(1-H937)+LN(INDEX(Pop_Inputs!$B$2:$N$29,MATCH(C937,Pop_Inputs!$A$2:$A$29,0),G937+1))*H937)</f>
        <v>767694.777585293</v>
      </c>
      <c r="J937" s="20" t="n">
        <f aca="false">I937/F937</f>
        <v>767694.777585293</v>
      </c>
      <c r="K937" s="21" t="n">
        <f aca="false">D937/(D937+E937)</f>
        <v>0.409090909090909</v>
      </c>
      <c r="L937" s="21" t="n">
        <f aca="false">AVERAGEIFS($K$2:$K$2705,$B$2:$B$2705,B937)</f>
        <v>0.499906343656344</v>
      </c>
      <c r="M937" s="21" t="n">
        <f aca="false">K937-L937</f>
        <v>-0.0908154345654346</v>
      </c>
      <c r="N937" s="21" t="n">
        <f aca="false">LN(J937)</f>
        <v>13.5511475081164</v>
      </c>
      <c r="O937" s="21" t="n">
        <f aca="false">AVERAGEIFS($N$2:$N$2705,$B$2:$B$2705,B937)</f>
        <v>13.9216120834156</v>
      </c>
      <c r="P937" s="21" t="n">
        <f aca="false">N937-O937</f>
        <v>-0.370464575299238</v>
      </c>
      <c r="Q937" s="7" t="n">
        <v>0</v>
      </c>
      <c r="R937" s="3" t="n">
        <f aca="false">IF(AND(Q937=1,B937-_xlfn.MINIFS($B$2:$B$2705,$A$2:$A$2705,A937)&lt;10),1,0)</f>
        <v>0</v>
      </c>
      <c r="S937" s="7" t="n">
        <v>0</v>
      </c>
      <c r="T937" s="3" t="n">
        <f aca="false">_xlfn.MINIFS($B$2:$B$2705,$A$2:$A$2705,A937)</f>
        <v>1901</v>
      </c>
      <c r="U937" s="3" t="n">
        <f aca="false">B937-T937</f>
        <v>58</v>
      </c>
      <c r="V937" s="3" t="str">
        <f aca="false">INDEX(Pop_Inputs!$Q$2:$Q$29,MATCH(C937,Pop_Inputs!$A$2:$A$29,0))</f>
        <v>South</v>
      </c>
      <c r="W937" s="30"/>
      <c r="X937" s="3" t="str">
        <f aca="false">IF(W937="","",LN(W937))</f>
        <v/>
      </c>
      <c r="Y937" s="3" t="str">
        <f aca="false">IF(X937="","",X937-AVERAGEIFS($X$2:$X$2705,$B$2:$B$2705,B937))</f>
        <v/>
      </c>
      <c r="Z937" s="21" t="n">
        <f aca="false">P937</f>
        <v>-0.370464575299238</v>
      </c>
      <c r="AA937" s="3" t="n">
        <f aca="false">R937</f>
        <v>0</v>
      </c>
      <c r="AB937" s="21" t="n">
        <f aca="false">P937</f>
        <v>-0.370464575299238</v>
      </c>
      <c r="AC937" s="3" t="str">
        <f aca="false">Y937</f>
        <v/>
      </c>
      <c r="AD937" s="3" t="n">
        <f aca="false">R937</f>
        <v>0</v>
      </c>
    </row>
    <row r="938" customFormat="false" ht="15" hidden="false" customHeight="true" outlineLevel="0" collapsed="false">
      <c r="A938" s="7" t="s">
        <v>70</v>
      </c>
      <c r="B938" s="7" t="n">
        <v>1959</v>
      </c>
      <c r="C938" s="7" t="s">
        <v>154</v>
      </c>
      <c r="D938" s="7" t="n">
        <v>79</v>
      </c>
      <c r="E938" s="7" t="n">
        <v>75</v>
      </c>
      <c r="F938" s="3" t="n">
        <f aca="false">COUNTIFS($B$2:$B$2705,B938,$C$2:$C$2705,C938)</f>
        <v>1</v>
      </c>
      <c r="G938" s="3" t="n">
        <f aca="false">MIN(INT((MIN(B938,2020)-1900)/10)+1,12)</f>
        <v>6</v>
      </c>
      <c r="H938" s="3" t="n">
        <f aca="false">(MIN(B938,2020)-1900-10*(G938-1))/10</f>
        <v>0.9</v>
      </c>
      <c r="I938" s="20" t="n">
        <f aca="false">EXP(LN(INDEX(Pop_Inputs!$B$2:$N$29,MATCH(C938,Pop_Inputs!$A$2:$A$29,0),G938))*(1-H938)+LN(INDEX(Pop_Inputs!$B$2:$N$29,MATCH(C938,Pop_Inputs!$A$2:$A$29,0),G938+1))*H938)</f>
        <v>7792911.98462301</v>
      </c>
      <c r="J938" s="20" t="n">
        <f aca="false">I938/F938</f>
        <v>7792911.98462301</v>
      </c>
      <c r="K938" s="21" t="n">
        <f aca="false">D938/(D938+E938)</f>
        <v>0.512987012987013</v>
      </c>
      <c r="L938" s="21" t="n">
        <f aca="false">AVERAGEIFS($K$2:$K$2705,$B$2:$B$2705,B938)</f>
        <v>0.499906343656344</v>
      </c>
      <c r="M938" s="21" t="n">
        <f aca="false">K938-L938</f>
        <v>0.0130806693306693</v>
      </c>
      <c r="N938" s="21" t="n">
        <f aca="false">LN(J938)</f>
        <v>15.8687251586034</v>
      </c>
      <c r="O938" s="21" t="n">
        <f aca="false">AVERAGEIFS($N$2:$N$2705,$B$2:$B$2705,B938)</f>
        <v>13.9216120834156</v>
      </c>
      <c r="P938" s="21" t="n">
        <f aca="false">N938-O938</f>
        <v>1.9471130751878</v>
      </c>
      <c r="Q938" s="7" t="n">
        <v>0</v>
      </c>
      <c r="R938" s="3" t="n">
        <f aca="false">IF(AND(Q938=1,B938-_xlfn.MINIFS($B$2:$B$2705,$A$2:$A$2705,A938)&lt;10),1,0)</f>
        <v>0</v>
      </c>
      <c r="S938" s="7" t="n">
        <v>1</v>
      </c>
      <c r="T938" s="3" t="n">
        <f aca="false">_xlfn.MINIFS($B$2:$B$2705,$A$2:$A$2705,A938)</f>
        <v>1903</v>
      </c>
      <c r="U938" s="3" t="n">
        <f aca="false">B938-T938</f>
        <v>56</v>
      </c>
      <c r="V938" s="3" t="str">
        <f aca="false">INDEX(Pop_Inputs!$Q$2:$Q$29,MATCH(C938,Pop_Inputs!$A$2:$A$29,0))</f>
        <v>Northeast</v>
      </c>
      <c r="W938" s="30"/>
      <c r="X938" s="3" t="str">
        <f aca="false">IF(W938="","",LN(W938))</f>
        <v/>
      </c>
      <c r="Y938" s="3" t="str">
        <f aca="false">IF(X938="","",X938-AVERAGEIFS($X$2:$X$2705,$B$2:$B$2705,B938))</f>
        <v/>
      </c>
      <c r="Z938" s="21" t="n">
        <f aca="false">P938</f>
        <v>1.9471130751878</v>
      </c>
      <c r="AA938" s="3" t="n">
        <f aca="false">R938</f>
        <v>0</v>
      </c>
      <c r="AB938" s="21" t="n">
        <f aca="false">P938</f>
        <v>1.9471130751878</v>
      </c>
      <c r="AC938" s="3" t="str">
        <f aca="false">Y938</f>
        <v/>
      </c>
      <c r="AD938" s="3" t="n">
        <f aca="false">R938</f>
        <v>0</v>
      </c>
    </row>
    <row r="939" customFormat="false" ht="15" hidden="false" customHeight="true" outlineLevel="0" collapsed="false">
      <c r="A939" s="7" t="s">
        <v>69</v>
      </c>
      <c r="B939" s="7" t="n">
        <v>1959</v>
      </c>
      <c r="C939" s="7" t="s">
        <v>157</v>
      </c>
      <c r="D939" s="7" t="n">
        <v>66</v>
      </c>
      <c r="E939" s="7" t="n">
        <v>88</v>
      </c>
      <c r="F939" s="3" t="n">
        <f aca="false">COUNTIFS($B$2:$B$2705,B939,$C$2:$C$2705,C939)</f>
        <v>1</v>
      </c>
      <c r="G939" s="3" t="n">
        <f aca="false">MIN(INT((MIN(B939,2020)-1900)/10)+1,12)</f>
        <v>6</v>
      </c>
      <c r="H939" s="3" t="n">
        <f aca="false">(MIN(B939,2020)-1900-10*(G939-1))/10</f>
        <v>0.9</v>
      </c>
      <c r="I939" s="20" t="n">
        <f aca="false">EXP(LN(INDEX(Pop_Inputs!$B$2:$N$29,MATCH(C939,Pop_Inputs!$A$2:$A$29,0),G939))*(1-H939)+LN(INDEX(Pop_Inputs!$B$2:$N$29,MATCH(C939,Pop_Inputs!$A$2:$A$29,0),G939+1))*H939)</f>
        <v>473612.558020912</v>
      </c>
      <c r="J939" s="20" t="n">
        <f aca="false">I939/F939</f>
        <v>473612.558020912</v>
      </c>
      <c r="K939" s="21" t="n">
        <f aca="false">D939/(D939+E939)</f>
        <v>0.428571428571429</v>
      </c>
      <c r="L939" s="21" t="n">
        <f aca="false">AVERAGEIFS($K$2:$K$2705,$B$2:$B$2705,B939)</f>
        <v>0.499906343656344</v>
      </c>
      <c r="M939" s="21" t="n">
        <f aca="false">K939-L939</f>
        <v>-0.0713349150849151</v>
      </c>
      <c r="N939" s="21" t="n">
        <f aca="false">LN(J939)</f>
        <v>13.0681448782918</v>
      </c>
      <c r="O939" s="21" t="n">
        <f aca="false">AVERAGEIFS($N$2:$N$2705,$B$2:$B$2705,B939)</f>
        <v>13.9216120834156</v>
      </c>
      <c r="P939" s="21" t="n">
        <f aca="false">N939-O939</f>
        <v>-0.853467205123804</v>
      </c>
      <c r="Q939" s="7" t="n">
        <v>0</v>
      </c>
      <c r="R939" s="3" t="n">
        <f aca="false">IF(AND(Q939=1,B939-_xlfn.MINIFS($B$2:$B$2705,$A$2:$A$2705,A939)&lt;10),1,0)</f>
        <v>0</v>
      </c>
      <c r="S939" s="7" t="n">
        <v>0</v>
      </c>
      <c r="T939" s="3" t="n">
        <f aca="false">_xlfn.MINIFS($B$2:$B$2705,$A$2:$A$2705,A939)</f>
        <v>1901</v>
      </c>
      <c r="U939" s="3" t="n">
        <f aca="false">B939-T939</f>
        <v>58</v>
      </c>
      <c r="V939" s="3" t="str">
        <f aca="false">INDEX(Pop_Inputs!$Q$2:$Q$29,MATCH(C939,Pop_Inputs!$A$2:$A$29,0))</f>
        <v>Midwest</v>
      </c>
      <c r="W939" s="30"/>
      <c r="X939" s="3" t="str">
        <f aca="false">IF(W939="","",LN(W939))</f>
        <v/>
      </c>
      <c r="Y939" s="3" t="str">
        <f aca="false">IF(X939="","",X939-AVERAGEIFS($X$2:$X$2705,$B$2:$B$2705,B939))</f>
        <v/>
      </c>
      <c r="Z939" s="21" t="n">
        <f aca="false">P939</f>
        <v>-0.853467205123804</v>
      </c>
      <c r="AA939" s="3" t="n">
        <f aca="false">R939</f>
        <v>0</v>
      </c>
      <c r="AB939" s="21" t="n">
        <f aca="false">P939</f>
        <v>-0.853467205123804</v>
      </c>
      <c r="AC939" s="3" t="str">
        <f aca="false">Y939</f>
        <v/>
      </c>
      <c r="AD939" s="3" t="n">
        <f aca="false">R939</f>
        <v>0</v>
      </c>
    </row>
    <row r="940" customFormat="false" ht="15" hidden="false" customHeight="true" outlineLevel="0" collapsed="false">
      <c r="A940" s="7" t="s">
        <v>60</v>
      </c>
      <c r="B940" s="7" t="n">
        <v>1959</v>
      </c>
      <c r="C940" s="7" t="s">
        <v>146</v>
      </c>
      <c r="D940" s="7" t="n">
        <v>64</v>
      </c>
      <c r="E940" s="7" t="n">
        <v>90</v>
      </c>
      <c r="F940" s="3" t="n">
        <f aca="false">COUNTIFS($B$2:$B$2705,B940,$C$2:$C$2705,C940)</f>
        <v>1</v>
      </c>
      <c r="G940" s="3" t="n">
        <f aca="false">MIN(INT((MIN(B940,2020)-1900)/10)+1,12)</f>
        <v>6</v>
      </c>
      <c r="H940" s="3" t="n">
        <f aca="false">(MIN(B940,2020)-1900-10*(G940-1))/10</f>
        <v>0.9</v>
      </c>
      <c r="I940" s="20" t="n">
        <f aca="false">EXP(LN(INDEX(Pop_Inputs!$B$2:$N$29,MATCH(C940,Pop_Inputs!$A$2:$A$29,0),G940))*(1-H940)+LN(INDEX(Pop_Inputs!$B$2:$N$29,MATCH(C940,Pop_Inputs!$A$2:$A$29,0),G940+1))*H940)</f>
        <v>2009316.31038623</v>
      </c>
      <c r="J940" s="20" t="n">
        <f aca="false">I940/F940</f>
        <v>2009316.31038623</v>
      </c>
      <c r="K940" s="21" t="n">
        <f aca="false">D940/(D940+E940)</f>
        <v>0.415584415584416</v>
      </c>
      <c r="L940" s="21" t="n">
        <f aca="false">AVERAGEIFS($K$2:$K$2705,$B$2:$B$2705,B940)</f>
        <v>0.499906343656344</v>
      </c>
      <c r="M940" s="21" t="n">
        <f aca="false">K940-L940</f>
        <v>-0.0843219280719281</v>
      </c>
      <c r="N940" s="21" t="n">
        <f aca="false">LN(J940)</f>
        <v>14.5133050780867</v>
      </c>
      <c r="O940" s="21" t="n">
        <f aca="false">AVERAGEIFS($N$2:$N$2705,$B$2:$B$2705,B940)</f>
        <v>13.9216120834156</v>
      </c>
      <c r="P940" s="21" t="n">
        <f aca="false">N940-O940</f>
        <v>0.591692994671043</v>
      </c>
      <c r="Q940" s="7" t="n">
        <v>0</v>
      </c>
      <c r="R940" s="3" t="n">
        <f aca="false">IF(AND(Q940=1,B940-_xlfn.MINIFS($B$2:$B$2705,$A$2:$A$2705,A940)&lt;10),1,0)</f>
        <v>0</v>
      </c>
      <c r="S940" s="7" t="n">
        <v>0</v>
      </c>
      <c r="T940" s="3" t="n">
        <f aca="false">_xlfn.MINIFS($B$2:$B$2705,$A$2:$A$2705,A940)</f>
        <v>1901</v>
      </c>
      <c r="U940" s="3" t="n">
        <f aca="false">B940-T940</f>
        <v>58</v>
      </c>
      <c r="V940" s="3" t="str">
        <f aca="false">INDEX(Pop_Inputs!$Q$2:$Q$29,MATCH(C940,Pop_Inputs!$A$2:$A$29,0))</f>
        <v>Northeast</v>
      </c>
      <c r="W940" s="30"/>
      <c r="X940" s="3" t="str">
        <f aca="false">IF(W940="","",LN(W940))</f>
        <v/>
      </c>
      <c r="Y940" s="3" t="str">
        <f aca="false">IF(X940="","",X940-AVERAGEIFS($X$2:$X$2705,$B$2:$B$2705,B940))</f>
        <v/>
      </c>
      <c r="Z940" s="21" t="n">
        <f aca="false">P940</f>
        <v>0.591692994671043</v>
      </c>
      <c r="AA940" s="3" t="n">
        <f aca="false">R940</f>
        <v>0</v>
      </c>
      <c r="AB940" s="21" t="n">
        <f aca="false">P940</f>
        <v>0.591692994671043</v>
      </c>
      <c r="AC940" s="3" t="str">
        <f aca="false">Y940</f>
        <v/>
      </c>
      <c r="AD940" s="3" t="n">
        <f aca="false">R940</f>
        <v>0</v>
      </c>
    </row>
    <row r="941" customFormat="false" ht="15" hidden="false" customHeight="true" outlineLevel="0" collapsed="false">
      <c r="A941" s="7" t="s">
        <v>58</v>
      </c>
      <c r="B941" s="7" t="n">
        <v>1959</v>
      </c>
      <c r="C941" s="7" t="s">
        <v>144</v>
      </c>
      <c r="D941" s="7" t="n">
        <v>78</v>
      </c>
      <c r="E941" s="7" t="n">
        <v>76</v>
      </c>
      <c r="F941" s="3" t="n">
        <f aca="false">COUNTIFS($B$2:$B$2705,B941,$C$2:$C$2705,C941)</f>
        <v>1</v>
      </c>
      <c r="G941" s="3" t="n">
        <f aca="false">MIN(INT((MIN(B941,2020)-1900)/10)+1,12)</f>
        <v>6</v>
      </c>
      <c r="H941" s="3" t="n">
        <f aca="false">(MIN(B941,2020)-1900-10*(G941-1))/10</f>
        <v>0.9</v>
      </c>
      <c r="I941" s="20" t="n">
        <f aca="false">EXP(LN(INDEX(Pop_Inputs!$B$2:$N$29,MATCH(C941,Pop_Inputs!$A$2:$A$29,0),G941))*(1-H941)+LN(INDEX(Pop_Inputs!$B$2:$N$29,MATCH(C941,Pop_Inputs!$A$2:$A$29,0),G941+1))*H941)</f>
        <v>611215.63085419</v>
      </c>
      <c r="J941" s="20" t="n">
        <f aca="false">I941/F941</f>
        <v>611215.63085419</v>
      </c>
      <c r="K941" s="21" t="n">
        <f aca="false">D941/(D941+E941)</f>
        <v>0.506493506493506</v>
      </c>
      <c r="L941" s="21" t="n">
        <f aca="false">AVERAGEIFS($K$2:$K$2705,$B$2:$B$2705,B941)</f>
        <v>0.499906343656344</v>
      </c>
      <c r="M941" s="21" t="n">
        <f aca="false">K941-L941</f>
        <v>0.00658716283716276</v>
      </c>
      <c r="N941" s="21" t="n">
        <f aca="false">LN(J941)</f>
        <v>13.323205090549</v>
      </c>
      <c r="O941" s="21" t="n">
        <f aca="false">AVERAGEIFS($N$2:$N$2705,$B$2:$B$2705,B941)</f>
        <v>13.9216120834156</v>
      </c>
      <c r="P941" s="21" t="n">
        <f aca="false">N941-O941</f>
        <v>-0.598406992866664</v>
      </c>
      <c r="Q941" s="7" t="n">
        <v>0</v>
      </c>
      <c r="R941" s="3" t="n">
        <f aca="false">IF(AND(Q941=1,B941-_xlfn.MINIFS($B$2:$B$2705,$A$2:$A$2705,A941)&lt;10),1,0)</f>
        <v>0</v>
      </c>
      <c r="S941" s="7" t="n">
        <v>0</v>
      </c>
      <c r="T941" s="3" t="n">
        <f aca="false">_xlfn.MINIFS($B$2:$B$2705,$A$2:$A$2705,A941)</f>
        <v>1901</v>
      </c>
      <c r="U941" s="3" t="n">
        <f aca="false">B941-T941</f>
        <v>58</v>
      </c>
      <c r="V941" s="3" t="str">
        <f aca="false">INDEX(Pop_Inputs!$Q$2:$Q$29,MATCH(C941,Pop_Inputs!$A$2:$A$29,0))</f>
        <v>Northeast</v>
      </c>
      <c r="W941" s="30"/>
      <c r="X941" s="3" t="str">
        <f aca="false">IF(W941="","",LN(W941))</f>
        <v/>
      </c>
      <c r="Y941" s="3" t="str">
        <f aca="false">IF(X941="","",X941-AVERAGEIFS($X$2:$X$2705,$B$2:$B$2705,B941))</f>
        <v/>
      </c>
      <c r="Z941" s="21" t="n">
        <f aca="false">P941</f>
        <v>-0.598406992866664</v>
      </c>
      <c r="AA941" s="3" t="n">
        <f aca="false">R941</f>
        <v>0</v>
      </c>
      <c r="AB941" s="21" t="n">
        <f aca="false">P941</f>
        <v>-0.598406992866664</v>
      </c>
      <c r="AC941" s="3" t="str">
        <f aca="false">Y941</f>
        <v/>
      </c>
      <c r="AD941" s="3" t="n">
        <f aca="false">R941</f>
        <v>0</v>
      </c>
    </row>
    <row r="942" customFormat="false" ht="15" hidden="false" customHeight="true" outlineLevel="0" collapsed="false">
      <c r="A942" s="7" t="s">
        <v>61</v>
      </c>
      <c r="B942" s="7" t="n">
        <v>1959</v>
      </c>
      <c r="C942" s="7" t="s">
        <v>147</v>
      </c>
      <c r="D942" s="7" t="n">
        <v>83</v>
      </c>
      <c r="E942" s="7" t="n">
        <v>71</v>
      </c>
      <c r="F942" s="3" t="n">
        <f aca="false">COUNTIFS($B$2:$B$2705,B942,$C$2:$C$2705,C942)</f>
        <v>1</v>
      </c>
      <c r="G942" s="3" t="n">
        <f aca="false">MIN(INT((MIN(B942,2020)-1900)/10)+1,12)</f>
        <v>6</v>
      </c>
      <c r="H942" s="3" t="n">
        <f aca="false">(MIN(B942,2020)-1900-10*(G942-1))/10</f>
        <v>0.9</v>
      </c>
      <c r="I942" s="20" t="n">
        <f aca="false">EXP(LN(INDEX(Pop_Inputs!$B$2:$N$29,MATCH(C942,Pop_Inputs!$A$2:$A$29,0),G942))*(1-H942)+LN(INDEX(Pop_Inputs!$B$2:$N$29,MATCH(C942,Pop_Inputs!$A$2:$A$29,0),G942+1))*H942)</f>
        <v>743747.627331818</v>
      </c>
      <c r="J942" s="20" t="n">
        <f aca="false">I942/F942</f>
        <v>743747.627331818</v>
      </c>
      <c r="K942" s="21" t="n">
        <f aca="false">D942/(D942+E942)</f>
        <v>0.538961038961039</v>
      </c>
      <c r="L942" s="21" t="n">
        <f aca="false">AVERAGEIFS($K$2:$K$2705,$B$2:$B$2705,B942)</f>
        <v>0.499906343656344</v>
      </c>
      <c r="M942" s="21" t="n">
        <f aca="false">K942-L942</f>
        <v>0.0390546953046953</v>
      </c>
      <c r="N942" s="21" t="n">
        <f aca="false">LN(J942)</f>
        <v>13.5194570456948</v>
      </c>
      <c r="O942" s="21" t="n">
        <f aca="false">AVERAGEIFS($N$2:$N$2705,$B$2:$B$2705,B942)</f>
        <v>13.9216120834156</v>
      </c>
      <c r="P942" s="21" t="n">
        <f aca="false">N942-O942</f>
        <v>-0.402155037720849</v>
      </c>
      <c r="Q942" s="7" t="n">
        <v>0</v>
      </c>
      <c r="R942" s="3" t="n">
        <f aca="false">IF(AND(Q942=1,B942-_xlfn.MINIFS($B$2:$B$2705,$A$2:$A$2705,A942)&lt;10),1,0)</f>
        <v>0</v>
      </c>
      <c r="S942" s="7" t="n">
        <v>0</v>
      </c>
      <c r="T942" s="3" t="n">
        <f aca="false">_xlfn.MINIFS($B$2:$B$2705,$A$2:$A$2705,A942)</f>
        <v>1901</v>
      </c>
      <c r="U942" s="3" t="n">
        <f aca="false">B942-T942</f>
        <v>58</v>
      </c>
      <c r="V942" s="3" t="str">
        <f aca="false">INDEX(Pop_Inputs!$Q$2:$Q$29,MATCH(C942,Pop_Inputs!$A$2:$A$29,0))</f>
        <v>West</v>
      </c>
      <c r="W942" s="30"/>
      <c r="X942" s="3" t="str">
        <f aca="false">IF(W942="","",LN(W942))</f>
        <v/>
      </c>
      <c r="Y942" s="3" t="str">
        <f aca="false">IF(X942="","",X942-AVERAGEIFS($X$2:$X$2705,$B$2:$B$2705,B942))</f>
        <v/>
      </c>
      <c r="Z942" s="21" t="n">
        <f aca="false">P942</f>
        <v>-0.402155037720849</v>
      </c>
      <c r="AA942" s="3" t="n">
        <f aca="false">R942</f>
        <v>0</v>
      </c>
      <c r="AB942" s="21" t="n">
        <f aca="false">P942</f>
        <v>-0.402155037720849</v>
      </c>
      <c r="AC942" s="3" t="str">
        <f aca="false">Y942</f>
        <v/>
      </c>
      <c r="AD942" s="3" t="n">
        <f aca="false">R942</f>
        <v>0</v>
      </c>
    </row>
    <row r="943" customFormat="false" ht="15" hidden="false" customHeight="true" outlineLevel="0" collapsed="false">
      <c r="A943" s="7" t="s">
        <v>59</v>
      </c>
      <c r="B943" s="7" t="n">
        <v>1959</v>
      </c>
      <c r="C943" s="7" t="s">
        <v>145</v>
      </c>
      <c r="D943" s="7" t="n">
        <v>71</v>
      </c>
      <c r="E943" s="7" t="n">
        <v>83</v>
      </c>
      <c r="F943" s="3" t="n">
        <f aca="false">COUNTIFS($B$2:$B$2705,B943,$C$2:$C$2705,C943)</f>
        <v>1</v>
      </c>
      <c r="G943" s="3" t="n">
        <f aca="false">MIN(INT((MIN(B943,2020)-1900)/10)+1,12)</f>
        <v>6</v>
      </c>
      <c r="H943" s="3" t="n">
        <f aca="false">(MIN(B943,2020)-1900-10*(G943-1))/10</f>
        <v>0.9</v>
      </c>
      <c r="I943" s="20" t="n">
        <f aca="false">EXP(LN(INDEX(Pop_Inputs!$B$2:$N$29,MATCH(C943,Pop_Inputs!$A$2:$A$29,0),G943))*(1-H943)+LN(INDEX(Pop_Inputs!$B$2:$N$29,MATCH(C943,Pop_Inputs!$A$2:$A$29,0),G943+1))*H943)</f>
        <v>760074.967904657</v>
      </c>
      <c r="J943" s="20" t="n">
        <f aca="false">I943/F943</f>
        <v>760074.967904657</v>
      </c>
      <c r="K943" s="21" t="n">
        <f aca="false">D943/(D943+E943)</f>
        <v>0.461038961038961</v>
      </c>
      <c r="L943" s="21" t="n">
        <f aca="false">AVERAGEIFS($K$2:$K$2705,$B$2:$B$2705,B943)</f>
        <v>0.499906343656344</v>
      </c>
      <c r="M943" s="21" t="n">
        <f aca="false">K943-L943</f>
        <v>-0.0388673826173827</v>
      </c>
      <c r="N943" s="21" t="n">
        <f aca="false">LN(J943)</f>
        <v>13.5411723493775</v>
      </c>
      <c r="O943" s="21" t="n">
        <f aca="false">AVERAGEIFS($N$2:$N$2705,$B$2:$B$2705,B943)</f>
        <v>13.9216120834156</v>
      </c>
      <c r="P943" s="21" t="n">
        <f aca="false">N943-O943</f>
        <v>-0.380439734038118</v>
      </c>
      <c r="Q943" s="7" t="n">
        <v>0</v>
      </c>
      <c r="R943" s="3" t="n">
        <f aca="false">IF(AND(Q943=1,B943-_xlfn.MINIFS($B$2:$B$2705,$A$2:$A$2705,A943)&lt;10),1,0)</f>
        <v>0</v>
      </c>
      <c r="S943" s="7" t="n">
        <v>0</v>
      </c>
      <c r="T943" s="3" t="n">
        <f aca="false">_xlfn.MINIFS($B$2:$B$2705,$A$2:$A$2705,A943)</f>
        <v>1901</v>
      </c>
      <c r="U943" s="3" t="n">
        <f aca="false">B943-T943</f>
        <v>58</v>
      </c>
      <c r="V943" s="3" t="str">
        <f aca="false">INDEX(Pop_Inputs!$Q$2:$Q$29,MATCH(C943,Pop_Inputs!$A$2:$A$29,0))</f>
        <v>Midwest</v>
      </c>
      <c r="W943" s="30"/>
      <c r="X943" s="3" t="str">
        <f aca="false">IF(W943="","",LN(W943))</f>
        <v/>
      </c>
      <c r="Y943" s="3" t="str">
        <f aca="false">IF(X943="","",X943-AVERAGEIFS($X$2:$X$2705,$B$2:$B$2705,B943))</f>
        <v/>
      </c>
      <c r="Z943" s="21" t="n">
        <f aca="false">P943</f>
        <v>-0.380439734038118</v>
      </c>
      <c r="AA943" s="3" t="n">
        <f aca="false">R943</f>
        <v>0</v>
      </c>
      <c r="AB943" s="21" t="n">
        <f aca="false">P943</f>
        <v>-0.380439734038118</v>
      </c>
      <c r="AC943" s="3" t="str">
        <f aca="false">Y943</f>
        <v/>
      </c>
      <c r="AD943" s="3" t="n">
        <f aca="false">R943</f>
        <v>0</v>
      </c>
    </row>
    <row r="944" customFormat="false" ht="15" hidden="false" customHeight="true" outlineLevel="0" collapsed="false">
      <c r="A944" s="7" t="s">
        <v>54</v>
      </c>
      <c r="B944" s="7" t="n">
        <v>1960</v>
      </c>
      <c r="C944" s="7" t="s">
        <v>158</v>
      </c>
      <c r="D944" s="7" t="n">
        <v>88</v>
      </c>
      <c r="E944" s="7" t="n">
        <v>66</v>
      </c>
      <c r="F944" s="3" t="n">
        <f aca="false">COUNTIFS($B$2:$B$2705,B944,$C$2:$C$2705,C944)</f>
        <v>1</v>
      </c>
      <c r="G944" s="3" t="n">
        <f aca="false">MIN(INT((MIN(B944,2020)-1900)/10)+1,12)</f>
        <v>7</v>
      </c>
      <c r="H944" s="3" t="n">
        <f aca="false">(MIN(B944,2020)-1900-10*(G944-1))/10</f>
        <v>0</v>
      </c>
      <c r="I944" s="20" t="n">
        <f aca="false">EXP(LN(INDEX(Pop_Inputs!$B$2:$N$29,MATCH(C944,Pop_Inputs!$A$2:$A$29,0),G944))*(1-H944)+LN(INDEX(Pop_Inputs!$B$2:$N$29,MATCH(C944,Pop_Inputs!$A$2:$A$29,0),G944+1))*H944)</f>
        <v>741324</v>
      </c>
      <c r="J944" s="20" t="n">
        <f aca="false">I944/F944</f>
        <v>741324</v>
      </c>
      <c r="K944" s="21" t="n">
        <f aca="false">D944/(D944+E944)</f>
        <v>0.571428571428571</v>
      </c>
      <c r="L944" s="21" t="n">
        <f aca="false">AVERAGEIFS($K$2:$K$2705,$B$2:$B$2705,B944)</f>
        <v>0.5</v>
      </c>
      <c r="M944" s="21" t="n">
        <f aca="false">K944-L944</f>
        <v>0.0714285714285714</v>
      </c>
      <c r="N944" s="21" t="n">
        <f aca="false">LN(J944)</f>
        <v>13.5161930556772</v>
      </c>
      <c r="O944" s="21" t="n">
        <f aca="false">AVERAGEIFS($N$2:$N$2705,$B$2:$B$2705,B944)</f>
        <v>13.9196976484342</v>
      </c>
      <c r="P944" s="21" t="n">
        <f aca="false">N944-O944</f>
        <v>-0.403504592757029</v>
      </c>
      <c r="Q944" s="7" t="n">
        <v>0</v>
      </c>
      <c r="R944" s="3" t="n">
        <f aca="false">IF(AND(Q944=1,B944-_xlfn.MINIFS($B$2:$B$2705,$A$2:$A$2705,A944)&lt;10),1,0)</f>
        <v>0</v>
      </c>
      <c r="S944" s="7" t="n">
        <v>0</v>
      </c>
      <c r="T944" s="3" t="n">
        <f aca="false">_xlfn.MINIFS($B$2:$B$2705,$A$2:$A$2705,A944)</f>
        <v>1901</v>
      </c>
      <c r="U944" s="3" t="n">
        <f aca="false">B944-T944</f>
        <v>59</v>
      </c>
      <c r="V944" s="3" t="str">
        <f aca="false">INDEX(Pop_Inputs!$Q$2:$Q$29,MATCH(C944,Pop_Inputs!$A$2:$A$29,0))</f>
        <v>Midwest</v>
      </c>
      <c r="W944" s="30"/>
      <c r="X944" s="3" t="str">
        <f aca="false">IF(W944="","",LN(W944))</f>
        <v/>
      </c>
      <c r="Y944" s="3" t="str">
        <f aca="false">IF(X944="","",X944-AVERAGEIFS($X$2:$X$2705,$B$2:$B$2705,B944))</f>
        <v/>
      </c>
      <c r="Z944" s="21" t="n">
        <f aca="false">P944</f>
        <v>-0.403504592757029</v>
      </c>
      <c r="AA944" s="3" t="n">
        <f aca="false">R944</f>
        <v>0</v>
      </c>
      <c r="AB944" s="21" t="n">
        <f aca="false">P944</f>
        <v>-0.403504592757029</v>
      </c>
      <c r="AC944" s="3" t="str">
        <f aca="false">Y944</f>
        <v/>
      </c>
      <c r="AD944" s="3" t="n">
        <f aca="false">R944</f>
        <v>0</v>
      </c>
    </row>
    <row r="945" customFormat="false" ht="15" hidden="false" customHeight="true" outlineLevel="0" collapsed="false">
      <c r="A945" s="7" t="s">
        <v>63</v>
      </c>
      <c r="B945" s="7" t="n">
        <v>1960</v>
      </c>
      <c r="C945" s="7" t="s">
        <v>149</v>
      </c>
      <c r="D945" s="7" t="n">
        <v>89</v>
      </c>
      <c r="E945" s="7" t="n">
        <v>65</v>
      </c>
      <c r="F945" s="3" t="n">
        <f aca="false">COUNTIFS($B$2:$B$2705,B945,$C$2:$C$2705,C945)</f>
        <v>1</v>
      </c>
      <c r="G945" s="3" t="n">
        <f aca="false">MIN(INT((MIN(B945,2020)-1900)/10)+1,12)</f>
        <v>7</v>
      </c>
      <c r="H945" s="3" t="n">
        <f aca="false">(MIN(B945,2020)-1900-10*(G945-1))/10</f>
        <v>0</v>
      </c>
      <c r="I945" s="20" t="n">
        <f aca="false">EXP(LN(INDEX(Pop_Inputs!$B$2:$N$29,MATCH(C945,Pop_Inputs!$A$2:$A$29,0),G945))*(1-H945)+LN(INDEX(Pop_Inputs!$B$2:$N$29,MATCH(C945,Pop_Inputs!$A$2:$A$29,0),G945+1))*H945)</f>
        <v>939024.000000001</v>
      </c>
      <c r="J945" s="20" t="n">
        <f aca="false">I945/F945</f>
        <v>939024.000000001</v>
      </c>
      <c r="K945" s="21" t="n">
        <f aca="false">D945/(D945+E945)</f>
        <v>0.577922077922078</v>
      </c>
      <c r="L945" s="21" t="n">
        <f aca="false">AVERAGEIFS($K$2:$K$2705,$B$2:$B$2705,B945)</f>
        <v>0.5</v>
      </c>
      <c r="M945" s="21" t="n">
        <f aca="false">K945-L945</f>
        <v>0.077922077922078</v>
      </c>
      <c r="N945" s="21" t="n">
        <f aca="false">LN(J945)</f>
        <v>13.7525963169692</v>
      </c>
      <c r="O945" s="21" t="n">
        <f aca="false">AVERAGEIFS($N$2:$N$2705,$B$2:$B$2705,B945)</f>
        <v>13.9196976484342</v>
      </c>
      <c r="P945" s="21" t="n">
        <f aca="false">N945-O945</f>
        <v>-0.167101331465014</v>
      </c>
      <c r="Q945" s="7" t="n">
        <v>0</v>
      </c>
      <c r="R945" s="3" t="n">
        <f aca="false">IF(AND(Q945=1,B945-_xlfn.MINIFS($B$2:$B$2705,$A$2:$A$2705,A945)&lt;10),1,0)</f>
        <v>0</v>
      </c>
      <c r="S945" s="7" t="n">
        <v>0</v>
      </c>
      <c r="T945" s="3" t="n">
        <f aca="false">_xlfn.MINIFS($B$2:$B$2705,$A$2:$A$2705,A945)</f>
        <v>1901</v>
      </c>
      <c r="U945" s="3" t="n">
        <f aca="false">B945-T945</f>
        <v>59</v>
      </c>
      <c r="V945" s="3" t="str">
        <f aca="false">INDEX(Pop_Inputs!$Q$2:$Q$29,MATCH(C945,Pop_Inputs!$A$2:$A$29,0))</f>
        <v>South</v>
      </c>
      <c r="W945" s="30"/>
      <c r="X945" s="3" t="str">
        <f aca="false">IF(W945="","",LN(W945))</f>
        <v/>
      </c>
      <c r="Y945" s="3" t="str">
        <f aca="false">IF(X945="","",X945-AVERAGEIFS($X$2:$X$2705,$B$2:$B$2705,B945))</f>
        <v/>
      </c>
      <c r="Z945" s="21" t="n">
        <f aca="false">P945</f>
        <v>-0.167101331465014</v>
      </c>
      <c r="AA945" s="3" t="n">
        <f aca="false">R945</f>
        <v>0</v>
      </c>
      <c r="AB945" s="21" t="n">
        <f aca="false">P945</f>
        <v>-0.167101331465014</v>
      </c>
      <c r="AC945" s="3" t="str">
        <f aca="false">Y945</f>
        <v/>
      </c>
      <c r="AD945" s="3" t="n">
        <f aca="false">R945</f>
        <v>0</v>
      </c>
    </row>
    <row r="946" customFormat="false" ht="15" hidden="false" customHeight="true" outlineLevel="0" collapsed="false">
      <c r="A946" s="7" t="s">
        <v>64</v>
      </c>
      <c r="B946" s="7" t="n">
        <v>1960</v>
      </c>
      <c r="C946" s="7" t="s">
        <v>150</v>
      </c>
      <c r="D946" s="7" t="n">
        <v>65</v>
      </c>
      <c r="E946" s="7" t="n">
        <v>89</v>
      </c>
      <c r="F946" s="3" t="n">
        <f aca="false">COUNTIFS($B$2:$B$2705,B946,$C$2:$C$2705,C946)</f>
        <v>1</v>
      </c>
      <c r="G946" s="3" t="n">
        <f aca="false">MIN(INT((MIN(B946,2020)-1900)/10)+1,12)</f>
        <v>7</v>
      </c>
      <c r="H946" s="3" t="n">
        <f aca="false">(MIN(B946,2020)-1900-10*(G946-1))/10</f>
        <v>0</v>
      </c>
      <c r="I946" s="20" t="n">
        <f aca="false">EXP(LN(INDEX(Pop_Inputs!$B$2:$N$29,MATCH(C946,Pop_Inputs!$A$2:$A$29,0),G946))*(1-H946)+LN(INDEX(Pop_Inputs!$B$2:$N$29,MATCH(C946,Pop_Inputs!$A$2:$A$29,0),G946+1))*H946)</f>
        <v>697197</v>
      </c>
      <c r="J946" s="20" t="n">
        <f aca="false">I946/F946</f>
        <v>697197</v>
      </c>
      <c r="K946" s="21" t="n">
        <f aca="false">D946/(D946+E946)</f>
        <v>0.422077922077922</v>
      </c>
      <c r="L946" s="21" t="n">
        <f aca="false">AVERAGEIFS($K$2:$K$2705,$B$2:$B$2705,B946)</f>
        <v>0.5</v>
      </c>
      <c r="M946" s="21" t="n">
        <f aca="false">K946-L946</f>
        <v>-0.077922077922078</v>
      </c>
      <c r="N946" s="21" t="n">
        <f aca="false">LN(J946)</f>
        <v>13.4548232896928</v>
      </c>
      <c r="O946" s="21" t="n">
        <f aca="false">AVERAGEIFS($N$2:$N$2705,$B$2:$B$2705,B946)</f>
        <v>13.9196976484342</v>
      </c>
      <c r="P946" s="21" t="n">
        <f aca="false">N946-O946</f>
        <v>-0.464874358741461</v>
      </c>
      <c r="Q946" s="7" t="n">
        <v>0</v>
      </c>
      <c r="R946" s="3" t="n">
        <f aca="false">IF(AND(Q946=1,B946-_xlfn.MINIFS($B$2:$B$2705,$A$2:$A$2705,A946)&lt;10),1,0)</f>
        <v>0</v>
      </c>
      <c r="S946" s="7" t="n">
        <v>0</v>
      </c>
      <c r="T946" s="3" t="n">
        <f aca="false">_xlfn.MINIFS($B$2:$B$2705,$A$2:$A$2705,A946)</f>
        <v>1901</v>
      </c>
      <c r="U946" s="3" t="n">
        <f aca="false">B946-T946</f>
        <v>59</v>
      </c>
      <c r="V946" s="3" t="str">
        <f aca="false">INDEX(Pop_Inputs!$Q$2:$Q$29,MATCH(C946,Pop_Inputs!$A$2:$A$29,0))</f>
        <v>Northeast</v>
      </c>
      <c r="W946" s="30"/>
      <c r="X946" s="3" t="str">
        <f aca="false">IF(W946="","",LN(W946))</f>
        <v/>
      </c>
      <c r="Y946" s="3" t="str">
        <f aca="false">IF(X946="","",X946-AVERAGEIFS($X$2:$X$2705,$B$2:$B$2705,B946))</f>
        <v/>
      </c>
      <c r="Z946" s="21" t="n">
        <f aca="false">P946</f>
        <v>-0.464874358741461</v>
      </c>
      <c r="AA946" s="3" t="n">
        <f aca="false">R946</f>
        <v>0</v>
      </c>
      <c r="AB946" s="21" t="n">
        <f aca="false">P946</f>
        <v>-0.464874358741461</v>
      </c>
      <c r="AC946" s="3" t="str">
        <f aca="false">Y946</f>
        <v/>
      </c>
      <c r="AD946" s="3" t="n">
        <f aca="false">R946</f>
        <v>0</v>
      </c>
    </row>
    <row r="947" customFormat="false" ht="15" hidden="false" customHeight="true" outlineLevel="0" collapsed="false">
      <c r="A947" s="7" t="s">
        <v>56</v>
      </c>
      <c r="B947" s="7" t="n">
        <v>1960</v>
      </c>
      <c r="C947" s="7" t="s">
        <v>142</v>
      </c>
      <c r="D947" s="7" t="n">
        <v>60</v>
      </c>
      <c r="E947" s="7" t="n">
        <v>94</v>
      </c>
      <c r="F947" s="3" t="n">
        <f aca="false">COUNTIFS($B$2:$B$2705,B947,$C$2:$C$2705,C947)</f>
        <v>2</v>
      </c>
      <c r="G947" s="3" t="n">
        <f aca="false">MIN(INT((MIN(B947,2020)-1900)/10)+1,12)</f>
        <v>7</v>
      </c>
      <c r="H947" s="3" t="n">
        <f aca="false">(MIN(B947,2020)-1900-10*(G947-1))/10</f>
        <v>0</v>
      </c>
      <c r="I947" s="20" t="n">
        <f aca="false">EXP(LN(INDEX(Pop_Inputs!$B$2:$N$29,MATCH(C947,Pop_Inputs!$A$2:$A$29,0),G947))*(1-H947)+LN(INDEX(Pop_Inputs!$B$2:$N$29,MATCH(C947,Pop_Inputs!$A$2:$A$29,0),G947+1))*H947)</f>
        <v>3550404</v>
      </c>
      <c r="J947" s="20" t="n">
        <f aca="false">I947/F947</f>
        <v>1775202</v>
      </c>
      <c r="K947" s="21" t="n">
        <f aca="false">D947/(D947+E947)</f>
        <v>0.38961038961039</v>
      </c>
      <c r="L947" s="21" t="n">
        <f aca="false">AVERAGEIFS($K$2:$K$2705,$B$2:$B$2705,B947)</f>
        <v>0.5</v>
      </c>
      <c r="M947" s="21" t="n">
        <f aca="false">K947-L947</f>
        <v>-0.11038961038961</v>
      </c>
      <c r="N947" s="21" t="n">
        <f aca="false">LN(J947)</f>
        <v>14.3894247772335</v>
      </c>
      <c r="O947" s="21" t="n">
        <f aca="false">AVERAGEIFS($N$2:$N$2705,$B$2:$B$2705,B947)</f>
        <v>13.9196976484342</v>
      </c>
      <c r="P947" s="21" t="n">
        <f aca="false">N947-O947</f>
        <v>0.469727128799288</v>
      </c>
      <c r="Q947" s="7" t="n">
        <v>0</v>
      </c>
      <c r="R947" s="3" t="n">
        <f aca="false">IF(AND(Q947=1,B947-_xlfn.MINIFS($B$2:$B$2705,$A$2:$A$2705,A947)&lt;10),1,0)</f>
        <v>0</v>
      </c>
      <c r="S947" s="7" t="n">
        <v>0</v>
      </c>
      <c r="T947" s="3" t="n">
        <f aca="false">_xlfn.MINIFS($B$2:$B$2705,$A$2:$A$2705,A947)</f>
        <v>1901</v>
      </c>
      <c r="U947" s="3" t="n">
        <f aca="false">B947-T947</f>
        <v>59</v>
      </c>
      <c r="V947" s="3" t="str">
        <f aca="false">INDEX(Pop_Inputs!$Q$2:$Q$29,MATCH(C947,Pop_Inputs!$A$2:$A$29,0))</f>
        <v>Midwest</v>
      </c>
      <c r="W947" s="30"/>
      <c r="X947" s="3" t="str">
        <f aca="false">IF(W947="","",LN(W947))</f>
        <v/>
      </c>
      <c r="Y947" s="3" t="str">
        <f aca="false">IF(X947="","",X947-AVERAGEIFS($X$2:$X$2705,$B$2:$B$2705,B947))</f>
        <v/>
      </c>
      <c r="Z947" s="21" t="n">
        <f aca="false">P947</f>
        <v>0.469727128799288</v>
      </c>
      <c r="AA947" s="3" t="n">
        <f aca="false">R947</f>
        <v>0</v>
      </c>
      <c r="AB947" s="21" t="n">
        <f aca="false">P947</f>
        <v>0.469727128799288</v>
      </c>
      <c r="AC947" s="3" t="str">
        <f aca="false">Y947</f>
        <v/>
      </c>
      <c r="AD947" s="3" t="n">
        <f aca="false">R947</f>
        <v>0</v>
      </c>
    </row>
    <row r="948" customFormat="false" ht="15" hidden="false" customHeight="true" outlineLevel="0" collapsed="false">
      <c r="A948" s="7" t="s">
        <v>65</v>
      </c>
      <c r="B948" s="7" t="n">
        <v>1960</v>
      </c>
      <c r="C948" s="7" t="s">
        <v>142</v>
      </c>
      <c r="D948" s="7" t="n">
        <v>87</v>
      </c>
      <c r="E948" s="7" t="n">
        <v>67</v>
      </c>
      <c r="F948" s="3" t="n">
        <f aca="false">COUNTIFS($B$2:$B$2705,B948,$C$2:$C$2705,C948)</f>
        <v>2</v>
      </c>
      <c r="G948" s="3" t="n">
        <f aca="false">MIN(INT((MIN(B948,2020)-1900)/10)+1,12)</f>
        <v>7</v>
      </c>
      <c r="H948" s="3" t="n">
        <f aca="false">(MIN(B948,2020)-1900-10*(G948-1))/10</f>
        <v>0</v>
      </c>
      <c r="I948" s="20" t="n">
        <f aca="false">EXP(LN(INDEX(Pop_Inputs!$B$2:$N$29,MATCH(C948,Pop_Inputs!$A$2:$A$29,0),G948))*(1-H948)+LN(INDEX(Pop_Inputs!$B$2:$N$29,MATCH(C948,Pop_Inputs!$A$2:$A$29,0),G948+1))*H948)</f>
        <v>3550404</v>
      </c>
      <c r="J948" s="20" t="n">
        <f aca="false">I948/F948</f>
        <v>1775202</v>
      </c>
      <c r="K948" s="21" t="n">
        <f aca="false">D948/(D948+E948)</f>
        <v>0.564935064935065</v>
      </c>
      <c r="L948" s="21" t="n">
        <f aca="false">AVERAGEIFS($K$2:$K$2705,$B$2:$B$2705,B948)</f>
        <v>0.5</v>
      </c>
      <c r="M948" s="21" t="n">
        <f aca="false">K948-L948</f>
        <v>0.064935064935065</v>
      </c>
      <c r="N948" s="21" t="n">
        <f aca="false">LN(J948)</f>
        <v>14.3894247772335</v>
      </c>
      <c r="O948" s="21" t="n">
        <f aca="false">AVERAGEIFS($N$2:$N$2705,$B$2:$B$2705,B948)</f>
        <v>13.9196976484342</v>
      </c>
      <c r="P948" s="21" t="n">
        <f aca="false">N948-O948</f>
        <v>0.469727128799288</v>
      </c>
      <c r="Q948" s="7" t="n">
        <v>0</v>
      </c>
      <c r="R948" s="3" t="n">
        <f aca="false">IF(AND(Q948=1,B948-_xlfn.MINIFS($B$2:$B$2705,$A$2:$A$2705,A948)&lt;10),1,0)</f>
        <v>0</v>
      </c>
      <c r="S948" s="7" t="n">
        <v>0</v>
      </c>
      <c r="T948" s="3" t="n">
        <f aca="false">_xlfn.MINIFS($B$2:$B$2705,$A$2:$A$2705,A948)</f>
        <v>1901</v>
      </c>
      <c r="U948" s="3" t="n">
        <f aca="false">B948-T948</f>
        <v>59</v>
      </c>
      <c r="V948" s="3" t="str">
        <f aca="false">INDEX(Pop_Inputs!$Q$2:$Q$29,MATCH(C948,Pop_Inputs!$A$2:$A$29,0))</f>
        <v>Midwest</v>
      </c>
      <c r="W948" s="30"/>
      <c r="X948" s="3" t="str">
        <f aca="false">IF(W948="","",LN(W948))</f>
        <v/>
      </c>
      <c r="Y948" s="3" t="str">
        <f aca="false">IF(X948="","",X948-AVERAGEIFS($X$2:$X$2705,$B$2:$B$2705,B948))</f>
        <v/>
      </c>
      <c r="Z948" s="21" t="n">
        <f aca="false">P948</f>
        <v>0.469727128799288</v>
      </c>
      <c r="AA948" s="3" t="n">
        <f aca="false">R948</f>
        <v>0</v>
      </c>
      <c r="AB948" s="21" t="n">
        <f aca="false">P948</f>
        <v>0.469727128799288</v>
      </c>
      <c r="AC948" s="3" t="str">
        <f aca="false">Y948</f>
        <v/>
      </c>
      <c r="AD948" s="3" t="n">
        <f aca="false">R948</f>
        <v>0</v>
      </c>
    </row>
    <row r="949" customFormat="false" ht="15" hidden="false" customHeight="true" outlineLevel="0" collapsed="false">
      <c r="A949" s="7" t="s">
        <v>57</v>
      </c>
      <c r="B949" s="7" t="n">
        <v>1960</v>
      </c>
      <c r="C949" s="7" t="s">
        <v>143</v>
      </c>
      <c r="D949" s="7" t="n">
        <v>67</v>
      </c>
      <c r="E949" s="7" t="n">
        <v>87</v>
      </c>
      <c r="F949" s="3" t="n">
        <f aca="false">COUNTIFS($B$2:$B$2705,B949,$C$2:$C$2705,C949)</f>
        <v>1</v>
      </c>
      <c r="G949" s="3" t="n">
        <f aca="false">MIN(INT((MIN(B949,2020)-1900)/10)+1,12)</f>
        <v>7</v>
      </c>
      <c r="H949" s="3" t="n">
        <f aca="false">(MIN(B949,2020)-1900-10*(G949-1))/10</f>
        <v>0</v>
      </c>
      <c r="I949" s="20" t="n">
        <f aca="false">EXP(LN(INDEX(Pop_Inputs!$B$2:$N$29,MATCH(C949,Pop_Inputs!$A$2:$A$29,0),G949))*(1-H949)+LN(INDEX(Pop_Inputs!$B$2:$N$29,MATCH(C949,Pop_Inputs!$A$2:$A$29,0),G949+1))*H949)</f>
        <v>502550</v>
      </c>
      <c r="J949" s="20" t="n">
        <f aca="false">I949/F949</f>
        <v>502550</v>
      </c>
      <c r="K949" s="21" t="n">
        <f aca="false">D949/(D949+E949)</f>
        <v>0.435064935064935</v>
      </c>
      <c r="L949" s="21" t="n">
        <f aca="false">AVERAGEIFS($K$2:$K$2705,$B$2:$B$2705,B949)</f>
        <v>0.5</v>
      </c>
      <c r="M949" s="21" t="n">
        <f aca="false">K949-L949</f>
        <v>-0.064935064935065</v>
      </c>
      <c r="N949" s="21" t="n">
        <f aca="false">LN(J949)</f>
        <v>13.1274504164529</v>
      </c>
      <c r="O949" s="21" t="n">
        <f aca="false">AVERAGEIFS($N$2:$N$2705,$B$2:$B$2705,B949)</f>
        <v>13.9196976484342</v>
      </c>
      <c r="P949" s="21" t="n">
        <f aca="false">N949-O949</f>
        <v>-0.792247231981332</v>
      </c>
      <c r="Q949" s="7" t="n">
        <v>0</v>
      </c>
      <c r="R949" s="3" t="n">
        <f aca="false">IF(AND(Q949=1,B949-_xlfn.MINIFS($B$2:$B$2705,$A$2:$A$2705,A949)&lt;10),1,0)</f>
        <v>0</v>
      </c>
      <c r="S949" s="7" t="n">
        <v>0</v>
      </c>
      <c r="T949" s="3" t="n">
        <f aca="false">_xlfn.MINIFS($B$2:$B$2705,$A$2:$A$2705,A949)</f>
        <v>1901</v>
      </c>
      <c r="U949" s="3" t="n">
        <f aca="false">B949-T949</f>
        <v>59</v>
      </c>
      <c r="V949" s="3" t="str">
        <f aca="false">INDEX(Pop_Inputs!$Q$2:$Q$29,MATCH(C949,Pop_Inputs!$A$2:$A$29,0))</f>
        <v>Midwest</v>
      </c>
      <c r="W949" s="30"/>
      <c r="X949" s="3" t="str">
        <f aca="false">IF(W949="","",LN(W949))</f>
        <v/>
      </c>
      <c r="Y949" s="3" t="str">
        <f aca="false">IF(X949="","",X949-AVERAGEIFS($X$2:$X$2705,$B$2:$B$2705,B949))</f>
        <v/>
      </c>
      <c r="Z949" s="21" t="n">
        <f aca="false">P949</f>
        <v>-0.792247231981332</v>
      </c>
      <c r="AA949" s="3" t="n">
        <f aca="false">R949</f>
        <v>0</v>
      </c>
      <c r="AB949" s="21" t="n">
        <f aca="false">P949</f>
        <v>-0.792247231981332</v>
      </c>
      <c r="AC949" s="3" t="str">
        <f aca="false">Y949</f>
        <v/>
      </c>
      <c r="AD949" s="3" t="n">
        <f aca="false">R949</f>
        <v>0</v>
      </c>
    </row>
    <row r="950" customFormat="false" ht="15" hidden="false" customHeight="true" outlineLevel="0" collapsed="false">
      <c r="A950" s="7" t="s">
        <v>66</v>
      </c>
      <c r="B950" s="7" t="n">
        <v>1960</v>
      </c>
      <c r="C950" s="7" t="s">
        <v>151</v>
      </c>
      <c r="D950" s="7" t="n">
        <v>76</v>
      </c>
      <c r="E950" s="7" t="n">
        <v>78</v>
      </c>
      <c r="F950" s="3" t="n">
        <f aca="false">COUNTIFS($B$2:$B$2705,B950,$C$2:$C$2705,C950)</f>
        <v>1</v>
      </c>
      <c r="G950" s="3" t="n">
        <f aca="false">MIN(INT((MIN(B950,2020)-1900)/10)+1,12)</f>
        <v>7</v>
      </c>
      <c r="H950" s="3" t="n">
        <f aca="false">(MIN(B950,2020)-1900-10*(G950-1))/10</f>
        <v>0</v>
      </c>
      <c r="I950" s="20" t="n">
        <f aca="false">EXP(LN(INDEX(Pop_Inputs!$B$2:$N$29,MATCH(C950,Pop_Inputs!$A$2:$A$29,0),G950))*(1-H950)+LN(INDEX(Pop_Inputs!$B$2:$N$29,MATCH(C950,Pop_Inputs!$A$2:$A$29,0),G950+1))*H950)</f>
        <v>876050</v>
      </c>
      <c r="J950" s="20" t="n">
        <f aca="false">I950/F950</f>
        <v>876050</v>
      </c>
      <c r="K950" s="21" t="n">
        <f aca="false">D950/(D950+E950)</f>
        <v>0.493506493506494</v>
      </c>
      <c r="L950" s="21" t="n">
        <f aca="false">AVERAGEIFS($K$2:$K$2705,$B$2:$B$2705,B950)</f>
        <v>0.5</v>
      </c>
      <c r="M950" s="21" t="n">
        <f aca="false">K950-L950</f>
        <v>-0.0064935064935065</v>
      </c>
      <c r="N950" s="21" t="n">
        <f aca="false">LN(J950)</f>
        <v>13.6831784459152</v>
      </c>
      <c r="O950" s="21" t="n">
        <f aca="false">AVERAGEIFS($N$2:$N$2705,$B$2:$B$2705,B950)</f>
        <v>13.9196976484342</v>
      </c>
      <c r="P950" s="21" t="n">
        <f aca="false">N950-O950</f>
        <v>-0.236519202518984</v>
      </c>
      <c r="Q950" s="7" t="n">
        <v>0</v>
      </c>
      <c r="R950" s="3" t="n">
        <f aca="false">IF(AND(Q950=1,B950-_xlfn.MINIFS($B$2:$B$2705,$A$2:$A$2705,A950)&lt;10),1,0)</f>
        <v>0</v>
      </c>
      <c r="S950" s="7" t="n">
        <v>0</v>
      </c>
      <c r="T950" s="3" t="n">
        <f aca="false">_xlfn.MINIFS($B$2:$B$2705,$A$2:$A$2705,A950)</f>
        <v>1901</v>
      </c>
      <c r="U950" s="3" t="n">
        <f aca="false">B950-T950</f>
        <v>59</v>
      </c>
      <c r="V950" s="3" t="str">
        <f aca="false">INDEX(Pop_Inputs!$Q$2:$Q$29,MATCH(C950,Pop_Inputs!$A$2:$A$29,0))</f>
        <v>Midwest</v>
      </c>
      <c r="W950" s="30"/>
      <c r="X950" s="3" t="str">
        <f aca="false">IF(W950="","",LN(W950))</f>
        <v/>
      </c>
      <c r="Y950" s="3" t="str">
        <f aca="false">IF(X950="","",X950-AVERAGEIFS($X$2:$X$2705,$B$2:$B$2705,B950))</f>
        <v/>
      </c>
      <c r="Z950" s="21" t="n">
        <f aca="false">P950</f>
        <v>-0.236519202518984</v>
      </c>
      <c r="AA950" s="3" t="n">
        <f aca="false">R950</f>
        <v>0</v>
      </c>
      <c r="AB950" s="21" t="n">
        <f aca="false">P950</f>
        <v>-0.236519202518984</v>
      </c>
      <c r="AC950" s="3" t="str">
        <f aca="false">Y950</f>
        <v/>
      </c>
      <c r="AD950" s="3" t="n">
        <f aca="false">R950</f>
        <v>0</v>
      </c>
    </row>
    <row r="951" customFormat="false" ht="15" hidden="false" customHeight="true" outlineLevel="0" collapsed="false">
      <c r="A951" s="7" t="s">
        <v>67</v>
      </c>
      <c r="B951" s="7" t="n">
        <v>1960</v>
      </c>
      <c r="C951" s="7" t="s">
        <v>152</v>
      </c>
      <c r="D951" s="7" t="n">
        <v>71</v>
      </c>
      <c r="E951" s="7" t="n">
        <v>83</v>
      </c>
      <c r="F951" s="3" t="n">
        <f aca="false">COUNTIFS($B$2:$B$2705,B951,$C$2:$C$2705,C951)</f>
        <v>1</v>
      </c>
      <c r="G951" s="3" t="n">
        <f aca="false">MIN(INT((MIN(B951,2020)-1900)/10)+1,12)</f>
        <v>7</v>
      </c>
      <c r="H951" s="3" t="n">
        <f aca="false">(MIN(B951,2020)-1900-10*(G951-1))/10</f>
        <v>0</v>
      </c>
      <c r="I951" s="20" t="n">
        <f aca="false">EXP(LN(INDEX(Pop_Inputs!$B$2:$N$29,MATCH(C951,Pop_Inputs!$A$2:$A$29,0),G951))*(1-H951)+LN(INDEX(Pop_Inputs!$B$2:$N$29,MATCH(C951,Pop_Inputs!$A$2:$A$29,0),G951+1))*H951)</f>
        <v>1670144</v>
      </c>
      <c r="J951" s="20" t="n">
        <f aca="false">I951/F951</f>
        <v>1670144</v>
      </c>
      <c r="K951" s="21" t="n">
        <f aca="false">D951/(D951+E951)</f>
        <v>0.461038961038961</v>
      </c>
      <c r="L951" s="21" t="n">
        <f aca="false">AVERAGEIFS($K$2:$K$2705,$B$2:$B$2705,B951)</f>
        <v>0.5</v>
      </c>
      <c r="M951" s="21" t="n">
        <f aca="false">K951-L951</f>
        <v>-0.038961038961039</v>
      </c>
      <c r="N951" s="21" t="n">
        <f aca="false">LN(J951)</f>
        <v>14.3284204082205</v>
      </c>
      <c r="O951" s="21" t="n">
        <f aca="false">AVERAGEIFS($N$2:$N$2705,$B$2:$B$2705,B951)</f>
        <v>13.9196976484342</v>
      </c>
      <c r="P951" s="21" t="n">
        <f aca="false">N951-O951</f>
        <v>0.408722759786249</v>
      </c>
      <c r="Q951" s="7" t="n">
        <v>0</v>
      </c>
      <c r="R951" s="3" t="n">
        <f aca="false">IF(AND(Q951=1,B951-_xlfn.MINIFS($B$2:$B$2705,$A$2:$A$2705,A951)&lt;10),1,0)</f>
        <v>0</v>
      </c>
      <c r="S951" s="7" t="n">
        <v>0</v>
      </c>
      <c r="T951" s="3" t="n">
        <f aca="false">_xlfn.MINIFS($B$2:$B$2705,$A$2:$A$2705,A951)</f>
        <v>1901</v>
      </c>
      <c r="U951" s="3" t="n">
        <f aca="false">B951-T951</f>
        <v>59</v>
      </c>
      <c r="V951" s="3" t="str">
        <f aca="false">INDEX(Pop_Inputs!$Q$2:$Q$29,MATCH(C951,Pop_Inputs!$A$2:$A$29,0))</f>
        <v>Midwest</v>
      </c>
      <c r="W951" s="30"/>
      <c r="X951" s="3" t="str">
        <f aca="false">IF(W951="","",LN(W951))</f>
        <v/>
      </c>
      <c r="Y951" s="3" t="str">
        <f aca="false">IF(X951="","",X951-AVERAGEIFS($X$2:$X$2705,$B$2:$B$2705,B951))</f>
        <v/>
      </c>
      <c r="Z951" s="21" t="n">
        <f aca="false">P951</f>
        <v>0.408722759786249</v>
      </c>
      <c r="AA951" s="3" t="n">
        <f aca="false">R951</f>
        <v>0</v>
      </c>
      <c r="AB951" s="21" t="n">
        <f aca="false">P951</f>
        <v>0.408722759786249</v>
      </c>
      <c r="AC951" s="3" t="str">
        <f aca="false">Y951</f>
        <v/>
      </c>
      <c r="AD951" s="3" t="n">
        <f aca="false">R951</f>
        <v>0</v>
      </c>
    </row>
    <row r="952" customFormat="false" ht="15" hidden="false" customHeight="true" outlineLevel="0" collapsed="false">
      <c r="A952" s="7" t="s">
        <v>62</v>
      </c>
      <c r="B952" s="7" t="n">
        <v>1960</v>
      </c>
      <c r="C952" s="7" t="s">
        <v>148</v>
      </c>
      <c r="D952" s="7" t="n">
        <v>82</v>
      </c>
      <c r="E952" s="7" t="n">
        <v>72</v>
      </c>
      <c r="F952" s="3" t="n">
        <f aca="false">COUNTIFS($B$2:$B$2705,B952,$C$2:$C$2705,C952)</f>
        <v>1</v>
      </c>
      <c r="G952" s="3" t="n">
        <f aca="false">MIN(INT((MIN(B952,2020)-1900)/10)+1,12)</f>
        <v>7</v>
      </c>
      <c r="H952" s="3" t="n">
        <f aca="false">(MIN(B952,2020)-1900-10*(G952-1))/10</f>
        <v>0</v>
      </c>
      <c r="I952" s="20" t="n">
        <f aca="false">EXP(LN(INDEX(Pop_Inputs!$B$2:$N$29,MATCH(C952,Pop_Inputs!$A$2:$A$29,0),G952))*(1-H952)+LN(INDEX(Pop_Inputs!$B$2:$N$29,MATCH(C952,Pop_Inputs!$A$2:$A$29,0),G952+1))*H952)</f>
        <v>2479015</v>
      </c>
      <c r="J952" s="20" t="n">
        <f aca="false">I952/F952</f>
        <v>2479015</v>
      </c>
      <c r="K952" s="21" t="n">
        <f aca="false">D952/(D952+E952)</f>
        <v>0.532467532467532</v>
      </c>
      <c r="L952" s="21" t="n">
        <f aca="false">AVERAGEIFS($K$2:$K$2705,$B$2:$B$2705,B952)</f>
        <v>0.5</v>
      </c>
      <c r="M952" s="21" t="n">
        <f aca="false">K952-L952</f>
        <v>0.0324675324675324</v>
      </c>
      <c r="N952" s="21" t="n">
        <f aca="false">LN(J952)</f>
        <v>14.723371861826</v>
      </c>
      <c r="O952" s="21" t="n">
        <f aca="false">AVERAGEIFS($N$2:$N$2705,$B$2:$B$2705,B952)</f>
        <v>13.9196976484342</v>
      </c>
      <c r="P952" s="21" t="n">
        <f aca="false">N952-O952</f>
        <v>0.80367421339175</v>
      </c>
      <c r="Q952" s="7" t="n">
        <v>0</v>
      </c>
      <c r="R952" s="3" t="n">
        <f aca="false">IF(AND(Q952=1,B952-_xlfn.MINIFS($B$2:$B$2705,$A$2:$A$2705,A952)&lt;10),1,0)</f>
        <v>0</v>
      </c>
      <c r="S952" s="7" t="n">
        <v>0</v>
      </c>
      <c r="T952" s="3" t="n">
        <f aca="false">_xlfn.MINIFS($B$2:$B$2705,$A$2:$A$2705,A952)</f>
        <v>1901</v>
      </c>
      <c r="U952" s="3" t="n">
        <f aca="false">B952-T952</f>
        <v>59</v>
      </c>
      <c r="V952" s="3" t="str">
        <f aca="false">INDEX(Pop_Inputs!$Q$2:$Q$29,MATCH(C952,Pop_Inputs!$A$2:$A$29,0))</f>
        <v>West</v>
      </c>
      <c r="W952" s="30"/>
      <c r="X952" s="3" t="str">
        <f aca="false">IF(W952="","",LN(W952))</f>
        <v/>
      </c>
      <c r="Y952" s="3" t="str">
        <f aca="false">IF(X952="","",X952-AVERAGEIFS($X$2:$X$2705,$B$2:$B$2705,B952))</f>
        <v/>
      </c>
      <c r="Z952" s="21" t="n">
        <f aca="false">P952</f>
        <v>0.80367421339175</v>
      </c>
      <c r="AA952" s="3" t="n">
        <f aca="false">R952</f>
        <v>0</v>
      </c>
      <c r="AB952" s="21" t="n">
        <f aca="false">P952</f>
        <v>0.80367421339175</v>
      </c>
      <c r="AC952" s="3" t="str">
        <f aca="false">Y952</f>
        <v/>
      </c>
      <c r="AD952" s="3" t="n">
        <f aca="false">R952</f>
        <v>0</v>
      </c>
    </row>
    <row r="953" customFormat="false" ht="15" hidden="false" customHeight="true" outlineLevel="0" collapsed="false">
      <c r="A953" s="7" t="s">
        <v>68</v>
      </c>
      <c r="B953" s="7" t="n">
        <v>1960</v>
      </c>
      <c r="C953" s="7" t="s">
        <v>160</v>
      </c>
      <c r="D953" s="7" t="n">
        <v>73</v>
      </c>
      <c r="E953" s="7" t="n">
        <v>81</v>
      </c>
      <c r="F953" s="3" t="n">
        <f aca="false">COUNTIFS($B$2:$B$2705,B953,$C$2:$C$2705,C953)</f>
        <v>1</v>
      </c>
      <c r="G953" s="3" t="n">
        <f aca="false">MIN(INT((MIN(B953,2020)-1900)/10)+1,12)</f>
        <v>7</v>
      </c>
      <c r="H953" s="3" t="n">
        <f aca="false">(MIN(B953,2020)-1900-10*(G953-1))/10</f>
        <v>0</v>
      </c>
      <c r="I953" s="20" t="n">
        <f aca="false">EXP(LN(INDEX(Pop_Inputs!$B$2:$N$29,MATCH(C953,Pop_Inputs!$A$2:$A$29,0),G953))*(1-H953)+LN(INDEX(Pop_Inputs!$B$2:$N$29,MATCH(C953,Pop_Inputs!$A$2:$A$29,0),G953+1))*H953)</f>
        <v>763955.999999999</v>
      </c>
      <c r="J953" s="20" t="n">
        <f aca="false">I953/F953</f>
        <v>763955.999999999</v>
      </c>
      <c r="K953" s="21" t="n">
        <f aca="false">D953/(D953+E953)</f>
        <v>0.474025974025974</v>
      </c>
      <c r="L953" s="21" t="n">
        <f aca="false">AVERAGEIFS($K$2:$K$2705,$B$2:$B$2705,B953)</f>
        <v>0.5</v>
      </c>
      <c r="M953" s="21" t="n">
        <f aca="false">K953-L953</f>
        <v>-0.025974025974026</v>
      </c>
      <c r="N953" s="21" t="n">
        <f aca="false">LN(J953)</f>
        <v>13.5462654748672</v>
      </c>
      <c r="O953" s="21" t="n">
        <f aca="false">AVERAGEIFS($N$2:$N$2705,$B$2:$B$2705,B953)</f>
        <v>13.9196976484342</v>
      </c>
      <c r="P953" s="21" t="n">
        <f aca="false">N953-O953</f>
        <v>-0.373432173567059</v>
      </c>
      <c r="Q953" s="7" t="n">
        <v>0</v>
      </c>
      <c r="R953" s="3" t="n">
        <f aca="false">IF(AND(Q953=1,B953-_xlfn.MINIFS($B$2:$B$2705,$A$2:$A$2705,A953)&lt;10),1,0)</f>
        <v>0</v>
      </c>
      <c r="S953" s="7" t="n">
        <v>0</v>
      </c>
      <c r="T953" s="3" t="n">
        <f aca="false">_xlfn.MINIFS($B$2:$B$2705,$A$2:$A$2705,A953)</f>
        <v>1901</v>
      </c>
      <c r="U953" s="3" t="n">
        <f aca="false">B953-T953</f>
        <v>59</v>
      </c>
      <c r="V953" s="3" t="str">
        <f aca="false">INDEX(Pop_Inputs!$Q$2:$Q$29,MATCH(C953,Pop_Inputs!$A$2:$A$29,0))</f>
        <v>South</v>
      </c>
      <c r="W953" s="30"/>
      <c r="X953" s="3" t="str">
        <f aca="false">IF(W953="","",LN(W953))</f>
        <v/>
      </c>
      <c r="Y953" s="3" t="str">
        <f aca="false">IF(X953="","",X953-AVERAGEIFS($X$2:$X$2705,$B$2:$B$2705,B953))</f>
        <v/>
      </c>
      <c r="Z953" s="21" t="n">
        <f aca="false">P953</f>
        <v>-0.373432173567059</v>
      </c>
      <c r="AA953" s="3" t="n">
        <f aca="false">R953</f>
        <v>0</v>
      </c>
      <c r="AB953" s="21" t="n">
        <f aca="false">P953</f>
        <v>-0.373432173567059</v>
      </c>
      <c r="AC953" s="3" t="str">
        <f aca="false">Y953</f>
        <v/>
      </c>
      <c r="AD953" s="3" t="n">
        <f aca="false">R953</f>
        <v>0</v>
      </c>
    </row>
    <row r="954" customFormat="false" ht="15" hidden="false" customHeight="true" outlineLevel="0" collapsed="false">
      <c r="A954" s="7" t="s">
        <v>70</v>
      </c>
      <c r="B954" s="7" t="n">
        <v>1960</v>
      </c>
      <c r="C954" s="7" t="s">
        <v>154</v>
      </c>
      <c r="D954" s="7" t="n">
        <v>97</v>
      </c>
      <c r="E954" s="7" t="n">
        <v>57</v>
      </c>
      <c r="F954" s="3" t="n">
        <f aca="false">COUNTIFS($B$2:$B$2705,B954,$C$2:$C$2705,C954)</f>
        <v>1</v>
      </c>
      <c r="G954" s="3" t="n">
        <f aca="false">MIN(INT((MIN(B954,2020)-1900)/10)+1,12)</f>
        <v>7</v>
      </c>
      <c r="H954" s="3" t="n">
        <f aca="false">(MIN(B954,2020)-1900-10*(G954-1))/10</f>
        <v>0</v>
      </c>
      <c r="I954" s="20" t="n">
        <f aca="false">EXP(LN(INDEX(Pop_Inputs!$B$2:$N$29,MATCH(C954,Pop_Inputs!$A$2:$A$29,0),G954))*(1-H954)+LN(INDEX(Pop_Inputs!$B$2:$N$29,MATCH(C954,Pop_Inputs!$A$2:$A$29,0),G954+1))*H954)</f>
        <v>7781984</v>
      </c>
      <c r="J954" s="20" t="n">
        <f aca="false">I954/F954</f>
        <v>7781984</v>
      </c>
      <c r="K954" s="21" t="n">
        <f aca="false">D954/(D954+E954)</f>
        <v>0.62987012987013</v>
      </c>
      <c r="L954" s="21" t="n">
        <f aca="false">AVERAGEIFS($K$2:$K$2705,$B$2:$B$2705,B954)</f>
        <v>0.5</v>
      </c>
      <c r="M954" s="21" t="n">
        <f aca="false">K954-L954</f>
        <v>0.12987012987013</v>
      </c>
      <c r="N954" s="21" t="n">
        <f aca="false">LN(J954)</f>
        <v>15.8673218764978</v>
      </c>
      <c r="O954" s="21" t="n">
        <f aca="false">AVERAGEIFS($N$2:$N$2705,$B$2:$B$2705,B954)</f>
        <v>13.9196976484342</v>
      </c>
      <c r="P954" s="21" t="n">
        <f aca="false">N954-O954</f>
        <v>1.94762422806358</v>
      </c>
      <c r="Q954" s="7" t="n">
        <v>0</v>
      </c>
      <c r="R954" s="3" t="n">
        <f aca="false">IF(AND(Q954=1,B954-_xlfn.MINIFS($B$2:$B$2705,$A$2:$A$2705,A954)&lt;10),1,0)</f>
        <v>0</v>
      </c>
      <c r="S954" s="7" t="n">
        <v>1</v>
      </c>
      <c r="T954" s="3" t="n">
        <f aca="false">_xlfn.MINIFS($B$2:$B$2705,$A$2:$A$2705,A954)</f>
        <v>1903</v>
      </c>
      <c r="U954" s="3" t="n">
        <f aca="false">B954-T954</f>
        <v>57</v>
      </c>
      <c r="V954" s="3" t="str">
        <f aca="false">INDEX(Pop_Inputs!$Q$2:$Q$29,MATCH(C954,Pop_Inputs!$A$2:$A$29,0))</f>
        <v>Northeast</v>
      </c>
      <c r="W954" s="30"/>
      <c r="X954" s="3" t="str">
        <f aca="false">IF(W954="","",LN(W954))</f>
        <v/>
      </c>
      <c r="Y954" s="3" t="str">
        <f aca="false">IF(X954="","",X954-AVERAGEIFS($X$2:$X$2705,$B$2:$B$2705,B954))</f>
        <v/>
      </c>
      <c r="Z954" s="21" t="n">
        <f aca="false">P954</f>
        <v>1.94762422806358</v>
      </c>
      <c r="AA954" s="3" t="n">
        <f aca="false">R954</f>
        <v>0</v>
      </c>
      <c r="AB954" s="21" t="n">
        <f aca="false">P954</f>
        <v>1.94762422806358</v>
      </c>
      <c r="AC954" s="3" t="str">
        <f aca="false">Y954</f>
        <v/>
      </c>
      <c r="AD954" s="3" t="n">
        <f aca="false">R954</f>
        <v>0</v>
      </c>
    </row>
    <row r="955" customFormat="false" ht="15" hidden="false" customHeight="true" outlineLevel="0" collapsed="false">
      <c r="A955" s="7" t="s">
        <v>69</v>
      </c>
      <c r="B955" s="7" t="n">
        <v>1960</v>
      </c>
      <c r="C955" s="7" t="s">
        <v>157</v>
      </c>
      <c r="D955" s="7" t="n">
        <v>58</v>
      </c>
      <c r="E955" s="7" t="n">
        <v>96</v>
      </c>
      <c r="F955" s="3" t="n">
        <f aca="false">COUNTIFS($B$2:$B$2705,B955,$C$2:$C$2705,C955)</f>
        <v>1</v>
      </c>
      <c r="G955" s="3" t="n">
        <f aca="false">MIN(INT((MIN(B955,2020)-1900)/10)+1,12)</f>
        <v>7</v>
      </c>
      <c r="H955" s="3" t="n">
        <f aca="false">(MIN(B955,2020)-1900-10*(G955-1))/10</f>
        <v>0</v>
      </c>
      <c r="I955" s="20" t="n">
        <f aca="false">EXP(LN(INDEX(Pop_Inputs!$B$2:$N$29,MATCH(C955,Pop_Inputs!$A$2:$A$29,0),G955))*(1-H955)+LN(INDEX(Pop_Inputs!$B$2:$N$29,MATCH(C955,Pop_Inputs!$A$2:$A$29,0),G955+1))*H955)</f>
        <v>475539</v>
      </c>
      <c r="J955" s="20" t="n">
        <f aca="false">I955/F955</f>
        <v>475539</v>
      </c>
      <c r="K955" s="21" t="n">
        <f aca="false">D955/(D955+E955)</f>
        <v>0.376623376623377</v>
      </c>
      <c r="L955" s="21" t="n">
        <f aca="false">AVERAGEIFS($K$2:$K$2705,$B$2:$B$2705,B955)</f>
        <v>0.5</v>
      </c>
      <c r="M955" s="21" t="n">
        <f aca="false">K955-L955</f>
        <v>-0.123376623376623</v>
      </c>
      <c r="N955" s="21" t="n">
        <f aca="false">LN(J955)</f>
        <v>13.0722041765317</v>
      </c>
      <c r="O955" s="21" t="n">
        <f aca="false">AVERAGEIFS($N$2:$N$2705,$B$2:$B$2705,B955)</f>
        <v>13.9196976484342</v>
      </c>
      <c r="P955" s="21" t="n">
        <f aca="false">N955-O955</f>
        <v>-0.84749347190256</v>
      </c>
      <c r="Q955" s="7" t="n">
        <v>0</v>
      </c>
      <c r="R955" s="3" t="n">
        <f aca="false">IF(AND(Q955=1,B955-_xlfn.MINIFS($B$2:$B$2705,$A$2:$A$2705,A955)&lt;10),1,0)</f>
        <v>0</v>
      </c>
      <c r="S955" s="7" t="n">
        <v>0</v>
      </c>
      <c r="T955" s="3" t="n">
        <f aca="false">_xlfn.MINIFS($B$2:$B$2705,$A$2:$A$2705,A955)</f>
        <v>1901</v>
      </c>
      <c r="U955" s="3" t="n">
        <f aca="false">B955-T955</f>
        <v>59</v>
      </c>
      <c r="V955" s="3" t="str">
        <f aca="false">INDEX(Pop_Inputs!$Q$2:$Q$29,MATCH(C955,Pop_Inputs!$A$2:$A$29,0))</f>
        <v>Midwest</v>
      </c>
      <c r="W955" s="30"/>
      <c r="X955" s="3" t="str">
        <f aca="false">IF(W955="","",LN(W955))</f>
        <v/>
      </c>
      <c r="Y955" s="3" t="str">
        <f aca="false">IF(X955="","",X955-AVERAGEIFS($X$2:$X$2705,$B$2:$B$2705,B955))</f>
        <v/>
      </c>
      <c r="Z955" s="21" t="n">
        <f aca="false">P955</f>
        <v>-0.84749347190256</v>
      </c>
      <c r="AA955" s="3" t="n">
        <f aca="false">R955</f>
        <v>0</v>
      </c>
      <c r="AB955" s="21" t="n">
        <f aca="false">P955</f>
        <v>-0.84749347190256</v>
      </c>
      <c r="AC955" s="3" t="str">
        <f aca="false">Y955</f>
        <v/>
      </c>
      <c r="AD955" s="3" t="n">
        <f aca="false">R955</f>
        <v>0</v>
      </c>
    </row>
    <row r="956" customFormat="false" ht="15" hidden="false" customHeight="true" outlineLevel="0" collapsed="false">
      <c r="A956" s="7" t="s">
        <v>60</v>
      </c>
      <c r="B956" s="7" t="n">
        <v>1960</v>
      </c>
      <c r="C956" s="7" t="s">
        <v>146</v>
      </c>
      <c r="D956" s="7" t="n">
        <v>59</v>
      </c>
      <c r="E956" s="7" t="n">
        <v>95</v>
      </c>
      <c r="F956" s="3" t="n">
        <f aca="false">COUNTIFS($B$2:$B$2705,B956,$C$2:$C$2705,C956)</f>
        <v>1</v>
      </c>
      <c r="G956" s="3" t="n">
        <f aca="false">MIN(INT((MIN(B956,2020)-1900)/10)+1,12)</f>
        <v>7</v>
      </c>
      <c r="H956" s="3" t="n">
        <f aca="false">(MIN(B956,2020)-1900-10*(G956-1))/10</f>
        <v>0</v>
      </c>
      <c r="I956" s="20" t="n">
        <f aca="false">EXP(LN(INDEX(Pop_Inputs!$B$2:$N$29,MATCH(C956,Pop_Inputs!$A$2:$A$29,0),G956))*(1-H956)+LN(INDEX(Pop_Inputs!$B$2:$N$29,MATCH(C956,Pop_Inputs!$A$2:$A$29,0),G956+1))*H956)</f>
        <v>2002512</v>
      </c>
      <c r="J956" s="20" t="n">
        <f aca="false">I956/F956</f>
        <v>2002512</v>
      </c>
      <c r="K956" s="21" t="n">
        <f aca="false">D956/(D956+E956)</f>
        <v>0.383116883116883</v>
      </c>
      <c r="L956" s="21" t="n">
        <f aca="false">AVERAGEIFS($K$2:$K$2705,$B$2:$B$2705,B956)</f>
        <v>0.5</v>
      </c>
      <c r="M956" s="21" t="n">
        <f aca="false">K956-L956</f>
        <v>-0.116883116883117</v>
      </c>
      <c r="N956" s="21" t="n">
        <f aca="false">LN(J956)</f>
        <v>14.5099129504161</v>
      </c>
      <c r="O956" s="21" t="n">
        <f aca="false">AVERAGEIFS($N$2:$N$2705,$B$2:$B$2705,B956)</f>
        <v>13.9196976484342</v>
      </c>
      <c r="P956" s="21" t="n">
        <f aca="false">N956-O956</f>
        <v>0.590215301981843</v>
      </c>
      <c r="Q956" s="7" t="n">
        <v>0</v>
      </c>
      <c r="R956" s="3" t="n">
        <f aca="false">IF(AND(Q956=1,B956-_xlfn.MINIFS($B$2:$B$2705,$A$2:$A$2705,A956)&lt;10),1,0)</f>
        <v>0</v>
      </c>
      <c r="S956" s="7" t="n">
        <v>0</v>
      </c>
      <c r="T956" s="3" t="n">
        <f aca="false">_xlfn.MINIFS($B$2:$B$2705,$A$2:$A$2705,A956)</f>
        <v>1901</v>
      </c>
      <c r="U956" s="3" t="n">
        <f aca="false">B956-T956</f>
        <v>59</v>
      </c>
      <c r="V956" s="3" t="str">
        <f aca="false">INDEX(Pop_Inputs!$Q$2:$Q$29,MATCH(C956,Pop_Inputs!$A$2:$A$29,0))</f>
        <v>Northeast</v>
      </c>
      <c r="W956" s="30"/>
      <c r="X956" s="3" t="str">
        <f aca="false">IF(W956="","",LN(W956))</f>
        <v/>
      </c>
      <c r="Y956" s="3" t="str">
        <f aca="false">IF(X956="","",X956-AVERAGEIFS($X$2:$X$2705,$B$2:$B$2705,B956))</f>
        <v/>
      </c>
      <c r="Z956" s="21" t="n">
        <f aca="false">P956</f>
        <v>0.590215301981843</v>
      </c>
      <c r="AA956" s="3" t="n">
        <f aca="false">R956</f>
        <v>0</v>
      </c>
      <c r="AB956" s="21" t="n">
        <f aca="false">P956</f>
        <v>0.590215301981843</v>
      </c>
      <c r="AC956" s="3" t="str">
        <f aca="false">Y956</f>
        <v/>
      </c>
      <c r="AD956" s="3" t="n">
        <f aca="false">R956</f>
        <v>0</v>
      </c>
    </row>
    <row r="957" customFormat="false" ht="15" hidden="false" customHeight="true" outlineLevel="0" collapsed="false">
      <c r="A957" s="7" t="s">
        <v>58</v>
      </c>
      <c r="B957" s="7" t="n">
        <v>1960</v>
      </c>
      <c r="C957" s="7" t="s">
        <v>144</v>
      </c>
      <c r="D957" s="7" t="n">
        <v>95</v>
      </c>
      <c r="E957" s="7" t="n">
        <v>59</v>
      </c>
      <c r="F957" s="3" t="n">
        <f aca="false">COUNTIFS($B$2:$B$2705,B957,$C$2:$C$2705,C957)</f>
        <v>1</v>
      </c>
      <c r="G957" s="3" t="n">
        <f aca="false">MIN(INT((MIN(B957,2020)-1900)/10)+1,12)</f>
        <v>7</v>
      </c>
      <c r="H957" s="3" t="n">
        <f aca="false">(MIN(B957,2020)-1900-10*(G957-1))/10</f>
        <v>0</v>
      </c>
      <c r="I957" s="20" t="n">
        <f aca="false">EXP(LN(INDEX(Pop_Inputs!$B$2:$N$29,MATCH(C957,Pop_Inputs!$A$2:$A$29,0),G957))*(1-H957)+LN(INDEX(Pop_Inputs!$B$2:$N$29,MATCH(C957,Pop_Inputs!$A$2:$A$29,0),G957+1))*H957)</f>
        <v>604332</v>
      </c>
      <c r="J957" s="20" t="n">
        <f aca="false">I957/F957</f>
        <v>604332</v>
      </c>
      <c r="K957" s="21" t="n">
        <f aca="false">D957/(D957+E957)</f>
        <v>0.616883116883117</v>
      </c>
      <c r="L957" s="21" t="n">
        <f aca="false">AVERAGEIFS($K$2:$K$2705,$B$2:$B$2705,B957)</f>
        <v>0.5</v>
      </c>
      <c r="M957" s="21" t="n">
        <f aca="false">K957-L957</f>
        <v>0.116883116883117</v>
      </c>
      <c r="N957" s="21" t="n">
        <f aca="false">LN(J957)</f>
        <v>13.3118789947785</v>
      </c>
      <c r="O957" s="21" t="n">
        <f aca="false">AVERAGEIFS($N$2:$N$2705,$B$2:$B$2705,B957)</f>
        <v>13.9196976484342</v>
      </c>
      <c r="P957" s="21" t="n">
        <f aca="false">N957-O957</f>
        <v>-0.607818653655693</v>
      </c>
      <c r="Q957" s="7" t="n">
        <v>0</v>
      </c>
      <c r="R957" s="3" t="n">
        <f aca="false">IF(AND(Q957=1,B957-_xlfn.MINIFS($B$2:$B$2705,$A$2:$A$2705,A957)&lt;10),1,0)</f>
        <v>0</v>
      </c>
      <c r="S957" s="7" t="n">
        <v>0</v>
      </c>
      <c r="T957" s="3" t="n">
        <f aca="false">_xlfn.MINIFS($B$2:$B$2705,$A$2:$A$2705,A957)</f>
        <v>1901</v>
      </c>
      <c r="U957" s="3" t="n">
        <f aca="false">B957-T957</f>
        <v>59</v>
      </c>
      <c r="V957" s="3" t="str">
        <f aca="false">INDEX(Pop_Inputs!$Q$2:$Q$29,MATCH(C957,Pop_Inputs!$A$2:$A$29,0))</f>
        <v>Northeast</v>
      </c>
      <c r="W957" s="30"/>
      <c r="X957" s="3" t="str">
        <f aca="false">IF(W957="","",LN(W957))</f>
        <v/>
      </c>
      <c r="Y957" s="3" t="str">
        <f aca="false">IF(X957="","",X957-AVERAGEIFS($X$2:$X$2705,$B$2:$B$2705,B957))</f>
        <v/>
      </c>
      <c r="Z957" s="21" t="n">
        <f aca="false">P957</f>
        <v>-0.607818653655693</v>
      </c>
      <c r="AA957" s="3" t="n">
        <f aca="false">R957</f>
        <v>0</v>
      </c>
      <c r="AB957" s="21" t="n">
        <f aca="false">P957</f>
        <v>-0.607818653655693</v>
      </c>
      <c r="AC957" s="3" t="str">
        <f aca="false">Y957</f>
        <v/>
      </c>
      <c r="AD957" s="3" t="n">
        <f aca="false">R957</f>
        <v>0</v>
      </c>
    </row>
    <row r="958" customFormat="false" ht="15" hidden="false" customHeight="true" outlineLevel="0" collapsed="false">
      <c r="A958" s="7" t="s">
        <v>61</v>
      </c>
      <c r="B958" s="7" t="n">
        <v>1960</v>
      </c>
      <c r="C958" s="7" t="s">
        <v>147</v>
      </c>
      <c r="D958" s="7" t="n">
        <v>79</v>
      </c>
      <c r="E958" s="7" t="n">
        <v>75</v>
      </c>
      <c r="F958" s="3" t="n">
        <f aca="false">COUNTIFS($B$2:$B$2705,B958,$C$2:$C$2705,C958)</f>
        <v>1</v>
      </c>
      <c r="G958" s="3" t="n">
        <f aca="false">MIN(INT((MIN(B958,2020)-1900)/10)+1,12)</f>
        <v>7</v>
      </c>
      <c r="H958" s="3" t="n">
        <f aca="false">(MIN(B958,2020)-1900-10*(G958-1))/10</f>
        <v>0</v>
      </c>
      <c r="I958" s="20" t="n">
        <f aca="false">EXP(LN(INDEX(Pop_Inputs!$B$2:$N$29,MATCH(C958,Pop_Inputs!$A$2:$A$29,0),G958))*(1-H958)+LN(INDEX(Pop_Inputs!$B$2:$N$29,MATCH(C958,Pop_Inputs!$A$2:$A$29,0),G958+1))*H958)</f>
        <v>740316</v>
      </c>
      <c r="J958" s="20" t="n">
        <f aca="false">I958/F958</f>
        <v>740316</v>
      </c>
      <c r="K958" s="21" t="n">
        <f aca="false">D958/(D958+E958)</f>
        <v>0.512987012987013</v>
      </c>
      <c r="L958" s="21" t="n">
        <f aca="false">AVERAGEIFS($K$2:$K$2705,$B$2:$B$2705,B958)</f>
        <v>0.5</v>
      </c>
      <c r="M958" s="21" t="n">
        <f aca="false">K958-L958</f>
        <v>0.012987012987013</v>
      </c>
      <c r="N958" s="21" t="n">
        <f aca="false">LN(J958)</f>
        <v>13.5148324010573</v>
      </c>
      <c r="O958" s="21" t="n">
        <f aca="false">AVERAGEIFS($N$2:$N$2705,$B$2:$B$2705,B958)</f>
        <v>13.9196976484342</v>
      </c>
      <c r="P958" s="21" t="n">
        <f aca="false">N958-O958</f>
        <v>-0.404865247376931</v>
      </c>
      <c r="Q958" s="7" t="n">
        <v>0</v>
      </c>
      <c r="R958" s="3" t="n">
        <f aca="false">IF(AND(Q958=1,B958-_xlfn.MINIFS($B$2:$B$2705,$A$2:$A$2705,A958)&lt;10),1,0)</f>
        <v>0</v>
      </c>
      <c r="S958" s="7" t="n">
        <v>0</v>
      </c>
      <c r="T958" s="3" t="n">
        <f aca="false">_xlfn.MINIFS($B$2:$B$2705,$A$2:$A$2705,A958)</f>
        <v>1901</v>
      </c>
      <c r="U958" s="3" t="n">
        <f aca="false">B958-T958</f>
        <v>59</v>
      </c>
      <c r="V958" s="3" t="str">
        <f aca="false">INDEX(Pop_Inputs!$Q$2:$Q$29,MATCH(C958,Pop_Inputs!$A$2:$A$29,0))</f>
        <v>West</v>
      </c>
      <c r="W958" s="30"/>
      <c r="X958" s="3" t="str">
        <f aca="false">IF(W958="","",LN(W958))</f>
        <v/>
      </c>
      <c r="Y958" s="3" t="str">
        <f aca="false">IF(X958="","",X958-AVERAGEIFS($X$2:$X$2705,$B$2:$B$2705,B958))</f>
        <v/>
      </c>
      <c r="Z958" s="21" t="n">
        <f aca="false">P958</f>
        <v>-0.404865247376931</v>
      </c>
      <c r="AA958" s="3" t="n">
        <f aca="false">R958</f>
        <v>0</v>
      </c>
      <c r="AB958" s="21" t="n">
        <f aca="false">P958</f>
        <v>-0.404865247376931</v>
      </c>
      <c r="AC958" s="3" t="str">
        <f aca="false">Y958</f>
        <v/>
      </c>
      <c r="AD958" s="3" t="n">
        <f aca="false">R958</f>
        <v>0</v>
      </c>
    </row>
    <row r="959" customFormat="false" ht="15" hidden="false" customHeight="true" outlineLevel="0" collapsed="false">
      <c r="A959" s="7" t="s">
        <v>59</v>
      </c>
      <c r="B959" s="7" t="n">
        <v>1960</v>
      </c>
      <c r="C959" s="7" t="s">
        <v>145</v>
      </c>
      <c r="D959" s="7" t="n">
        <v>86</v>
      </c>
      <c r="E959" s="7" t="n">
        <v>68</v>
      </c>
      <c r="F959" s="3" t="n">
        <f aca="false">COUNTIFS($B$2:$B$2705,B959,$C$2:$C$2705,C959)</f>
        <v>1</v>
      </c>
      <c r="G959" s="3" t="n">
        <f aca="false">MIN(INT((MIN(B959,2020)-1900)/10)+1,12)</f>
        <v>7</v>
      </c>
      <c r="H959" s="3" t="n">
        <f aca="false">(MIN(B959,2020)-1900-10*(G959-1))/10</f>
        <v>0</v>
      </c>
      <c r="I959" s="20" t="n">
        <f aca="false">EXP(LN(INDEX(Pop_Inputs!$B$2:$N$29,MATCH(C959,Pop_Inputs!$A$2:$A$29,0),G959))*(1-H959)+LN(INDEX(Pop_Inputs!$B$2:$N$29,MATCH(C959,Pop_Inputs!$A$2:$A$29,0),G959+1))*H959)</f>
        <v>750025.999999999</v>
      </c>
      <c r="J959" s="20" t="n">
        <f aca="false">I959/F959</f>
        <v>750025.999999999</v>
      </c>
      <c r="K959" s="21" t="n">
        <f aca="false">D959/(D959+E959)</f>
        <v>0.558441558441558</v>
      </c>
      <c r="L959" s="21" t="n">
        <f aca="false">AVERAGEIFS($K$2:$K$2705,$B$2:$B$2705,B959)</f>
        <v>0.5</v>
      </c>
      <c r="M959" s="21" t="n">
        <f aca="false">K959-L959</f>
        <v>0.0584415584415584</v>
      </c>
      <c r="N959" s="21" t="n">
        <f aca="false">LN(J959)</f>
        <v>13.5278631515783</v>
      </c>
      <c r="O959" s="21" t="n">
        <f aca="false">AVERAGEIFS($N$2:$N$2705,$B$2:$B$2705,B959)</f>
        <v>13.9196976484342</v>
      </c>
      <c r="P959" s="21" t="n">
        <f aca="false">N959-O959</f>
        <v>-0.391834496855934</v>
      </c>
      <c r="Q959" s="7" t="n">
        <v>0</v>
      </c>
      <c r="R959" s="3" t="n">
        <f aca="false">IF(AND(Q959=1,B959-_xlfn.MINIFS($B$2:$B$2705,$A$2:$A$2705,A959)&lt;10),1,0)</f>
        <v>0</v>
      </c>
      <c r="S959" s="7" t="n">
        <v>0</v>
      </c>
      <c r="T959" s="3" t="n">
        <f aca="false">_xlfn.MINIFS($B$2:$B$2705,$A$2:$A$2705,A959)</f>
        <v>1901</v>
      </c>
      <c r="U959" s="3" t="n">
        <f aca="false">B959-T959</f>
        <v>59</v>
      </c>
      <c r="V959" s="3" t="str">
        <f aca="false">INDEX(Pop_Inputs!$Q$2:$Q$29,MATCH(C959,Pop_Inputs!$A$2:$A$29,0))</f>
        <v>Midwest</v>
      </c>
      <c r="W959" s="30"/>
      <c r="X959" s="3" t="str">
        <f aca="false">IF(W959="","",LN(W959))</f>
        <v/>
      </c>
      <c r="Y959" s="3" t="str">
        <f aca="false">IF(X959="","",X959-AVERAGEIFS($X$2:$X$2705,$B$2:$B$2705,B959))</f>
        <v/>
      </c>
      <c r="Z959" s="21" t="n">
        <f aca="false">P959</f>
        <v>-0.391834496855934</v>
      </c>
      <c r="AA959" s="3" t="n">
        <f aca="false">R959</f>
        <v>0</v>
      </c>
      <c r="AB959" s="21" t="n">
        <f aca="false">P959</f>
        <v>-0.391834496855934</v>
      </c>
      <c r="AC959" s="3" t="str">
        <f aca="false">Y959</f>
        <v/>
      </c>
      <c r="AD959" s="3" t="n">
        <f aca="false">R959</f>
        <v>0</v>
      </c>
    </row>
    <row r="960" customFormat="false" ht="15" hidden="false" customHeight="true" outlineLevel="0" collapsed="false">
      <c r="A960" s="7" t="s">
        <v>71</v>
      </c>
      <c r="B960" s="7" t="n">
        <v>1961</v>
      </c>
      <c r="C960" s="7" t="s">
        <v>148</v>
      </c>
      <c r="D960" s="7" t="n">
        <v>70</v>
      </c>
      <c r="E960" s="7" t="n">
        <v>91</v>
      </c>
      <c r="F960" s="3" t="n">
        <f aca="false">COUNTIFS($B$2:$B$2705,B960,$C$2:$C$2705,C960)</f>
        <v>2</v>
      </c>
      <c r="G960" s="3" t="n">
        <f aca="false">MIN(INT((MIN(B960,2020)-1900)/10)+1,12)</f>
        <v>7</v>
      </c>
      <c r="H960" s="3" t="n">
        <f aca="false">(MIN(B960,2020)-1900-10*(G960-1))/10</f>
        <v>0.1</v>
      </c>
      <c r="I960" s="20" t="n">
        <f aca="false">EXP(LN(INDEX(Pop_Inputs!$B$2:$N$29,MATCH(C960,Pop_Inputs!$A$2:$A$29,0),G960))*(1-H960)+LN(INDEX(Pop_Inputs!$B$2:$N$29,MATCH(C960,Pop_Inputs!$A$2:$A$29,0),G960+1))*H960)</f>
        <v>2510819.2227925</v>
      </c>
      <c r="J960" s="20" t="n">
        <f aca="false">I960/F960</f>
        <v>1255409.61139625</v>
      </c>
      <c r="K960" s="21" t="n">
        <f aca="false">D960/(D960+E960)</f>
        <v>0.434782608695652</v>
      </c>
      <c r="L960" s="21" t="n">
        <f aca="false">AVERAGEIFS($K$2:$K$2705,$B$2:$B$2705,B960)</f>
        <v>0.499846371273505</v>
      </c>
      <c r="M960" s="21" t="n">
        <f aca="false">K960-L960</f>
        <v>-0.0650637625778528</v>
      </c>
      <c r="N960" s="21" t="n">
        <f aca="false">LN(J960)</f>
        <v>14.0429724608792</v>
      </c>
      <c r="O960" s="21" t="n">
        <f aca="false">AVERAGEIFS($N$2:$N$2705,$B$2:$B$2705,B960)</f>
        <v>13.83666299226</v>
      </c>
      <c r="P960" s="21" t="n">
        <f aca="false">N960-O960</f>
        <v>0.206309468619164</v>
      </c>
      <c r="Q960" s="7" t="n">
        <v>1</v>
      </c>
      <c r="R960" s="3" t="n">
        <f aca="false">IF(AND(Q960=1,B960-_xlfn.MINIFS($B$2:$B$2705,$A$2:$A$2705,A960)&lt;10),1,0)</f>
        <v>1</v>
      </c>
      <c r="S960" s="7" t="n">
        <v>0</v>
      </c>
      <c r="T960" s="3" t="n">
        <f aca="false">_xlfn.MINIFS($B$2:$B$2705,$A$2:$A$2705,A960)</f>
        <v>1961</v>
      </c>
      <c r="U960" s="3" t="n">
        <f aca="false">B960-T960</f>
        <v>0</v>
      </c>
      <c r="V960" s="3" t="str">
        <f aca="false">INDEX(Pop_Inputs!$Q$2:$Q$29,MATCH(C960,Pop_Inputs!$A$2:$A$29,0))</f>
        <v>West</v>
      </c>
      <c r="W960" s="30"/>
      <c r="X960" s="3" t="str">
        <f aca="false">IF(W960="","",LN(W960))</f>
        <v/>
      </c>
      <c r="Y960" s="3" t="str">
        <f aca="false">IF(X960="","",X960-AVERAGEIFS($X$2:$X$2705,$B$2:$B$2705,B960))</f>
        <v/>
      </c>
      <c r="Z960" s="21" t="n">
        <f aca="false">P960</f>
        <v>0.206309468619164</v>
      </c>
      <c r="AA960" s="3" t="n">
        <f aca="false">R960</f>
        <v>1</v>
      </c>
      <c r="AB960" s="21" t="n">
        <f aca="false">P960</f>
        <v>0.206309468619164</v>
      </c>
      <c r="AC960" s="3" t="str">
        <f aca="false">Y960</f>
        <v/>
      </c>
      <c r="AD960" s="3" t="n">
        <f aca="false">R960</f>
        <v>1</v>
      </c>
    </row>
    <row r="961" customFormat="false" ht="15" hidden="false" customHeight="true" outlineLevel="0" collapsed="false">
      <c r="A961" s="7" t="s">
        <v>54</v>
      </c>
      <c r="B961" s="7" t="n">
        <v>1961</v>
      </c>
      <c r="C961" s="7" t="s">
        <v>158</v>
      </c>
      <c r="D961" s="7" t="n">
        <v>83</v>
      </c>
      <c r="E961" s="7" t="n">
        <v>71</v>
      </c>
      <c r="F961" s="3" t="n">
        <f aca="false">COUNTIFS($B$2:$B$2705,B961,$C$2:$C$2705,C961)</f>
        <v>1</v>
      </c>
      <c r="G961" s="3" t="n">
        <f aca="false">MIN(INT((MIN(B961,2020)-1900)/10)+1,12)</f>
        <v>7</v>
      </c>
      <c r="H961" s="3" t="n">
        <f aca="false">(MIN(B961,2020)-1900-10*(G961-1))/10</f>
        <v>0.1</v>
      </c>
      <c r="I961" s="20" t="n">
        <f aca="false">EXP(LN(INDEX(Pop_Inputs!$B$2:$N$29,MATCH(C961,Pop_Inputs!$A$2:$A$29,0),G961))*(1-H961)+LN(INDEX(Pop_Inputs!$B$2:$N$29,MATCH(C961,Pop_Inputs!$A$2:$A$29,0),G961+1))*H961)</f>
        <v>738865.121690911</v>
      </c>
      <c r="J961" s="20" t="n">
        <f aca="false">I961/F961</f>
        <v>738865.121690911</v>
      </c>
      <c r="K961" s="21" t="n">
        <f aca="false">D961/(D961+E961)</f>
        <v>0.538961038961039</v>
      </c>
      <c r="L961" s="21" t="n">
        <f aca="false">AVERAGEIFS($K$2:$K$2705,$B$2:$B$2705,B961)</f>
        <v>0.499846371273505</v>
      </c>
      <c r="M961" s="21" t="n">
        <f aca="false">K961-L961</f>
        <v>0.039114667687534</v>
      </c>
      <c r="N961" s="21" t="n">
        <f aca="false">LN(J961)</f>
        <v>13.5128706686459</v>
      </c>
      <c r="O961" s="21" t="n">
        <f aca="false">AVERAGEIFS($N$2:$N$2705,$B$2:$B$2705,B961)</f>
        <v>13.83666299226</v>
      </c>
      <c r="P961" s="21" t="n">
        <f aca="false">N961-O961</f>
        <v>-0.323792323614116</v>
      </c>
      <c r="Q961" s="7" t="n">
        <v>0</v>
      </c>
      <c r="R961" s="3" t="n">
        <f aca="false">IF(AND(Q961=1,B961-_xlfn.MINIFS($B$2:$B$2705,$A$2:$A$2705,A961)&lt;10),1,0)</f>
        <v>0</v>
      </c>
      <c r="S961" s="7" t="n">
        <v>0</v>
      </c>
      <c r="T961" s="3" t="n">
        <f aca="false">_xlfn.MINIFS($B$2:$B$2705,$A$2:$A$2705,A961)</f>
        <v>1901</v>
      </c>
      <c r="U961" s="3" t="n">
        <f aca="false">B961-T961</f>
        <v>60</v>
      </c>
      <c r="V961" s="3" t="str">
        <f aca="false">INDEX(Pop_Inputs!$Q$2:$Q$29,MATCH(C961,Pop_Inputs!$A$2:$A$29,0))</f>
        <v>Midwest</v>
      </c>
      <c r="W961" s="30"/>
      <c r="X961" s="3" t="str">
        <f aca="false">IF(W961="","",LN(W961))</f>
        <v/>
      </c>
      <c r="Y961" s="3" t="str">
        <f aca="false">IF(X961="","",X961-AVERAGEIFS($X$2:$X$2705,$B$2:$B$2705,B961))</f>
        <v/>
      </c>
      <c r="Z961" s="21" t="n">
        <f aca="false">P961</f>
        <v>-0.323792323614116</v>
      </c>
      <c r="AA961" s="3" t="n">
        <f aca="false">R961</f>
        <v>0</v>
      </c>
      <c r="AB961" s="21" t="n">
        <f aca="false">P961</f>
        <v>-0.323792323614116</v>
      </c>
      <c r="AC961" s="3" t="str">
        <f aca="false">Y961</f>
        <v/>
      </c>
      <c r="AD961" s="3" t="n">
        <f aca="false">R961</f>
        <v>0</v>
      </c>
    </row>
    <row r="962" customFormat="false" ht="15" hidden="false" customHeight="true" outlineLevel="0" collapsed="false">
      <c r="A962" s="7" t="s">
        <v>63</v>
      </c>
      <c r="B962" s="7" t="n">
        <v>1961</v>
      </c>
      <c r="C962" s="7" t="s">
        <v>149</v>
      </c>
      <c r="D962" s="7" t="n">
        <v>95</v>
      </c>
      <c r="E962" s="7" t="n">
        <v>67</v>
      </c>
      <c r="F962" s="3" t="n">
        <f aca="false">COUNTIFS($B$2:$B$2705,B962,$C$2:$C$2705,C962)</f>
        <v>1</v>
      </c>
      <c r="G962" s="3" t="n">
        <f aca="false">MIN(INT((MIN(B962,2020)-1900)/10)+1,12)</f>
        <v>7</v>
      </c>
      <c r="H962" s="3" t="n">
        <f aca="false">(MIN(B962,2020)-1900-10*(G962-1))/10</f>
        <v>0.1</v>
      </c>
      <c r="I962" s="20" t="n">
        <f aca="false">EXP(LN(INDEX(Pop_Inputs!$B$2:$N$29,MATCH(C962,Pop_Inputs!$A$2:$A$29,0),G962))*(1-H962)+LN(INDEX(Pop_Inputs!$B$2:$N$29,MATCH(C962,Pop_Inputs!$A$2:$A$29,0),G962+1))*H962)</f>
        <v>935643.250141217</v>
      </c>
      <c r="J962" s="20" t="n">
        <f aca="false">I962/F962</f>
        <v>935643.250141217</v>
      </c>
      <c r="K962" s="21" t="n">
        <f aca="false">D962/(D962+E962)</f>
        <v>0.58641975308642</v>
      </c>
      <c r="L962" s="21" t="n">
        <f aca="false">AVERAGEIFS($K$2:$K$2705,$B$2:$B$2705,B962)</f>
        <v>0.499846371273505</v>
      </c>
      <c r="M962" s="21" t="n">
        <f aca="false">K962-L962</f>
        <v>0.0865733818129149</v>
      </c>
      <c r="N962" s="21" t="n">
        <f aca="false">LN(J962)</f>
        <v>13.7489895397948</v>
      </c>
      <c r="O962" s="21" t="n">
        <f aca="false">AVERAGEIFS($N$2:$N$2705,$B$2:$B$2705,B962)</f>
        <v>13.83666299226</v>
      </c>
      <c r="P962" s="21" t="n">
        <f aca="false">N962-O962</f>
        <v>-0.0876734524652409</v>
      </c>
      <c r="Q962" s="7" t="n">
        <v>0</v>
      </c>
      <c r="R962" s="3" t="n">
        <f aca="false">IF(AND(Q962=1,B962-_xlfn.MINIFS($B$2:$B$2705,$A$2:$A$2705,A962)&lt;10),1,0)</f>
        <v>0</v>
      </c>
      <c r="S962" s="7" t="n">
        <v>0</v>
      </c>
      <c r="T962" s="3" t="n">
        <f aca="false">_xlfn.MINIFS($B$2:$B$2705,$A$2:$A$2705,A962)</f>
        <v>1901</v>
      </c>
      <c r="U962" s="3" t="n">
        <f aca="false">B962-T962</f>
        <v>60</v>
      </c>
      <c r="V962" s="3" t="str">
        <f aca="false">INDEX(Pop_Inputs!$Q$2:$Q$29,MATCH(C962,Pop_Inputs!$A$2:$A$29,0))</f>
        <v>South</v>
      </c>
      <c r="W962" s="30"/>
      <c r="X962" s="3" t="str">
        <f aca="false">IF(W962="","",LN(W962))</f>
        <v/>
      </c>
      <c r="Y962" s="3" t="str">
        <f aca="false">IF(X962="","",X962-AVERAGEIFS($X$2:$X$2705,$B$2:$B$2705,B962))</f>
        <v/>
      </c>
      <c r="Z962" s="21" t="n">
        <f aca="false">P962</f>
        <v>-0.0876734524652409</v>
      </c>
      <c r="AA962" s="3" t="n">
        <f aca="false">R962</f>
        <v>0</v>
      </c>
      <c r="AB962" s="21" t="n">
        <f aca="false">P962</f>
        <v>-0.0876734524652409</v>
      </c>
      <c r="AC962" s="3" t="str">
        <f aca="false">Y962</f>
        <v/>
      </c>
      <c r="AD962" s="3" t="n">
        <f aca="false">R962</f>
        <v>0</v>
      </c>
    </row>
    <row r="963" customFormat="false" ht="15" hidden="false" customHeight="true" outlineLevel="0" collapsed="false">
      <c r="A963" s="7" t="s">
        <v>64</v>
      </c>
      <c r="B963" s="7" t="n">
        <v>1961</v>
      </c>
      <c r="C963" s="7" t="s">
        <v>150</v>
      </c>
      <c r="D963" s="7" t="n">
        <v>76</v>
      </c>
      <c r="E963" s="7" t="n">
        <v>86</v>
      </c>
      <c r="F963" s="3" t="n">
        <f aca="false">COUNTIFS($B$2:$B$2705,B963,$C$2:$C$2705,C963)</f>
        <v>1</v>
      </c>
      <c r="G963" s="3" t="n">
        <f aca="false">MIN(INT((MIN(B963,2020)-1900)/10)+1,12)</f>
        <v>7</v>
      </c>
      <c r="H963" s="3" t="n">
        <f aca="false">(MIN(B963,2020)-1900-10*(G963-1))/10</f>
        <v>0.1</v>
      </c>
      <c r="I963" s="20" t="n">
        <f aca="false">EXP(LN(INDEX(Pop_Inputs!$B$2:$N$29,MATCH(C963,Pop_Inputs!$A$2:$A$29,0),G963))*(1-H963)+LN(INDEX(Pop_Inputs!$B$2:$N$29,MATCH(C963,Pop_Inputs!$A$2:$A$29,0),G963+1))*H963)</f>
        <v>691370.065568071</v>
      </c>
      <c r="J963" s="20" t="n">
        <f aca="false">I963/F963</f>
        <v>691370.065568071</v>
      </c>
      <c r="K963" s="21" t="n">
        <f aca="false">D963/(D963+E963)</f>
        <v>0.469135802469136</v>
      </c>
      <c r="L963" s="21" t="n">
        <f aca="false">AVERAGEIFS($K$2:$K$2705,$B$2:$B$2705,B963)</f>
        <v>0.499846371273505</v>
      </c>
      <c r="M963" s="21" t="n">
        <f aca="false">K963-L963</f>
        <v>-0.0307105688043692</v>
      </c>
      <c r="N963" s="21" t="n">
        <f aca="false">LN(J963)</f>
        <v>13.4464305101434</v>
      </c>
      <c r="O963" s="21" t="n">
        <f aca="false">AVERAGEIFS($N$2:$N$2705,$B$2:$B$2705,B963)</f>
        <v>13.83666299226</v>
      </c>
      <c r="P963" s="21" t="n">
        <f aca="false">N963-O963</f>
        <v>-0.390232482116565</v>
      </c>
      <c r="Q963" s="7" t="n">
        <v>0</v>
      </c>
      <c r="R963" s="3" t="n">
        <f aca="false">IF(AND(Q963=1,B963-_xlfn.MINIFS($B$2:$B$2705,$A$2:$A$2705,A963)&lt;10),1,0)</f>
        <v>0</v>
      </c>
      <c r="S963" s="7" t="n">
        <v>0</v>
      </c>
      <c r="T963" s="3" t="n">
        <f aca="false">_xlfn.MINIFS($B$2:$B$2705,$A$2:$A$2705,A963)</f>
        <v>1901</v>
      </c>
      <c r="U963" s="3" t="n">
        <f aca="false">B963-T963</f>
        <v>60</v>
      </c>
      <c r="V963" s="3" t="str">
        <f aca="false">INDEX(Pop_Inputs!$Q$2:$Q$29,MATCH(C963,Pop_Inputs!$A$2:$A$29,0))</f>
        <v>Northeast</v>
      </c>
      <c r="W963" s="30"/>
      <c r="X963" s="3" t="str">
        <f aca="false">IF(W963="","",LN(W963))</f>
        <v/>
      </c>
      <c r="Y963" s="3" t="str">
        <f aca="false">IF(X963="","",X963-AVERAGEIFS($X$2:$X$2705,$B$2:$B$2705,B963))</f>
        <v/>
      </c>
      <c r="Z963" s="21" t="n">
        <f aca="false">P963</f>
        <v>-0.390232482116565</v>
      </c>
      <c r="AA963" s="3" t="n">
        <f aca="false">R963</f>
        <v>0</v>
      </c>
      <c r="AB963" s="21" t="n">
        <f aca="false">P963</f>
        <v>-0.390232482116565</v>
      </c>
      <c r="AC963" s="3" t="str">
        <f aca="false">Y963</f>
        <v/>
      </c>
      <c r="AD963" s="3" t="n">
        <f aca="false">R963</f>
        <v>0</v>
      </c>
    </row>
    <row r="964" customFormat="false" ht="15" hidden="false" customHeight="true" outlineLevel="0" collapsed="false">
      <c r="A964" s="7" t="s">
        <v>56</v>
      </c>
      <c r="B964" s="7" t="n">
        <v>1961</v>
      </c>
      <c r="C964" s="7" t="s">
        <v>142</v>
      </c>
      <c r="D964" s="7" t="n">
        <v>64</v>
      </c>
      <c r="E964" s="7" t="n">
        <v>90</v>
      </c>
      <c r="F964" s="3" t="n">
        <f aca="false">COUNTIFS($B$2:$B$2705,B964,$C$2:$C$2705,C964)</f>
        <v>2</v>
      </c>
      <c r="G964" s="3" t="n">
        <f aca="false">MIN(INT((MIN(B964,2020)-1900)/10)+1,12)</f>
        <v>7</v>
      </c>
      <c r="H964" s="3" t="n">
        <f aca="false">(MIN(B964,2020)-1900-10*(G964-1))/10</f>
        <v>0.1</v>
      </c>
      <c r="I964" s="20" t="n">
        <f aca="false">EXP(LN(INDEX(Pop_Inputs!$B$2:$N$29,MATCH(C964,Pop_Inputs!$A$2:$A$29,0),G964))*(1-H964)+LN(INDEX(Pop_Inputs!$B$2:$N$29,MATCH(C964,Pop_Inputs!$A$2:$A$29,0),G964+1))*H964)</f>
        <v>3531618.26092463</v>
      </c>
      <c r="J964" s="20" t="n">
        <f aca="false">I964/F964</f>
        <v>1765809.13046232</v>
      </c>
      <c r="K964" s="21" t="n">
        <f aca="false">D964/(D964+E964)</f>
        <v>0.415584415584416</v>
      </c>
      <c r="L964" s="21" t="n">
        <f aca="false">AVERAGEIFS($K$2:$K$2705,$B$2:$B$2705,B964)</f>
        <v>0.499846371273505</v>
      </c>
      <c r="M964" s="21" t="n">
        <f aca="false">K964-L964</f>
        <v>-0.0842619556890893</v>
      </c>
      <c r="N964" s="21" t="n">
        <f aca="false">LN(J964)</f>
        <v>14.3841195741591</v>
      </c>
      <c r="O964" s="21" t="n">
        <f aca="false">AVERAGEIFS($N$2:$N$2705,$B$2:$B$2705,B964)</f>
        <v>13.83666299226</v>
      </c>
      <c r="P964" s="21" t="n">
        <f aca="false">N964-O964</f>
        <v>0.547456581899059</v>
      </c>
      <c r="Q964" s="7" t="n">
        <v>0</v>
      </c>
      <c r="R964" s="3" t="n">
        <f aca="false">IF(AND(Q964=1,B964-_xlfn.MINIFS($B$2:$B$2705,$A$2:$A$2705,A964)&lt;10),1,0)</f>
        <v>0</v>
      </c>
      <c r="S964" s="7" t="n">
        <v>0</v>
      </c>
      <c r="T964" s="3" t="n">
        <f aca="false">_xlfn.MINIFS($B$2:$B$2705,$A$2:$A$2705,A964)</f>
        <v>1901</v>
      </c>
      <c r="U964" s="3" t="n">
        <f aca="false">B964-T964</f>
        <v>60</v>
      </c>
      <c r="V964" s="3" t="str">
        <f aca="false">INDEX(Pop_Inputs!$Q$2:$Q$29,MATCH(C964,Pop_Inputs!$A$2:$A$29,0))</f>
        <v>Midwest</v>
      </c>
      <c r="W964" s="30"/>
      <c r="X964" s="3" t="str">
        <f aca="false">IF(W964="","",LN(W964))</f>
        <v/>
      </c>
      <c r="Y964" s="3" t="str">
        <f aca="false">IF(X964="","",X964-AVERAGEIFS($X$2:$X$2705,$B$2:$B$2705,B964))</f>
        <v/>
      </c>
      <c r="Z964" s="21" t="n">
        <f aca="false">P964</f>
        <v>0.547456581899059</v>
      </c>
      <c r="AA964" s="3" t="n">
        <f aca="false">R964</f>
        <v>0</v>
      </c>
      <c r="AB964" s="21" t="n">
        <f aca="false">P964</f>
        <v>0.547456581899059</v>
      </c>
      <c r="AC964" s="3" t="str">
        <f aca="false">Y964</f>
        <v/>
      </c>
      <c r="AD964" s="3" t="n">
        <f aca="false">R964</f>
        <v>0</v>
      </c>
    </row>
    <row r="965" customFormat="false" ht="15" hidden="false" customHeight="true" outlineLevel="0" collapsed="false">
      <c r="A965" s="7" t="s">
        <v>65</v>
      </c>
      <c r="B965" s="7" t="n">
        <v>1961</v>
      </c>
      <c r="C965" s="7" t="s">
        <v>142</v>
      </c>
      <c r="D965" s="7" t="n">
        <v>86</v>
      </c>
      <c r="E965" s="7" t="n">
        <v>76</v>
      </c>
      <c r="F965" s="3" t="n">
        <f aca="false">COUNTIFS($B$2:$B$2705,B965,$C$2:$C$2705,C965)</f>
        <v>2</v>
      </c>
      <c r="G965" s="3" t="n">
        <f aca="false">MIN(INT((MIN(B965,2020)-1900)/10)+1,12)</f>
        <v>7</v>
      </c>
      <c r="H965" s="3" t="n">
        <f aca="false">(MIN(B965,2020)-1900-10*(G965-1))/10</f>
        <v>0.1</v>
      </c>
      <c r="I965" s="20" t="n">
        <f aca="false">EXP(LN(INDEX(Pop_Inputs!$B$2:$N$29,MATCH(C965,Pop_Inputs!$A$2:$A$29,0),G965))*(1-H965)+LN(INDEX(Pop_Inputs!$B$2:$N$29,MATCH(C965,Pop_Inputs!$A$2:$A$29,0),G965+1))*H965)</f>
        <v>3531618.26092463</v>
      </c>
      <c r="J965" s="20" t="n">
        <f aca="false">I965/F965</f>
        <v>1765809.13046232</v>
      </c>
      <c r="K965" s="21" t="n">
        <f aca="false">D965/(D965+E965)</f>
        <v>0.530864197530864</v>
      </c>
      <c r="L965" s="21" t="n">
        <f aca="false">AVERAGEIFS($K$2:$K$2705,$B$2:$B$2705,B965)</f>
        <v>0.499846371273505</v>
      </c>
      <c r="M965" s="21" t="n">
        <f aca="false">K965-L965</f>
        <v>0.0310178262573593</v>
      </c>
      <c r="N965" s="21" t="n">
        <f aca="false">LN(J965)</f>
        <v>14.3841195741591</v>
      </c>
      <c r="O965" s="21" t="n">
        <f aca="false">AVERAGEIFS($N$2:$N$2705,$B$2:$B$2705,B965)</f>
        <v>13.83666299226</v>
      </c>
      <c r="P965" s="21" t="n">
        <f aca="false">N965-O965</f>
        <v>0.547456581899059</v>
      </c>
      <c r="Q965" s="7" t="n">
        <v>0</v>
      </c>
      <c r="R965" s="3" t="n">
        <f aca="false">IF(AND(Q965=1,B965-_xlfn.MINIFS($B$2:$B$2705,$A$2:$A$2705,A965)&lt;10),1,0)</f>
        <v>0</v>
      </c>
      <c r="S965" s="7" t="n">
        <v>0</v>
      </c>
      <c r="T965" s="3" t="n">
        <f aca="false">_xlfn.MINIFS($B$2:$B$2705,$A$2:$A$2705,A965)</f>
        <v>1901</v>
      </c>
      <c r="U965" s="3" t="n">
        <f aca="false">B965-T965</f>
        <v>60</v>
      </c>
      <c r="V965" s="3" t="str">
        <f aca="false">INDEX(Pop_Inputs!$Q$2:$Q$29,MATCH(C965,Pop_Inputs!$A$2:$A$29,0))</f>
        <v>Midwest</v>
      </c>
      <c r="W965" s="30"/>
      <c r="X965" s="3" t="str">
        <f aca="false">IF(W965="","",LN(W965))</f>
        <v/>
      </c>
      <c r="Y965" s="3" t="str">
        <f aca="false">IF(X965="","",X965-AVERAGEIFS($X$2:$X$2705,$B$2:$B$2705,B965))</f>
        <v/>
      </c>
      <c r="Z965" s="21" t="n">
        <f aca="false">P965</f>
        <v>0.547456581899059</v>
      </c>
      <c r="AA965" s="3" t="n">
        <f aca="false">R965</f>
        <v>0</v>
      </c>
      <c r="AB965" s="21" t="n">
        <f aca="false">P965</f>
        <v>0.547456581899059</v>
      </c>
      <c r="AC965" s="3" t="str">
        <f aca="false">Y965</f>
        <v/>
      </c>
      <c r="AD965" s="3" t="n">
        <f aca="false">R965</f>
        <v>0</v>
      </c>
    </row>
    <row r="966" customFormat="false" ht="15" hidden="false" customHeight="true" outlineLevel="0" collapsed="false">
      <c r="A966" s="7" t="s">
        <v>57</v>
      </c>
      <c r="B966" s="7" t="n">
        <v>1961</v>
      </c>
      <c r="C966" s="7" t="s">
        <v>143</v>
      </c>
      <c r="D966" s="7" t="n">
        <v>93</v>
      </c>
      <c r="E966" s="7" t="n">
        <v>61</v>
      </c>
      <c r="F966" s="3" t="n">
        <f aca="false">COUNTIFS($B$2:$B$2705,B966,$C$2:$C$2705,C966)</f>
        <v>1</v>
      </c>
      <c r="G966" s="3" t="n">
        <f aca="false">MIN(INT((MIN(B966,2020)-1900)/10)+1,12)</f>
        <v>7</v>
      </c>
      <c r="H966" s="3" t="n">
        <f aca="false">(MIN(B966,2020)-1900-10*(G966-1))/10</f>
        <v>0.1</v>
      </c>
      <c r="I966" s="20" t="n">
        <f aca="false">EXP(LN(INDEX(Pop_Inputs!$B$2:$N$29,MATCH(C966,Pop_Inputs!$A$2:$A$29,0),G966))*(1-H966)+LN(INDEX(Pop_Inputs!$B$2:$N$29,MATCH(C966,Pop_Inputs!$A$2:$A$29,0),G966+1))*H966)</f>
        <v>497308.18514111</v>
      </c>
      <c r="J966" s="20" t="n">
        <f aca="false">I966/F966</f>
        <v>497308.18514111</v>
      </c>
      <c r="K966" s="21" t="n">
        <f aca="false">D966/(D966+E966)</f>
        <v>0.603896103896104</v>
      </c>
      <c r="L966" s="21" t="n">
        <f aca="false">AVERAGEIFS($K$2:$K$2705,$B$2:$B$2705,B966)</f>
        <v>0.499846371273505</v>
      </c>
      <c r="M966" s="21" t="n">
        <f aca="false">K966-L966</f>
        <v>0.104049732622599</v>
      </c>
      <c r="N966" s="21" t="n">
        <f aca="false">LN(J966)</f>
        <v>13.1169652037291</v>
      </c>
      <c r="O966" s="21" t="n">
        <f aca="false">AVERAGEIFS($N$2:$N$2705,$B$2:$B$2705,B966)</f>
        <v>13.83666299226</v>
      </c>
      <c r="P966" s="21" t="n">
        <f aca="false">N966-O966</f>
        <v>-0.719697788530917</v>
      </c>
      <c r="Q966" s="7" t="n">
        <v>0</v>
      </c>
      <c r="R966" s="3" t="n">
        <f aca="false">IF(AND(Q966=1,B966-_xlfn.MINIFS($B$2:$B$2705,$A$2:$A$2705,A966)&lt;10),1,0)</f>
        <v>0</v>
      </c>
      <c r="S966" s="7" t="n">
        <v>0</v>
      </c>
      <c r="T966" s="3" t="n">
        <f aca="false">_xlfn.MINIFS($B$2:$B$2705,$A$2:$A$2705,A966)</f>
        <v>1901</v>
      </c>
      <c r="U966" s="3" t="n">
        <f aca="false">B966-T966</f>
        <v>60</v>
      </c>
      <c r="V966" s="3" t="str">
        <f aca="false">INDEX(Pop_Inputs!$Q$2:$Q$29,MATCH(C966,Pop_Inputs!$A$2:$A$29,0))</f>
        <v>Midwest</v>
      </c>
      <c r="W966" s="30"/>
      <c r="X966" s="3" t="str">
        <f aca="false">IF(W966="","",LN(W966))</f>
        <v/>
      </c>
      <c r="Y966" s="3" t="str">
        <f aca="false">IF(X966="","",X966-AVERAGEIFS($X$2:$X$2705,$B$2:$B$2705,B966))</f>
        <v/>
      </c>
      <c r="Z966" s="21" t="n">
        <f aca="false">P966</f>
        <v>-0.719697788530917</v>
      </c>
      <c r="AA966" s="3" t="n">
        <f aca="false">R966</f>
        <v>0</v>
      </c>
      <c r="AB966" s="21" t="n">
        <f aca="false">P966</f>
        <v>-0.719697788530917</v>
      </c>
      <c r="AC966" s="3" t="str">
        <f aca="false">Y966</f>
        <v/>
      </c>
      <c r="AD966" s="3" t="n">
        <f aca="false">R966</f>
        <v>0</v>
      </c>
    </row>
    <row r="967" customFormat="false" ht="15" hidden="false" customHeight="true" outlineLevel="0" collapsed="false">
      <c r="A967" s="7" t="s">
        <v>66</v>
      </c>
      <c r="B967" s="7" t="n">
        <v>1961</v>
      </c>
      <c r="C967" s="7" t="s">
        <v>151</v>
      </c>
      <c r="D967" s="7" t="n">
        <v>78</v>
      </c>
      <c r="E967" s="7" t="n">
        <v>83</v>
      </c>
      <c r="F967" s="3" t="n">
        <f aca="false">COUNTIFS($B$2:$B$2705,B967,$C$2:$C$2705,C967)</f>
        <v>1</v>
      </c>
      <c r="G967" s="3" t="n">
        <f aca="false">MIN(INT((MIN(B967,2020)-1900)/10)+1,12)</f>
        <v>7</v>
      </c>
      <c r="H967" s="3" t="n">
        <f aca="false">(MIN(B967,2020)-1900-10*(G967-1))/10</f>
        <v>0.1</v>
      </c>
      <c r="I967" s="20" t="n">
        <f aca="false">EXP(LN(INDEX(Pop_Inputs!$B$2:$N$29,MATCH(C967,Pop_Inputs!$A$2:$A$29,0),G967))*(1-H967)+LN(INDEX(Pop_Inputs!$B$2:$N$29,MATCH(C967,Pop_Inputs!$A$2:$A$29,0),G967+1))*H967)</f>
        <v>862649.526959338</v>
      </c>
      <c r="J967" s="20" t="n">
        <f aca="false">I967/F967</f>
        <v>862649.526959338</v>
      </c>
      <c r="K967" s="21" t="n">
        <f aca="false">D967/(D967+E967)</f>
        <v>0.484472049689441</v>
      </c>
      <c r="L967" s="21" t="n">
        <f aca="false">AVERAGEIFS($K$2:$K$2705,$B$2:$B$2705,B967)</f>
        <v>0.499846371273505</v>
      </c>
      <c r="M967" s="21" t="n">
        <f aca="false">K967-L967</f>
        <v>-0.0153743215840639</v>
      </c>
      <c r="N967" s="21" t="n">
        <f aca="false">LN(J967)</f>
        <v>13.6677637774523</v>
      </c>
      <c r="O967" s="21" t="n">
        <f aca="false">AVERAGEIFS($N$2:$N$2705,$B$2:$B$2705,B967)</f>
        <v>13.83666299226</v>
      </c>
      <c r="P967" s="21" t="n">
        <f aca="false">N967-O967</f>
        <v>-0.168899214807706</v>
      </c>
      <c r="Q967" s="7" t="n">
        <v>0</v>
      </c>
      <c r="R967" s="3" t="n">
        <f aca="false">IF(AND(Q967=1,B967-_xlfn.MINIFS($B$2:$B$2705,$A$2:$A$2705,A967)&lt;10),1,0)</f>
        <v>0</v>
      </c>
      <c r="S967" s="7" t="n">
        <v>0</v>
      </c>
      <c r="T967" s="3" t="n">
        <f aca="false">_xlfn.MINIFS($B$2:$B$2705,$A$2:$A$2705,A967)</f>
        <v>1901</v>
      </c>
      <c r="U967" s="3" t="n">
        <f aca="false">B967-T967</f>
        <v>60</v>
      </c>
      <c r="V967" s="3" t="str">
        <f aca="false">INDEX(Pop_Inputs!$Q$2:$Q$29,MATCH(C967,Pop_Inputs!$A$2:$A$29,0))</f>
        <v>Midwest</v>
      </c>
      <c r="W967" s="30"/>
      <c r="X967" s="3" t="str">
        <f aca="false">IF(W967="","",LN(W967))</f>
        <v/>
      </c>
      <c r="Y967" s="3" t="str">
        <f aca="false">IF(X967="","",X967-AVERAGEIFS($X$2:$X$2705,$B$2:$B$2705,B967))</f>
        <v/>
      </c>
      <c r="Z967" s="21" t="n">
        <f aca="false">P967</f>
        <v>-0.168899214807706</v>
      </c>
      <c r="AA967" s="3" t="n">
        <f aca="false">R967</f>
        <v>0</v>
      </c>
      <c r="AB967" s="21" t="n">
        <f aca="false">P967</f>
        <v>-0.168899214807706</v>
      </c>
      <c r="AC967" s="3" t="str">
        <f aca="false">Y967</f>
        <v/>
      </c>
      <c r="AD967" s="3" t="n">
        <f aca="false">R967</f>
        <v>0</v>
      </c>
    </row>
    <row r="968" customFormat="false" ht="15" hidden="false" customHeight="true" outlineLevel="0" collapsed="false">
      <c r="A968" s="7" t="s">
        <v>67</v>
      </c>
      <c r="B968" s="7" t="n">
        <v>1961</v>
      </c>
      <c r="C968" s="7" t="s">
        <v>152</v>
      </c>
      <c r="D968" s="7" t="n">
        <v>101</v>
      </c>
      <c r="E968" s="7" t="n">
        <v>61</v>
      </c>
      <c r="F968" s="3" t="n">
        <f aca="false">COUNTIFS($B$2:$B$2705,B968,$C$2:$C$2705,C968)</f>
        <v>1</v>
      </c>
      <c r="G968" s="3" t="n">
        <f aca="false">MIN(INT((MIN(B968,2020)-1900)/10)+1,12)</f>
        <v>7</v>
      </c>
      <c r="H968" s="3" t="n">
        <f aca="false">(MIN(B968,2020)-1900-10*(G968-1))/10</f>
        <v>0.1</v>
      </c>
      <c r="I968" s="20" t="n">
        <f aca="false">EXP(LN(INDEX(Pop_Inputs!$B$2:$N$29,MATCH(C968,Pop_Inputs!$A$2:$A$29,0),G968))*(1-H968)+LN(INDEX(Pop_Inputs!$B$2:$N$29,MATCH(C968,Pop_Inputs!$A$2:$A$29,0),G968+1))*H968)</f>
        <v>1653555.68161995</v>
      </c>
      <c r="J968" s="20" t="n">
        <f aca="false">I968/F968</f>
        <v>1653555.68161995</v>
      </c>
      <c r="K968" s="21" t="n">
        <f aca="false">D968/(D968+E968)</f>
        <v>0.623456790123457</v>
      </c>
      <c r="L968" s="21" t="n">
        <f aca="false">AVERAGEIFS($K$2:$K$2705,$B$2:$B$2705,B968)</f>
        <v>0.499846371273505</v>
      </c>
      <c r="M968" s="21" t="n">
        <f aca="false">K968-L968</f>
        <v>0.123610418849952</v>
      </c>
      <c r="N968" s="21" t="n">
        <f aca="false">LN(J968)</f>
        <v>14.3184384858415</v>
      </c>
      <c r="O968" s="21" t="n">
        <f aca="false">AVERAGEIFS($N$2:$N$2705,$B$2:$B$2705,B968)</f>
        <v>13.83666299226</v>
      </c>
      <c r="P968" s="21" t="n">
        <f aca="false">N968-O968</f>
        <v>0.481775493581507</v>
      </c>
      <c r="Q968" s="7" t="n">
        <v>0</v>
      </c>
      <c r="R968" s="3" t="n">
        <f aca="false">IF(AND(Q968=1,B968-_xlfn.MINIFS($B$2:$B$2705,$A$2:$A$2705,A968)&lt;10),1,0)</f>
        <v>0</v>
      </c>
      <c r="S968" s="7" t="n">
        <v>0</v>
      </c>
      <c r="T968" s="3" t="n">
        <f aca="false">_xlfn.MINIFS($B$2:$B$2705,$A$2:$A$2705,A968)</f>
        <v>1901</v>
      </c>
      <c r="U968" s="3" t="n">
        <f aca="false">B968-T968</f>
        <v>60</v>
      </c>
      <c r="V968" s="3" t="str">
        <f aca="false">INDEX(Pop_Inputs!$Q$2:$Q$29,MATCH(C968,Pop_Inputs!$A$2:$A$29,0))</f>
        <v>Midwest</v>
      </c>
      <c r="W968" s="30"/>
      <c r="X968" s="3" t="str">
        <f aca="false">IF(W968="","",LN(W968))</f>
        <v/>
      </c>
      <c r="Y968" s="3" t="str">
        <f aca="false">IF(X968="","",X968-AVERAGEIFS($X$2:$X$2705,$B$2:$B$2705,B968))</f>
        <v/>
      </c>
      <c r="Z968" s="21" t="n">
        <f aca="false">P968</f>
        <v>0.481775493581507</v>
      </c>
      <c r="AA968" s="3" t="n">
        <f aca="false">R968</f>
        <v>0</v>
      </c>
      <c r="AB968" s="21" t="n">
        <f aca="false">P968</f>
        <v>0.481775493581507</v>
      </c>
      <c r="AC968" s="3" t="str">
        <f aca="false">Y968</f>
        <v/>
      </c>
      <c r="AD968" s="3" t="n">
        <f aca="false">R968</f>
        <v>0</v>
      </c>
    </row>
    <row r="969" customFormat="false" ht="15" hidden="false" customHeight="true" outlineLevel="0" collapsed="false">
      <c r="A969" s="7" t="s">
        <v>62</v>
      </c>
      <c r="B969" s="7" t="n">
        <v>1961</v>
      </c>
      <c r="C969" s="7" t="s">
        <v>148</v>
      </c>
      <c r="D969" s="7" t="n">
        <v>89</v>
      </c>
      <c r="E969" s="7" t="n">
        <v>65</v>
      </c>
      <c r="F969" s="3" t="n">
        <f aca="false">COUNTIFS($B$2:$B$2705,B969,$C$2:$C$2705,C969)</f>
        <v>2</v>
      </c>
      <c r="G969" s="3" t="n">
        <f aca="false">MIN(INT((MIN(B969,2020)-1900)/10)+1,12)</f>
        <v>7</v>
      </c>
      <c r="H969" s="3" t="n">
        <f aca="false">(MIN(B969,2020)-1900-10*(G969-1))/10</f>
        <v>0.1</v>
      </c>
      <c r="I969" s="20" t="n">
        <f aca="false">EXP(LN(INDEX(Pop_Inputs!$B$2:$N$29,MATCH(C969,Pop_Inputs!$A$2:$A$29,0),G969))*(1-H969)+LN(INDEX(Pop_Inputs!$B$2:$N$29,MATCH(C969,Pop_Inputs!$A$2:$A$29,0),G969+1))*H969)</f>
        <v>2510819.2227925</v>
      </c>
      <c r="J969" s="20" t="n">
        <f aca="false">I969/F969</f>
        <v>1255409.61139625</v>
      </c>
      <c r="K969" s="21" t="n">
        <f aca="false">D969/(D969+E969)</f>
        <v>0.577922077922078</v>
      </c>
      <c r="L969" s="21" t="n">
        <f aca="false">AVERAGEIFS($K$2:$K$2705,$B$2:$B$2705,B969)</f>
        <v>0.499846371273505</v>
      </c>
      <c r="M969" s="21" t="n">
        <f aca="false">K969-L969</f>
        <v>0.078075706648573</v>
      </c>
      <c r="N969" s="21" t="n">
        <f aca="false">LN(J969)</f>
        <v>14.0429724608792</v>
      </c>
      <c r="O969" s="21" t="n">
        <f aca="false">AVERAGEIFS($N$2:$N$2705,$B$2:$B$2705,B969)</f>
        <v>13.83666299226</v>
      </c>
      <c r="P969" s="21" t="n">
        <f aca="false">N969-O969</f>
        <v>0.206309468619164</v>
      </c>
      <c r="Q969" s="7" t="n">
        <v>0</v>
      </c>
      <c r="R969" s="3" t="n">
        <f aca="false">IF(AND(Q969=1,B969-_xlfn.MINIFS($B$2:$B$2705,$A$2:$A$2705,A969)&lt;10),1,0)</f>
        <v>0</v>
      </c>
      <c r="S969" s="7" t="n">
        <v>0</v>
      </c>
      <c r="T969" s="3" t="n">
        <f aca="false">_xlfn.MINIFS($B$2:$B$2705,$A$2:$A$2705,A969)</f>
        <v>1901</v>
      </c>
      <c r="U969" s="3" t="n">
        <f aca="false">B969-T969</f>
        <v>60</v>
      </c>
      <c r="V969" s="3" t="str">
        <f aca="false">INDEX(Pop_Inputs!$Q$2:$Q$29,MATCH(C969,Pop_Inputs!$A$2:$A$29,0))</f>
        <v>West</v>
      </c>
      <c r="W969" s="30"/>
      <c r="X969" s="3" t="str">
        <f aca="false">IF(W969="","",LN(W969))</f>
        <v/>
      </c>
      <c r="Y969" s="3" t="str">
        <f aca="false">IF(X969="","",X969-AVERAGEIFS($X$2:$X$2705,$B$2:$B$2705,B969))</f>
        <v/>
      </c>
      <c r="Z969" s="21" t="n">
        <f aca="false">P969</f>
        <v>0.206309468619164</v>
      </c>
      <c r="AA969" s="3" t="n">
        <f aca="false">R969</f>
        <v>0</v>
      </c>
      <c r="AB969" s="21" t="n">
        <f aca="false">P969</f>
        <v>0.206309468619164</v>
      </c>
      <c r="AC969" s="3" t="str">
        <f aca="false">Y969</f>
        <v/>
      </c>
      <c r="AD969" s="3" t="n">
        <f aca="false">R969</f>
        <v>0</v>
      </c>
    </row>
    <row r="970" customFormat="false" ht="15" hidden="false" customHeight="true" outlineLevel="0" collapsed="false">
      <c r="A970" s="7" t="s">
        <v>68</v>
      </c>
      <c r="B970" s="7" t="n">
        <v>1961</v>
      </c>
      <c r="C970" s="7" t="s">
        <v>153</v>
      </c>
      <c r="D970" s="7" t="n">
        <v>70</v>
      </c>
      <c r="E970" s="7" t="n">
        <v>90</v>
      </c>
      <c r="F970" s="3" t="n">
        <f aca="false">COUNTIFS($B$2:$B$2705,B970,$C$2:$C$2705,C970)</f>
        <v>1</v>
      </c>
      <c r="G970" s="3" t="n">
        <f aca="false">MIN(INT((MIN(B970,2020)-1900)/10)+1,12)</f>
        <v>7</v>
      </c>
      <c r="H970" s="3" t="n">
        <f aca="false">(MIN(B970,2020)-1900-10*(G970-1))/10</f>
        <v>0.1</v>
      </c>
      <c r="I970" s="20" t="n">
        <f aca="false">EXP(LN(INDEX(Pop_Inputs!$B$2:$N$29,MATCH(C970,Pop_Inputs!$A$2:$A$29,0),G970))*(1-H970)+LN(INDEX(Pop_Inputs!$B$2:$N$29,MATCH(C970,Pop_Inputs!$A$2:$A$29,0),G970+1))*H970)</f>
        <v>477790.821230759</v>
      </c>
      <c r="J970" s="20" t="n">
        <f aca="false">I970/F970</f>
        <v>477790.821230759</v>
      </c>
      <c r="K970" s="21" t="n">
        <f aca="false">D970/(D970+E970)</f>
        <v>0.4375</v>
      </c>
      <c r="L970" s="21" t="n">
        <f aca="false">AVERAGEIFS($K$2:$K$2705,$B$2:$B$2705,B970)</f>
        <v>0.499846371273505</v>
      </c>
      <c r="M970" s="21" t="n">
        <f aca="false">K970-L970</f>
        <v>-0.062346371273505</v>
      </c>
      <c r="N970" s="21" t="n">
        <f aca="false">LN(J970)</f>
        <v>13.0769283032054</v>
      </c>
      <c r="O970" s="21" t="n">
        <f aca="false">AVERAGEIFS($N$2:$N$2705,$B$2:$B$2705,B970)</f>
        <v>13.83666299226</v>
      </c>
      <c r="P970" s="21" t="n">
        <f aca="false">N970-O970</f>
        <v>-0.759734689054637</v>
      </c>
      <c r="Q970" s="7" t="n">
        <v>0</v>
      </c>
      <c r="R970" s="3" t="n">
        <f aca="false">IF(AND(Q970=1,B970-_xlfn.MINIFS($B$2:$B$2705,$A$2:$A$2705,A970)&lt;10),1,0)</f>
        <v>0</v>
      </c>
      <c r="S970" s="7" t="n">
        <v>0</v>
      </c>
      <c r="T970" s="3" t="n">
        <f aca="false">_xlfn.MINIFS($B$2:$B$2705,$A$2:$A$2705,A970)</f>
        <v>1901</v>
      </c>
      <c r="U970" s="3" t="n">
        <f aca="false">B970-T970</f>
        <v>60</v>
      </c>
      <c r="V970" s="3" t="str">
        <f aca="false">INDEX(Pop_Inputs!$Q$2:$Q$29,MATCH(C970,Pop_Inputs!$A$2:$A$29,0))</f>
        <v>Midwest</v>
      </c>
      <c r="W970" s="30"/>
      <c r="X970" s="3" t="str">
        <f aca="false">IF(W970="","",LN(W970))</f>
        <v/>
      </c>
      <c r="Y970" s="3" t="str">
        <f aca="false">IF(X970="","",X970-AVERAGEIFS($X$2:$X$2705,$B$2:$B$2705,B970))</f>
        <v/>
      </c>
      <c r="Z970" s="21" t="n">
        <f aca="false">P970</f>
        <v>-0.759734689054637</v>
      </c>
      <c r="AA970" s="3" t="n">
        <f aca="false">R970</f>
        <v>0</v>
      </c>
      <c r="AB970" s="21" t="n">
        <f aca="false">P970</f>
        <v>-0.759734689054637</v>
      </c>
      <c r="AC970" s="3" t="str">
        <f aca="false">Y970</f>
        <v/>
      </c>
      <c r="AD970" s="3" t="n">
        <f aca="false">R970</f>
        <v>0</v>
      </c>
    </row>
    <row r="971" customFormat="false" ht="15" hidden="false" customHeight="true" outlineLevel="0" collapsed="false">
      <c r="A971" s="7" t="s">
        <v>70</v>
      </c>
      <c r="B971" s="7" t="n">
        <v>1961</v>
      </c>
      <c r="C971" s="7" t="s">
        <v>154</v>
      </c>
      <c r="D971" s="7" t="n">
        <v>109</v>
      </c>
      <c r="E971" s="7" t="n">
        <v>53</v>
      </c>
      <c r="F971" s="3" t="n">
        <f aca="false">COUNTIFS($B$2:$B$2705,B971,$C$2:$C$2705,C971)</f>
        <v>1</v>
      </c>
      <c r="G971" s="3" t="n">
        <f aca="false">MIN(INT((MIN(B971,2020)-1900)/10)+1,12)</f>
        <v>7</v>
      </c>
      <c r="H971" s="3" t="n">
        <f aca="false">(MIN(B971,2020)-1900-10*(G971-1))/10</f>
        <v>0.1</v>
      </c>
      <c r="I971" s="20" t="n">
        <f aca="false">EXP(LN(INDEX(Pop_Inputs!$B$2:$N$29,MATCH(C971,Pop_Inputs!$A$2:$A$29,0),G971))*(1-H971)+LN(INDEX(Pop_Inputs!$B$2:$N$29,MATCH(C971,Pop_Inputs!$A$2:$A$29,0),G971+1))*H971)</f>
        <v>7793198.79130845</v>
      </c>
      <c r="J971" s="20" t="n">
        <f aca="false">I971/F971</f>
        <v>7793198.79130845</v>
      </c>
      <c r="K971" s="21" t="n">
        <f aca="false">D971/(D971+E971)</f>
        <v>0.67283950617284</v>
      </c>
      <c r="L971" s="21" t="n">
        <f aca="false">AVERAGEIFS($K$2:$K$2705,$B$2:$B$2705,B971)</f>
        <v>0.499846371273505</v>
      </c>
      <c r="M971" s="21" t="n">
        <f aca="false">K971-L971</f>
        <v>0.172993134899335</v>
      </c>
      <c r="N971" s="21" t="n">
        <f aca="false">LN(J971)</f>
        <v>15.8687619614582</v>
      </c>
      <c r="O971" s="21" t="n">
        <f aca="false">AVERAGEIFS($N$2:$N$2705,$B$2:$B$2705,B971)</f>
        <v>13.83666299226</v>
      </c>
      <c r="P971" s="21" t="n">
        <f aca="false">N971-O971</f>
        <v>2.0320989691982</v>
      </c>
      <c r="Q971" s="7" t="n">
        <v>0</v>
      </c>
      <c r="R971" s="3" t="n">
        <f aca="false">IF(AND(Q971=1,B971-_xlfn.MINIFS($B$2:$B$2705,$A$2:$A$2705,A971)&lt;10),1,0)</f>
        <v>0</v>
      </c>
      <c r="S971" s="7" t="n">
        <v>1</v>
      </c>
      <c r="T971" s="3" t="n">
        <f aca="false">_xlfn.MINIFS($B$2:$B$2705,$A$2:$A$2705,A971)</f>
        <v>1903</v>
      </c>
      <c r="U971" s="3" t="n">
        <f aca="false">B971-T971</f>
        <v>58</v>
      </c>
      <c r="V971" s="3" t="str">
        <f aca="false">INDEX(Pop_Inputs!$Q$2:$Q$29,MATCH(C971,Pop_Inputs!$A$2:$A$29,0))</f>
        <v>Northeast</v>
      </c>
      <c r="W971" s="30"/>
      <c r="X971" s="3" t="str">
        <f aca="false">IF(W971="","",LN(W971))</f>
        <v/>
      </c>
      <c r="Y971" s="3" t="str">
        <f aca="false">IF(X971="","",X971-AVERAGEIFS($X$2:$X$2705,$B$2:$B$2705,B971))</f>
        <v/>
      </c>
      <c r="Z971" s="21" t="n">
        <f aca="false">P971</f>
        <v>2.0320989691982</v>
      </c>
      <c r="AA971" s="3" t="n">
        <f aca="false">R971</f>
        <v>0</v>
      </c>
      <c r="AB971" s="21" t="n">
        <f aca="false">P971</f>
        <v>2.0320989691982</v>
      </c>
      <c r="AC971" s="3" t="str">
        <f aca="false">Y971</f>
        <v/>
      </c>
      <c r="AD971" s="3" t="n">
        <f aca="false">R971</f>
        <v>0</v>
      </c>
    </row>
    <row r="972" customFormat="false" ht="15" hidden="false" customHeight="true" outlineLevel="0" collapsed="false">
      <c r="A972" s="7" t="s">
        <v>69</v>
      </c>
      <c r="B972" s="7" t="n">
        <v>1961</v>
      </c>
      <c r="C972" s="7" t="s">
        <v>157</v>
      </c>
      <c r="D972" s="7" t="n">
        <v>61</v>
      </c>
      <c r="E972" s="7" t="n">
        <v>100</v>
      </c>
      <c r="F972" s="3" t="n">
        <f aca="false">COUNTIFS($B$2:$B$2705,B972,$C$2:$C$2705,C972)</f>
        <v>1</v>
      </c>
      <c r="G972" s="3" t="n">
        <f aca="false">MIN(INT((MIN(B972,2020)-1900)/10)+1,12)</f>
        <v>7</v>
      </c>
      <c r="H972" s="3" t="n">
        <f aca="false">(MIN(B972,2020)-1900-10*(G972-1))/10</f>
        <v>0.1</v>
      </c>
      <c r="I972" s="20" t="n">
        <f aca="false">EXP(LN(INDEX(Pop_Inputs!$B$2:$N$29,MATCH(C972,Pop_Inputs!$A$2:$A$29,0),G972))*(1-H972)+LN(INDEX(Pop_Inputs!$B$2:$N$29,MATCH(C972,Pop_Inputs!$A$2:$A$29,0),G972+1))*H972)</f>
        <v>478603.393750566</v>
      </c>
      <c r="J972" s="20" t="n">
        <f aca="false">I972/F972</f>
        <v>478603.393750566</v>
      </c>
      <c r="K972" s="21" t="n">
        <f aca="false">D972/(D972+E972)</f>
        <v>0.37888198757764</v>
      </c>
      <c r="L972" s="21" t="n">
        <f aca="false">AVERAGEIFS($K$2:$K$2705,$B$2:$B$2705,B972)</f>
        <v>0.499846371273505</v>
      </c>
      <c r="M972" s="21" t="n">
        <f aca="false">K972-L972</f>
        <v>-0.120964383695865</v>
      </c>
      <c r="N972" s="21" t="n">
        <f aca="false">LN(J972)</f>
        <v>13.078627545427</v>
      </c>
      <c r="O972" s="21" t="n">
        <f aca="false">AVERAGEIFS($N$2:$N$2705,$B$2:$B$2705,B972)</f>
        <v>13.83666299226</v>
      </c>
      <c r="P972" s="21" t="n">
        <f aca="false">N972-O972</f>
        <v>-0.758035446832972</v>
      </c>
      <c r="Q972" s="7" t="n">
        <v>0</v>
      </c>
      <c r="R972" s="3" t="n">
        <f aca="false">IF(AND(Q972=1,B972-_xlfn.MINIFS($B$2:$B$2705,$A$2:$A$2705,A972)&lt;10),1,0)</f>
        <v>0</v>
      </c>
      <c r="S972" s="7" t="n">
        <v>0</v>
      </c>
      <c r="T972" s="3" t="n">
        <f aca="false">_xlfn.MINIFS($B$2:$B$2705,$A$2:$A$2705,A972)</f>
        <v>1901</v>
      </c>
      <c r="U972" s="3" t="n">
        <f aca="false">B972-T972</f>
        <v>60</v>
      </c>
      <c r="V972" s="3" t="str">
        <f aca="false">INDEX(Pop_Inputs!$Q$2:$Q$29,MATCH(C972,Pop_Inputs!$A$2:$A$29,0))</f>
        <v>Midwest</v>
      </c>
      <c r="W972" s="30"/>
      <c r="X972" s="3" t="str">
        <f aca="false">IF(W972="","",LN(W972))</f>
        <v/>
      </c>
      <c r="Y972" s="3" t="str">
        <f aca="false">IF(X972="","",X972-AVERAGEIFS($X$2:$X$2705,$B$2:$B$2705,B972))</f>
        <v/>
      </c>
      <c r="Z972" s="21" t="n">
        <f aca="false">P972</f>
        <v>-0.758035446832972</v>
      </c>
      <c r="AA972" s="3" t="n">
        <f aca="false">R972</f>
        <v>0</v>
      </c>
      <c r="AB972" s="21" t="n">
        <f aca="false">P972</f>
        <v>-0.758035446832972</v>
      </c>
      <c r="AC972" s="3" t="str">
        <f aca="false">Y972</f>
        <v/>
      </c>
      <c r="AD972" s="3" t="n">
        <f aca="false">R972</f>
        <v>0</v>
      </c>
    </row>
    <row r="973" customFormat="false" ht="15" hidden="false" customHeight="true" outlineLevel="0" collapsed="false">
      <c r="A973" s="7" t="s">
        <v>60</v>
      </c>
      <c r="B973" s="7" t="n">
        <v>1961</v>
      </c>
      <c r="C973" s="7" t="s">
        <v>146</v>
      </c>
      <c r="D973" s="7" t="n">
        <v>47</v>
      </c>
      <c r="E973" s="7" t="n">
        <v>107</v>
      </c>
      <c r="F973" s="3" t="n">
        <f aca="false">COUNTIFS($B$2:$B$2705,B973,$C$2:$C$2705,C973)</f>
        <v>1</v>
      </c>
      <c r="G973" s="3" t="n">
        <f aca="false">MIN(INT((MIN(B973,2020)-1900)/10)+1,12)</f>
        <v>7</v>
      </c>
      <c r="H973" s="3" t="n">
        <f aca="false">(MIN(B973,2020)-1900-10*(G973-1))/10</f>
        <v>0.1</v>
      </c>
      <c r="I973" s="20" t="n">
        <f aca="false">EXP(LN(INDEX(Pop_Inputs!$B$2:$N$29,MATCH(C973,Pop_Inputs!$A$2:$A$29,0),G973))*(1-H973)+LN(INDEX(Pop_Inputs!$B$2:$N$29,MATCH(C973,Pop_Inputs!$A$2:$A$29,0),G973+1))*H973)</f>
        <v>1997055.27221883</v>
      </c>
      <c r="J973" s="20" t="n">
        <f aca="false">I973/F973</f>
        <v>1997055.27221883</v>
      </c>
      <c r="K973" s="21" t="n">
        <f aca="false">D973/(D973+E973)</f>
        <v>0.305194805194805</v>
      </c>
      <c r="L973" s="21" t="n">
        <f aca="false">AVERAGEIFS($K$2:$K$2705,$B$2:$B$2705,B973)</f>
        <v>0.499846371273505</v>
      </c>
      <c r="M973" s="21" t="n">
        <f aca="false">K973-L973</f>
        <v>-0.1946515660787</v>
      </c>
      <c r="N973" s="21" t="n">
        <f aca="false">LN(J973)</f>
        <v>14.5071842896408</v>
      </c>
      <c r="O973" s="21" t="n">
        <f aca="false">AVERAGEIFS($N$2:$N$2705,$B$2:$B$2705,B973)</f>
        <v>13.83666299226</v>
      </c>
      <c r="P973" s="21" t="n">
        <f aca="false">N973-O973</f>
        <v>0.670521297380796</v>
      </c>
      <c r="Q973" s="7" t="n">
        <v>0</v>
      </c>
      <c r="R973" s="3" t="n">
        <f aca="false">IF(AND(Q973=1,B973-_xlfn.MINIFS($B$2:$B$2705,$A$2:$A$2705,A973)&lt;10),1,0)</f>
        <v>0</v>
      </c>
      <c r="S973" s="7" t="n">
        <v>0</v>
      </c>
      <c r="T973" s="3" t="n">
        <f aca="false">_xlfn.MINIFS($B$2:$B$2705,$A$2:$A$2705,A973)</f>
        <v>1901</v>
      </c>
      <c r="U973" s="3" t="n">
        <f aca="false">B973-T973</f>
        <v>60</v>
      </c>
      <c r="V973" s="3" t="str">
        <f aca="false">INDEX(Pop_Inputs!$Q$2:$Q$29,MATCH(C973,Pop_Inputs!$A$2:$A$29,0))</f>
        <v>Northeast</v>
      </c>
      <c r="W973" s="30"/>
      <c r="X973" s="3" t="str">
        <f aca="false">IF(W973="","",LN(W973))</f>
        <v/>
      </c>
      <c r="Y973" s="3" t="str">
        <f aca="false">IF(X973="","",X973-AVERAGEIFS($X$2:$X$2705,$B$2:$B$2705,B973))</f>
        <v/>
      </c>
      <c r="Z973" s="21" t="n">
        <f aca="false">P973</f>
        <v>0.670521297380796</v>
      </c>
      <c r="AA973" s="3" t="n">
        <f aca="false">R973</f>
        <v>0</v>
      </c>
      <c r="AB973" s="21" t="n">
        <f aca="false">P973</f>
        <v>0.670521297380796</v>
      </c>
      <c r="AC973" s="3" t="str">
        <f aca="false">Y973</f>
        <v/>
      </c>
      <c r="AD973" s="3" t="n">
        <f aca="false">R973</f>
        <v>0</v>
      </c>
    </row>
    <row r="974" customFormat="false" ht="15" hidden="false" customHeight="true" outlineLevel="0" collapsed="false">
      <c r="A974" s="7" t="s">
        <v>58</v>
      </c>
      <c r="B974" s="7" t="n">
        <v>1961</v>
      </c>
      <c r="C974" s="7" t="s">
        <v>144</v>
      </c>
      <c r="D974" s="7" t="n">
        <v>75</v>
      </c>
      <c r="E974" s="7" t="n">
        <v>79</v>
      </c>
      <c r="F974" s="3" t="n">
        <f aca="false">COUNTIFS($B$2:$B$2705,B974,$C$2:$C$2705,C974)</f>
        <v>1</v>
      </c>
      <c r="G974" s="3" t="n">
        <f aca="false">MIN(INT((MIN(B974,2020)-1900)/10)+1,12)</f>
        <v>7</v>
      </c>
      <c r="H974" s="3" t="n">
        <f aca="false">(MIN(B974,2020)-1900-10*(G974-1))/10</f>
        <v>0.1</v>
      </c>
      <c r="I974" s="20" t="n">
        <f aca="false">EXP(LN(INDEX(Pop_Inputs!$B$2:$N$29,MATCH(C974,Pop_Inputs!$A$2:$A$29,0),G974))*(1-H974)+LN(INDEX(Pop_Inputs!$B$2:$N$29,MATCH(C974,Pop_Inputs!$A$2:$A$29,0),G974+1))*H974)</f>
        <v>595330.50555142</v>
      </c>
      <c r="J974" s="20" t="n">
        <f aca="false">I974/F974</f>
        <v>595330.50555142</v>
      </c>
      <c r="K974" s="21" t="n">
        <f aca="false">D974/(D974+E974)</f>
        <v>0.487012987012987</v>
      </c>
      <c r="L974" s="21" t="n">
        <f aca="false">AVERAGEIFS($K$2:$K$2705,$B$2:$B$2705,B974)</f>
        <v>0.499846371273505</v>
      </c>
      <c r="M974" s="21" t="n">
        <f aca="false">K974-L974</f>
        <v>-0.0128333842605179</v>
      </c>
      <c r="N974" s="21" t="n">
        <f aca="false">LN(J974)</f>
        <v>13.2968720018256</v>
      </c>
      <c r="O974" s="21" t="n">
        <f aca="false">AVERAGEIFS($N$2:$N$2705,$B$2:$B$2705,B974)</f>
        <v>13.83666299226</v>
      </c>
      <c r="P974" s="21" t="n">
        <f aca="false">N974-O974</f>
        <v>-0.539790990434428</v>
      </c>
      <c r="Q974" s="7" t="n">
        <v>0</v>
      </c>
      <c r="R974" s="3" t="n">
        <f aca="false">IF(AND(Q974=1,B974-_xlfn.MINIFS($B$2:$B$2705,$A$2:$A$2705,A974)&lt;10),1,0)</f>
        <v>0</v>
      </c>
      <c r="S974" s="7" t="n">
        <v>0</v>
      </c>
      <c r="T974" s="3" t="n">
        <f aca="false">_xlfn.MINIFS($B$2:$B$2705,$A$2:$A$2705,A974)</f>
        <v>1901</v>
      </c>
      <c r="U974" s="3" t="n">
        <f aca="false">B974-T974</f>
        <v>60</v>
      </c>
      <c r="V974" s="3" t="str">
        <f aca="false">INDEX(Pop_Inputs!$Q$2:$Q$29,MATCH(C974,Pop_Inputs!$A$2:$A$29,0))</f>
        <v>Northeast</v>
      </c>
      <c r="W974" s="30"/>
      <c r="X974" s="3" t="str">
        <f aca="false">IF(W974="","",LN(W974))</f>
        <v/>
      </c>
      <c r="Y974" s="3" t="str">
        <f aca="false">IF(X974="","",X974-AVERAGEIFS($X$2:$X$2705,$B$2:$B$2705,B974))</f>
        <v/>
      </c>
      <c r="Z974" s="21" t="n">
        <f aca="false">P974</f>
        <v>-0.539790990434428</v>
      </c>
      <c r="AA974" s="3" t="n">
        <f aca="false">R974</f>
        <v>0</v>
      </c>
      <c r="AB974" s="21" t="n">
        <f aca="false">P974</f>
        <v>-0.539790990434428</v>
      </c>
      <c r="AC974" s="3" t="str">
        <f aca="false">Y974</f>
        <v/>
      </c>
      <c r="AD974" s="3" t="n">
        <f aca="false">R974</f>
        <v>0</v>
      </c>
    </row>
    <row r="975" customFormat="false" ht="15" hidden="false" customHeight="true" outlineLevel="0" collapsed="false">
      <c r="A975" s="7" t="s">
        <v>61</v>
      </c>
      <c r="B975" s="7" t="n">
        <v>1961</v>
      </c>
      <c r="C975" s="7" t="s">
        <v>147</v>
      </c>
      <c r="D975" s="7" t="n">
        <v>85</v>
      </c>
      <c r="E975" s="7" t="n">
        <v>69</v>
      </c>
      <c r="F975" s="3" t="n">
        <f aca="false">COUNTIFS($B$2:$B$2705,B975,$C$2:$C$2705,C975)</f>
        <v>1</v>
      </c>
      <c r="G975" s="3" t="n">
        <f aca="false">MIN(INT((MIN(B975,2020)-1900)/10)+1,12)</f>
        <v>7</v>
      </c>
      <c r="H975" s="3" t="n">
        <f aca="false">(MIN(B975,2020)-1900-10*(G975-1))/10</f>
        <v>0.1</v>
      </c>
      <c r="I975" s="20" t="n">
        <f aca="false">EXP(LN(INDEX(Pop_Inputs!$B$2:$N$29,MATCH(C975,Pop_Inputs!$A$2:$A$29,0),G975))*(1-H975)+LN(INDEX(Pop_Inputs!$B$2:$N$29,MATCH(C975,Pop_Inputs!$A$2:$A$29,0),G975+1))*H975)</f>
        <v>737814.092340709</v>
      </c>
      <c r="J975" s="20" t="n">
        <f aca="false">I975/F975</f>
        <v>737814.092340709</v>
      </c>
      <c r="K975" s="21" t="n">
        <f aca="false">D975/(D975+E975)</f>
        <v>0.551948051948052</v>
      </c>
      <c r="L975" s="21" t="n">
        <f aca="false">AVERAGEIFS($K$2:$K$2705,$B$2:$B$2705,B975)</f>
        <v>0.499846371273505</v>
      </c>
      <c r="M975" s="21" t="n">
        <f aca="false">K975-L975</f>
        <v>0.052101680674547</v>
      </c>
      <c r="N975" s="21" t="n">
        <f aca="false">LN(J975)</f>
        <v>13.5114471644512</v>
      </c>
      <c r="O975" s="21" t="n">
        <f aca="false">AVERAGEIFS($N$2:$N$2705,$B$2:$B$2705,B975)</f>
        <v>13.83666299226</v>
      </c>
      <c r="P975" s="21" t="n">
        <f aca="false">N975-O975</f>
        <v>-0.325215827808792</v>
      </c>
      <c r="Q975" s="7" t="n">
        <v>0</v>
      </c>
      <c r="R975" s="3" t="n">
        <f aca="false">IF(AND(Q975=1,B975-_xlfn.MINIFS($B$2:$B$2705,$A$2:$A$2705,A975)&lt;10),1,0)</f>
        <v>0</v>
      </c>
      <c r="S975" s="7" t="n">
        <v>0</v>
      </c>
      <c r="T975" s="3" t="n">
        <f aca="false">_xlfn.MINIFS($B$2:$B$2705,$A$2:$A$2705,A975)</f>
        <v>1901</v>
      </c>
      <c r="U975" s="3" t="n">
        <f aca="false">B975-T975</f>
        <v>60</v>
      </c>
      <c r="V975" s="3" t="str">
        <f aca="false">INDEX(Pop_Inputs!$Q$2:$Q$29,MATCH(C975,Pop_Inputs!$A$2:$A$29,0))</f>
        <v>West</v>
      </c>
      <c r="W975" s="30"/>
      <c r="X975" s="3" t="str">
        <f aca="false">IF(W975="","",LN(W975))</f>
        <v/>
      </c>
      <c r="Y975" s="3" t="str">
        <f aca="false">IF(X975="","",X975-AVERAGEIFS($X$2:$X$2705,$B$2:$B$2705,B975))</f>
        <v/>
      </c>
      <c r="Z975" s="21" t="n">
        <f aca="false">P975</f>
        <v>-0.325215827808792</v>
      </c>
      <c r="AA975" s="3" t="n">
        <f aca="false">R975</f>
        <v>0</v>
      </c>
      <c r="AB975" s="21" t="n">
        <f aca="false">P975</f>
        <v>-0.325215827808792</v>
      </c>
      <c r="AC975" s="3" t="str">
        <f aca="false">Y975</f>
        <v/>
      </c>
      <c r="AD975" s="3" t="n">
        <f aca="false">R975</f>
        <v>0</v>
      </c>
    </row>
    <row r="976" customFormat="false" ht="15" hidden="false" customHeight="true" outlineLevel="0" collapsed="false">
      <c r="A976" s="7" t="s">
        <v>59</v>
      </c>
      <c r="B976" s="7" t="n">
        <v>1961</v>
      </c>
      <c r="C976" s="7" t="s">
        <v>145</v>
      </c>
      <c r="D976" s="7" t="n">
        <v>80</v>
      </c>
      <c r="E976" s="7" t="n">
        <v>74</v>
      </c>
      <c r="F976" s="3" t="n">
        <f aca="false">COUNTIFS($B$2:$B$2705,B976,$C$2:$C$2705,C976)</f>
        <v>1</v>
      </c>
      <c r="G976" s="3" t="n">
        <f aca="false">MIN(INT((MIN(B976,2020)-1900)/10)+1,12)</f>
        <v>7</v>
      </c>
      <c r="H976" s="3" t="n">
        <f aca="false">(MIN(B976,2020)-1900-10*(G976-1))/10</f>
        <v>0.1</v>
      </c>
      <c r="I976" s="20" t="n">
        <f aca="false">EXP(LN(INDEX(Pop_Inputs!$B$2:$N$29,MATCH(C976,Pop_Inputs!$A$2:$A$29,0),G976))*(1-H976)+LN(INDEX(Pop_Inputs!$B$2:$N$29,MATCH(C976,Pop_Inputs!$A$2:$A$29,0),G976+1))*H976)</f>
        <v>736146.412915435</v>
      </c>
      <c r="J976" s="20" t="n">
        <f aca="false">I976/F976</f>
        <v>736146.412915435</v>
      </c>
      <c r="K976" s="21" t="n">
        <f aca="false">D976/(D976+E976)</f>
        <v>0.519480519480519</v>
      </c>
      <c r="L976" s="21" t="n">
        <f aca="false">AVERAGEIFS($K$2:$K$2705,$B$2:$B$2705,B976)</f>
        <v>0.499846371273505</v>
      </c>
      <c r="M976" s="21" t="n">
        <f aca="false">K976-L976</f>
        <v>0.0196341482070145</v>
      </c>
      <c r="N976" s="21" t="n">
        <f aca="false">LN(J976)</f>
        <v>13.5091843085186</v>
      </c>
      <c r="O976" s="21" t="n">
        <f aca="false">AVERAGEIFS($N$2:$N$2705,$B$2:$B$2705,B976)</f>
        <v>13.83666299226</v>
      </c>
      <c r="P976" s="21" t="n">
        <f aca="false">N976-O976</f>
        <v>-0.32747868374142</v>
      </c>
      <c r="Q976" s="7" t="n">
        <v>0</v>
      </c>
      <c r="R976" s="3" t="n">
        <f aca="false">IF(AND(Q976=1,B976-_xlfn.MINIFS($B$2:$B$2705,$A$2:$A$2705,A976)&lt;10),1,0)</f>
        <v>0</v>
      </c>
      <c r="S976" s="7" t="n">
        <v>0</v>
      </c>
      <c r="T976" s="3" t="n">
        <f aca="false">_xlfn.MINIFS($B$2:$B$2705,$A$2:$A$2705,A976)</f>
        <v>1901</v>
      </c>
      <c r="U976" s="3" t="n">
        <f aca="false">B976-T976</f>
        <v>60</v>
      </c>
      <c r="V976" s="3" t="str">
        <f aca="false">INDEX(Pop_Inputs!$Q$2:$Q$29,MATCH(C976,Pop_Inputs!$A$2:$A$29,0))</f>
        <v>Midwest</v>
      </c>
      <c r="W976" s="30"/>
      <c r="X976" s="3" t="str">
        <f aca="false">IF(W976="","",LN(W976))</f>
        <v/>
      </c>
      <c r="Y976" s="3" t="str">
        <f aca="false">IF(X976="","",X976-AVERAGEIFS($X$2:$X$2705,$B$2:$B$2705,B976))</f>
        <v/>
      </c>
      <c r="Z976" s="21" t="n">
        <f aca="false">P976</f>
        <v>-0.32747868374142</v>
      </c>
      <c r="AA976" s="3" t="n">
        <f aca="false">R976</f>
        <v>0</v>
      </c>
      <c r="AB976" s="21" t="n">
        <f aca="false">P976</f>
        <v>-0.32747868374142</v>
      </c>
      <c r="AC976" s="3" t="str">
        <f aca="false">Y976</f>
        <v/>
      </c>
      <c r="AD976" s="3" t="n">
        <f aca="false">R976</f>
        <v>0</v>
      </c>
    </row>
    <row r="977" customFormat="false" ht="15" hidden="false" customHeight="true" outlineLevel="0" collapsed="false">
      <c r="A977" s="7" t="s">
        <v>73</v>
      </c>
      <c r="B977" s="7" t="n">
        <v>1961</v>
      </c>
      <c r="C977" s="7" t="s">
        <v>160</v>
      </c>
      <c r="D977" s="7" t="n">
        <v>61</v>
      </c>
      <c r="E977" s="7" t="n">
        <v>100</v>
      </c>
      <c r="F977" s="3" t="n">
        <f aca="false">COUNTIFS($B$2:$B$2705,B977,$C$2:$C$2705,C977)</f>
        <v>1</v>
      </c>
      <c r="G977" s="3" t="n">
        <f aca="false">MIN(INT((MIN(B977,2020)-1900)/10)+1,12)</f>
        <v>7</v>
      </c>
      <c r="H977" s="3" t="n">
        <f aca="false">(MIN(B977,2020)-1900-10*(G977-1))/10</f>
        <v>0.1</v>
      </c>
      <c r="I977" s="20" t="n">
        <f aca="false">EXP(LN(INDEX(Pop_Inputs!$B$2:$N$29,MATCH(C977,Pop_Inputs!$A$2:$A$29,0),G977))*(1-H977)+LN(INDEX(Pop_Inputs!$B$2:$N$29,MATCH(C977,Pop_Inputs!$A$2:$A$29,0),G977+1))*H977)</f>
        <v>763208.113892209</v>
      </c>
      <c r="J977" s="20" t="n">
        <f aca="false">I977/F977</f>
        <v>763208.113892209</v>
      </c>
      <c r="K977" s="21" t="n">
        <f aca="false">D977/(D977+E977)</f>
        <v>0.37888198757764</v>
      </c>
      <c r="L977" s="21" t="n">
        <f aca="false">AVERAGEIFS($K$2:$K$2705,$B$2:$B$2705,B977)</f>
        <v>0.499846371273505</v>
      </c>
      <c r="M977" s="21" t="n">
        <f aca="false">K977-L977</f>
        <v>-0.120964383695865</v>
      </c>
      <c r="N977" s="21" t="n">
        <f aca="false">LN(J977)</f>
        <v>13.5452860304698</v>
      </c>
      <c r="O977" s="21" t="n">
        <f aca="false">AVERAGEIFS($N$2:$N$2705,$B$2:$B$2705,B977)</f>
        <v>13.83666299226</v>
      </c>
      <c r="P977" s="21" t="n">
        <f aca="false">N977-O977</f>
        <v>-0.291376961790162</v>
      </c>
      <c r="Q977" s="7" t="n">
        <v>1</v>
      </c>
      <c r="R977" s="3" t="n">
        <f aca="false">IF(AND(Q977=1,B977-_xlfn.MINIFS($B$2:$B$2705,$A$2:$A$2705,A977)&lt;10),1,0)</f>
        <v>1</v>
      </c>
      <c r="S977" s="7" t="n">
        <v>0</v>
      </c>
      <c r="T977" s="3" t="n">
        <f aca="false">_xlfn.MINIFS($B$2:$B$2705,$A$2:$A$2705,A977)</f>
        <v>1961</v>
      </c>
      <c r="U977" s="3" t="n">
        <f aca="false">B977-T977</f>
        <v>0</v>
      </c>
      <c r="V977" s="3" t="str">
        <f aca="false">INDEX(Pop_Inputs!$Q$2:$Q$29,MATCH(C977,Pop_Inputs!$A$2:$A$29,0))</f>
        <v>South</v>
      </c>
      <c r="W977" s="30"/>
      <c r="X977" s="3" t="str">
        <f aca="false">IF(W977="","",LN(W977))</f>
        <v/>
      </c>
      <c r="Y977" s="3" t="str">
        <f aca="false">IF(X977="","",X977-AVERAGEIFS($X$2:$X$2705,$B$2:$B$2705,B977))</f>
        <v/>
      </c>
      <c r="Z977" s="21" t="n">
        <f aca="false">P977</f>
        <v>-0.291376961790162</v>
      </c>
      <c r="AA977" s="3" t="n">
        <f aca="false">R977</f>
        <v>1</v>
      </c>
      <c r="AB977" s="21" t="n">
        <f aca="false">P977</f>
        <v>-0.291376961790162</v>
      </c>
      <c r="AC977" s="3" t="str">
        <f aca="false">Y977</f>
        <v/>
      </c>
      <c r="AD977" s="3" t="n">
        <f aca="false">R977</f>
        <v>1</v>
      </c>
    </row>
    <row r="978" customFormat="false" ht="15" hidden="false" customHeight="true" outlineLevel="0" collapsed="false">
      <c r="A978" s="7" t="s">
        <v>71</v>
      </c>
      <c r="B978" s="7" t="n">
        <v>1962</v>
      </c>
      <c r="C978" s="7" t="s">
        <v>148</v>
      </c>
      <c r="D978" s="7" t="n">
        <v>86</v>
      </c>
      <c r="E978" s="7" t="n">
        <v>76</v>
      </c>
      <c r="F978" s="3" t="n">
        <f aca="false">COUNTIFS($B$2:$B$2705,B978,$C$2:$C$2705,C978)</f>
        <v>2</v>
      </c>
      <c r="G978" s="3" t="n">
        <f aca="false">MIN(INT((MIN(B978,2020)-1900)/10)+1,12)</f>
        <v>7</v>
      </c>
      <c r="H978" s="3" t="n">
        <f aca="false">(MIN(B978,2020)-1900-10*(G978-1))/10</f>
        <v>0.2</v>
      </c>
      <c r="I978" s="20" t="n">
        <f aca="false">EXP(LN(INDEX(Pop_Inputs!$B$2:$N$29,MATCH(C978,Pop_Inputs!$A$2:$A$29,0),G978))*(1-H978)+LN(INDEX(Pop_Inputs!$B$2:$N$29,MATCH(C978,Pop_Inputs!$A$2:$A$29,0),G978+1))*H978)</f>
        <v>2543031.47401057</v>
      </c>
      <c r="J978" s="20" t="n">
        <f aca="false">I978/F978</f>
        <v>1271515.73700528</v>
      </c>
      <c r="K978" s="21" t="n">
        <f aca="false">D978/(D978+E978)</f>
        <v>0.530864197530864</v>
      </c>
      <c r="L978" s="21" t="n">
        <f aca="false">AVERAGEIFS($K$2:$K$2705,$B$2:$B$2705,B978)</f>
        <v>0.499538300534677</v>
      </c>
      <c r="M978" s="21" t="n">
        <f aca="false">K978-L978</f>
        <v>0.0313258969961869</v>
      </c>
      <c r="N978" s="21" t="n">
        <f aca="false">LN(J978)</f>
        <v>14.0557202404923</v>
      </c>
      <c r="O978" s="21" t="n">
        <f aca="false">AVERAGEIFS($N$2:$N$2705,$B$2:$B$2705,B978)</f>
        <v>13.863518981094</v>
      </c>
      <c r="P978" s="21" t="n">
        <f aca="false">N978-O978</f>
        <v>0.192201259398333</v>
      </c>
      <c r="Q978" s="7" t="n">
        <v>1</v>
      </c>
      <c r="R978" s="3" t="n">
        <f aca="false">IF(AND(Q978=1,B978-_xlfn.MINIFS($B$2:$B$2705,$A$2:$A$2705,A978)&lt;10),1,0)</f>
        <v>1</v>
      </c>
      <c r="S978" s="7" t="n">
        <v>0</v>
      </c>
      <c r="T978" s="3" t="n">
        <f aca="false">_xlfn.MINIFS($B$2:$B$2705,$A$2:$A$2705,A978)</f>
        <v>1961</v>
      </c>
      <c r="U978" s="3" t="n">
        <f aca="false">B978-T978</f>
        <v>1</v>
      </c>
      <c r="V978" s="3" t="str">
        <f aca="false">INDEX(Pop_Inputs!$Q$2:$Q$29,MATCH(C978,Pop_Inputs!$A$2:$A$29,0))</f>
        <v>West</v>
      </c>
      <c r="W978" s="30"/>
      <c r="X978" s="3" t="str">
        <f aca="false">IF(W978="","",LN(W978))</f>
        <v/>
      </c>
      <c r="Y978" s="3" t="str">
        <f aca="false">IF(X978="","",X978-AVERAGEIFS($X$2:$X$2705,$B$2:$B$2705,B978))</f>
        <v/>
      </c>
      <c r="Z978" s="21" t="n">
        <f aca="false">P978</f>
        <v>0.192201259398333</v>
      </c>
      <c r="AA978" s="3" t="n">
        <f aca="false">R978</f>
        <v>1</v>
      </c>
      <c r="AB978" s="21" t="n">
        <f aca="false">P978</f>
        <v>0.192201259398333</v>
      </c>
      <c r="AC978" s="3" t="str">
        <f aca="false">Y978</f>
        <v/>
      </c>
      <c r="AD978" s="3" t="n">
        <f aca="false">R978</f>
        <v>1</v>
      </c>
    </row>
    <row r="979" customFormat="false" ht="15" hidden="false" customHeight="true" outlineLevel="0" collapsed="false">
      <c r="A979" s="7" t="s">
        <v>54</v>
      </c>
      <c r="B979" s="7" t="n">
        <v>1962</v>
      </c>
      <c r="C979" s="7" t="s">
        <v>158</v>
      </c>
      <c r="D979" s="7" t="n">
        <v>86</v>
      </c>
      <c r="E979" s="7" t="n">
        <v>76</v>
      </c>
      <c r="F979" s="3" t="n">
        <f aca="false">COUNTIFS($B$2:$B$2705,B979,$C$2:$C$2705,C979)</f>
        <v>1</v>
      </c>
      <c r="G979" s="3" t="n">
        <f aca="false">MIN(INT((MIN(B979,2020)-1900)/10)+1,12)</f>
        <v>7</v>
      </c>
      <c r="H979" s="3" t="n">
        <f aca="false">(MIN(B979,2020)-1900-10*(G979-1))/10</f>
        <v>0.2</v>
      </c>
      <c r="I979" s="20" t="n">
        <f aca="false">EXP(LN(INDEX(Pop_Inputs!$B$2:$N$29,MATCH(C979,Pop_Inputs!$A$2:$A$29,0),G979))*(1-H979)+LN(INDEX(Pop_Inputs!$B$2:$N$29,MATCH(C979,Pop_Inputs!$A$2:$A$29,0),G979+1))*H979)</f>
        <v>736414.399171382</v>
      </c>
      <c r="J979" s="20" t="n">
        <f aca="false">I979/F979</f>
        <v>736414.399171382</v>
      </c>
      <c r="K979" s="21" t="n">
        <f aca="false">D979/(D979+E979)</f>
        <v>0.530864197530864</v>
      </c>
      <c r="L979" s="21" t="n">
        <f aca="false">AVERAGEIFS($K$2:$K$2705,$B$2:$B$2705,B979)</f>
        <v>0.499538300534677</v>
      </c>
      <c r="M979" s="21" t="n">
        <f aca="false">K979-L979</f>
        <v>0.0313258969961869</v>
      </c>
      <c r="N979" s="21" t="n">
        <f aca="false">LN(J979)</f>
        <v>13.5095482816146</v>
      </c>
      <c r="O979" s="21" t="n">
        <f aca="false">AVERAGEIFS($N$2:$N$2705,$B$2:$B$2705,B979)</f>
        <v>13.863518981094</v>
      </c>
      <c r="P979" s="21" t="n">
        <f aca="false">N979-O979</f>
        <v>-0.35397069947939</v>
      </c>
      <c r="Q979" s="7" t="n">
        <v>0</v>
      </c>
      <c r="R979" s="3" t="n">
        <f aca="false">IF(AND(Q979=1,B979-_xlfn.MINIFS($B$2:$B$2705,$A$2:$A$2705,A979)&lt;10),1,0)</f>
        <v>0</v>
      </c>
      <c r="S979" s="7" t="n">
        <v>0</v>
      </c>
      <c r="T979" s="3" t="n">
        <f aca="false">_xlfn.MINIFS($B$2:$B$2705,$A$2:$A$2705,A979)</f>
        <v>1901</v>
      </c>
      <c r="U979" s="3" t="n">
        <f aca="false">B979-T979</f>
        <v>61</v>
      </c>
      <c r="V979" s="3" t="str">
        <f aca="false">INDEX(Pop_Inputs!$Q$2:$Q$29,MATCH(C979,Pop_Inputs!$A$2:$A$29,0))</f>
        <v>Midwest</v>
      </c>
      <c r="W979" s="30"/>
      <c r="X979" s="3" t="str">
        <f aca="false">IF(W979="","",LN(W979))</f>
        <v/>
      </c>
      <c r="Y979" s="3" t="str">
        <f aca="false">IF(X979="","",X979-AVERAGEIFS($X$2:$X$2705,$B$2:$B$2705,B979))</f>
        <v/>
      </c>
      <c r="Z979" s="21" t="n">
        <f aca="false">P979</f>
        <v>-0.35397069947939</v>
      </c>
      <c r="AA979" s="3" t="n">
        <f aca="false">R979</f>
        <v>0</v>
      </c>
      <c r="AB979" s="21" t="n">
        <f aca="false">P979</f>
        <v>-0.35397069947939</v>
      </c>
      <c r="AC979" s="3" t="str">
        <f aca="false">Y979</f>
        <v/>
      </c>
      <c r="AD979" s="3" t="n">
        <f aca="false">R979</f>
        <v>0</v>
      </c>
    </row>
    <row r="980" customFormat="false" ht="15" hidden="false" customHeight="true" outlineLevel="0" collapsed="false">
      <c r="A980" s="7" t="s">
        <v>63</v>
      </c>
      <c r="B980" s="7" t="n">
        <v>1962</v>
      </c>
      <c r="C980" s="7" t="s">
        <v>149</v>
      </c>
      <c r="D980" s="7" t="n">
        <v>77</v>
      </c>
      <c r="E980" s="7" t="n">
        <v>85</v>
      </c>
      <c r="F980" s="3" t="n">
        <f aca="false">COUNTIFS($B$2:$B$2705,B980,$C$2:$C$2705,C980)</f>
        <v>1</v>
      </c>
      <c r="G980" s="3" t="n">
        <f aca="false">MIN(INT((MIN(B980,2020)-1900)/10)+1,12)</f>
        <v>7</v>
      </c>
      <c r="H980" s="3" t="n">
        <f aca="false">(MIN(B980,2020)-1900-10*(G980-1))/10</f>
        <v>0.2</v>
      </c>
      <c r="I980" s="20" t="n">
        <f aca="false">EXP(LN(INDEX(Pop_Inputs!$B$2:$N$29,MATCH(C980,Pop_Inputs!$A$2:$A$29,0),G980))*(1-H980)+LN(INDEX(Pop_Inputs!$B$2:$N$29,MATCH(C980,Pop_Inputs!$A$2:$A$29,0),G980+1))*H980)</f>
        <v>932274.671930448</v>
      </c>
      <c r="J980" s="20" t="n">
        <f aca="false">I980/F980</f>
        <v>932274.671930448</v>
      </c>
      <c r="K980" s="21" t="n">
        <f aca="false">D980/(D980+E980)</f>
        <v>0.475308641975309</v>
      </c>
      <c r="L980" s="21" t="n">
        <f aca="false">AVERAGEIFS($K$2:$K$2705,$B$2:$B$2705,B980)</f>
        <v>0.499538300534677</v>
      </c>
      <c r="M980" s="21" t="n">
        <f aca="false">K980-L980</f>
        <v>-0.0242296585593687</v>
      </c>
      <c r="N980" s="21" t="n">
        <f aca="false">LN(J980)</f>
        <v>13.7453827626203</v>
      </c>
      <c r="O980" s="21" t="n">
        <f aca="false">AVERAGEIFS($N$2:$N$2705,$B$2:$B$2705,B980)</f>
        <v>13.863518981094</v>
      </c>
      <c r="P980" s="21" t="n">
        <f aca="false">N980-O980</f>
        <v>-0.118136218473659</v>
      </c>
      <c r="Q980" s="7" t="n">
        <v>0</v>
      </c>
      <c r="R980" s="3" t="n">
        <f aca="false">IF(AND(Q980=1,B980-_xlfn.MINIFS($B$2:$B$2705,$A$2:$A$2705,A980)&lt;10),1,0)</f>
        <v>0</v>
      </c>
      <c r="S980" s="7" t="n">
        <v>0</v>
      </c>
      <c r="T980" s="3" t="n">
        <f aca="false">_xlfn.MINIFS($B$2:$B$2705,$A$2:$A$2705,A980)</f>
        <v>1901</v>
      </c>
      <c r="U980" s="3" t="n">
        <f aca="false">B980-T980</f>
        <v>61</v>
      </c>
      <c r="V980" s="3" t="str">
        <f aca="false">INDEX(Pop_Inputs!$Q$2:$Q$29,MATCH(C980,Pop_Inputs!$A$2:$A$29,0))</f>
        <v>South</v>
      </c>
      <c r="W980" s="30"/>
      <c r="X980" s="3" t="str">
        <f aca="false">IF(W980="","",LN(W980))</f>
        <v/>
      </c>
      <c r="Y980" s="3" t="str">
        <f aca="false">IF(X980="","",X980-AVERAGEIFS($X$2:$X$2705,$B$2:$B$2705,B980))</f>
        <v/>
      </c>
      <c r="Z980" s="21" t="n">
        <f aca="false">P980</f>
        <v>-0.118136218473659</v>
      </c>
      <c r="AA980" s="3" t="n">
        <f aca="false">R980</f>
        <v>0</v>
      </c>
      <c r="AB980" s="21" t="n">
        <f aca="false">P980</f>
        <v>-0.118136218473659</v>
      </c>
      <c r="AC980" s="3" t="str">
        <f aca="false">Y980</f>
        <v/>
      </c>
      <c r="AD980" s="3" t="n">
        <f aca="false">R980</f>
        <v>0</v>
      </c>
    </row>
    <row r="981" customFormat="false" ht="15" hidden="false" customHeight="true" outlineLevel="0" collapsed="false">
      <c r="A981" s="7" t="s">
        <v>64</v>
      </c>
      <c r="B981" s="7" t="n">
        <v>1962</v>
      </c>
      <c r="C981" s="7" t="s">
        <v>150</v>
      </c>
      <c r="D981" s="7" t="n">
        <v>76</v>
      </c>
      <c r="E981" s="7" t="n">
        <v>84</v>
      </c>
      <c r="F981" s="3" t="n">
        <f aca="false">COUNTIFS($B$2:$B$2705,B981,$C$2:$C$2705,C981)</f>
        <v>1</v>
      </c>
      <c r="G981" s="3" t="n">
        <f aca="false">MIN(INT((MIN(B981,2020)-1900)/10)+1,12)</f>
        <v>7</v>
      </c>
      <c r="H981" s="3" t="n">
        <f aca="false">(MIN(B981,2020)-1900-10*(G981-1))/10</f>
        <v>0.2</v>
      </c>
      <c r="I981" s="20" t="n">
        <f aca="false">EXP(LN(INDEX(Pop_Inputs!$B$2:$N$29,MATCH(C981,Pop_Inputs!$A$2:$A$29,0),G981))*(1-H981)+LN(INDEX(Pop_Inputs!$B$2:$N$29,MATCH(C981,Pop_Inputs!$A$2:$A$29,0),G981+1))*H981)</f>
        <v>685591.830664216</v>
      </c>
      <c r="J981" s="20" t="n">
        <f aca="false">I981/F981</f>
        <v>685591.830664216</v>
      </c>
      <c r="K981" s="21" t="n">
        <f aca="false">D981/(D981+E981)</f>
        <v>0.475</v>
      </c>
      <c r="L981" s="21" t="n">
        <f aca="false">AVERAGEIFS($K$2:$K$2705,$B$2:$B$2705,B981)</f>
        <v>0.499538300534677</v>
      </c>
      <c r="M981" s="21" t="n">
        <f aca="false">K981-L981</f>
        <v>-0.0245383005346773</v>
      </c>
      <c r="N981" s="21" t="n">
        <f aca="false">LN(J981)</f>
        <v>13.4380377305941</v>
      </c>
      <c r="O981" s="21" t="n">
        <f aca="false">AVERAGEIFS($N$2:$N$2705,$B$2:$B$2705,B981)</f>
        <v>13.863518981094</v>
      </c>
      <c r="P981" s="21" t="n">
        <f aca="false">N981-O981</f>
        <v>-0.425481250499855</v>
      </c>
      <c r="Q981" s="7" t="n">
        <v>0</v>
      </c>
      <c r="R981" s="3" t="n">
        <f aca="false">IF(AND(Q981=1,B981-_xlfn.MINIFS($B$2:$B$2705,$A$2:$A$2705,A981)&lt;10),1,0)</f>
        <v>0</v>
      </c>
      <c r="S981" s="7" t="n">
        <v>0</v>
      </c>
      <c r="T981" s="3" t="n">
        <f aca="false">_xlfn.MINIFS($B$2:$B$2705,$A$2:$A$2705,A981)</f>
        <v>1901</v>
      </c>
      <c r="U981" s="3" t="n">
        <f aca="false">B981-T981</f>
        <v>61</v>
      </c>
      <c r="V981" s="3" t="str">
        <f aca="false">INDEX(Pop_Inputs!$Q$2:$Q$29,MATCH(C981,Pop_Inputs!$A$2:$A$29,0))</f>
        <v>Northeast</v>
      </c>
      <c r="W981" s="30"/>
      <c r="X981" s="3" t="str">
        <f aca="false">IF(W981="","",LN(W981))</f>
        <v/>
      </c>
      <c r="Y981" s="3" t="str">
        <f aca="false">IF(X981="","",X981-AVERAGEIFS($X$2:$X$2705,$B$2:$B$2705,B981))</f>
        <v/>
      </c>
      <c r="Z981" s="21" t="n">
        <f aca="false">P981</f>
        <v>-0.425481250499855</v>
      </c>
      <c r="AA981" s="3" t="n">
        <f aca="false">R981</f>
        <v>0</v>
      </c>
      <c r="AB981" s="21" t="n">
        <f aca="false">P981</f>
        <v>-0.425481250499855</v>
      </c>
      <c r="AC981" s="3" t="str">
        <f aca="false">Y981</f>
        <v/>
      </c>
      <c r="AD981" s="3" t="n">
        <f aca="false">R981</f>
        <v>0</v>
      </c>
    </row>
    <row r="982" customFormat="false" ht="15" hidden="false" customHeight="true" outlineLevel="0" collapsed="false">
      <c r="A982" s="7" t="s">
        <v>56</v>
      </c>
      <c r="B982" s="7" t="n">
        <v>1962</v>
      </c>
      <c r="C982" s="7" t="s">
        <v>142</v>
      </c>
      <c r="D982" s="7" t="n">
        <v>59</v>
      </c>
      <c r="E982" s="7" t="n">
        <v>103</v>
      </c>
      <c r="F982" s="3" t="n">
        <f aca="false">COUNTIFS($B$2:$B$2705,B982,$C$2:$C$2705,C982)</f>
        <v>2</v>
      </c>
      <c r="G982" s="3" t="n">
        <f aca="false">MIN(INT((MIN(B982,2020)-1900)/10)+1,12)</f>
        <v>7</v>
      </c>
      <c r="H982" s="3" t="n">
        <f aca="false">(MIN(B982,2020)-1900-10*(G982-1))/10</f>
        <v>0.2</v>
      </c>
      <c r="I982" s="20" t="n">
        <f aca="false">EXP(LN(INDEX(Pop_Inputs!$B$2:$N$29,MATCH(C982,Pop_Inputs!$A$2:$A$29,0),G982))*(1-H982)+LN(INDEX(Pop_Inputs!$B$2:$N$29,MATCH(C982,Pop_Inputs!$A$2:$A$29,0),G982+1))*H982)</f>
        <v>3512931.92011285</v>
      </c>
      <c r="J982" s="20" t="n">
        <f aca="false">I982/F982</f>
        <v>1756465.96005643</v>
      </c>
      <c r="K982" s="21" t="n">
        <f aca="false">D982/(D982+E982)</f>
        <v>0.364197530864198</v>
      </c>
      <c r="L982" s="21" t="n">
        <f aca="false">AVERAGEIFS($K$2:$K$2705,$B$2:$B$2705,B982)</f>
        <v>0.499538300534677</v>
      </c>
      <c r="M982" s="21" t="n">
        <f aca="false">K982-L982</f>
        <v>-0.13534076967048</v>
      </c>
      <c r="N982" s="21" t="n">
        <f aca="false">LN(J982)</f>
        <v>14.3788143710846</v>
      </c>
      <c r="O982" s="21" t="n">
        <f aca="false">AVERAGEIFS($N$2:$N$2705,$B$2:$B$2705,B982)</f>
        <v>13.863518981094</v>
      </c>
      <c r="P982" s="21" t="n">
        <f aca="false">N982-O982</f>
        <v>0.515295389990643</v>
      </c>
      <c r="Q982" s="7" t="n">
        <v>0</v>
      </c>
      <c r="R982" s="3" t="n">
        <f aca="false">IF(AND(Q982=1,B982-_xlfn.MINIFS($B$2:$B$2705,$A$2:$A$2705,A982)&lt;10),1,0)</f>
        <v>0</v>
      </c>
      <c r="S982" s="7" t="n">
        <v>0</v>
      </c>
      <c r="T982" s="3" t="n">
        <f aca="false">_xlfn.MINIFS($B$2:$B$2705,$A$2:$A$2705,A982)</f>
        <v>1901</v>
      </c>
      <c r="U982" s="3" t="n">
        <f aca="false">B982-T982</f>
        <v>61</v>
      </c>
      <c r="V982" s="3" t="str">
        <f aca="false">INDEX(Pop_Inputs!$Q$2:$Q$29,MATCH(C982,Pop_Inputs!$A$2:$A$29,0))</f>
        <v>Midwest</v>
      </c>
      <c r="W982" s="30"/>
      <c r="X982" s="3" t="str">
        <f aca="false">IF(W982="","",LN(W982))</f>
        <v/>
      </c>
      <c r="Y982" s="3" t="str">
        <f aca="false">IF(X982="","",X982-AVERAGEIFS($X$2:$X$2705,$B$2:$B$2705,B982))</f>
        <v/>
      </c>
      <c r="Z982" s="21" t="n">
        <f aca="false">P982</f>
        <v>0.515295389990643</v>
      </c>
      <c r="AA982" s="3" t="n">
        <f aca="false">R982</f>
        <v>0</v>
      </c>
      <c r="AB982" s="21" t="n">
        <f aca="false">P982</f>
        <v>0.515295389990643</v>
      </c>
      <c r="AC982" s="3" t="str">
        <f aca="false">Y982</f>
        <v/>
      </c>
      <c r="AD982" s="3" t="n">
        <f aca="false">R982</f>
        <v>0</v>
      </c>
    </row>
    <row r="983" customFormat="false" ht="15" hidden="false" customHeight="true" outlineLevel="0" collapsed="false">
      <c r="A983" s="7" t="s">
        <v>65</v>
      </c>
      <c r="B983" s="7" t="n">
        <v>1962</v>
      </c>
      <c r="C983" s="7" t="s">
        <v>142</v>
      </c>
      <c r="D983" s="7" t="n">
        <v>85</v>
      </c>
      <c r="E983" s="7" t="n">
        <v>77</v>
      </c>
      <c r="F983" s="3" t="n">
        <f aca="false">COUNTIFS($B$2:$B$2705,B983,$C$2:$C$2705,C983)</f>
        <v>2</v>
      </c>
      <c r="G983" s="3" t="n">
        <f aca="false">MIN(INT((MIN(B983,2020)-1900)/10)+1,12)</f>
        <v>7</v>
      </c>
      <c r="H983" s="3" t="n">
        <f aca="false">(MIN(B983,2020)-1900-10*(G983-1))/10</f>
        <v>0.2</v>
      </c>
      <c r="I983" s="20" t="n">
        <f aca="false">EXP(LN(INDEX(Pop_Inputs!$B$2:$N$29,MATCH(C983,Pop_Inputs!$A$2:$A$29,0),G983))*(1-H983)+LN(INDEX(Pop_Inputs!$B$2:$N$29,MATCH(C983,Pop_Inputs!$A$2:$A$29,0),G983+1))*H983)</f>
        <v>3512931.92011285</v>
      </c>
      <c r="J983" s="20" t="n">
        <f aca="false">I983/F983</f>
        <v>1756465.96005643</v>
      </c>
      <c r="K983" s="21" t="n">
        <f aca="false">D983/(D983+E983)</f>
        <v>0.524691358024691</v>
      </c>
      <c r="L983" s="21" t="n">
        <f aca="false">AVERAGEIFS($K$2:$K$2705,$B$2:$B$2705,B983)</f>
        <v>0.499538300534677</v>
      </c>
      <c r="M983" s="21" t="n">
        <f aca="false">K983-L983</f>
        <v>0.0251530574900141</v>
      </c>
      <c r="N983" s="21" t="n">
        <f aca="false">LN(J983)</f>
        <v>14.3788143710846</v>
      </c>
      <c r="O983" s="21" t="n">
        <f aca="false">AVERAGEIFS($N$2:$N$2705,$B$2:$B$2705,B983)</f>
        <v>13.863518981094</v>
      </c>
      <c r="P983" s="21" t="n">
        <f aca="false">N983-O983</f>
        <v>0.515295389990643</v>
      </c>
      <c r="Q983" s="7" t="n">
        <v>0</v>
      </c>
      <c r="R983" s="3" t="n">
        <f aca="false">IF(AND(Q983=1,B983-_xlfn.MINIFS($B$2:$B$2705,$A$2:$A$2705,A983)&lt;10),1,0)</f>
        <v>0</v>
      </c>
      <c r="S983" s="7" t="n">
        <v>0</v>
      </c>
      <c r="T983" s="3" t="n">
        <f aca="false">_xlfn.MINIFS($B$2:$B$2705,$A$2:$A$2705,A983)</f>
        <v>1901</v>
      </c>
      <c r="U983" s="3" t="n">
        <f aca="false">B983-T983</f>
        <v>61</v>
      </c>
      <c r="V983" s="3" t="str">
        <f aca="false">INDEX(Pop_Inputs!$Q$2:$Q$29,MATCH(C983,Pop_Inputs!$A$2:$A$29,0))</f>
        <v>Midwest</v>
      </c>
      <c r="W983" s="30"/>
      <c r="X983" s="3" t="str">
        <f aca="false">IF(W983="","",LN(W983))</f>
        <v/>
      </c>
      <c r="Y983" s="3" t="str">
        <f aca="false">IF(X983="","",X983-AVERAGEIFS($X$2:$X$2705,$B$2:$B$2705,B983))</f>
        <v/>
      </c>
      <c r="Z983" s="21" t="n">
        <f aca="false">P983</f>
        <v>0.515295389990643</v>
      </c>
      <c r="AA983" s="3" t="n">
        <f aca="false">R983</f>
        <v>0</v>
      </c>
      <c r="AB983" s="21" t="n">
        <f aca="false">P983</f>
        <v>0.515295389990643</v>
      </c>
      <c r="AC983" s="3" t="str">
        <f aca="false">Y983</f>
        <v/>
      </c>
      <c r="AD983" s="3" t="n">
        <f aca="false">R983</f>
        <v>0</v>
      </c>
    </row>
    <row r="984" customFormat="false" ht="15" hidden="false" customHeight="true" outlineLevel="0" collapsed="false">
      <c r="A984" s="7" t="s">
        <v>57</v>
      </c>
      <c r="B984" s="7" t="n">
        <v>1962</v>
      </c>
      <c r="C984" s="7" t="s">
        <v>143</v>
      </c>
      <c r="D984" s="7" t="n">
        <v>98</v>
      </c>
      <c r="E984" s="7" t="n">
        <v>64</v>
      </c>
      <c r="F984" s="3" t="n">
        <f aca="false">COUNTIFS($B$2:$B$2705,B984,$C$2:$C$2705,C984)</f>
        <v>1</v>
      </c>
      <c r="G984" s="3" t="n">
        <f aca="false">MIN(INT((MIN(B984,2020)-1900)/10)+1,12)</f>
        <v>7</v>
      </c>
      <c r="H984" s="3" t="n">
        <f aca="false">(MIN(B984,2020)-1900-10*(G984-1))/10</f>
        <v>0.2</v>
      </c>
      <c r="I984" s="20" t="n">
        <f aca="false">EXP(LN(INDEX(Pop_Inputs!$B$2:$N$29,MATCH(C984,Pop_Inputs!$A$2:$A$29,0),G984))*(1-H984)+LN(INDEX(Pop_Inputs!$B$2:$N$29,MATCH(C984,Pop_Inputs!$A$2:$A$29,0),G984+1))*H984)</f>
        <v>492121.044688777</v>
      </c>
      <c r="J984" s="20" t="n">
        <f aca="false">I984/F984</f>
        <v>492121.044688777</v>
      </c>
      <c r="K984" s="21" t="n">
        <f aca="false">D984/(D984+E984)</f>
        <v>0.604938271604938</v>
      </c>
      <c r="L984" s="21" t="n">
        <f aca="false">AVERAGEIFS($K$2:$K$2705,$B$2:$B$2705,B984)</f>
        <v>0.499538300534677</v>
      </c>
      <c r="M984" s="21" t="n">
        <f aca="false">K984-L984</f>
        <v>0.105399971070261</v>
      </c>
      <c r="N984" s="21" t="n">
        <f aca="false">LN(J984)</f>
        <v>13.1064799910053</v>
      </c>
      <c r="O984" s="21" t="n">
        <f aca="false">AVERAGEIFS($N$2:$N$2705,$B$2:$B$2705,B984)</f>
        <v>13.863518981094</v>
      </c>
      <c r="P984" s="21" t="n">
        <f aca="false">N984-O984</f>
        <v>-0.757038990088692</v>
      </c>
      <c r="Q984" s="7" t="n">
        <v>0</v>
      </c>
      <c r="R984" s="3" t="n">
        <f aca="false">IF(AND(Q984=1,B984-_xlfn.MINIFS($B$2:$B$2705,$A$2:$A$2705,A984)&lt;10),1,0)</f>
        <v>0</v>
      </c>
      <c r="S984" s="7" t="n">
        <v>0</v>
      </c>
      <c r="T984" s="3" t="n">
        <f aca="false">_xlfn.MINIFS($B$2:$B$2705,$A$2:$A$2705,A984)</f>
        <v>1901</v>
      </c>
      <c r="U984" s="3" t="n">
        <f aca="false">B984-T984</f>
        <v>61</v>
      </c>
      <c r="V984" s="3" t="str">
        <f aca="false">INDEX(Pop_Inputs!$Q$2:$Q$29,MATCH(C984,Pop_Inputs!$A$2:$A$29,0))</f>
        <v>Midwest</v>
      </c>
      <c r="W984" s="30"/>
      <c r="X984" s="3" t="str">
        <f aca="false">IF(W984="","",LN(W984))</f>
        <v/>
      </c>
      <c r="Y984" s="3" t="str">
        <f aca="false">IF(X984="","",X984-AVERAGEIFS($X$2:$X$2705,$B$2:$B$2705,B984))</f>
        <v/>
      </c>
      <c r="Z984" s="21" t="n">
        <f aca="false">P984</f>
        <v>-0.757038990088692</v>
      </c>
      <c r="AA984" s="3" t="n">
        <f aca="false">R984</f>
        <v>0</v>
      </c>
      <c r="AB984" s="21" t="n">
        <f aca="false">P984</f>
        <v>-0.757038990088692</v>
      </c>
      <c r="AC984" s="3" t="str">
        <f aca="false">Y984</f>
        <v/>
      </c>
      <c r="AD984" s="3" t="n">
        <f aca="false">R984</f>
        <v>0</v>
      </c>
    </row>
    <row r="985" customFormat="false" ht="15" hidden="false" customHeight="true" outlineLevel="0" collapsed="false">
      <c r="A985" s="7" t="s">
        <v>66</v>
      </c>
      <c r="B985" s="7" t="n">
        <v>1962</v>
      </c>
      <c r="C985" s="7" t="s">
        <v>151</v>
      </c>
      <c r="D985" s="7" t="n">
        <v>80</v>
      </c>
      <c r="E985" s="7" t="n">
        <v>82</v>
      </c>
      <c r="F985" s="3" t="n">
        <f aca="false">COUNTIFS($B$2:$B$2705,B985,$C$2:$C$2705,C985)</f>
        <v>1</v>
      </c>
      <c r="G985" s="3" t="n">
        <f aca="false">MIN(INT((MIN(B985,2020)-1900)/10)+1,12)</f>
        <v>7</v>
      </c>
      <c r="H985" s="3" t="n">
        <f aca="false">(MIN(B985,2020)-1900-10*(G985-1))/10</f>
        <v>0.2</v>
      </c>
      <c r="I985" s="20" t="n">
        <f aca="false">EXP(LN(INDEX(Pop_Inputs!$B$2:$N$29,MATCH(C985,Pop_Inputs!$A$2:$A$29,0),G985))*(1-H985)+LN(INDEX(Pop_Inputs!$B$2:$N$29,MATCH(C985,Pop_Inputs!$A$2:$A$29,0),G985+1))*H985)</f>
        <v>849454.033860135</v>
      </c>
      <c r="J985" s="20" t="n">
        <f aca="false">I985/F985</f>
        <v>849454.033860135</v>
      </c>
      <c r="K985" s="21" t="n">
        <f aca="false">D985/(D985+E985)</f>
        <v>0.493827160493827</v>
      </c>
      <c r="L985" s="21" t="n">
        <f aca="false">AVERAGEIFS($K$2:$K$2705,$B$2:$B$2705,B985)</f>
        <v>0.499538300534677</v>
      </c>
      <c r="M985" s="21" t="n">
        <f aca="false">K985-L985</f>
        <v>-0.00571114004085016</v>
      </c>
      <c r="N985" s="21" t="n">
        <f aca="false">LN(J985)</f>
        <v>13.6523491089893</v>
      </c>
      <c r="O985" s="21" t="n">
        <f aca="false">AVERAGEIFS($N$2:$N$2705,$B$2:$B$2705,B985)</f>
        <v>13.863518981094</v>
      </c>
      <c r="P985" s="21" t="n">
        <f aca="false">N985-O985</f>
        <v>-0.211169872104614</v>
      </c>
      <c r="Q985" s="7" t="n">
        <v>0</v>
      </c>
      <c r="R985" s="3" t="n">
        <f aca="false">IF(AND(Q985=1,B985-_xlfn.MINIFS($B$2:$B$2705,$A$2:$A$2705,A985)&lt;10),1,0)</f>
        <v>0</v>
      </c>
      <c r="S985" s="7" t="n">
        <v>0</v>
      </c>
      <c r="T985" s="3" t="n">
        <f aca="false">_xlfn.MINIFS($B$2:$B$2705,$A$2:$A$2705,A985)</f>
        <v>1901</v>
      </c>
      <c r="U985" s="3" t="n">
        <f aca="false">B985-T985</f>
        <v>61</v>
      </c>
      <c r="V985" s="3" t="str">
        <f aca="false">INDEX(Pop_Inputs!$Q$2:$Q$29,MATCH(C985,Pop_Inputs!$A$2:$A$29,0))</f>
        <v>Midwest</v>
      </c>
      <c r="W985" s="30"/>
      <c r="X985" s="3" t="str">
        <f aca="false">IF(W985="","",LN(W985))</f>
        <v/>
      </c>
      <c r="Y985" s="3" t="str">
        <f aca="false">IF(X985="","",X985-AVERAGEIFS($X$2:$X$2705,$B$2:$B$2705,B985))</f>
        <v/>
      </c>
      <c r="Z985" s="21" t="n">
        <f aca="false">P985</f>
        <v>-0.211169872104614</v>
      </c>
      <c r="AA985" s="3" t="n">
        <f aca="false">R985</f>
        <v>0</v>
      </c>
      <c r="AB985" s="21" t="n">
        <f aca="false">P985</f>
        <v>-0.211169872104614</v>
      </c>
      <c r="AC985" s="3" t="str">
        <f aca="false">Y985</f>
        <v/>
      </c>
      <c r="AD985" s="3" t="n">
        <f aca="false">R985</f>
        <v>0</v>
      </c>
    </row>
    <row r="986" customFormat="false" ht="15" hidden="false" customHeight="true" outlineLevel="0" collapsed="false">
      <c r="A986" s="7" t="s">
        <v>67</v>
      </c>
      <c r="B986" s="7" t="n">
        <v>1962</v>
      </c>
      <c r="C986" s="7" t="s">
        <v>152</v>
      </c>
      <c r="D986" s="7" t="n">
        <v>85</v>
      </c>
      <c r="E986" s="7" t="n">
        <v>76</v>
      </c>
      <c r="F986" s="3" t="n">
        <f aca="false">COUNTIFS($B$2:$B$2705,B986,$C$2:$C$2705,C986)</f>
        <v>1</v>
      </c>
      <c r="G986" s="3" t="n">
        <f aca="false">MIN(INT((MIN(B986,2020)-1900)/10)+1,12)</f>
        <v>7</v>
      </c>
      <c r="H986" s="3" t="n">
        <f aca="false">(MIN(B986,2020)-1900-10*(G986-1))/10</f>
        <v>0.2</v>
      </c>
      <c r="I986" s="20" t="n">
        <f aca="false">EXP(LN(INDEX(Pop_Inputs!$B$2:$N$29,MATCH(C986,Pop_Inputs!$A$2:$A$29,0),G986))*(1-H986)+LN(INDEX(Pop_Inputs!$B$2:$N$29,MATCH(C986,Pop_Inputs!$A$2:$A$29,0),G986+1))*H986)</f>
        <v>1637132.12286941</v>
      </c>
      <c r="J986" s="20" t="n">
        <f aca="false">I986/F986</f>
        <v>1637132.12286941</v>
      </c>
      <c r="K986" s="21" t="n">
        <f aca="false">D986/(D986+E986)</f>
        <v>0.527950310559006</v>
      </c>
      <c r="L986" s="21" t="n">
        <f aca="false">AVERAGEIFS($K$2:$K$2705,$B$2:$B$2705,B986)</f>
        <v>0.499538300534677</v>
      </c>
      <c r="M986" s="21" t="n">
        <f aca="false">K986-L986</f>
        <v>0.0284120100243289</v>
      </c>
      <c r="N986" s="21" t="n">
        <f aca="false">LN(J986)</f>
        <v>14.3084565634625</v>
      </c>
      <c r="O986" s="21" t="n">
        <f aca="false">AVERAGEIFS($N$2:$N$2705,$B$2:$B$2705,B986)</f>
        <v>13.863518981094</v>
      </c>
      <c r="P986" s="21" t="n">
        <f aca="false">N986-O986</f>
        <v>0.444937582368578</v>
      </c>
      <c r="Q986" s="7" t="n">
        <v>0</v>
      </c>
      <c r="R986" s="3" t="n">
        <f aca="false">IF(AND(Q986=1,B986-_xlfn.MINIFS($B$2:$B$2705,$A$2:$A$2705,A986)&lt;10),1,0)</f>
        <v>0</v>
      </c>
      <c r="S986" s="7" t="n">
        <v>0</v>
      </c>
      <c r="T986" s="3" t="n">
        <f aca="false">_xlfn.MINIFS($B$2:$B$2705,$A$2:$A$2705,A986)</f>
        <v>1901</v>
      </c>
      <c r="U986" s="3" t="n">
        <f aca="false">B986-T986</f>
        <v>61</v>
      </c>
      <c r="V986" s="3" t="str">
        <f aca="false">INDEX(Pop_Inputs!$Q$2:$Q$29,MATCH(C986,Pop_Inputs!$A$2:$A$29,0))</f>
        <v>Midwest</v>
      </c>
      <c r="W986" s="30"/>
      <c r="X986" s="3" t="str">
        <f aca="false">IF(W986="","",LN(W986))</f>
        <v/>
      </c>
      <c r="Y986" s="3" t="str">
        <f aca="false">IF(X986="","",X986-AVERAGEIFS($X$2:$X$2705,$B$2:$B$2705,B986))</f>
        <v/>
      </c>
      <c r="Z986" s="21" t="n">
        <f aca="false">P986</f>
        <v>0.444937582368578</v>
      </c>
      <c r="AA986" s="3" t="n">
        <f aca="false">R986</f>
        <v>0</v>
      </c>
      <c r="AB986" s="21" t="n">
        <f aca="false">P986</f>
        <v>0.444937582368578</v>
      </c>
      <c r="AC986" s="3" t="str">
        <f aca="false">Y986</f>
        <v/>
      </c>
      <c r="AD986" s="3" t="n">
        <f aca="false">R986</f>
        <v>0</v>
      </c>
    </row>
    <row r="987" customFormat="false" ht="15" hidden="false" customHeight="true" outlineLevel="0" collapsed="false">
      <c r="A987" s="7" t="s">
        <v>74</v>
      </c>
      <c r="B987" s="7" t="n">
        <v>1962</v>
      </c>
      <c r="C987" s="7" t="s">
        <v>156</v>
      </c>
      <c r="D987" s="7" t="n">
        <v>64</v>
      </c>
      <c r="E987" s="7" t="n">
        <v>96</v>
      </c>
      <c r="F987" s="3" t="n">
        <f aca="false">COUNTIFS($B$2:$B$2705,B987,$C$2:$C$2705,C987)</f>
        <v>1</v>
      </c>
      <c r="G987" s="3" t="n">
        <f aca="false">MIN(INT((MIN(B987,2020)-1900)/10)+1,12)</f>
        <v>7</v>
      </c>
      <c r="H987" s="3" t="n">
        <f aca="false">(MIN(B987,2020)-1900-10*(G987-1))/10</f>
        <v>0.2</v>
      </c>
      <c r="I987" s="20" t="n">
        <f aca="false">EXP(LN(INDEX(Pop_Inputs!$B$2:$N$29,MATCH(C987,Pop_Inputs!$A$2:$A$29,0),G987))*(1-H987)+LN(INDEX(Pop_Inputs!$B$2:$N$29,MATCH(C987,Pop_Inputs!$A$2:$A$29,0),G987+1))*H987)</f>
        <v>990882.241237988</v>
      </c>
      <c r="J987" s="20" t="n">
        <f aca="false">I987/F987</f>
        <v>990882.241237988</v>
      </c>
      <c r="K987" s="21" t="n">
        <f aca="false">D987/(D987+E987)</f>
        <v>0.4</v>
      </c>
      <c r="L987" s="21" t="n">
        <f aca="false">AVERAGEIFS($K$2:$K$2705,$B$2:$B$2705,B987)</f>
        <v>0.499538300534677</v>
      </c>
      <c r="M987" s="21" t="n">
        <f aca="false">K987-L987</f>
        <v>-0.0995383005346773</v>
      </c>
      <c r="N987" s="21" t="n">
        <f aca="false">LN(J987)</f>
        <v>13.8063509780355</v>
      </c>
      <c r="O987" s="21" t="n">
        <f aca="false">AVERAGEIFS($N$2:$N$2705,$B$2:$B$2705,B987)</f>
        <v>13.863518981094</v>
      </c>
      <c r="P987" s="21" t="n">
        <f aca="false">N987-O987</f>
        <v>-0.0571680030584147</v>
      </c>
      <c r="Q987" s="7" t="n">
        <v>1</v>
      </c>
      <c r="R987" s="3" t="n">
        <f aca="false">IF(AND(Q987=1,B987-_xlfn.MINIFS($B$2:$B$2705,$A$2:$A$2705,A987)&lt;10),1,0)</f>
        <v>1</v>
      </c>
      <c r="S987" s="7" t="n">
        <v>0</v>
      </c>
      <c r="T987" s="3" t="n">
        <f aca="false">_xlfn.MINIFS($B$2:$B$2705,$A$2:$A$2705,A987)</f>
        <v>1962</v>
      </c>
      <c r="U987" s="3" t="n">
        <f aca="false">B987-T987</f>
        <v>0</v>
      </c>
      <c r="V987" s="3" t="str">
        <f aca="false">INDEX(Pop_Inputs!$Q$2:$Q$29,MATCH(C987,Pop_Inputs!$A$2:$A$29,0))</f>
        <v>South</v>
      </c>
      <c r="W987" s="30"/>
      <c r="X987" s="3" t="str">
        <f aca="false">IF(W987="","",LN(W987))</f>
        <v/>
      </c>
      <c r="Y987" s="3" t="str">
        <f aca="false">IF(X987="","",X987-AVERAGEIFS($X$2:$X$2705,$B$2:$B$2705,B987))</f>
        <v/>
      </c>
      <c r="Z987" s="21" t="n">
        <f aca="false">P987</f>
        <v>-0.0571680030584147</v>
      </c>
      <c r="AA987" s="3" t="n">
        <f aca="false">R987</f>
        <v>1</v>
      </c>
      <c r="AB987" s="21" t="n">
        <f aca="false">P987</f>
        <v>-0.0571680030584147</v>
      </c>
      <c r="AC987" s="3" t="str">
        <f aca="false">Y987</f>
        <v/>
      </c>
      <c r="AD987" s="3" t="n">
        <f aca="false">R987</f>
        <v>1</v>
      </c>
    </row>
    <row r="988" customFormat="false" ht="15" hidden="false" customHeight="true" outlineLevel="0" collapsed="false">
      <c r="A988" s="7" t="s">
        <v>62</v>
      </c>
      <c r="B988" s="7" t="n">
        <v>1962</v>
      </c>
      <c r="C988" s="7" t="s">
        <v>148</v>
      </c>
      <c r="D988" s="7" t="n">
        <v>102</v>
      </c>
      <c r="E988" s="7" t="n">
        <v>63</v>
      </c>
      <c r="F988" s="3" t="n">
        <f aca="false">COUNTIFS($B$2:$B$2705,B988,$C$2:$C$2705,C988)</f>
        <v>2</v>
      </c>
      <c r="G988" s="3" t="n">
        <f aca="false">MIN(INT((MIN(B988,2020)-1900)/10)+1,12)</f>
        <v>7</v>
      </c>
      <c r="H988" s="3" t="n">
        <f aca="false">(MIN(B988,2020)-1900-10*(G988-1))/10</f>
        <v>0.2</v>
      </c>
      <c r="I988" s="20" t="n">
        <f aca="false">EXP(LN(INDEX(Pop_Inputs!$B$2:$N$29,MATCH(C988,Pop_Inputs!$A$2:$A$29,0),G988))*(1-H988)+LN(INDEX(Pop_Inputs!$B$2:$N$29,MATCH(C988,Pop_Inputs!$A$2:$A$29,0),G988+1))*H988)</f>
        <v>2543031.47401057</v>
      </c>
      <c r="J988" s="20" t="n">
        <f aca="false">I988/F988</f>
        <v>1271515.73700528</v>
      </c>
      <c r="K988" s="21" t="n">
        <f aca="false">D988/(D988+E988)</f>
        <v>0.618181818181818</v>
      </c>
      <c r="L988" s="21" t="n">
        <f aca="false">AVERAGEIFS($K$2:$K$2705,$B$2:$B$2705,B988)</f>
        <v>0.499538300534677</v>
      </c>
      <c r="M988" s="21" t="n">
        <f aca="false">K988-L988</f>
        <v>0.118643517647141</v>
      </c>
      <c r="N988" s="21" t="n">
        <f aca="false">LN(J988)</f>
        <v>14.0557202404923</v>
      </c>
      <c r="O988" s="21" t="n">
        <f aca="false">AVERAGEIFS($N$2:$N$2705,$B$2:$B$2705,B988)</f>
        <v>13.863518981094</v>
      </c>
      <c r="P988" s="21" t="n">
        <f aca="false">N988-O988</f>
        <v>0.192201259398333</v>
      </c>
      <c r="Q988" s="7" t="n">
        <v>0</v>
      </c>
      <c r="R988" s="3" t="n">
        <f aca="false">IF(AND(Q988=1,B988-_xlfn.MINIFS($B$2:$B$2705,$A$2:$A$2705,A988)&lt;10),1,0)</f>
        <v>0</v>
      </c>
      <c r="S988" s="7" t="n">
        <v>0</v>
      </c>
      <c r="T988" s="3" t="n">
        <f aca="false">_xlfn.MINIFS($B$2:$B$2705,$A$2:$A$2705,A988)</f>
        <v>1901</v>
      </c>
      <c r="U988" s="3" t="n">
        <f aca="false">B988-T988</f>
        <v>61</v>
      </c>
      <c r="V988" s="3" t="str">
        <f aca="false">INDEX(Pop_Inputs!$Q$2:$Q$29,MATCH(C988,Pop_Inputs!$A$2:$A$29,0))</f>
        <v>West</v>
      </c>
      <c r="W988" s="30"/>
      <c r="X988" s="3" t="str">
        <f aca="false">IF(W988="","",LN(W988))</f>
        <v/>
      </c>
      <c r="Y988" s="3" t="str">
        <f aca="false">IF(X988="","",X988-AVERAGEIFS($X$2:$X$2705,$B$2:$B$2705,B988))</f>
        <v/>
      </c>
      <c r="Z988" s="21" t="n">
        <f aca="false">P988</f>
        <v>0.192201259398333</v>
      </c>
      <c r="AA988" s="3" t="n">
        <f aca="false">R988</f>
        <v>0</v>
      </c>
      <c r="AB988" s="21" t="n">
        <f aca="false">P988</f>
        <v>0.192201259398333</v>
      </c>
      <c r="AC988" s="3" t="str">
        <f aca="false">Y988</f>
        <v/>
      </c>
      <c r="AD988" s="3" t="n">
        <f aca="false">R988</f>
        <v>0</v>
      </c>
    </row>
    <row r="989" customFormat="false" ht="15" hidden="false" customHeight="true" outlineLevel="0" collapsed="false">
      <c r="A989" s="7" t="s">
        <v>68</v>
      </c>
      <c r="B989" s="7" t="n">
        <v>1962</v>
      </c>
      <c r="C989" s="7" t="s">
        <v>153</v>
      </c>
      <c r="D989" s="7" t="n">
        <v>91</v>
      </c>
      <c r="E989" s="7" t="n">
        <v>71</v>
      </c>
      <c r="F989" s="3" t="n">
        <f aca="false">COUNTIFS($B$2:$B$2705,B989,$C$2:$C$2705,C989)</f>
        <v>1</v>
      </c>
      <c r="G989" s="3" t="n">
        <f aca="false">MIN(INT((MIN(B989,2020)-1900)/10)+1,12)</f>
        <v>7</v>
      </c>
      <c r="H989" s="3" t="n">
        <f aca="false">(MIN(B989,2020)-1900-10*(G989-1))/10</f>
        <v>0.2</v>
      </c>
      <c r="I989" s="20" t="n">
        <f aca="false">EXP(LN(INDEX(Pop_Inputs!$B$2:$N$29,MATCH(C989,Pop_Inputs!$A$2:$A$29,0),G989))*(1-H989)+LN(INDEX(Pop_Inputs!$B$2:$N$29,MATCH(C989,Pop_Inputs!$A$2:$A$29,0),G989+1))*H989)</f>
        <v>472763.110829294</v>
      </c>
      <c r="J989" s="20" t="n">
        <f aca="false">I989/F989</f>
        <v>472763.110829294</v>
      </c>
      <c r="K989" s="21" t="n">
        <f aca="false">D989/(D989+E989)</f>
        <v>0.561728395061728</v>
      </c>
      <c r="L989" s="21" t="n">
        <f aca="false">AVERAGEIFS($K$2:$K$2705,$B$2:$B$2705,B989)</f>
        <v>0.499538300534677</v>
      </c>
      <c r="M989" s="21" t="n">
        <f aca="false">K989-L989</f>
        <v>0.0621900945270512</v>
      </c>
      <c r="N989" s="21" t="n">
        <f aca="false">LN(J989)</f>
        <v>13.0663497192494</v>
      </c>
      <c r="O989" s="21" t="n">
        <f aca="false">AVERAGEIFS($N$2:$N$2705,$B$2:$B$2705,B989)</f>
        <v>13.863518981094</v>
      </c>
      <c r="P989" s="21" t="n">
        <f aca="false">N989-O989</f>
        <v>-0.797169261844543</v>
      </c>
      <c r="Q989" s="7" t="n">
        <v>0</v>
      </c>
      <c r="R989" s="3" t="n">
        <f aca="false">IF(AND(Q989=1,B989-_xlfn.MINIFS($B$2:$B$2705,$A$2:$A$2705,A989)&lt;10),1,0)</f>
        <v>0</v>
      </c>
      <c r="S989" s="7" t="n">
        <v>0</v>
      </c>
      <c r="T989" s="3" t="n">
        <f aca="false">_xlfn.MINIFS($B$2:$B$2705,$A$2:$A$2705,A989)</f>
        <v>1901</v>
      </c>
      <c r="U989" s="3" t="n">
        <f aca="false">B989-T989</f>
        <v>61</v>
      </c>
      <c r="V989" s="3" t="str">
        <f aca="false">INDEX(Pop_Inputs!$Q$2:$Q$29,MATCH(C989,Pop_Inputs!$A$2:$A$29,0))</f>
        <v>Midwest</v>
      </c>
      <c r="W989" s="30"/>
      <c r="X989" s="3" t="str">
        <f aca="false">IF(W989="","",LN(W989))</f>
        <v/>
      </c>
      <c r="Y989" s="3" t="str">
        <f aca="false">IF(X989="","",X989-AVERAGEIFS($X$2:$X$2705,$B$2:$B$2705,B989))</f>
        <v/>
      </c>
      <c r="Z989" s="21" t="n">
        <f aca="false">P989</f>
        <v>-0.797169261844543</v>
      </c>
      <c r="AA989" s="3" t="n">
        <f aca="false">R989</f>
        <v>0</v>
      </c>
      <c r="AB989" s="21" t="n">
        <f aca="false">P989</f>
        <v>-0.797169261844543</v>
      </c>
      <c r="AC989" s="3" t="str">
        <f aca="false">Y989</f>
        <v/>
      </c>
      <c r="AD989" s="3" t="n">
        <f aca="false">R989</f>
        <v>0</v>
      </c>
    </row>
    <row r="990" customFormat="false" ht="15" hidden="false" customHeight="true" outlineLevel="0" collapsed="false">
      <c r="A990" s="7" t="s">
        <v>75</v>
      </c>
      <c r="B990" s="7" t="n">
        <v>1962</v>
      </c>
      <c r="C990" s="7" t="s">
        <v>154</v>
      </c>
      <c r="D990" s="7" t="n">
        <v>40</v>
      </c>
      <c r="E990" s="7" t="n">
        <v>120</v>
      </c>
      <c r="F990" s="3" t="n">
        <f aca="false">COUNTIFS($B$2:$B$2705,B990,$C$2:$C$2705,C990)</f>
        <v>2</v>
      </c>
      <c r="G990" s="3" t="n">
        <f aca="false">MIN(INT((MIN(B990,2020)-1900)/10)+1,12)</f>
        <v>7</v>
      </c>
      <c r="H990" s="3" t="n">
        <f aca="false">(MIN(B990,2020)-1900-10*(G990-1))/10</f>
        <v>0.2</v>
      </c>
      <c r="I990" s="20" t="n">
        <f aca="false">EXP(LN(INDEX(Pop_Inputs!$B$2:$N$29,MATCH(C990,Pop_Inputs!$A$2:$A$29,0),G990))*(1-H990)+LN(INDEX(Pop_Inputs!$B$2:$N$29,MATCH(C990,Pop_Inputs!$A$2:$A$29,0),G990+1))*H990)</f>
        <v>7804429.74450367</v>
      </c>
      <c r="J990" s="20" t="n">
        <f aca="false">I990/F990</f>
        <v>3902214.87225183</v>
      </c>
      <c r="K990" s="21" t="n">
        <f aca="false">D990/(D990+E990)</f>
        <v>0.25</v>
      </c>
      <c r="L990" s="21" t="n">
        <f aca="false">AVERAGEIFS($K$2:$K$2705,$B$2:$B$2705,B990)</f>
        <v>0.499538300534677</v>
      </c>
      <c r="M990" s="21" t="n">
        <f aca="false">K990-L990</f>
        <v>-0.249538300534677</v>
      </c>
      <c r="N990" s="21" t="n">
        <f aca="false">LN(J990)</f>
        <v>15.1770548658586</v>
      </c>
      <c r="O990" s="21" t="n">
        <f aca="false">AVERAGEIFS($N$2:$N$2705,$B$2:$B$2705,B990)</f>
        <v>13.863518981094</v>
      </c>
      <c r="P990" s="21" t="n">
        <f aca="false">N990-O990</f>
        <v>1.31353588476469</v>
      </c>
      <c r="Q990" s="7" t="n">
        <v>1</v>
      </c>
      <c r="R990" s="3" t="n">
        <f aca="false">IF(AND(Q990=1,B990-_xlfn.MINIFS($B$2:$B$2705,$A$2:$A$2705,A990)&lt;10),1,0)</f>
        <v>1</v>
      </c>
      <c r="S990" s="7" t="n">
        <v>0</v>
      </c>
      <c r="T990" s="3" t="n">
        <f aca="false">_xlfn.MINIFS($B$2:$B$2705,$A$2:$A$2705,A990)</f>
        <v>1962</v>
      </c>
      <c r="U990" s="3" t="n">
        <f aca="false">B990-T990</f>
        <v>0</v>
      </c>
      <c r="V990" s="3" t="str">
        <f aca="false">INDEX(Pop_Inputs!$Q$2:$Q$29,MATCH(C990,Pop_Inputs!$A$2:$A$29,0))</f>
        <v>Northeast</v>
      </c>
      <c r="W990" s="30"/>
      <c r="X990" s="3" t="str">
        <f aca="false">IF(W990="","",LN(W990))</f>
        <v/>
      </c>
      <c r="Y990" s="3" t="str">
        <f aca="false">IF(X990="","",X990-AVERAGEIFS($X$2:$X$2705,$B$2:$B$2705,B990))</f>
        <v/>
      </c>
      <c r="Z990" s="21" t="n">
        <f aca="false">P990</f>
        <v>1.31353588476469</v>
      </c>
      <c r="AA990" s="3" t="n">
        <f aca="false">R990</f>
        <v>1</v>
      </c>
      <c r="AB990" s="21" t="n">
        <f aca="false">P990</f>
        <v>1.31353588476469</v>
      </c>
      <c r="AC990" s="3" t="str">
        <f aca="false">Y990</f>
        <v/>
      </c>
      <c r="AD990" s="3" t="n">
        <f aca="false">R990</f>
        <v>1</v>
      </c>
    </row>
    <row r="991" customFormat="false" ht="15" hidden="false" customHeight="true" outlineLevel="0" collapsed="false">
      <c r="A991" s="7" t="s">
        <v>70</v>
      </c>
      <c r="B991" s="7" t="n">
        <v>1962</v>
      </c>
      <c r="C991" s="7" t="s">
        <v>154</v>
      </c>
      <c r="D991" s="7" t="n">
        <v>96</v>
      </c>
      <c r="E991" s="7" t="n">
        <v>66</v>
      </c>
      <c r="F991" s="3" t="n">
        <f aca="false">COUNTIFS($B$2:$B$2705,B991,$C$2:$C$2705,C991)</f>
        <v>2</v>
      </c>
      <c r="G991" s="3" t="n">
        <f aca="false">MIN(INT((MIN(B991,2020)-1900)/10)+1,12)</f>
        <v>7</v>
      </c>
      <c r="H991" s="3" t="n">
        <f aca="false">(MIN(B991,2020)-1900-10*(G991-1))/10</f>
        <v>0.2</v>
      </c>
      <c r="I991" s="20" t="n">
        <f aca="false">EXP(LN(INDEX(Pop_Inputs!$B$2:$N$29,MATCH(C991,Pop_Inputs!$A$2:$A$29,0),G991))*(1-H991)+LN(INDEX(Pop_Inputs!$B$2:$N$29,MATCH(C991,Pop_Inputs!$A$2:$A$29,0),G991+1))*H991)</f>
        <v>7804429.74450367</v>
      </c>
      <c r="J991" s="20" t="n">
        <f aca="false">I991/F991</f>
        <v>3902214.87225183</v>
      </c>
      <c r="K991" s="21" t="n">
        <f aca="false">D991/(D991+E991)</f>
        <v>0.592592592592593</v>
      </c>
      <c r="L991" s="21" t="n">
        <f aca="false">AVERAGEIFS($K$2:$K$2705,$B$2:$B$2705,B991)</f>
        <v>0.499538300534677</v>
      </c>
      <c r="M991" s="21" t="n">
        <f aca="false">K991-L991</f>
        <v>0.0930542920579153</v>
      </c>
      <c r="N991" s="21" t="n">
        <f aca="false">LN(J991)</f>
        <v>15.1770548658586</v>
      </c>
      <c r="O991" s="21" t="n">
        <f aca="false">AVERAGEIFS($N$2:$N$2705,$B$2:$B$2705,B991)</f>
        <v>13.863518981094</v>
      </c>
      <c r="P991" s="21" t="n">
        <f aca="false">N991-O991</f>
        <v>1.31353588476469</v>
      </c>
      <c r="Q991" s="7" t="n">
        <v>0</v>
      </c>
      <c r="R991" s="3" t="n">
        <f aca="false">IF(AND(Q991=1,B991-_xlfn.MINIFS($B$2:$B$2705,$A$2:$A$2705,A991)&lt;10),1,0)</f>
        <v>0</v>
      </c>
      <c r="S991" s="7" t="n">
        <v>1</v>
      </c>
      <c r="T991" s="3" t="n">
        <f aca="false">_xlfn.MINIFS($B$2:$B$2705,$A$2:$A$2705,A991)</f>
        <v>1903</v>
      </c>
      <c r="U991" s="3" t="n">
        <f aca="false">B991-T991</f>
        <v>59</v>
      </c>
      <c r="V991" s="3" t="str">
        <f aca="false">INDEX(Pop_Inputs!$Q$2:$Q$29,MATCH(C991,Pop_Inputs!$A$2:$A$29,0))</f>
        <v>Northeast</v>
      </c>
      <c r="W991" s="30"/>
      <c r="X991" s="3" t="str">
        <f aca="false">IF(W991="","",LN(W991))</f>
        <v/>
      </c>
      <c r="Y991" s="3" t="str">
        <f aca="false">IF(X991="","",X991-AVERAGEIFS($X$2:$X$2705,$B$2:$B$2705,B991))</f>
        <v/>
      </c>
      <c r="Z991" s="21" t="n">
        <f aca="false">P991</f>
        <v>1.31353588476469</v>
      </c>
      <c r="AA991" s="3" t="n">
        <f aca="false">R991</f>
        <v>0</v>
      </c>
      <c r="AB991" s="21" t="n">
        <f aca="false">P991</f>
        <v>1.31353588476469</v>
      </c>
      <c r="AC991" s="3" t="str">
        <f aca="false">Y991</f>
        <v/>
      </c>
      <c r="AD991" s="3" t="n">
        <f aca="false">R991</f>
        <v>0</v>
      </c>
    </row>
    <row r="992" customFormat="false" ht="15" hidden="false" customHeight="true" outlineLevel="0" collapsed="false">
      <c r="A992" s="7" t="s">
        <v>69</v>
      </c>
      <c r="B992" s="7" t="n">
        <v>1962</v>
      </c>
      <c r="C992" s="7" t="s">
        <v>157</v>
      </c>
      <c r="D992" s="7" t="n">
        <v>72</v>
      </c>
      <c r="E992" s="7" t="n">
        <v>90</v>
      </c>
      <c r="F992" s="3" t="n">
        <f aca="false">COUNTIFS($B$2:$B$2705,B992,$C$2:$C$2705,C992)</f>
        <v>1</v>
      </c>
      <c r="G992" s="3" t="n">
        <f aca="false">MIN(INT((MIN(B992,2020)-1900)/10)+1,12)</f>
        <v>7</v>
      </c>
      <c r="H992" s="3" t="n">
        <f aca="false">(MIN(B992,2020)-1900-10*(G992-1))/10</f>
        <v>0.2</v>
      </c>
      <c r="I992" s="20" t="n">
        <f aca="false">EXP(LN(INDEX(Pop_Inputs!$B$2:$N$29,MATCH(C992,Pop_Inputs!$A$2:$A$29,0),G992))*(1-H992)+LN(INDEX(Pop_Inputs!$B$2:$N$29,MATCH(C992,Pop_Inputs!$A$2:$A$29,0),G992+1))*H992)</f>
        <v>481687.534586142</v>
      </c>
      <c r="J992" s="20" t="n">
        <f aca="false">I992/F992</f>
        <v>481687.534586142</v>
      </c>
      <c r="K992" s="21" t="n">
        <f aca="false">D992/(D992+E992)</f>
        <v>0.444444444444444</v>
      </c>
      <c r="L992" s="21" t="n">
        <f aca="false">AVERAGEIFS($K$2:$K$2705,$B$2:$B$2705,B992)</f>
        <v>0.499538300534677</v>
      </c>
      <c r="M992" s="21" t="n">
        <f aca="false">K992-L992</f>
        <v>-0.0550938560902329</v>
      </c>
      <c r="N992" s="21" t="n">
        <f aca="false">LN(J992)</f>
        <v>13.0850509143224</v>
      </c>
      <c r="O992" s="21" t="n">
        <f aca="false">AVERAGEIFS($N$2:$N$2705,$B$2:$B$2705,B992)</f>
        <v>13.863518981094</v>
      </c>
      <c r="P992" s="21" t="n">
        <f aca="false">N992-O992</f>
        <v>-0.778468066771572</v>
      </c>
      <c r="Q992" s="7" t="n">
        <v>0</v>
      </c>
      <c r="R992" s="3" t="n">
        <f aca="false">IF(AND(Q992=1,B992-_xlfn.MINIFS($B$2:$B$2705,$A$2:$A$2705,A992)&lt;10),1,0)</f>
        <v>0</v>
      </c>
      <c r="S992" s="7" t="n">
        <v>0</v>
      </c>
      <c r="T992" s="3" t="n">
        <f aca="false">_xlfn.MINIFS($B$2:$B$2705,$A$2:$A$2705,A992)</f>
        <v>1901</v>
      </c>
      <c r="U992" s="3" t="n">
        <f aca="false">B992-T992</f>
        <v>61</v>
      </c>
      <c r="V992" s="3" t="str">
        <f aca="false">INDEX(Pop_Inputs!$Q$2:$Q$29,MATCH(C992,Pop_Inputs!$A$2:$A$29,0))</f>
        <v>Midwest</v>
      </c>
      <c r="W992" s="30"/>
      <c r="X992" s="3" t="str">
        <f aca="false">IF(W992="","",LN(W992))</f>
        <v/>
      </c>
      <c r="Y992" s="3" t="str">
        <f aca="false">IF(X992="","",X992-AVERAGEIFS($X$2:$X$2705,$B$2:$B$2705,B992))</f>
        <v/>
      </c>
      <c r="Z992" s="21" t="n">
        <f aca="false">P992</f>
        <v>-0.778468066771572</v>
      </c>
      <c r="AA992" s="3" t="n">
        <f aca="false">R992</f>
        <v>0</v>
      </c>
      <c r="AB992" s="21" t="n">
        <f aca="false">P992</f>
        <v>-0.778468066771572</v>
      </c>
      <c r="AC992" s="3" t="str">
        <f aca="false">Y992</f>
        <v/>
      </c>
      <c r="AD992" s="3" t="n">
        <f aca="false">R992</f>
        <v>0</v>
      </c>
    </row>
    <row r="993" customFormat="false" ht="15" hidden="false" customHeight="true" outlineLevel="0" collapsed="false">
      <c r="A993" s="7" t="s">
        <v>60</v>
      </c>
      <c r="B993" s="7" t="n">
        <v>1962</v>
      </c>
      <c r="C993" s="7" t="s">
        <v>146</v>
      </c>
      <c r="D993" s="7" t="n">
        <v>81</v>
      </c>
      <c r="E993" s="7" t="n">
        <v>80</v>
      </c>
      <c r="F993" s="3" t="n">
        <f aca="false">COUNTIFS($B$2:$B$2705,B993,$C$2:$C$2705,C993)</f>
        <v>1</v>
      </c>
      <c r="G993" s="3" t="n">
        <f aca="false">MIN(INT((MIN(B993,2020)-1900)/10)+1,12)</f>
        <v>7</v>
      </c>
      <c r="H993" s="3" t="n">
        <f aca="false">(MIN(B993,2020)-1900-10*(G993-1))/10</f>
        <v>0.2</v>
      </c>
      <c r="I993" s="20" t="n">
        <f aca="false">EXP(LN(INDEX(Pop_Inputs!$B$2:$N$29,MATCH(C993,Pop_Inputs!$A$2:$A$29,0),G993))*(1-H993)+LN(INDEX(Pop_Inputs!$B$2:$N$29,MATCH(C993,Pop_Inputs!$A$2:$A$29,0),G993+1))*H993)</f>
        <v>1991613.4137009</v>
      </c>
      <c r="J993" s="20" t="n">
        <f aca="false">I993/F993</f>
        <v>1991613.4137009</v>
      </c>
      <c r="K993" s="21" t="n">
        <f aca="false">D993/(D993+E993)</f>
        <v>0.503105590062112</v>
      </c>
      <c r="L993" s="21" t="n">
        <f aca="false">AVERAGEIFS($K$2:$K$2705,$B$2:$B$2705,B993)</f>
        <v>0.499538300534677</v>
      </c>
      <c r="M993" s="21" t="n">
        <f aca="false">K993-L993</f>
        <v>0.00356728952743446</v>
      </c>
      <c r="N993" s="21" t="n">
        <f aca="false">LN(J993)</f>
        <v>14.5044556288655</v>
      </c>
      <c r="O993" s="21" t="n">
        <f aca="false">AVERAGEIFS($N$2:$N$2705,$B$2:$B$2705,B993)</f>
        <v>13.863518981094</v>
      </c>
      <c r="P993" s="21" t="n">
        <f aca="false">N993-O993</f>
        <v>0.640936647771561</v>
      </c>
      <c r="Q993" s="7" t="n">
        <v>0</v>
      </c>
      <c r="R993" s="3" t="n">
        <f aca="false">IF(AND(Q993=1,B993-_xlfn.MINIFS($B$2:$B$2705,$A$2:$A$2705,A993)&lt;10),1,0)</f>
        <v>0</v>
      </c>
      <c r="S993" s="7" t="n">
        <v>0</v>
      </c>
      <c r="T993" s="3" t="n">
        <f aca="false">_xlfn.MINIFS($B$2:$B$2705,$A$2:$A$2705,A993)</f>
        <v>1901</v>
      </c>
      <c r="U993" s="3" t="n">
        <f aca="false">B993-T993</f>
        <v>61</v>
      </c>
      <c r="V993" s="3" t="str">
        <f aca="false">INDEX(Pop_Inputs!$Q$2:$Q$29,MATCH(C993,Pop_Inputs!$A$2:$A$29,0))</f>
        <v>Northeast</v>
      </c>
      <c r="W993" s="30"/>
      <c r="X993" s="3" t="str">
        <f aca="false">IF(W993="","",LN(W993))</f>
        <v/>
      </c>
      <c r="Y993" s="3" t="str">
        <f aca="false">IF(X993="","",X993-AVERAGEIFS($X$2:$X$2705,$B$2:$B$2705,B993))</f>
        <v/>
      </c>
      <c r="Z993" s="21" t="n">
        <f aca="false">P993</f>
        <v>0.640936647771561</v>
      </c>
      <c r="AA993" s="3" t="n">
        <f aca="false">R993</f>
        <v>0</v>
      </c>
      <c r="AB993" s="21" t="n">
        <f aca="false">P993</f>
        <v>0.640936647771561</v>
      </c>
      <c r="AC993" s="3" t="str">
        <f aca="false">Y993</f>
        <v/>
      </c>
      <c r="AD993" s="3" t="n">
        <f aca="false">R993</f>
        <v>0</v>
      </c>
    </row>
    <row r="994" customFormat="false" ht="15" hidden="false" customHeight="true" outlineLevel="0" collapsed="false">
      <c r="A994" s="7" t="s">
        <v>58</v>
      </c>
      <c r="B994" s="7" t="n">
        <v>1962</v>
      </c>
      <c r="C994" s="7" t="s">
        <v>144</v>
      </c>
      <c r="D994" s="7" t="n">
        <v>93</v>
      </c>
      <c r="E994" s="7" t="n">
        <v>68</v>
      </c>
      <c r="F994" s="3" t="n">
        <f aca="false">COUNTIFS($B$2:$B$2705,B994,$C$2:$C$2705,C994)</f>
        <v>1</v>
      </c>
      <c r="G994" s="3" t="n">
        <f aca="false">MIN(INT((MIN(B994,2020)-1900)/10)+1,12)</f>
        <v>7</v>
      </c>
      <c r="H994" s="3" t="n">
        <f aca="false">(MIN(B994,2020)-1900-10*(G994-1))/10</f>
        <v>0.2</v>
      </c>
      <c r="I994" s="20" t="n">
        <f aca="false">EXP(LN(INDEX(Pop_Inputs!$B$2:$N$29,MATCH(C994,Pop_Inputs!$A$2:$A$29,0),G994))*(1-H994)+LN(INDEX(Pop_Inputs!$B$2:$N$29,MATCH(C994,Pop_Inputs!$A$2:$A$29,0),G994+1))*H994)</f>
        <v>586463.087905505</v>
      </c>
      <c r="J994" s="20" t="n">
        <f aca="false">I994/F994</f>
        <v>586463.087905505</v>
      </c>
      <c r="K994" s="21" t="n">
        <f aca="false">D994/(D994+E994)</f>
        <v>0.577639751552795</v>
      </c>
      <c r="L994" s="21" t="n">
        <f aca="false">AVERAGEIFS($K$2:$K$2705,$B$2:$B$2705,B994)</f>
        <v>0.499538300534677</v>
      </c>
      <c r="M994" s="21" t="n">
        <f aca="false">K994-L994</f>
        <v>0.0781014510181177</v>
      </c>
      <c r="N994" s="21" t="n">
        <f aca="false">LN(J994)</f>
        <v>13.2818650088726</v>
      </c>
      <c r="O994" s="21" t="n">
        <f aca="false">AVERAGEIFS($N$2:$N$2705,$B$2:$B$2705,B994)</f>
        <v>13.863518981094</v>
      </c>
      <c r="P994" s="21" t="n">
        <f aca="false">N994-O994</f>
        <v>-0.58165397222135</v>
      </c>
      <c r="Q994" s="7" t="n">
        <v>0</v>
      </c>
      <c r="R994" s="3" t="n">
        <f aca="false">IF(AND(Q994=1,B994-_xlfn.MINIFS($B$2:$B$2705,$A$2:$A$2705,A994)&lt;10),1,0)</f>
        <v>0</v>
      </c>
      <c r="S994" s="7" t="n">
        <v>0</v>
      </c>
      <c r="T994" s="3" t="n">
        <f aca="false">_xlfn.MINIFS($B$2:$B$2705,$A$2:$A$2705,A994)</f>
        <v>1901</v>
      </c>
      <c r="U994" s="3" t="n">
        <f aca="false">B994-T994</f>
        <v>61</v>
      </c>
      <c r="V994" s="3" t="str">
        <f aca="false">INDEX(Pop_Inputs!$Q$2:$Q$29,MATCH(C994,Pop_Inputs!$A$2:$A$29,0))</f>
        <v>Northeast</v>
      </c>
      <c r="W994" s="30"/>
      <c r="X994" s="3" t="str">
        <f aca="false">IF(W994="","",LN(W994))</f>
        <v/>
      </c>
      <c r="Y994" s="3" t="str">
        <f aca="false">IF(X994="","",X994-AVERAGEIFS($X$2:$X$2705,$B$2:$B$2705,B994))</f>
        <v/>
      </c>
      <c r="Z994" s="21" t="n">
        <f aca="false">P994</f>
        <v>-0.58165397222135</v>
      </c>
      <c r="AA994" s="3" t="n">
        <f aca="false">R994</f>
        <v>0</v>
      </c>
      <c r="AB994" s="21" t="n">
        <f aca="false">P994</f>
        <v>-0.58165397222135</v>
      </c>
      <c r="AC994" s="3" t="str">
        <f aca="false">Y994</f>
        <v/>
      </c>
      <c r="AD994" s="3" t="n">
        <f aca="false">R994</f>
        <v>0</v>
      </c>
    </row>
    <row r="995" customFormat="false" ht="15" hidden="false" customHeight="true" outlineLevel="0" collapsed="false">
      <c r="A995" s="7" t="s">
        <v>61</v>
      </c>
      <c r="B995" s="7" t="n">
        <v>1962</v>
      </c>
      <c r="C995" s="7" t="s">
        <v>147</v>
      </c>
      <c r="D995" s="7" t="n">
        <v>103</v>
      </c>
      <c r="E995" s="7" t="n">
        <v>62</v>
      </c>
      <c r="F995" s="3" t="n">
        <f aca="false">COUNTIFS($B$2:$B$2705,B995,$C$2:$C$2705,C995)</f>
        <v>1</v>
      </c>
      <c r="G995" s="3" t="n">
        <f aca="false">MIN(INT((MIN(B995,2020)-1900)/10)+1,12)</f>
        <v>7</v>
      </c>
      <c r="H995" s="3" t="n">
        <f aca="false">(MIN(B995,2020)-1900-10*(G995-1))/10</f>
        <v>0.2</v>
      </c>
      <c r="I995" s="20" t="n">
        <f aca="false">EXP(LN(INDEX(Pop_Inputs!$B$2:$N$29,MATCH(C995,Pop_Inputs!$A$2:$A$29,0),G995))*(1-H995)+LN(INDEX(Pop_Inputs!$B$2:$N$29,MATCH(C995,Pop_Inputs!$A$2:$A$29,0),G995+1))*H995)</f>
        <v>735320.639911259</v>
      </c>
      <c r="J995" s="20" t="n">
        <f aca="false">I995/F995</f>
        <v>735320.639911259</v>
      </c>
      <c r="K995" s="21" t="n">
        <f aca="false">D995/(D995+E995)</f>
        <v>0.624242424242424</v>
      </c>
      <c r="L995" s="21" t="n">
        <f aca="false">AVERAGEIFS($K$2:$K$2705,$B$2:$B$2705,B995)</f>
        <v>0.499538300534677</v>
      </c>
      <c r="M995" s="21" t="n">
        <f aca="false">K995-L995</f>
        <v>0.124704123707747</v>
      </c>
      <c r="N995" s="21" t="n">
        <f aca="false">LN(J995)</f>
        <v>13.5080619278451</v>
      </c>
      <c r="O995" s="21" t="n">
        <f aca="false">AVERAGEIFS($N$2:$N$2705,$B$2:$B$2705,B995)</f>
        <v>13.863518981094</v>
      </c>
      <c r="P995" s="21" t="n">
        <f aca="false">N995-O995</f>
        <v>-0.355457053248843</v>
      </c>
      <c r="Q995" s="7" t="n">
        <v>0</v>
      </c>
      <c r="R995" s="3" t="n">
        <f aca="false">IF(AND(Q995=1,B995-_xlfn.MINIFS($B$2:$B$2705,$A$2:$A$2705,A995)&lt;10),1,0)</f>
        <v>0</v>
      </c>
      <c r="S995" s="7" t="n">
        <v>0</v>
      </c>
      <c r="T995" s="3" t="n">
        <f aca="false">_xlfn.MINIFS($B$2:$B$2705,$A$2:$A$2705,A995)</f>
        <v>1901</v>
      </c>
      <c r="U995" s="3" t="n">
        <f aca="false">B995-T995</f>
        <v>61</v>
      </c>
      <c r="V995" s="3" t="str">
        <f aca="false">INDEX(Pop_Inputs!$Q$2:$Q$29,MATCH(C995,Pop_Inputs!$A$2:$A$29,0))</f>
        <v>West</v>
      </c>
      <c r="W995" s="30"/>
      <c r="X995" s="3" t="str">
        <f aca="false">IF(W995="","",LN(W995))</f>
        <v/>
      </c>
      <c r="Y995" s="3" t="str">
        <f aca="false">IF(X995="","",X995-AVERAGEIFS($X$2:$X$2705,$B$2:$B$2705,B995))</f>
        <v/>
      </c>
      <c r="Z995" s="21" t="n">
        <f aca="false">P995</f>
        <v>-0.355457053248843</v>
      </c>
      <c r="AA995" s="3" t="n">
        <f aca="false">R995</f>
        <v>0</v>
      </c>
      <c r="AB995" s="21" t="n">
        <f aca="false">P995</f>
        <v>-0.355457053248843</v>
      </c>
      <c r="AC995" s="3" t="str">
        <f aca="false">Y995</f>
        <v/>
      </c>
      <c r="AD995" s="3" t="n">
        <f aca="false">R995</f>
        <v>0</v>
      </c>
    </row>
    <row r="996" customFormat="false" ht="15" hidden="false" customHeight="true" outlineLevel="0" collapsed="false">
      <c r="A996" s="7" t="s">
        <v>59</v>
      </c>
      <c r="B996" s="7" t="n">
        <v>1962</v>
      </c>
      <c r="C996" s="7" t="s">
        <v>145</v>
      </c>
      <c r="D996" s="7" t="n">
        <v>84</v>
      </c>
      <c r="E996" s="7" t="n">
        <v>78</v>
      </c>
      <c r="F996" s="3" t="n">
        <f aca="false">COUNTIFS($B$2:$B$2705,B996,$C$2:$C$2705,C996)</f>
        <v>1</v>
      </c>
      <c r="G996" s="3" t="n">
        <f aca="false">MIN(INT((MIN(B996,2020)-1900)/10)+1,12)</f>
        <v>7</v>
      </c>
      <c r="H996" s="3" t="n">
        <f aca="false">(MIN(B996,2020)-1900-10*(G996-1))/10</f>
        <v>0.2</v>
      </c>
      <c r="I996" s="20" t="n">
        <f aca="false">EXP(LN(INDEX(Pop_Inputs!$B$2:$N$29,MATCH(C996,Pop_Inputs!$A$2:$A$29,0),G996))*(1-H996)+LN(INDEX(Pop_Inputs!$B$2:$N$29,MATCH(C996,Pop_Inputs!$A$2:$A$29,0),G996+1))*H996)</f>
        <v>722523.674176981</v>
      </c>
      <c r="J996" s="20" t="n">
        <f aca="false">I996/F996</f>
        <v>722523.674176981</v>
      </c>
      <c r="K996" s="21" t="n">
        <f aca="false">D996/(D996+E996)</f>
        <v>0.518518518518519</v>
      </c>
      <c r="L996" s="21" t="n">
        <f aca="false">AVERAGEIFS($K$2:$K$2705,$B$2:$B$2705,B996)</f>
        <v>0.499538300534677</v>
      </c>
      <c r="M996" s="21" t="n">
        <f aca="false">K996-L996</f>
        <v>0.0189802179838412</v>
      </c>
      <c r="N996" s="21" t="n">
        <f aca="false">LN(J996)</f>
        <v>13.4905054654589</v>
      </c>
      <c r="O996" s="21" t="n">
        <f aca="false">AVERAGEIFS($N$2:$N$2705,$B$2:$B$2705,B996)</f>
        <v>13.863518981094</v>
      </c>
      <c r="P996" s="21" t="n">
        <f aca="false">N996-O996</f>
        <v>-0.373013515635092</v>
      </c>
      <c r="Q996" s="7" t="n">
        <v>0</v>
      </c>
      <c r="R996" s="3" t="n">
        <f aca="false">IF(AND(Q996=1,B996-_xlfn.MINIFS($B$2:$B$2705,$A$2:$A$2705,A996)&lt;10),1,0)</f>
        <v>0</v>
      </c>
      <c r="S996" s="7" t="n">
        <v>0</v>
      </c>
      <c r="T996" s="3" t="n">
        <f aca="false">_xlfn.MINIFS($B$2:$B$2705,$A$2:$A$2705,A996)</f>
        <v>1901</v>
      </c>
      <c r="U996" s="3" t="n">
        <f aca="false">B996-T996</f>
        <v>61</v>
      </c>
      <c r="V996" s="3" t="str">
        <f aca="false">INDEX(Pop_Inputs!$Q$2:$Q$29,MATCH(C996,Pop_Inputs!$A$2:$A$29,0))</f>
        <v>Midwest</v>
      </c>
      <c r="W996" s="30"/>
      <c r="X996" s="3" t="str">
        <f aca="false">IF(W996="","",LN(W996))</f>
        <v/>
      </c>
      <c r="Y996" s="3" t="str">
        <f aca="false">IF(X996="","",X996-AVERAGEIFS($X$2:$X$2705,$B$2:$B$2705,B996))</f>
        <v/>
      </c>
      <c r="Z996" s="21" t="n">
        <f aca="false">P996</f>
        <v>-0.373013515635092</v>
      </c>
      <c r="AA996" s="3" t="n">
        <f aca="false">R996</f>
        <v>0</v>
      </c>
      <c r="AB996" s="21" t="n">
        <f aca="false">P996</f>
        <v>-0.373013515635092</v>
      </c>
      <c r="AC996" s="3" t="str">
        <f aca="false">Y996</f>
        <v/>
      </c>
      <c r="AD996" s="3" t="n">
        <f aca="false">R996</f>
        <v>0</v>
      </c>
    </row>
    <row r="997" customFormat="false" ht="15" hidden="false" customHeight="true" outlineLevel="0" collapsed="false">
      <c r="A997" s="7" t="s">
        <v>73</v>
      </c>
      <c r="B997" s="7" t="n">
        <v>1962</v>
      </c>
      <c r="C997" s="7" t="s">
        <v>160</v>
      </c>
      <c r="D997" s="7" t="n">
        <v>60</v>
      </c>
      <c r="E997" s="7" t="n">
        <v>101</v>
      </c>
      <c r="F997" s="3" t="n">
        <f aca="false">COUNTIFS($B$2:$B$2705,B997,$C$2:$C$2705,C997)</f>
        <v>1</v>
      </c>
      <c r="G997" s="3" t="n">
        <f aca="false">MIN(INT((MIN(B997,2020)-1900)/10)+1,12)</f>
        <v>7</v>
      </c>
      <c r="H997" s="3" t="n">
        <f aca="false">(MIN(B997,2020)-1900-10*(G997-1))/10</f>
        <v>0.2</v>
      </c>
      <c r="I997" s="20" t="n">
        <f aca="false">EXP(LN(INDEX(Pop_Inputs!$B$2:$N$29,MATCH(C997,Pop_Inputs!$A$2:$A$29,0),G997))*(1-H997)+LN(INDEX(Pop_Inputs!$B$2:$N$29,MATCH(C997,Pop_Inputs!$A$2:$A$29,0),G997+1))*H997)</f>
        <v>762460.959938665</v>
      </c>
      <c r="J997" s="20" t="n">
        <f aca="false">I997/F997</f>
        <v>762460.959938665</v>
      </c>
      <c r="K997" s="21" t="n">
        <f aca="false">D997/(D997+E997)</f>
        <v>0.372670807453416</v>
      </c>
      <c r="L997" s="21" t="n">
        <f aca="false">AVERAGEIFS($K$2:$K$2705,$B$2:$B$2705,B997)</f>
        <v>0.499538300534677</v>
      </c>
      <c r="M997" s="21" t="n">
        <f aca="false">K997-L997</f>
        <v>-0.126867493081261</v>
      </c>
      <c r="N997" s="21" t="n">
        <f aca="false">LN(J997)</f>
        <v>13.5443065860725</v>
      </c>
      <c r="O997" s="21" t="n">
        <f aca="false">AVERAGEIFS($N$2:$N$2705,$B$2:$B$2705,B997)</f>
        <v>13.863518981094</v>
      </c>
      <c r="P997" s="21" t="n">
        <f aca="false">N997-O997</f>
        <v>-0.319212395021456</v>
      </c>
      <c r="Q997" s="7" t="n">
        <v>1</v>
      </c>
      <c r="R997" s="3" t="n">
        <f aca="false">IF(AND(Q997=1,B997-_xlfn.MINIFS($B$2:$B$2705,$A$2:$A$2705,A997)&lt;10),1,0)</f>
        <v>1</v>
      </c>
      <c r="S997" s="7" t="n">
        <v>0</v>
      </c>
      <c r="T997" s="3" t="n">
        <f aca="false">_xlfn.MINIFS($B$2:$B$2705,$A$2:$A$2705,A997)</f>
        <v>1961</v>
      </c>
      <c r="U997" s="3" t="n">
        <f aca="false">B997-T997</f>
        <v>1</v>
      </c>
      <c r="V997" s="3" t="str">
        <f aca="false">INDEX(Pop_Inputs!$Q$2:$Q$29,MATCH(C997,Pop_Inputs!$A$2:$A$29,0))</f>
        <v>South</v>
      </c>
      <c r="W997" s="30"/>
      <c r="X997" s="3" t="str">
        <f aca="false">IF(W997="","",LN(W997))</f>
        <v/>
      </c>
      <c r="Y997" s="3" t="str">
        <f aca="false">IF(X997="","",X997-AVERAGEIFS($X$2:$X$2705,$B$2:$B$2705,B997))</f>
        <v/>
      </c>
      <c r="Z997" s="21" t="n">
        <f aca="false">P997</f>
        <v>-0.319212395021456</v>
      </c>
      <c r="AA997" s="3" t="n">
        <f aca="false">R997</f>
        <v>1</v>
      </c>
      <c r="AB997" s="21" t="n">
        <f aca="false">P997</f>
        <v>-0.319212395021456</v>
      </c>
      <c r="AC997" s="3" t="str">
        <f aca="false">Y997</f>
        <v/>
      </c>
      <c r="AD997" s="3" t="n">
        <f aca="false">R997</f>
        <v>1</v>
      </c>
    </row>
    <row r="998" customFormat="false" ht="15" hidden="false" customHeight="true" outlineLevel="0" collapsed="false">
      <c r="A998" s="7" t="s">
        <v>71</v>
      </c>
      <c r="B998" s="7" t="n">
        <v>1963</v>
      </c>
      <c r="C998" s="7" t="s">
        <v>148</v>
      </c>
      <c r="D998" s="7" t="n">
        <v>70</v>
      </c>
      <c r="E998" s="7" t="n">
        <v>91</v>
      </c>
      <c r="F998" s="3" t="n">
        <f aca="false">COUNTIFS($B$2:$B$2705,B998,$C$2:$C$2705,C998)</f>
        <v>2</v>
      </c>
      <c r="G998" s="3" t="n">
        <f aca="false">MIN(INT((MIN(B998,2020)-1900)/10)+1,12)</f>
        <v>7</v>
      </c>
      <c r="H998" s="3" t="n">
        <f aca="false">(MIN(B998,2020)-1900-10*(G998-1))/10</f>
        <v>0.3</v>
      </c>
      <c r="I998" s="20" t="n">
        <f aca="false">EXP(LN(INDEX(Pop_Inputs!$B$2:$N$29,MATCH(C998,Pop_Inputs!$A$2:$A$29,0),G998))*(1-H998)+LN(INDEX(Pop_Inputs!$B$2:$N$29,MATCH(C998,Pop_Inputs!$A$2:$A$29,0),G998+1))*H998)</f>
        <v>2575656.98840549</v>
      </c>
      <c r="J998" s="20" t="n">
        <f aca="false">I998/F998</f>
        <v>1287828.49420275</v>
      </c>
      <c r="K998" s="21" t="n">
        <f aca="false">D998/(D998+E998)</f>
        <v>0.434782608695652</v>
      </c>
      <c r="L998" s="21" t="n">
        <f aca="false">AVERAGEIFS($K$2:$K$2705,$B$2:$B$2705,B998)</f>
        <v>0.500036423587148</v>
      </c>
      <c r="M998" s="21" t="n">
        <f aca="false">K998-L998</f>
        <v>-0.0652538148914961</v>
      </c>
      <c r="N998" s="21" t="n">
        <f aca="false">LN(J998)</f>
        <v>14.0684680201054</v>
      </c>
      <c r="O998" s="21" t="n">
        <f aca="false">AVERAGEIFS($N$2:$N$2705,$B$2:$B$2705,B998)</f>
        <v>13.8609656477807</v>
      </c>
      <c r="P998" s="21" t="n">
        <f aca="false">N998-O998</f>
        <v>0.207502372324729</v>
      </c>
      <c r="Q998" s="7" t="n">
        <v>1</v>
      </c>
      <c r="R998" s="3" t="n">
        <f aca="false">IF(AND(Q998=1,B998-_xlfn.MINIFS($B$2:$B$2705,$A$2:$A$2705,A998)&lt;10),1,0)</f>
        <v>1</v>
      </c>
      <c r="S998" s="7" t="n">
        <v>0</v>
      </c>
      <c r="T998" s="3" t="n">
        <f aca="false">_xlfn.MINIFS($B$2:$B$2705,$A$2:$A$2705,A998)</f>
        <v>1961</v>
      </c>
      <c r="U998" s="3" t="n">
        <f aca="false">B998-T998</f>
        <v>2</v>
      </c>
      <c r="V998" s="3" t="str">
        <f aca="false">INDEX(Pop_Inputs!$Q$2:$Q$29,MATCH(C998,Pop_Inputs!$A$2:$A$29,0))</f>
        <v>West</v>
      </c>
      <c r="W998" s="30"/>
      <c r="X998" s="3" t="str">
        <f aca="false">IF(W998="","",LN(W998))</f>
        <v/>
      </c>
      <c r="Y998" s="3" t="str">
        <f aca="false">IF(X998="","",X998-AVERAGEIFS($X$2:$X$2705,$B$2:$B$2705,B998))</f>
        <v/>
      </c>
      <c r="Z998" s="21" t="n">
        <f aca="false">P998</f>
        <v>0.207502372324729</v>
      </c>
      <c r="AA998" s="3" t="n">
        <f aca="false">R998</f>
        <v>1</v>
      </c>
      <c r="AB998" s="21" t="n">
        <f aca="false">P998</f>
        <v>0.207502372324729</v>
      </c>
      <c r="AC998" s="3" t="str">
        <f aca="false">Y998</f>
        <v/>
      </c>
      <c r="AD998" s="3" t="n">
        <f aca="false">R998</f>
        <v>1</v>
      </c>
    </row>
    <row r="999" customFormat="false" ht="15" hidden="false" customHeight="true" outlineLevel="0" collapsed="false">
      <c r="A999" s="7" t="s">
        <v>54</v>
      </c>
      <c r="B999" s="7" t="n">
        <v>1963</v>
      </c>
      <c r="C999" s="7" t="s">
        <v>158</v>
      </c>
      <c r="D999" s="7" t="n">
        <v>84</v>
      </c>
      <c r="E999" s="7" t="n">
        <v>78</v>
      </c>
      <c r="F999" s="3" t="n">
        <f aca="false">COUNTIFS($B$2:$B$2705,B999,$C$2:$C$2705,C999)</f>
        <v>1</v>
      </c>
      <c r="G999" s="3" t="n">
        <f aca="false">MIN(INT((MIN(B999,2020)-1900)/10)+1,12)</f>
        <v>7</v>
      </c>
      <c r="H999" s="3" t="n">
        <f aca="false">(MIN(B999,2020)-1900-10*(G999-1))/10</f>
        <v>0.3</v>
      </c>
      <c r="I999" s="20" t="n">
        <f aca="false">EXP(LN(INDEX(Pop_Inputs!$B$2:$N$29,MATCH(C999,Pop_Inputs!$A$2:$A$29,0),G999))*(1-H999)+LN(INDEX(Pop_Inputs!$B$2:$N$29,MATCH(C999,Pop_Inputs!$A$2:$A$29,0),G999+1))*H999)</f>
        <v>733971.805389683</v>
      </c>
      <c r="J999" s="20" t="n">
        <f aca="false">I999/F999</f>
        <v>733971.805389683</v>
      </c>
      <c r="K999" s="21" t="n">
        <f aca="false">D999/(D999+E999)</f>
        <v>0.518518518518519</v>
      </c>
      <c r="L999" s="21" t="n">
        <f aca="false">AVERAGEIFS($K$2:$K$2705,$B$2:$B$2705,B999)</f>
        <v>0.500036423587148</v>
      </c>
      <c r="M999" s="21" t="n">
        <f aca="false">K999-L999</f>
        <v>0.0184820949313702</v>
      </c>
      <c r="N999" s="21" t="n">
        <f aca="false">LN(J999)</f>
        <v>13.5062258945832</v>
      </c>
      <c r="O999" s="21" t="n">
        <f aca="false">AVERAGEIFS($N$2:$N$2705,$B$2:$B$2705,B999)</f>
        <v>13.8609656477807</v>
      </c>
      <c r="P999" s="21" t="n">
        <f aca="false">N999-O999</f>
        <v>-0.354739753197437</v>
      </c>
      <c r="Q999" s="7" t="n">
        <v>0</v>
      </c>
      <c r="R999" s="3" t="n">
        <f aca="false">IF(AND(Q999=1,B999-_xlfn.MINIFS($B$2:$B$2705,$A$2:$A$2705,A999)&lt;10),1,0)</f>
        <v>0</v>
      </c>
      <c r="S999" s="7" t="n">
        <v>0</v>
      </c>
      <c r="T999" s="3" t="n">
        <f aca="false">_xlfn.MINIFS($B$2:$B$2705,$A$2:$A$2705,A999)</f>
        <v>1901</v>
      </c>
      <c r="U999" s="3" t="n">
        <f aca="false">B999-T999</f>
        <v>62</v>
      </c>
      <c r="V999" s="3" t="str">
        <f aca="false">INDEX(Pop_Inputs!$Q$2:$Q$29,MATCH(C999,Pop_Inputs!$A$2:$A$29,0))</f>
        <v>Midwest</v>
      </c>
      <c r="W999" s="30"/>
      <c r="X999" s="3" t="str">
        <f aca="false">IF(W999="","",LN(W999))</f>
        <v/>
      </c>
      <c r="Y999" s="3" t="str">
        <f aca="false">IF(X999="","",X999-AVERAGEIFS($X$2:$X$2705,$B$2:$B$2705,B999))</f>
        <v/>
      </c>
      <c r="Z999" s="21" t="n">
        <f aca="false">P999</f>
        <v>-0.354739753197437</v>
      </c>
      <c r="AA999" s="3" t="n">
        <f aca="false">R999</f>
        <v>0</v>
      </c>
      <c r="AB999" s="21" t="n">
        <f aca="false">P999</f>
        <v>-0.354739753197437</v>
      </c>
      <c r="AC999" s="3" t="str">
        <f aca="false">Y999</f>
        <v/>
      </c>
      <c r="AD999" s="3" t="n">
        <f aca="false">R999</f>
        <v>0</v>
      </c>
    </row>
    <row r="1000" customFormat="false" ht="15" hidden="false" customHeight="true" outlineLevel="0" collapsed="false">
      <c r="A1000" s="7" t="s">
        <v>63</v>
      </c>
      <c r="B1000" s="7" t="n">
        <v>1963</v>
      </c>
      <c r="C1000" s="7" t="s">
        <v>149</v>
      </c>
      <c r="D1000" s="7" t="n">
        <v>86</v>
      </c>
      <c r="E1000" s="7" t="n">
        <v>76</v>
      </c>
      <c r="F1000" s="3" t="n">
        <f aca="false">COUNTIFS($B$2:$B$2705,B1000,$C$2:$C$2705,C1000)</f>
        <v>1</v>
      </c>
      <c r="G1000" s="3" t="n">
        <f aca="false">MIN(INT((MIN(B1000,2020)-1900)/10)+1,12)</f>
        <v>7</v>
      </c>
      <c r="H1000" s="3" t="n">
        <f aca="false">(MIN(B1000,2020)-1900-10*(G1000-1))/10</f>
        <v>0.3</v>
      </c>
      <c r="I1000" s="20" t="n">
        <f aca="false">EXP(LN(INDEX(Pop_Inputs!$B$2:$N$29,MATCH(C1000,Pop_Inputs!$A$2:$A$29,0),G1000))*(1-H1000)+LN(INDEX(Pop_Inputs!$B$2:$N$29,MATCH(C1000,Pop_Inputs!$A$2:$A$29,0),G1000+1))*H1000)</f>
        <v>928918.221546349</v>
      </c>
      <c r="J1000" s="20" t="n">
        <f aca="false">I1000/F1000</f>
        <v>928918.221546349</v>
      </c>
      <c r="K1000" s="21" t="n">
        <f aca="false">D1000/(D1000+E1000)</f>
        <v>0.530864197530864</v>
      </c>
      <c r="L1000" s="21" t="n">
        <f aca="false">AVERAGEIFS($K$2:$K$2705,$B$2:$B$2705,B1000)</f>
        <v>0.500036423587148</v>
      </c>
      <c r="M1000" s="21" t="n">
        <f aca="false">K1000-L1000</f>
        <v>0.0308277739437159</v>
      </c>
      <c r="N1000" s="21" t="n">
        <f aca="false">LN(J1000)</f>
        <v>13.7417759854458</v>
      </c>
      <c r="O1000" s="21" t="n">
        <f aca="false">AVERAGEIFS($N$2:$N$2705,$B$2:$B$2705,B1000)</f>
        <v>13.8609656477807</v>
      </c>
      <c r="P1000" s="21" t="n">
        <f aca="false">N1000-O1000</f>
        <v>-0.119189662334845</v>
      </c>
      <c r="Q1000" s="7" t="n">
        <v>0</v>
      </c>
      <c r="R1000" s="3" t="n">
        <f aca="false">IF(AND(Q1000=1,B1000-_xlfn.MINIFS($B$2:$B$2705,$A$2:$A$2705,A1000)&lt;10),1,0)</f>
        <v>0</v>
      </c>
      <c r="S1000" s="7" t="n">
        <v>0</v>
      </c>
      <c r="T1000" s="3" t="n">
        <f aca="false">_xlfn.MINIFS($B$2:$B$2705,$A$2:$A$2705,A1000)</f>
        <v>1901</v>
      </c>
      <c r="U1000" s="3" t="n">
        <f aca="false">B1000-T1000</f>
        <v>62</v>
      </c>
      <c r="V1000" s="3" t="str">
        <f aca="false">INDEX(Pop_Inputs!$Q$2:$Q$29,MATCH(C1000,Pop_Inputs!$A$2:$A$29,0))</f>
        <v>South</v>
      </c>
      <c r="W1000" s="30"/>
      <c r="X1000" s="3" t="str">
        <f aca="false">IF(W1000="","",LN(W1000))</f>
        <v/>
      </c>
      <c r="Y1000" s="3" t="str">
        <f aca="false">IF(X1000="","",X1000-AVERAGEIFS($X$2:$X$2705,$B$2:$B$2705,B1000))</f>
        <v/>
      </c>
      <c r="Z1000" s="21" t="n">
        <f aca="false">P1000</f>
        <v>-0.119189662334845</v>
      </c>
      <c r="AA1000" s="3" t="n">
        <f aca="false">R1000</f>
        <v>0</v>
      </c>
      <c r="AB1000" s="21" t="n">
        <f aca="false">P1000</f>
        <v>-0.119189662334845</v>
      </c>
      <c r="AC1000" s="3" t="str">
        <f aca="false">Y1000</f>
        <v/>
      </c>
      <c r="AD1000" s="3" t="n">
        <f aca="false">R1000</f>
        <v>0</v>
      </c>
    </row>
    <row r="1001" customFormat="false" ht="15" hidden="false" customHeight="true" outlineLevel="0" collapsed="false">
      <c r="A1001" s="7" t="s">
        <v>64</v>
      </c>
      <c r="B1001" s="7" t="n">
        <v>1963</v>
      </c>
      <c r="C1001" s="7" t="s">
        <v>150</v>
      </c>
      <c r="D1001" s="7" t="n">
        <v>76</v>
      </c>
      <c r="E1001" s="7" t="n">
        <v>85</v>
      </c>
      <c r="F1001" s="3" t="n">
        <f aca="false">COUNTIFS($B$2:$B$2705,B1001,$C$2:$C$2705,C1001)</f>
        <v>1</v>
      </c>
      <c r="G1001" s="3" t="n">
        <f aca="false">MIN(INT((MIN(B1001,2020)-1900)/10)+1,12)</f>
        <v>7</v>
      </c>
      <c r="H1001" s="3" t="n">
        <f aca="false">(MIN(B1001,2020)-1900-10*(G1001-1))/10</f>
        <v>0.3</v>
      </c>
      <c r="I1001" s="20" t="n">
        <f aca="false">EXP(LN(INDEX(Pop_Inputs!$B$2:$N$29,MATCH(C1001,Pop_Inputs!$A$2:$A$29,0),G1001))*(1-H1001)+LN(INDEX(Pop_Inputs!$B$2:$N$29,MATCH(C1001,Pop_Inputs!$A$2:$A$29,0),G1001+1))*H1001)</f>
        <v>679861.888274406</v>
      </c>
      <c r="J1001" s="20" t="n">
        <f aca="false">I1001/F1001</f>
        <v>679861.888274406</v>
      </c>
      <c r="K1001" s="21" t="n">
        <f aca="false">D1001/(D1001+E1001)</f>
        <v>0.472049689440994</v>
      </c>
      <c r="L1001" s="21" t="n">
        <f aca="false">AVERAGEIFS($K$2:$K$2705,$B$2:$B$2705,B1001)</f>
        <v>0.500036423587148</v>
      </c>
      <c r="M1001" s="21" t="n">
        <f aca="false">K1001-L1001</f>
        <v>-0.0279867341461545</v>
      </c>
      <c r="N1001" s="21" t="n">
        <f aca="false">LN(J1001)</f>
        <v>13.4296449510448</v>
      </c>
      <c r="O1001" s="21" t="n">
        <f aca="false">AVERAGEIFS($N$2:$N$2705,$B$2:$B$2705,B1001)</f>
        <v>13.8609656477807</v>
      </c>
      <c r="P1001" s="21" t="n">
        <f aca="false">N1001-O1001</f>
        <v>-0.431320696735918</v>
      </c>
      <c r="Q1001" s="7" t="n">
        <v>0</v>
      </c>
      <c r="R1001" s="3" t="n">
        <f aca="false">IF(AND(Q1001=1,B1001-_xlfn.MINIFS($B$2:$B$2705,$A$2:$A$2705,A1001)&lt;10),1,0)</f>
        <v>0</v>
      </c>
      <c r="S1001" s="7" t="n">
        <v>0</v>
      </c>
      <c r="T1001" s="3" t="n">
        <f aca="false">_xlfn.MINIFS($B$2:$B$2705,$A$2:$A$2705,A1001)</f>
        <v>1901</v>
      </c>
      <c r="U1001" s="3" t="n">
        <f aca="false">B1001-T1001</f>
        <v>62</v>
      </c>
      <c r="V1001" s="3" t="str">
        <f aca="false">INDEX(Pop_Inputs!$Q$2:$Q$29,MATCH(C1001,Pop_Inputs!$A$2:$A$29,0))</f>
        <v>Northeast</v>
      </c>
      <c r="W1001" s="30"/>
      <c r="X1001" s="3" t="str">
        <f aca="false">IF(W1001="","",LN(W1001))</f>
        <v/>
      </c>
      <c r="Y1001" s="3" t="str">
        <f aca="false">IF(X1001="","",X1001-AVERAGEIFS($X$2:$X$2705,$B$2:$B$2705,B1001))</f>
        <v/>
      </c>
      <c r="Z1001" s="21" t="n">
        <f aca="false">P1001</f>
        <v>-0.431320696735918</v>
      </c>
      <c r="AA1001" s="3" t="n">
        <f aca="false">R1001</f>
        <v>0</v>
      </c>
      <c r="AB1001" s="21" t="n">
        <f aca="false">P1001</f>
        <v>-0.431320696735918</v>
      </c>
      <c r="AC1001" s="3" t="str">
        <f aca="false">Y1001</f>
        <v/>
      </c>
      <c r="AD1001" s="3" t="n">
        <f aca="false">R1001</f>
        <v>0</v>
      </c>
    </row>
    <row r="1002" customFormat="false" ht="15" hidden="false" customHeight="true" outlineLevel="0" collapsed="false">
      <c r="A1002" s="7" t="s">
        <v>56</v>
      </c>
      <c r="B1002" s="7" t="n">
        <v>1963</v>
      </c>
      <c r="C1002" s="7" t="s">
        <v>142</v>
      </c>
      <c r="D1002" s="7" t="n">
        <v>82</v>
      </c>
      <c r="E1002" s="7" t="n">
        <v>80</v>
      </c>
      <c r="F1002" s="3" t="n">
        <f aca="false">COUNTIFS($B$2:$B$2705,B1002,$C$2:$C$2705,C1002)</f>
        <v>2</v>
      </c>
      <c r="G1002" s="3" t="n">
        <f aca="false">MIN(INT((MIN(B1002,2020)-1900)/10)+1,12)</f>
        <v>7</v>
      </c>
      <c r="H1002" s="3" t="n">
        <f aca="false">(MIN(B1002,2020)-1900-10*(G1002-1))/10</f>
        <v>0.3</v>
      </c>
      <c r="I1002" s="20" t="n">
        <f aca="false">EXP(LN(INDEX(Pop_Inputs!$B$2:$N$29,MATCH(C1002,Pop_Inputs!$A$2:$A$29,0),G1002))*(1-H1002)+LN(INDEX(Pop_Inputs!$B$2:$N$29,MATCH(C1002,Pop_Inputs!$A$2:$A$29,0),G1002+1))*H1002)</f>
        <v>3494344.45163299</v>
      </c>
      <c r="J1002" s="20" t="n">
        <f aca="false">I1002/F1002</f>
        <v>1747172.2258165</v>
      </c>
      <c r="K1002" s="21" t="n">
        <f aca="false">D1002/(D1002+E1002)</f>
        <v>0.506172839506173</v>
      </c>
      <c r="L1002" s="21" t="n">
        <f aca="false">AVERAGEIFS($K$2:$K$2705,$B$2:$B$2705,B1002)</f>
        <v>0.500036423587148</v>
      </c>
      <c r="M1002" s="21" t="n">
        <f aca="false">K1002-L1002</f>
        <v>0.00613641591902459</v>
      </c>
      <c r="N1002" s="21" t="n">
        <f aca="false">LN(J1002)</f>
        <v>14.3735091680101</v>
      </c>
      <c r="O1002" s="21" t="n">
        <f aca="false">AVERAGEIFS($N$2:$N$2705,$B$2:$B$2705,B1002)</f>
        <v>13.8609656477807</v>
      </c>
      <c r="P1002" s="21" t="n">
        <f aca="false">N1002-O1002</f>
        <v>0.512543520229455</v>
      </c>
      <c r="Q1002" s="7" t="n">
        <v>0</v>
      </c>
      <c r="R1002" s="3" t="n">
        <f aca="false">IF(AND(Q1002=1,B1002-_xlfn.MINIFS($B$2:$B$2705,$A$2:$A$2705,A1002)&lt;10),1,0)</f>
        <v>0</v>
      </c>
      <c r="S1002" s="7" t="n">
        <v>0</v>
      </c>
      <c r="T1002" s="3" t="n">
        <f aca="false">_xlfn.MINIFS($B$2:$B$2705,$A$2:$A$2705,A1002)</f>
        <v>1901</v>
      </c>
      <c r="U1002" s="3" t="n">
        <f aca="false">B1002-T1002</f>
        <v>62</v>
      </c>
      <c r="V1002" s="3" t="str">
        <f aca="false">INDEX(Pop_Inputs!$Q$2:$Q$29,MATCH(C1002,Pop_Inputs!$A$2:$A$29,0))</f>
        <v>Midwest</v>
      </c>
      <c r="W1002" s="30"/>
      <c r="X1002" s="3" t="str">
        <f aca="false">IF(W1002="","",LN(W1002))</f>
        <v/>
      </c>
      <c r="Y1002" s="3" t="str">
        <f aca="false">IF(X1002="","",X1002-AVERAGEIFS($X$2:$X$2705,$B$2:$B$2705,B1002))</f>
        <v/>
      </c>
      <c r="Z1002" s="21" t="n">
        <f aca="false">P1002</f>
        <v>0.512543520229455</v>
      </c>
      <c r="AA1002" s="3" t="n">
        <f aca="false">R1002</f>
        <v>0</v>
      </c>
      <c r="AB1002" s="21" t="n">
        <f aca="false">P1002</f>
        <v>0.512543520229455</v>
      </c>
      <c r="AC1002" s="3" t="str">
        <f aca="false">Y1002</f>
        <v/>
      </c>
      <c r="AD1002" s="3" t="n">
        <f aca="false">R1002</f>
        <v>0</v>
      </c>
    </row>
    <row r="1003" customFormat="false" ht="15" hidden="false" customHeight="true" outlineLevel="0" collapsed="false">
      <c r="A1003" s="7" t="s">
        <v>65</v>
      </c>
      <c r="B1003" s="7" t="n">
        <v>1963</v>
      </c>
      <c r="C1003" s="7" t="s">
        <v>142</v>
      </c>
      <c r="D1003" s="7" t="n">
        <v>94</v>
      </c>
      <c r="E1003" s="7" t="n">
        <v>68</v>
      </c>
      <c r="F1003" s="3" t="n">
        <f aca="false">COUNTIFS($B$2:$B$2705,B1003,$C$2:$C$2705,C1003)</f>
        <v>2</v>
      </c>
      <c r="G1003" s="3" t="n">
        <f aca="false">MIN(INT((MIN(B1003,2020)-1900)/10)+1,12)</f>
        <v>7</v>
      </c>
      <c r="H1003" s="3" t="n">
        <f aca="false">(MIN(B1003,2020)-1900-10*(G1003-1))/10</f>
        <v>0.3</v>
      </c>
      <c r="I1003" s="20" t="n">
        <f aca="false">EXP(LN(INDEX(Pop_Inputs!$B$2:$N$29,MATCH(C1003,Pop_Inputs!$A$2:$A$29,0),G1003))*(1-H1003)+LN(INDEX(Pop_Inputs!$B$2:$N$29,MATCH(C1003,Pop_Inputs!$A$2:$A$29,0),G1003+1))*H1003)</f>
        <v>3494344.45163299</v>
      </c>
      <c r="J1003" s="20" t="n">
        <f aca="false">I1003/F1003</f>
        <v>1747172.2258165</v>
      </c>
      <c r="K1003" s="21" t="n">
        <f aca="false">D1003/(D1003+E1003)</f>
        <v>0.580246913580247</v>
      </c>
      <c r="L1003" s="21" t="n">
        <f aca="false">AVERAGEIFS($K$2:$K$2705,$B$2:$B$2705,B1003)</f>
        <v>0.500036423587148</v>
      </c>
      <c r="M1003" s="21" t="n">
        <f aca="false">K1003-L1003</f>
        <v>0.0802104899930987</v>
      </c>
      <c r="N1003" s="21" t="n">
        <f aca="false">LN(J1003)</f>
        <v>14.3735091680101</v>
      </c>
      <c r="O1003" s="21" t="n">
        <f aca="false">AVERAGEIFS($N$2:$N$2705,$B$2:$B$2705,B1003)</f>
        <v>13.8609656477807</v>
      </c>
      <c r="P1003" s="21" t="n">
        <f aca="false">N1003-O1003</f>
        <v>0.512543520229455</v>
      </c>
      <c r="Q1003" s="7" t="n">
        <v>0</v>
      </c>
      <c r="R1003" s="3" t="n">
        <f aca="false">IF(AND(Q1003=1,B1003-_xlfn.MINIFS($B$2:$B$2705,$A$2:$A$2705,A1003)&lt;10),1,0)</f>
        <v>0</v>
      </c>
      <c r="S1003" s="7" t="n">
        <v>0</v>
      </c>
      <c r="T1003" s="3" t="n">
        <f aca="false">_xlfn.MINIFS($B$2:$B$2705,$A$2:$A$2705,A1003)</f>
        <v>1901</v>
      </c>
      <c r="U1003" s="3" t="n">
        <f aca="false">B1003-T1003</f>
        <v>62</v>
      </c>
      <c r="V1003" s="3" t="str">
        <f aca="false">INDEX(Pop_Inputs!$Q$2:$Q$29,MATCH(C1003,Pop_Inputs!$A$2:$A$29,0))</f>
        <v>Midwest</v>
      </c>
      <c r="W1003" s="30"/>
      <c r="X1003" s="3" t="str">
        <f aca="false">IF(W1003="","",LN(W1003))</f>
        <v/>
      </c>
      <c r="Y1003" s="3" t="str">
        <f aca="false">IF(X1003="","",X1003-AVERAGEIFS($X$2:$X$2705,$B$2:$B$2705,B1003))</f>
        <v/>
      </c>
      <c r="Z1003" s="21" t="n">
        <f aca="false">P1003</f>
        <v>0.512543520229455</v>
      </c>
      <c r="AA1003" s="3" t="n">
        <f aca="false">R1003</f>
        <v>0</v>
      </c>
      <c r="AB1003" s="21" t="n">
        <f aca="false">P1003</f>
        <v>0.512543520229455</v>
      </c>
      <c r="AC1003" s="3" t="str">
        <f aca="false">Y1003</f>
        <v/>
      </c>
      <c r="AD1003" s="3" t="n">
        <f aca="false">R1003</f>
        <v>0</v>
      </c>
    </row>
    <row r="1004" customFormat="false" ht="15" hidden="false" customHeight="true" outlineLevel="0" collapsed="false">
      <c r="A1004" s="7" t="s">
        <v>57</v>
      </c>
      <c r="B1004" s="7" t="n">
        <v>1963</v>
      </c>
      <c r="C1004" s="7" t="s">
        <v>143</v>
      </c>
      <c r="D1004" s="7" t="n">
        <v>86</v>
      </c>
      <c r="E1004" s="7" t="n">
        <v>76</v>
      </c>
      <c r="F1004" s="3" t="n">
        <f aca="false">COUNTIFS($B$2:$B$2705,B1004,$C$2:$C$2705,C1004)</f>
        <v>1</v>
      </c>
      <c r="G1004" s="3" t="n">
        <f aca="false">MIN(INT((MIN(B1004,2020)-1900)/10)+1,12)</f>
        <v>7</v>
      </c>
      <c r="H1004" s="3" t="n">
        <f aca="false">(MIN(B1004,2020)-1900-10*(G1004-1))/10</f>
        <v>0.3</v>
      </c>
      <c r="I1004" s="20" t="n">
        <f aca="false">EXP(LN(INDEX(Pop_Inputs!$B$2:$N$29,MATCH(C1004,Pop_Inputs!$A$2:$A$29,0),G1004))*(1-H1004)+LN(INDEX(Pop_Inputs!$B$2:$N$29,MATCH(C1004,Pop_Inputs!$A$2:$A$29,0),G1004+1))*H1004)</f>
        <v>486988.008365182</v>
      </c>
      <c r="J1004" s="20" t="n">
        <f aca="false">I1004/F1004</f>
        <v>486988.008365182</v>
      </c>
      <c r="K1004" s="21" t="n">
        <f aca="false">D1004/(D1004+E1004)</f>
        <v>0.530864197530864</v>
      </c>
      <c r="L1004" s="21" t="n">
        <f aca="false">AVERAGEIFS($K$2:$K$2705,$B$2:$B$2705,B1004)</f>
        <v>0.500036423587148</v>
      </c>
      <c r="M1004" s="21" t="n">
        <f aca="false">K1004-L1004</f>
        <v>0.0308277739437159</v>
      </c>
      <c r="N1004" s="21" t="n">
        <f aca="false">LN(J1004)</f>
        <v>13.0959947782814</v>
      </c>
      <c r="O1004" s="21" t="n">
        <f aca="false">AVERAGEIFS($N$2:$N$2705,$B$2:$B$2705,B1004)</f>
        <v>13.8609656477807</v>
      </c>
      <c r="P1004" s="21" t="n">
        <f aca="false">N1004-O1004</f>
        <v>-0.764970869499237</v>
      </c>
      <c r="Q1004" s="7" t="n">
        <v>0</v>
      </c>
      <c r="R1004" s="3" t="n">
        <f aca="false">IF(AND(Q1004=1,B1004-_xlfn.MINIFS($B$2:$B$2705,$A$2:$A$2705,A1004)&lt;10),1,0)</f>
        <v>0</v>
      </c>
      <c r="S1004" s="7" t="n">
        <v>0</v>
      </c>
      <c r="T1004" s="3" t="n">
        <f aca="false">_xlfn.MINIFS($B$2:$B$2705,$A$2:$A$2705,A1004)</f>
        <v>1901</v>
      </c>
      <c r="U1004" s="3" t="n">
        <f aca="false">B1004-T1004</f>
        <v>62</v>
      </c>
      <c r="V1004" s="3" t="str">
        <f aca="false">INDEX(Pop_Inputs!$Q$2:$Q$29,MATCH(C1004,Pop_Inputs!$A$2:$A$29,0))</f>
        <v>Midwest</v>
      </c>
      <c r="W1004" s="30"/>
      <c r="X1004" s="3" t="str">
        <f aca="false">IF(W1004="","",LN(W1004))</f>
        <v/>
      </c>
      <c r="Y1004" s="3" t="str">
        <f aca="false">IF(X1004="","",X1004-AVERAGEIFS($X$2:$X$2705,$B$2:$B$2705,B1004))</f>
        <v/>
      </c>
      <c r="Z1004" s="21" t="n">
        <f aca="false">P1004</f>
        <v>-0.764970869499237</v>
      </c>
      <c r="AA1004" s="3" t="n">
        <f aca="false">R1004</f>
        <v>0</v>
      </c>
      <c r="AB1004" s="21" t="n">
        <f aca="false">P1004</f>
        <v>-0.764970869499237</v>
      </c>
      <c r="AC1004" s="3" t="str">
        <f aca="false">Y1004</f>
        <v/>
      </c>
      <c r="AD1004" s="3" t="n">
        <f aca="false">R1004</f>
        <v>0</v>
      </c>
    </row>
    <row r="1005" customFormat="false" ht="15" hidden="false" customHeight="true" outlineLevel="0" collapsed="false">
      <c r="A1005" s="7" t="s">
        <v>66</v>
      </c>
      <c r="B1005" s="7" t="n">
        <v>1963</v>
      </c>
      <c r="C1005" s="7" t="s">
        <v>151</v>
      </c>
      <c r="D1005" s="7" t="n">
        <v>79</v>
      </c>
      <c r="E1005" s="7" t="n">
        <v>83</v>
      </c>
      <c r="F1005" s="3" t="n">
        <f aca="false">COUNTIFS($B$2:$B$2705,B1005,$C$2:$C$2705,C1005)</f>
        <v>1</v>
      </c>
      <c r="G1005" s="3" t="n">
        <f aca="false">MIN(INT((MIN(B1005,2020)-1900)/10)+1,12)</f>
        <v>7</v>
      </c>
      <c r="H1005" s="3" t="n">
        <f aca="false">(MIN(B1005,2020)-1900-10*(G1005-1))/10</f>
        <v>0.3</v>
      </c>
      <c r="I1005" s="20" t="n">
        <f aca="false">EXP(LN(INDEX(Pop_Inputs!$B$2:$N$29,MATCH(C1005,Pop_Inputs!$A$2:$A$29,0),G1005))*(1-H1005)+LN(INDEX(Pop_Inputs!$B$2:$N$29,MATCH(C1005,Pop_Inputs!$A$2:$A$29,0),G1005+1))*H1005)</f>
        <v>836460.385232743</v>
      </c>
      <c r="J1005" s="20" t="n">
        <f aca="false">I1005/F1005</f>
        <v>836460.385232743</v>
      </c>
      <c r="K1005" s="21" t="n">
        <f aca="false">D1005/(D1005+E1005)</f>
        <v>0.487654320987654</v>
      </c>
      <c r="L1005" s="21" t="n">
        <f aca="false">AVERAGEIFS($K$2:$K$2705,$B$2:$B$2705,B1005)</f>
        <v>0.500036423587148</v>
      </c>
      <c r="M1005" s="21" t="n">
        <f aca="false">K1005-L1005</f>
        <v>-0.012382102599494</v>
      </c>
      <c r="N1005" s="21" t="n">
        <f aca="false">LN(J1005)</f>
        <v>13.6369344405264</v>
      </c>
      <c r="O1005" s="21" t="n">
        <f aca="false">AVERAGEIFS($N$2:$N$2705,$B$2:$B$2705,B1005)</f>
        <v>13.8609656477807</v>
      </c>
      <c r="P1005" s="21" t="n">
        <f aca="false">N1005-O1005</f>
        <v>-0.224031207254297</v>
      </c>
      <c r="Q1005" s="7" t="n">
        <v>0</v>
      </c>
      <c r="R1005" s="3" t="n">
        <f aca="false">IF(AND(Q1005=1,B1005-_xlfn.MINIFS($B$2:$B$2705,$A$2:$A$2705,A1005)&lt;10),1,0)</f>
        <v>0</v>
      </c>
      <c r="S1005" s="7" t="n">
        <v>0</v>
      </c>
      <c r="T1005" s="3" t="n">
        <f aca="false">_xlfn.MINIFS($B$2:$B$2705,$A$2:$A$2705,A1005)</f>
        <v>1901</v>
      </c>
      <c r="U1005" s="3" t="n">
        <f aca="false">B1005-T1005</f>
        <v>62</v>
      </c>
      <c r="V1005" s="3" t="str">
        <f aca="false">INDEX(Pop_Inputs!$Q$2:$Q$29,MATCH(C1005,Pop_Inputs!$A$2:$A$29,0))</f>
        <v>Midwest</v>
      </c>
      <c r="W1005" s="30"/>
      <c r="X1005" s="3" t="str">
        <f aca="false">IF(W1005="","",LN(W1005))</f>
        <v/>
      </c>
      <c r="Y1005" s="3" t="str">
        <f aca="false">IF(X1005="","",X1005-AVERAGEIFS($X$2:$X$2705,$B$2:$B$2705,B1005))</f>
        <v/>
      </c>
      <c r="Z1005" s="21" t="n">
        <f aca="false">P1005</f>
        <v>-0.224031207254297</v>
      </c>
      <c r="AA1005" s="3" t="n">
        <f aca="false">R1005</f>
        <v>0</v>
      </c>
      <c r="AB1005" s="21" t="n">
        <f aca="false">P1005</f>
        <v>-0.224031207254297</v>
      </c>
      <c r="AC1005" s="3" t="str">
        <f aca="false">Y1005</f>
        <v/>
      </c>
      <c r="AD1005" s="3" t="n">
        <f aca="false">R1005</f>
        <v>0</v>
      </c>
    </row>
    <row r="1006" customFormat="false" ht="15" hidden="false" customHeight="true" outlineLevel="0" collapsed="false">
      <c r="A1006" s="7" t="s">
        <v>67</v>
      </c>
      <c r="B1006" s="7" t="n">
        <v>1963</v>
      </c>
      <c r="C1006" s="7" t="s">
        <v>152</v>
      </c>
      <c r="D1006" s="7" t="n">
        <v>79</v>
      </c>
      <c r="E1006" s="7" t="n">
        <v>83</v>
      </c>
      <c r="F1006" s="3" t="n">
        <f aca="false">COUNTIFS($B$2:$B$2705,B1006,$C$2:$C$2705,C1006)</f>
        <v>1</v>
      </c>
      <c r="G1006" s="3" t="n">
        <f aca="false">MIN(INT((MIN(B1006,2020)-1900)/10)+1,12)</f>
        <v>7</v>
      </c>
      <c r="H1006" s="3" t="n">
        <f aca="false">(MIN(B1006,2020)-1900-10*(G1006-1))/10</f>
        <v>0.3</v>
      </c>
      <c r="I1006" s="20" t="n">
        <f aca="false">EXP(LN(INDEX(Pop_Inputs!$B$2:$N$29,MATCH(C1006,Pop_Inputs!$A$2:$A$29,0),G1006))*(1-H1006)+LN(INDEX(Pop_Inputs!$B$2:$N$29,MATCH(C1006,Pop_Inputs!$A$2:$A$29,0),G1006+1))*H1006)</f>
        <v>1620871.68731153</v>
      </c>
      <c r="J1006" s="20" t="n">
        <f aca="false">I1006/F1006</f>
        <v>1620871.68731153</v>
      </c>
      <c r="K1006" s="21" t="n">
        <f aca="false">D1006/(D1006+E1006)</f>
        <v>0.487654320987654</v>
      </c>
      <c r="L1006" s="21" t="n">
        <f aca="false">AVERAGEIFS($K$2:$K$2705,$B$2:$B$2705,B1006)</f>
        <v>0.500036423587148</v>
      </c>
      <c r="M1006" s="21" t="n">
        <f aca="false">K1006-L1006</f>
        <v>-0.012382102599494</v>
      </c>
      <c r="N1006" s="21" t="n">
        <f aca="false">LN(J1006)</f>
        <v>14.2984746410836</v>
      </c>
      <c r="O1006" s="21" t="n">
        <f aca="false">AVERAGEIFS($N$2:$N$2705,$B$2:$B$2705,B1006)</f>
        <v>13.8609656477807</v>
      </c>
      <c r="P1006" s="21" t="n">
        <f aca="false">N1006-O1006</f>
        <v>0.437508993302876</v>
      </c>
      <c r="Q1006" s="7" t="n">
        <v>0</v>
      </c>
      <c r="R1006" s="3" t="n">
        <f aca="false">IF(AND(Q1006=1,B1006-_xlfn.MINIFS($B$2:$B$2705,$A$2:$A$2705,A1006)&lt;10),1,0)</f>
        <v>0</v>
      </c>
      <c r="S1006" s="7" t="n">
        <v>0</v>
      </c>
      <c r="T1006" s="3" t="n">
        <f aca="false">_xlfn.MINIFS($B$2:$B$2705,$A$2:$A$2705,A1006)</f>
        <v>1901</v>
      </c>
      <c r="U1006" s="3" t="n">
        <f aca="false">B1006-T1006</f>
        <v>62</v>
      </c>
      <c r="V1006" s="3" t="str">
        <f aca="false">INDEX(Pop_Inputs!$Q$2:$Q$29,MATCH(C1006,Pop_Inputs!$A$2:$A$29,0))</f>
        <v>Midwest</v>
      </c>
      <c r="W1006" s="30"/>
      <c r="X1006" s="3" t="str">
        <f aca="false">IF(W1006="","",LN(W1006))</f>
        <v/>
      </c>
      <c r="Y1006" s="3" t="str">
        <f aca="false">IF(X1006="","",X1006-AVERAGEIFS($X$2:$X$2705,$B$2:$B$2705,B1006))</f>
        <v/>
      </c>
      <c r="Z1006" s="21" t="n">
        <f aca="false">P1006</f>
        <v>0.437508993302876</v>
      </c>
      <c r="AA1006" s="3" t="n">
        <f aca="false">R1006</f>
        <v>0</v>
      </c>
      <c r="AB1006" s="21" t="n">
        <f aca="false">P1006</f>
        <v>0.437508993302876</v>
      </c>
      <c r="AC1006" s="3" t="str">
        <f aca="false">Y1006</f>
        <v/>
      </c>
      <c r="AD1006" s="3" t="n">
        <f aca="false">R1006</f>
        <v>0</v>
      </c>
    </row>
    <row r="1007" customFormat="false" ht="15" hidden="false" customHeight="true" outlineLevel="0" collapsed="false">
      <c r="A1007" s="7" t="s">
        <v>74</v>
      </c>
      <c r="B1007" s="7" t="n">
        <v>1963</v>
      </c>
      <c r="C1007" s="7" t="s">
        <v>156</v>
      </c>
      <c r="D1007" s="7" t="n">
        <v>66</v>
      </c>
      <c r="E1007" s="7" t="n">
        <v>96</v>
      </c>
      <c r="F1007" s="3" t="n">
        <f aca="false">COUNTIFS($B$2:$B$2705,B1007,$C$2:$C$2705,C1007)</f>
        <v>1</v>
      </c>
      <c r="G1007" s="3" t="n">
        <f aca="false">MIN(INT((MIN(B1007,2020)-1900)/10)+1,12)</f>
        <v>7</v>
      </c>
      <c r="H1007" s="3" t="n">
        <f aca="false">(MIN(B1007,2020)-1900-10*(G1007-1))/10</f>
        <v>0.3</v>
      </c>
      <c r="I1007" s="20" t="n">
        <f aca="false">EXP(LN(INDEX(Pop_Inputs!$B$2:$N$29,MATCH(C1007,Pop_Inputs!$A$2:$A$29,0),G1007))*(1-H1007)+LN(INDEX(Pop_Inputs!$B$2:$N$29,MATCH(C1007,Pop_Inputs!$A$2:$A$29,0),G1007+1))*H1007)</f>
        <v>1018312.22047277</v>
      </c>
      <c r="J1007" s="20" t="n">
        <f aca="false">I1007/F1007</f>
        <v>1018312.22047277</v>
      </c>
      <c r="K1007" s="21" t="n">
        <f aca="false">D1007/(D1007+E1007)</f>
        <v>0.407407407407407</v>
      </c>
      <c r="L1007" s="21" t="n">
        <f aca="false">AVERAGEIFS($K$2:$K$2705,$B$2:$B$2705,B1007)</f>
        <v>0.500036423587148</v>
      </c>
      <c r="M1007" s="21" t="n">
        <f aca="false">K1007-L1007</f>
        <v>-0.0926290161797409</v>
      </c>
      <c r="N1007" s="21" t="n">
        <f aca="false">LN(J1007)</f>
        <v>13.8336571289448</v>
      </c>
      <c r="O1007" s="21" t="n">
        <f aca="false">AVERAGEIFS($N$2:$N$2705,$B$2:$B$2705,B1007)</f>
        <v>13.8609656477807</v>
      </c>
      <c r="P1007" s="21" t="n">
        <f aca="false">N1007-O1007</f>
        <v>-0.0273085188358522</v>
      </c>
      <c r="Q1007" s="7" t="n">
        <v>1</v>
      </c>
      <c r="R1007" s="3" t="n">
        <f aca="false">IF(AND(Q1007=1,B1007-_xlfn.MINIFS($B$2:$B$2705,$A$2:$A$2705,A1007)&lt;10),1,0)</f>
        <v>1</v>
      </c>
      <c r="S1007" s="7" t="n">
        <v>0</v>
      </c>
      <c r="T1007" s="3" t="n">
        <f aca="false">_xlfn.MINIFS($B$2:$B$2705,$A$2:$A$2705,A1007)</f>
        <v>1962</v>
      </c>
      <c r="U1007" s="3" t="n">
        <f aca="false">B1007-T1007</f>
        <v>1</v>
      </c>
      <c r="V1007" s="3" t="str">
        <f aca="false">INDEX(Pop_Inputs!$Q$2:$Q$29,MATCH(C1007,Pop_Inputs!$A$2:$A$29,0))</f>
        <v>South</v>
      </c>
      <c r="W1007" s="30"/>
      <c r="X1007" s="3" t="str">
        <f aca="false">IF(W1007="","",LN(W1007))</f>
        <v/>
      </c>
      <c r="Y1007" s="3" t="str">
        <f aca="false">IF(X1007="","",X1007-AVERAGEIFS($X$2:$X$2705,$B$2:$B$2705,B1007))</f>
        <v/>
      </c>
      <c r="Z1007" s="21" t="n">
        <f aca="false">P1007</f>
        <v>-0.0273085188358522</v>
      </c>
      <c r="AA1007" s="3" t="n">
        <f aca="false">R1007</f>
        <v>1</v>
      </c>
      <c r="AB1007" s="21" t="n">
        <f aca="false">P1007</f>
        <v>-0.0273085188358522</v>
      </c>
      <c r="AC1007" s="3" t="str">
        <f aca="false">Y1007</f>
        <v/>
      </c>
      <c r="AD1007" s="3" t="n">
        <f aca="false">R1007</f>
        <v>1</v>
      </c>
    </row>
    <row r="1008" customFormat="false" ht="15" hidden="false" customHeight="true" outlineLevel="0" collapsed="false">
      <c r="A1008" s="7" t="s">
        <v>62</v>
      </c>
      <c r="B1008" s="7" t="n">
        <v>1963</v>
      </c>
      <c r="C1008" s="7" t="s">
        <v>148</v>
      </c>
      <c r="D1008" s="7" t="n">
        <v>99</v>
      </c>
      <c r="E1008" s="7" t="n">
        <v>63</v>
      </c>
      <c r="F1008" s="3" t="n">
        <f aca="false">COUNTIFS($B$2:$B$2705,B1008,$C$2:$C$2705,C1008)</f>
        <v>2</v>
      </c>
      <c r="G1008" s="3" t="n">
        <f aca="false">MIN(INT((MIN(B1008,2020)-1900)/10)+1,12)</f>
        <v>7</v>
      </c>
      <c r="H1008" s="3" t="n">
        <f aca="false">(MIN(B1008,2020)-1900-10*(G1008-1))/10</f>
        <v>0.3</v>
      </c>
      <c r="I1008" s="20" t="n">
        <f aca="false">EXP(LN(INDEX(Pop_Inputs!$B$2:$N$29,MATCH(C1008,Pop_Inputs!$A$2:$A$29,0),G1008))*(1-H1008)+LN(INDEX(Pop_Inputs!$B$2:$N$29,MATCH(C1008,Pop_Inputs!$A$2:$A$29,0),G1008+1))*H1008)</f>
        <v>2575656.98840549</v>
      </c>
      <c r="J1008" s="20" t="n">
        <f aca="false">I1008/F1008</f>
        <v>1287828.49420275</v>
      </c>
      <c r="K1008" s="21" t="n">
        <f aca="false">D1008/(D1008+E1008)</f>
        <v>0.611111111111111</v>
      </c>
      <c r="L1008" s="21" t="n">
        <f aca="false">AVERAGEIFS($K$2:$K$2705,$B$2:$B$2705,B1008)</f>
        <v>0.500036423587148</v>
      </c>
      <c r="M1008" s="21" t="n">
        <f aca="false">K1008-L1008</f>
        <v>0.111074687523963</v>
      </c>
      <c r="N1008" s="21" t="n">
        <f aca="false">LN(J1008)</f>
        <v>14.0684680201054</v>
      </c>
      <c r="O1008" s="21" t="n">
        <f aca="false">AVERAGEIFS($N$2:$N$2705,$B$2:$B$2705,B1008)</f>
        <v>13.8609656477807</v>
      </c>
      <c r="P1008" s="21" t="n">
        <f aca="false">N1008-O1008</f>
        <v>0.207502372324729</v>
      </c>
      <c r="Q1008" s="7" t="n">
        <v>0</v>
      </c>
      <c r="R1008" s="3" t="n">
        <f aca="false">IF(AND(Q1008=1,B1008-_xlfn.MINIFS($B$2:$B$2705,$A$2:$A$2705,A1008)&lt;10),1,0)</f>
        <v>0</v>
      </c>
      <c r="S1008" s="7" t="n">
        <v>0</v>
      </c>
      <c r="T1008" s="3" t="n">
        <f aca="false">_xlfn.MINIFS($B$2:$B$2705,$A$2:$A$2705,A1008)</f>
        <v>1901</v>
      </c>
      <c r="U1008" s="3" t="n">
        <f aca="false">B1008-T1008</f>
        <v>62</v>
      </c>
      <c r="V1008" s="3" t="str">
        <f aca="false">INDEX(Pop_Inputs!$Q$2:$Q$29,MATCH(C1008,Pop_Inputs!$A$2:$A$29,0))</f>
        <v>West</v>
      </c>
      <c r="W1008" s="30"/>
      <c r="X1008" s="3" t="str">
        <f aca="false">IF(W1008="","",LN(W1008))</f>
        <v/>
      </c>
      <c r="Y1008" s="3" t="str">
        <f aca="false">IF(X1008="","",X1008-AVERAGEIFS($X$2:$X$2705,$B$2:$B$2705,B1008))</f>
        <v/>
      </c>
      <c r="Z1008" s="21" t="n">
        <f aca="false">P1008</f>
        <v>0.207502372324729</v>
      </c>
      <c r="AA1008" s="3" t="n">
        <f aca="false">R1008</f>
        <v>0</v>
      </c>
      <c r="AB1008" s="21" t="n">
        <f aca="false">P1008</f>
        <v>0.207502372324729</v>
      </c>
      <c r="AC1008" s="3" t="str">
        <f aca="false">Y1008</f>
        <v/>
      </c>
      <c r="AD1008" s="3" t="n">
        <f aca="false">R1008</f>
        <v>0</v>
      </c>
    </row>
    <row r="1009" customFormat="false" ht="15" hidden="false" customHeight="true" outlineLevel="0" collapsed="false">
      <c r="A1009" s="7" t="s">
        <v>68</v>
      </c>
      <c r="B1009" s="7" t="n">
        <v>1963</v>
      </c>
      <c r="C1009" s="7" t="s">
        <v>153</v>
      </c>
      <c r="D1009" s="7" t="n">
        <v>91</v>
      </c>
      <c r="E1009" s="7" t="n">
        <v>70</v>
      </c>
      <c r="F1009" s="3" t="n">
        <f aca="false">COUNTIFS($B$2:$B$2705,B1009,$C$2:$C$2705,C1009)</f>
        <v>1</v>
      </c>
      <c r="G1009" s="3" t="n">
        <f aca="false">MIN(INT((MIN(B1009,2020)-1900)/10)+1,12)</f>
        <v>7</v>
      </c>
      <c r="H1009" s="3" t="n">
        <f aca="false">(MIN(B1009,2020)-1900-10*(G1009-1))/10</f>
        <v>0.3</v>
      </c>
      <c r="I1009" s="20" t="n">
        <f aca="false">EXP(LN(INDEX(Pop_Inputs!$B$2:$N$29,MATCH(C1009,Pop_Inputs!$A$2:$A$29,0),G1009))*(1-H1009)+LN(INDEX(Pop_Inputs!$B$2:$N$29,MATCH(C1009,Pop_Inputs!$A$2:$A$29,0),G1009+1))*H1009)</f>
        <v>467788.306157193</v>
      </c>
      <c r="J1009" s="20" t="n">
        <f aca="false">I1009/F1009</f>
        <v>467788.306157193</v>
      </c>
      <c r="K1009" s="21" t="n">
        <f aca="false">D1009/(D1009+E1009)</f>
        <v>0.565217391304348</v>
      </c>
      <c r="L1009" s="21" t="n">
        <f aca="false">AVERAGEIFS($K$2:$K$2705,$B$2:$B$2705,B1009)</f>
        <v>0.500036423587148</v>
      </c>
      <c r="M1009" s="21" t="n">
        <f aca="false">K1009-L1009</f>
        <v>0.0651809677171995</v>
      </c>
      <c r="N1009" s="21" t="n">
        <f aca="false">LN(J1009)</f>
        <v>13.0557711352935</v>
      </c>
      <c r="O1009" s="21" t="n">
        <f aca="false">AVERAGEIFS($N$2:$N$2705,$B$2:$B$2705,B1009)</f>
        <v>13.8609656477807</v>
      </c>
      <c r="P1009" s="21" t="n">
        <f aca="false">N1009-O1009</f>
        <v>-0.805194512487219</v>
      </c>
      <c r="Q1009" s="7" t="n">
        <v>0</v>
      </c>
      <c r="R1009" s="3" t="n">
        <f aca="false">IF(AND(Q1009=1,B1009-_xlfn.MINIFS($B$2:$B$2705,$A$2:$A$2705,A1009)&lt;10),1,0)</f>
        <v>0</v>
      </c>
      <c r="S1009" s="7" t="n">
        <v>0</v>
      </c>
      <c r="T1009" s="3" t="n">
        <f aca="false">_xlfn.MINIFS($B$2:$B$2705,$A$2:$A$2705,A1009)</f>
        <v>1901</v>
      </c>
      <c r="U1009" s="3" t="n">
        <f aca="false">B1009-T1009</f>
        <v>62</v>
      </c>
      <c r="V1009" s="3" t="str">
        <f aca="false">INDEX(Pop_Inputs!$Q$2:$Q$29,MATCH(C1009,Pop_Inputs!$A$2:$A$29,0))</f>
        <v>Midwest</v>
      </c>
      <c r="W1009" s="30"/>
      <c r="X1009" s="3" t="str">
        <f aca="false">IF(W1009="","",LN(W1009))</f>
        <v/>
      </c>
      <c r="Y1009" s="3" t="str">
        <f aca="false">IF(X1009="","",X1009-AVERAGEIFS($X$2:$X$2705,$B$2:$B$2705,B1009))</f>
        <v/>
      </c>
      <c r="Z1009" s="21" t="n">
        <f aca="false">P1009</f>
        <v>-0.805194512487219</v>
      </c>
      <c r="AA1009" s="3" t="n">
        <f aca="false">R1009</f>
        <v>0</v>
      </c>
      <c r="AB1009" s="21" t="n">
        <f aca="false">P1009</f>
        <v>-0.805194512487219</v>
      </c>
      <c r="AC1009" s="3" t="str">
        <f aca="false">Y1009</f>
        <v/>
      </c>
      <c r="AD1009" s="3" t="n">
        <f aca="false">R1009</f>
        <v>0</v>
      </c>
    </row>
    <row r="1010" customFormat="false" ht="15" hidden="false" customHeight="true" outlineLevel="0" collapsed="false">
      <c r="A1010" s="7" t="s">
        <v>75</v>
      </c>
      <c r="B1010" s="7" t="n">
        <v>1963</v>
      </c>
      <c r="C1010" s="7" t="s">
        <v>154</v>
      </c>
      <c r="D1010" s="7" t="n">
        <v>51</v>
      </c>
      <c r="E1010" s="7" t="n">
        <v>111</v>
      </c>
      <c r="F1010" s="3" t="n">
        <f aca="false">COUNTIFS($B$2:$B$2705,B1010,$C$2:$C$2705,C1010)</f>
        <v>2</v>
      </c>
      <c r="G1010" s="3" t="n">
        <f aca="false">MIN(INT((MIN(B1010,2020)-1900)/10)+1,12)</f>
        <v>7</v>
      </c>
      <c r="H1010" s="3" t="n">
        <f aca="false">(MIN(B1010,2020)-1900-10*(G1010-1))/10</f>
        <v>0.3</v>
      </c>
      <c r="I1010" s="20" t="n">
        <f aca="false">EXP(LN(INDEX(Pop_Inputs!$B$2:$N$29,MATCH(C1010,Pop_Inputs!$A$2:$A$29,0),G1010))*(1-H1010)+LN(INDEX(Pop_Inputs!$B$2:$N$29,MATCH(C1010,Pop_Inputs!$A$2:$A$29,0),G1010+1))*H1010)</f>
        <v>7815676.88287686</v>
      </c>
      <c r="J1010" s="20" t="n">
        <f aca="false">I1010/F1010</f>
        <v>3907838.44143843</v>
      </c>
      <c r="K1010" s="21" t="n">
        <f aca="false">D1010/(D1010+E1010)</f>
        <v>0.314814814814815</v>
      </c>
      <c r="L1010" s="21" t="n">
        <f aca="false">AVERAGEIFS($K$2:$K$2705,$B$2:$B$2705,B1010)</f>
        <v>0.500036423587148</v>
      </c>
      <c r="M1010" s="21" t="n">
        <f aca="false">K1010-L1010</f>
        <v>-0.185221608772333</v>
      </c>
      <c r="N1010" s="21" t="n">
        <f aca="false">LN(J1010)</f>
        <v>15.178494950819</v>
      </c>
      <c r="O1010" s="21" t="n">
        <f aca="false">AVERAGEIFS($N$2:$N$2705,$B$2:$B$2705,B1010)</f>
        <v>13.8609656477807</v>
      </c>
      <c r="P1010" s="21" t="n">
        <f aca="false">N1010-O1010</f>
        <v>1.31752930303836</v>
      </c>
      <c r="Q1010" s="7" t="n">
        <v>1</v>
      </c>
      <c r="R1010" s="3" t="n">
        <f aca="false">IF(AND(Q1010=1,B1010-_xlfn.MINIFS($B$2:$B$2705,$A$2:$A$2705,A1010)&lt;10),1,0)</f>
        <v>1</v>
      </c>
      <c r="S1010" s="7" t="n">
        <v>0</v>
      </c>
      <c r="T1010" s="3" t="n">
        <f aca="false">_xlfn.MINIFS($B$2:$B$2705,$A$2:$A$2705,A1010)</f>
        <v>1962</v>
      </c>
      <c r="U1010" s="3" t="n">
        <f aca="false">B1010-T1010</f>
        <v>1</v>
      </c>
      <c r="V1010" s="3" t="str">
        <f aca="false">INDEX(Pop_Inputs!$Q$2:$Q$29,MATCH(C1010,Pop_Inputs!$A$2:$A$29,0))</f>
        <v>Northeast</v>
      </c>
      <c r="W1010" s="30"/>
      <c r="X1010" s="3" t="str">
        <f aca="false">IF(W1010="","",LN(W1010))</f>
        <v/>
      </c>
      <c r="Y1010" s="3" t="str">
        <f aca="false">IF(X1010="","",X1010-AVERAGEIFS($X$2:$X$2705,$B$2:$B$2705,B1010))</f>
        <v/>
      </c>
      <c r="Z1010" s="21" t="n">
        <f aca="false">P1010</f>
        <v>1.31752930303836</v>
      </c>
      <c r="AA1010" s="3" t="n">
        <f aca="false">R1010</f>
        <v>1</v>
      </c>
      <c r="AB1010" s="21" t="n">
        <f aca="false">P1010</f>
        <v>1.31752930303836</v>
      </c>
      <c r="AC1010" s="3" t="str">
        <f aca="false">Y1010</f>
        <v/>
      </c>
      <c r="AD1010" s="3" t="n">
        <f aca="false">R1010</f>
        <v>1</v>
      </c>
    </row>
    <row r="1011" customFormat="false" ht="15" hidden="false" customHeight="true" outlineLevel="0" collapsed="false">
      <c r="A1011" s="7" t="s">
        <v>70</v>
      </c>
      <c r="B1011" s="7" t="n">
        <v>1963</v>
      </c>
      <c r="C1011" s="7" t="s">
        <v>154</v>
      </c>
      <c r="D1011" s="7" t="n">
        <v>104</v>
      </c>
      <c r="E1011" s="7" t="n">
        <v>57</v>
      </c>
      <c r="F1011" s="3" t="n">
        <f aca="false">COUNTIFS($B$2:$B$2705,B1011,$C$2:$C$2705,C1011)</f>
        <v>2</v>
      </c>
      <c r="G1011" s="3" t="n">
        <f aca="false">MIN(INT((MIN(B1011,2020)-1900)/10)+1,12)</f>
        <v>7</v>
      </c>
      <c r="H1011" s="3" t="n">
        <f aca="false">(MIN(B1011,2020)-1900-10*(G1011-1))/10</f>
        <v>0.3</v>
      </c>
      <c r="I1011" s="20" t="n">
        <f aca="false">EXP(LN(INDEX(Pop_Inputs!$B$2:$N$29,MATCH(C1011,Pop_Inputs!$A$2:$A$29,0),G1011))*(1-H1011)+LN(INDEX(Pop_Inputs!$B$2:$N$29,MATCH(C1011,Pop_Inputs!$A$2:$A$29,0),G1011+1))*H1011)</f>
        <v>7815676.88287686</v>
      </c>
      <c r="J1011" s="20" t="n">
        <f aca="false">I1011/F1011</f>
        <v>3907838.44143843</v>
      </c>
      <c r="K1011" s="21" t="n">
        <f aca="false">D1011/(D1011+E1011)</f>
        <v>0.645962732919255</v>
      </c>
      <c r="L1011" s="21" t="n">
        <f aca="false">AVERAGEIFS($K$2:$K$2705,$B$2:$B$2705,B1011)</f>
        <v>0.500036423587148</v>
      </c>
      <c r="M1011" s="21" t="n">
        <f aca="false">K1011-L1011</f>
        <v>0.145926309332106</v>
      </c>
      <c r="N1011" s="21" t="n">
        <f aca="false">LN(J1011)</f>
        <v>15.178494950819</v>
      </c>
      <c r="O1011" s="21" t="n">
        <f aca="false">AVERAGEIFS($N$2:$N$2705,$B$2:$B$2705,B1011)</f>
        <v>13.8609656477807</v>
      </c>
      <c r="P1011" s="21" t="n">
        <f aca="false">N1011-O1011</f>
        <v>1.31752930303836</v>
      </c>
      <c r="Q1011" s="7" t="n">
        <v>0</v>
      </c>
      <c r="R1011" s="3" t="n">
        <f aca="false">IF(AND(Q1011=1,B1011-_xlfn.MINIFS($B$2:$B$2705,$A$2:$A$2705,A1011)&lt;10),1,0)</f>
        <v>0</v>
      </c>
      <c r="S1011" s="7" t="n">
        <v>1</v>
      </c>
      <c r="T1011" s="3" t="n">
        <f aca="false">_xlfn.MINIFS($B$2:$B$2705,$A$2:$A$2705,A1011)</f>
        <v>1903</v>
      </c>
      <c r="U1011" s="3" t="n">
        <f aca="false">B1011-T1011</f>
        <v>60</v>
      </c>
      <c r="V1011" s="3" t="str">
        <f aca="false">INDEX(Pop_Inputs!$Q$2:$Q$29,MATCH(C1011,Pop_Inputs!$A$2:$A$29,0))</f>
        <v>Northeast</v>
      </c>
      <c r="W1011" s="30"/>
      <c r="X1011" s="3" t="str">
        <f aca="false">IF(W1011="","",LN(W1011))</f>
        <v/>
      </c>
      <c r="Y1011" s="3" t="str">
        <f aca="false">IF(X1011="","",X1011-AVERAGEIFS($X$2:$X$2705,$B$2:$B$2705,B1011))</f>
        <v/>
      </c>
      <c r="Z1011" s="21" t="n">
        <f aca="false">P1011</f>
        <v>1.31752930303836</v>
      </c>
      <c r="AA1011" s="3" t="n">
        <f aca="false">R1011</f>
        <v>0</v>
      </c>
      <c r="AB1011" s="21" t="n">
        <f aca="false">P1011</f>
        <v>1.31752930303836</v>
      </c>
      <c r="AC1011" s="3" t="str">
        <f aca="false">Y1011</f>
        <v/>
      </c>
      <c r="AD1011" s="3" t="n">
        <f aca="false">R1011</f>
        <v>0</v>
      </c>
    </row>
    <row r="1012" customFormat="false" ht="15" hidden="false" customHeight="true" outlineLevel="0" collapsed="false">
      <c r="A1012" s="7" t="s">
        <v>69</v>
      </c>
      <c r="B1012" s="7" t="n">
        <v>1963</v>
      </c>
      <c r="C1012" s="7" t="s">
        <v>157</v>
      </c>
      <c r="D1012" s="7" t="n">
        <v>73</v>
      </c>
      <c r="E1012" s="7" t="n">
        <v>89</v>
      </c>
      <c r="F1012" s="3" t="n">
        <f aca="false">COUNTIFS($B$2:$B$2705,B1012,$C$2:$C$2705,C1012)</f>
        <v>1</v>
      </c>
      <c r="G1012" s="3" t="n">
        <f aca="false">MIN(INT((MIN(B1012,2020)-1900)/10)+1,12)</f>
        <v>7</v>
      </c>
      <c r="H1012" s="3" t="n">
        <f aca="false">(MIN(B1012,2020)-1900-10*(G1012-1))/10</f>
        <v>0.3</v>
      </c>
      <c r="I1012" s="20" t="n">
        <f aca="false">EXP(LN(INDEX(Pop_Inputs!$B$2:$N$29,MATCH(C1012,Pop_Inputs!$A$2:$A$29,0),G1012))*(1-H1012)+LN(INDEX(Pop_Inputs!$B$2:$N$29,MATCH(C1012,Pop_Inputs!$A$2:$A$29,0),G1012+1))*H1012)</f>
        <v>484791.549757792</v>
      </c>
      <c r="J1012" s="20" t="n">
        <f aca="false">I1012/F1012</f>
        <v>484791.549757792</v>
      </c>
      <c r="K1012" s="21" t="n">
        <f aca="false">D1012/(D1012+E1012)</f>
        <v>0.450617283950617</v>
      </c>
      <c r="L1012" s="21" t="n">
        <f aca="false">AVERAGEIFS($K$2:$K$2705,$B$2:$B$2705,B1012)</f>
        <v>0.500036423587148</v>
      </c>
      <c r="M1012" s="21" t="n">
        <f aca="false">K1012-L1012</f>
        <v>-0.049419139636531</v>
      </c>
      <c r="N1012" s="21" t="n">
        <f aca="false">LN(J1012)</f>
        <v>13.0914742832177</v>
      </c>
      <c r="O1012" s="21" t="n">
        <f aca="false">AVERAGEIFS($N$2:$N$2705,$B$2:$B$2705,B1012)</f>
        <v>13.8609656477807</v>
      </c>
      <c r="P1012" s="21" t="n">
        <f aca="false">N1012-O1012</f>
        <v>-0.769491364562942</v>
      </c>
      <c r="Q1012" s="7" t="n">
        <v>0</v>
      </c>
      <c r="R1012" s="3" t="n">
        <f aca="false">IF(AND(Q1012=1,B1012-_xlfn.MINIFS($B$2:$B$2705,$A$2:$A$2705,A1012)&lt;10),1,0)</f>
        <v>0</v>
      </c>
      <c r="S1012" s="7" t="n">
        <v>0</v>
      </c>
      <c r="T1012" s="3" t="n">
        <f aca="false">_xlfn.MINIFS($B$2:$B$2705,$A$2:$A$2705,A1012)</f>
        <v>1901</v>
      </c>
      <c r="U1012" s="3" t="n">
        <f aca="false">B1012-T1012</f>
        <v>62</v>
      </c>
      <c r="V1012" s="3" t="str">
        <f aca="false">INDEX(Pop_Inputs!$Q$2:$Q$29,MATCH(C1012,Pop_Inputs!$A$2:$A$29,0))</f>
        <v>Midwest</v>
      </c>
      <c r="W1012" s="30"/>
      <c r="X1012" s="3" t="str">
        <f aca="false">IF(W1012="","",LN(W1012))</f>
        <v/>
      </c>
      <c r="Y1012" s="3" t="str">
        <f aca="false">IF(X1012="","",X1012-AVERAGEIFS($X$2:$X$2705,$B$2:$B$2705,B1012))</f>
        <v/>
      </c>
      <c r="Z1012" s="21" t="n">
        <f aca="false">P1012</f>
        <v>-0.769491364562942</v>
      </c>
      <c r="AA1012" s="3" t="n">
        <f aca="false">R1012</f>
        <v>0</v>
      </c>
      <c r="AB1012" s="21" t="n">
        <f aca="false">P1012</f>
        <v>-0.769491364562942</v>
      </c>
      <c r="AC1012" s="3" t="str">
        <f aca="false">Y1012</f>
        <v/>
      </c>
      <c r="AD1012" s="3" t="n">
        <f aca="false">R1012</f>
        <v>0</v>
      </c>
    </row>
    <row r="1013" customFormat="false" ht="15" hidden="false" customHeight="true" outlineLevel="0" collapsed="false">
      <c r="A1013" s="7" t="s">
        <v>60</v>
      </c>
      <c r="B1013" s="7" t="n">
        <v>1963</v>
      </c>
      <c r="C1013" s="7" t="s">
        <v>146</v>
      </c>
      <c r="D1013" s="7" t="n">
        <v>87</v>
      </c>
      <c r="E1013" s="7" t="n">
        <v>75</v>
      </c>
      <c r="F1013" s="3" t="n">
        <f aca="false">COUNTIFS($B$2:$B$2705,B1013,$C$2:$C$2705,C1013)</f>
        <v>1</v>
      </c>
      <c r="G1013" s="3" t="n">
        <f aca="false">MIN(INT((MIN(B1013,2020)-1900)/10)+1,12)</f>
        <v>7</v>
      </c>
      <c r="H1013" s="3" t="n">
        <f aca="false">(MIN(B1013,2020)-1900-10*(G1013-1))/10</f>
        <v>0.3</v>
      </c>
      <c r="I1013" s="20" t="n">
        <f aca="false">EXP(LN(INDEX(Pop_Inputs!$B$2:$N$29,MATCH(C1013,Pop_Inputs!$A$2:$A$29,0),G1013))*(1-H1013)+LN(INDEX(Pop_Inputs!$B$2:$N$29,MATCH(C1013,Pop_Inputs!$A$2:$A$29,0),G1013+1))*H1013)</f>
        <v>1986186.38392834</v>
      </c>
      <c r="J1013" s="20" t="n">
        <f aca="false">I1013/F1013</f>
        <v>1986186.38392834</v>
      </c>
      <c r="K1013" s="21" t="n">
        <f aca="false">D1013/(D1013+E1013)</f>
        <v>0.537037037037037</v>
      </c>
      <c r="L1013" s="21" t="n">
        <f aca="false">AVERAGEIFS($K$2:$K$2705,$B$2:$B$2705,B1013)</f>
        <v>0.500036423587148</v>
      </c>
      <c r="M1013" s="21" t="n">
        <f aca="false">K1013-L1013</f>
        <v>0.0370006134498888</v>
      </c>
      <c r="N1013" s="21" t="n">
        <f aca="false">LN(J1013)</f>
        <v>14.5017269680902</v>
      </c>
      <c r="O1013" s="21" t="n">
        <f aca="false">AVERAGEIFS($N$2:$N$2705,$B$2:$B$2705,B1013)</f>
        <v>13.8609656477807</v>
      </c>
      <c r="P1013" s="21" t="n">
        <f aca="false">N1013-O1013</f>
        <v>0.640761320309554</v>
      </c>
      <c r="Q1013" s="7" t="n">
        <v>0</v>
      </c>
      <c r="R1013" s="3" t="n">
        <f aca="false">IF(AND(Q1013=1,B1013-_xlfn.MINIFS($B$2:$B$2705,$A$2:$A$2705,A1013)&lt;10),1,0)</f>
        <v>0</v>
      </c>
      <c r="S1013" s="7" t="n">
        <v>0</v>
      </c>
      <c r="T1013" s="3" t="n">
        <f aca="false">_xlfn.MINIFS($B$2:$B$2705,$A$2:$A$2705,A1013)</f>
        <v>1901</v>
      </c>
      <c r="U1013" s="3" t="n">
        <f aca="false">B1013-T1013</f>
        <v>62</v>
      </c>
      <c r="V1013" s="3" t="str">
        <f aca="false">INDEX(Pop_Inputs!$Q$2:$Q$29,MATCH(C1013,Pop_Inputs!$A$2:$A$29,0))</f>
        <v>Northeast</v>
      </c>
      <c r="W1013" s="30"/>
      <c r="X1013" s="3" t="str">
        <f aca="false">IF(W1013="","",LN(W1013))</f>
        <v/>
      </c>
      <c r="Y1013" s="3" t="str">
        <f aca="false">IF(X1013="","",X1013-AVERAGEIFS($X$2:$X$2705,$B$2:$B$2705,B1013))</f>
        <v/>
      </c>
      <c r="Z1013" s="21" t="n">
        <f aca="false">P1013</f>
        <v>0.640761320309554</v>
      </c>
      <c r="AA1013" s="3" t="n">
        <f aca="false">R1013</f>
        <v>0</v>
      </c>
      <c r="AB1013" s="21" t="n">
        <f aca="false">P1013</f>
        <v>0.640761320309554</v>
      </c>
      <c r="AC1013" s="3" t="str">
        <f aca="false">Y1013</f>
        <v/>
      </c>
      <c r="AD1013" s="3" t="n">
        <f aca="false">R1013</f>
        <v>0</v>
      </c>
    </row>
    <row r="1014" customFormat="false" ht="15" hidden="false" customHeight="true" outlineLevel="0" collapsed="false">
      <c r="A1014" s="7" t="s">
        <v>58</v>
      </c>
      <c r="B1014" s="7" t="n">
        <v>1963</v>
      </c>
      <c r="C1014" s="7" t="s">
        <v>144</v>
      </c>
      <c r="D1014" s="7" t="n">
        <v>74</v>
      </c>
      <c r="E1014" s="7" t="n">
        <v>88</v>
      </c>
      <c r="F1014" s="3" t="n">
        <f aca="false">COUNTIFS($B$2:$B$2705,B1014,$C$2:$C$2705,C1014)</f>
        <v>1</v>
      </c>
      <c r="G1014" s="3" t="n">
        <f aca="false">MIN(INT((MIN(B1014,2020)-1900)/10)+1,12)</f>
        <v>7</v>
      </c>
      <c r="H1014" s="3" t="n">
        <f aca="false">(MIN(B1014,2020)-1900-10*(G1014-1))/10</f>
        <v>0.3</v>
      </c>
      <c r="I1014" s="20" t="n">
        <f aca="false">EXP(LN(INDEX(Pop_Inputs!$B$2:$N$29,MATCH(C1014,Pop_Inputs!$A$2:$A$29,0),G1014))*(1-H1014)+LN(INDEX(Pop_Inputs!$B$2:$N$29,MATCH(C1014,Pop_Inputs!$A$2:$A$29,0),G1014+1))*H1014)</f>
        <v>577727.749995086</v>
      </c>
      <c r="J1014" s="20" t="n">
        <f aca="false">I1014/F1014</f>
        <v>577727.749995086</v>
      </c>
      <c r="K1014" s="21" t="n">
        <f aca="false">D1014/(D1014+E1014)</f>
        <v>0.45679012345679</v>
      </c>
      <c r="L1014" s="21" t="n">
        <f aca="false">AVERAGEIFS($K$2:$K$2705,$B$2:$B$2705,B1014)</f>
        <v>0.500036423587148</v>
      </c>
      <c r="M1014" s="21" t="n">
        <f aca="false">K1014-L1014</f>
        <v>-0.0432463001303582</v>
      </c>
      <c r="N1014" s="21" t="n">
        <f aca="false">LN(J1014)</f>
        <v>13.2668580159196</v>
      </c>
      <c r="O1014" s="21" t="n">
        <f aca="false">AVERAGEIFS($N$2:$N$2705,$B$2:$B$2705,B1014)</f>
        <v>13.8609656477807</v>
      </c>
      <c r="P1014" s="21" t="n">
        <f aca="false">N1014-O1014</f>
        <v>-0.594107631861045</v>
      </c>
      <c r="Q1014" s="7" t="n">
        <v>0</v>
      </c>
      <c r="R1014" s="3" t="n">
        <f aca="false">IF(AND(Q1014=1,B1014-_xlfn.MINIFS($B$2:$B$2705,$A$2:$A$2705,A1014)&lt;10),1,0)</f>
        <v>0</v>
      </c>
      <c r="S1014" s="7" t="n">
        <v>0</v>
      </c>
      <c r="T1014" s="3" t="n">
        <f aca="false">_xlfn.MINIFS($B$2:$B$2705,$A$2:$A$2705,A1014)</f>
        <v>1901</v>
      </c>
      <c r="U1014" s="3" t="n">
        <f aca="false">B1014-T1014</f>
        <v>62</v>
      </c>
      <c r="V1014" s="3" t="str">
        <f aca="false">INDEX(Pop_Inputs!$Q$2:$Q$29,MATCH(C1014,Pop_Inputs!$A$2:$A$29,0))</f>
        <v>Northeast</v>
      </c>
      <c r="W1014" s="30"/>
      <c r="X1014" s="3" t="str">
        <f aca="false">IF(W1014="","",LN(W1014))</f>
        <v/>
      </c>
      <c r="Y1014" s="3" t="str">
        <f aca="false">IF(X1014="","",X1014-AVERAGEIFS($X$2:$X$2705,$B$2:$B$2705,B1014))</f>
        <v/>
      </c>
      <c r="Z1014" s="21" t="n">
        <f aca="false">P1014</f>
        <v>-0.594107631861045</v>
      </c>
      <c r="AA1014" s="3" t="n">
        <f aca="false">R1014</f>
        <v>0</v>
      </c>
      <c r="AB1014" s="21" t="n">
        <f aca="false">P1014</f>
        <v>-0.594107631861045</v>
      </c>
      <c r="AC1014" s="3" t="str">
        <f aca="false">Y1014</f>
        <v/>
      </c>
      <c r="AD1014" s="3" t="n">
        <f aca="false">R1014</f>
        <v>0</v>
      </c>
    </row>
    <row r="1015" customFormat="false" ht="15" hidden="false" customHeight="true" outlineLevel="0" collapsed="false">
      <c r="A1015" s="7" t="s">
        <v>61</v>
      </c>
      <c r="B1015" s="7" t="n">
        <v>1963</v>
      </c>
      <c r="C1015" s="7" t="s">
        <v>147</v>
      </c>
      <c r="D1015" s="7" t="n">
        <v>88</v>
      </c>
      <c r="E1015" s="7" t="n">
        <v>74</v>
      </c>
      <c r="F1015" s="3" t="n">
        <f aca="false">COUNTIFS($B$2:$B$2705,B1015,$C$2:$C$2705,C1015)</f>
        <v>1</v>
      </c>
      <c r="G1015" s="3" t="n">
        <f aca="false">MIN(INT((MIN(B1015,2020)-1900)/10)+1,12)</f>
        <v>7</v>
      </c>
      <c r="H1015" s="3" t="n">
        <f aca="false">(MIN(B1015,2020)-1900-10*(G1015-1))/10</f>
        <v>0.3</v>
      </c>
      <c r="I1015" s="20" t="n">
        <f aca="false">EXP(LN(INDEX(Pop_Inputs!$B$2:$N$29,MATCH(C1015,Pop_Inputs!$A$2:$A$29,0),G1015))*(1-H1015)+LN(INDEX(Pop_Inputs!$B$2:$N$29,MATCH(C1015,Pop_Inputs!$A$2:$A$29,0),G1015+1))*H1015)</f>
        <v>732835.614137088</v>
      </c>
      <c r="J1015" s="20" t="n">
        <f aca="false">I1015/F1015</f>
        <v>732835.614137088</v>
      </c>
      <c r="K1015" s="21" t="n">
        <f aca="false">D1015/(D1015+E1015)</f>
        <v>0.54320987654321</v>
      </c>
      <c r="L1015" s="21" t="n">
        <f aca="false">AVERAGEIFS($K$2:$K$2705,$B$2:$B$2705,B1015)</f>
        <v>0.500036423587148</v>
      </c>
      <c r="M1015" s="21" t="n">
        <f aca="false">K1015-L1015</f>
        <v>0.0431734529560616</v>
      </c>
      <c r="N1015" s="21" t="n">
        <f aca="false">LN(J1015)</f>
        <v>13.504676691239</v>
      </c>
      <c r="O1015" s="21" t="n">
        <f aca="false">AVERAGEIFS($N$2:$N$2705,$B$2:$B$2705,B1015)</f>
        <v>13.8609656477807</v>
      </c>
      <c r="P1015" s="21" t="n">
        <f aca="false">N1015-O1015</f>
        <v>-0.356288956541667</v>
      </c>
      <c r="Q1015" s="7" t="n">
        <v>0</v>
      </c>
      <c r="R1015" s="3" t="n">
        <f aca="false">IF(AND(Q1015=1,B1015-_xlfn.MINIFS($B$2:$B$2705,$A$2:$A$2705,A1015)&lt;10),1,0)</f>
        <v>0</v>
      </c>
      <c r="S1015" s="7" t="n">
        <v>0</v>
      </c>
      <c r="T1015" s="3" t="n">
        <f aca="false">_xlfn.MINIFS($B$2:$B$2705,$A$2:$A$2705,A1015)</f>
        <v>1901</v>
      </c>
      <c r="U1015" s="3" t="n">
        <f aca="false">B1015-T1015</f>
        <v>62</v>
      </c>
      <c r="V1015" s="3" t="str">
        <f aca="false">INDEX(Pop_Inputs!$Q$2:$Q$29,MATCH(C1015,Pop_Inputs!$A$2:$A$29,0))</f>
        <v>West</v>
      </c>
      <c r="W1015" s="30"/>
      <c r="X1015" s="3" t="str">
        <f aca="false">IF(W1015="","",LN(W1015))</f>
        <v/>
      </c>
      <c r="Y1015" s="3" t="str">
        <f aca="false">IF(X1015="","",X1015-AVERAGEIFS($X$2:$X$2705,$B$2:$B$2705,B1015))</f>
        <v/>
      </c>
      <c r="Z1015" s="21" t="n">
        <f aca="false">P1015</f>
        <v>-0.356288956541667</v>
      </c>
      <c r="AA1015" s="3" t="n">
        <f aca="false">R1015</f>
        <v>0</v>
      </c>
      <c r="AB1015" s="21" t="n">
        <f aca="false">P1015</f>
        <v>-0.356288956541667</v>
      </c>
      <c r="AC1015" s="3" t="str">
        <f aca="false">Y1015</f>
        <v/>
      </c>
      <c r="AD1015" s="3" t="n">
        <f aca="false">R1015</f>
        <v>0</v>
      </c>
    </row>
    <row r="1016" customFormat="false" ht="15" hidden="false" customHeight="true" outlineLevel="0" collapsed="false">
      <c r="A1016" s="7" t="s">
        <v>59</v>
      </c>
      <c r="B1016" s="7" t="n">
        <v>1963</v>
      </c>
      <c r="C1016" s="7" t="s">
        <v>145</v>
      </c>
      <c r="D1016" s="7" t="n">
        <v>93</v>
      </c>
      <c r="E1016" s="7" t="n">
        <v>69</v>
      </c>
      <c r="F1016" s="3" t="n">
        <f aca="false">COUNTIFS($B$2:$B$2705,B1016,$C$2:$C$2705,C1016)</f>
        <v>1</v>
      </c>
      <c r="G1016" s="3" t="n">
        <f aca="false">MIN(INT((MIN(B1016,2020)-1900)/10)+1,12)</f>
        <v>7</v>
      </c>
      <c r="H1016" s="3" t="n">
        <f aca="false">(MIN(B1016,2020)-1900-10*(G1016-1))/10</f>
        <v>0.3</v>
      </c>
      <c r="I1016" s="20" t="n">
        <f aca="false">EXP(LN(INDEX(Pop_Inputs!$B$2:$N$29,MATCH(C1016,Pop_Inputs!$A$2:$A$29,0),G1016))*(1-H1016)+LN(INDEX(Pop_Inputs!$B$2:$N$29,MATCH(C1016,Pop_Inputs!$A$2:$A$29,0),G1016+1))*H1016)</f>
        <v>709153.030684087</v>
      </c>
      <c r="J1016" s="20" t="n">
        <f aca="false">I1016/F1016</f>
        <v>709153.030684087</v>
      </c>
      <c r="K1016" s="21" t="n">
        <f aca="false">D1016/(D1016+E1016)</f>
        <v>0.574074074074074</v>
      </c>
      <c r="L1016" s="21" t="n">
        <f aca="false">AVERAGEIFS($K$2:$K$2705,$B$2:$B$2705,B1016)</f>
        <v>0.500036423587148</v>
      </c>
      <c r="M1016" s="21" t="n">
        <f aca="false">K1016-L1016</f>
        <v>0.0740376504869258</v>
      </c>
      <c r="N1016" s="21" t="n">
        <f aca="false">LN(J1016)</f>
        <v>13.4718266223991</v>
      </c>
      <c r="O1016" s="21" t="n">
        <f aca="false">AVERAGEIFS($N$2:$N$2705,$B$2:$B$2705,B1016)</f>
        <v>13.8609656477807</v>
      </c>
      <c r="P1016" s="21" t="n">
        <f aca="false">N1016-O1016</f>
        <v>-0.389139025381541</v>
      </c>
      <c r="Q1016" s="7" t="n">
        <v>0</v>
      </c>
      <c r="R1016" s="3" t="n">
        <f aca="false">IF(AND(Q1016=1,B1016-_xlfn.MINIFS($B$2:$B$2705,$A$2:$A$2705,A1016)&lt;10),1,0)</f>
        <v>0</v>
      </c>
      <c r="S1016" s="7" t="n">
        <v>0</v>
      </c>
      <c r="T1016" s="3" t="n">
        <f aca="false">_xlfn.MINIFS($B$2:$B$2705,$A$2:$A$2705,A1016)</f>
        <v>1901</v>
      </c>
      <c r="U1016" s="3" t="n">
        <f aca="false">B1016-T1016</f>
        <v>62</v>
      </c>
      <c r="V1016" s="3" t="str">
        <f aca="false">INDEX(Pop_Inputs!$Q$2:$Q$29,MATCH(C1016,Pop_Inputs!$A$2:$A$29,0))</f>
        <v>Midwest</v>
      </c>
      <c r="W1016" s="30"/>
      <c r="X1016" s="3" t="str">
        <f aca="false">IF(W1016="","",LN(W1016))</f>
        <v/>
      </c>
      <c r="Y1016" s="3" t="str">
        <f aca="false">IF(X1016="","",X1016-AVERAGEIFS($X$2:$X$2705,$B$2:$B$2705,B1016))</f>
        <v/>
      </c>
      <c r="Z1016" s="21" t="n">
        <f aca="false">P1016</f>
        <v>-0.389139025381541</v>
      </c>
      <c r="AA1016" s="3" t="n">
        <f aca="false">R1016</f>
        <v>0</v>
      </c>
      <c r="AB1016" s="21" t="n">
        <f aca="false">P1016</f>
        <v>-0.389139025381541</v>
      </c>
      <c r="AC1016" s="3" t="str">
        <f aca="false">Y1016</f>
        <v/>
      </c>
      <c r="AD1016" s="3" t="n">
        <f aca="false">R1016</f>
        <v>0</v>
      </c>
    </row>
    <row r="1017" customFormat="false" ht="15" hidden="false" customHeight="true" outlineLevel="0" collapsed="false">
      <c r="A1017" s="7" t="s">
        <v>73</v>
      </c>
      <c r="B1017" s="7" t="n">
        <v>1963</v>
      </c>
      <c r="C1017" s="7" t="s">
        <v>160</v>
      </c>
      <c r="D1017" s="7" t="n">
        <v>56</v>
      </c>
      <c r="E1017" s="7" t="n">
        <v>106</v>
      </c>
      <c r="F1017" s="3" t="n">
        <f aca="false">COUNTIFS($B$2:$B$2705,B1017,$C$2:$C$2705,C1017)</f>
        <v>1</v>
      </c>
      <c r="G1017" s="3" t="n">
        <f aca="false">MIN(INT((MIN(B1017,2020)-1900)/10)+1,12)</f>
        <v>7</v>
      </c>
      <c r="H1017" s="3" t="n">
        <f aca="false">(MIN(B1017,2020)-1900-10*(G1017-1))/10</f>
        <v>0.3</v>
      </c>
      <c r="I1017" s="20" t="n">
        <f aca="false">EXP(LN(INDEX(Pop_Inputs!$B$2:$N$29,MATCH(C1017,Pop_Inputs!$A$2:$A$29,0),G1017))*(1-H1017)+LN(INDEX(Pop_Inputs!$B$2:$N$29,MATCH(C1017,Pop_Inputs!$A$2:$A$29,0),G1017+1))*H1017)</f>
        <v>761714.537422613</v>
      </c>
      <c r="J1017" s="20" t="n">
        <f aca="false">I1017/F1017</f>
        <v>761714.537422613</v>
      </c>
      <c r="K1017" s="21" t="n">
        <f aca="false">D1017/(D1017+E1017)</f>
        <v>0.345679012345679</v>
      </c>
      <c r="L1017" s="21" t="n">
        <f aca="false">AVERAGEIFS($K$2:$K$2705,$B$2:$B$2705,B1017)</f>
        <v>0.500036423587148</v>
      </c>
      <c r="M1017" s="21" t="n">
        <f aca="false">K1017-L1017</f>
        <v>-0.154357411241469</v>
      </c>
      <c r="N1017" s="21" t="n">
        <f aca="false">LN(J1017)</f>
        <v>13.5433271416752</v>
      </c>
      <c r="O1017" s="21" t="n">
        <f aca="false">AVERAGEIFS($N$2:$N$2705,$B$2:$B$2705,B1017)</f>
        <v>13.8609656477807</v>
      </c>
      <c r="P1017" s="21" t="n">
        <f aca="false">N1017-O1017</f>
        <v>-0.317638506105522</v>
      </c>
      <c r="Q1017" s="7" t="n">
        <v>1</v>
      </c>
      <c r="R1017" s="3" t="n">
        <f aca="false">IF(AND(Q1017=1,B1017-_xlfn.MINIFS($B$2:$B$2705,$A$2:$A$2705,A1017)&lt;10),1,0)</f>
        <v>1</v>
      </c>
      <c r="S1017" s="7" t="n">
        <v>0</v>
      </c>
      <c r="T1017" s="3" t="n">
        <f aca="false">_xlfn.MINIFS($B$2:$B$2705,$A$2:$A$2705,A1017)</f>
        <v>1961</v>
      </c>
      <c r="U1017" s="3" t="n">
        <f aca="false">B1017-T1017</f>
        <v>2</v>
      </c>
      <c r="V1017" s="3" t="str">
        <f aca="false">INDEX(Pop_Inputs!$Q$2:$Q$29,MATCH(C1017,Pop_Inputs!$A$2:$A$29,0))</f>
        <v>South</v>
      </c>
      <c r="W1017" s="30"/>
      <c r="X1017" s="3" t="str">
        <f aca="false">IF(W1017="","",LN(W1017))</f>
        <v/>
      </c>
      <c r="Y1017" s="3" t="str">
        <f aca="false">IF(X1017="","",X1017-AVERAGEIFS($X$2:$X$2705,$B$2:$B$2705,B1017))</f>
        <v/>
      </c>
      <c r="Z1017" s="21" t="n">
        <f aca="false">P1017</f>
        <v>-0.317638506105522</v>
      </c>
      <c r="AA1017" s="3" t="n">
        <f aca="false">R1017</f>
        <v>1</v>
      </c>
      <c r="AB1017" s="21" t="n">
        <f aca="false">P1017</f>
        <v>-0.317638506105522</v>
      </c>
      <c r="AC1017" s="3" t="str">
        <f aca="false">Y1017</f>
        <v/>
      </c>
      <c r="AD1017" s="3" t="n">
        <f aca="false">R1017</f>
        <v>1</v>
      </c>
    </row>
    <row r="1018" customFormat="false" ht="15" hidden="false" customHeight="true" outlineLevel="0" collapsed="false">
      <c r="A1018" s="7" t="s">
        <v>71</v>
      </c>
      <c r="B1018" s="7" t="n">
        <v>1964</v>
      </c>
      <c r="C1018" s="7" t="s">
        <v>148</v>
      </c>
      <c r="D1018" s="7" t="n">
        <v>82</v>
      </c>
      <c r="E1018" s="7" t="n">
        <v>80</v>
      </c>
      <c r="F1018" s="3" t="n">
        <f aca="false">COUNTIFS($B$2:$B$2705,B1018,$C$2:$C$2705,C1018)</f>
        <v>2</v>
      </c>
      <c r="G1018" s="3" t="n">
        <f aca="false">MIN(INT((MIN(B1018,2020)-1900)/10)+1,12)</f>
        <v>7</v>
      </c>
      <c r="H1018" s="3" t="n">
        <f aca="false">(MIN(B1018,2020)-1900-10*(G1018-1))/10</f>
        <v>0.4</v>
      </c>
      <c r="I1018" s="20" t="n">
        <f aca="false">EXP(LN(INDEX(Pop_Inputs!$B$2:$N$29,MATCH(C1018,Pop_Inputs!$A$2:$A$29,0),G1018))*(1-H1018)+LN(INDEX(Pop_Inputs!$B$2:$N$29,MATCH(C1018,Pop_Inputs!$A$2:$A$29,0),G1018+1))*H1018)</f>
        <v>2608701.06788718</v>
      </c>
      <c r="J1018" s="20" t="n">
        <f aca="false">I1018/F1018</f>
        <v>1304350.53394359</v>
      </c>
      <c r="K1018" s="21" t="n">
        <f aca="false">D1018/(D1018+E1018)</f>
        <v>0.506172839506173</v>
      </c>
      <c r="L1018" s="21" t="n">
        <f aca="false">AVERAGEIFS($K$2:$K$2705,$B$2:$B$2705,B1018)</f>
        <v>0.5</v>
      </c>
      <c r="M1018" s="21" t="n">
        <f aca="false">K1018-L1018</f>
        <v>0.00617283950617287</v>
      </c>
      <c r="N1018" s="21" t="n">
        <f aca="false">LN(J1018)</f>
        <v>14.0812157997185</v>
      </c>
      <c r="O1018" s="21" t="n">
        <f aca="false">AVERAGEIFS($N$2:$N$2705,$B$2:$B$2705,B1018)</f>
        <v>13.8584123144674</v>
      </c>
      <c r="P1018" s="21" t="n">
        <f aca="false">N1018-O1018</f>
        <v>0.222803485251129</v>
      </c>
      <c r="Q1018" s="7" t="n">
        <v>1</v>
      </c>
      <c r="R1018" s="3" t="n">
        <f aca="false">IF(AND(Q1018=1,B1018-_xlfn.MINIFS($B$2:$B$2705,$A$2:$A$2705,A1018)&lt;10),1,0)</f>
        <v>1</v>
      </c>
      <c r="S1018" s="7" t="n">
        <v>0</v>
      </c>
      <c r="T1018" s="3" t="n">
        <f aca="false">_xlfn.MINIFS($B$2:$B$2705,$A$2:$A$2705,A1018)</f>
        <v>1961</v>
      </c>
      <c r="U1018" s="3" t="n">
        <f aca="false">B1018-T1018</f>
        <v>3</v>
      </c>
      <c r="V1018" s="3" t="str">
        <f aca="false">INDEX(Pop_Inputs!$Q$2:$Q$29,MATCH(C1018,Pop_Inputs!$A$2:$A$29,0))</f>
        <v>West</v>
      </c>
      <c r="W1018" s="30"/>
      <c r="X1018" s="3" t="str">
        <f aca="false">IF(W1018="","",LN(W1018))</f>
        <v/>
      </c>
      <c r="Y1018" s="3" t="str">
        <f aca="false">IF(X1018="","",X1018-AVERAGEIFS($X$2:$X$2705,$B$2:$B$2705,B1018))</f>
        <v/>
      </c>
      <c r="Z1018" s="21" t="n">
        <f aca="false">P1018</f>
        <v>0.222803485251129</v>
      </c>
      <c r="AA1018" s="3" t="n">
        <f aca="false">R1018</f>
        <v>1</v>
      </c>
      <c r="AB1018" s="21" t="n">
        <f aca="false">P1018</f>
        <v>0.222803485251129</v>
      </c>
      <c r="AC1018" s="3" t="str">
        <f aca="false">Y1018</f>
        <v/>
      </c>
      <c r="AD1018" s="3" t="n">
        <f aca="false">R1018</f>
        <v>1</v>
      </c>
    </row>
    <row r="1019" customFormat="false" ht="15" hidden="false" customHeight="true" outlineLevel="0" collapsed="false">
      <c r="A1019" s="7" t="s">
        <v>54</v>
      </c>
      <c r="B1019" s="7" t="n">
        <v>1964</v>
      </c>
      <c r="C1019" s="7" t="s">
        <v>158</v>
      </c>
      <c r="D1019" s="7" t="n">
        <v>88</v>
      </c>
      <c r="E1019" s="7" t="n">
        <v>74</v>
      </c>
      <c r="F1019" s="3" t="n">
        <f aca="false">COUNTIFS($B$2:$B$2705,B1019,$C$2:$C$2705,C1019)</f>
        <v>1</v>
      </c>
      <c r="G1019" s="3" t="n">
        <f aca="false">MIN(INT((MIN(B1019,2020)-1900)/10)+1,12)</f>
        <v>7</v>
      </c>
      <c r="H1019" s="3" t="n">
        <f aca="false">(MIN(B1019,2020)-1900-10*(G1019-1))/10</f>
        <v>0.4</v>
      </c>
      <c r="I1019" s="20" t="n">
        <f aca="false">EXP(LN(INDEX(Pop_Inputs!$B$2:$N$29,MATCH(C1019,Pop_Inputs!$A$2:$A$29,0),G1019))*(1-H1019)+LN(INDEX(Pop_Inputs!$B$2:$N$29,MATCH(C1019,Pop_Inputs!$A$2:$A$29,0),G1019+1))*H1019)</f>
        <v>731537.313383818</v>
      </c>
      <c r="J1019" s="20" t="n">
        <f aca="false">I1019/F1019</f>
        <v>731537.313383818</v>
      </c>
      <c r="K1019" s="21" t="n">
        <f aca="false">D1019/(D1019+E1019)</f>
        <v>0.54320987654321</v>
      </c>
      <c r="L1019" s="21" t="n">
        <f aca="false">AVERAGEIFS($K$2:$K$2705,$B$2:$B$2705,B1019)</f>
        <v>0.5</v>
      </c>
      <c r="M1019" s="21" t="n">
        <f aca="false">K1019-L1019</f>
        <v>0.0432098765432098</v>
      </c>
      <c r="N1019" s="21" t="n">
        <f aca="false">LN(J1019)</f>
        <v>13.5029035075519</v>
      </c>
      <c r="O1019" s="21" t="n">
        <f aca="false">AVERAGEIFS($N$2:$N$2705,$B$2:$B$2705,B1019)</f>
        <v>13.8584123144674</v>
      </c>
      <c r="P1019" s="21" t="n">
        <f aca="false">N1019-O1019</f>
        <v>-0.355508806915484</v>
      </c>
      <c r="Q1019" s="7" t="n">
        <v>0</v>
      </c>
      <c r="R1019" s="3" t="n">
        <f aca="false">IF(AND(Q1019=1,B1019-_xlfn.MINIFS($B$2:$B$2705,$A$2:$A$2705,A1019)&lt;10),1,0)</f>
        <v>0</v>
      </c>
      <c r="S1019" s="7" t="n">
        <v>0</v>
      </c>
      <c r="T1019" s="3" t="n">
        <f aca="false">_xlfn.MINIFS($B$2:$B$2705,$A$2:$A$2705,A1019)</f>
        <v>1901</v>
      </c>
      <c r="U1019" s="3" t="n">
        <f aca="false">B1019-T1019</f>
        <v>63</v>
      </c>
      <c r="V1019" s="3" t="str">
        <f aca="false">INDEX(Pop_Inputs!$Q$2:$Q$29,MATCH(C1019,Pop_Inputs!$A$2:$A$29,0))</f>
        <v>Midwest</v>
      </c>
      <c r="W1019" s="30"/>
      <c r="X1019" s="3" t="str">
        <f aca="false">IF(W1019="","",LN(W1019))</f>
        <v/>
      </c>
      <c r="Y1019" s="3" t="str">
        <f aca="false">IF(X1019="","",X1019-AVERAGEIFS($X$2:$X$2705,$B$2:$B$2705,B1019))</f>
        <v/>
      </c>
      <c r="Z1019" s="21" t="n">
        <f aca="false">P1019</f>
        <v>-0.355508806915484</v>
      </c>
      <c r="AA1019" s="3" t="n">
        <f aca="false">R1019</f>
        <v>0</v>
      </c>
      <c r="AB1019" s="21" t="n">
        <f aca="false">P1019</f>
        <v>-0.355508806915484</v>
      </c>
      <c r="AC1019" s="3" t="str">
        <f aca="false">Y1019</f>
        <v/>
      </c>
      <c r="AD1019" s="3" t="n">
        <f aca="false">R1019</f>
        <v>0</v>
      </c>
    </row>
    <row r="1020" customFormat="false" ht="15" hidden="false" customHeight="true" outlineLevel="0" collapsed="false">
      <c r="A1020" s="7" t="s">
        <v>63</v>
      </c>
      <c r="B1020" s="7" t="n">
        <v>1964</v>
      </c>
      <c r="C1020" s="7" t="s">
        <v>149</v>
      </c>
      <c r="D1020" s="7" t="n">
        <v>97</v>
      </c>
      <c r="E1020" s="7" t="n">
        <v>65</v>
      </c>
      <c r="F1020" s="3" t="n">
        <f aca="false">COUNTIFS($B$2:$B$2705,B1020,$C$2:$C$2705,C1020)</f>
        <v>1</v>
      </c>
      <c r="G1020" s="3" t="n">
        <f aca="false">MIN(INT((MIN(B1020,2020)-1900)/10)+1,12)</f>
        <v>7</v>
      </c>
      <c r="H1020" s="3" t="n">
        <f aca="false">(MIN(B1020,2020)-1900-10*(G1020-1))/10</f>
        <v>0.4</v>
      </c>
      <c r="I1020" s="20" t="n">
        <f aca="false">EXP(LN(INDEX(Pop_Inputs!$B$2:$N$29,MATCH(C1020,Pop_Inputs!$A$2:$A$29,0),G1020))*(1-H1020)+LN(INDEX(Pop_Inputs!$B$2:$N$29,MATCH(C1020,Pop_Inputs!$A$2:$A$29,0),G1020+1))*H1020)</f>
        <v>925573.855325343</v>
      </c>
      <c r="J1020" s="20" t="n">
        <f aca="false">I1020/F1020</f>
        <v>925573.855325343</v>
      </c>
      <c r="K1020" s="21" t="n">
        <f aca="false">D1020/(D1020+E1020)</f>
        <v>0.598765432098765</v>
      </c>
      <c r="L1020" s="21" t="n">
        <f aca="false">AVERAGEIFS($K$2:$K$2705,$B$2:$B$2705,B1020)</f>
        <v>0.5</v>
      </c>
      <c r="M1020" s="21" t="n">
        <f aca="false">K1020-L1020</f>
        <v>0.0987654320987654</v>
      </c>
      <c r="N1020" s="21" t="n">
        <f aca="false">LN(J1020)</f>
        <v>13.7381692082714</v>
      </c>
      <c r="O1020" s="21" t="n">
        <f aca="false">AVERAGEIFS($N$2:$N$2705,$B$2:$B$2705,B1020)</f>
        <v>13.8584123144674</v>
      </c>
      <c r="P1020" s="21" t="n">
        <f aca="false">N1020-O1020</f>
        <v>-0.120243106196032</v>
      </c>
      <c r="Q1020" s="7" t="n">
        <v>0</v>
      </c>
      <c r="R1020" s="3" t="n">
        <f aca="false">IF(AND(Q1020=1,B1020-_xlfn.MINIFS($B$2:$B$2705,$A$2:$A$2705,A1020)&lt;10),1,0)</f>
        <v>0</v>
      </c>
      <c r="S1020" s="7" t="n">
        <v>0</v>
      </c>
      <c r="T1020" s="3" t="n">
        <f aca="false">_xlfn.MINIFS($B$2:$B$2705,$A$2:$A$2705,A1020)</f>
        <v>1901</v>
      </c>
      <c r="U1020" s="3" t="n">
        <f aca="false">B1020-T1020</f>
        <v>63</v>
      </c>
      <c r="V1020" s="3" t="str">
        <f aca="false">INDEX(Pop_Inputs!$Q$2:$Q$29,MATCH(C1020,Pop_Inputs!$A$2:$A$29,0))</f>
        <v>South</v>
      </c>
      <c r="W1020" s="30"/>
      <c r="X1020" s="3" t="str">
        <f aca="false">IF(W1020="","",LN(W1020))</f>
        <v/>
      </c>
      <c r="Y1020" s="3" t="str">
        <f aca="false">IF(X1020="","",X1020-AVERAGEIFS($X$2:$X$2705,$B$2:$B$2705,B1020))</f>
        <v/>
      </c>
      <c r="Z1020" s="21" t="n">
        <f aca="false">P1020</f>
        <v>-0.120243106196032</v>
      </c>
      <c r="AA1020" s="3" t="n">
        <f aca="false">R1020</f>
        <v>0</v>
      </c>
      <c r="AB1020" s="21" t="n">
        <f aca="false">P1020</f>
        <v>-0.120243106196032</v>
      </c>
      <c r="AC1020" s="3" t="str">
        <f aca="false">Y1020</f>
        <v/>
      </c>
      <c r="AD1020" s="3" t="n">
        <f aca="false">R1020</f>
        <v>0</v>
      </c>
    </row>
    <row r="1021" customFormat="false" ht="15" hidden="false" customHeight="true" outlineLevel="0" collapsed="false">
      <c r="A1021" s="7" t="s">
        <v>64</v>
      </c>
      <c r="B1021" s="7" t="n">
        <v>1964</v>
      </c>
      <c r="C1021" s="7" t="s">
        <v>150</v>
      </c>
      <c r="D1021" s="7" t="n">
        <v>72</v>
      </c>
      <c r="E1021" s="7" t="n">
        <v>90</v>
      </c>
      <c r="F1021" s="3" t="n">
        <f aca="false">COUNTIFS($B$2:$B$2705,B1021,$C$2:$C$2705,C1021)</f>
        <v>1</v>
      </c>
      <c r="G1021" s="3" t="n">
        <f aca="false">MIN(INT((MIN(B1021,2020)-1900)/10)+1,12)</f>
        <v>7</v>
      </c>
      <c r="H1021" s="3" t="n">
        <f aca="false">(MIN(B1021,2020)-1900-10*(G1021-1))/10</f>
        <v>0.4</v>
      </c>
      <c r="I1021" s="20" t="n">
        <f aca="false">EXP(LN(INDEX(Pop_Inputs!$B$2:$N$29,MATCH(C1021,Pop_Inputs!$A$2:$A$29,0),G1021))*(1-H1021)+LN(INDEX(Pop_Inputs!$B$2:$N$29,MATCH(C1021,Pop_Inputs!$A$2:$A$29,0),G1021+1))*H1021)</f>
        <v>674179.834786308</v>
      </c>
      <c r="J1021" s="20" t="n">
        <f aca="false">I1021/F1021</f>
        <v>674179.834786308</v>
      </c>
      <c r="K1021" s="21" t="n">
        <f aca="false">D1021/(D1021+E1021)</f>
        <v>0.444444444444444</v>
      </c>
      <c r="L1021" s="21" t="n">
        <f aca="false">AVERAGEIFS($K$2:$K$2705,$B$2:$B$2705,B1021)</f>
        <v>0.5</v>
      </c>
      <c r="M1021" s="21" t="n">
        <f aca="false">K1021-L1021</f>
        <v>-0.0555555555555556</v>
      </c>
      <c r="N1021" s="21" t="n">
        <f aca="false">LN(J1021)</f>
        <v>13.4212521714954</v>
      </c>
      <c r="O1021" s="21" t="n">
        <f aca="false">AVERAGEIFS($N$2:$N$2705,$B$2:$B$2705,B1021)</f>
        <v>13.8584123144674</v>
      </c>
      <c r="P1021" s="21" t="n">
        <f aca="false">N1021-O1021</f>
        <v>-0.43716014297198</v>
      </c>
      <c r="Q1021" s="7" t="n">
        <v>0</v>
      </c>
      <c r="R1021" s="3" t="n">
        <f aca="false">IF(AND(Q1021=1,B1021-_xlfn.MINIFS($B$2:$B$2705,$A$2:$A$2705,A1021)&lt;10),1,0)</f>
        <v>0</v>
      </c>
      <c r="S1021" s="7" t="n">
        <v>0</v>
      </c>
      <c r="T1021" s="3" t="n">
        <f aca="false">_xlfn.MINIFS($B$2:$B$2705,$A$2:$A$2705,A1021)</f>
        <v>1901</v>
      </c>
      <c r="U1021" s="3" t="n">
        <f aca="false">B1021-T1021</f>
        <v>63</v>
      </c>
      <c r="V1021" s="3" t="str">
        <f aca="false">INDEX(Pop_Inputs!$Q$2:$Q$29,MATCH(C1021,Pop_Inputs!$A$2:$A$29,0))</f>
        <v>Northeast</v>
      </c>
      <c r="W1021" s="30"/>
      <c r="X1021" s="3" t="str">
        <f aca="false">IF(W1021="","",LN(W1021))</f>
        <v/>
      </c>
      <c r="Y1021" s="3" t="str">
        <f aca="false">IF(X1021="","",X1021-AVERAGEIFS($X$2:$X$2705,$B$2:$B$2705,B1021))</f>
        <v/>
      </c>
      <c r="Z1021" s="21" t="n">
        <f aca="false">P1021</f>
        <v>-0.43716014297198</v>
      </c>
      <c r="AA1021" s="3" t="n">
        <f aca="false">R1021</f>
        <v>0</v>
      </c>
      <c r="AB1021" s="21" t="n">
        <f aca="false">P1021</f>
        <v>-0.43716014297198</v>
      </c>
      <c r="AC1021" s="3" t="str">
        <f aca="false">Y1021</f>
        <v/>
      </c>
      <c r="AD1021" s="3" t="n">
        <f aca="false">R1021</f>
        <v>0</v>
      </c>
    </row>
    <row r="1022" customFormat="false" ht="15" hidden="false" customHeight="true" outlineLevel="0" collapsed="false">
      <c r="A1022" s="7" t="s">
        <v>56</v>
      </c>
      <c r="B1022" s="7" t="n">
        <v>1964</v>
      </c>
      <c r="C1022" s="7" t="s">
        <v>142</v>
      </c>
      <c r="D1022" s="7" t="n">
        <v>76</v>
      </c>
      <c r="E1022" s="7" t="n">
        <v>86</v>
      </c>
      <c r="F1022" s="3" t="n">
        <f aca="false">COUNTIFS($B$2:$B$2705,B1022,$C$2:$C$2705,C1022)</f>
        <v>2</v>
      </c>
      <c r="G1022" s="3" t="n">
        <f aca="false">MIN(INT((MIN(B1022,2020)-1900)/10)+1,12)</f>
        <v>7</v>
      </c>
      <c r="H1022" s="3" t="n">
        <f aca="false">(MIN(B1022,2020)-1900-10*(G1022-1))/10</f>
        <v>0.4</v>
      </c>
      <c r="I1022" s="20" t="n">
        <f aca="false">EXP(LN(INDEX(Pop_Inputs!$B$2:$N$29,MATCH(C1022,Pop_Inputs!$A$2:$A$29,0),G1022))*(1-H1022)+LN(INDEX(Pop_Inputs!$B$2:$N$29,MATCH(C1022,Pop_Inputs!$A$2:$A$29,0),G1022+1))*H1022)</f>
        <v>3475855.3323362</v>
      </c>
      <c r="J1022" s="20" t="n">
        <f aca="false">I1022/F1022</f>
        <v>1737927.6661681</v>
      </c>
      <c r="K1022" s="21" t="n">
        <f aca="false">D1022/(D1022+E1022)</f>
        <v>0.469135802469136</v>
      </c>
      <c r="L1022" s="21" t="n">
        <f aca="false">AVERAGEIFS($K$2:$K$2705,$B$2:$B$2705,B1022)</f>
        <v>0.5</v>
      </c>
      <c r="M1022" s="21" t="n">
        <f aca="false">K1022-L1022</f>
        <v>-0.0308641975308642</v>
      </c>
      <c r="N1022" s="21" t="n">
        <f aca="false">LN(J1022)</f>
        <v>14.3682039649357</v>
      </c>
      <c r="O1022" s="21" t="n">
        <f aca="false">AVERAGEIFS($N$2:$N$2705,$B$2:$B$2705,B1022)</f>
        <v>13.8584123144674</v>
      </c>
      <c r="P1022" s="21" t="n">
        <f aca="false">N1022-O1022</f>
        <v>0.509791650468268</v>
      </c>
      <c r="Q1022" s="7" t="n">
        <v>0</v>
      </c>
      <c r="R1022" s="3" t="n">
        <f aca="false">IF(AND(Q1022=1,B1022-_xlfn.MINIFS($B$2:$B$2705,$A$2:$A$2705,A1022)&lt;10),1,0)</f>
        <v>0</v>
      </c>
      <c r="S1022" s="7" t="n">
        <v>0</v>
      </c>
      <c r="T1022" s="3" t="n">
        <f aca="false">_xlfn.MINIFS($B$2:$B$2705,$A$2:$A$2705,A1022)</f>
        <v>1901</v>
      </c>
      <c r="U1022" s="3" t="n">
        <f aca="false">B1022-T1022</f>
        <v>63</v>
      </c>
      <c r="V1022" s="3" t="str">
        <f aca="false">INDEX(Pop_Inputs!$Q$2:$Q$29,MATCH(C1022,Pop_Inputs!$A$2:$A$29,0))</f>
        <v>Midwest</v>
      </c>
      <c r="W1022" s="30"/>
      <c r="X1022" s="3" t="str">
        <f aca="false">IF(W1022="","",LN(W1022))</f>
        <v/>
      </c>
      <c r="Y1022" s="3" t="str">
        <f aca="false">IF(X1022="","",X1022-AVERAGEIFS($X$2:$X$2705,$B$2:$B$2705,B1022))</f>
        <v/>
      </c>
      <c r="Z1022" s="21" t="n">
        <f aca="false">P1022</f>
        <v>0.509791650468268</v>
      </c>
      <c r="AA1022" s="3" t="n">
        <f aca="false">R1022</f>
        <v>0</v>
      </c>
      <c r="AB1022" s="21" t="n">
        <f aca="false">P1022</f>
        <v>0.509791650468268</v>
      </c>
      <c r="AC1022" s="3" t="str">
        <f aca="false">Y1022</f>
        <v/>
      </c>
      <c r="AD1022" s="3" t="n">
        <f aca="false">R1022</f>
        <v>0</v>
      </c>
    </row>
    <row r="1023" customFormat="false" ht="15" hidden="false" customHeight="true" outlineLevel="0" collapsed="false">
      <c r="A1023" s="7" t="s">
        <v>65</v>
      </c>
      <c r="B1023" s="7" t="n">
        <v>1964</v>
      </c>
      <c r="C1023" s="7" t="s">
        <v>142</v>
      </c>
      <c r="D1023" s="7" t="n">
        <v>98</v>
      </c>
      <c r="E1023" s="7" t="n">
        <v>64</v>
      </c>
      <c r="F1023" s="3" t="n">
        <f aca="false">COUNTIFS($B$2:$B$2705,B1023,$C$2:$C$2705,C1023)</f>
        <v>2</v>
      </c>
      <c r="G1023" s="3" t="n">
        <f aca="false">MIN(INT((MIN(B1023,2020)-1900)/10)+1,12)</f>
        <v>7</v>
      </c>
      <c r="H1023" s="3" t="n">
        <f aca="false">(MIN(B1023,2020)-1900-10*(G1023-1))/10</f>
        <v>0.4</v>
      </c>
      <c r="I1023" s="20" t="n">
        <f aca="false">EXP(LN(INDEX(Pop_Inputs!$B$2:$N$29,MATCH(C1023,Pop_Inputs!$A$2:$A$29,0),G1023))*(1-H1023)+LN(INDEX(Pop_Inputs!$B$2:$N$29,MATCH(C1023,Pop_Inputs!$A$2:$A$29,0),G1023+1))*H1023)</f>
        <v>3475855.3323362</v>
      </c>
      <c r="J1023" s="20" t="n">
        <f aca="false">I1023/F1023</f>
        <v>1737927.6661681</v>
      </c>
      <c r="K1023" s="21" t="n">
        <f aca="false">D1023/(D1023+E1023)</f>
        <v>0.604938271604938</v>
      </c>
      <c r="L1023" s="21" t="n">
        <f aca="false">AVERAGEIFS($K$2:$K$2705,$B$2:$B$2705,B1023)</f>
        <v>0.5</v>
      </c>
      <c r="M1023" s="21" t="n">
        <f aca="false">K1023-L1023</f>
        <v>0.104938271604938</v>
      </c>
      <c r="N1023" s="21" t="n">
        <f aca="false">LN(J1023)</f>
        <v>14.3682039649357</v>
      </c>
      <c r="O1023" s="21" t="n">
        <f aca="false">AVERAGEIFS($N$2:$N$2705,$B$2:$B$2705,B1023)</f>
        <v>13.8584123144674</v>
      </c>
      <c r="P1023" s="21" t="n">
        <f aca="false">N1023-O1023</f>
        <v>0.509791650468268</v>
      </c>
      <c r="Q1023" s="7" t="n">
        <v>0</v>
      </c>
      <c r="R1023" s="3" t="n">
        <f aca="false">IF(AND(Q1023=1,B1023-_xlfn.MINIFS($B$2:$B$2705,$A$2:$A$2705,A1023)&lt;10),1,0)</f>
        <v>0</v>
      </c>
      <c r="S1023" s="7" t="n">
        <v>0</v>
      </c>
      <c r="T1023" s="3" t="n">
        <f aca="false">_xlfn.MINIFS($B$2:$B$2705,$A$2:$A$2705,A1023)</f>
        <v>1901</v>
      </c>
      <c r="U1023" s="3" t="n">
        <f aca="false">B1023-T1023</f>
        <v>63</v>
      </c>
      <c r="V1023" s="3" t="str">
        <f aca="false">INDEX(Pop_Inputs!$Q$2:$Q$29,MATCH(C1023,Pop_Inputs!$A$2:$A$29,0))</f>
        <v>Midwest</v>
      </c>
      <c r="W1023" s="30"/>
      <c r="X1023" s="3" t="str">
        <f aca="false">IF(W1023="","",LN(W1023))</f>
        <v/>
      </c>
      <c r="Y1023" s="3" t="str">
        <f aca="false">IF(X1023="","",X1023-AVERAGEIFS($X$2:$X$2705,$B$2:$B$2705,B1023))</f>
        <v/>
      </c>
      <c r="Z1023" s="21" t="n">
        <f aca="false">P1023</f>
        <v>0.509791650468268</v>
      </c>
      <c r="AA1023" s="3" t="n">
        <f aca="false">R1023</f>
        <v>0</v>
      </c>
      <c r="AB1023" s="21" t="n">
        <f aca="false">P1023</f>
        <v>0.509791650468268</v>
      </c>
      <c r="AC1023" s="3" t="str">
        <f aca="false">Y1023</f>
        <v/>
      </c>
      <c r="AD1023" s="3" t="n">
        <f aca="false">R1023</f>
        <v>0</v>
      </c>
    </row>
    <row r="1024" customFormat="false" ht="15" hidden="false" customHeight="true" outlineLevel="0" collapsed="false">
      <c r="A1024" s="7" t="s">
        <v>57</v>
      </c>
      <c r="B1024" s="7" t="n">
        <v>1964</v>
      </c>
      <c r="C1024" s="7" t="s">
        <v>143</v>
      </c>
      <c r="D1024" s="7" t="n">
        <v>92</v>
      </c>
      <c r="E1024" s="7" t="n">
        <v>70</v>
      </c>
      <c r="F1024" s="3" t="n">
        <f aca="false">COUNTIFS($B$2:$B$2705,B1024,$C$2:$C$2705,C1024)</f>
        <v>1</v>
      </c>
      <c r="G1024" s="3" t="n">
        <f aca="false">MIN(INT((MIN(B1024,2020)-1900)/10)+1,12)</f>
        <v>7</v>
      </c>
      <c r="H1024" s="3" t="n">
        <f aca="false">(MIN(B1024,2020)-1900-10*(G1024-1))/10</f>
        <v>0.4</v>
      </c>
      <c r="I1024" s="20" t="n">
        <f aca="false">EXP(LN(INDEX(Pop_Inputs!$B$2:$N$29,MATCH(C1024,Pop_Inputs!$A$2:$A$29,0),G1024))*(1-H1024)+LN(INDEX(Pop_Inputs!$B$2:$N$29,MATCH(C1024,Pop_Inputs!$A$2:$A$29,0),G1024+1))*H1024)</f>
        <v>481908.511840757</v>
      </c>
      <c r="J1024" s="20" t="n">
        <f aca="false">I1024/F1024</f>
        <v>481908.511840757</v>
      </c>
      <c r="K1024" s="21" t="n">
        <f aca="false">D1024/(D1024+E1024)</f>
        <v>0.567901234567901</v>
      </c>
      <c r="L1024" s="21" t="n">
        <f aca="false">AVERAGEIFS($K$2:$K$2705,$B$2:$B$2705,B1024)</f>
        <v>0.5</v>
      </c>
      <c r="M1024" s="21" t="n">
        <f aca="false">K1024-L1024</f>
        <v>0.0679012345679012</v>
      </c>
      <c r="N1024" s="21" t="n">
        <f aca="false">LN(J1024)</f>
        <v>13.0855095655576</v>
      </c>
      <c r="O1024" s="21" t="n">
        <f aca="false">AVERAGEIFS($N$2:$N$2705,$B$2:$B$2705,B1024)</f>
        <v>13.8584123144674</v>
      </c>
      <c r="P1024" s="21" t="n">
        <f aca="false">N1024-O1024</f>
        <v>-0.772902748909782</v>
      </c>
      <c r="Q1024" s="7" t="n">
        <v>0</v>
      </c>
      <c r="R1024" s="3" t="n">
        <f aca="false">IF(AND(Q1024=1,B1024-_xlfn.MINIFS($B$2:$B$2705,$A$2:$A$2705,A1024)&lt;10),1,0)</f>
        <v>0</v>
      </c>
      <c r="S1024" s="7" t="n">
        <v>0</v>
      </c>
      <c r="T1024" s="3" t="n">
        <f aca="false">_xlfn.MINIFS($B$2:$B$2705,$A$2:$A$2705,A1024)</f>
        <v>1901</v>
      </c>
      <c r="U1024" s="3" t="n">
        <f aca="false">B1024-T1024</f>
        <v>63</v>
      </c>
      <c r="V1024" s="3" t="str">
        <f aca="false">INDEX(Pop_Inputs!$Q$2:$Q$29,MATCH(C1024,Pop_Inputs!$A$2:$A$29,0))</f>
        <v>Midwest</v>
      </c>
      <c r="W1024" s="30"/>
      <c r="X1024" s="3" t="str">
        <f aca="false">IF(W1024="","",LN(W1024))</f>
        <v/>
      </c>
      <c r="Y1024" s="3" t="str">
        <f aca="false">IF(X1024="","",X1024-AVERAGEIFS($X$2:$X$2705,$B$2:$B$2705,B1024))</f>
        <v/>
      </c>
      <c r="Z1024" s="21" t="n">
        <f aca="false">P1024</f>
        <v>-0.772902748909782</v>
      </c>
      <c r="AA1024" s="3" t="n">
        <f aca="false">R1024</f>
        <v>0</v>
      </c>
      <c r="AB1024" s="21" t="n">
        <f aca="false">P1024</f>
        <v>-0.772902748909782</v>
      </c>
      <c r="AC1024" s="3" t="str">
        <f aca="false">Y1024</f>
        <v/>
      </c>
      <c r="AD1024" s="3" t="n">
        <f aca="false">R1024</f>
        <v>0</v>
      </c>
    </row>
    <row r="1025" customFormat="false" ht="15" hidden="false" customHeight="true" outlineLevel="0" collapsed="false">
      <c r="A1025" s="7" t="s">
        <v>66</v>
      </c>
      <c r="B1025" s="7" t="n">
        <v>1964</v>
      </c>
      <c r="C1025" s="7" t="s">
        <v>151</v>
      </c>
      <c r="D1025" s="7" t="n">
        <v>79</v>
      </c>
      <c r="E1025" s="7" t="n">
        <v>83</v>
      </c>
      <c r="F1025" s="3" t="n">
        <f aca="false">COUNTIFS($B$2:$B$2705,B1025,$C$2:$C$2705,C1025)</f>
        <v>1</v>
      </c>
      <c r="G1025" s="3" t="n">
        <f aca="false">MIN(INT((MIN(B1025,2020)-1900)/10)+1,12)</f>
        <v>7</v>
      </c>
      <c r="H1025" s="3" t="n">
        <f aca="false">(MIN(B1025,2020)-1900-10*(G1025-1))/10</f>
        <v>0.4</v>
      </c>
      <c r="I1025" s="20" t="n">
        <f aca="false">EXP(LN(INDEX(Pop_Inputs!$B$2:$N$29,MATCH(C1025,Pop_Inputs!$A$2:$A$29,0),G1025))*(1-H1025)+LN(INDEX(Pop_Inputs!$B$2:$N$29,MATCH(C1025,Pop_Inputs!$A$2:$A$29,0),G1025+1))*H1025)</f>
        <v>823665.493569148</v>
      </c>
      <c r="J1025" s="20" t="n">
        <f aca="false">I1025/F1025</f>
        <v>823665.493569148</v>
      </c>
      <c r="K1025" s="21" t="n">
        <f aca="false">D1025/(D1025+E1025)</f>
        <v>0.487654320987654</v>
      </c>
      <c r="L1025" s="21" t="n">
        <f aca="false">AVERAGEIFS($K$2:$K$2705,$B$2:$B$2705,B1025)</f>
        <v>0.5</v>
      </c>
      <c r="M1025" s="21" t="n">
        <f aca="false">K1025-L1025</f>
        <v>-0.0123456790123457</v>
      </c>
      <c r="N1025" s="21" t="n">
        <f aca="false">LN(J1025)</f>
        <v>13.6215197720634</v>
      </c>
      <c r="O1025" s="21" t="n">
        <f aca="false">AVERAGEIFS($N$2:$N$2705,$B$2:$B$2705,B1025)</f>
        <v>13.8584123144674</v>
      </c>
      <c r="P1025" s="21" t="n">
        <f aca="false">N1025-O1025</f>
        <v>-0.236892542403977</v>
      </c>
      <c r="Q1025" s="7" t="n">
        <v>0</v>
      </c>
      <c r="R1025" s="3" t="n">
        <f aca="false">IF(AND(Q1025=1,B1025-_xlfn.MINIFS($B$2:$B$2705,$A$2:$A$2705,A1025)&lt;10),1,0)</f>
        <v>0</v>
      </c>
      <c r="S1025" s="7" t="n">
        <v>0</v>
      </c>
      <c r="T1025" s="3" t="n">
        <f aca="false">_xlfn.MINIFS($B$2:$B$2705,$A$2:$A$2705,A1025)</f>
        <v>1901</v>
      </c>
      <c r="U1025" s="3" t="n">
        <f aca="false">B1025-T1025</f>
        <v>63</v>
      </c>
      <c r="V1025" s="3" t="str">
        <f aca="false">INDEX(Pop_Inputs!$Q$2:$Q$29,MATCH(C1025,Pop_Inputs!$A$2:$A$29,0))</f>
        <v>Midwest</v>
      </c>
      <c r="W1025" s="30"/>
      <c r="X1025" s="3" t="str">
        <f aca="false">IF(W1025="","",LN(W1025))</f>
        <v/>
      </c>
      <c r="Y1025" s="3" t="str">
        <f aca="false">IF(X1025="","",X1025-AVERAGEIFS($X$2:$X$2705,$B$2:$B$2705,B1025))</f>
        <v/>
      </c>
      <c r="Z1025" s="21" t="n">
        <f aca="false">P1025</f>
        <v>-0.236892542403977</v>
      </c>
      <c r="AA1025" s="3" t="n">
        <f aca="false">R1025</f>
        <v>0</v>
      </c>
      <c r="AB1025" s="21" t="n">
        <f aca="false">P1025</f>
        <v>-0.236892542403977</v>
      </c>
      <c r="AC1025" s="3" t="str">
        <f aca="false">Y1025</f>
        <v/>
      </c>
      <c r="AD1025" s="3" t="n">
        <f aca="false">R1025</f>
        <v>0</v>
      </c>
    </row>
    <row r="1026" customFormat="false" ht="15" hidden="false" customHeight="true" outlineLevel="0" collapsed="false">
      <c r="A1026" s="7" t="s">
        <v>67</v>
      </c>
      <c r="B1026" s="7" t="n">
        <v>1964</v>
      </c>
      <c r="C1026" s="7" t="s">
        <v>152</v>
      </c>
      <c r="D1026" s="7" t="n">
        <v>85</v>
      </c>
      <c r="E1026" s="7" t="n">
        <v>77</v>
      </c>
      <c r="F1026" s="3" t="n">
        <f aca="false">COUNTIFS($B$2:$B$2705,B1026,$C$2:$C$2705,C1026)</f>
        <v>1</v>
      </c>
      <c r="G1026" s="3" t="n">
        <f aca="false">MIN(INT((MIN(B1026,2020)-1900)/10)+1,12)</f>
        <v>7</v>
      </c>
      <c r="H1026" s="3" t="n">
        <f aca="false">(MIN(B1026,2020)-1900-10*(G1026-1))/10</f>
        <v>0.4</v>
      </c>
      <c r="I1026" s="20" t="n">
        <f aca="false">EXP(LN(INDEX(Pop_Inputs!$B$2:$N$29,MATCH(C1026,Pop_Inputs!$A$2:$A$29,0),G1026))*(1-H1026)+LN(INDEX(Pop_Inputs!$B$2:$N$29,MATCH(C1026,Pop_Inputs!$A$2:$A$29,0),G1026+1))*H1026)</f>
        <v>1604772.754763</v>
      </c>
      <c r="J1026" s="20" t="n">
        <f aca="false">I1026/F1026</f>
        <v>1604772.754763</v>
      </c>
      <c r="K1026" s="21" t="n">
        <f aca="false">D1026/(D1026+E1026)</f>
        <v>0.524691358024691</v>
      </c>
      <c r="L1026" s="21" t="n">
        <f aca="false">AVERAGEIFS($K$2:$K$2705,$B$2:$B$2705,B1026)</f>
        <v>0.5</v>
      </c>
      <c r="M1026" s="21" t="n">
        <f aca="false">K1026-L1026</f>
        <v>0.0246913580246914</v>
      </c>
      <c r="N1026" s="21" t="n">
        <f aca="false">LN(J1026)</f>
        <v>14.2884927187046</v>
      </c>
      <c r="O1026" s="21" t="n">
        <f aca="false">AVERAGEIFS($N$2:$N$2705,$B$2:$B$2705,B1026)</f>
        <v>13.8584123144674</v>
      </c>
      <c r="P1026" s="21" t="n">
        <f aca="false">N1026-O1026</f>
        <v>0.430080404237176</v>
      </c>
      <c r="Q1026" s="7" t="n">
        <v>0</v>
      </c>
      <c r="R1026" s="3" t="n">
        <f aca="false">IF(AND(Q1026=1,B1026-_xlfn.MINIFS($B$2:$B$2705,$A$2:$A$2705,A1026)&lt;10),1,0)</f>
        <v>0</v>
      </c>
      <c r="S1026" s="7" t="n">
        <v>0</v>
      </c>
      <c r="T1026" s="3" t="n">
        <f aca="false">_xlfn.MINIFS($B$2:$B$2705,$A$2:$A$2705,A1026)</f>
        <v>1901</v>
      </c>
      <c r="U1026" s="3" t="n">
        <f aca="false">B1026-T1026</f>
        <v>63</v>
      </c>
      <c r="V1026" s="3" t="str">
        <f aca="false">INDEX(Pop_Inputs!$Q$2:$Q$29,MATCH(C1026,Pop_Inputs!$A$2:$A$29,0))</f>
        <v>Midwest</v>
      </c>
      <c r="W1026" s="30"/>
      <c r="X1026" s="3" t="str">
        <f aca="false">IF(W1026="","",LN(W1026))</f>
        <v/>
      </c>
      <c r="Y1026" s="3" t="str">
        <f aca="false">IF(X1026="","",X1026-AVERAGEIFS($X$2:$X$2705,$B$2:$B$2705,B1026))</f>
        <v/>
      </c>
      <c r="Z1026" s="21" t="n">
        <f aca="false">P1026</f>
        <v>0.430080404237176</v>
      </c>
      <c r="AA1026" s="3" t="n">
        <f aca="false">R1026</f>
        <v>0</v>
      </c>
      <c r="AB1026" s="21" t="n">
        <f aca="false">P1026</f>
        <v>0.430080404237176</v>
      </c>
      <c r="AC1026" s="3" t="str">
        <f aca="false">Y1026</f>
        <v/>
      </c>
      <c r="AD1026" s="3" t="n">
        <f aca="false">R1026</f>
        <v>0</v>
      </c>
    </row>
    <row r="1027" customFormat="false" ht="15" hidden="false" customHeight="true" outlineLevel="0" collapsed="false">
      <c r="A1027" s="7" t="s">
        <v>74</v>
      </c>
      <c r="B1027" s="7" t="n">
        <v>1964</v>
      </c>
      <c r="C1027" s="7" t="s">
        <v>156</v>
      </c>
      <c r="D1027" s="7" t="n">
        <v>66</v>
      </c>
      <c r="E1027" s="7" t="n">
        <v>96</v>
      </c>
      <c r="F1027" s="3" t="n">
        <f aca="false">COUNTIFS($B$2:$B$2705,B1027,$C$2:$C$2705,C1027)</f>
        <v>1</v>
      </c>
      <c r="G1027" s="3" t="n">
        <f aca="false">MIN(INT((MIN(B1027,2020)-1900)/10)+1,12)</f>
        <v>7</v>
      </c>
      <c r="H1027" s="3" t="n">
        <f aca="false">(MIN(B1027,2020)-1900-10*(G1027-1))/10</f>
        <v>0.4</v>
      </c>
      <c r="I1027" s="20" t="n">
        <f aca="false">EXP(LN(INDEX(Pop_Inputs!$B$2:$N$29,MATCH(C1027,Pop_Inputs!$A$2:$A$29,0),G1027))*(1-H1027)+LN(INDEX(Pop_Inputs!$B$2:$N$29,MATCH(C1027,Pop_Inputs!$A$2:$A$29,0),G1027+1))*H1027)</f>
        <v>1046501.52682989</v>
      </c>
      <c r="J1027" s="20" t="n">
        <f aca="false">I1027/F1027</f>
        <v>1046501.52682989</v>
      </c>
      <c r="K1027" s="21" t="n">
        <f aca="false">D1027/(D1027+E1027)</f>
        <v>0.407407407407407</v>
      </c>
      <c r="L1027" s="21" t="n">
        <f aca="false">AVERAGEIFS($K$2:$K$2705,$B$2:$B$2705,B1027)</f>
        <v>0.5</v>
      </c>
      <c r="M1027" s="21" t="n">
        <f aca="false">K1027-L1027</f>
        <v>-0.0925925925925926</v>
      </c>
      <c r="N1027" s="21" t="n">
        <f aca="false">LN(J1027)</f>
        <v>13.8609632798541</v>
      </c>
      <c r="O1027" s="21" t="n">
        <f aca="false">AVERAGEIFS($N$2:$N$2705,$B$2:$B$2705,B1027)</f>
        <v>13.8584123144674</v>
      </c>
      <c r="P1027" s="21" t="n">
        <f aca="false">N1027-O1027</f>
        <v>0.0025509653867104</v>
      </c>
      <c r="Q1027" s="7" t="n">
        <v>1</v>
      </c>
      <c r="R1027" s="3" t="n">
        <f aca="false">IF(AND(Q1027=1,B1027-_xlfn.MINIFS($B$2:$B$2705,$A$2:$A$2705,A1027)&lt;10),1,0)</f>
        <v>1</v>
      </c>
      <c r="S1027" s="7" t="n">
        <v>0</v>
      </c>
      <c r="T1027" s="3" t="n">
        <f aca="false">_xlfn.MINIFS($B$2:$B$2705,$A$2:$A$2705,A1027)</f>
        <v>1962</v>
      </c>
      <c r="U1027" s="3" t="n">
        <f aca="false">B1027-T1027</f>
        <v>2</v>
      </c>
      <c r="V1027" s="3" t="str">
        <f aca="false">INDEX(Pop_Inputs!$Q$2:$Q$29,MATCH(C1027,Pop_Inputs!$A$2:$A$29,0))</f>
        <v>South</v>
      </c>
      <c r="W1027" s="30"/>
      <c r="X1027" s="3" t="str">
        <f aca="false">IF(W1027="","",LN(W1027))</f>
        <v/>
      </c>
      <c r="Y1027" s="3" t="str">
        <f aca="false">IF(X1027="","",X1027-AVERAGEIFS($X$2:$X$2705,$B$2:$B$2705,B1027))</f>
        <v/>
      </c>
      <c r="Z1027" s="21" t="n">
        <f aca="false">P1027</f>
        <v>0.0025509653867104</v>
      </c>
      <c r="AA1027" s="3" t="n">
        <f aca="false">R1027</f>
        <v>1</v>
      </c>
      <c r="AB1027" s="21" t="n">
        <f aca="false">P1027</f>
        <v>0.0025509653867104</v>
      </c>
      <c r="AC1027" s="3" t="str">
        <f aca="false">Y1027</f>
        <v/>
      </c>
      <c r="AD1027" s="3" t="n">
        <f aca="false">R1027</f>
        <v>1</v>
      </c>
    </row>
    <row r="1028" customFormat="false" ht="15" hidden="false" customHeight="true" outlineLevel="0" collapsed="false">
      <c r="A1028" s="7" t="s">
        <v>62</v>
      </c>
      <c r="B1028" s="7" t="n">
        <v>1964</v>
      </c>
      <c r="C1028" s="7" t="s">
        <v>148</v>
      </c>
      <c r="D1028" s="7" t="n">
        <v>80</v>
      </c>
      <c r="E1028" s="7" t="n">
        <v>82</v>
      </c>
      <c r="F1028" s="3" t="n">
        <f aca="false">COUNTIFS($B$2:$B$2705,B1028,$C$2:$C$2705,C1028)</f>
        <v>2</v>
      </c>
      <c r="G1028" s="3" t="n">
        <f aca="false">MIN(INT((MIN(B1028,2020)-1900)/10)+1,12)</f>
        <v>7</v>
      </c>
      <c r="H1028" s="3" t="n">
        <f aca="false">(MIN(B1028,2020)-1900-10*(G1028-1))/10</f>
        <v>0.4</v>
      </c>
      <c r="I1028" s="20" t="n">
        <f aca="false">EXP(LN(INDEX(Pop_Inputs!$B$2:$N$29,MATCH(C1028,Pop_Inputs!$A$2:$A$29,0),G1028))*(1-H1028)+LN(INDEX(Pop_Inputs!$B$2:$N$29,MATCH(C1028,Pop_Inputs!$A$2:$A$29,0),G1028+1))*H1028)</f>
        <v>2608701.06788718</v>
      </c>
      <c r="J1028" s="20" t="n">
        <f aca="false">I1028/F1028</f>
        <v>1304350.53394359</v>
      </c>
      <c r="K1028" s="21" t="n">
        <f aca="false">D1028/(D1028+E1028)</f>
        <v>0.493827160493827</v>
      </c>
      <c r="L1028" s="21" t="n">
        <f aca="false">AVERAGEIFS($K$2:$K$2705,$B$2:$B$2705,B1028)</f>
        <v>0.5</v>
      </c>
      <c r="M1028" s="21" t="n">
        <f aca="false">K1028-L1028</f>
        <v>-0.00617283950617287</v>
      </c>
      <c r="N1028" s="21" t="n">
        <f aca="false">LN(J1028)</f>
        <v>14.0812157997185</v>
      </c>
      <c r="O1028" s="21" t="n">
        <f aca="false">AVERAGEIFS($N$2:$N$2705,$B$2:$B$2705,B1028)</f>
        <v>13.8584123144674</v>
      </c>
      <c r="P1028" s="21" t="n">
        <f aca="false">N1028-O1028</f>
        <v>0.222803485251129</v>
      </c>
      <c r="Q1028" s="7" t="n">
        <v>0</v>
      </c>
      <c r="R1028" s="3" t="n">
        <f aca="false">IF(AND(Q1028=1,B1028-_xlfn.MINIFS($B$2:$B$2705,$A$2:$A$2705,A1028)&lt;10),1,0)</f>
        <v>0</v>
      </c>
      <c r="S1028" s="7" t="n">
        <v>0</v>
      </c>
      <c r="T1028" s="3" t="n">
        <f aca="false">_xlfn.MINIFS($B$2:$B$2705,$A$2:$A$2705,A1028)</f>
        <v>1901</v>
      </c>
      <c r="U1028" s="3" t="n">
        <f aca="false">B1028-T1028</f>
        <v>63</v>
      </c>
      <c r="V1028" s="3" t="str">
        <f aca="false">INDEX(Pop_Inputs!$Q$2:$Q$29,MATCH(C1028,Pop_Inputs!$A$2:$A$29,0))</f>
        <v>West</v>
      </c>
      <c r="W1028" s="30"/>
      <c r="X1028" s="3" t="str">
        <f aca="false">IF(W1028="","",LN(W1028))</f>
        <v/>
      </c>
      <c r="Y1028" s="3" t="str">
        <f aca="false">IF(X1028="","",X1028-AVERAGEIFS($X$2:$X$2705,$B$2:$B$2705,B1028))</f>
        <v/>
      </c>
      <c r="Z1028" s="21" t="n">
        <f aca="false">P1028</f>
        <v>0.222803485251129</v>
      </c>
      <c r="AA1028" s="3" t="n">
        <f aca="false">R1028</f>
        <v>0</v>
      </c>
      <c r="AB1028" s="21" t="n">
        <f aca="false">P1028</f>
        <v>0.222803485251129</v>
      </c>
      <c r="AC1028" s="3" t="str">
        <f aca="false">Y1028</f>
        <v/>
      </c>
      <c r="AD1028" s="3" t="n">
        <f aca="false">R1028</f>
        <v>0</v>
      </c>
    </row>
    <row r="1029" customFormat="false" ht="15" hidden="false" customHeight="true" outlineLevel="0" collapsed="false">
      <c r="A1029" s="7" t="s">
        <v>68</v>
      </c>
      <c r="B1029" s="7" t="n">
        <v>1964</v>
      </c>
      <c r="C1029" s="7" t="s">
        <v>153</v>
      </c>
      <c r="D1029" s="7" t="n">
        <v>79</v>
      </c>
      <c r="E1029" s="7" t="n">
        <v>83</v>
      </c>
      <c r="F1029" s="3" t="n">
        <f aca="false">COUNTIFS($B$2:$B$2705,B1029,$C$2:$C$2705,C1029)</f>
        <v>1</v>
      </c>
      <c r="G1029" s="3" t="n">
        <f aca="false">MIN(INT((MIN(B1029,2020)-1900)/10)+1,12)</f>
        <v>7</v>
      </c>
      <c r="H1029" s="3" t="n">
        <f aca="false">(MIN(B1029,2020)-1900-10*(G1029-1))/10</f>
        <v>0.4</v>
      </c>
      <c r="I1029" s="20" t="n">
        <f aca="false">EXP(LN(INDEX(Pop_Inputs!$B$2:$N$29,MATCH(C1029,Pop_Inputs!$A$2:$A$29,0),G1029))*(1-H1029)+LN(INDEX(Pop_Inputs!$B$2:$N$29,MATCH(C1029,Pop_Inputs!$A$2:$A$29,0),G1029+1))*H1029)</f>
        <v>462865.850496593</v>
      </c>
      <c r="J1029" s="20" t="n">
        <f aca="false">I1029/F1029</f>
        <v>462865.850496593</v>
      </c>
      <c r="K1029" s="21" t="n">
        <f aca="false">D1029/(D1029+E1029)</f>
        <v>0.487654320987654</v>
      </c>
      <c r="L1029" s="21" t="n">
        <f aca="false">AVERAGEIFS($K$2:$K$2705,$B$2:$B$2705,B1029)</f>
        <v>0.5</v>
      </c>
      <c r="M1029" s="21" t="n">
        <f aca="false">K1029-L1029</f>
        <v>-0.0123456790123457</v>
      </c>
      <c r="N1029" s="21" t="n">
        <f aca="false">LN(J1029)</f>
        <v>13.0451925513375</v>
      </c>
      <c r="O1029" s="21" t="n">
        <f aca="false">AVERAGEIFS($N$2:$N$2705,$B$2:$B$2705,B1029)</f>
        <v>13.8584123144674</v>
      </c>
      <c r="P1029" s="21" t="n">
        <f aca="false">N1029-O1029</f>
        <v>-0.813219763129894</v>
      </c>
      <c r="Q1029" s="7" t="n">
        <v>0</v>
      </c>
      <c r="R1029" s="3" t="n">
        <f aca="false">IF(AND(Q1029=1,B1029-_xlfn.MINIFS($B$2:$B$2705,$A$2:$A$2705,A1029)&lt;10),1,0)</f>
        <v>0</v>
      </c>
      <c r="S1029" s="7" t="n">
        <v>0</v>
      </c>
      <c r="T1029" s="3" t="n">
        <f aca="false">_xlfn.MINIFS($B$2:$B$2705,$A$2:$A$2705,A1029)</f>
        <v>1901</v>
      </c>
      <c r="U1029" s="3" t="n">
        <f aca="false">B1029-T1029</f>
        <v>63</v>
      </c>
      <c r="V1029" s="3" t="str">
        <f aca="false">INDEX(Pop_Inputs!$Q$2:$Q$29,MATCH(C1029,Pop_Inputs!$A$2:$A$29,0))</f>
        <v>Midwest</v>
      </c>
      <c r="W1029" s="30"/>
      <c r="X1029" s="3" t="str">
        <f aca="false">IF(W1029="","",LN(W1029))</f>
        <v/>
      </c>
      <c r="Y1029" s="3" t="str">
        <f aca="false">IF(X1029="","",X1029-AVERAGEIFS($X$2:$X$2705,$B$2:$B$2705,B1029))</f>
        <v/>
      </c>
      <c r="Z1029" s="21" t="n">
        <f aca="false">P1029</f>
        <v>-0.813219763129894</v>
      </c>
      <c r="AA1029" s="3" t="n">
        <f aca="false">R1029</f>
        <v>0</v>
      </c>
      <c r="AB1029" s="21" t="n">
        <f aca="false">P1029</f>
        <v>-0.813219763129894</v>
      </c>
      <c r="AC1029" s="3" t="str">
        <f aca="false">Y1029</f>
        <v/>
      </c>
      <c r="AD1029" s="3" t="n">
        <f aca="false">R1029</f>
        <v>0</v>
      </c>
    </row>
    <row r="1030" customFormat="false" ht="15" hidden="false" customHeight="true" outlineLevel="0" collapsed="false">
      <c r="A1030" s="7" t="s">
        <v>75</v>
      </c>
      <c r="B1030" s="7" t="n">
        <v>1964</v>
      </c>
      <c r="C1030" s="7" t="s">
        <v>154</v>
      </c>
      <c r="D1030" s="7" t="n">
        <v>53</v>
      </c>
      <c r="E1030" s="7" t="n">
        <v>109</v>
      </c>
      <c r="F1030" s="3" t="n">
        <f aca="false">COUNTIFS($B$2:$B$2705,B1030,$C$2:$C$2705,C1030)</f>
        <v>2</v>
      </c>
      <c r="G1030" s="3" t="n">
        <f aca="false">MIN(INT((MIN(B1030,2020)-1900)/10)+1,12)</f>
        <v>7</v>
      </c>
      <c r="H1030" s="3" t="n">
        <f aca="false">(MIN(B1030,2020)-1900-10*(G1030-1))/10</f>
        <v>0.4</v>
      </c>
      <c r="I1030" s="20" t="n">
        <f aca="false">EXP(LN(INDEX(Pop_Inputs!$B$2:$N$29,MATCH(C1030,Pop_Inputs!$A$2:$A$29,0),G1030))*(1-H1030)+LN(INDEX(Pop_Inputs!$B$2:$N$29,MATCH(C1030,Pop_Inputs!$A$2:$A$29,0),G1030+1))*H1030)</f>
        <v>7826940.22975289</v>
      </c>
      <c r="J1030" s="20" t="n">
        <f aca="false">I1030/F1030</f>
        <v>3913470.11487645</v>
      </c>
      <c r="K1030" s="21" t="n">
        <f aca="false">D1030/(D1030+E1030)</f>
        <v>0.327160493827161</v>
      </c>
      <c r="L1030" s="21" t="n">
        <f aca="false">AVERAGEIFS($K$2:$K$2705,$B$2:$B$2705,B1030)</f>
        <v>0.5</v>
      </c>
      <c r="M1030" s="21" t="n">
        <f aca="false">K1030-L1030</f>
        <v>-0.17283950617284</v>
      </c>
      <c r="N1030" s="21" t="n">
        <f aca="false">LN(J1030)</f>
        <v>15.1799350357794</v>
      </c>
      <c r="O1030" s="21" t="n">
        <f aca="false">AVERAGEIFS($N$2:$N$2705,$B$2:$B$2705,B1030)</f>
        <v>13.8584123144674</v>
      </c>
      <c r="P1030" s="21" t="n">
        <f aca="false">N1030-O1030</f>
        <v>1.32152272131202</v>
      </c>
      <c r="Q1030" s="7" t="n">
        <v>1</v>
      </c>
      <c r="R1030" s="3" t="n">
        <f aca="false">IF(AND(Q1030=1,B1030-_xlfn.MINIFS($B$2:$B$2705,$A$2:$A$2705,A1030)&lt;10),1,0)</f>
        <v>1</v>
      </c>
      <c r="S1030" s="7" t="n">
        <v>0</v>
      </c>
      <c r="T1030" s="3" t="n">
        <f aca="false">_xlfn.MINIFS($B$2:$B$2705,$A$2:$A$2705,A1030)</f>
        <v>1962</v>
      </c>
      <c r="U1030" s="3" t="n">
        <f aca="false">B1030-T1030</f>
        <v>2</v>
      </c>
      <c r="V1030" s="3" t="str">
        <f aca="false">INDEX(Pop_Inputs!$Q$2:$Q$29,MATCH(C1030,Pop_Inputs!$A$2:$A$29,0))</f>
        <v>Northeast</v>
      </c>
      <c r="W1030" s="30"/>
      <c r="X1030" s="3" t="str">
        <f aca="false">IF(W1030="","",LN(W1030))</f>
        <v/>
      </c>
      <c r="Y1030" s="3" t="str">
        <f aca="false">IF(X1030="","",X1030-AVERAGEIFS($X$2:$X$2705,$B$2:$B$2705,B1030))</f>
        <v/>
      </c>
      <c r="Z1030" s="21" t="n">
        <f aca="false">P1030</f>
        <v>1.32152272131202</v>
      </c>
      <c r="AA1030" s="3" t="n">
        <f aca="false">R1030</f>
        <v>1</v>
      </c>
      <c r="AB1030" s="21" t="n">
        <f aca="false">P1030</f>
        <v>1.32152272131202</v>
      </c>
      <c r="AC1030" s="3" t="str">
        <f aca="false">Y1030</f>
        <v/>
      </c>
      <c r="AD1030" s="3" t="n">
        <f aca="false">R1030</f>
        <v>1</v>
      </c>
    </row>
    <row r="1031" customFormat="false" ht="15" hidden="false" customHeight="true" outlineLevel="0" collapsed="false">
      <c r="A1031" s="7" t="s">
        <v>70</v>
      </c>
      <c r="B1031" s="7" t="n">
        <v>1964</v>
      </c>
      <c r="C1031" s="7" t="s">
        <v>154</v>
      </c>
      <c r="D1031" s="7" t="n">
        <v>99</v>
      </c>
      <c r="E1031" s="7" t="n">
        <v>63</v>
      </c>
      <c r="F1031" s="3" t="n">
        <f aca="false">COUNTIFS($B$2:$B$2705,B1031,$C$2:$C$2705,C1031)</f>
        <v>2</v>
      </c>
      <c r="G1031" s="3" t="n">
        <f aca="false">MIN(INT((MIN(B1031,2020)-1900)/10)+1,12)</f>
        <v>7</v>
      </c>
      <c r="H1031" s="3" t="n">
        <f aca="false">(MIN(B1031,2020)-1900-10*(G1031-1))/10</f>
        <v>0.4</v>
      </c>
      <c r="I1031" s="20" t="n">
        <f aca="false">EXP(LN(INDEX(Pop_Inputs!$B$2:$N$29,MATCH(C1031,Pop_Inputs!$A$2:$A$29,0),G1031))*(1-H1031)+LN(INDEX(Pop_Inputs!$B$2:$N$29,MATCH(C1031,Pop_Inputs!$A$2:$A$29,0),G1031+1))*H1031)</f>
        <v>7826940.22975289</v>
      </c>
      <c r="J1031" s="20" t="n">
        <f aca="false">I1031/F1031</f>
        <v>3913470.11487645</v>
      </c>
      <c r="K1031" s="21" t="n">
        <f aca="false">D1031/(D1031+E1031)</f>
        <v>0.611111111111111</v>
      </c>
      <c r="L1031" s="21" t="n">
        <f aca="false">AVERAGEIFS($K$2:$K$2705,$B$2:$B$2705,B1031)</f>
        <v>0.5</v>
      </c>
      <c r="M1031" s="21" t="n">
        <f aca="false">K1031-L1031</f>
        <v>0.111111111111111</v>
      </c>
      <c r="N1031" s="21" t="n">
        <f aca="false">LN(J1031)</f>
        <v>15.1799350357794</v>
      </c>
      <c r="O1031" s="21" t="n">
        <f aca="false">AVERAGEIFS($N$2:$N$2705,$B$2:$B$2705,B1031)</f>
        <v>13.8584123144674</v>
      </c>
      <c r="P1031" s="21" t="n">
        <f aca="false">N1031-O1031</f>
        <v>1.32152272131202</v>
      </c>
      <c r="Q1031" s="7" t="n">
        <v>0</v>
      </c>
      <c r="R1031" s="3" t="n">
        <f aca="false">IF(AND(Q1031=1,B1031-_xlfn.MINIFS($B$2:$B$2705,$A$2:$A$2705,A1031)&lt;10),1,0)</f>
        <v>0</v>
      </c>
      <c r="S1031" s="7" t="n">
        <v>1</v>
      </c>
      <c r="T1031" s="3" t="n">
        <f aca="false">_xlfn.MINIFS($B$2:$B$2705,$A$2:$A$2705,A1031)</f>
        <v>1903</v>
      </c>
      <c r="U1031" s="3" t="n">
        <f aca="false">B1031-T1031</f>
        <v>61</v>
      </c>
      <c r="V1031" s="3" t="str">
        <f aca="false">INDEX(Pop_Inputs!$Q$2:$Q$29,MATCH(C1031,Pop_Inputs!$A$2:$A$29,0))</f>
        <v>Northeast</v>
      </c>
      <c r="W1031" s="30"/>
      <c r="X1031" s="3" t="str">
        <f aca="false">IF(W1031="","",LN(W1031))</f>
        <v/>
      </c>
      <c r="Y1031" s="3" t="str">
        <f aca="false">IF(X1031="","",X1031-AVERAGEIFS($X$2:$X$2705,$B$2:$B$2705,B1031))</f>
        <v/>
      </c>
      <c r="Z1031" s="21" t="n">
        <f aca="false">P1031</f>
        <v>1.32152272131202</v>
      </c>
      <c r="AA1031" s="3" t="n">
        <f aca="false">R1031</f>
        <v>0</v>
      </c>
      <c r="AB1031" s="21" t="n">
        <f aca="false">P1031</f>
        <v>1.32152272131202</v>
      </c>
      <c r="AC1031" s="3" t="str">
        <f aca="false">Y1031</f>
        <v/>
      </c>
      <c r="AD1031" s="3" t="n">
        <f aca="false">R1031</f>
        <v>0</v>
      </c>
    </row>
    <row r="1032" customFormat="false" ht="15" hidden="false" customHeight="true" outlineLevel="0" collapsed="false">
      <c r="A1032" s="7" t="s">
        <v>69</v>
      </c>
      <c r="B1032" s="7" t="n">
        <v>1964</v>
      </c>
      <c r="C1032" s="7" t="s">
        <v>157</v>
      </c>
      <c r="D1032" s="7" t="n">
        <v>57</v>
      </c>
      <c r="E1032" s="7" t="n">
        <v>105</v>
      </c>
      <c r="F1032" s="3" t="n">
        <f aca="false">COUNTIFS($B$2:$B$2705,B1032,$C$2:$C$2705,C1032)</f>
        <v>1</v>
      </c>
      <c r="G1032" s="3" t="n">
        <f aca="false">MIN(INT((MIN(B1032,2020)-1900)/10)+1,12)</f>
        <v>7</v>
      </c>
      <c r="H1032" s="3" t="n">
        <f aca="false">(MIN(B1032,2020)-1900-10*(G1032-1))/10</f>
        <v>0.4</v>
      </c>
      <c r="I1032" s="20" t="n">
        <f aca="false">EXP(LN(INDEX(Pop_Inputs!$B$2:$N$29,MATCH(C1032,Pop_Inputs!$A$2:$A$29,0),G1032))*(1-H1032)+LN(INDEX(Pop_Inputs!$B$2:$N$29,MATCH(C1032,Pop_Inputs!$A$2:$A$29,0),G1032+1))*H1032)</f>
        <v>487915.567336592</v>
      </c>
      <c r="J1032" s="20" t="n">
        <f aca="false">I1032/F1032</f>
        <v>487915.567336592</v>
      </c>
      <c r="K1032" s="21" t="n">
        <f aca="false">D1032/(D1032+E1032)</f>
        <v>0.351851851851852</v>
      </c>
      <c r="L1032" s="21" t="n">
        <f aca="false">AVERAGEIFS($K$2:$K$2705,$B$2:$B$2705,B1032)</f>
        <v>0.5</v>
      </c>
      <c r="M1032" s="21" t="n">
        <f aca="false">K1032-L1032</f>
        <v>-0.148148148148148</v>
      </c>
      <c r="N1032" s="21" t="n">
        <f aca="false">LN(J1032)</f>
        <v>13.0978976521131</v>
      </c>
      <c r="O1032" s="21" t="n">
        <f aca="false">AVERAGEIFS($N$2:$N$2705,$B$2:$B$2705,B1032)</f>
        <v>13.8584123144674</v>
      </c>
      <c r="P1032" s="21" t="n">
        <f aca="false">N1032-O1032</f>
        <v>-0.760514662354314</v>
      </c>
      <c r="Q1032" s="7" t="n">
        <v>0</v>
      </c>
      <c r="R1032" s="3" t="n">
        <f aca="false">IF(AND(Q1032=1,B1032-_xlfn.MINIFS($B$2:$B$2705,$A$2:$A$2705,A1032)&lt;10),1,0)</f>
        <v>0</v>
      </c>
      <c r="S1032" s="7" t="n">
        <v>0</v>
      </c>
      <c r="T1032" s="3" t="n">
        <f aca="false">_xlfn.MINIFS($B$2:$B$2705,$A$2:$A$2705,A1032)</f>
        <v>1901</v>
      </c>
      <c r="U1032" s="3" t="n">
        <f aca="false">B1032-T1032</f>
        <v>63</v>
      </c>
      <c r="V1032" s="3" t="str">
        <f aca="false">INDEX(Pop_Inputs!$Q$2:$Q$29,MATCH(C1032,Pop_Inputs!$A$2:$A$29,0))</f>
        <v>Midwest</v>
      </c>
      <c r="W1032" s="30"/>
      <c r="X1032" s="3" t="str">
        <f aca="false">IF(W1032="","",LN(W1032))</f>
        <v/>
      </c>
      <c r="Y1032" s="3" t="str">
        <f aca="false">IF(X1032="","",X1032-AVERAGEIFS($X$2:$X$2705,$B$2:$B$2705,B1032))</f>
        <v/>
      </c>
      <c r="Z1032" s="21" t="n">
        <f aca="false">P1032</f>
        <v>-0.760514662354314</v>
      </c>
      <c r="AA1032" s="3" t="n">
        <f aca="false">R1032</f>
        <v>0</v>
      </c>
      <c r="AB1032" s="21" t="n">
        <f aca="false">P1032</f>
        <v>-0.760514662354314</v>
      </c>
      <c r="AC1032" s="3" t="str">
        <f aca="false">Y1032</f>
        <v/>
      </c>
      <c r="AD1032" s="3" t="n">
        <f aca="false">R1032</f>
        <v>0</v>
      </c>
    </row>
    <row r="1033" customFormat="false" ht="15" hidden="false" customHeight="true" outlineLevel="0" collapsed="false">
      <c r="A1033" s="7" t="s">
        <v>60</v>
      </c>
      <c r="B1033" s="7" t="n">
        <v>1964</v>
      </c>
      <c r="C1033" s="7" t="s">
        <v>146</v>
      </c>
      <c r="D1033" s="7" t="n">
        <v>92</v>
      </c>
      <c r="E1033" s="7" t="n">
        <v>70</v>
      </c>
      <c r="F1033" s="3" t="n">
        <f aca="false">COUNTIFS($B$2:$B$2705,B1033,$C$2:$C$2705,C1033)</f>
        <v>1</v>
      </c>
      <c r="G1033" s="3" t="n">
        <f aca="false">MIN(INT((MIN(B1033,2020)-1900)/10)+1,12)</f>
        <v>7</v>
      </c>
      <c r="H1033" s="3" t="n">
        <f aca="false">(MIN(B1033,2020)-1900-10*(G1033-1))/10</f>
        <v>0.4</v>
      </c>
      <c r="I1033" s="20" t="n">
        <f aca="false">EXP(LN(INDEX(Pop_Inputs!$B$2:$N$29,MATCH(C1033,Pop_Inputs!$A$2:$A$29,0),G1033))*(1-H1033)+LN(INDEX(Pop_Inputs!$B$2:$N$29,MATCH(C1033,Pop_Inputs!$A$2:$A$29,0),G1033+1))*H1033)</f>
        <v>1980774.1424937</v>
      </c>
      <c r="J1033" s="20" t="n">
        <f aca="false">I1033/F1033</f>
        <v>1980774.1424937</v>
      </c>
      <c r="K1033" s="21" t="n">
        <f aca="false">D1033/(D1033+E1033)</f>
        <v>0.567901234567901</v>
      </c>
      <c r="L1033" s="21" t="n">
        <f aca="false">AVERAGEIFS($K$2:$K$2705,$B$2:$B$2705,B1033)</f>
        <v>0.5</v>
      </c>
      <c r="M1033" s="21" t="n">
        <f aca="false">K1033-L1033</f>
        <v>0.0679012345679012</v>
      </c>
      <c r="N1033" s="21" t="n">
        <f aca="false">LN(J1033)</f>
        <v>14.498998307315</v>
      </c>
      <c r="O1033" s="21" t="n">
        <f aca="false">AVERAGEIFS($N$2:$N$2705,$B$2:$B$2705,B1033)</f>
        <v>13.8584123144674</v>
      </c>
      <c r="P1033" s="21" t="n">
        <f aca="false">N1033-O1033</f>
        <v>0.640585992847548</v>
      </c>
      <c r="Q1033" s="7" t="n">
        <v>0</v>
      </c>
      <c r="R1033" s="3" t="n">
        <f aca="false">IF(AND(Q1033=1,B1033-_xlfn.MINIFS($B$2:$B$2705,$A$2:$A$2705,A1033)&lt;10),1,0)</f>
        <v>0</v>
      </c>
      <c r="S1033" s="7" t="n">
        <v>0</v>
      </c>
      <c r="T1033" s="3" t="n">
        <f aca="false">_xlfn.MINIFS($B$2:$B$2705,$A$2:$A$2705,A1033)</f>
        <v>1901</v>
      </c>
      <c r="U1033" s="3" t="n">
        <f aca="false">B1033-T1033</f>
        <v>63</v>
      </c>
      <c r="V1033" s="3" t="str">
        <f aca="false">INDEX(Pop_Inputs!$Q$2:$Q$29,MATCH(C1033,Pop_Inputs!$A$2:$A$29,0))</f>
        <v>Northeast</v>
      </c>
      <c r="W1033" s="30"/>
      <c r="X1033" s="3" t="str">
        <f aca="false">IF(W1033="","",LN(W1033))</f>
        <v/>
      </c>
      <c r="Y1033" s="3" t="str">
        <f aca="false">IF(X1033="","",X1033-AVERAGEIFS($X$2:$X$2705,$B$2:$B$2705,B1033))</f>
        <v/>
      </c>
      <c r="Z1033" s="21" t="n">
        <f aca="false">P1033</f>
        <v>0.640585992847548</v>
      </c>
      <c r="AA1033" s="3" t="n">
        <f aca="false">R1033</f>
        <v>0</v>
      </c>
      <c r="AB1033" s="21" t="n">
        <f aca="false">P1033</f>
        <v>0.640585992847548</v>
      </c>
      <c r="AC1033" s="3" t="str">
        <f aca="false">Y1033</f>
        <v/>
      </c>
      <c r="AD1033" s="3" t="n">
        <f aca="false">R1033</f>
        <v>0</v>
      </c>
    </row>
    <row r="1034" customFormat="false" ht="15" hidden="false" customHeight="true" outlineLevel="0" collapsed="false">
      <c r="A1034" s="7" t="s">
        <v>58</v>
      </c>
      <c r="B1034" s="7" t="n">
        <v>1964</v>
      </c>
      <c r="C1034" s="7" t="s">
        <v>144</v>
      </c>
      <c r="D1034" s="7" t="n">
        <v>80</v>
      </c>
      <c r="E1034" s="7" t="n">
        <v>82</v>
      </c>
      <c r="F1034" s="3" t="n">
        <f aca="false">COUNTIFS($B$2:$B$2705,B1034,$C$2:$C$2705,C1034)</f>
        <v>1</v>
      </c>
      <c r="G1034" s="3" t="n">
        <f aca="false">MIN(INT((MIN(B1034,2020)-1900)/10)+1,12)</f>
        <v>7</v>
      </c>
      <c r="H1034" s="3" t="n">
        <f aca="false">(MIN(B1034,2020)-1900-10*(G1034-1))/10</f>
        <v>0.4</v>
      </c>
      <c r="I1034" s="20" t="n">
        <f aca="false">EXP(LN(INDEX(Pop_Inputs!$B$2:$N$29,MATCH(C1034,Pop_Inputs!$A$2:$A$29,0),G1034))*(1-H1034)+LN(INDEX(Pop_Inputs!$B$2:$N$29,MATCH(C1034,Pop_Inputs!$A$2:$A$29,0),G1034+1))*H1034)</f>
        <v>569122.524499214</v>
      </c>
      <c r="J1034" s="20" t="n">
        <f aca="false">I1034/F1034</f>
        <v>569122.524499214</v>
      </c>
      <c r="K1034" s="21" t="n">
        <f aca="false">D1034/(D1034+E1034)</f>
        <v>0.493827160493827</v>
      </c>
      <c r="L1034" s="21" t="n">
        <f aca="false">AVERAGEIFS($K$2:$K$2705,$B$2:$B$2705,B1034)</f>
        <v>0.5</v>
      </c>
      <c r="M1034" s="21" t="n">
        <f aca="false">K1034-L1034</f>
        <v>-0.00617283950617287</v>
      </c>
      <c r="N1034" s="21" t="n">
        <f aca="false">LN(J1034)</f>
        <v>13.2518510229667</v>
      </c>
      <c r="O1034" s="21" t="n">
        <f aca="false">AVERAGEIFS($N$2:$N$2705,$B$2:$B$2705,B1034)</f>
        <v>13.8584123144674</v>
      </c>
      <c r="P1034" s="21" t="n">
        <f aca="false">N1034-O1034</f>
        <v>-0.606561291500738</v>
      </c>
      <c r="Q1034" s="7" t="n">
        <v>0</v>
      </c>
      <c r="R1034" s="3" t="n">
        <f aca="false">IF(AND(Q1034=1,B1034-_xlfn.MINIFS($B$2:$B$2705,$A$2:$A$2705,A1034)&lt;10),1,0)</f>
        <v>0</v>
      </c>
      <c r="S1034" s="7" t="n">
        <v>0</v>
      </c>
      <c r="T1034" s="3" t="n">
        <f aca="false">_xlfn.MINIFS($B$2:$B$2705,$A$2:$A$2705,A1034)</f>
        <v>1901</v>
      </c>
      <c r="U1034" s="3" t="n">
        <f aca="false">B1034-T1034</f>
        <v>63</v>
      </c>
      <c r="V1034" s="3" t="str">
        <f aca="false">INDEX(Pop_Inputs!$Q$2:$Q$29,MATCH(C1034,Pop_Inputs!$A$2:$A$29,0))</f>
        <v>Northeast</v>
      </c>
      <c r="W1034" s="30"/>
      <c r="X1034" s="3" t="str">
        <f aca="false">IF(W1034="","",LN(W1034))</f>
        <v/>
      </c>
      <c r="Y1034" s="3" t="str">
        <f aca="false">IF(X1034="","",X1034-AVERAGEIFS($X$2:$X$2705,$B$2:$B$2705,B1034))</f>
        <v/>
      </c>
      <c r="Z1034" s="21" t="n">
        <f aca="false">P1034</f>
        <v>-0.606561291500738</v>
      </c>
      <c r="AA1034" s="3" t="n">
        <f aca="false">R1034</f>
        <v>0</v>
      </c>
      <c r="AB1034" s="21" t="n">
        <f aca="false">P1034</f>
        <v>-0.606561291500738</v>
      </c>
      <c r="AC1034" s="3" t="str">
        <f aca="false">Y1034</f>
        <v/>
      </c>
      <c r="AD1034" s="3" t="n">
        <f aca="false">R1034</f>
        <v>0</v>
      </c>
    </row>
    <row r="1035" customFormat="false" ht="15" hidden="false" customHeight="true" outlineLevel="0" collapsed="false">
      <c r="A1035" s="7" t="s">
        <v>61</v>
      </c>
      <c r="B1035" s="7" t="n">
        <v>1964</v>
      </c>
      <c r="C1035" s="7" t="s">
        <v>147</v>
      </c>
      <c r="D1035" s="7" t="n">
        <v>90</v>
      </c>
      <c r="E1035" s="7" t="n">
        <v>72</v>
      </c>
      <c r="F1035" s="3" t="n">
        <f aca="false">COUNTIFS($B$2:$B$2705,B1035,$C$2:$C$2705,C1035)</f>
        <v>1</v>
      </c>
      <c r="G1035" s="3" t="n">
        <f aca="false">MIN(INT((MIN(B1035,2020)-1900)/10)+1,12)</f>
        <v>7</v>
      </c>
      <c r="H1035" s="3" t="n">
        <f aca="false">(MIN(B1035,2020)-1900-10*(G1035-1))/10</f>
        <v>0.4</v>
      </c>
      <c r="I1035" s="20" t="n">
        <f aca="false">EXP(LN(INDEX(Pop_Inputs!$B$2:$N$29,MATCH(C1035,Pop_Inputs!$A$2:$A$29,0),G1035))*(1-H1035)+LN(INDEX(Pop_Inputs!$B$2:$N$29,MATCH(C1035,Pop_Inputs!$A$2:$A$29,0),G1035+1))*H1035)</f>
        <v>730358.98654021</v>
      </c>
      <c r="J1035" s="20" t="n">
        <f aca="false">I1035/F1035</f>
        <v>730358.98654021</v>
      </c>
      <c r="K1035" s="21" t="n">
        <f aca="false">D1035/(D1035+E1035)</f>
        <v>0.555555555555556</v>
      </c>
      <c r="L1035" s="21" t="n">
        <f aca="false">AVERAGEIFS($K$2:$K$2705,$B$2:$B$2705,B1035)</f>
        <v>0.5</v>
      </c>
      <c r="M1035" s="21" t="n">
        <f aca="false">K1035-L1035</f>
        <v>0.0555555555555556</v>
      </c>
      <c r="N1035" s="21" t="n">
        <f aca="false">LN(J1035)</f>
        <v>13.5012914546329</v>
      </c>
      <c r="O1035" s="21" t="n">
        <f aca="false">AVERAGEIFS($N$2:$N$2705,$B$2:$B$2705,B1035)</f>
        <v>13.8584123144674</v>
      </c>
      <c r="P1035" s="21" t="n">
        <f aca="false">N1035-O1035</f>
        <v>-0.357120859834486</v>
      </c>
      <c r="Q1035" s="7" t="n">
        <v>0</v>
      </c>
      <c r="R1035" s="3" t="n">
        <f aca="false">IF(AND(Q1035=1,B1035-_xlfn.MINIFS($B$2:$B$2705,$A$2:$A$2705,A1035)&lt;10),1,0)</f>
        <v>0</v>
      </c>
      <c r="S1035" s="7" t="n">
        <v>0</v>
      </c>
      <c r="T1035" s="3" t="n">
        <f aca="false">_xlfn.MINIFS($B$2:$B$2705,$A$2:$A$2705,A1035)</f>
        <v>1901</v>
      </c>
      <c r="U1035" s="3" t="n">
        <f aca="false">B1035-T1035</f>
        <v>63</v>
      </c>
      <c r="V1035" s="3" t="str">
        <f aca="false">INDEX(Pop_Inputs!$Q$2:$Q$29,MATCH(C1035,Pop_Inputs!$A$2:$A$29,0))</f>
        <v>West</v>
      </c>
      <c r="W1035" s="30"/>
      <c r="X1035" s="3" t="str">
        <f aca="false">IF(W1035="","",LN(W1035))</f>
        <v/>
      </c>
      <c r="Y1035" s="3" t="str">
        <f aca="false">IF(X1035="","",X1035-AVERAGEIFS($X$2:$X$2705,$B$2:$B$2705,B1035))</f>
        <v/>
      </c>
      <c r="Z1035" s="21" t="n">
        <f aca="false">P1035</f>
        <v>-0.357120859834486</v>
      </c>
      <c r="AA1035" s="3" t="n">
        <f aca="false">R1035</f>
        <v>0</v>
      </c>
      <c r="AB1035" s="21" t="n">
        <f aca="false">P1035</f>
        <v>-0.357120859834486</v>
      </c>
      <c r="AC1035" s="3" t="str">
        <f aca="false">Y1035</f>
        <v/>
      </c>
      <c r="AD1035" s="3" t="n">
        <f aca="false">R1035</f>
        <v>0</v>
      </c>
    </row>
    <row r="1036" customFormat="false" ht="15" hidden="false" customHeight="true" outlineLevel="0" collapsed="false">
      <c r="A1036" s="7" t="s">
        <v>59</v>
      </c>
      <c r="B1036" s="7" t="n">
        <v>1964</v>
      </c>
      <c r="C1036" s="7" t="s">
        <v>145</v>
      </c>
      <c r="D1036" s="7" t="n">
        <v>93</v>
      </c>
      <c r="E1036" s="7" t="n">
        <v>69</v>
      </c>
      <c r="F1036" s="3" t="n">
        <f aca="false">COUNTIFS($B$2:$B$2705,B1036,$C$2:$C$2705,C1036)</f>
        <v>1</v>
      </c>
      <c r="G1036" s="3" t="n">
        <f aca="false">MIN(INT((MIN(B1036,2020)-1900)/10)+1,12)</f>
        <v>7</v>
      </c>
      <c r="H1036" s="3" t="n">
        <f aca="false">(MIN(B1036,2020)-1900-10*(G1036-1))/10</f>
        <v>0.4</v>
      </c>
      <c r="I1036" s="20" t="n">
        <f aca="false">EXP(LN(INDEX(Pop_Inputs!$B$2:$N$29,MATCH(C1036,Pop_Inputs!$A$2:$A$29,0),G1036))*(1-H1036)+LN(INDEX(Pop_Inputs!$B$2:$N$29,MATCH(C1036,Pop_Inputs!$A$2:$A$29,0),G1036+1))*H1036)</f>
        <v>696029.817294603</v>
      </c>
      <c r="J1036" s="20" t="n">
        <f aca="false">I1036/F1036</f>
        <v>696029.817294603</v>
      </c>
      <c r="K1036" s="21" t="n">
        <f aca="false">D1036/(D1036+E1036)</f>
        <v>0.574074074074074</v>
      </c>
      <c r="L1036" s="21" t="n">
        <f aca="false">AVERAGEIFS($K$2:$K$2705,$B$2:$B$2705,B1036)</f>
        <v>0.5</v>
      </c>
      <c r="M1036" s="21" t="n">
        <f aca="false">K1036-L1036</f>
        <v>0.0740740740740741</v>
      </c>
      <c r="N1036" s="21" t="n">
        <f aca="false">LN(J1036)</f>
        <v>13.4531477793394</v>
      </c>
      <c r="O1036" s="21" t="n">
        <f aca="false">AVERAGEIFS($N$2:$N$2705,$B$2:$B$2705,B1036)</f>
        <v>13.8584123144674</v>
      </c>
      <c r="P1036" s="21" t="n">
        <f aca="false">N1036-O1036</f>
        <v>-0.405264535127984</v>
      </c>
      <c r="Q1036" s="7" t="n">
        <v>0</v>
      </c>
      <c r="R1036" s="3" t="n">
        <f aca="false">IF(AND(Q1036=1,B1036-_xlfn.MINIFS($B$2:$B$2705,$A$2:$A$2705,A1036)&lt;10),1,0)</f>
        <v>0</v>
      </c>
      <c r="S1036" s="7" t="n">
        <v>0</v>
      </c>
      <c r="T1036" s="3" t="n">
        <f aca="false">_xlfn.MINIFS($B$2:$B$2705,$A$2:$A$2705,A1036)</f>
        <v>1901</v>
      </c>
      <c r="U1036" s="3" t="n">
        <f aca="false">B1036-T1036</f>
        <v>63</v>
      </c>
      <c r="V1036" s="3" t="str">
        <f aca="false">INDEX(Pop_Inputs!$Q$2:$Q$29,MATCH(C1036,Pop_Inputs!$A$2:$A$29,0))</f>
        <v>Midwest</v>
      </c>
      <c r="W1036" s="30"/>
      <c r="X1036" s="3" t="str">
        <f aca="false">IF(W1036="","",LN(W1036))</f>
        <v/>
      </c>
      <c r="Y1036" s="3" t="str">
        <f aca="false">IF(X1036="","",X1036-AVERAGEIFS($X$2:$X$2705,$B$2:$B$2705,B1036))</f>
        <v/>
      </c>
      <c r="Z1036" s="21" t="n">
        <f aca="false">P1036</f>
        <v>-0.405264535127984</v>
      </c>
      <c r="AA1036" s="3" t="n">
        <f aca="false">R1036</f>
        <v>0</v>
      </c>
      <c r="AB1036" s="21" t="n">
        <f aca="false">P1036</f>
        <v>-0.405264535127984</v>
      </c>
      <c r="AC1036" s="3" t="str">
        <f aca="false">Y1036</f>
        <v/>
      </c>
      <c r="AD1036" s="3" t="n">
        <f aca="false">R1036</f>
        <v>0</v>
      </c>
    </row>
    <row r="1037" customFormat="false" ht="15" hidden="false" customHeight="true" outlineLevel="0" collapsed="false">
      <c r="A1037" s="7" t="s">
        <v>73</v>
      </c>
      <c r="B1037" s="7" t="n">
        <v>1964</v>
      </c>
      <c r="C1037" s="7" t="s">
        <v>160</v>
      </c>
      <c r="D1037" s="7" t="n">
        <v>62</v>
      </c>
      <c r="E1037" s="7" t="n">
        <v>100</v>
      </c>
      <c r="F1037" s="3" t="n">
        <f aca="false">COUNTIFS($B$2:$B$2705,B1037,$C$2:$C$2705,C1037)</f>
        <v>1</v>
      </c>
      <c r="G1037" s="3" t="n">
        <f aca="false">MIN(INT((MIN(B1037,2020)-1900)/10)+1,12)</f>
        <v>7</v>
      </c>
      <c r="H1037" s="3" t="n">
        <f aca="false">(MIN(B1037,2020)-1900-10*(G1037-1))/10</f>
        <v>0.4</v>
      </c>
      <c r="I1037" s="20" t="n">
        <f aca="false">EXP(LN(INDEX(Pop_Inputs!$B$2:$N$29,MATCH(C1037,Pop_Inputs!$A$2:$A$29,0),G1037))*(1-H1037)+LN(INDEX(Pop_Inputs!$B$2:$N$29,MATCH(C1037,Pop_Inputs!$A$2:$A$29,0),G1037+1))*H1037)</f>
        <v>760968.845628007</v>
      </c>
      <c r="J1037" s="20" t="n">
        <f aca="false">I1037/F1037</f>
        <v>760968.845628007</v>
      </c>
      <c r="K1037" s="21" t="n">
        <f aca="false">D1037/(D1037+E1037)</f>
        <v>0.382716049382716</v>
      </c>
      <c r="L1037" s="21" t="n">
        <f aca="false">AVERAGEIFS($K$2:$K$2705,$B$2:$B$2705,B1037)</f>
        <v>0.5</v>
      </c>
      <c r="M1037" s="21" t="n">
        <f aca="false">K1037-L1037</f>
        <v>-0.117283950617284</v>
      </c>
      <c r="N1037" s="21" t="n">
        <f aca="false">LN(J1037)</f>
        <v>13.5423476972778</v>
      </c>
      <c r="O1037" s="21" t="n">
        <f aca="false">AVERAGEIFS($N$2:$N$2705,$B$2:$B$2705,B1037)</f>
        <v>13.8584123144674</v>
      </c>
      <c r="P1037" s="21" t="n">
        <f aca="false">N1037-O1037</f>
        <v>-0.316064617189586</v>
      </c>
      <c r="Q1037" s="7" t="n">
        <v>1</v>
      </c>
      <c r="R1037" s="3" t="n">
        <f aca="false">IF(AND(Q1037=1,B1037-_xlfn.MINIFS($B$2:$B$2705,$A$2:$A$2705,A1037)&lt;10),1,0)</f>
        <v>1</v>
      </c>
      <c r="S1037" s="7" t="n">
        <v>0</v>
      </c>
      <c r="T1037" s="3" t="n">
        <f aca="false">_xlfn.MINIFS($B$2:$B$2705,$A$2:$A$2705,A1037)</f>
        <v>1961</v>
      </c>
      <c r="U1037" s="3" t="n">
        <f aca="false">B1037-T1037</f>
        <v>3</v>
      </c>
      <c r="V1037" s="3" t="str">
        <f aca="false">INDEX(Pop_Inputs!$Q$2:$Q$29,MATCH(C1037,Pop_Inputs!$A$2:$A$29,0))</f>
        <v>South</v>
      </c>
      <c r="W1037" s="30"/>
      <c r="X1037" s="3" t="str">
        <f aca="false">IF(W1037="","",LN(W1037))</f>
        <v/>
      </c>
      <c r="Y1037" s="3" t="str">
        <f aca="false">IF(X1037="","",X1037-AVERAGEIFS($X$2:$X$2705,$B$2:$B$2705,B1037))</f>
        <v/>
      </c>
      <c r="Z1037" s="21" t="n">
        <f aca="false">P1037</f>
        <v>-0.316064617189586</v>
      </c>
      <c r="AA1037" s="3" t="n">
        <f aca="false">R1037</f>
        <v>1</v>
      </c>
      <c r="AB1037" s="21" t="n">
        <f aca="false">P1037</f>
        <v>-0.316064617189586</v>
      </c>
      <c r="AC1037" s="3" t="str">
        <f aca="false">Y1037</f>
        <v/>
      </c>
      <c r="AD1037" s="3" t="n">
        <f aca="false">R1037</f>
        <v>1</v>
      </c>
    </row>
    <row r="1038" customFormat="false" ht="15" hidden="false" customHeight="true" outlineLevel="0" collapsed="false">
      <c r="A1038" s="7" t="s">
        <v>71</v>
      </c>
      <c r="B1038" s="7" t="n">
        <v>1965</v>
      </c>
      <c r="C1038" s="7" t="s">
        <v>148</v>
      </c>
      <c r="D1038" s="7" t="n">
        <v>75</v>
      </c>
      <c r="E1038" s="7" t="n">
        <v>87</v>
      </c>
      <c r="F1038" s="3" t="n">
        <f aca="false">COUNTIFS($B$2:$B$2705,B1038,$C$2:$C$2705,C1038)</f>
        <v>2</v>
      </c>
      <c r="G1038" s="3" t="n">
        <f aca="false">MIN(INT((MIN(B1038,2020)-1900)/10)+1,12)</f>
        <v>7</v>
      </c>
      <c r="H1038" s="3" t="n">
        <f aca="false">(MIN(B1038,2020)-1900-10*(G1038-1))/10</f>
        <v>0.5</v>
      </c>
      <c r="I1038" s="20" t="n">
        <f aca="false">EXP(LN(INDEX(Pop_Inputs!$B$2:$N$29,MATCH(C1038,Pop_Inputs!$A$2:$A$29,0),G1038))*(1-H1038)+LN(INDEX(Pop_Inputs!$B$2:$N$29,MATCH(C1038,Pop_Inputs!$A$2:$A$29,0),G1038+1))*H1038)</f>
        <v>2642169.08238572</v>
      </c>
      <c r="J1038" s="20" t="n">
        <f aca="false">I1038/F1038</f>
        <v>1321084.54119286</v>
      </c>
      <c r="K1038" s="21" t="n">
        <f aca="false">D1038/(D1038+E1038)</f>
        <v>0.462962962962963</v>
      </c>
      <c r="L1038" s="21" t="n">
        <f aca="false">AVERAGEIFS($K$2:$K$2705,$B$2:$B$2705,B1038)</f>
        <v>0.50000766812361</v>
      </c>
      <c r="M1038" s="21" t="n">
        <f aca="false">K1038-L1038</f>
        <v>-0.0370447051606471</v>
      </c>
      <c r="N1038" s="21" t="n">
        <f aca="false">LN(J1038)</f>
        <v>14.0939635793317</v>
      </c>
      <c r="O1038" s="21" t="n">
        <f aca="false">AVERAGEIFS($N$2:$N$2705,$B$2:$B$2705,B1038)</f>
        <v>13.8558589811541</v>
      </c>
      <c r="P1038" s="21" t="n">
        <f aca="false">N1038-O1038</f>
        <v>0.238104598177527</v>
      </c>
      <c r="Q1038" s="7" t="n">
        <v>1</v>
      </c>
      <c r="R1038" s="3" t="n">
        <f aca="false">IF(AND(Q1038=1,B1038-_xlfn.MINIFS($B$2:$B$2705,$A$2:$A$2705,A1038)&lt;10),1,0)</f>
        <v>1</v>
      </c>
      <c r="S1038" s="7" t="n">
        <v>0</v>
      </c>
      <c r="T1038" s="3" t="n">
        <f aca="false">_xlfn.MINIFS($B$2:$B$2705,$A$2:$A$2705,A1038)</f>
        <v>1961</v>
      </c>
      <c r="U1038" s="3" t="n">
        <f aca="false">B1038-T1038</f>
        <v>4</v>
      </c>
      <c r="V1038" s="3" t="str">
        <f aca="false">INDEX(Pop_Inputs!$Q$2:$Q$29,MATCH(C1038,Pop_Inputs!$A$2:$A$29,0))</f>
        <v>West</v>
      </c>
      <c r="W1038" s="30"/>
      <c r="X1038" s="3" t="str">
        <f aca="false">IF(W1038="","",LN(W1038))</f>
        <v/>
      </c>
      <c r="Y1038" s="3" t="str">
        <f aca="false">IF(X1038="","",X1038-AVERAGEIFS($X$2:$X$2705,$B$2:$B$2705,B1038))</f>
        <v/>
      </c>
      <c r="Z1038" s="21" t="n">
        <f aca="false">P1038</f>
        <v>0.238104598177527</v>
      </c>
      <c r="AA1038" s="3" t="n">
        <f aca="false">R1038</f>
        <v>1</v>
      </c>
      <c r="AB1038" s="21" t="n">
        <f aca="false">P1038</f>
        <v>0.238104598177527</v>
      </c>
      <c r="AC1038" s="3" t="str">
        <f aca="false">Y1038</f>
        <v/>
      </c>
      <c r="AD1038" s="3" t="n">
        <f aca="false">R1038</f>
        <v>1</v>
      </c>
    </row>
    <row r="1039" customFormat="false" ht="15" hidden="false" customHeight="true" outlineLevel="0" collapsed="false">
      <c r="A1039" s="7" t="s">
        <v>54</v>
      </c>
      <c r="B1039" s="7" t="n">
        <v>1965</v>
      </c>
      <c r="C1039" s="7" t="s">
        <v>158</v>
      </c>
      <c r="D1039" s="7" t="n">
        <v>86</v>
      </c>
      <c r="E1039" s="7" t="n">
        <v>76</v>
      </c>
      <c r="F1039" s="3" t="n">
        <f aca="false">COUNTIFS($B$2:$B$2705,B1039,$C$2:$C$2705,C1039)</f>
        <v>1</v>
      </c>
      <c r="G1039" s="3" t="n">
        <f aca="false">MIN(INT((MIN(B1039,2020)-1900)/10)+1,12)</f>
        <v>7</v>
      </c>
      <c r="H1039" s="3" t="n">
        <f aca="false">(MIN(B1039,2020)-1900-10*(G1039-1))/10</f>
        <v>0.5</v>
      </c>
      <c r="I1039" s="20" t="n">
        <f aca="false">EXP(LN(INDEX(Pop_Inputs!$B$2:$N$29,MATCH(C1039,Pop_Inputs!$A$2:$A$29,0),G1039))*(1-H1039)+LN(INDEX(Pop_Inputs!$B$2:$N$29,MATCH(C1039,Pop_Inputs!$A$2:$A$29,0),G1039+1))*H1039)</f>
        <v>729110.896281217</v>
      </c>
      <c r="J1039" s="20" t="n">
        <f aca="false">I1039/F1039</f>
        <v>729110.896281217</v>
      </c>
      <c r="K1039" s="21" t="n">
        <f aca="false">D1039/(D1039+E1039)</f>
        <v>0.530864197530864</v>
      </c>
      <c r="L1039" s="21" t="n">
        <f aca="false">AVERAGEIFS($K$2:$K$2705,$B$2:$B$2705,B1039)</f>
        <v>0.50000766812361</v>
      </c>
      <c r="M1039" s="21" t="n">
        <f aca="false">K1039-L1039</f>
        <v>0.0308565294072541</v>
      </c>
      <c r="N1039" s="21" t="n">
        <f aca="false">LN(J1039)</f>
        <v>13.4995811205206</v>
      </c>
      <c r="O1039" s="21" t="n">
        <f aca="false">AVERAGEIFS($N$2:$N$2705,$B$2:$B$2705,B1039)</f>
        <v>13.8558589811541</v>
      </c>
      <c r="P1039" s="21" t="n">
        <f aca="false">N1039-O1039</f>
        <v>-0.356277860633531</v>
      </c>
      <c r="Q1039" s="7" t="n">
        <v>0</v>
      </c>
      <c r="R1039" s="3" t="n">
        <f aca="false">IF(AND(Q1039=1,B1039-_xlfn.MINIFS($B$2:$B$2705,$A$2:$A$2705,A1039)&lt;10),1,0)</f>
        <v>0</v>
      </c>
      <c r="S1039" s="7" t="n">
        <v>0</v>
      </c>
      <c r="T1039" s="3" t="n">
        <f aca="false">_xlfn.MINIFS($B$2:$B$2705,$A$2:$A$2705,A1039)</f>
        <v>1901</v>
      </c>
      <c r="U1039" s="3" t="n">
        <f aca="false">B1039-T1039</f>
        <v>64</v>
      </c>
      <c r="V1039" s="3" t="str">
        <f aca="false">INDEX(Pop_Inputs!$Q$2:$Q$29,MATCH(C1039,Pop_Inputs!$A$2:$A$29,0))</f>
        <v>Midwest</v>
      </c>
      <c r="W1039" s="30"/>
      <c r="X1039" s="3" t="str">
        <f aca="false">IF(W1039="","",LN(W1039))</f>
        <v/>
      </c>
      <c r="Y1039" s="3" t="str">
        <f aca="false">IF(X1039="","",X1039-AVERAGEIFS($X$2:$X$2705,$B$2:$B$2705,B1039))</f>
        <v/>
      </c>
      <c r="Z1039" s="21" t="n">
        <f aca="false">P1039</f>
        <v>-0.356277860633531</v>
      </c>
      <c r="AA1039" s="3" t="n">
        <f aca="false">R1039</f>
        <v>0</v>
      </c>
      <c r="AB1039" s="21" t="n">
        <f aca="false">P1039</f>
        <v>-0.356277860633531</v>
      </c>
      <c r="AC1039" s="3" t="str">
        <f aca="false">Y1039</f>
        <v/>
      </c>
      <c r="AD1039" s="3" t="n">
        <f aca="false">R1039</f>
        <v>0</v>
      </c>
    </row>
    <row r="1040" customFormat="false" ht="15" hidden="false" customHeight="true" outlineLevel="0" collapsed="false">
      <c r="A1040" s="7" t="s">
        <v>63</v>
      </c>
      <c r="B1040" s="7" t="n">
        <v>1965</v>
      </c>
      <c r="C1040" s="7" t="s">
        <v>149</v>
      </c>
      <c r="D1040" s="7" t="n">
        <v>94</v>
      </c>
      <c r="E1040" s="7" t="n">
        <v>68</v>
      </c>
      <c r="F1040" s="3" t="n">
        <f aca="false">COUNTIFS($B$2:$B$2705,B1040,$C$2:$C$2705,C1040)</f>
        <v>1</v>
      </c>
      <c r="G1040" s="3" t="n">
        <f aca="false">MIN(INT((MIN(B1040,2020)-1900)/10)+1,12)</f>
        <v>7</v>
      </c>
      <c r="H1040" s="3" t="n">
        <f aca="false">(MIN(B1040,2020)-1900-10*(G1040-1))/10</f>
        <v>0.5</v>
      </c>
      <c r="I1040" s="20" t="n">
        <f aca="false">EXP(LN(INDEX(Pop_Inputs!$B$2:$N$29,MATCH(C1040,Pop_Inputs!$A$2:$A$29,0),G1040))*(1-H1040)+LN(INDEX(Pop_Inputs!$B$2:$N$29,MATCH(C1040,Pop_Inputs!$A$2:$A$29,0),G1040+1))*H1040)</f>
        <v>922241.529761049</v>
      </c>
      <c r="J1040" s="20" t="n">
        <f aca="false">I1040/F1040</f>
        <v>922241.529761049</v>
      </c>
      <c r="K1040" s="21" t="n">
        <f aca="false">D1040/(D1040+E1040)</f>
        <v>0.580246913580247</v>
      </c>
      <c r="L1040" s="21" t="n">
        <f aca="false">AVERAGEIFS($K$2:$K$2705,$B$2:$B$2705,B1040)</f>
        <v>0.50000766812361</v>
      </c>
      <c r="M1040" s="21" t="n">
        <f aca="false">K1040-L1040</f>
        <v>0.0802392454566369</v>
      </c>
      <c r="N1040" s="21" t="n">
        <f aca="false">LN(J1040)</f>
        <v>13.7345624310969</v>
      </c>
      <c r="O1040" s="21" t="n">
        <f aca="false">AVERAGEIFS($N$2:$N$2705,$B$2:$B$2705,B1040)</f>
        <v>13.8558589811541</v>
      </c>
      <c r="P1040" s="21" t="n">
        <f aca="false">N1040-O1040</f>
        <v>-0.121296550057219</v>
      </c>
      <c r="Q1040" s="7" t="n">
        <v>0</v>
      </c>
      <c r="R1040" s="3" t="n">
        <f aca="false">IF(AND(Q1040=1,B1040-_xlfn.MINIFS($B$2:$B$2705,$A$2:$A$2705,A1040)&lt;10),1,0)</f>
        <v>0</v>
      </c>
      <c r="S1040" s="7" t="n">
        <v>0</v>
      </c>
      <c r="T1040" s="3" t="n">
        <f aca="false">_xlfn.MINIFS($B$2:$B$2705,$A$2:$A$2705,A1040)</f>
        <v>1901</v>
      </c>
      <c r="U1040" s="3" t="n">
        <f aca="false">B1040-T1040</f>
        <v>64</v>
      </c>
      <c r="V1040" s="3" t="str">
        <f aca="false">INDEX(Pop_Inputs!$Q$2:$Q$29,MATCH(C1040,Pop_Inputs!$A$2:$A$29,0))</f>
        <v>South</v>
      </c>
      <c r="W1040" s="30"/>
      <c r="X1040" s="3" t="str">
        <f aca="false">IF(W1040="","",LN(W1040))</f>
        <v/>
      </c>
      <c r="Y1040" s="3" t="str">
        <f aca="false">IF(X1040="","",X1040-AVERAGEIFS($X$2:$X$2705,$B$2:$B$2705,B1040))</f>
        <v/>
      </c>
      <c r="Z1040" s="21" t="n">
        <f aca="false">P1040</f>
        <v>-0.121296550057219</v>
      </c>
      <c r="AA1040" s="3" t="n">
        <f aca="false">R1040</f>
        <v>0</v>
      </c>
      <c r="AB1040" s="21" t="n">
        <f aca="false">P1040</f>
        <v>-0.121296550057219</v>
      </c>
      <c r="AC1040" s="3" t="str">
        <f aca="false">Y1040</f>
        <v/>
      </c>
      <c r="AD1040" s="3" t="n">
        <f aca="false">R1040</f>
        <v>0</v>
      </c>
    </row>
    <row r="1041" customFormat="false" ht="15" hidden="false" customHeight="true" outlineLevel="0" collapsed="false">
      <c r="A1041" s="7" t="s">
        <v>64</v>
      </c>
      <c r="B1041" s="7" t="n">
        <v>1965</v>
      </c>
      <c r="C1041" s="7" t="s">
        <v>150</v>
      </c>
      <c r="D1041" s="7" t="n">
        <v>62</v>
      </c>
      <c r="E1041" s="7" t="n">
        <v>100</v>
      </c>
      <c r="F1041" s="3" t="n">
        <f aca="false">COUNTIFS($B$2:$B$2705,B1041,$C$2:$C$2705,C1041)</f>
        <v>1</v>
      </c>
      <c r="G1041" s="3" t="n">
        <f aca="false">MIN(INT((MIN(B1041,2020)-1900)/10)+1,12)</f>
        <v>7</v>
      </c>
      <c r="H1041" s="3" t="n">
        <f aca="false">(MIN(B1041,2020)-1900-10*(G1041-1))/10</f>
        <v>0.5</v>
      </c>
      <c r="I1041" s="20" t="n">
        <f aca="false">EXP(LN(INDEX(Pop_Inputs!$B$2:$N$29,MATCH(C1041,Pop_Inputs!$A$2:$A$29,0),G1041))*(1-H1041)+LN(INDEX(Pop_Inputs!$B$2:$N$29,MATCH(C1041,Pop_Inputs!$A$2:$A$29,0),G1041+1))*H1041)</f>
        <v>668545.269960831</v>
      </c>
      <c r="J1041" s="20" t="n">
        <f aca="false">I1041/F1041</f>
        <v>668545.269960831</v>
      </c>
      <c r="K1041" s="21" t="n">
        <f aca="false">D1041/(D1041+E1041)</f>
        <v>0.382716049382716</v>
      </c>
      <c r="L1041" s="21" t="n">
        <f aca="false">AVERAGEIFS($K$2:$K$2705,$B$2:$B$2705,B1041)</f>
        <v>0.50000766812361</v>
      </c>
      <c r="M1041" s="21" t="n">
        <f aca="false">K1041-L1041</f>
        <v>-0.117291618740894</v>
      </c>
      <c r="N1041" s="21" t="n">
        <f aca="false">LN(J1041)</f>
        <v>13.4128593919461</v>
      </c>
      <c r="O1041" s="21" t="n">
        <f aca="false">AVERAGEIFS($N$2:$N$2705,$B$2:$B$2705,B1041)</f>
        <v>13.8558589811541</v>
      </c>
      <c r="P1041" s="21" t="n">
        <f aca="false">N1041-O1041</f>
        <v>-0.442999589208041</v>
      </c>
      <c r="Q1041" s="7" t="n">
        <v>0</v>
      </c>
      <c r="R1041" s="3" t="n">
        <f aca="false">IF(AND(Q1041=1,B1041-_xlfn.MINIFS($B$2:$B$2705,$A$2:$A$2705,A1041)&lt;10),1,0)</f>
        <v>0</v>
      </c>
      <c r="S1041" s="7" t="n">
        <v>0</v>
      </c>
      <c r="T1041" s="3" t="n">
        <f aca="false">_xlfn.MINIFS($B$2:$B$2705,$A$2:$A$2705,A1041)</f>
        <v>1901</v>
      </c>
      <c r="U1041" s="3" t="n">
        <f aca="false">B1041-T1041</f>
        <v>64</v>
      </c>
      <c r="V1041" s="3" t="str">
        <f aca="false">INDEX(Pop_Inputs!$Q$2:$Q$29,MATCH(C1041,Pop_Inputs!$A$2:$A$29,0))</f>
        <v>Northeast</v>
      </c>
      <c r="W1041" s="30"/>
      <c r="X1041" s="3" t="str">
        <f aca="false">IF(W1041="","",LN(W1041))</f>
        <v/>
      </c>
      <c r="Y1041" s="3" t="str">
        <f aca="false">IF(X1041="","",X1041-AVERAGEIFS($X$2:$X$2705,$B$2:$B$2705,B1041))</f>
        <v/>
      </c>
      <c r="Z1041" s="21" t="n">
        <f aca="false">P1041</f>
        <v>-0.442999589208041</v>
      </c>
      <c r="AA1041" s="3" t="n">
        <f aca="false">R1041</f>
        <v>0</v>
      </c>
      <c r="AB1041" s="21" t="n">
        <f aca="false">P1041</f>
        <v>-0.442999589208041</v>
      </c>
      <c r="AC1041" s="3" t="str">
        <f aca="false">Y1041</f>
        <v/>
      </c>
      <c r="AD1041" s="3" t="n">
        <f aca="false">R1041</f>
        <v>0</v>
      </c>
    </row>
    <row r="1042" customFormat="false" ht="15" hidden="false" customHeight="true" outlineLevel="0" collapsed="false">
      <c r="A1042" s="7" t="s">
        <v>56</v>
      </c>
      <c r="B1042" s="7" t="n">
        <v>1965</v>
      </c>
      <c r="C1042" s="7" t="s">
        <v>142</v>
      </c>
      <c r="D1042" s="7" t="n">
        <v>72</v>
      </c>
      <c r="E1042" s="7" t="n">
        <v>90</v>
      </c>
      <c r="F1042" s="3" t="n">
        <f aca="false">COUNTIFS($B$2:$B$2705,B1042,$C$2:$C$2705,C1042)</f>
        <v>2</v>
      </c>
      <c r="G1042" s="3" t="n">
        <f aca="false">MIN(INT((MIN(B1042,2020)-1900)/10)+1,12)</f>
        <v>7</v>
      </c>
      <c r="H1042" s="3" t="n">
        <f aca="false">(MIN(B1042,2020)-1900-10*(G1042-1))/10</f>
        <v>0.5</v>
      </c>
      <c r="I1042" s="20" t="n">
        <f aca="false">EXP(LN(INDEX(Pop_Inputs!$B$2:$N$29,MATCH(C1042,Pop_Inputs!$A$2:$A$29,0),G1042))*(1-H1042)+LN(INDEX(Pop_Inputs!$B$2:$N$29,MATCH(C1042,Pop_Inputs!$A$2:$A$29,0),G1042+1))*H1042)</f>
        <v>3457464.04184165</v>
      </c>
      <c r="J1042" s="20" t="n">
        <f aca="false">I1042/F1042</f>
        <v>1728732.02092083</v>
      </c>
      <c r="K1042" s="21" t="n">
        <f aca="false">D1042/(D1042+E1042)</f>
        <v>0.444444444444444</v>
      </c>
      <c r="L1042" s="21" t="n">
        <f aca="false">AVERAGEIFS($K$2:$K$2705,$B$2:$B$2705,B1042)</f>
        <v>0.50000766812361</v>
      </c>
      <c r="M1042" s="21" t="n">
        <f aca="false">K1042-L1042</f>
        <v>-0.0555632236791657</v>
      </c>
      <c r="N1042" s="21" t="n">
        <f aca="false">LN(J1042)</f>
        <v>14.3628987618612</v>
      </c>
      <c r="O1042" s="21" t="n">
        <f aca="false">AVERAGEIFS($N$2:$N$2705,$B$2:$B$2705,B1042)</f>
        <v>13.8558589811541</v>
      </c>
      <c r="P1042" s="21" t="n">
        <f aca="false">N1042-O1042</f>
        <v>0.507039780707078</v>
      </c>
      <c r="Q1042" s="7" t="n">
        <v>0</v>
      </c>
      <c r="R1042" s="3" t="n">
        <f aca="false">IF(AND(Q1042=1,B1042-_xlfn.MINIFS($B$2:$B$2705,$A$2:$A$2705,A1042)&lt;10),1,0)</f>
        <v>0</v>
      </c>
      <c r="S1042" s="7" t="n">
        <v>0</v>
      </c>
      <c r="T1042" s="3" t="n">
        <f aca="false">_xlfn.MINIFS($B$2:$B$2705,$A$2:$A$2705,A1042)</f>
        <v>1901</v>
      </c>
      <c r="U1042" s="3" t="n">
        <f aca="false">B1042-T1042</f>
        <v>64</v>
      </c>
      <c r="V1042" s="3" t="str">
        <f aca="false">INDEX(Pop_Inputs!$Q$2:$Q$29,MATCH(C1042,Pop_Inputs!$A$2:$A$29,0))</f>
        <v>Midwest</v>
      </c>
      <c r="W1042" s="30"/>
      <c r="X1042" s="3" t="str">
        <f aca="false">IF(W1042="","",LN(W1042))</f>
        <v/>
      </c>
      <c r="Y1042" s="3" t="str">
        <f aca="false">IF(X1042="","",X1042-AVERAGEIFS($X$2:$X$2705,$B$2:$B$2705,B1042))</f>
        <v/>
      </c>
      <c r="Z1042" s="21" t="n">
        <f aca="false">P1042</f>
        <v>0.507039780707078</v>
      </c>
      <c r="AA1042" s="3" t="n">
        <f aca="false">R1042</f>
        <v>0</v>
      </c>
      <c r="AB1042" s="21" t="n">
        <f aca="false">P1042</f>
        <v>0.507039780707078</v>
      </c>
      <c r="AC1042" s="3" t="str">
        <f aca="false">Y1042</f>
        <v/>
      </c>
      <c r="AD1042" s="3" t="n">
        <f aca="false">R1042</f>
        <v>0</v>
      </c>
    </row>
    <row r="1043" customFormat="false" ht="15" hidden="false" customHeight="true" outlineLevel="0" collapsed="false">
      <c r="A1043" s="7" t="s">
        <v>65</v>
      </c>
      <c r="B1043" s="7" t="n">
        <v>1965</v>
      </c>
      <c r="C1043" s="7" t="s">
        <v>142</v>
      </c>
      <c r="D1043" s="7" t="n">
        <v>95</v>
      </c>
      <c r="E1043" s="7" t="n">
        <v>67</v>
      </c>
      <c r="F1043" s="3" t="n">
        <f aca="false">COUNTIFS($B$2:$B$2705,B1043,$C$2:$C$2705,C1043)</f>
        <v>2</v>
      </c>
      <c r="G1043" s="3" t="n">
        <f aca="false">MIN(INT((MIN(B1043,2020)-1900)/10)+1,12)</f>
        <v>7</v>
      </c>
      <c r="H1043" s="3" t="n">
        <f aca="false">(MIN(B1043,2020)-1900-10*(G1043-1))/10</f>
        <v>0.5</v>
      </c>
      <c r="I1043" s="20" t="n">
        <f aca="false">EXP(LN(INDEX(Pop_Inputs!$B$2:$N$29,MATCH(C1043,Pop_Inputs!$A$2:$A$29,0),G1043))*(1-H1043)+LN(INDEX(Pop_Inputs!$B$2:$N$29,MATCH(C1043,Pop_Inputs!$A$2:$A$29,0),G1043+1))*H1043)</f>
        <v>3457464.04184165</v>
      </c>
      <c r="J1043" s="20" t="n">
        <f aca="false">I1043/F1043</f>
        <v>1728732.02092083</v>
      </c>
      <c r="K1043" s="21" t="n">
        <f aca="false">D1043/(D1043+E1043)</f>
        <v>0.58641975308642</v>
      </c>
      <c r="L1043" s="21" t="n">
        <f aca="false">AVERAGEIFS($K$2:$K$2705,$B$2:$B$2705,B1043)</f>
        <v>0.50000766812361</v>
      </c>
      <c r="M1043" s="21" t="n">
        <f aca="false">K1043-L1043</f>
        <v>0.0864120849628097</v>
      </c>
      <c r="N1043" s="21" t="n">
        <f aca="false">LN(J1043)</f>
        <v>14.3628987618612</v>
      </c>
      <c r="O1043" s="21" t="n">
        <f aca="false">AVERAGEIFS($N$2:$N$2705,$B$2:$B$2705,B1043)</f>
        <v>13.8558589811541</v>
      </c>
      <c r="P1043" s="21" t="n">
        <f aca="false">N1043-O1043</f>
        <v>0.507039780707078</v>
      </c>
      <c r="Q1043" s="7" t="n">
        <v>0</v>
      </c>
      <c r="R1043" s="3" t="n">
        <f aca="false">IF(AND(Q1043=1,B1043-_xlfn.MINIFS($B$2:$B$2705,$A$2:$A$2705,A1043)&lt;10),1,0)</f>
        <v>0</v>
      </c>
      <c r="S1043" s="7" t="n">
        <v>0</v>
      </c>
      <c r="T1043" s="3" t="n">
        <f aca="false">_xlfn.MINIFS($B$2:$B$2705,$A$2:$A$2705,A1043)</f>
        <v>1901</v>
      </c>
      <c r="U1043" s="3" t="n">
        <f aca="false">B1043-T1043</f>
        <v>64</v>
      </c>
      <c r="V1043" s="3" t="str">
        <f aca="false">INDEX(Pop_Inputs!$Q$2:$Q$29,MATCH(C1043,Pop_Inputs!$A$2:$A$29,0))</f>
        <v>Midwest</v>
      </c>
      <c r="W1043" s="30"/>
      <c r="X1043" s="3" t="str">
        <f aca="false">IF(W1043="","",LN(W1043))</f>
        <v/>
      </c>
      <c r="Y1043" s="3" t="str">
        <f aca="false">IF(X1043="","",X1043-AVERAGEIFS($X$2:$X$2705,$B$2:$B$2705,B1043))</f>
        <v/>
      </c>
      <c r="Z1043" s="21" t="n">
        <f aca="false">P1043</f>
        <v>0.507039780707078</v>
      </c>
      <c r="AA1043" s="3" t="n">
        <f aca="false">R1043</f>
        <v>0</v>
      </c>
      <c r="AB1043" s="21" t="n">
        <f aca="false">P1043</f>
        <v>0.507039780707078</v>
      </c>
      <c r="AC1043" s="3" t="str">
        <f aca="false">Y1043</f>
        <v/>
      </c>
      <c r="AD1043" s="3" t="n">
        <f aca="false">R1043</f>
        <v>0</v>
      </c>
    </row>
    <row r="1044" customFormat="false" ht="15" hidden="false" customHeight="true" outlineLevel="0" collapsed="false">
      <c r="A1044" s="7" t="s">
        <v>57</v>
      </c>
      <c r="B1044" s="7" t="n">
        <v>1965</v>
      </c>
      <c r="C1044" s="7" t="s">
        <v>143</v>
      </c>
      <c r="D1044" s="7" t="n">
        <v>89</v>
      </c>
      <c r="E1044" s="7" t="n">
        <v>73</v>
      </c>
      <c r="F1044" s="3" t="n">
        <f aca="false">COUNTIFS($B$2:$B$2705,B1044,$C$2:$C$2705,C1044)</f>
        <v>1</v>
      </c>
      <c r="G1044" s="3" t="n">
        <f aca="false">MIN(INT((MIN(B1044,2020)-1900)/10)+1,12)</f>
        <v>7</v>
      </c>
      <c r="H1044" s="3" t="n">
        <f aca="false">(MIN(B1044,2020)-1900-10*(G1044-1))/10</f>
        <v>0.5</v>
      </c>
      <c r="I1044" s="20" t="n">
        <f aca="false">EXP(LN(INDEX(Pop_Inputs!$B$2:$N$29,MATCH(C1044,Pop_Inputs!$A$2:$A$29,0),G1044))*(1-H1044)+LN(INDEX(Pop_Inputs!$B$2:$N$29,MATCH(C1044,Pop_Inputs!$A$2:$A$29,0),G1044+1))*H1044)</f>
        <v>476881.996672133</v>
      </c>
      <c r="J1044" s="20" t="n">
        <f aca="false">I1044/F1044</f>
        <v>476881.996672133</v>
      </c>
      <c r="K1044" s="21" t="n">
        <f aca="false">D1044/(D1044+E1044)</f>
        <v>0.549382716049383</v>
      </c>
      <c r="L1044" s="21" t="n">
        <f aca="false">AVERAGEIFS($K$2:$K$2705,$B$2:$B$2705,B1044)</f>
        <v>0.50000766812361</v>
      </c>
      <c r="M1044" s="21" t="n">
        <f aca="false">K1044-L1044</f>
        <v>0.0493750479257726</v>
      </c>
      <c r="N1044" s="21" t="n">
        <f aca="false">LN(J1044)</f>
        <v>13.0750243528338</v>
      </c>
      <c r="O1044" s="21" t="n">
        <f aca="false">AVERAGEIFS($N$2:$N$2705,$B$2:$B$2705,B1044)</f>
        <v>13.8558589811541</v>
      </c>
      <c r="P1044" s="21" t="n">
        <f aca="false">N1044-O1044</f>
        <v>-0.780834628320328</v>
      </c>
      <c r="Q1044" s="7" t="n">
        <v>0</v>
      </c>
      <c r="R1044" s="3" t="n">
        <f aca="false">IF(AND(Q1044=1,B1044-_xlfn.MINIFS($B$2:$B$2705,$A$2:$A$2705,A1044)&lt;10),1,0)</f>
        <v>0</v>
      </c>
      <c r="S1044" s="7" t="n">
        <v>0</v>
      </c>
      <c r="T1044" s="3" t="n">
        <f aca="false">_xlfn.MINIFS($B$2:$B$2705,$A$2:$A$2705,A1044)</f>
        <v>1901</v>
      </c>
      <c r="U1044" s="3" t="n">
        <f aca="false">B1044-T1044</f>
        <v>64</v>
      </c>
      <c r="V1044" s="3" t="str">
        <f aca="false">INDEX(Pop_Inputs!$Q$2:$Q$29,MATCH(C1044,Pop_Inputs!$A$2:$A$29,0))</f>
        <v>Midwest</v>
      </c>
      <c r="W1044" s="30"/>
      <c r="X1044" s="3" t="str">
        <f aca="false">IF(W1044="","",LN(W1044))</f>
        <v/>
      </c>
      <c r="Y1044" s="3" t="str">
        <f aca="false">IF(X1044="","",X1044-AVERAGEIFS($X$2:$X$2705,$B$2:$B$2705,B1044))</f>
        <v/>
      </c>
      <c r="Z1044" s="21" t="n">
        <f aca="false">P1044</f>
        <v>-0.780834628320328</v>
      </c>
      <c r="AA1044" s="3" t="n">
        <f aca="false">R1044</f>
        <v>0</v>
      </c>
      <c r="AB1044" s="21" t="n">
        <f aca="false">P1044</f>
        <v>-0.780834628320328</v>
      </c>
      <c r="AC1044" s="3" t="str">
        <f aca="false">Y1044</f>
        <v/>
      </c>
      <c r="AD1044" s="3" t="n">
        <f aca="false">R1044</f>
        <v>0</v>
      </c>
    </row>
    <row r="1045" customFormat="false" ht="15" hidden="false" customHeight="true" outlineLevel="0" collapsed="false">
      <c r="A1045" s="7" t="s">
        <v>66</v>
      </c>
      <c r="B1045" s="7" t="n">
        <v>1965</v>
      </c>
      <c r="C1045" s="7" t="s">
        <v>151</v>
      </c>
      <c r="D1045" s="7" t="n">
        <v>87</v>
      </c>
      <c r="E1045" s="7" t="n">
        <v>75</v>
      </c>
      <c r="F1045" s="3" t="n">
        <f aca="false">COUNTIFS($B$2:$B$2705,B1045,$C$2:$C$2705,C1045)</f>
        <v>1</v>
      </c>
      <c r="G1045" s="3" t="n">
        <f aca="false">MIN(INT((MIN(B1045,2020)-1900)/10)+1,12)</f>
        <v>7</v>
      </c>
      <c r="H1045" s="3" t="n">
        <f aca="false">(MIN(B1045,2020)-1900-10*(G1045-1))/10</f>
        <v>0.5</v>
      </c>
      <c r="I1045" s="20" t="n">
        <f aca="false">EXP(LN(INDEX(Pop_Inputs!$B$2:$N$29,MATCH(C1045,Pop_Inputs!$A$2:$A$29,0),G1045))*(1-H1045)+LN(INDEX(Pop_Inputs!$B$2:$N$29,MATCH(C1045,Pop_Inputs!$A$2:$A$29,0),G1045+1))*H1045)</f>
        <v>811066.318589301</v>
      </c>
      <c r="J1045" s="20" t="n">
        <f aca="false">I1045/F1045</f>
        <v>811066.318589301</v>
      </c>
      <c r="K1045" s="21" t="n">
        <f aca="false">D1045/(D1045+E1045)</f>
        <v>0.537037037037037</v>
      </c>
      <c r="L1045" s="21" t="n">
        <f aca="false">AVERAGEIFS($K$2:$K$2705,$B$2:$B$2705,B1045)</f>
        <v>0.50000766812361</v>
      </c>
      <c r="M1045" s="21" t="n">
        <f aca="false">K1045-L1045</f>
        <v>0.037029368913427</v>
      </c>
      <c r="N1045" s="21" t="n">
        <f aca="false">LN(J1045)</f>
        <v>13.6061051036005</v>
      </c>
      <c r="O1045" s="21" t="n">
        <f aca="false">AVERAGEIFS($N$2:$N$2705,$B$2:$B$2705,B1045)</f>
        <v>13.8558589811541</v>
      </c>
      <c r="P1045" s="21" t="n">
        <f aca="false">N1045-O1045</f>
        <v>-0.249753877553657</v>
      </c>
      <c r="Q1045" s="7" t="n">
        <v>0</v>
      </c>
      <c r="R1045" s="3" t="n">
        <f aca="false">IF(AND(Q1045=1,B1045-_xlfn.MINIFS($B$2:$B$2705,$A$2:$A$2705,A1045)&lt;10),1,0)</f>
        <v>0</v>
      </c>
      <c r="S1045" s="7" t="n">
        <v>0</v>
      </c>
      <c r="T1045" s="3" t="n">
        <f aca="false">_xlfn.MINIFS($B$2:$B$2705,$A$2:$A$2705,A1045)</f>
        <v>1901</v>
      </c>
      <c r="U1045" s="3" t="n">
        <f aca="false">B1045-T1045</f>
        <v>64</v>
      </c>
      <c r="V1045" s="3" t="str">
        <f aca="false">INDEX(Pop_Inputs!$Q$2:$Q$29,MATCH(C1045,Pop_Inputs!$A$2:$A$29,0))</f>
        <v>Midwest</v>
      </c>
      <c r="W1045" s="30"/>
      <c r="X1045" s="3" t="str">
        <f aca="false">IF(W1045="","",LN(W1045))</f>
        <v/>
      </c>
      <c r="Y1045" s="3" t="str">
        <f aca="false">IF(X1045="","",X1045-AVERAGEIFS($X$2:$X$2705,$B$2:$B$2705,B1045))</f>
        <v/>
      </c>
      <c r="Z1045" s="21" t="n">
        <f aca="false">P1045</f>
        <v>-0.249753877553657</v>
      </c>
      <c r="AA1045" s="3" t="n">
        <f aca="false">R1045</f>
        <v>0</v>
      </c>
      <c r="AB1045" s="21" t="n">
        <f aca="false">P1045</f>
        <v>-0.249753877553657</v>
      </c>
      <c r="AC1045" s="3" t="str">
        <f aca="false">Y1045</f>
        <v/>
      </c>
      <c r="AD1045" s="3" t="n">
        <f aca="false">R1045</f>
        <v>0</v>
      </c>
    </row>
    <row r="1046" customFormat="false" ht="15" hidden="false" customHeight="true" outlineLevel="0" collapsed="false">
      <c r="A1046" s="7" t="s">
        <v>67</v>
      </c>
      <c r="B1046" s="7" t="n">
        <v>1965</v>
      </c>
      <c r="C1046" s="7" t="s">
        <v>152</v>
      </c>
      <c r="D1046" s="7" t="n">
        <v>89</v>
      </c>
      <c r="E1046" s="7" t="n">
        <v>73</v>
      </c>
      <c r="F1046" s="3" t="n">
        <f aca="false">COUNTIFS($B$2:$B$2705,B1046,$C$2:$C$2705,C1046)</f>
        <v>1</v>
      </c>
      <c r="G1046" s="3" t="n">
        <f aca="false">MIN(INT((MIN(B1046,2020)-1900)/10)+1,12)</f>
        <v>7</v>
      </c>
      <c r="H1046" s="3" t="n">
        <f aca="false">(MIN(B1046,2020)-1900-10*(G1046-1))/10</f>
        <v>0.5</v>
      </c>
      <c r="I1046" s="20" t="n">
        <f aca="false">EXP(LN(INDEX(Pop_Inputs!$B$2:$N$29,MATCH(C1046,Pop_Inputs!$A$2:$A$29,0),G1046))*(1-H1046)+LN(INDEX(Pop_Inputs!$B$2:$N$29,MATCH(C1046,Pop_Inputs!$A$2:$A$29,0),G1046+1))*H1046)</f>
        <v>1588833.72113258</v>
      </c>
      <c r="J1046" s="20" t="n">
        <f aca="false">I1046/F1046</f>
        <v>1588833.72113258</v>
      </c>
      <c r="K1046" s="21" t="n">
        <f aca="false">D1046/(D1046+E1046)</f>
        <v>0.549382716049383</v>
      </c>
      <c r="L1046" s="21" t="n">
        <f aca="false">AVERAGEIFS($K$2:$K$2705,$B$2:$B$2705,B1046)</f>
        <v>0.50000766812361</v>
      </c>
      <c r="M1046" s="21" t="n">
        <f aca="false">K1046-L1046</f>
        <v>0.0493750479257726</v>
      </c>
      <c r="N1046" s="21" t="n">
        <f aca="false">LN(J1046)</f>
        <v>14.2785107963256</v>
      </c>
      <c r="O1046" s="21" t="n">
        <f aca="false">AVERAGEIFS($N$2:$N$2705,$B$2:$B$2705,B1046)</f>
        <v>13.8558589811541</v>
      </c>
      <c r="P1046" s="21" t="n">
        <f aca="false">N1046-O1046</f>
        <v>0.422651815171472</v>
      </c>
      <c r="Q1046" s="7" t="n">
        <v>0</v>
      </c>
      <c r="R1046" s="3" t="n">
        <f aca="false">IF(AND(Q1046=1,B1046-_xlfn.MINIFS($B$2:$B$2705,$A$2:$A$2705,A1046)&lt;10),1,0)</f>
        <v>0</v>
      </c>
      <c r="S1046" s="7" t="n">
        <v>0</v>
      </c>
      <c r="T1046" s="3" t="n">
        <f aca="false">_xlfn.MINIFS($B$2:$B$2705,$A$2:$A$2705,A1046)</f>
        <v>1901</v>
      </c>
      <c r="U1046" s="3" t="n">
        <f aca="false">B1046-T1046</f>
        <v>64</v>
      </c>
      <c r="V1046" s="3" t="str">
        <f aca="false">INDEX(Pop_Inputs!$Q$2:$Q$29,MATCH(C1046,Pop_Inputs!$A$2:$A$29,0))</f>
        <v>Midwest</v>
      </c>
      <c r="W1046" s="30"/>
      <c r="X1046" s="3" t="str">
        <f aca="false">IF(W1046="","",LN(W1046))</f>
        <v/>
      </c>
      <c r="Y1046" s="3" t="str">
        <f aca="false">IF(X1046="","",X1046-AVERAGEIFS($X$2:$X$2705,$B$2:$B$2705,B1046))</f>
        <v/>
      </c>
      <c r="Z1046" s="21" t="n">
        <f aca="false">P1046</f>
        <v>0.422651815171472</v>
      </c>
      <c r="AA1046" s="3" t="n">
        <f aca="false">R1046</f>
        <v>0</v>
      </c>
      <c r="AB1046" s="21" t="n">
        <f aca="false">P1046</f>
        <v>0.422651815171472</v>
      </c>
      <c r="AC1046" s="3" t="str">
        <f aca="false">Y1046</f>
        <v/>
      </c>
      <c r="AD1046" s="3" t="n">
        <f aca="false">R1046</f>
        <v>0</v>
      </c>
    </row>
    <row r="1047" customFormat="false" ht="15" hidden="false" customHeight="true" outlineLevel="0" collapsed="false">
      <c r="A1047" s="7" t="s">
        <v>74</v>
      </c>
      <c r="B1047" s="7" t="n">
        <v>1965</v>
      </c>
      <c r="C1047" s="7" t="s">
        <v>156</v>
      </c>
      <c r="D1047" s="7" t="n">
        <v>65</v>
      </c>
      <c r="E1047" s="7" t="n">
        <v>97</v>
      </c>
      <c r="F1047" s="3" t="n">
        <f aca="false">COUNTIFS($B$2:$B$2705,B1047,$C$2:$C$2705,C1047)</f>
        <v>1</v>
      </c>
      <c r="G1047" s="3" t="n">
        <f aca="false">MIN(INT((MIN(B1047,2020)-1900)/10)+1,12)</f>
        <v>7</v>
      </c>
      <c r="H1047" s="3" t="n">
        <f aca="false">(MIN(B1047,2020)-1900-10*(G1047-1))/10</f>
        <v>0.5</v>
      </c>
      <c r="I1047" s="20" t="n">
        <f aca="false">EXP(LN(INDEX(Pop_Inputs!$B$2:$N$29,MATCH(C1047,Pop_Inputs!$A$2:$A$29,0),G1047))*(1-H1047)+LN(INDEX(Pop_Inputs!$B$2:$N$29,MATCH(C1047,Pop_Inputs!$A$2:$A$29,0),G1047+1))*H1047)</f>
        <v>1075471.18029169</v>
      </c>
      <c r="J1047" s="20" t="n">
        <f aca="false">I1047/F1047</f>
        <v>1075471.18029169</v>
      </c>
      <c r="K1047" s="21" t="n">
        <f aca="false">D1047/(D1047+E1047)</f>
        <v>0.401234567901235</v>
      </c>
      <c r="L1047" s="21" t="n">
        <f aca="false">AVERAGEIFS($K$2:$K$2705,$B$2:$B$2705,B1047)</f>
        <v>0.50000766812361</v>
      </c>
      <c r="M1047" s="21" t="n">
        <f aca="false">K1047-L1047</f>
        <v>-0.0987731002223755</v>
      </c>
      <c r="N1047" s="21" t="n">
        <f aca="false">LN(J1047)</f>
        <v>13.8882694307634</v>
      </c>
      <c r="O1047" s="21" t="n">
        <f aca="false">AVERAGEIFS($N$2:$N$2705,$B$2:$B$2705,B1047)</f>
        <v>13.8558589811541</v>
      </c>
      <c r="P1047" s="21" t="n">
        <f aca="false">N1047-O1047</f>
        <v>0.032410449609273</v>
      </c>
      <c r="Q1047" s="7" t="n">
        <v>1</v>
      </c>
      <c r="R1047" s="3" t="n">
        <f aca="false">IF(AND(Q1047=1,B1047-_xlfn.MINIFS($B$2:$B$2705,$A$2:$A$2705,A1047)&lt;10),1,0)</f>
        <v>1</v>
      </c>
      <c r="S1047" s="7" t="n">
        <v>0</v>
      </c>
      <c r="T1047" s="3" t="n">
        <f aca="false">_xlfn.MINIFS($B$2:$B$2705,$A$2:$A$2705,A1047)</f>
        <v>1962</v>
      </c>
      <c r="U1047" s="3" t="n">
        <f aca="false">B1047-T1047</f>
        <v>3</v>
      </c>
      <c r="V1047" s="3" t="str">
        <f aca="false">INDEX(Pop_Inputs!$Q$2:$Q$29,MATCH(C1047,Pop_Inputs!$A$2:$A$29,0))</f>
        <v>South</v>
      </c>
      <c r="W1047" s="30"/>
      <c r="X1047" s="3" t="str">
        <f aca="false">IF(W1047="","",LN(W1047))</f>
        <v/>
      </c>
      <c r="Y1047" s="3" t="str">
        <f aca="false">IF(X1047="","",X1047-AVERAGEIFS($X$2:$X$2705,$B$2:$B$2705,B1047))</f>
        <v/>
      </c>
      <c r="Z1047" s="21" t="n">
        <f aca="false">P1047</f>
        <v>0.032410449609273</v>
      </c>
      <c r="AA1047" s="3" t="n">
        <f aca="false">R1047</f>
        <v>1</v>
      </c>
      <c r="AB1047" s="21" t="n">
        <f aca="false">P1047</f>
        <v>0.032410449609273</v>
      </c>
      <c r="AC1047" s="3" t="str">
        <f aca="false">Y1047</f>
        <v/>
      </c>
      <c r="AD1047" s="3" t="n">
        <f aca="false">R1047</f>
        <v>1</v>
      </c>
    </row>
    <row r="1048" customFormat="false" ht="15" hidden="false" customHeight="true" outlineLevel="0" collapsed="false">
      <c r="A1048" s="7" t="s">
        <v>62</v>
      </c>
      <c r="B1048" s="7" t="n">
        <v>1965</v>
      </c>
      <c r="C1048" s="7" t="s">
        <v>148</v>
      </c>
      <c r="D1048" s="7" t="n">
        <v>97</v>
      </c>
      <c r="E1048" s="7" t="n">
        <v>65</v>
      </c>
      <c r="F1048" s="3" t="n">
        <f aca="false">COUNTIFS($B$2:$B$2705,B1048,$C$2:$C$2705,C1048)</f>
        <v>2</v>
      </c>
      <c r="G1048" s="3" t="n">
        <f aca="false">MIN(INT((MIN(B1048,2020)-1900)/10)+1,12)</f>
        <v>7</v>
      </c>
      <c r="H1048" s="3" t="n">
        <f aca="false">(MIN(B1048,2020)-1900-10*(G1048-1))/10</f>
        <v>0.5</v>
      </c>
      <c r="I1048" s="20" t="n">
        <f aca="false">EXP(LN(INDEX(Pop_Inputs!$B$2:$N$29,MATCH(C1048,Pop_Inputs!$A$2:$A$29,0),G1048))*(1-H1048)+LN(INDEX(Pop_Inputs!$B$2:$N$29,MATCH(C1048,Pop_Inputs!$A$2:$A$29,0),G1048+1))*H1048)</f>
        <v>2642169.08238572</v>
      </c>
      <c r="J1048" s="20" t="n">
        <f aca="false">I1048/F1048</f>
        <v>1321084.54119286</v>
      </c>
      <c r="K1048" s="21" t="n">
        <f aca="false">D1048/(D1048+E1048)</f>
        <v>0.598765432098765</v>
      </c>
      <c r="L1048" s="21" t="n">
        <f aca="false">AVERAGEIFS($K$2:$K$2705,$B$2:$B$2705,B1048)</f>
        <v>0.50000766812361</v>
      </c>
      <c r="M1048" s="21" t="n">
        <f aca="false">K1048-L1048</f>
        <v>0.0987577639751553</v>
      </c>
      <c r="N1048" s="21" t="n">
        <f aca="false">LN(J1048)</f>
        <v>14.0939635793317</v>
      </c>
      <c r="O1048" s="21" t="n">
        <f aca="false">AVERAGEIFS($N$2:$N$2705,$B$2:$B$2705,B1048)</f>
        <v>13.8558589811541</v>
      </c>
      <c r="P1048" s="21" t="n">
        <f aca="false">N1048-O1048</f>
        <v>0.238104598177527</v>
      </c>
      <c r="Q1048" s="7" t="n">
        <v>0</v>
      </c>
      <c r="R1048" s="3" t="n">
        <f aca="false">IF(AND(Q1048=1,B1048-_xlfn.MINIFS($B$2:$B$2705,$A$2:$A$2705,A1048)&lt;10),1,0)</f>
        <v>0</v>
      </c>
      <c r="S1048" s="7" t="n">
        <v>0</v>
      </c>
      <c r="T1048" s="3" t="n">
        <f aca="false">_xlfn.MINIFS($B$2:$B$2705,$A$2:$A$2705,A1048)</f>
        <v>1901</v>
      </c>
      <c r="U1048" s="3" t="n">
        <f aca="false">B1048-T1048</f>
        <v>64</v>
      </c>
      <c r="V1048" s="3" t="str">
        <f aca="false">INDEX(Pop_Inputs!$Q$2:$Q$29,MATCH(C1048,Pop_Inputs!$A$2:$A$29,0))</f>
        <v>West</v>
      </c>
      <c r="W1048" s="30"/>
      <c r="X1048" s="3" t="str">
        <f aca="false">IF(W1048="","",LN(W1048))</f>
        <v/>
      </c>
      <c r="Y1048" s="3" t="str">
        <f aca="false">IF(X1048="","",X1048-AVERAGEIFS($X$2:$X$2705,$B$2:$B$2705,B1048))</f>
        <v/>
      </c>
      <c r="Z1048" s="21" t="n">
        <f aca="false">P1048</f>
        <v>0.238104598177527</v>
      </c>
      <c r="AA1048" s="3" t="n">
        <f aca="false">R1048</f>
        <v>0</v>
      </c>
      <c r="AB1048" s="21" t="n">
        <f aca="false">P1048</f>
        <v>0.238104598177527</v>
      </c>
      <c r="AC1048" s="3" t="str">
        <f aca="false">Y1048</f>
        <v/>
      </c>
      <c r="AD1048" s="3" t="n">
        <f aca="false">R1048</f>
        <v>0</v>
      </c>
    </row>
    <row r="1049" customFormat="false" ht="15" hidden="false" customHeight="true" outlineLevel="0" collapsed="false">
      <c r="A1049" s="7" t="s">
        <v>68</v>
      </c>
      <c r="B1049" s="7" t="n">
        <v>1965</v>
      </c>
      <c r="C1049" s="7" t="s">
        <v>153</v>
      </c>
      <c r="D1049" s="7" t="n">
        <v>102</v>
      </c>
      <c r="E1049" s="7" t="n">
        <v>60</v>
      </c>
      <c r="F1049" s="3" t="n">
        <f aca="false">COUNTIFS($B$2:$B$2705,B1049,$C$2:$C$2705,C1049)</f>
        <v>1</v>
      </c>
      <c r="G1049" s="3" t="n">
        <f aca="false">MIN(INT((MIN(B1049,2020)-1900)/10)+1,12)</f>
        <v>7</v>
      </c>
      <c r="H1049" s="3" t="n">
        <f aca="false">(MIN(B1049,2020)-1900-10*(G1049-1))/10</f>
        <v>0.5</v>
      </c>
      <c r="I1049" s="20" t="n">
        <f aca="false">EXP(LN(INDEX(Pop_Inputs!$B$2:$N$29,MATCH(C1049,Pop_Inputs!$A$2:$A$29,0),G1049))*(1-H1049)+LN(INDEX(Pop_Inputs!$B$2:$N$29,MATCH(C1049,Pop_Inputs!$A$2:$A$29,0),G1049+1))*H1049)</f>
        <v>457995.192987874</v>
      </c>
      <c r="J1049" s="20" t="n">
        <f aca="false">I1049/F1049</f>
        <v>457995.192987874</v>
      </c>
      <c r="K1049" s="21" t="n">
        <f aca="false">D1049/(D1049+E1049)</f>
        <v>0.62962962962963</v>
      </c>
      <c r="L1049" s="21" t="n">
        <f aca="false">AVERAGEIFS($K$2:$K$2705,$B$2:$B$2705,B1049)</f>
        <v>0.50000766812361</v>
      </c>
      <c r="M1049" s="21" t="n">
        <f aca="false">K1049-L1049</f>
        <v>0.12962196150602</v>
      </c>
      <c r="N1049" s="21" t="n">
        <f aca="false">LN(J1049)</f>
        <v>13.0346139673816</v>
      </c>
      <c r="O1049" s="21" t="n">
        <f aca="false">AVERAGEIFS($N$2:$N$2705,$B$2:$B$2705,B1049)</f>
        <v>13.8558589811541</v>
      </c>
      <c r="P1049" s="21" t="n">
        <f aca="false">N1049-O1049</f>
        <v>-0.82124501377257</v>
      </c>
      <c r="Q1049" s="7" t="n">
        <v>0</v>
      </c>
      <c r="R1049" s="3" t="n">
        <f aca="false">IF(AND(Q1049=1,B1049-_xlfn.MINIFS($B$2:$B$2705,$A$2:$A$2705,A1049)&lt;10),1,0)</f>
        <v>0</v>
      </c>
      <c r="S1049" s="7" t="n">
        <v>0</v>
      </c>
      <c r="T1049" s="3" t="n">
        <f aca="false">_xlfn.MINIFS($B$2:$B$2705,$A$2:$A$2705,A1049)</f>
        <v>1901</v>
      </c>
      <c r="U1049" s="3" t="n">
        <f aca="false">B1049-T1049</f>
        <v>64</v>
      </c>
      <c r="V1049" s="3" t="str">
        <f aca="false">INDEX(Pop_Inputs!$Q$2:$Q$29,MATCH(C1049,Pop_Inputs!$A$2:$A$29,0))</f>
        <v>Midwest</v>
      </c>
      <c r="W1049" s="30"/>
      <c r="X1049" s="3" t="str">
        <f aca="false">IF(W1049="","",LN(W1049))</f>
        <v/>
      </c>
      <c r="Y1049" s="3" t="str">
        <f aca="false">IF(X1049="","",X1049-AVERAGEIFS($X$2:$X$2705,$B$2:$B$2705,B1049))</f>
        <v/>
      </c>
      <c r="Z1049" s="21" t="n">
        <f aca="false">P1049</f>
        <v>-0.82124501377257</v>
      </c>
      <c r="AA1049" s="3" t="n">
        <f aca="false">R1049</f>
        <v>0</v>
      </c>
      <c r="AB1049" s="21" t="n">
        <f aca="false">P1049</f>
        <v>-0.82124501377257</v>
      </c>
      <c r="AC1049" s="3" t="str">
        <f aca="false">Y1049</f>
        <v/>
      </c>
      <c r="AD1049" s="3" t="n">
        <f aca="false">R1049</f>
        <v>0</v>
      </c>
    </row>
    <row r="1050" customFormat="false" ht="15" hidden="false" customHeight="true" outlineLevel="0" collapsed="false">
      <c r="A1050" s="7" t="s">
        <v>75</v>
      </c>
      <c r="B1050" s="7" t="n">
        <v>1965</v>
      </c>
      <c r="C1050" s="7" t="s">
        <v>154</v>
      </c>
      <c r="D1050" s="7" t="n">
        <v>50</v>
      </c>
      <c r="E1050" s="7" t="n">
        <v>112</v>
      </c>
      <c r="F1050" s="3" t="n">
        <f aca="false">COUNTIFS($B$2:$B$2705,B1050,$C$2:$C$2705,C1050)</f>
        <v>2</v>
      </c>
      <c r="G1050" s="3" t="n">
        <f aca="false">MIN(INT((MIN(B1050,2020)-1900)/10)+1,12)</f>
        <v>7</v>
      </c>
      <c r="H1050" s="3" t="n">
        <f aca="false">(MIN(B1050,2020)-1900-10*(G1050-1))/10</f>
        <v>0.5</v>
      </c>
      <c r="I1050" s="20" t="n">
        <f aca="false">EXP(LN(INDEX(Pop_Inputs!$B$2:$N$29,MATCH(C1050,Pop_Inputs!$A$2:$A$29,0),G1050))*(1-H1050)+LN(INDEX(Pop_Inputs!$B$2:$N$29,MATCH(C1050,Pop_Inputs!$A$2:$A$29,0),G1050+1))*H1050)</f>
        <v>7838219.80849019</v>
      </c>
      <c r="J1050" s="20" t="n">
        <f aca="false">I1050/F1050</f>
        <v>3919109.9042451</v>
      </c>
      <c r="K1050" s="21" t="n">
        <f aca="false">D1050/(D1050+E1050)</f>
        <v>0.308641975308642</v>
      </c>
      <c r="L1050" s="21" t="n">
        <f aca="false">AVERAGEIFS($K$2:$K$2705,$B$2:$B$2705,B1050)</f>
        <v>0.50000766812361</v>
      </c>
      <c r="M1050" s="21" t="n">
        <f aca="false">K1050-L1050</f>
        <v>-0.191365692814968</v>
      </c>
      <c r="N1050" s="21" t="n">
        <f aca="false">LN(J1050)</f>
        <v>15.1813751207398</v>
      </c>
      <c r="O1050" s="21" t="n">
        <f aca="false">AVERAGEIFS($N$2:$N$2705,$B$2:$B$2705,B1050)</f>
        <v>13.8558589811541</v>
      </c>
      <c r="P1050" s="21" t="n">
        <f aca="false">N1050-O1050</f>
        <v>1.32551613958568</v>
      </c>
      <c r="Q1050" s="7" t="n">
        <v>1</v>
      </c>
      <c r="R1050" s="3" t="n">
        <f aca="false">IF(AND(Q1050=1,B1050-_xlfn.MINIFS($B$2:$B$2705,$A$2:$A$2705,A1050)&lt;10),1,0)</f>
        <v>1</v>
      </c>
      <c r="S1050" s="7" t="n">
        <v>0</v>
      </c>
      <c r="T1050" s="3" t="n">
        <f aca="false">_xlfn.MINIFS($B$2:$B$2705,$A$2:$A$2705,A1050)</f>
        <v>1962</v>
      </c>
      <c r="U1050" s="3" t="n">
        <f aca="false">B1050-T1050</f>
        <v>3</v>
      </c>
      <c r="V1050" s="3" t="str">
        <f aca="false">INDEX(Pop_Inputs!$Q$2:$Q$29,MATCH(C1050,Pop_Inputs!$A$2:$A$29,0))</f>
        <v>Northeast</v>
      </c>
      <c r="W1050" s="30"/>
      <c r="X1050" s="3" t="str">
        <f aca="false">IF(W1050="","",LN(W1050))</f>
        <v/>
      </c>
      <c r="Y1050" s="3" t="str">
        <f aca="false">IF(X1050="","",X1050-AVERAGEIFS($X$2:$X$2705,$B$2:$B$2705,B1050))</f>
        <v/>
      </c>
      <c r="Z1050" s="21" t="n">
        <f aca="false">P1050</f>
        <v>1.32551613958568</v>
      </c>
      <c r="AA1050" s="3" t="n">
        <f aca="false">R1050</f>
        <v>1</v>
      </c>
      <c r="AB1050" s="21" t="n">
        <f aca="false">P1050</f>
        <v>1.32551613958568</v>
      </c>
      <c r="AC1050" s="3" t="str">
        <f aca="false">Y1050</f>
        <v/>
      </c>
      <c r="AD1050" s="3" t="n">
        <f aca="false">R1050</f>
        <v>1</v>
      </c>
    </row>
    <row r="1051" customFormat="false" ht="15" hidden="false" customHeight="true" outlineLevel="0" collapsed="false">
      <c r="A1051" s="7" t="s">
        <v>70</v>
      </c>
      <c r="B1051" s="7" t="n">
        <v>1965</v>
      </c>
      <c r="C1051" s="7" t="s">
        <v>154</v>
      </c>
      <c r="D1051" s="7" t="n">
        <v>77</v>
      </c>
      <c r="E1051" s="7" t="n">
        <v>85</v>
      </c>
      <c r="F1051" s="3" t="n">
        <f aca="false">COUNTIFS($B$2:$B$2705,B1051,$C$2:$C$2705,C1051)</f>
        <v>2</v>
      </c>
      <c r="G1051" s="3" t="n">
        <f aca="false">MIN(INT((MIN(B1051,2020)-1900)/10)+1,12)</f>
        <v>7</v>
      </c>
      <c r="H1051" s="3" t="n">
        <f aca="false">(MIN(B1051,2020)-1900-10*(G1051-1))/10</f>
        <v>0.5</v>
      </c>
      <c r="I1051" s="20" t="n">
        <f aca="false">EXP(LN(INDEX(Pop_Inputs!$B$2:$N$29,MATCH(C1051,Pop_Inputs!$A$2:$A$29,0),G1051))*(1-H1051)+LN(INDEX(Pop_Inputs!$B$2:$N$29,MATCH(C1051,Pop_Inputs!$A$2:$A$29,0),G1051+1))*H1051)</f>
        <v>7838219.80849019</v>
      </c>
      <c r="J1051" s="20" t="n">
        <f aca="false">I1051/F1051</f>
        <v>3919109.9042451</v>
      </c>
      <c r="K1051" s="21" t="n">
        <f aca="false">D1051/(D1051+E1051)</f>
        <v>0.475308641975309</v>
      </c>
      <c r="L1051" s="21" t="n">
        <f aca="false">AVERAGEIFS($K$2:$K$2705,$B$2:$B$2705,B1051)</f>
        <v>0.50000766812361</v>
      </c>
      <c r="M1051" s="21" t="n">
        <f aca="false">K1051-L1051</f>
        <v>-0.0246990261483014</v>
      </c>
      <c r="N1051" s="21" t="n">
        <f aca="false">LN(J1051)</f>
        <v>15.1813751207398</v>
      </c>
      <c r="O1051" s="21" t="n">
        <f aca="false">AVERAGEIFS($N$2:$N$2705,$B$2:$B$2705,B1051)</f>
        <v>13.8558589811541</v>
      </c>
      <c r="P1051" s="21" t="n">
        <f aca="false">N1051-O1051</f>
        <v>1.32551613958568</v>
      </c>
      <c r="Q1051" s="7" t="n">
        <v>0</v>
      </c>
      <c r="R1051" s="3" t="n">
        <f aca="false">IF(AND(Q1051=1,B1051-_xlfn.MINIFS($B$2:$B$2705,$A$2:$A$2705,A1051)&lt;10),1,0)</f>
        <v>0</v>
      </c>
      <c r="S1051" s="7" t="n">
        <v>1</v>
      </c>
      <c r="T1051" s="3" t="n">
        <f aca="false">_xlfn.MINIFS($B$2:$B$2705,$A$2:$A$2705,A1051)</f>
        <v>1903</v>
      </c>
      <c r="U1051" s="3" t="n">
        <f aca="false">B1051-T1051</f>
        <v>62</v>
      </c>
      <c r="V1051" s="3" t="str">
        <f aca="false">INDEX(Pop_Inputs!$Q$2:$Q$29,MATCH(C1051,Pop_Inputs!$A$2:$A$29,0))</f>
        <v>Northeast</v>
      </c>
      <c r="W1051" s="30"/>
      <c r="X1051" s="3" t="str">
        <f aca="false">IF(W1051="","",LN(W1051))</f>
        <v/>
      </c>
      <c r="Y1051" s="3" t="str">
        <f aca="false">IF(X1051="","",X1051-AVERAGEIFS($X$2:$X$2705,$B$2:$B$2705,B1051))</f>
        <v/>
      </c>
      <c r="Z1051" s="21" t="n">
        <f aca="false">P1051</f>
        <v>1.32551613958568</v>
      </c>
      <c r="AA1051" s="3" t="n">
        <f aca="false">R1051</f>
        <v>0</v>
      </c>
      <c r="AB1051" s="21" t="n">
        <f aca="false">P1051</f>
        <v>1.32551613958568</v>
      </c>
      <c r="AC1051" s="3" t="str">
        <f aca="false">Y1051</f>
        <v/>
      </c>
      <c r="AD1051" s="3" t="n">
        <f aca="false">R1051</f>
        <v>0</v>
      </c>
    </row>
    <row r="1052" customFormat="false" ht="15" hidden="false" customHeight="true" outlineLevel="0" collapsed="false">
      <c r="A1052" s="7" t="s">
        <v>69</v>
      </c>
      <c r="B1052" s="7" t="n">
        <v>1965</v>
      </c>
      <c r="C1052" s="7" t="s">
        <v>157</v>
      </c>
      <c r="D1052" s="7" t="n">
        <v>59</v>
      </c>
      <c r="E1052" s="7" t="n">
        <v>103</v>
      </c>
      <c r="F1052" s="3" t="n">
        <f aca="false">COUNTIFS($B$2:$B$2705,B1052,$C$2:$C$2705,C1052)</f>
        <v>1</v>
      </c>
      <c r="G1052" s="3" t="n">
        <f aca="false">MIN(INT((MIN(B1052,2020)-1900)/10)+1,12)</f>
        <v>7</v>
      </c>
      <c r="H1052" s="3" t="n">
        <f aca="false">(MIN(B1052,2020)-1900-10*(G1052-1))/10</f>
        <v>0.5</v>
      </c>
      <c r="I1052" s="20" t="n">
        <f aca="false">EXP(LN(INDEX(Pop_Inputs!$B$2:$N$29,MATCH(C1052,Pop_Inputs!$A$2:$A$29,0),G1052))*(1-H1052)+LN(INDEX(Pop_Inputs!$B$2:$N$29,MATCH(C1052,Pop_Inputs!$A$2:$A$29,0),G1052+1))*H1052)</f>
        <v>491059.716218914</v>
      </c>
      <c r="J1052" s="20" t="n">
        <f aca="false">I1052/F1052</f>
        <v>491059.716218914</v>
      </c>
      <c r="K1052" s="21" t="n">
        <f aca="false">D1052/(D1052+E1052)</f>
        <v>0.364197530864198</v>
      </c>
      <c r="L1052" s="21" t="n">
        <f aca="false">AVERAGEIFS($K$2:$K$2705,$B$2:$B$2705,B1052)</f>
        <v>0.50000766812361</v>
      </c>
      <c r="M1052" s="21" t="n">
        <f aca="false">K1052-L1052</f>
        <v>-0.135810137259413</v>
      </c>
      <c r="N1052" s="21" t="n">
        <f aca="false">LN(J1052)</f>
        <v>13.1043210210085</v>
      </c>
      <c r="O1052" s="21" t="n">
        <f aca="false">AVERAGEIFS($N$2:$N$2705,$B$2:$B$2705,B1052)</f>
        <v>13.8558589811541</v>
      </c>
      <c r="P1052" s="21" t="n">
        <f aca="false">N1052-O1052</f>
        <v>-0.751537960145685</v>
      </c>
      <c r="Q1052" s="7" t="n">
        <v>0</v>
      </c>
      <c r="R1052" s="3" t="n">
        <f aca="false">IF(AND(Q1052=1,B1052-_xlfn.MINIFS($B$2:$B$2705,$A$2:$A$2705,A1052)&lt;10),1,0)</f>
        <v>0</v>
      </c>
      <c r="S1052" s="7" t="n">
        <v>0</v>
      </c>
      <c r="T1052" s="3" t="n">
        <f aca="false">_xlfn.MINIFS($B$2:$B$2705,$A$2:$A$2705,A1052)</f>
        <v>1901</v>
      </c>
      <c r="U1052" s="3" t="n">
        <f aca="false">B1052-T1052</f>
        <v>64</v>
      </c>
      <c r="V1052" s="3" t="str">
        <f aca="false">INDEX(Pop_Inputs!$Q$2:$Q$29,MATCH(C1052,Pop_Inputs!$A$2:$A$29,0))</f>
        <v>Midwest</v>
      </c>
      <c r="W1052" s="30"/>
      <c r="X1052" s="3" t="str">
        <f aca="false">IF(W1052="","",LN(W1052))</f>
        <v/>
      </c>
      <c r="Y1052" s="3" t="str">
        <f aca="false">IF(X1052="","",X1052-AVERAGEIFS($X$2:$X$2705,$B$2:$B$2705,B1052))</f>
        <v/>
      </c>
      <c r="Z1052" s="21" t="n">
        <f aca="false">P1052</f>
        <v>-0.751537960145685</v>
      </c>
      <c r="AA1052" s="3" t="n">
        <f aca="false">R1052</f>
        <v>0</v>
      </c>
      <c r="AB1052" s="21" t="n">
        <f aca="false">P1052</f>
        <v>-0.751537960145685</v>
      </c>
      <c r="AC1052" s="3" t="str">
        <f aca="false">Y1052</f>
        <v/>
      </c>
      <c r="AD1052" s="3" t="n">
        <f aca="false">R1052</f>
        <v>0</v>
      </c>
    </row>
    <row r="1053" customFormat="false" ht="15" hidden="false" customHeight="true" outlineLevel="0" collapsed="false">
      <c r="A1053" s="7" t="s">
        <v>60</v>
      </c>
      <c r="B1053" s="7" t="n">
        <v>1965</v>
      </c>
      <c r="C1053" s="7" t="s">
        <v>146</v>
      </c>
      <c r="D1053" s="7" t="n">
        <v>85</v>
      </c>
      <c r="E1053" s="7" t="n">
        <v>76</v>
      </c>
      <c r="F1053" s="3" t="n">
        <f aca="false">COUNTIFS($B$2:$B$2705,B1053,$C$2:$C$2705,C1053)</f>
        <v>1</v>
      </c>
      <c r="G1053" s="3" t="n">
        <f aca="false">MIN(INT((MIN(B1053,2020)-1900)/10)+1,12)</f>
        <v>7</v>
      </c>
      <c r="H1053" s="3" t="n">
        <f aca="false">(MIN(B1053,2020)-1900-10*(G1053-1))/10</f>
        <v>0.5</v>
      </c>
      <c r="I1053" s="20" t="n">
        <f aca="false">EXP(LN(INDEX(Pop_Inputs!$B$2:$N$29,MATCH(C1053,Pop_Inputs!$A$2:$A$29,0),G1053))*(1-H1053)+LN(INDEX(Pop_Inputs!$B$2:$N$29,MATCH(C1053,Pop_Inputs!$A$2:$A$29,0),G1053+1))*H1053)</f>
        <v>1975376.64909961</v>
      </c>
      <c r="J1053" s="20" t="n">
        <f aca="false">I1053/F1053</f>
        <v>1975376.64909961</v>
      </c>
      <c r="K1053" s="21" t="n">
        <f aca="false">D1053/(D1053+E1053)</f>
        <v>0.527950310559006</v>
      </c>
      <c r="L1053" s="21" t="n">
        <f aca="false">AVERAGEIFS($K$2:$K$2705,$B$2:$B$2705,B1053)</f>
        <v>0.50000766812361</v>
      </c>
      <c r="M1053" s="21" t="n">
        <f aca="false">K1053-L1053</f>
        <v>0.0279426424353961</v>
      </c>
      <c r="N1053" s="21" t="n">
        <f aca="false">LN(J1053)</f>
        <v>14.4962696465397</v>
      </c>
      <c r="O1053" s="21" t="n">
        <f aca="false">AVERAGEIFS($N$2:$N$2705,$B$2:$B$2705,B1053)</f>
        <v>13.8558589811541</v>
      </c>
      <c r="P1053" s="21" t="n">
        <f aca="false">N1053-O1053</f>
        <v>0.640410665385542</v>
      </c>
      <c r="Q1053" s="7" t="n">
        <v>0</v>
      </c>
      <c r="R1053" s="3" t="n">
        <f aca="false">IF(AND(Q1053=1,B1053-_xlfn.MINIFS($B$2:$B$2705,$A$2:$A$2705,A1053)&lt;10),1,0)</f>
        <v>0</v>
      </c>
      <c r="S1053" s="7" t="n">
        <v>0</v>
      </c>
      <c r="T1053" s="3" t="n">
        <f aca="false">_xlfn.MINIFS($B$2:$B$2705,$A$2:$A$2705,A1053)</f>
        <v>1901</v>
      </c>
      <c r="U1053" s="3" t="n">
        <f aca="false">B1053-T1053</f>
        <v>64</v>
      </c>
      <c r="V1053" s="3" t="str">
        <f aca="false">INDEX(Pop_Inputs!$Q$2:$Q$29,MATCH(C1053,Pop_Inputs!$A$2:$A$29,0))</f>
        <v>Northeast</v>
      </c>
      <c r="W1053" s="30"/>
      <c r="X1053" s="3" t="str">
        <f aca="false">IF(W1053="","",LN(W1053))</f>
        <v/>
      </c>
      <c r="Y1053" s="3" t="str">
        <f aca="false">IF(X1053="","",X1053-AVERAGEIFS($X$2:$X$2705,$B$2:$B$2705,B1053))</f>
        <v/>
      </c>
      <c r="Z1053" s="21" t="n">
        <f aca="false">P1053</f>
        <v>0.640410665385542</v>
      </c>
      <c r="AA1053" s="3" t="n">
        <f aca="false">R1053</f>
        <v>0</v>
      </c>
      <c r="AB1053" s="21" t="n">
        <f aca="false">P1053</f>
        <v>0.640410665385542</v>
      </c>
      <c r="AC1053" s="3" t="str">
        <f aca="false">Y1053</f>
        <v/>
      </c>
      <c r="AD1053" s="3" t="n">
        <f aca="false">R1053</f>
        <v>0</v>
      </c>
    </row>
    <row r="1054" customFormat="false" ht="15" hidden="false" customHeight="true" outlineLevel="0" collapsed="false">
      <c r="A1054" s="7" t="s">
        <v>58</v>
      </c>
      <c r="B1054" s="7" t="n">
        <v>1965</v>
      </c>
      <c r="C1054" s="7" t="s">
        <v>144</v>
      </c>
      <c r="D1054" s="7" t="n">
        <v>90</v>
      </c>
      <c r="E1054" s="7" t="n">
        <v>72</v>
      </c>
      <c r="F1054" s="3" t="n">
        <f aca="false">COUNTIFS($B$2:$B$2705,B1054,$C$2:$C$2705,C1054)</f>
        <v>1</v>
      </c>
      <c r="G1054" s="3" t="n">
        <f aca="false">MIN(INT((MIN(B1054,2020)-1900)/10)+1,12)</f>
        <v>7</v>
      </c>
      <c r="H1054" s="3" t="n">
        <f aca="false">(MIN(B1054,2020)-1900-10*(G1054-1))/10</f>
        <v>0.5</v>
      </c>
      <c r="I1054" s="20" t="n">
        <f aca="false">EXP(LN(INDEX(Pop_Inputs!$B$2:$N$29,MATCH(C1054,Pop_Inputs!$A$2:$A$29,0),G1054))*(1-H1054)+LN(INDEX(Pop_Inputs!$B$2:$N$29,MATCH(C1054,Pop_Inputs!$A$2:$A$29,0),G1054+1))*H1054)</f>
        <v>560645.47340008</v>
      </c>
      <c r="J1054" s="20" t="n">
        <f aca="false">I1054/F1054</f>
        <v>560645.47340008</v>
      </c>
      <c r="K1054" s="21" t="n">
        <f aca="false">D1054/(D1054+E1054)</f>
        <v>0.555555555555556</v>
      </c>
      <c r="L1054" s="21" t="n">
        <f aca="false">AVERAGEIFS($K$2:$K$2705,$B$2:$B$2705,B1054)</f>
        <v>0.50000766812361</v>
      </c>
      <c r="M1054" s="21" t="n">
        <f aca="false">K1054-L1054</f>
        <v>0.0555478874319455</v>
      </c>
      <c r="N1054" s="21" t="n">
        <f aca="false">LN(J1054)</f>
        <v>13.2368440300137</v>
      </c>
      <c r="O1054" s="21" t="n">
        <f aca="false">AVERAGEIFS($N$2:$N$2705,$B$2:$B$2705,B1054)</f>
        <v>13.8558589811541</v>
      </c>
      <c r="P1054" s="21" t="n">
        <f aca="false">N1054-O1054</f>
        <v>-0.619014951140432</v>
      </c>
      <c r="Q1054" s="7" t="n">
        <v>0</v>
      </c>
      <c r="R1054" s="3" t="n">
        <f aca="false">IF(AND(Q1054=1,B1054-_xlfn.MINIFS($B$2:$B$2705,$A$2:$A$2705,A1054)&lt;10),1,0)</f>
        <v>0</v>
      </c>
      <c r="S1054" s="7" t="n">
        <v>0</v>
      </c>
      <c r="T1054" s="3" t="n">
        <f aca="false">_xlfn.MINIFS($B$2:$B$2705,$A$2:$A$2705,A1054)</f>
        <v>1901</v>
      </c>
      <c r="U1054" s="3" t="n">
        <f aca="false">B1054-T1054</f>
        <v>64</v>
      </c>
      <c r="V1054" s="3" t="str">
        <f aca="false">INDEX(Pop_Inputs!$Q$2:$Q$29,MATCH(C1054,Pop_Inputs!$A$2:$A$29,0))</f>
        <v>Northeast</v>
      </c>
      <c r="W1054" s="30"/>
      <c r="X1054" s="3" t="str">
        <f aca="false">IF(W1054="","",LN(W1054))</f>
        <v/>
      </c>
      <c r="Y1054" s="3" t="str">
        <f aca="false">IF(X1054="","",X1054-AVERAGEIFS($X$2:$X$2705,$B$2:$B$2705,B1054))</f>
        <v/>
      </c>
      <c r="Z1054" s="21" t="n">
        <f aca="false">P1054</f>
        <v>-0.619014951140432</v>
      </c>
      <c r="AA1054" s="3" t="n">
        <f aca="false">R1054</f>
        <v>0</v>
      </c>
      <c r="AB1054" s="21" t="n">
        <f aca="false">P1054</f>
        <v>-0.619014951140432</v>
      </c>
      <c r="AC1054" s="3" t="str">
        <f aca="false">Y1054</f>
        <v/>
      </c>
      <c r="AD1054" s="3" t="n">
        <f aca="false">R1054</f>
        <v>0</v>
      </c>
    </row>
    <row r="1055" customFormat="false" ht="15" hidden="false" customHeight="true" outlineLevel="0" collapsed="false">
      <c r="A1055" s="7" t="s">
        <v>61</v>
      </c>
      <c r="B1055" s="7" t="n">
        <v>1965</v>
      </c>
      <c r="C1055" s="7" t="s">
        <v>147</v>
      </c>
      <c r="D1055" s="7" t="n">
        <v>95</v>
      </c>
      <c r="E1055" s="7" t="n">
        <v>67</v>
      </c>
      <c r="F1055" s="3" t="n">
        <f aca="false">COUNTIFS($B$2:$B$2705,B1055,$C$2:$C$2705,C1055)</f>
        <v>1</v>
      </c>
      <c r="G1055" s="3" t="n">
        <f aca="false">MIN(INT((MIN(B1055,2020)-1900)/10)+1,12)</f>
        <v>7</v>
      </c>
      <c r="H1055" s="3" t="n">
        <f aca="false">(MIN(B1055,2020)-1900-10*(G1055-1))/10</f>
        <v>0.5</v>
      </c>
      <c r="I1055" s="20" t="n">
        <f aca="false">EXP(LN(INDEX(Pop_Inputs!$B$2:$N$29,MATCH(C1055,Pop_Inputs!$A$2:$A$29,0),G1055))*(1-H1055)+LN(INDEX(Pop_Inputs!$B$2:$N$29,MATCH(C1055,Pop_Inputs!$A$2:$A$29,0),G1055+1))*H1055)</f>
        <v>727890.728738868</v>
      </c>
      <c r="J1055" s="20" t="n">
        <f aca="false">I1055/F1055</f>
        <v>727890.728738868</v>
      </c>
      <c r="K1055" s="21" t="n">
        <f aca="false">D1055/(D1055+E1055)</f>
        <v>0.58641975308642</v>
      </c>
      <c r="L1055" s="21" t="n">
        <f aca="false">AVERAGEIFS($K$2:$K$2705,$B$2:$B$2705,B1055)</f>
        <v>0.50000766812361</v>
      </c>
      <c r="M1055" s="21" t="n">
        <f aca="false">K1055-L1055</f>
        <v>0.0864120849628097</v>
      </c>
      <c r="N1055" s="21" t="n">
        <f aca="false">LN(J1055)</f>
        <v>13.4979062180268</v>
      </c>
      <c r="O1055" s="21" t="n">
        <f aca="false">AVERAGEIFS($N$2:$N$2705,$B$2:$B$2705,B1055)</f>
        <v>13.8558589811541</v>
      </c>
      <c r="P1055" s="21" t="n">
        <f aca="false">N1055-O1055</f>
        <v>-0.35795276312731</v>
      </c>
      <c r="Q1055" s="7" t="n">
        <v>0</v>
      </c>
      <c r="R1055" s="3" t="n">
        <f aca="false">IF(AND(Q1055=1,B1055-_xlfn.MINIFS($B$2:$B$2705,$A$2:$A$2705,A1055)&lt;10),1,0)</f>
        <v>0</v>
      </c>
      <c r="S1055" s="7" t="n">
        <v>0</v>
      </c>
      <c r="T1055" s="3" t="n">
        <f aca="false">_xlfn.MINIFS($B$2:$B$2705,$A$2:$A$2705,A1055)</f>
        <v>1901</v>
      </c>
      <c r="U1055" s="3" t="n">
        <f aca="false">B1055-T1055</f>
        <v>64</v>
      </c>
      <c r="V1055" s="3" t="str">
        <f aca="false">INDEX(Pop_Inputs!$Q$2:$Q$29,MATCH(C1055,Pop_Inputs!$A$2:$A$29,0))</f>
        <v>West</v>
      </c>
      <c r="W1055" s="30"/>
      <c r="X1055" s="3" t="str">
        <f aca="false">IF(W1055="","",LN(W1055))</f>
        <v/>
      </c>
      <c r="Y1055" s="3" t="str">
        <f aca="false">IF(X1055="","",X1055-AVERAGEIFS($X$2:$X$2705,$B$2:$B$2705,B1055))</f>
        <v/>
      </c>
      <c r="Z1055" s="21" t="n">
        <f aca="false">P1055</f>
        <v>-0.35795276312731</v>
      </c>
      <c r="AA1055" s="3" t="n">
        <f aca="false">R1055</f>
        <v>0</v>
      </c>
      <c r="AB1055" s="21" t="n">
        <f aca="false">P1055</f>
        <v>-0.35795276312731</v>
      </c>
      <c r="AC1055" s="3" t="str">
        <f aca="false">Y1055</f>
        <v/>
      </c>
      <c r="AD1055" s="3" t="n">
        <f aca="false">R1055</f>
        <v>0</v>
      </c>
    </row>
    <row r="1056" customFormat="false" ht="15" hidden="false" customHeight="true" outlineLevel="0" collapsed="false">
      <c r="A1056" s="7" t="s">
        <v>59</v>
      </c>
      <c r="B1056" s="7" t="n">
        <v>1965</v>
      </c>
      <c r="C1056" s="7" t="s">
        <v>145</v>
      </c>
      <c r="D1056" s="7" t="n">
        <v>80</v>
      </c>
      <c r="E1056" s="7" t="n">
        <v>81</v>
      </c>
      <c r="F1056" s="3" t="n">
        <f aca="false">COUNTIFS($B$2:$B$2705,B1056,$C$2:$C$2705,C1056)</f>
        <v>1</v>
      </c>
      <c r="G1056" s="3" t="n">
        <f aca="false">MIN(INT((MIN(B1056,2020)-1900)/10)+1,12)</f>
        <v>7</v>
      </c>
      <c r="H1056" s="3" t="n">
        <f aca="false">(MIN(B1056,2020)-1900-10*(G1056-1))/10</f>
        <v>0.5</v>
      </c>
      <c r="I1056" s="20" t="n">
        <f aca="false">EXP(LN(INDEX(Pop_Inputs!$B$2:$N$29,MATCH(C1056,Pop_Inputs!$A$2:$A$29,0),G1056))*(1-H1056)+LN(INDEX(Pop_Inputs!$B$2:$N$29,MATCH(C1056,Pop_Inputs!$A$2:$A$29,0),G1056+1))*H1056)</f>
        <v>683149.45519703</v>
      </c>
      <c r="J1056" s="20" t="n">
        <f aca="false">I1056/F1056</f>
        <v>683149.45519703</v>
      </c>
      <c r="K1056" s="21" t="n">
        <f aca="false">D1056/(D1056+E1056)</f>
        <v>0.496894409937888</v>
      </c>
      <c r="L1056" s="21" t="n">
        <f aca="false">AVERAGEIFS($K$2:$K$2705,$B$2:$B$2705,B1056)</f>
        <v>0.50000766812361</v>
      </c>
      <c r="M1056" s="21" t="n">
        <f aca="false">K1056-L1056</f>
        <v>-0.00311325818572189</v>
      </c>
      <c r="N1056" s="21" t="n">
        <f aca="false">LN(J1056)</f>
        <v>13.4344689362797</v>
      </c>
      <c r="O1056" s="21" t="n">
        <f aca="false">AVERAGEIFS($N$2:$N$2705,$B$2:$B$2705,B1056)</f>
        <v>13.8558589811541</v>
      </c>
      <c r="P1056" s="21" t="n">
        <f aca="false">N1056-O1056</f>
        <v>-0.42139004487443</v>
      </c>
      <c r="Q1056" s="7" t="n">
        <v>0</v>
      </c>
      <c r="R1056" s="3" t="n">
        <f aca="false">IF(AND(Q1056=1,B1056-_xlfn.MINIFS($B$2:$B$2705,$A$2:$A$2705,A1056)&lt;10),1,0)</f>
        <v>0</v>
      </c>
      <c r="S1056" s="7" t="n">
        <v>0</v>
      </c>
      <c r="T1056" s="3" t="n">
        <f aca="false">_xlfn.MINIFS($B$2:$B$2705,$A$2:$A$2705,A1056)</f>
        <v>1901</v>
      </c>
      <c r="U1056" s="3" t="n">
        <f aca="false">B1056-T1056</f>
        <v>64</v>
      </c>
      <c r="V1056" s="3" t="str">
        <f aca="false">INDEX(Pop_Inputs!$Q$2:$Q$29,MATCH(C1056,Pop_Inputs!$A$2:$A$29,0))</f>
        <v>Midwest</v>
      </c>
      <c r="W1056" s="30"/>
      <c r="X1056" s="3" t="str">
        <f aca="false">IF(W1056="","",LN(W1056))</f>
        <v/>
      </c>
      <c r="Y1056" s="3" t="str">
        <f aca="false">IF(X1056="","",X1056-AVERAGEIFS($X$2:$X$2705,$B$2:$B$2705,B1056))</f>
        <v/>
      </c>
      <c r="Z1056" s="21" t="n">
        <f aca="false">P1056</f>
        <v>-0.42139004487443</v>
      </c>
      <c r="AA1056" s="3" t="n">
        <f aca="false">R1056</f>
        <v>0</v>
      </c>
      <c r="AB1056" s="21" t="n">
        <f aca="false">P1056</f>
        <v>-0.42139004487443</v>
      </c>
      <c r="AC1056" s="3" t="str">
        <f aca="false">Y1056</f>
        <v/>
      </c>
      <c r="AD1056" s="3" t="n">
        <f aca="false">R1056</f>
        <v>0</v>
      </c>
    </row>
    <row r="1057" customFormat="false" ht="15" hidden="false" customHeight="true" outlineLevel="0" collapsed="false">
      <c r="A1057" s="7" t="s">
        <v>73</v>
      </c>
      <c r="B1057" s="7" t="n">
        <v>1965</v>
      </c>
      <c r="C1057" s="7" t="s">
        <v>160</v>
      </c>
      <c r="D1057" s="7" t="n">
        <v>70</v>
      </c>
      <c r="E1057" s="7" t="n">
        <v>92</v>
      </c>
      <c r="F1057" s="3" t="n">
        <f aca="false">COUNTIFS($B$2:$B$2705,B1057,$C$2:$C$2705,C1057)</f>
        <v>1</v>
      </c>
      <c r="G1057" s="3" t="n">
        <f aca="false">MIN(INT((MIN(B1057,2020)-1900)/10)+1,12)</f>
        <v>7</v>
      </c>
      <c r="H1057" s="3" t="n">
        <f aca="false">(MIN(B1057,2020)-1900-10*(G1057-1))/10</f>
        <v>0.5</v>
      </c>
      <c r="I1057" s="20" t="n">
        <f aca="false">EXP(LN(INDEX(Pop_Inputs!$B$2:$N$29,MATCH(C1057,Pop_Inputs!$A$2:$A$29,0),G1057))*(1-H1057)+LN(INDEX(Pop_Inputs!$B$2:$N$29,MATCH(C1057,Pop_Inputs!$A$2:$A$29,0),G1057+1))*H1057)</f>
        <v>760223.883839491</v>
      </c>
      <c r="J1057" s="20" t="n">
        <f aca="false">I1057/F1057</f>
        <v>760223.883839491</v>
      </c>
      <c r="K1057" s="21" t="n">
        <f aca="false">D1057/(D1057+E1057)</f>
        <v>0.432098765432099</v>
      </c>
      <c r="L1057" s="21" t="n">
        <f aca="false">AVERAGEIFS($K$2:$K$2705,$B$2:$B$2705,B1057)</f>
        <v>0.50000766812361</v>
      </c>
      <c r="M1057" s="21" t="n">
        <f aca="false">K1057-L1057</f>
        <v>-0.0679089026915113</v>
      </c>
      <c r="N1057" s="21" t="n">
        <f aca="false">LN(J1057)</f>
        <v>13.5413682528805</v>
      </c>
      <c r="O1057" s="21" t="n">
        <f aca="false">AVERAGEIFS($N$2:$N$2705,$B$2:$B$2705,B1057)</f>
        <v>13.8558589811541</v>
      </c>
      <c r="P1057" s="21" t="n">
        <f aca="false">N1057-O1057</f>
        <v>-0.31449072827365</v>
      </c>
      <c r="Q1057" s="7" t="n">
        <v>1</v>
      </c>
      <c r="R1057" s="3" t="n">
        <f aca="false">IF(AND(Q1057=1,B1057-_xlfn.MINIFS($B$2:$B$2705,$A$2:$A$2705,A1057)&lt;10),1,0)</f>
        <v>1</v>
      </c>
      <c r="S1057" s="7" t="n">
        <v>0</v>
      </c>
      <c r="T1057" s="3" t="n">
        <f aca="false">_xlfn.MINIFS($B$2:$B$2705,$A$2:$A$2705,A1057)</f>
        <v>1961</v>
      </c>
      <c r="U1057" s="3" t="n">
        <f aca="false">B1057-T1057</f>
        <v>4</v>
      </c>
      <c r="V1057" s="3" t="str">
        <f aca="false">INDEX(Pop_Inputs!$Q$2:$Q$29,MATCH(C1057,Pop_Inputs!$A$2:$A$29,0))</f>
        <v>South</v>
      </c>
      <c r="W1057" s="30"/>
      <c r="X1057" s="3" t="str">
        <f aca="false">IF(W1057="","",LN(W1057))</f>
        <v/>
      </c>
      <c r="Y1057" s="3" t="str">
        <f aca="false">IF(X1057="","",X1057-AVERAGEIFS($X$2:$X$2705,$B$2:$B$2705,B1057))</f>
        <v/>
      </c>
      <c r="Z1057" s="21" t="n">
        <f aca="false">P1057</f>
        <v>-0.31449072827365</v>
      </c>
      <c r="AA1057" s="3" t="n">
        <f aca="false">R1057</f>
        <v>1</v>
      </c>
      <c r="AB1057" s="21" t="n">
        <f aca="false">P1057</f>
        <v>-0.31449072827365</v>
      </c>
      <c r="AC1057" s="3" t="str">
        <f aca="false">Y1057</f>
        <v/>
      </c>
      <c r="AD1057" s="3" t="n">
        <f aca="false">R1057</f>
        <v>1</v>
      </c>
    </row>
    <row r="1058" customFormat="false" ht="15" hidden="false" customHeight="true" outlineLevel="0" collapsed="false">
      <c r="A1058" s="7" t="s">
        <v>71</v>
      </c>
      <c r="B1058" s="7" t="n">
        <v>1966</v>
      </c>
      <c r="C1058" s="7" t="s">
        <v>148</v>
      </c>
      <c r="D1058" s="7" t="n">
        <v>80</v>
      </c>
      <c r="E1058" s="7" t="n">
        <v>82</v>
      </c>
      <c r="F1058" s="3" t="n">
        <f aca="false">COUNTIFS($B$2:$B$2705,B1058,$C$2:$C$2705,C1058)</f>
        <v>2</v>
      </c>
      <c r="G1058" s="3" t="n">
        <f aca="false">MIN(INT((MIN(B1058,2020)-1900)/10)+1,12)</f>
        <v>7</v>
      </c>
      <c r="H1058" s="3" t="n">
        <f aca="false">(MIN(B1058,2020)-1900-10*(G1058-1))/10</f>
        <v>0.6</v>
      </c>
      <c r="I1058" s="20" t="n">
        <f aca="false">EXP(LN(INDEX(Pop_Inputs!$B$2:$N$29,MATCH(C1058,Pop_Inputs!$A$2:$A$29,0),G1058))*(1-H1058)+LN(INDEX(Pop_Inputs!$B$2:$N$29,MATCH(C1058,Pop_Inputs!$A$2:$A$29,0),G1058+1))*H1058)</f>
        <v>2676066.47072409</v>
      </c>
      <c r="J1058" s="20" t="n">
        <f aca="false">I1058/F1058</f>
        <v>1338033.23536204</v>
      </c>
      <c r="K1058" s="21" t="n">
        <f aca="false">D1058/(D1058+E1058)</f>
        <v>0.493827160493827</v>
      </c>
      <c r="L1058" s="21" t="n">
        <f aca="false">AVERAGEIFS($K$2:$K$2705,$B$2:$B$2705,B1058)</f>
        <v>0.499918350308099</v>
      </c>
      <c r="M1058" s="21" t="n">
        <f aca="false">K1058-L1058</f>
        <v>-0.00609118981427226</v>
      </c>
      <c r="N1058" s="21" t="n">
        <f aca="false">LN(J1058)</f>
        <v>14.1067113589448</v>
      </c>
      <c r="O1058" s="21" t="n">
        <f aca="false">AVERAGEIFS($N$2:$N$2705,$B$2:$B$2705,B1058)</f>
        <v>13.8338035311055</v>
      </c>
      <c r="P1058" s="21" t="n">
        <f aca="false">N1058-O1058</f>
        <v>0.272907827839266</v>
      </c>
      <c r="Q1058" s="7" t="n">
        <v>1</v>
      </c>
      <c r="R1058" s="3" t="n">
        <f aca="false">IF(AND(Q1058=1,B1058-_xlfn.MINIFS($B$2:$B$2705,$A$2:$A$2705,A1058)&lt;10),1,0)</f>
        <v>1</v>
      </c>
      <c r="S1058" s="7" t="n">
        <v>0</v>
      </c>
      <c r="T1058" s="3" t="n">
        <f aca="false">_xlfn.MINIFS($B$2:$B$2705,$A$2:$A$2705,A1058)</f>
        <v>1961</v>
      </c>
      <c r="U1058" s="3" t="n">
        <f aca="false">B1058-T1058</f>
        <v>5</v>
      </c>
      <c r="V1058" s="3" t="str">
        <f aca="false">INDEX(Pop_Inputs!$Q$2:$Q$29,MATCH(C1058,Pop_Inputs!$A$2:$A$29,0))</f>
        <v>West</v>
      </c>
      <c r="W1058" s="30"/>
      <c r="X1058" s="3" t="str">
        <f aca="false">IF(W1058="","",LN(W1058))</f>
        <v/>
      </c>
      <c r="Y1058" s="3" t="str">
        <f aca="false">IF(X1058="","",X1058-AVERAGEIFS($X$2:$X$2705,$B$2:$B$2705,B1058))</f>
        <v/>
      </c>
      <c r="Z1058" s="21" t="n">
        <f aca="false">P1058</f>
        <v>0.272907827839266</v>
      </c>
      <c r="AA1058" s="3" t="n">
        <f aca="false">R1058</f>
        <v>1</v>
      </c>
      <c r="AB1058" s="21" t="n">
        <f aca="false">P1058</f>
        <v>0.272907827839266</v>
      </c>
      <c r="AC1058" s="3" t="str">
        <f aca="false">Y1058</f>
        <v/>
      </c>
      <c r="AD1058" s="3" t="n">
        <f aca="false">R1058</f>
        <v>1</v>
      </c>
    </row>
    <row r="1059" customFormat="false" ht="15" hidden="false" customHeight="true" outlineLevel="0" collapsed="false">
      <c r="A1059" s="7" t="s">
        <v>54</v>
      </c>
      <c r="B1059" s="7" t="n">
        <v>1966</v>
      </c>
      <c r="C1059" s="7" t="s">
        <v>141</v>
      </c>
      <c r="D1059" s="7" t="n">
        <v>85</v>
      </c>
      <c r="E1059" s="7" t="n">
        <v>77</v>
      </c>
      <c r="F1059" s="3" t="n">
        <f aca="false">COUNTIFS($B$2:$B$2705,B1059,$C$2:$C$2705,C1059)</f>
        <v>1</v>
      </c>
      <c r="G1059" s="3" t="n">
        <f aca="false">MIN(INT((MIN(B1059,2020)-1900)/10)+1,12)</f>
        <v>7</v>
      </c>
      <c r="H1059" s="3" t="n">
        <f aca="false">(MIN(B1059,2020)-1900-10*(G1059-1))/10</f>
        <v>0.6</v>
      </c>
      <c r="I1059" s="20" t="n">
        <f aca="false">EXP(LN(INDEX(Pop_Inputs!$B$2:$N$29,MATCH(C1059,Pop_Inputs!$A$2:$A$29,0),G1059))*(1-H1059)+LN(INDEX(Pop_Inputs!$B$2:$N$29,MATCH(C1059,Pop_Inputs!$A$2:$A$29,0),G1059+1))*H1059)</f>
        <v>491991.342503712</v>
      </c>
      <c r="J1059" s="20" t="n">
        <f aca="false">I1059/F1059</f>
        <v>491991.342503712</v>
      </c>
      <c r="K1059" s="21" t="n">
        <f aca="false">D1059/(D1059+E1059)</f>
        <v>0.524691358024691</v>
      </c>
      <c r="L1059" s="21" t="n">
        <f aca="false">AVERAGEIFS($K$2:$K$2705,$B$2:$B$2705,B1059)</f>
        <v>0.499918350308099</v>
      </c>
      <c r="M1059" s="21" t="n">
        <f aca="false">K1059-L1059</f>
        <v>0.024773007716592</v>
      </c>
      <c r="N1059" s="21" t="n">
        <f aca="false">LN(J1059)</f>
        <v>13.1062163987825</v>
      </c>
      <c r="O1059" s="21" t="n">
        <f aca="false">AVERAGEIFS($N$2:$N$2705,$B$2:$B$2705,B1059)</f>
        <v>13.8338035311055</v>
      </c>
      <c r="P1059" s="21" t="n">
        <f aca="false">N1059-O1059</f>
        <v>-0.727587132323086</v>
      </c>
      <c r="Q1059" s="7" t="n">
        <v>0</v>
      </c>
      <c r="R1059" s="3" t="n">
        <f aca="false">IF(AND(Q1059=1,B1059-_xlfn.MINIFS($B$2:$B$2705,$A$2:$A$2705,A1059)&lt;10),1,0)</f>
        <v>0</v>
      </c>
      <c r="S1059" s="7" t="n">
        <v>0</v>
      </c>
      <c r="T1059" s="3" t="n">
        <f aca="false">_xlfn.MINIFS($B$2:$B$2705,$A$2:$A$2705,A1059)</f>
        <v>1901</v>
      </c>
      <c r="U1059" s="3" t="n">
        <f aca="false">B1059-T1059</f>
        <v>65</v>
      </c>
      <c r="V1059" s="3" t="str">
        <f aca="false">INDEX(Pop_Inputs!$Q$2:$Q$29,MATCH(C1059,Pop_Inputs!$A$2:$A$29,0))</f>
        <v>South</v>
      </c>
      <c r="W1059" s="30"/>
      <c r="X1059" s="3" t="str">
        <f aca="false">IF(W1059="","",LN(W1059))</f>
        <v/>
      </c>
      <c r="Y1059" s="3" t="str">
        <f aca="false">IF(X1059="","",X1059-AVERAGEIFS($X$2:$X$2705,$B$2:$B$2705,B1059))</f>
        <v/>
      </c>
      <c r="Z1059" s="21" t="n">
        <f aca="false">P1059</f>
        <v>-0.727587132323086</v>
      </c>
      <c r="AA1059" s="3" t="n">
        <f aca="false">R1059</f>
        <v>0</v>
      </c>
      <c r="AB1059" s="21" t="n">
        <f aca="false">P1059</f>
        <v>-0.727587132323086</v>
      </c>
      <c r="AC1059" s="3" t="str">
        <f aca="false">Y1059</f>
        <v/>
      </c>
      <c r="AD1059" s="3" t="n">
        <f aca="false">R1059</f>
        <v>0</v>
      </c>
    </row>
    <row r="1060" customFormat="false" ht="15" hidden="false" customHeight="true" outlineLevel="0" collapsed="false">
      <c r="A1060" s="7" t="s">
        <v>63</v>
      </c>
      <c r="B1060" s="7" t="n">
        <v>1966</v>
      </c>
      <c r="C1060" s="7" t="s">
        <v>149</v>
      </c>
      <c r="D1060" s="7" t="n">
        <v>97</v>
      </c>
      <c r="E1060" s="7" t="n">
        <v>63</v>
      </c>
      <c r="F1060" s="3" t="n">
        <f aca="false">COUNTIFS($B$2:$B$2705,B1060,$C$2:$C$2705,C1060)</f>
        <v>1</v>
      </c>
      <c r="G1060" s="3" t="n">
        <f aca="false">MIN(INT((MIN(B1060,2020)-1900)/10)+1,12)</f>
        <v>7</v>
      </c>
      <c r="H1060" s="3" t="n">
        <f aca="false">(MIN(B1060,2020)-1900-10*(G1060-1))/10</f>
        <v>0.6</v>
      </c>
      <c r="I1060" s="20" t="n">
        <f aca="false">EXP(LN(INDEX(Pop_Inputs!$B$2:$N$29,MATCH(C1060,Pop_Inputs!$A$2:$A$29,0),G1060))*(1-H1060)+LN(INDEX(Pop_Inputs!$B$2:$N$29,MATCH(C1060,Pop_Inputs!$A$2:$A$29,0),G1060+1))*H1060)</f>
        <v>918921.201503725</v>
      </c>
      <c r="J1060" s="20" t="n">
        <f aca="false">I1060/F1060</f>
        <v>918921.201503725</v>
      </c>
      <c r="K1060" s="21" t="n">
        <f aca="false">D1060/(D1060+E1060)</f>
        <v>0.60625</v>
      </c>
      <c r="L1060" s="21" t="n">
        <f aca="false">AVERAGEIFS($K$2:$K$2705,$B$2:$B$2705,B1060)</f>
        <v>0.499918350308099</v>
      </c>
      <c r="M1060" s="21" t="n">
        <f aca="false">K1060-L1060</f>
        <v>0.106331649691901</v>
      </c>
      <c r="N1060" s="21" t="n">
        <f aca="false">LN(J1060)</f>
        <v>13.7309556539225</v>
      </c>
      <c r="O1060" s="21" t="n">
        <f aca="false">AVERAGEIFS($N$2:$N$2705,$B$2:$B$2705,B1060)</f>
        <v>13.8338035311055</v>
      </c>
      <c r="P1060" s="21" t="n">
        <f aca="false">N1060-O1060</f>
        <v>-0.102847877183066</v>
      </c>
      <c r="Q1060" s="7" t="n">
        <v>0</v>
      </c>
      <c r="R1060" s="3" t="n">
        <f aca="false">IF(AND(Q1060=1,B1060-_xlfn.MINIFS($B$2:$B$2705,$A$2:$A$2705,A1060)&lt;10),1,0)</f>
        <v>0</v>
      </c>
      <c r="S1060" s="7" t="n">
        <v>0</v>
      </c>
      <c r="T1060" s="3" t="n">
        <f aca="false">_xlfn.MINIFS($B$2:$B$2705,$A$2:$A$2705,A1060)</f>
        <v>1901</v>
      </c>
      <c r="U1060" s="3" t="n">
        <f aca="false">B1060-T1060</f>
        <v>65</v>
      </c>
      <c r="V1060" s="3" t="str">
        <f aca="false">INDEX(Pop_Inputs!$Q$2:$Q$29,MATCH(C1060,Pop_Inputs!$A$2:$A$29,0))</f>
        <v>South</v>
      </c>
      <c r="W1060" s="30"/>
      <c r="X1060" s="3" t="str">
        <f aca="false">IF(W1060="","",LN(W1060))</f>
        <v/>
      </c>
      <c r="Y1060" s="3" t="str">
        <f aca="false">IF(X1060="","",X1060-AVERAGEIFS($X$2:$X$2705,$B$2:$B$2705,B1060))</f>
        <v/>
      </c>
      <c r="Z1060" s="21" t="n">
        <f aca="false">P1060</f>
        <v>-0.102847877183066</v>
      </c>
      <c r="AA1060" s="3" t="n">
        <f aca="false">R1060</f>
        <v>0</v>
      </c>
      <c r="AB1060" s="21" t="n">
        <f aca="false">P1060</f>
        <v>-0.102847877183066</v>
      </c>
      <c r="AC1060" s="3" t="str">
        <f aca="false">Y1060</f>
        <v/>
      </c>
      <c r="AD1060" s="3" t="n">
        <f aca="false">R1060</f>
        <v>0</v>
      </c>
    </row>
    <row r="1061" customFormat="false" ht="15" hidden="false" customHeight="true" outlineLevel="0" collapsed="false">
      <c r="A1061" s="7" t="s">
        <v>64</v>
      </c>
      <c r="B1061" s="7" t="n">
        <v>1966</v>
      </c>
      <c r="C1061" s="7" t="s">
        <v>150</v>
      </c>
      <c r="D1061" s="7" t="n">
        <v>72</v>
      </c>
      <c r="E1061" s="7" t="n">
        <v>90</v>
      </c>
      <c r="F1061" s="3" t="n">
        <f aca="false">COUNTIFS($B$2:$B$2705,B1061,$C$2:$C$2705,C1061)</f>
        <v>1</v>
      </c>
      <c r="G1061" s="3" t="n">
        <f aca="false">MIN(INT((MIN(B1061,2020)-1900)/10)+1,12)</f>
        <v>7</v>
      </c>
      <c r="H1061" s="3" t="n">
        <f aca="false">(MIN(B1061,2020)-1900-10*(G1061-1))/10</f>
        <v>0.6</v>
      </c>
      <c r="I1061" s="20" t="n">
        <f aca="false">EXP(LN(INDEX(Pop_Inputs!$B$2:$N$29,MATCH(C1061,Pop_Inputs!$A$2:$A$29,0),G1061))*(1-H1061)+LN(INDEX(Pop_Inputs!$B$2:$N$29,MATCH(C1061,Pop_Inputs!$A$2:$A$29,0),G1061+1))*H1061)</f>
        <v>662957.796903951</v>
      </c>
      <c r="J1061" s="20" t="n">
        <f aca="false">I1061/F1061</f>
        <v>662957.796903951</v>
      </c>
      <c r="K1061" s="21" t="n">
        <f aca="false">D1061/(D1061+E1061)</f>
        <v>0.444444444444444</v>
      </c>
      <c r="L1061" s="21" t="n">
        <f aca="false">AVERAGEIFS($K$2:$K$2705,$B$2:$B$2705,B1061)</f>
        <v>0.499918350308099</v>
      </c>
      <c r="M1061" s="21" t="n">
        <f aca="false">K1061-L1061</f>
        <v>-0.055473905863655</v>
      </c>
      <c r="N1061" s="21" t="n">
        <f aca="false">LN(J1061)</f>
        <v>13.4044666123968</v>
      </c>
      <c r="O1061" s="21" t="n">
        <f aca="false">AVERAGEIFS($N$2:$N$2705,$B$2:$B$2705,B1061)</f>
        <v>13.8338035311055</v>
      </c>
      <c r="P1061" s="21" t="n">
        <f aca="false">N1061-O1061</f>
        <v>-0.429336918708762</v>
      </c>
      <c r="Q1061" s="7" t="n">
        <v>0</v>
      </c>
      <c r="R1061" s="3" t="n">
        <f aca="false">IF(AND(Q1061=1,B1061-_xlfn.MINIFS($B$2:$B$2705,$A$2:$A$2705,A1061)&lt;10),1,0)</f>
        <v>0</v>
      </c>
      <c r="S1061" s="7" t="n">
        <v>0</v>
      </c>
      <c r="T1061" s="3" t="n">
        <f aca="false">_xlfn.MINIFS($B$2:$B$2705,$A$2:$A$2705,A1061)</f>
        <v>1901</v>
      </c>
      <c r="U1061" s="3" t="n">
        <f aca="false">B1061-T1061</f>
        <v>65</v>
      </c>
      <c r="V1061" s="3" t="str">
        <f aca="false">INDEX(Pop_Inputs!$Q$2:$Q$29,MATCH(C1061,Pop_Inputs!$A$2:$A$29,0))</f>
        <v>Northeast</v>
      </c>
      <c r="W1061" s="30"/>
      <c r="X1061" s="3" t="str">
        <f aca="false">IF(W1061="","",LN(W1061))</f>
        <v/>
      </c>
      <c r="Y1061" s="3" t="str">
        <f aca="false">IF(X1061="","",X1061-AVERAGEIFS($X$2:$X$2705,$B$2:$B$2705,B1061))</f>
        <v/>
      </c>
      <c r="Z1061" s="21" t="n">
        <f aca="false">P1061</f>
        <v>-0.429336918708762</v>
      </c>
      <c r="AA1061" s="3" t="n">
        <f aca="false">R1061</f>
        <v>0</v>
      </c>
      <c r="AB1061" s="21" t="n">
        <f aca="false">P1061</f>
        <v>-0.429336918708762</v>
      </c>
      <c r="AC1061" s="3" t="str">
        <f aca="false">Y1061</f>
        <v/>
      </c>
      <c r="AD1061" s="3" t="n">
        <f aca="false">R1061</f>
        <v>0</v>
      </c>
    </row>
    <row r="1062" customFormat="false" ht="15" hidden="false" customHeight="true" outlineLevel="0" collapsed="false">
      <c r="A1062" s="7" t="s">
        <v>56</v>
      </c>
      <c r="B1062" s="7" t="n">
        <v>1966</v>
      </c>
      <c r="C1062" s="7" t="s">
        <v>142</v>
      </c>
      <c r="D1062" s="7" t="n">
        <v>59</v>
      </c>
      <c r="E1062" s="7" t="n">
        <v>103</v>
      </c>
      <c r="F1062" s="3" t="n">
        <f aca="false">COUNTIFS($B$2:$B$2705,B1062,$C$2:$C$2705,C1062)</f>
        <v>2</v>
      </c>
      <c r="G1062" s="3" t="n">
        <f aca="false">MIN(INT((MIN(B1062,2020)-1900)/10)+1,12)</f>
        <v>7</v>
      </c>
      <c r="H1062" s="3" t="n">
        <f aca="false">(MIN(B1062,2020)-1900-10*(G1062-1))/10</f>
        <v>0.6</v>
      </c>
      <c r="I1062" s="20" t="n">
        <f aca="false">EXP(LN(INDEX(Pop_Inputs!$B$2:$N$29,MATCH(C1062,Pop_Inputs!$A$2:$A$29,0),G1062))*(1-H1062)+LN(INDEX(Pop_Inputs!$B$2:$N$29,MATCH(C1062,Pop_Inputs!$A$2:$A$29,0),G1062+1))*H1062)</f>
        <v>3439170.06252197</v>
      </c>
      <c r="J1062" s="20" t="n">
        <f aca="false">I1062/F1062</f>
        <v>1719585.03126099</v>
      </c>
      <c r="K1062" s="21" t="n">
        <f aca="false">D1062/(D1062+E1062)</f>
        <v>0.364197530864198</v>
      </c>
      <c r="L1062" s="21" t="n">
        <f aca="false">AVERAGEIFS($K$2:$K$2705,$B$2:$B$2705,B1062)</f>
        <v>0.499918350308099</v>
      </c>
      <c r="M1062" s="21" t="n">
        <f aca="false">K1062-L1062</f>
        <v>-0.135720819443902</v>
      </c>
      <c r="N1062" s="21" t="n">
        <f aca="false">LN(J1062)</f>
        <v>14.3575935587868</v>
      </c>
      <c r="O1062" s="21" t="n">
        <f aca="false">AVERAGEIFS($N$2:$N$2705,$B$2:$B$2705,B1062)</f>
        <v>13.8338035311055</v>
      </c>
      <c r="P1062" s="21" t="n">
        <f aca="false">N1062-O1062</f>
        <v>0.52379002768123</v>
      </c>
      <c r="Q1062" s="7" t="n">
        <v>0</v>
      </c>
      <c r="R1062" s="3" t="n">
        <f aca="false">IF(AND(Q1062=1,B1062-_xlfn.MINIFS($B$2:$B$2705,$A$2:$A$2705,A1062)&lt;10),1,0)</f>
        <v>0</v>
      </c>
      <c r="S1062" s="7" t="n">
        <v>0</v>
      </c>
      <c r="T1062" s="3" t="n">
        <f aca="false">_xlfn.MINIFS($B$2:$B$2705,$A$2:$A$2705,A1062)</f>
        <v>1901</v>
      </c>
      <c r="U1062" s="3" t="n">
        <f aca="false">B1062-T1062</f>
        <v>65</v>
      </c>
      <c r="V1062" s="3" t="str">
        <f aca="false">INDEX(Pop_Inputs!$Q$2:$Q$29,MATCH(C1062,Pop_Inputs!$A$2:$A$29,0))</f>
        <v>Midwest</v>
      </c>
      <c r="W1062" s="30"/>
      <c r="X1062" s="3" t="str">
        <f aca="false">IF(W1062="","",LN(W1062))</f>
        <v/>
      </c>
      <c r="Y1062" s="3" t="str">
        <f aca="false">IF(X1062="","",X1062-AVERAGEIFS($X$2:$X$2705,$B$2:$B$2705,B1062))</f>
        <v/>
      </c>
      <c r="Z1062" s="21" t="n">
        <f aca="false">P1062</f>
        <v>0.52379002768123</v>
      </c>
      <c r="AA1062" s="3" t="n">
        <f aca="false">R1062</f>
        <v>0</v>
      </c>
      <c r="AB1062" s="21" t="n">
        <f aca="false">P1062</f>
        <v>0.52379002768123</v>
      </c>
      <c r="AC1062" s="3" t="str">
        <f aca="false">Y1062</f>
        <v/>
      </c>
      <c r="AD1062" s="3" t="n">
        <f aca="false">R1062</f>
        <v>0</v>
      </c>
    </row>
    <row r="1063" customFormat="false" ht="15" hidden="false" customHeight="true" outlineLevel="0" collapsed="false">
      <c r="A1063" s="7" t="s">
        <v>65</v>
      </c>
      <c r="B1063" s="7" t="n">
        <v>1966</v>
      </c>
      <c r="C1063" s="7" t="s">
        <v>142</v>
      </c>
      <c r="D1063" s="7" t="n">
        <v>83</v>
      </c>
      <c r="E1063" s="7" t="n">
        <v>79</v>
      </c>
      <c r="F1063" s="3" t="n">
        <f aca="false">COUNTIFS($B$2:$B$2705,B1063,$C$2:$C$2705,C1063)</f>
        <v>2</v>
      </c>
      <c r="G1063" s="3" t="n">
        <f aca="false">MIN(INT((MIN(B1063,2020)-1900)/10)+1,12)</f>
        <v>7</v>
      </c>
      <c r="H1063" s="3" t="n">
        <f aca="false">(MIN(B1063,2020)-1900-10*(G1063-1))/10</f>
        <v>0.6</v>
      </c>
      <c r="I1063" s="20" t="n">
        <f aca="false">EXP(LN(INDEX(Pop_Inputs!$B$2:$N$29,MATCH(C1063,Pop_Inputs!$A$2:$A$29,0),G1063))*(1-H1063)+LN(INDEX(Pop_Inputs!$B$2:$N$29,MATCH(C1063,Pop_Inputs!$A$2:$A$29,0),G1063+1))*H1063)</f>
        <v>3439170.06252197</v>
      </c>
      <c r="J1063" s="20" t="n">
        <f aca="false">I1063/F1063</f>
        <v>1719585.03126099</v>
      </c>
      <c r="K1063" s="21" t="n">
        <f aca="false">D1063/(D1063+E1063)</f>
        <v>0.512345679012346</v>
      </c>
      <c r="L1063" s="21" t="n">
        <f aca="false">AVERAGEIFS($K$2:$K$2705,$B$2:$B$2705,B1063)</f>
        <v>0.499918350308099</v>
      </c>
      <c r="M1063" s="21" t="n">
        <f aca="false">K1063-L1063</f>
        <v>0.0124273287042463</v>
      </c>
      <c r="N1063" s="21" t="n">
        <f aca="false">LN(J1063)</f>
        <v>14.3575935587868</v>
      </c>
      <c r="O1063" s="21" t="n">
        <f aca="false">AVERAGEIFS($N$2:$N$2705,$B$2:$B$2705,B1063)</f>
        <v>13.8338035311055</v>
      </c>
      <c r="P1063" s="21" t="n">
        <f aca="false">N1063-O1063</f>
        <v>0.52379002768123</v>
      </c>
      <c r="Q1063" s="7" t="n">
        <v>0</v>
      </c>
      <c r="R1063" s="3" t="n">
        <f aca="false">IF(AND(Q1063=1,B1063-_xlfn.MINIFS($B$2:$B$2705,$A$2:$A$2705,A1063)&lt;10),1,0)</f>
        <v>0</v>
      </c>
      <c r="S1063" s="7" t="n">
        <v>0</v>
      </c>
      <c r="T1063" s="3" t="n">
        <f aca="false">_xlfn.MINIFS($B$2:$B$2705,$A$2:$A$2705,A1063)</f>
        <v>1901</v>
      </c>
      <c r="U1063" s="3" t="n">
        <f aca="false">B1063-T1063</f>
        <v>65</v>
      </c>
      <c r="V1063" s="3" t="str">
        <f aca="false">INDEX(Pop_Inputs!$Q$2:$Q$29,MATCH(C1063,Pop_Inputs!$A$2:$A$29,0))</f>
        <v>Midwest</v>
      </c>
      <c r="W1063" s="30"/>
      <c r="X1063" s="3" t="str">
        <f aca="false">IF(W1063="","",LN(W1063))</f>
        <v/>
      </c>
      <c r="Y1063" s="3" t="str">
        <f aca="false">IF(X1063="","",X1063-AVERAGEIFS($X$2:$X$2705,$B$2:$B$2705,B1063))</f>
        <v/>
      </c>
      <c r="Z1063" s="21" t="n">
        <f aca="false">P1063</f>
        <v>0.52379002768123</v>
      </c>
      <c r="AA1063" s="3" t="n">
        <f aca="false">R1063</f>
        <v>0</v>
      </c>
      <c r="AB1063" s="21" t="n">
        <f aca="false">P1063</f>
        <v>0.52379002768123</v>
      </c>
      <c r="AC1063" s="3" t="str">
        <f aca="false">Y1063</f>
        <v/>
      </c>
      <c r="AD1063" s="3" t="n">
        <f aca="false">R1063</f>
        <v>0</v>
      </c>
    </row>
    <row r="1064" customFormat="false" ht="15" hidden="false" customHeight="true" outlineLevel="0" collapsed="false">
      <c r="A1064" s="7" t="s">
        <v>57</v>
      </c>
      <c r="B1064" s="7" t="n">
        <v>1966</v>
      </c>
      <c r="C1064" s="7" t="s">
        <v>143</v>
      </c>
      <c r="D1064" s="7" t="n">
        <v>76</v>
      </c>
      <c r="E1064" s="7" t="n">
        <v>84</v>
      </c>
      <c r="F1064" s="3" t="n">
        <f aca="false">COUNTIFS($B$2:$B$2705,B1064,$C$2:$C$2705,C1064)</f>
        <v>1</v>
      </c>
      <c r="G1064" s="3" t="n">
        <f aca="false">MIN(INT((MIN(B1064,2020)-1900)/10)+1,12)</f>
        <v>7</v>
      </c>
      <c r="H1064" s="3" t="n">
        <f aca="false">(MIN(B1064,2020)-1900-10*(G1064-1))/10</f>
        <v>0.6</v>
      </c>
      <c r="I1064" s="20" t="n">
        <f aca="false">EXP(LN(INDEX(Pop_Inputs!$B$2:$N$29,MATCH(C1064,Pop_Inputs!$A$2:$A$29,0),G1064))*(1-H1064)+LN(INDEX(Pop_Inputs!$B$2:$N$29,MATCH(C1064,Pop_Inputs!$A$2:$A$29,0),G1064+1))*H1064)</f>
        <v>471907.910240747</v>
      </c>
      <c r="J1064" s="20" t="n">
        <f aca="false">I1064/F1064</f>
        <v>471907.910240747</v>
      </c>
      <c r="K1064" s="21" t="n">
        <f aca="false">D1064/(D1064+E1064)</f>
        <v>0.475</v>
      </c>
      <c r="L1064" s="21" t="n">
        <f aca="false">AVERAGEIFS($K$2:$K$2705,$B$2:$B$2705,B1064)</f>
        <v>0.499918350308099</v>
      </c>
      <c r="M1064" s="21" t="n">
        <f aca="false">K1064-L1064</f>
        <v>-0.0249183503080994</v>
      </c>
      <c r="N1064" s="21" t="n">
        <f aca="false">LN(J1064)</f>
        <v>13.06453914011</v>
      </c>
      <c r="O1064" s="21" t="n">
        <f aca="false">AVERAGEIFS($N$2:$N$2705,$B$2:$B$2705,B1064)</f>
        <v>13.8338035311055</v>
      </c>
      <c r="P1064" s="21" t="n">
        <f aca="false">N1064-O1064</f>
        <v>-0.769264390995533</v>
      </c>
      <c r="Q1064" s="7" t="n">
        <v>0</v>
      </c>
      <c r="R1064" s="3" t="n">
        <f aca="false">IF(AND(Q1064=1,B1064-_xlfn.MINIFS($B$2:$B$2705,$A$2:$A$2705,A1064)&lt;10),1,0)</f>
        <v>0</v>
      </c>
      <c r="S1064" s="7" t="n">
        <v>0</v>
      </c>
      <c r="T1064" s="3" t="n">
        <f aca="false">_xlfn.MINIFS($B$2:$B$2705,$A$2:$A$2705,A1064)</f>
        <v>1901</v>
      </c>
      <c r="U1064" s="3" t="n">
        <f aca="false">B1064-T1064</f>
        <v>65</v>
      </c>
      <c r="V1064" s="3" t="str">
        <f aca="false">INDEX(Pop_Inputs!$Q$2:$Q$29,MATCH(C1064,Pop_Inputs!$A$2:$A$29,0))</f>
        <v>Midwest</v>
      </c>
      <c r="W1064" s="30"/>
      <c r="X1064" s="3" t="str">
        <f aca="false">IF(W1064="","",LN(W1064))</f>
        <v/>
      </c>
      <c r="Y1064" s="3" t="str">
        <f aca="false">IF(X1064="","",X1064-AVERAGEIFS($X$2:$X$2705,$B$2:$B$2705,B1064))</f>
        <v/>
      </c>
      <c r="Z1064" s="21" t="n">
        <f aca="false">P1064</f>
        <v>-0.769264390995533</v>
      </c>
      <c r="AA1064" s="3" t="n">
        <f aca="false">R1064</f>
        <v>0</v>
      </c>
      <c r="AB1064" s="21" t="n">
        <f aca="false">P1064</f>
        <v>-0.769264390995533</v>
      </c>
      <c r="AC1064" s="3" t="str">
        <f aca="false">Y1064</f>
        <v/>
      </c>
      <c r="AD1064" s="3" t="n">
        <f aca="false">R1064</f>
        <v>0</v>
      </c>
    </row>
    <row r="1065" customFormat="false" ht="15" hidden="false" customHeight="true" outlineLevel="0" collapsed="false">
      <c r="A1065" s="7" t="s">
        <v>66</v>
      </c>
      <c r="B1065" s="7" t="n">
        <v>1966</v>
      </c>
      <c r="C1065" s="7" t="s">
        <v>151</v>
      </c>
      <c r="D1065" s="7" t="n">
        <v>81</v>
      </c>
      <c r="E1065" s="7" t="n">
        <v>81</v>
      </c>
      <c r="F1065" s="3" t="n">
        <f aca="false">COUNTIFS($B$2:$B$2705,B1065,$C$2:$C$2705,C1065)</f>
        <v>1</v>
      </c>
      <c r="G1065" s="3" t="n">
        <f aca="false">MIN(INT((MIN(B1065,2020)-1900)/10)+1,12)</f>
        <v>7</v>
      </c>
      <c r="H1065" s="3" t="n">
        <f aca="false">(MIN(B1065,2020)-1900-10*(G1065-1))/10</f>
        <v>0.6</v>
      </c>
      <c r="I1065" s="20" t="n">
        <f aca="false">EXP(LN(INDEX(Pop_Inputs!$B$2:$N$29,MATCH(C1065,Pop_Inputs!$A$2:$A$29,0),G1065))*(1-H1065)+LN(INDEX(Pop_Inputs!$B$2:$N$29,MATCH(C1065,Pop_Inputs!$A$2:$A$29,0),G1065+1))*H1065)</f>
        <v>798659.866518706</v>
      </c>
      <c r="J1065" s="20" t="n">
        <f aca="false">I1065/F1065</f>
        <v>798659.866518706</v>
      </c>
      <c r="K1065" s="21" t="n">
        <f aca="false">D1065/(D1065+E1065)</f>
        <v>0.5</v>
      </c>
      <c r="L1065" s="21" t="n">
        <f aca="false">AVERAGEIFS($K$2:$K$2705,$B$2:$B$2705,B1065)</f>
        <v>0.499918350308099</v>
      </c>
      <c r="M1065" s="21" t="n">
        <f aca="false">K1065-L1065</f>
        <v>8.16496919006093E-005</v>
      </c>
      <c r="N1065" s="21" t="n">
        <f aca="false">LN(J1065)</f>
        <v>13.5906904351375</v>
      </c>
      <c r="O1065" s="21" t="n">
        <f aca="false">AVERAGEIFS($N$2:$N$2705,$B$2:$B$2705,B1065)</f>
        <v>13.8338035311055</v>
      </c>
      <c r="P1065" s="21" t="n">
        <f aca="false">N1065-O1065</f>
        <v>-0.243113095967997</v>
      </c>
      <c r="Q1065" s="7" t="n">
        <v>0</v>
      </c>
      <c r="R1065" s="3" t="n">
        <f aca="false">IF(AND(Q1065=1,B1065-_xlfn.MINIFS($B$2:$B$2705,$A$2:$A$2705,A1065)&lt;10),1,0)</f>
        <v>0</v>
      </c>
      <c r="S1065" s="7" t="n">
        <v>0</v>
      </c>
      <c r="T1065" s="3" t="n">
        <f aca="false">_xlfn.MINIFS($B$2:$B$2705,$A$2:$A$2705,A1065)</f>
        <v>1901</v>
      </c>
      <c r="U1065" s="3" t="n">
        <f aca="false">B1065-T1065</f>
        <v>65</v>
      </c>
      <c r="V1065" s="3" t="str">
        <f aca="false">INDEX(Pop_Inputs!$Q$2:$Q$29,MATCH(C1065,Pop_Inputs!$A$2:$A$29,0))</f>
        <v>Midwest</v>
      </c>
      <c r="W1065" s="30"/>
      <c r="X1065" s="3" t="str">
        <f aca="false">IF(W1065="","",LN(W1065))</f>
        <v/>
      </c>
      <c r="Y1065" s="3" t="str">
        <f aca="false">IF(X1065="","",X1065-AVERAGEIFS($X$2:$X$2705,$B$2:$B$2705,B1065))</f>
        <v/>
      </c>
      <c r="Z1065" s="21" t="n">
        <f aca="false">P1065</f>
        <v>-0.243113095967997</v>
      </c>
      <c r="AA1065" s="3" t="n">
        <f aca="false">R1065</f>
        <v>0</v>
      </c>
      <c r="AB1065" s="21" t="n">
        <f aca="false">P1065</f>
        <v>-0.243113095967997</v>
      </c>
      <c r="AC1065" s="3" t="str">
        <f aca="false">Y1065</f>
        <v/>
      </c>
      <c r="AD1065" s="3" t="n">
        <f aca="false">R1065</f>
        <v>0</v>
      </c>
    </row>
    <row r="1066" customFormat="false" ht="15" hidden="false" customHeight="true" outlineLevel="0" collapsed="false">
      <c r="A1066" s="7" t="s">
        <v>67</v>
      </c>
      <c r="B1066" s="7" t="n">
        <v>1966</v>
      </c>
      <c r="C1066" s="7" t="s">
        <v>152</v>
      </c>
      <c r="D1066" s="7" t="n">
        <v>88</v>
      </c>
      <c r="E1066" s="7" t="n">
        <v>74</v>
      </c>
      <c r="F1066" s="3" t="n">
        <f aca="false">COUNTIFS($B$2:$B$2705,B1066,$C$2:$C$2705,C1066)</f>
        <v>1</v>
      </c>
      <c r="G1066" s="3" t="n">
        <f aca="false">MIN(INT((MIN(B1066,2020)-1900)/10)+1,12)</f>
        <v>7</v>
      </c>
      <c r="H1066" s="3" t="n">
        <f aca="false">(MIN(B1066,2020)-1900-10*(G1066-1))/10</f>
        <v>0.6</v>
      </c>
      <c r="I1066" s="20" t="n">
        <f aca="false">EXP(LN(INDEX(Pop_Inputs!$B$2:$N$29,MATCH(C1066,Pop_Inputs!$A$2:$A$29,0),G1066))*(1-H1066)+LN(INDEX(Pop_Inputs!$B$2:$N$29,MATCH(C1066,Pop_Inputs!$A$2:$A$29,0),G1066+1))*H1066)</f>
        <v>1573052.99826131</v>
      </c>
      <c r="J1066" s="20" t="n">
        <f aca="false">I1066/F1066</f>
        <v>1573052.99826131</v>
      </c>
      <c r="K1066" s="21" t="n">
        <f aca="false">D1066/(D1066+E1066)</f>
        <v>0.54320987654321</v>
      </c>
      <c r="L1066" s="21" t="n">
        <f aca="false">AVERAGEIFS($K$2:$K$2705,$B$2:$B$2705,B1066)</f>
        <v>0.499918350308099</v>
      </c>
      <c r="M1066" s="21" t="n">
        <f aca="false">K1066-L1066</f>
        <v>0.0432915262351105</v>
      </c>
      <c r="N1066" s="21" t="n">
        <f aca="false">LN(J1066)</f>
        <v>14.2685288739467</v>
      </c>
      <c r="O1066" s="21" t="n">
        <f aca="false">AVERAGEIFS($N$2:$N$2705,$B$2:$B$2705,B1066)</f>
        <v>13.8338035311055</v>
      </c>
      <c r="P1066" s="21" t="n">
        <f aca="false">N1066-O1066</f>
        <v>0.43472534284111</v>
      </c>
      <c r="Q1066" s="7" t="n">
        <v>0</v>
      </c>
      <c r="R1066" s="3" t="n">
        <f aca="false">IF(AND(Q1066=1,B1066-_xlfn.MINIFS($B$2:$B$2705,$A$2:$A$2705,A1066)&lt;10),1,0)</f>
        <v>0</v>
      </c>
      <c r="S1066" s="7" t="n">
        <v>0</v>
      </c>
      <c r="T1066" s="3" t="n">
        <f aca="false">_xlfn.MINIFS($B$2:$B$2705,$A$2:$A$2705,A1066)</f>
        <v>1901</v>
      </c>
      <c r="U1066" s="3" t="n">
        <f aca="false">B1066-T1066</f>
        <v>65</v>
      </c>
      <c r="V1066" s="3" t="str">
        <f aca="false">INDEX(Pop_Inputs!$Q$2:$Q$29,MATCH(C1066,Pop_Inputs!$A$2:$A$29,0))</f>
        <v>Midwest</v>
      </c>
      <c r="W1066" s="30"/>
      <c r="X1066" s="3" t="str">
        <f aca="false">IF(W1066="","",LN(W1066))</f>
        <v/>
      </c>
      <c r="Y1066" s="3" t="str">
        <f aca="false">IF(X1066="","",X1066-AVERAGEIFS($X$2:$X$2705,$B$2:$B$2705,B1066))</f>
        <v/>
      </c>
      <c r="Z1066" s="21" t="n">
        <f aca="false">P1066</f>
        <v>0.43472534284111</v>
      </c>
      <c r="AA1066" s="3" t="n">
        <f aca="false">R1066</f>
        <v>0</v>
      </c>
      <c r="AB1066" s="21" t="n">
        <f aca="false">P1066</f>
        <v>0.43472534284111</v>
      </c>
      <c r="AC1066" s="3" t="str">
        <f aca="false">Y1066</f>
        <v/>
      </c>
      <c r="AD1066" s="3" t="n">
        <f aca="false">R1066</f>
        <v>0</v>
      </c>
    </row>
    <row r="1067" customFormat="false" ht="15" hidden="false" customHeight="true" outlineLevel="0" collapsed="false">
      <c r="A1067" s="7" t="s">
        <v>74</v>
      </c>
      <c r="B1067" s="7" t="n">
        <v>1966</v>
      </c>
      <c r="C1067" s="7" t="s">
        <v>156</v>
      </c>
      <c r="D1067" s="7" t="n">
        <v>72</v>
      </c>
      <c r="E1067" s="7" t="n">
        <v>90</v>
      </c>
      <c r="F1067" s="3" t="n">
        <f aca="false">COUNTIFS($B$2:$B$2705,B1067,$C$2:$C$2705,C1067)</f>
        <v>1</v>
      </c>
      <c r="G1067" s="3" t="n">
        <f aca="false">MIN(INT((MIN(B1067,2020)-1900)/10)+1,12)</f>
        <v>7</v>
      </c>
      <c r="H1067" s="3" t="n">
        <f aca="false">(MIN(B1067,2020)-1900-10*(G1067-1))/10</f>
        <v>0.6</v>
      </c>
      <c r="I1067" s="20" t="n">
        <f aca="false">EXP(LN(INDEX(Pop_Inputs!$B$2:$N$29,MATCH(C1067,Pop_Inputs!$A$2:$A$29,0),G1067))*(1-H1067)+LN(INDEX(Pop_Inputs!$B$2:$N$29,MATCH(C1067,Pop_Inputs!$A$2:$A$29,0),G1067+1))*H1067)</f>
        <v>1105242.78272363</v>
      </c>
      <c r="J1067" s="20" t="n">
        <f aca="false">I1067/F1067</f>
        <v>1105242.78272363</v>
      </c>
      <c r="K1067" s="21" t="n">
        <f aca="false">D1067/(D1067+E1067)</f>
        <v>0.444444444444444</v>
      </c>
      <c r="L1067" s="21" t="n">
        <f aca="false">AVERAGEIFS($K$2:$K$2705,$B$2:$B$2705,B1067)</f>
        <v>0.499918350308099</v>
      </c>
      <c r="M1067" s="21" t="n">
        <f aca="false">K1067-L1067</f>
        <v>-0.055473905863655</v>
      </c>
      <c r="N1067" s="21" t="n">
        <f aca="false">LN(J1067)</f>
        <v>13.9155755816727</v>
      </c>
      <c r="O1067" s="21" t="n">
        <f aca="false">AVERAGEIFS($N$2:$N$2705,$B$2:$B$2705,B1067)</f>
        <v>13.8338035311055</v>
      </c>
      <c r="P1067" s="21" t="n">
        <f aca="false">N1067-O1067</f>
        <v>0.0817720505671762</v>
      </c>
      <c r="Q1067" s="7" t="n">
        <v>1</v>
      </c>
      <c r="R1067" s="3" t="n">
        <f aca="false">IF(AND(Q1067=1,B1067-_xlfn.MINIFS($B$2:$B$2705,$A$2:$A$2705,A1067)&lt;10),1,0)</f>
        <v>1</v>
      </c>
      <c r="S1067" s="7" t="n">
        <v>0</v>
      </c>
      <c r="T1067" s="3" t="n">
        <f aca="false">_xlfn.MINIFS($B$2:$B$2705,$A$2:$A$2705,A1067)</f>
        <v>1962</v>
      </c>
      <c r="U1067" s="3" t="n">
        <f aca="false">B1067-T1067</f>
        <v>4</v>
      </c>
      <c r="V1067" s="3" t="str">
        <f aca="false">INDEX(Pop_Inputs!$Q$2:$Q$29,MATCH(C1067,Pop_Inputs!$A$2:$A$29,0))</f>
        <v>South</v>
      </c>
      <c r="W1067" s="30"/>
      <c r="X1067" s="3" t="str">
        <f aca="false">IF(W1067="","",LN(W1067))</f>
        <v/>
      </c>
      <c r="Y1067" s="3" t="str">
        <f aca="false">IF(X1067="","",X1067-AVERAGEIFS($X$2:$X$2705,$B$2:$B$2705,B1067))</f>
        <v/>
      </c>
      <c r="Z1067" s="21" t="n">
        <f aca="false">P1067</f>
        <v>0.0817720505671762</v>
      </c>
      <c r="AA1067" s="3" t="n">
        <f aca="false">R1067</f>
        <v>1</v>
      </c>
      <c r="AB1067" s="21" t="n">
        <f aca="false">P1067</f>
        <v>0.0817720505671762</v>
      </c>
      <c r="AC1067" s="3" t="str">
        <f aca="false">Y1067</f>
        <v/>
      </c>
      <c r="AD1067" s="3" t="n">
        <f aca="false">R1067</f>
        <v>1</v>
      </c>
    </row>
    <row r="1068" customFormat="false" ht="15" hidden="false" customHeight="true" outlineLevel="0" collapsed="false">
      <c r="A1068" s="7" t="s">
        <v>62</v>
      </c>
      <c r="B1068" s="7" t="n">
        <v>1966</v>
      </c>
      <c r="C1068" s="7" t="s">
        <v>148</v>
      </c>
      <c r="D1068" s="7" t="n">
        <v>95</v>
      </c>
      <c r="E1068" s="7" t="n">
        <v>67</v>
      </c>
      <c r="F1068" s="3" t="n">
        <f aca="false">COUNTIFS($B$2:$B$2705,B1068,$C$2:$C$2705,C1068)</f>
        <v>2</v>
      </c>
      <c r="G1068" s="3" t="n">
        <f aca="false">MIN(INT((MIN(B1068,2020)-1900)/10)+1,12)</f>
        <v>7</v>
      </c>
      <c r="H1068" s="3" t="n">
        <f aca="false">(MIN(B1068,2020)-1900-10*(G1068-1))/10</f>
        <v>0.6</v>
      </c>
      <c r="I1068" s="20" t="n">
        <f aca="false">EXP(LN(INDEX(Pop_Inputs!$B$2:$N$29,MATCH(C1068,Pop_Inputs!$A$2:$A$29,0),G1068))*(1-H1068)+LN(INDEX(Pop_Inputs!$B$2:$N$29,MATCH(C1068,Pop_Inputs!$A$2:$A$29,0),G1068+1))*H1068)</f>
        <v>2676066.47072409</v>
      </c>
      <c r="J1068" s="20" t="n">
        <f aca="false">I1068/F1068</f>
        <v>1338033.23536204</v>
      </c>
      <c r="K1068" s="21" t="n">
        <f aca="false">D1068/(D1068+E1068)</f>
        <v>0.58641975308642</v>
      </c>
      <c r="L1068" s="21" t="n">
        <f aca="false">AVERAGEIFS($K$2:$K$2705,$B$2:$B$2705,B1068)</f>
        <v>0.499918350308099</v>
      </c>
      <c r="M1068" s="21" t="n">
        <f aca="false">K1068-L1068</f>
        <v>0.0865014027783204</v>
      </c>
      <c r="N1068" s="21" t="n">
        <f aca="false">LN(J1068)</f>
        <v>14.1067113589448</v>
      </c>
      <c r="O1068" s="21" t="n">
        <f aca="false">AVERAGEIFS($N$2:$N$2705,$B$2:$B$2705,B1068)</f>
        <v>13.8338035311055</v>
      </c>
      <c r="P1068" s="21" t="n">
        <f aca="false">N1068-O1068</f>
        <v>0.272907827839266</v>
      </c>
      <c r="Q1068" s="7" t="n">
        <v>0</v>
      </c>
      <c r="R1068" s="3" t="n">
        <f aca="false">IF(AND(Q1068=1,B1068-_xlfn.MINIFS($B$2:$B$2705,$A$2:$A$2705,A1068)&lt;10),1,0)</f>
        <v>0</v>
      </c>
      <c r="S1068" s="7" t="n">
        <v>0</v>
      </c>
      <c r="T1068" s="3" t="n">
        <f aca="false">_xlfn.MINIFS($B$2:$B$2705,$A$2:$A$2705,A1068)</f>
        <v>1901</v>
      </c>
      <c r="U1068" s="3" t="n">
        <f aca="false">B1068-T1068</f>
        <v>65</v>
      </c>
      <c r="V1068" s="3" t="str">
        <f aca="false">INDEX(Pop_Inputs!$Q$2:$Q$29,MATCH(C1068,Pop_Inputs!$A$2:$A$29,0))</f>
        <v>West</v>
      </c>
      <c r="W1068" s="30"/>
      <c r="X1068" s="3" t="str">
        <f aca="false">IF(W1068="","",LN(W1068))</f>
        <v/>
      </c>
      <c r="Y1068" s="3" t="str">
        <f aca="false">IF(X1068="","",X1068-AVERAGEIFS($X$2:$X$2705,$B$2:$B$2705,B1068))</f>
        <v/>
      </c>
      <c r="Z1068" s="21" t="n">
        <f aca="false">P1068</f>
        <v>0.272907827839266</v>
      </c>
      <c r="AA1068" s="3" t="n">
        <f aca="false">R1068</f>
        <v>0</v>
      </c>
      <c r="AB1068" s="21" t="n">
        <f aca="false">P1068</f>
        <v>0.272907827839266</v>
      </c>
      <c r="AC1068" s="3" t="str">
        <f aca="false">Y1068</f>
        <v/>
      </c>
      <c r="AD1068" s="3" t="n">
        <f aca="false">R1068</f>
        <v>0</v>
      </c>
    </row>
    <row r="1069" customFormat="false" ht="15" hidden="false" customHeight="true" outlineLevel="0" collapsed="false">
      <c r="A1069" s="7" t="s">
        <v>68</v>
      </c>
      <c r="B1069" s="7" t="n">
        <v>1966</v>
      </c>
      <c r="C1069" s="7" t="s">
        <v>153</v>
      </c>
      <c r="D1069" s="7" t="n">
        <v>89</v>
      </c>
      <c r="E1069" s="7" t="n">
        <v>73</v>
      </c>
      <c r="F1069" s="3" t="n">
        <f aca="false">COUNTIFS($B$2:$B$2705,B1069,$C$2:$C$2705,C1069)</f>
        <v>1</v>
      </c>
      <c r="G1069" s="3" t="n">
        <f aca="false">MIN(INT((MIN(B1069,2020)-1900)/10)+1,12)</f>
        <v>7</v>
      </c>
      <c r="H1069" s="3" t="n">
        <f aca="false">(MIN(B1069,2020)-1900-10*(G1069-1))/10</f>
        <v>0.6</v>
      </c>
      <c r="I1069" s="20" t="n">
        <f aca="false">EXP(LN(INDEX(Pop_Inputs!$B$2:$N$29,MATCH(C1069,Pop_Inputs!$A$2:$A$29,0),G1069))*(1-H1069)+LN(INDEX(Pop_Inputs!$B$2:$N$29,MATCH(C1069,Pop_Inputs!$A$2:$A$29,0),G1069+1))*H1069)</f>
        <v>453175.788568018</v>
      </c>
      <c r="J1069" s="20" t="n">
        <f aca="false">I1069/F1069</f>
        <v>453175.788568018</v>
      </c>
      <c r="K1069" s="21" t="n">
        <f aca="false">D1069/(D1069+E1069)</f>
        <v>0.549382716049383</v>
      </c>
      <c r="L1069" s="21" t="n">
        <f aca="false">AVERAGEIFS($K$2:$K$2705,$B$2:$B$2705,B1069)</f>
        <v>0.499918350308099</v>
      </c>
      <c r="M1069" s="21" t="n">
        <f aca="false">K1069-L1069</f>
        <v>0.0494643657412833</v>
      </c>
      <c r="N1069" s="21" t="n">
        <f aca="false">LN(J1069)</f>
        <v>13.0240353834256</v>
      </c>
      <c r="O1069" s="21" t="n">
        <f aca="false">AVERAGEIFS($N$2:$N$2705,$B$2:$B$2705,B1069)</f>
        <v>13.8338035311055</v>
      </c>
      <c r="P1069" s="21" t="n">
        <f aca="false">N1069-O1069</f>
        <v>-0.809768147679906</v>
      </c>
      <c r="Q1069" s="7" t="n">
        <v>0</v>
      </c>
      <c r="R1069" s="3" t="n">
        <f aca="false">IF(AND(Q1069=1,B1069-_xlfn.MINIFS($B$2:$B$2705,$A$2:$A$2705,A1069)&lt;10),1,0)</f>
        <v>0</v>
      </c>
      <c r="S1069" s="7" t="n">
        <v>0</v>
      </c>
      <c r="T1069" s="3" t="n">
        <f aca="false">_xlfn.MINIFS($B$2:$B$2705,$A$2:$A$2705,A1069)</f>
        <v>1901</v>
      </c>
      <c r="U1069" s="3" t="n">
        <f aca="false">B1069-T1069</f>
        <v>65</v>
      </c>
      <c r="V1069" s="3" t="str">
        <f aca="false">INDEX(Pop_Inputs!$Q$2:$Q$29,MATCH(C1069,Pop_Inputs!$A$2:$A$29,0))</f>
        <v>Midwest</v>
      </c>
      <c r="W1069" s="30"/>
      <c r="X1069" s="3" t="str">
        <f aca="false">IF(W1069="","",LN(W1069))</f>
        <v/>
      </c>
      <c r="Y1069" s="3" t="str">
        <f aca="false">IF(X1069="","",X1069-AVERAGEIFS($X$2:$X$2705,$B$2:$B$2705,B1069))</f>
        <v/>
      </c>
      <c r="Z1069" s="21" t="n">
        <f aca="false">P1069</f>
        <v>-0.809768147679906</v>
      </c>
      <c r="AA1069" s="3" t="n">
        <f aca="false">R1069</f>
        <v>0</v>
      </c>
      <c r="AB1069" s="21" t="n">
        <f aca="false">P1069</f>
        <v>-0.809768147679906</v>
      </c>
      <c r="AC1069" s="3" t="str">
        <f aca="false">Y1069</f>
        <v/>
      </c>
      <c r="AD1069" s="3" t="n">
        <f aca="false">R1069</f>
        <v>0</v>
      </c>
    </row>
    <row r="1070" customFormat="false" ht="15" hidden="false" customHeight="true" outlineLevel="0" collapsed="false">
      <c r="A1070" s="7" t="s">
        <v>75</v>
      </c>
      <c r="B1070" s="7" t="n">
        <v>1966</v>
      </c>
      <c r="C1070" s="7" t="s">
        <v>154</v>
      </c>
      <c r="D1070" s="7" t="n">
        <v>66</v>
      </c>
      <c r="E1070" s="7" t="n">
        <v>95</v>
      </c>
      <c r="F1070" s="3" t="n">
        <f aca="false">COUNTIFS($B$2:$B$2705,B1070,$C$2:$C$2705,C1070)</f>
        <v>2</v>
      </c>
      <c r="G1070" s="3" t="n">
        <f aca="false">MIN(INT((MIN(B1070,2020)-1900)/10)+1,12)</f>
        <v>7</v>
      </c>
      <c r="H1070" s="3" t="n">
        <f aca="false">(MIN(B1070,2020)-1900-10*(G1070-1))/10</f>
        <v>0.6</v>
      </c>
      <c r="I1070" s="20" t="n">
        <f aca="false">EXP(LN(INDEX(Pop_Inputs!$B$2:$N$29,MATCH(C1070,Pop_Inputs!$A$2:$A$29,0),G1070))*(1-H1070)+LN(INDEX(Pop_Inputs!$B$2:$N$29,MATCH(C1070,Pop_Inputs!$A$2:$A$29,0),G1070+1))*H1070)</f>
        <v>7849515.64248085</v>
      </c>
      <c r="J1070" s="20" t="n">
        <f aca="false">I1070/F1070</f>
        <v>3924757.82124043</v>
      </c>
      <c r="K1070" s="21" t="n">
        <f aca="false">D1070/(D1070+E1070)</f>
        <v>0.409937888198758</v>
      </c>
      <c r="L1070" s="21" t="n">
        <f aca="false">AVERAGEIFS($K$2:$K$2705,$B$2:$B$2705,B1070)</f>
        <v>0.499918350308099</v>
      </c>
      <c r="M1070" s="21" t="n">
        <f aca="false">K1070-L1070</f>
        <v>-0.0899804621093416</v>
      </c>
      <c r="N1070" s="21" t="n">
        <f aca="false">LN(J1070)</f>
        <v>15.1828152057002</v>
      </c>
      <c r="O1070" s="21" t="n">
        <f aca="false">AVERAGEIFS($N$2:$N$2705,$B$2:$B$2705,B1070)</f>
        <v>13.8338035311055</v>
      </c>
      <c r="P1070" s="21" t="n">
        <f aca="false">N1070-O1070</f>
        <v>1.34901167459469</v>
      </c>
      <c r="Q1070" s="7" t="n">
        <v>1</v>
      </c>
      <c r="R1070" s="3" t="n">
        <f aca="false">IF(AND(Q1070=1,B1070-_xlfn.MINIFS($B$2:$B$2705,$A$2:$A$2705,A1070)&lt;10),1,0)</f>
        <v>1</v>
      </c>
      <c r="S1070" s="7" t="n">
        <v>0</v>
      </c>
      <c r="T1070" s="3" t="n">
        <f aca="false">_xlfn.MINIFS($B$2:$B$2705,$A$2:$A$2705,A1070)</f>
        <v>1962</v>
      </c>
      <c r="U1070" s="3" t="n">
        <f aca="false">B1070-T1070</f>
        <v>4</v>
      </c>
      <c r="V1070" s="3" t="str">
        <f aca="false">INDEX(Pop_Inputs!$Q$2:$Q$29,MATCH(C1070,Pop_Inputs!$A$2:$A$29,0))</f>
        <v>Northeast</v>
      </c>
      <c r="W1070" s="30"/>
      <c r="X1070" s="3" t="str">
        <f aca="false">IF(W1070="","",LN(W1070))</f>
        <v/>
      </c>
      <c r="Y1070" s="3" t="str">
        <f aca="false">IF(X1070="","",X1070-AVERAGEIFS($X$2:$X$2705,$B$2:$B$2705,B1070))</f>
        <v/>
      </c>
      <c r="Z1070" s="21" t="n">
        <f aca="false">P1070</f>
        <v>1.34901167459469</v>
      </c>
      <c r="AA1070" s="3" t="n">
        <f aca="false">R1070</f>
        <v>1</v>
      </c>
      <c r="AB1070" s="21" t="n">
        <f aca="false">P1070</f>
        <v>1.34901167459469</v>
      </c>
      <c r="AC1070" s="3" t="str">
        <f aca="false">Y1070</f>
        <v/>
      </c>
      <c r="AD1070" s="3" t="n">
        <f aca="false">R1070</f>
        <v>1</v>
      </c>
    </row>
    <row r="1071" customFormat="false" ht="15" hidden="false" customHeight="true" outlineLevel="0" collapsed="false">
      <c r="A1071" s="7" t="s">
        <v>70</v>
      </c>
      <c r="B1071" s="7" t="n">
        <v>1966</v>
      </c>
      <c r="C1071" s="7" t="s">
        <v>154</v>
      </c>
      <c r="D1071" s="7" t="n">
        <v>70</v>
      </c>
      <c r="E1071" s="7" t="n">
        <v>89</v>
      </c>
      <c r="F1071" s="3" t="n">
        <f aca="false">COUNTIFS($B$2:$B$2705,B1071,$C$2:$C$2705,C1071)</f>
        <v>2</v>
      </c>
      <c r="G1071" s="3" t="n">
        <f aca="false">MIN(INT((MIN(B1071,2020)-1900)/10)+1,12)</f>
        <v>7</v>
      </c>
      <c r="H1071" s="3" t="n">
        <f aca="false">(MIN(B1071,2020)-1900-10*(G1071-1))/10</f>
        <v>0.6</v>
      </c>
      <c r="I1071" s="20" t="n">
        <f aca="false">EXP(LN(INDEX(Pop_Inputs!$B$2:$N$29,MATCH(C1071,Pop_Inputs!$A$2:$A$29,0),G1071))*(1-H1071)+LN(INDEX(Pop_Inputs!$B$2:$N$29,MATCH(C1071,Pop_Inputs!$A$2:$A$29,0),G1071+1))*H1071)</f>
        <v>7849515.64248085</v>
      </c>
      <c r="J1071" s="20" t="n">
        <f aca="false">I1071/F1071</f>
        <v>3924757.82124043</v>
      </c>
      <c r="K1071" s="21" t="n">
        <f aca="false">D1071/(D1071+E1071)</f>
        <v>0.440251572327044</v>
      </c>
      <c r="L1071" s="21" t="n">
        <f aca="false">AVERAGEIFS($K$2:$K$2705,$B$2:$B$2705,B1071)</f>
        <v>0.499918350308099</v>
      </c>
      <c r="M1071" s="21" t="n">
        <f aca="false">K1071-L1071</f>
        <v>-0.0596667779810554</v>
      </c>
      <c r="N1071" s="21" t="n">
        <f aca="false">LN(J1071)</f>
        <v>15.1828152057002</v>
      </c>
      <c r="O1071" s="21" t="n">
        <f aca="false">AVERAGEIFS($N$2:$N$2705,$B$2:$B$2705,B1071)</f>
        <v>13.8338035311055</v>
      </c>
      <c r="P1071" s="21" t="n">
        <f aca="false">N1071-O1071</f>
        <v>1.34901167459469</v>
      </c>
      <c r="Q1071" s="7" t="n">
        <v>0</v>
      </c>
      <c r="R1071" s="3" t="n">
        <f aca="false">IF(AND(Q1071=1,B1071-_xlfn.MINIFS($B$2:$B$2705,$A$2:$A$2705,A1071)&lt;10),1,0)</f>
        <v>0</v>
      </c>
      <c r="S1071" s="7" t="n">
        <v>1</v>
      </c>
      <c r="T1071" s="3" t="n">
        <f aca="false">_xlfn.MINIFS($B$2:$B$2705,$A$2:$A$2705,A1071)</f>
        <v>1903</v>
      </c>
      <c r="U1071" s="3" t="n">
        <f aca="false">B1071-T1071</f>
        <v>63</v>
      </c>
      <c r="V1071" s="3" t="str">
        <f aca="false">INDEX(Pop_Inputs!$Q$2:$Q$29,MATCH(C1071,Pop_Inputs!$A$2:$A$29,0))</f>
        <v>Northeast</v>
      </c>
      <c r="W1071" s="30"/>
      <c r="X1071" s="3" t="str">
        <f aca="false">IF(W1071="","",LN(W1071))</f>
        <v/>
      </c>
      <c r="Y1071" s="3" t="str">
        <f aca="false">IF(X1071="","",X1071-AVERAGEIFS($X$2:$X$2705,$B$2:$B$2705,B1071))</f>
        <v/>
      </c>
      <c r="Z1071" s="21" t="n">
        <f aca="false">P1071</f>
        <v>1.34901167459469</v>
      </c>
      <c r="AA1071" s="3" t="n">
        <f aca="false">R1071</f>
        <v>0</v>
      </c>
      <c r="AB1071" s="21" t="n">
        <f aca="false">P1071</f>
        <v>1.34901167459469</v>
      </c>
      <c r="AC1071" s="3" t="str">
        <f aca="false">Y1071</f>
        <v/>
      </c>
      <c r="AD1071" s="3" t="n">
        <f aca="false">R1071</f>
        <v>0</v>
      </c>
    </row>
    <row r="1072" customFormat="false" ht="15" hidden="false" customHeight="true" outlineLevel="0" collapsed="false">
      <c r="A1072" s="7" t="s">
        <v>69</v>
      </c>
      <c r="B1072" s="7" t="n">
        <v>1966</v>
      </c>
      <c r="C1072" s="7" t="s">
        <v>157</v>
      </c>
      <c r="D1072" s="7" t="n">
        <v>74</v>
      </c>
      <c r="E1072" s="7" t="n">
        <v>86</v>
      </c>
      <c r="F1072" s="3" t="n">
        <f aca="false">COUNTIFS($B$2:$B$2705,B1072,$C$2:$C$2705,C1072)</f>
        <v>1</v>
      </c>
      <c r="G1072" s="3" t="n">
        <f aca="false">MIN(INT((MIN(B1072,2020)-1900)/10)+1,12)</f>
        <v>7</v>
      </c>
      <c r="H1072" s="3" t="n">
        <f aca="false">(MIN(B1072,2020)-1900-10*(G1072-1))/10</f>
        <v>0.6</v>
      </c>
      <c r="I1072" s="20" t="n">
        <f aca="false">EXP(LN(INDEX(Pop_Inputs!$B$2:$N$29,MATCH(C1072,Pop_Inputs!$A$2:$A$29,0),G1072))*(1-H1072)+LN(INDEX(Pop_Inputs!$B$2:$N$29,MATCH(C1072,Pop_Inputs!$A$2:$A$29,0),G1072+1))*H1072)</f>
        <v>494224.126131741</v>
      </c>
      <c r="J1072" s="20" t="n">
        <f aca="false">I1072/F1072</f>
        <v>494224.126131741</v>
      </c>
      <c r="K1072" s="21" t="n">
        <f aca="false">D1072/(D1072+E1072)</f>
        <v>0.4625</v>
      </c>
      <c r="L1072" s="21" t="n">
        <f aca="false">AVERAGEIFS($K$2:$K$2705,$B$2:$B$2705,B1072)</f>
        <v>0.499918350308099</v>
      </c>
      <c r="M1072" s="21" t="n">
        <f aca="false">K1072-L1072</f>
        <v>-0.0374183503080994</v>
      </c>
      <c r="N1072" s="21" t="n">
        <f aca="false">LN(J1072)</f>
        <v>13.1107443899038</v>
      </c>
      <c r="O1072" s="21" t="n">
        <f aca="false">AVERAGEIFS($N$2:$N$2705,$B$2:$B$2705,B1072)</f>
        <v>13.8338035311055</v>
      </c>
      <c r="P1072" s="21" t="n">
        <f aca="false">N1072-O1072</f>
        <v>-0.723059141201716</v>
      </c>
      <c r="Q1072" s="7" t="n">
        <v>0</v>
      </c>
      <c r="R1072" s="3" t="n">
        <f aca="false">IF(AND(Q1072=1,B1072-_xlfn.MINIFS($B$2:$B$2705,$A$2:$A$2705,A1072)&lt;10),1,0)</f>
        <v>0</v>
      </c>
      <c r="S1072" s="7" t="n">
        <v>0</v>
      </c>
      <c r="T1072" s="3" t="n">
        <f aca="false">_xlfn.MINIFS($B$2:$B$2705,$A$2:$A$2705,A1072)</f>
        <v>1901</v>
      </c>
      <c r="U1072" s="3" t="n">
        <f aca="false">B1072-T1072</f>
        <v>65</v>
      </c>
      <c r="V1072" s="3" t="str">
        <f aca="false">INDEX(Pop_Inputs!$Q$2:$Q$29,MATCH(C1072,Pop_Inputs!$A$2:$A$29,0))</f>
        <v>Midwest</v>
      </c>
      <c r="W1072" s="30"/>
      <c r="X1072" s="3" t="str">
        <f aca="false">IF(W1072="","",LN(W1072))</f>
        <v/>
      </c>
      <c r="Y1072" s="3" t="str">
        <f aca="false">IF(X1072="","",X1072-AVERAGEIFS($X$2:$X$2705,$B$2:$B$2705,B1072))</f>
        <v/>
      </c>
      <c r="Z1072" s="21" t="n">
        <f aca="false">P1072</f>
        <v>-0.723059141201716</v>
      </c>
      <c r="AA1072" s="3" t="n">
        <f aca="false">R1072</f>
        <v>0</v>
      </c>
      <c r="AB1072" s="21" t="n">
        <f aca="false">P1072</f>
        <v>-0.723059141201716</v>
      </c>
      <c r="AC1072" s="3" t="str">
        <f aca="false">Y1072</f>
        <v/>
      </c>
      <c r="AD1072" s="3" t="n">
        <f aca="false">R1072</f>
        <v>0</v>
      </c>
    </row>
    <row r="1073" customFormat="false" ht="15" hidden="false" customHeight="true" outlineLevel="0" collapsed="false">
      <c r="A1073" s="7" t="s">
        <v>60</v>
      </c>
      <c r="B1073" s="7" t="n">
        <v>1966</v>
      </c>
      <c r="C1073" s="7" t="s">
        <v>146</v>
      </c>
      <c r="D1073" s="7" t="n">
        <v>87</v>
      </c>
      <c r="E1073" s="7" t="n">
        <v>75</v>
      </c>
      <c r="F1073" s="3" t="n">
        <f aca="false">COUNTIFS($B$2:$B$2705,B1073,$C$2:$C$2705,C1073)</f>
        <v>1</v>
      </c>
      <c r="G1073" s="3" t="n">
        <f aca="false">MIN(INT((MIN(B1073,2020)-1900)/10)+1,12)</f>
        <v>7</v>
      </c>
      <c r="H1073" s="3" t="n">
        <f aca="false">(MIN(B1073,2020)-1900-10*(G1073-1))/10</f>
        <v>0.6</v>
      </c>
      <c r="I1073" s="20" t="n">
        <f aca="false">EXP(LN(INDEX(Pop_Inputs!$B$2:$N$29,MATCH(C1073,Pop_Inputs!$A$2:$A$29,0),G1073))*(1-H1073)+LN(INDEX(Pop_Inputs!$B$2:$N$29,MATCH(C1073,Pop_Inputs!$A$2:$A$29,0),G1073+1))*H1073)</f>
        <v>1969993.86355854</v>
      </c>
      <c r="J1073" s="20" t="n">
        <f aca="false">I1073/F1073</f>
        <v>1969993.86355854</v>
      </c>
      <c r="K1073" s="21" t="n">
        <f aca="false">D1073/(D1073+E1073)</f>
        <v>0.537037037037037</v>
      </c>
      <c r="L1073" s="21" t="n">
        <f aca="false">AVERAGEIFS($K$2:$K$2705,$B$2:$B$2705,B1073)</f>
        <v>0.499918350308099</v>
      </c>
      <c r="M1073" s="21" t="n">
        <f aca="false">K1073-L1073</f>
        <v>0.0371186867289377</v>
      </c>
      <c r="N1073" s="21" t="n">
        <f aca="false">LN(J1073)</f>
        <v>14.4935409857644</v>
      </c>
      <c r="O1073" s="21" t="n">
        <f aca="false">AVERAGEIFS($N$2:$N$2705,$B$2:$B$2705,B1073)</f>
        <v>13.8338035311055</v>
      </c>
      <c r="P1073" s="21" t="n">
        <f aca="false">N1073-O1073</f>
        <v>0.659737454658876</v>
      </c>
      <c r="Q1073" s="7" t="n">
        <v>0</v>
      </c>
      <c r="R1073" s="3" t="n">
        <f aca="false">IF(AND(Q1073=1,B1073-_xlfn.MINIFS($B$2:$B$2705,$A$2:$A$2705,A1073)&lt;10),1,0)</f>
        <v>0</v>
      </c>
      <c r="S1073" s="7" t="n">
        <v>0</v>
      </c>
      <c r="T1073" s="3" t="n">
        <f aca="false">_xlfn.MINIFS($B$2:$B$2705,$A$2:$A$2705,A1073)</f>
        <v>1901</v>
      </c>
      <c r="U1073" s="3" t="n">
        <f aca="false">B1073-T1073</f>
        <v>65</v>
      </c>
      <c r="V1073" s="3" t="str">
        <f aca="false">INDEX(Pop_Inputs!$Q$2:$Q$29,MATCH(C1073,Pop_Inputs!$A$2:$A$29,0))</f>
        <v>Northeast</v>
      </c>
      <c r="W1073" s="30"/>
      <c r="X1073" s="3" t="str">
        <f aca="false">IF(W1073="","",LN(W1073))</f>
        <v/>
      </c>
      <c r="Y1073" s="3" t="str">
        <f aca="false">IF(X1073="","",X1073-AVERAGEIFS($X$2:$X$2705,$B$2:$B$2705,B1073))</f>
        <v/>
      </c>
      <c r="Z1073" s="21" t="n">
        <f aca="false">P1073</f>
        <v>0.659737454658876</v>
      </c>
      <c r="AA1073" s="3" t="n">
        <f aca="false">R1073</f>
        <v>0</v>
      </c>
      <c r="AB1073" s="21" t="n">
        <f aca="false">P1073</f>
        <v>0.659737454658876</v>
      </c>
      <c r="AC1073" s="3" t="str">
        <f aca="false">Y1073</f>
        <v/>
      </c>
      <c r="AD1073" s="3" t="n">
        <f aca="false">R1073</f>
        <v>0</v>
      </c>
    </row>
    <row r="1074" customFormat="false" ht="15" hidden="false" customHeight="true" outlineLevel="0" collapsed="false">
      <c r="A1074" s="7" t="s">
        <v>58</v>
      </c>
      <c r="B1074" s="7" t="n">
        <v>1966</v>
      </c>
      <c r="C1074" s="7" t="s">
        <v>144</v>
      </c>
      <c r="D1074" s="7" t="n">
        <v>92</v>
      </c>
      <c r="E1074" s="7" t="n">
        <v>70</v>
      </c>
      <c r="F1074" s="3" t="n">
        <f aca="false">COUNTIFS($B$2:$B$2705,B1074,$C$2:$C$2705,C1074)</f>
        <v>1</v>
      </c>
      <c r="G1074" s="3" t="n">
        <f aca="false">MIN(INT((MIN(B1074,2020)-1900)/10)+1,12)</f>
        <v>7</v>
      </c>
      <c r="H1074" s="3" t="n">
        <f aca="false">(MIN(B1074,2020)-1900-10*(G1074-1))/10</f>
        <v>0.6</v>
      </c>
      <c r="I1074" s="20" t="n">
        <f aca="false">EXP(LN(INDEX(Pop_Inputs!$B$2:$N$29,MATCH(C1074,Pop_Inputs!$A$2:$A$29,0),G1074))*(1-H1074)+LN(INDEX(Pop_Inputs!$B$2:$N$29,MATCH(C1074,Pop_Inputs!$A$2:$A$29,0),G1074+1))*H1074)</f>
        <v>552294.687546555</v>
      </c>
      <c r="J1074" s="20" t="n">
        <f aca="false">I1074/F1074</f>
        <v>552294.687546555</v>
      </c>
      <c r="K1074" s="21" t="n">
        <f aca="false">D1074/(D1074+E1074)</f>
        <v>0.567901234567901</v>
      </c>
      <c r="L1074" s="21" t="n">
        <f aca="false">AVERAGEIFS($K$2:$K$2705,$B$2:$B$2705,B1074)</f>
        <v>0.499918350308099</v>
      </c>
      <c r="M1074" s="21" t="n">
        <f aca="false">K1074-L1074</f>
        <v>0.0679828842598018</v>
      </c>
      <c r="N1074" s="21" t="n">
        <f aca="false">LN(J1074)</f>
        <v>13.2218370370608</v>
      </c>
      <c r="O1074" s="21" t="n">
        <f aca="false">AVERAGEIFS($N$2:$N$2705,$B$2:$B$2705,B1074)</f>
        <v>13.8338035311055</v>
      </c>
      <c r="P1074" s="21" t="n">
        <f aca="false">N1074-O1074</f>
        <v>-0.611966494044786</v>
      </c>
      <c r="Q1074" s="7" t="n">
        <v>0</v>
      </c>
      <c r="R1074" s="3" t="n">
        <f aca="false">IF(AND(Q1074=1,B1074-_xlfn.MINIFS($B$2:$B$2705,$A$2:$A$2705,A1074)&lt;10),1,0)</f>
        <v>0</v>
      </c>
      <c r="S1074" s="7" t="n">
        <v>0</v>
      </c>
      <c r="T1074" s="3" t="n">
        <f aca="false">_xlfn.MINIFS($B$2:$B$2705,$A$2:$A$2705,A1074)</f>
        <v>1901</v>
      </c>
      <c r="U1074" s="3" t="n">
        <f aca="false">B1074-T1074</f>
        <v>65</v>
      </c>
      <c r="V1074" s="3" t="str">
        <f aca="false">INDEX(Pop_Inputs!$Q$2:$Q$29,MATCH(C1074,Pop_Inputs!$A$2:$A$29,0))</f>
        <v>Northeast</v>
      </c>
      <c r="W1074" s="30"/>
      <c r="X1074" s="3" t="str">
        <f aca="false">IF(W1074="","",LN(W1074))</f>
        <v/>
      </c>
      <c r="Y1074" s="3" t="str">
        <f aca="false">IF(X1074="","",X1074-AVERAGEIFS($X$2:$X$2705,$B$2:$B$2705,B1074))</f>
        <v/>
      </c>
      <c r="Z1074" s="21" t="n">
        <f aca="false">P1074</f>
        <v>-0.611966494044786</v>
      </c>
      <c r="AA1074" s="3" t="n">
        <f aca="false">R1074</f>
        <v>0</v>
      </c>
      <c r="AB1074" s="21" t="n">
        <f aca="false">P1074</f>
        <v>-0.611966494044786</v>
      </c>
      <c r="AC1074" s="3" t="str">
        <f aca="false">Y1074</f>
        <v/>
      </c>
      <c r="AD1074" s="3" t="n">
        <f aca="false">R1074</f>
        <v>0</v>
      </c>
    </row>
    <row r="1075" customFormat="false" ht="15" hidden="false" customHeight="true" outlineLevel="0" collapsed="false">
      <c r="A1075" s="7" t="s">
        <v>61</v>
      </c>
      <c r="B1075" s="7" t="n">
        <v>1966</v>
      </c>
      <c r="C1075" s="7" t="s">
        <v>147</v>
      </c>
      <c r="D1075" s="7" t="n">
        <v>93</v>
      </c>
      <c r="E1075" s="7" t="n">
        <v>68</v>
      </c>
      <c r="F1075" s="3" t="n">
        <f aca="false">COUNTIFS($B$2:$B$2705,B1075,$C$2:$C$2705,C1075)</f>
        <v>1</v>
      </c>
      <c r="G1075" s="3" t="n">
        <f aca="false">MIN(INT((MIN(B1075,2020)-1900)/10)+1,12)</f>
        <v>7</v>
      </c>
      <c r="H1075" s="3" t="n">
        <f aca="false">(MIN(B1075,2020)-1900-10*(G1075-1))/10</f>
        <v>0.6</v>
      </c>
      <c r="I1075" s="20" t="n">
        <f aca="false">EXP(LN(INDEX(Pop_Inputs!$B$2:$N$29,MATCH(C1075,Pop_Inputs!$A$2:$A$29,0),G1075))*(1-H1075)+LN(INDEX(Pop_Inputs!$B$2:$N$29,MATCH(C1075,Pop_Inputs!$A$2:$A$29,0),G1075+1))*H1075)</f>
        <v>725430.812447232</v>
      </c>
      <c r="J1075" s="20" t="n">
        <f aca="false">I1075/F1075</f>
        <v>725430.812447232</v>
      </c>
      <c r="K1075" s="21" t="n">
        <f aca="false">D1075/(D1075+E1075)</f>
        <v>0.577639751552795</v>
      </c>
      <c r="L1075" s="21" t="n">
        <f aca="false">AVERAGEIFS($K$2:$K$2705,$B$2:$B$2705,B1075)</f>
        <v>0.499918350308099</v>
      </c>
      <c r="M1075" s="21" t="n">
        <f aca="false">K1075-L1075</f>
        <v>0.0777214012446956</v>
      </c>
      <c r="N1075" s="21" t="n">
        <f aca="false">LN(J1075)</f>
        <v>13.4945209814207</v>
      </c>
      <c r="O1075" s="21" t="n">
        <f aca="false">AVERAGEIFS($N$2:$N$2705,$B$2:$B$2705,B1075)</f>
        <v>13.8338035311055</v>
      </c>
      <c r="P1075" s="21" t="n">
        <f aca="false">N1075-O1075</f>
        <v>-0.339282549684791</v>
      </c>
      <c r="Q1075" s="7" t="n">
        <v>0</v>
      </c>
      <c r="R1075" s="3" t="n">
        <f aca="false">IF(AND(Q1075=1,B1075-_xlfn.MINIFS($B$2:$B$2705,$A$2:$A$2705,A1075)&lt;10),1,0)</f>
        <v>0</v>
      </c>
      <c r="S1075" s="7" t="n">
        <v>0</v>
      </c>
      <c r="T1075" s="3" t="n">
        <f aca="false">_xlfn.MINIFS($B$2:$B$2705,$A$2:$A$2705,A1075)</f>
        <v>1901</v>
      </c>
      <c r="U1075" s="3" t="n">
        <f aca="false">B1075-T1075</f>
        <v>65</v>
      </c>
      <c r="V1075" s="3" t="str">
        <f aca="false">INDEX(Pop_Inputs!$Q$2:$Q$29,MATCH(C1075,Pop_Inputs!$A$2:$A$29,0))</f>
        <v>West</v>
      </c>
      <c r="W1075" s="30"/>
      <c r="X1075" s="3" t="str">
        <f aca="false">IF(W1075="","",LN(W1075))</f>
        <v/>
      </c>
      <c r="Y1075" s="3" t="str">
        <f aca="false">IF(X1075="","",X1075-AVERAGEIFS($X$2:$X$2705,$B$2:$B$2705,B1075))</f>
        <v/>
      </c>
      <c r="Z1075" s="21" t="n">
        <f aca="false">P1075</f>
        <v>-0.339282549684791</v>
      </c>
      <c r="AA1075" s="3" t="n">
        <f aca="false">R1075</f>
        <v>0</v>
      </c>
      <c r="AB1075" s="21" t="n">
        <f aca="false">P1075</f>
        <v>-0.339282549684791</v>
      </c>
      <c r="AC1075" s="3" t="str">
        <f aca="false">Y1075</f>
        <v/>
      </c>
      <c r="AD1075" s="3" t="n">
        <f aca="false">R1075</f>
        <v>0</v>
      </c>
    </row>
    <row r="1076" customFormat="false" ht="15" hidden="false" customHeight="true" outlineLevel="0" collapsed="false">
      <c r="A1076" s="7" t="s">
        <v>59</v>
      </c>
      <c r="B1076" s="7" t="n">
        <v>1966</v>
      </c>
      <c r="C1076" s="7" t="s">
        <v>145</v>
      </c>
      <c r="D1076" s="7" t="n">
        <v>83</v>
      </c>
      <c r="E1076" s="7" t="n">
        <v>79</v>
      </c>
      <c r="F1076" s="3" t="n">
        <f aca="false">COUNTIFS($B$2:$B$2705,B1076,$C$2:$C$2705,C1076)</f>
        <v>1</v>
      </c>
      <c r="G1076" s="3" t="n">
        <f aca="false">MIN(INT((MIN(B1076,2020)-1900)/10)+1,12)</f>
        <v>7</v>
      </c>
      <c r="H1076" s="3" t="n">
        <f aca="false">(MIN(B1076,2020)-1900-10*(G1076-1))/10</f>
        <v>0.6</v>
      </c>
      <c r="I1076" s="20" t="n">
        <f aca="false">EXP(LN(INDEX(Pop_Inputs!$B$2:$N$29,MATCH(C1076,Pop_Inputs!$A$2:$A$29,0),G1076))*(1-H1076)+LN(INDEX(Pop_Inputs!$B$2:$N$29,MATCH(C1076,Pop_Inputs!$A$2:$A$29,0),G1076+1))*H1076)</f>
        <v>670507.45031296</v>
      </c>
      <c r="J1076" s="20" t="n">
        <f aca="false">I1076/F1076</f>
        <v>670507.45031296</v>
      </c>
      <c r="K1076" s="21" t="n">
        <f aca="false">D1076/(D1076+E1076)</f>
        <v>0.512345679012346</v>
      </c>
      <c r="L1076" s="21" t="n">
        <f aca="false">AVERAGEIFS($K$2:$K$2705,$B$2:$B$2705,B1076)</f>
        <v>0.499918350308099</v>
      </c>
      <c r="M1076" s="21" t="n">
        <f aca="false">K1076-L1076</f>
        <v>0.0124273287042463</v>
      </c>
      <c r="N1076" s="21" t="n">
        <f aca="false">LN(J1076)</f>
        <v>13.41579009322</v>
      </c>
      <c r="O1076" s="21" t="n">
        <f aca="false">AVERAGEIFS($N$2:$N$2705,$B$2:$B$2705,B1076)</f>
        <v>13.8338035311055</v>
      </c>
      <c r="P1076" s="21" t="n">
        <f aca="false">N1076-O1076</f>
        <v>-0.418013437885536</v>
      </c>
      <c r="Q1076" s="7" t="n">
        <v>0</v>
      </c>
      <c r="R1076" s="3" t="n">
        <f aca="false">IF(AND(Q1076=1,B1076-_xlfn.MINIFS($B$2:$B$2705,$A$2:$A$2705,A1076)&lt;10),1,0)</f>
        <v>0</v>
      </c>
      <c r="S1076" s="7" t="n">
        <v>0</v>
      </c>
      <c r="T1076" s="3" t="n">
        <f aca="false">_xlfn.MINIFS($B$2:$B$2705,$A$2:$A$2705,A1076)</f>
        <v>1901</v>
      </c>
      <c r="U1076" s="3" t="n">
        <f aca="false">B1076-T1076</f>
        <v>65</v>
      </c>
      <c r="V1076" s="3" t="str">
        <f aca="false">INDEX(Pop_Inputs!$Q$2:$Q$29,MATCH(C1076,Pop_Inputs!$A$2:$A$29,0))</f>
        <v>Midwest</v>
      </c>
      <c r="W1076" s="30"/>
      <c r="X1076" s="3" t="str">
        <f aca="false">IF(W1076="","",LN(W1076))</f>
        <v/>
      </c>
      <c r="Y1076" s="3" t="str">
        <f aca="false">IF(X1076="","",X1076-AVERAGEIFS($X$2:$X$2705,$B$2:$B$2705,B1076))</f>
        <v/>
      </c>
      <c r="Z1076" s="21" t="n">
        <f aca="false">P1076</f>
        <v>-0.418013437885536</v>
      </c>
      <c r="AA1076" s="3" t="n">
        <f aca="false">R1076</f>
        <v>0</v>
      </c>
      <c r="AB1076" s="21" t="n">
        <f aca="false">P1076</f>
        <v>-0.418013437885536</v>
      </c>
      <c r="AC1076" s="3" t="str">
        <f aca="false">Y1076</f>
        <v/>
      </c>
      <c r="AD1076" s="3" t="n">
        <f aca="false">R1076</f>
        <v>0</v>
      </c>
    </row>
    <row r="1077" customFormat="false" ht="15" hidden="false" customHeight="true" outlineLevel="0" collapsed="false">
      <c r="A1077" s="7" t="s">
        <v>73</v>
      </c>
      <c r="B1077" s="7" t="n">
        <v>1966</v>
      </c>
      <c r="C1077" s="7" t="s">
        <v>160</v>
      </c>
      <c r="D1077" s="7" t="n">
        <v>71</v>
      </c>
      <c r="E1077" s="7" t="n">
        <v>88</v>
      </c>
      <c r="F1077" s="3" t="n">
        <f aca="false">COUNTIFS($B$2:$B$2705,B1077,$C$2:$C$2705,C1077)</f>
        <v>1</v>
      </c>
      <c r="G1077" s="3" t="n">
        <f aca="false">MIN(INT((MIN(B1077,2020)-1900)/10)+1,12)</f>
        <v>7</v>
      </c>
      <c r="H1077" s="3" t="n">
        <f aca="false">(MIN(B1077,2020)-1900-10*(G1077-1))/10</f>
        <v>0.6</v>
      </c>
      <c r="I1077" s="20" t="n">
        <f aca="false">EXP(LN(INDEX(Pop_Inputs!$B$2:$N$29,MATCH(C1077,Pop_Inputs!$A$2:$A$29,0),G1077))*(1-H1077)+LN(INDEX(Pop_Inputs!$B$2:$N$29,MATCH(C1077,Pop_Inputs!$A$2:$A$29,0),G1077+1))*H1077)</f>
        <v>759479.651342417</v>
      </c>
      <c r="J1077" s="20" t="n">
        <f aca="false">I1077/F1077</f>
        <v>759479.651342417</v>
      </c>
      <c r="K1077" s="21" t="n">
        <f aca="false">D1077/(D1077+E1077)</f>
        <v>0.446540880503145</v>
      </c>
      <c r="L1077" s="21" t="n">
        <f aca="false">AVERAGEIFS($K$2:$K$2705,$B$2:$B$2705,B1077)</f>
        <v>0.499918350308099</v>
      </c>
      <c r="M1077" s="21" t="n">
        <f aca="false">K1077-L1077</f>
        <v>-0.0533774698049547</v>
      </c>
      <c r="N1077" s="21" t="n">
        <f aca="false">LN(J1077)</f>
        <v>13.5403888084832</v>
      </c>
      <c r="O1077" s="21" t="n">
        <f aca="false">AVERAGEIFS($N$2:$N$2705,$B$2:$B$2705,B1077)</f>
        <v>13.8338035311055</v>
      </c>
      <c r="P1077" s="21" t="n">
        <f aca="false">N1077-O1077</f>
        <v>-0.293414722622375</v>
      </c>
      <c r="Q1077" s="7" t="n">
        <v>1</v>
      </c>
      <c r="R1077" s="3" t="n">
        <f aca="false">IF(AND(Q1077=1,B1077-_xlfn.MINIFS($B$2:$B$2705,$A$2:$A$2705,A1077)&lt;10),1,0)</f>
        <v>1</v>
      </c>
      <c r="S1077" s="7" t="n">
        <v>0</v>
      </c>
      <c r="T1077" s="3" t="n">
        <f aca="false">_xlfn.MINIFS($B$2:$B$2705,$A$2:$A$2705,A1077)</f>
        <v>1961</v>
      </c>
      <c r="U1077" s="3" t="n">
        <f aca="false">B1077-T1077</f>
        <v>5</v>
      </c>
      <c r="V1077" s="3" t="str">
        <f aca="false">INDEX(Pop_Inputs!$Q$2:$Q$29,MATCH(C1077,Pop_Inputs!$A$2:$A$29,0))</f>
        <v>South</v>
      </c>
      <c r="W1077" s="30"/>
      <c r="X1077" s="3" t="str">
        <f aca="false">IF(W1077="","",LN(W1077))</f>
        <v/>
      </c>
      <c r="Y1077" s="3" t="str">
        <f aca="false">IF(X1077="","",X1077-AVERAGEIFS($X$2:$X$2705,$B$2:$B$2705,B1077))</f>
        <v/>
      </c>
      <c r="Z1077" s="21" t="n">
        <f aca="false">P1077</f>
        <v>-0.293414722622375</v>
      </c>
      <c r="AA1077" s="3" t="n">
        <f aca="false">R1077</f>
        <v>1</v>
      </c>
      <c r="AB1077" s="21" t="n">
        <f aca="false">P1077</f>
        <v>-0.293414722622375</v>
      </c>
      <c r="AC1077" s="3" t="str">
        <f aca="false">Y1077</f>
        <v/>
      </c>
      <c r="AD1077" s="3" t="n">
        <f aca="false">R1077</f>
        <v>1</v>
      </c>
    </row>
    <row r="1078" customFormat="false" ht="15" hidden="false" customHeight="true" outlineLevel="0" collapsed="false">
      <c r="A1078" s="7" t="s">
        <v>71</v>
      </c>
      <c r="B1078" s="7" t="n">
        <v>1967</v>
      </c>
      <c r="C1078" s="7" t="s">
        <v>148</v>
      </c>
      <c r="D1078" s="7" t="n">
        <v>84</v>
      </c>
      <c r="E1078" s="7" t="n">
        <v>77</v>
      </c>
      <c r="F1078" s="3" t="n">
        <f aca="false">COUNTIFS($B$2:$B$2705,B1078,$C$2:$C$2705,C1078)</f>
        <v>2</v>
      </c>
      <c r="G1078" s="3" t="n">
        <f aca="false">MIN(INT((MIN(B1078,2020)-1900)/10)+1,12)</f>
        <v>7</v>
      </c>
      <c r="H1078" s="3" t="n">
        <f aca="false">(MIN(B1078,2020)-1900-10*(G1078-1))/10</f>
        <v>0.7</v>
      </c>
      <c r="I1078" s="20" t="n">
        <f aca="false">EXP(LN(INDEX(Pop_Inputs!$B$2:$N$29,MATCH(C1078,Pop_Inputs!$A$2:$A$29,0),G1078))*(1-H1078)+LN(INDEX(Pop_Inputs!$B$2:$N$29,MATCH(C1078,Pop_Inputs!$A$2:$A$29,0),G1078+1))*H1078)</f>
        <v>2710398.74150196</v>
      </c>
      <c r="J1078" s="20" t="n">
        <f aca="false">I1078/F1078</f>
        <v>1355199.37075098</v>
      </c>
      <c r="K1078" s="21" t="n">
        <f aca="false">D1078/(D1078+E1078)</f>
        <v>0.521739130434783</v>
      </c>
      <c r="L1078" s="21" t="n">
        <f aca="false">AVERAGEIFS($K$2:$K$2705,$B$2:$B$2705,B1078)</f>
        <v>0.500005751092708</v>
      </c>
      <c r="M1078" s="21" t="n">
        <f aca="false">K1078-L1078</f>
        <v>0.021733379342075</v>
      </c>
      <c r="N1078" s="21" t="n">
        <f aca="false">LN(J1078)</f>
        <v>14.1194591385579</v>
      </c>
      <c r="O1078" s="21" t="n">
        <f aca="false">AVERAGEIFS($N$2:$N$2705,$B$2:$B$2705,B1078)</f>
        <v>13.8314935099881</v>
      </c>
      <c r="P1078" s="21" t="n">
        <f aca="false">N1078-O1078</f>
        <v>0.287965628569804</v>
      </c>
      <c r="Q1078" s="7" t="n">
        <v>1</v>
      </c>
      <c r="R1078" s="3" t="n">
        <f aca="false">IF(AND(Q1078=1,B1078-_xlfn.MINIFS($B$2:$B$2705,$A$2:$A$2705,A1078)&lt;10),1,0)</f>
        <v>1</v>
      </c>
      <c r="S1078" s="7" t="n">
        <v>0</v>
      </c>
      <c r="T1078" s="3" t="n">
        <f aca="false">_xlfn.MINIFS($B$2:$B$2705,$A$2:$A$2705,A1078)</f>
        <v>1961</v>
      </c>
      <c r="U1078" s="3" t="n">
        <f aca="false">B1078-T1078</f>
        <v>6</v>
      </c>
      <c r="V1078" s="3" t="str">
        <f aca="false">INDEX(Pop_Inputs!$Q$2:$Q$29,MATCH(C1078,Pop_Inputs!$A$2:$A$29,0))</f>
        <v>West</v>
      </c>
      <c r="W1078" s="30"/>
      <c r="X1078" s="3" t="str">
        <f aca="false">IF(W1078="","",LN(W1078))</f>
        <v/>
      </c>
      <c r="Y1078" s="3" t="str">
        <f aca="false">IF(X1078="","",X1078-AVERAGEIFS($X$2:$X$2705,$B$2:$B$2705,B1078))</f>
        <v/>
      </c>
      <c r="Z1078" s="21" t="n">
        <f aca="false">P1078</f>
        <v>0.287965628569804</v>
      </c>
      <c r="AA1078" s="3" t="n">
        <f aca="false">R1078</f>
        <v>1</v>
      </c>
      <c r="AB1078" s="21" t="n">
        <f aca="false">P1078</f>
        <v>0.287965628569804</v>
      </c>
      <c r="AC1078" s="3" t="str">
        <f aca="false">Y1078</f>
        <v/>
      </c>
      <c r="AD1078" s="3" t="n">
        <f aca="false">R1078</f>
        <v>1</v>
      </c>
    </row>
    <row r="1079" customFormat="false" ht="15" hidden="false" customHeight="true" outlineLevel="0" collapsed="false">
      <c r="A1079" s="7" t="s">
        <v>54</v>
      </c>
      <c r="B1079" s="7" t="n">
        <v>1967</v>
      </c>
      <c r="C1079" s="7" t="s">
        <v>141</v>
      </c>
      <c r="D1079" s="7" t="n">
        <v>77</v>
      </c>
      <c r="E1079" s="7" t="n">
        <v>85</v>
      </c>
      <c r="F1079" s="3" t="n">
        <f aca="false">COUNTIFS($B$2:$B$2705,B1079,$C$2:$C$2705,C1079)</f>
        <v>1</v>
      </c>
      <c r="G1079" s="3" t="n">
        <f aca="false">MIN(INT((MIN(B1079,2020)-1900)/10)+1,12)</f>
        <v>7</v>
      </c>
      <c r="H1079" s="3" t="n">
        <f aca="false">(MIN(B1079,2020)-1900-10*(G1079-1))/10</f>
        <v>0.7</v>
      </c>
      <c r="I1079" s="20" t="n">
        <f aca="false">EXP(LN(INDEX(Pop_Inputs!$B$2:$N$29,MATCH(C1079,Pop_Inputs!$A$2:$A$29,0),G1079))*(1-H1079)+LN(INDEX(Pop_Inputs!$B$2:$N$29,MATCH(C1079,Pop_Inputs!$A$2:$A$29,0),G1079+1))*H1079)</f>
        <v>492751.493356714</v>
      </c>
      <c r="J1079" s="20" t="n">
        <f aca="false">I1079/F1079</f>
        <v>492751.493356714</v>
      </c>
      <c r="K1079" s="21" t="n">
        <f aca="false">D1079/(D1079+E1079)</f>
        <v>0.475308641975309</v>
      </c>
      <c r="L1079" s="21" t="n">
        <f aca="false">AVERAGEIFS($K$2:$K$2705,$B$2:$B$2705,B1079)</f>
        <v>0.500005751092708</v>
      </c>
      <c r="M1079" s="21" t="n">
        <f aca="false">K1079-L1079</f>
        <v>-0.024697109117399</v>
      </c>
      <c r="N1079" s="21" t="n">
        <f aca="false">LN(J1079)</f>
        <v>13.1077602556683</v>
      </c>
      <c r="O1079" s="21" t="n">
        <f aca="false">AVERAGEIFS($N$2:$N$2705,$B$2:$B$2705,B1079)</f>
        <v>13.8314935099881</v>
      </c>
      <c r="P1079" s="21" t="n">
        <f aca="false">N1079-O1079</f>
        <v>-0.723733254319788</v>
      </c>
      <c r="Q1079" s="7" t="n">
        <v>0</v>
      </c>
      <c r="R1079" s="3" t="n">
        <f aca="false">IF(AND(Q1079=1,B1079-_xlfn.MINIFS($B$2:$B$2705,$A$2:$A$2705,A1079)&lt;10),1,0)</f>
        <v>0</v>
      </c>
      <c r="S1079" s="7" t="n">
        <v>0</v>
      </c>
      <c r="T1079" s="3" t="n">
        <f aca="false">_xlfn.MINIFS($B$2:$B$2705,$A$2:$A$2705,A1079)</f>
        <v>1901</v>
      </c>
      <c r="U1079" s="3" t="n">
        <f aca="false">B1079-T1079</f>
        <v>66</v>
      </c>
      <c r="V1079" s="3" t="str">
        <f aca="false">INDEX(Pop_Inputs!$Q$2:$Q$29,MATCH(C1079,Pop_Inputs!$A$2:$A$29,0))</f>
        <v>South</v>
      </c>
      <c r="W1079" s="30"/>
      <c r="X1079" s="3" t="str">
        <f aca="false">IF(W1079="","",LN(W1079))</f>
        <v/>
      </c>
      <c r="Y1079" s="3" t="str">
        <f aca="false">IF(X1079="","",X1079-AVERAGEIFS($X$2:$X$2705,$B$2:$B$2705,B1079))</f>
        <v/>
      </c>
      <c r="Z1079" s="21" t="n">
        <f aca="false">P1079</f>
        <v>-0.723733254319788</v>
      </c>
      <c r="AA1079" s="3" t="n">
        <f aca="false">R1079</f>
        <v>0</v>
      </c>
      <c r="AB1079" s="21" t="n">
        <f aca="false">P1079</f>
        <v>-0.723733254319788</v>
      </c>
      <c r="AC1079" s="3" t="str">
        <f aca="false">Y1079</f>
        <v/>
      </c>
      <c r="AD1079" s="3" t="n">
        <f aca="false">R1079</f>
        <v>0</v>
      </c>
    </row>
    <row r="1080" customFormat="false" ht="15" hidden="false" customHeight="true" outlineLevel="0" collapsed="false">
      <c r="A1080" s="7" t="s">
        <v>63</v>
      </c>
      <c r="B1080" s="7" t="n">
        <v>1967</v>
      </c>
      <c r="C1080" s="7" t="s">
        <v>149</v>
      </c>
      <c r="D1080" s="7" t="n">
        <v>76</v>
      </c>
      <c r="E1080" s="7" t="n">
        <v>85</v>
      </c>
      <c r="F1080" s="3" t="n">
        <f aca="false">COUNTIFS($B$2:$B$2705,B1080,$C$2:$C$2705,C1080)</f>
        <v>1</v>
      </c>
      <c r="G1080" s="3" t="n">
        <f aca="false">MIN(INT((MIN(B1080,2020)-1900)/10)+1,12)</f>
        <v>7</v>
      </c>
      <c r="H1080" s="3" t="n">
        <f aca="false">(MIN(B1080,2020)-1900-10*(G1080-1))/10</f>
        <v>0.7</v>
      </c>
      <c r="I1080" s="20" t="n">
        <f aca="false">EXP(LN(INDEX(Pop_Inputs!$B$2:$N$29,MATCH(C1080,Pop_Inputs!$A$2:$A$29,0),G1080))*(1-H1080)+LN(INDEX(Pop_Inputs!$B$2:$N$29,MATCH(C1080,Pop_Inputs!$A$2:$A$29,0),G1080+1))*H1080)</f>
        <v>915612.827359703</v>
      </c>
      <c r="J1080" s="20" t="n">
        <f aca="false">I1080/F1080</f>
        <v>915612.827359703</v>
      </c>
      <c r="K1080" s="21" t="n">
        <f aca="false">D1080/(D1080+E1080)</f>
        <v>0.472049689440994</v>
      </c>
      <c r="L1080" s="21" t="n">
        <f aca="false">AVERAGEIFS($K$2:$K$2705,$B$2:$B$2705,B1080)</f>
        <v>0.500005751092708</v>
      </c>
      <c r="M1080" s="21" t="n">
        <f aca="false">K1080-L1080</f>
        <v>-0.0279560616517138</v>
      </c>
      <c r="N1080" s="21" t="n">
        <f aca="false">LN(J1080)</f>
        <v>13.727348876748</v>
      </c>
      <c r="O1080" s="21" t="n">
        <f aca="false">AVERAGEIFS($N$2:$N$2705,$B$2:$B$2705,B1080)</f>
        <v>13.8314935099881</v>
      </c>
      <c r="P1080" s="21" t="n">
        <f aca="false">N1080-O1080</f>
        <v>-0.104144633240109</v>
      </c>
      <c r="Q1080" s="7" t="n">
        <v>0</v>
      </c>
      <c r="R1080" s="3" t="n">
        <f aca="false">IF(AND(Q1080=1,B1080-_xlfn.MINIFS($B$2:$B$2705,$A$2:$A$2705,A1080)&lt;10),1,0)</f>
        <v>0</v>
      </c>
      <c r="S1080" s="7" t="n">
        <v>0</v>
      </c>
      <c r="T1080" s="3" t="n">
        <f aca="false">_xlfn.MINIFS($B$2:$B$2705,$A$2:$A$2705,A1080)</f>
        <v>1901</v>
      </c>
      <c r="U1080" s="3" t="n">
        <f aca="false">B1080-T1080</f>
        <v>66</v>
      </c>
      <c r="V1080" s="3" t="str">
        <f aca="false">INDEX(Pop_Inputs!$Q$2:$Q$29,MATCH(C1080,Pop_Inputs!$A$2:$A$29,0))</f>
        <v>South</v>
      </c>
      <c r="W1080" s="30"/>
      <c r="X1080" s="3" t="str">
        <f aca="false">IF(W1080="","",LN(W1080))</f>
        <v/>
      </c>
      <c r="Y1080" s="3" t="str">
        <f aca="false">IF(X1080="","",X1080-AVERAGEIFS($X$2:$X$2705,$B$2:$B$2705,B1080))</f>
        <v/>
      </c>
      <c r="Z1080" s="21" t="n">
        <f aca="false">P1080</f>
        <v>-0.104144633240109</v>
      </c>
      <c r="AA1080" s="3" t="n">
        <f aca="false">R1080</f>
        <v>0</v>
      </c>
      <c r="AB1080" s="21" t="n">
        <f aca="false">P1080</f>
        <v>-0.104144633240109</v>
      </c>
      <c r="AC1080" s="3" t="str">
        <f aca="false">Y1080</f>
        <v/>
      </c>
      <c r="AD1080" s="3" t="n">
        <f aca="false">R1080</f>
        <v>0</v>
      </c>
    </row>
    <row r="1081" customFormat="false" ht="15" hidden="false" customHeight="true" outlineLevel="0" collapsed="false">
      <c r="A1081" s="7" t="s">
        <v>64</v>
      </c>
      <c r="B1081" s="7" t="n">
        <v>1967</v>
      </c>
      <c r="C1081" s="7" t="s">
        <v>150</v>
      </c>
      <c r="D1081" s="7" t="n">
        <v>92</v>
      </c>
      <c r="E1081" s="7" t="n">
        <v>70</v>
      </c>
      <c r="F1081" s="3" t="n">
        <f aca="false">COUNTIFS($B$2:$B$2705,B1081,$C$2:$C$2705,C1081)</f>
        <v>1</v>
      </c>
      <c r="G1081" s="3" t="n">
        <f aca="false">MIN(INT((MIN(B1081,2020)-1900)/10)+1,12)</f>
        <v>7</v>
      </c>
      <c r="H1081" s="3" t="n">
        <f aca="false">(MIN(B1081,2020)-1900-10*(G1081-1))/10</f>
        <v>0.7</v>
      </c>
      <c r="I1081" s="20" t="n">
        <f aca="false">EXP(LN(INDEX(Pop_Inputs!$B$2:$N$29,MATCH(C1081,Pop_Inputs!$A$2:$A$29,0),G1081))*(1-H1081)+LN(INDEX(Pop_Inputs!$B$2:$N$29,MATCH(C1081,Pop_Inputs!$A$2:$A$29,0),G1081+1))*H1081)</f>
        <v>657417.022038745</v>
      </c>
      <c r="J1081" s="20" t="n">
        <f aca="false">I1081/F1081</f>
        <v>657417.022038745</v>
      </c>
      <c r="K1081" s="21" t="n">
        <f aca="false">D1081/(D1081+E1081)</f>
        <v>0.567901234567901</v>
      </c>
      <c r="L1081" s="21" t="n">
        <f aca="false">AVERAGEIFS($K$2:$K$2705,$B$2:$B$2705,B1081)</f>
        <v>0.500005751092708</v>
      </c>
      <c r="M1081" s="21" t="n">
        <f aca="false">K1081-L1081</f>
        <v>0.0678954834751936</v>
      </c>
      <c r="N1081" s="21" t="n">
        <f aca="false">LN(J1081)</f>
        <v>13.3960738328474</v>
      </c>
      <c r="O1081" s="21" t="n">
        <f aca="false">AVERAGEIFS($N$2:$N$2705,$B$2:$B$2705,B1081)</f>
        <v>13.8314935099881</v>
      </c>
      <c r="P1081" s="21" t="n">
        <f aca="false">N1081-O1081</f>
        <v>-0.435419677140684</v>
      </c>
      <c r="Q1081" s="7" t="n">
        <v>0</v>
      </c>
      <c r="R1081" s="3" t="n">
        <f aca="false">IF(AND(Q1081=1,B1081-_xlfn.MINIFS($B$2:$B$2705,$A$2:$A$2705,A1081)&lt;10),1,0)</f>
        <v>0</v>
      </c>
      <c r="S1081" s="7" t="n">
        <v>0</v>
      </c>
      <c r="T1081" s="3" t="n">
        <f aca="false">_xlfn.MINIFS($B$2:$B$2705,$A$2:$A$2705,A1081)</f>
        <v>1901</v>
      </c>
      <c r="U1081" s="3" t="n">
        <f aca="false">B1081-T1081</f>
        <v>66</v>
      </c>
      <c r="V1081" s="3" t="str">
        <f aca="false">INDEX(Pop_Inputs!$Q$2:$Q$29,MATCH(C1081,Pop_Inputs!$A$2:$A$29,0))</f>
        <v>Northeast</v>
      </c>
      <c r="W1081" s="30"/>
      <c r="X1081" s="3" t="str">
        <f aca="false">IF(W1081="","",LN(W1081))</f>
        <v/>
      </c>
      <c r="Y1081" s="3" t="str">
        <f aca="false">IF(X1081="","",X1081-AVERAGEIFS($X$2:$X$2705,$B$2:$B$2705,B1081))</f>
        <v/>
      </c>
      <c r="Z1081" s="21" t="n">
        <f aca="false">P1081</f>
        <v>-0.435419677140684</v>
      </c>
      <c r="AA1081" s="3" t="n">
        <f aca="false">R1081</f>
        <v>0</v>
      </c>
      <c r="AB1081" s="21" t="n">
        <f aca="false">P1081</f>
        <v>-0.435419677140684</v>
      </c>
      <c r="AC1081" s="3" t="str">
        <f aca="false">Y1081</f>
        <v/>
      </c>
      <c r="AD1081" s="3" t="n">
        <f aca="false">R1081</f>
        <v>0</v>
      </c>
    </row>
    <row r="1082" customFormat="false" ht="15" hidden="false" customHeight="true" outlineLevel="0" collapsed="false">
      <c r="A1082" s="7" t="s">
        <v>56</v>
      </c>
      <c r="B1082" s="7" t="n">
        <v>1967</v>
      </c>
      <c r="C1082" s="7" t="s">
        <v>142</v>
      </c>
      <c r="D1082" s="7" t="n">
        <v>87</v>
      </c>
      <c r="E1082" s="7" t="n">
        <v>74</v>
      </c>
      <c r="F1082" s="3" t="n">
        <f aca="false">COUNTIFS($B$2:$B$2705,B1082,$C$2:$C$2705,C1082)</f>
        <v>2</v>
      </c>
      <c r="G1082" s="3" t="n">
        <f aca="false">MIN(INT((MIN(B1082,2020)-1900)/10)+1,12)</f>
        <v>7</v>
      </c>
      <c r="H1082" s="3" t="n">
        <f aca="false">(MIN(B1082,2020)-1900-10*(G1082-1))/10</f>
        <v>0.7</v>
      </c>
      <c r="I1082" s="20" t="n">
        <f aca="false">EXP(LN(INDEX(Pop_Inputs!$B$2:$N$29,MATCH(C1082,Pop_Inputs!$A$2:$A$29,0),G1082))*(1-H1082)+LN(INDEX(Pop_Inputs!$B$2:$N$29,MATCH(C1082,Pop_Inputs!$A$2:$A$29,0),G1082+1))*H1082)</f>
        <v>3420972.87948862</v>
      </c>
      <c r="J1082" s="20" t="n">
        <f aca="false">I1082/F1082</f>
        <v>1710486.43974431</v>
      </c>
      <c r="K1082" s="21" t="n">
        <f aca="false">D1082/(D1082+E1082)</f>
        <v>0.540372670807453</v>
      </c>
      <c r="L1082" s="21" t="n">
        <f aca="false">AVERAGEIFS($K$2:$K$2705,$B$2:$B$2705,B1082)</f>
        <v>0.500005751092708</v>
      </c>
      <c r="M1082" s="21" t="n">
        <f aca="false">K1082-L1082</f>
        <v>0.0403669197147458</v>
      </c>
      <c r="N1082" s="21" t="n">
        <f aca="false">LN(J1082)</f>
        <v>14.3522883557123</v>
      </c>
      <c r="O1082" s="21" t="n">
        <f aca="false">AVERAGEIFS($N$2:$N$2705,$B$2:$B$2705,B1082)</f>
        <v>13.8314935099881</v>
      </c>
      <c r="P1082" s="21" t="n">
        <f aca="false">N1082-O1082</f>
        <v>0.520794845724183</v>
      </c>
      <c r="Q1082" s="7" t="n">
        <v>0</v>
      </c>
      <c r="R1082" s="3" t="n">
        <f aca="false">IF(AND(Q1082=1,B1082-_xlfn.MINIFS($B$2:$B$2705,$A$2:$A$2705,A1082)&lt;10),1,0)</f>
        <v>0</v>
      </c>
      <c r="S1082" s="7" t="n">
        <v>0</v>
      </c>
      <c r="T1082" s="3" t="n">
        <f aca="false">_xlfn.MINIFS($B$2:$B$2705,$A$2:$A$2705,A1082)</f>
        <v>1901</v>
      </c>
      <c r="U1082" s="3" t="n">
        <f aca="false">B1082-T1082</f>
        <v>66</v>
      </c>
      <c r="V1082" s="3" t="str">
        <f aca="false">INDEX(Pop_Inputs!$Q$2:$Q$29,MATCH(C1082,Pop_Inputs!$A$2:$A$29,0))</f>
        <v>Midwest</v>
      </c>
      <c r="W1082" s="30"/>
      <c r="X1082" s="3" t="str">
        <f aca="false">IF(W1082="","",LN(W1082))</f>
        <v/>
      </c>
      <c r="Y1082" s="3" t="str">
        <f aca="false">IF(X1082="","",X1082-AVERAGEIFS($X$2:$X$2705,$B$2:$B$2705,B1082))</f>
        <v/>
      </c>
      <c r="Z1082" s="21" t="n">
        <f aca="false">P1082</f>
        <v>0.520794845724183</v>
      </c>
      <c r="AA1082" s="3" t="n">
        <f aca="false">R1082</f>
        <v>0</v>
      </c>
      <c r="AB1082" s="21" t="n">
        <f aca="false">P1082</f>
        <v>0.520794845724183</v>
      </c>
      <c r="AC1082" s="3" t="str">
        <f aca="false">Y1082</f>
        <v/>
      </c>
      <c r="AD1082" s="3" t="n">
        <f aca="false">R1082</f>
        <v>0</v>
      </c>
    </row>
    <row r="1083" customFormat="false" ht="15" hidden="false" customHeight="true" outlineLevel="0" collapsed="false">
      <c r="A1083" s="7" t="s">
        <v>65</v>
      </c>
      <c r="B1083" s="7" t="n">
        <v>1967</v>
      </c>
      <c r="C1083" s="7" t="s">
        <v>142</v>
      </c>
      <c r="D1083" s="7" t="n">
        <v>89</v>
      </c>
      <c r="E1083" s="7" t="n">
        <v>73</v>
      </c>
      <c r="F1083" s="3" t="n">
        <f aca="false">COUNTIFS($B$2:$B$2705,B1083,$C$2:$C$2705,C1083)</f>
        <v>2</v>
      </c>
      <c r="G1083" s="3" t="n">
        <f aca="false">MIN(INT((MIN(B1083,2020)-1900)/10)+1,12)</f>
        <v>7</v>
      </c>
      <c r="H1083" s="3" t="n">
        <f aca="false">(MIN(B1083,2020)-1900-10*(G1083-1))/10</f>
        <v>0.7</v>
      </c>
      <c r="I1083" s="20" t="n">
        <f aca="false">EXP(LN(INDEX(Pop_Inputs!$B$2:$N$29,MATCH(C1083,Pop_Inputs!$A$2:$A$29,0),G1083))*(1-H1083)+LN(INDEX(Pop_Inputs!$B$2:$N$29,MATCH(C1083,Pop_Inputs!$A$2:$A$29,0),G1083+1))*H1083)</f>
        <v>3420972.87948862</v>
      </c>
      <c r="J1083" s="20" t="n">
        <f aca="false">I1083/F1083</f>
        <v>1710486.43974431</v>
      </c>
      <c r="K1083" s="21" t="n">
        <f aca="false">D1083/(D1083+E1083)</f>
        <v>0.549382716049383</v>
      </c>
      <c r="L1083" s="21" t="n">
        <f aca="false">AVERAGEIFS($K$2:$K$2705,$B$2:$B$2705,B1083)</f>
        <v>0.500005751092708</v>
      </c>
      <c r="M1083" s="21" t="n">
        <f aca="false">K1083-L1083</f>
        <v>0.0493769649566751</v>
      </c>
      <c r="N1083" s="21" t="n">
        <f aca="false">LN(J1083)</f>
        <v>14.3522883557123</v>
      </c>
      <c r="O1083" s="21" t="n">
        <f aca="false">AVERAGEIFS($N$2:$N$2705,$B$2:$B$2705,B1083)</f>
        <v>13.8314935099881</v>
      </c>
      <c r="P1083" s="21" t="n">
        <f aca="false">N1083-O1083</f>
        <v>0.520794845724183</v>
      </c>
      <c r="Q1083" s="7" t="n">
        <v>0</v>
      </c>
      <c r="R1083" s="3" t="n">
        <f aca="false">IF(AND(Q1083=1,B1083-_xlfn.MINIFS($B$2:$B$2705,$A$2:$A$2705,A1083)&lt;10),1,0)</f>
        <v>0</v>
      </c>
      <c r="S1083" s="7" t="n">
        <v>0</v>
      </c>
      <c r="T1083" s="3" t="n">
        <f aca="false">_xlfn.MINIFS($B$2:$B$2705,$A$2:$A$2705,A1083)</f>
        <v>1901</v>
      </c>
      <c r="U1083" s="3" t="n">
        <f aca="false">B1083-T1083</f>
        <v>66</v>
      </c>
      <c r="V1083" s="3" t="str">
        <f aca="false">INDEX(Pop_Inputs!$Q$2:$Q$29,MATCH(C1083,Pop_Inputs!$A$2:$A$29,0))</f>
        <v>Midwest</v>
      </c>
      <c r="W1083" s="30"/>
      <c r="X1083" s="3" t="str">
        <f aca="false">IF(W1083="","",LN(W1083))</f>
        <v/>
      </c>
      <c r="Y1083" s="3" t="str">
        <f aca="false">IF(X1083="","",X1083-AVERAGEIFS($X$2:$X$2705,$B$2:$B$2705,B1083))</f>
        <v/>
      </c>
      <c r="Z1083" s="21" t="n">
        <f aca="false">P1083</f>
        <v>0.520794845724183</v>
      </c>
      <c r="AA1083" s="3" t="n">
        <f aca="false">R1083</f>
        <v>0</v>
      </c>
      <c r="AB1083" s="21" t="n">
        <f aca="false">P1083</f>
        <v>0.520794845724183</v>
      </c>
      <c r="AC1083" s="3" t="str">
        <f aca="false">Y1083</f>
        <v/>
      </c>
      <c r="AD1083" s="3" t="n">
        <f aca="false">R1083</f>
        <v>0</v>
      </c>
    </row>
    <row r="1084" customFormat="false" ht="15" hidden="false" customHeight="true" outlineLevel="0" collapsed="false">
      <c r="A1084" s="7" t="s">
        <v>57</v>
      </c>
      <c r="B1084" s="7" t="n">
        <v>1967</v>
      </c>
      <c r="C1084" s="7" t="s">
        <v>143</v>
      </c>
      <c r="D1084" s="7" t="n">
        <v>87</v>
      </c>
      <c r="E1084" s="7" t="n">
        <v>75</v>
      </c>
      <c r="F1084" s="3" t="n">
        <f aca="false">COUNTIFS($B$2:$B$2705,B1084,$C$2:$C$2705,C1084)</f>
        <v>1</v>
      </c>
      <c r="G1084" s="3" t="n">
        <f aca="false">MIN(INT((MIN(B1084,2020)-1900)/10)+1,12)</f>
        <v>7</v>
      </c>
      <c r="H1084" s="3" t="n">
        <f aca="false">(MIN(B1084,2020)-1900-10*(G1084-1))/10</f>
        <v>0.7</v>
      </c>
      <c r="I1084" s="20" t="n">
        <f aca="false">EXP(LN(INDEX(Pop_Inputs!$B$2:$N$29,MATCH(C1084,Pop_Inputs!$A$2:$A$29,0),G1084))*(1-H1084)+LN(INDEX(Pop_Inputs!$B$2:$N$29,MATCH(C1084,Pop_Inputs!$A$2:$A$29,0),G1084+1))*H1084)</f>
        <v>466985.70569209</v>
      </c>
      <c r="J1084" s="20" t="n">
        <f aca="false">I1084/F1084</f>
        <v>466985.70569209</v>
      </c>
      <c r="K1084" s="21" t="n">
        <f aca="false">D1084/(D1084+E1084)</f>
        <v>0.537037037037037</v>
      </c>
      <c r="L1084" s="21" t="n">
        <f aca="false">AVERAGEIFS($K$2:$K$2705,$B$2:$B$2705,B1084)</f>
        <v>0.500005751092708</v>
      </c>
      <c r="M1084" s="21" t="n">
        <f aca="false">K1084-L1084</f>
        <v>0.0370312859443295</v>
      </c>
      <c r="N1084" s="21" t="n">
        <f aca="false">LN(J1084)</f>
        <v>13.0540539273862</v>
      </c>
      <c r="O1084" s="21" t="n">
        <f aca="false">AVERAGEIFS($N$2:$N$2705,$B$2:$B$2705,B1084)</f>
        <v>13.8314935099881</v>
      </c>
      <c r="P1084" s="21" t="n">
        <f aca="false">N1084-O1084</f>
        <v>-0.777439582601936</v>
      </c>
      <c r="Q1084" s="7" t="n">
        <v>0</v>
      </c>
      <c r="R1084" s="3" t="n">
        <f aca="false">IF(AND(Q1084=1,B1084-_xlfn.MINIFS($B$2:$B$2705,$A$2:$A$2705,A1084)&lt;10),1,0)</f>
        <v>0</v>
      </c>
      <c r="S1084" s="7" t="n">
        <v>0</v>
      </c>
      <c r="T1084" s="3" t="n">
        <f aca="false">_xlfn.MINIFS($B$2:$B$2705,$A$2:$A$2705,A1084)</f>
        <v>1901</v>
      </c>
      <c r="U1084" s="3" t="n">
        <f aca="false">B1084-T1084</f>
        <v>66</v>
      </c>
      <c r="V1084" s="3" t="str">
        <f aca="false">INDEX(Pop_Inputs!$Q$2:$Q$29,MATCH(C1084,Pop_Inputs!$A$2:$A$29,0))</f>
        <v>Midwest</v>
      </c>
      <c r="W1084" s="30"/>
      <c r="X1084" s="3" t="str">
        <f aca="false">IF(W1084="","",LN(W1084))</f>
        <v/>
      </c>
      <c r="Y1084" s="3" t="str">
        <f aca="false">IF(X1084="","",X1084-AVERAGEIFS($X$2:$X$2705,$B$2:$B$2705,B1084))</f>
        <v/>
      </c>
      <c r="Z1084" s="21" t="n">
        <f aca="false">P1084</f>
        <v>-0.777439582601936</v>
      </c>
      <c r="AA1084" s="3" t="n">
        <f aca="false">R1084</f>
        <v>0</v>
      </c>
      <c r="AB1084" s="21" t="n">
        <f aca="false">P1084</f>
        <v>-0.777439582601936</v>
      </c>
      <c r="AC1084" s="3" t="str">
        <f aca="false">Y1084</f>
        <v/>
      </c>
      <c r="AD1084" s="3" t="n">
        <f aca="false">R1084</f>
        <v>0</v>
      </c>
    </row>
    <row r="1085" customFormat="false" ht="15" hidden="false" customHeight="true" outlineLevel="0" collapsed="false">
      <c r="A1085" s="7" t="s">
        <v>66</v>
      </c>
      <c r="B1085" s="7" t="n">
        <v>1967</v>
      </c>
      <c r="C1085" s="7" t="s">
        <v>151</v>
      </c>
      <c r="D1085" s="7" t="n">
        <v>75</v>
      </c>
      <c r="E1085" s="7" t="n">
        <v>87</v>
      </c>
      <c r="F1085" s="3" t="n">
        <f aca="false">COUNTIFS($B$2:$B$2705,B1085,$C$2:$C$2705,C1085)</f>
        <v>1</v>
      </c>
      <c r="G1085" s="3" t="n">
        <f aca="false">MIN(INT((MIN(B1085,2020)-1900)/10)+1,12)</f>
        <v>7</v>
      </c>
      <c r="H1085" s="3" t="n">
        <f aca="false">(MIN(B1085,2020)-1900-10*(G1085-1))/10</f>
        <v>0.7</v>
      </c>
      <c r="I1085" s="20" t="n">
        <f aca="false">EXP(LN(INDEX(Pop_Inputs!$B$2:$N$29,MATCH(C1085,Pop_Inputs!$A$2:$A$29,0),G1085))*(1-H1085)+LN(INDEX(Pop_Inputs!$B$2:$N$29,MATCH(C1085,Pop_Inputs!$A$2:$A$29,0),G1085+1))*H1085)</f>
        <v>786443.189377055</v>
      </c>
      <c r="J1085" s="20" t="n">
        <f aca="false">I1085/F1085</f>
        <v>786443.189377055</v>
      </c>
      <c r="K1085" s="21" t="n">
        <f aca="false">D1085/(D1085+E1085)</f>
        <v>0.462962962962963</v>
      </c>
      <c r="L1085" s="21" t="n">
        <f aca="false">AVERAGEIFS($K$2:$K$2705,$B$2:$B$2705,B1085)</f>
        <v>0.500005751092708</v>
      </c>
      <c r="M1085" s="21" t="n">
        <f aca="false">K1085-L1085</f>
        <v>-0.0370427881297447</v>
      </c>
      <c r="N1085" s="21" t="n">
        <f aca="false">LN(J1085)</f>
        <v>13.5752757666746</v>
      </c>
      <c r="O1085" s="21" t="n">
        <f aca="false">AVERAGEIFS($N$2:$N$2705,$B$2:$B$2705,B1085)</f>
        <v>13.8314935099881</v>
      </c>
      <c r="P1085" s="21" t="n">
        <f aca="false">N1085-O1085</f>
        <v>-0.256217743313536</v>
      </c>
      <c r="Q1085" s="7" t="n">
        <v>0</v>
      </c>
      <c r="R1085" s="3" t="n">
        <f aca="false">IF(AND(Q1085=1,B1085-_xlfn.MINIFS($B$2:$B$2705,$A$2:$A$2705,A1085)&lt;10),1,0)</f>
        <v>0</v>
      </c>
      <c r="S1085" s="7" t="n">
        <v>0</v>
      </c>
      <c r="T1085" s="3" t="n">
        <f aca="false">_xlfn.MINIFS($B$2:$B$2705,$A$2:$A$2705,A1085)</f>
        <v>1901</v>
      </c>
      <c r="U1085" s="3" t="n">
        <f aca="false">B1085-T1085</f>
        <v>66</v>
      </c>
      <c r="V1085" s="3" t="str">
        <f aca="false">INDEX(Pop_Inputs!$Q$2:$Q$29,MATCH(C1085,Pop_Inputs!$A$2:$A$29,0))</f>
        <v>Midwest</v>
      </c>
      <c r="W1085" s="30"/>
      <c r="X1085" s="3" t="str">
        <f aca="false">IF(W1085="","",LN(W1085))</f>
        <v/>
      </c>
      <c r="Y1085" s="3" t="str">
        <f aca="false">IF(X1085="","",X1085-AVERAGEIFS($X$2:$X$2705,$B$2:$B$2705,B1085))</f>
        <v/>
      </c>
      <c r="Z1085" s="21" t="n">
        <f aca="false">P1085</f>
        <v>-0.256217743313536</v>
      </c>
      <c r="AA1085" s="3" t="n">
        <f aca="false">R1085</f>
        <v>0</v>
      </c>
      <c r="AB1085" s="21" t="n">
        <f aca="false">P1085</f>
        <v>-0.256217743313536</v>
      </c>
      <c r="AC1085" s="3" t="str">
        <f aca="false">Y1085</f>
        <v/>
      </c>
      <c r="AD1085" s="3" t="n">
        <f aca="false">R1085</f>
        <v>0</v>
      </c>
    </row>
    <row r="1086" customFormat="false" ht="15" hidden="false" customHeight="true" outlineLevel="0" collapsed="false">
      <c r="A1086" s="7" t="s">
        <v>67</v>
      </c>
      <c r="B1086" s="7" t="n">
        <v>1967</v>
      </c>
      <c r="C1086" s="7" t="s">
        <v>152</v>
      </c>
      <c r="D1086" s="7" t="n">
        <v>91</v>
      </c>
      <c r="E1086" s="7" t="n">
        <v>71</v>
      </c>
      <c r="F1086" s="3" t="n">
        <f aca="false">COUNTIFS($B$2:$B$2705,B1086,$C$2:$C$2705,C1086)</f>
        <v>1</v>
      </c>
      <c r="G1086" s="3" t="n">
        <f aca="false">MIN(INT((MIN(B1086,2020)-1900)/10)+1,12)</f>
        <v>7</v>
      </c>
      <c r="H1086" s="3" t="n">
        <f aca="false">(MIN(B1086,2020)-1900-10*(G1086-1))/10</f>
        <v>0.7</v>
      </c>
      <c r="I1086" s="20" t="n">
        <f aca="false">EXP(LN(INDEX(Pop_Inputs!$B$2:$N$29,MATCH(C1086,Pop_Inputs!$A$2:$A$29,0),G1086))*(1-H1086)+LN(INDEX(Pop_Inputs!$B$2:$N$29,MATCH(C1086,Pop_Inputs!$A$2:$A$29,0),G1086+1))*H1086)</f>
        <v>1557429.01376425</v>
      </c>
      <c r="J1086" s="20" t="n">
        <f aca="false">I1086/F1086</f>
        <v>1557429.01376425</v>
      </c>
      <c r="K1086" s="21" t="n">
        <f aca="false">D1086/(D1086+E1086)</f>
        <v>0.561728395061728</v>
      </c>
      <c r="L1086" s="21" t="n">
        <f aca="false">AVERAGEIFS($K$2:$K$2705,$B$2:$B$2705,B1086)</f>
        <v>0.500005751092708</v>
      </c>
      <c r="M1086" s="21" t="n">
        <f aca="false">K1086-L1086</f>
        <v>0.0617226439690208</v>
      </c>
      <c r="N1086" s="21" t="n">
        <f aca="false">LN(J1086)</f>
        <v>14.2585469515677</v>
      </c>
      <c r="O1086" s="21" t="n">
        <f aca="false">AVERAGEIFS($N$2:$N$2705,$B$2:$B$2705,B1086)</f>
        <v>13.8314935099881</v>
      </c>
      <c r="P1086" s="21" t="n">
        <f aca="false">N1086-O1086</f>
        <v>0.427053441579552</v>
      </c>
      <c r="Q1086" s="7" t="n">
        <v>0</v>
      </c>
      <c r="R1086" s="3" t="n">
        <f aca="false">IF(AND(Q1086=1,B1086-_xlfn.MINIFS($B$2:$B$2705,$A$2:$A$2705,A1086)&lt;10),1,0)</f>
        <v>0</v>
      </c>
      <c r="S1086" s="7" t="n">
        <v>0</v>
      </c>
      <c r="T1086" s="3" t="n">
        <f aca="false">_xlfn.MINIFS($B$2:$B$2705,$A$2:$A$2705,A1086)</f>
        <v>1901</v>
      </c>
      <c r="U1086" s="3" t="n">
        <f aca="false">B1086-T1086</f>
        <v>66</v>
      </c>
      <c r="V1086" s="3" t="str">
        <f aca="false">INDEX(Pop_Inputs!$Q$2:$Q$29,MATCH(C1086,Pop_Inputs!$A$2:$A$29,0))</f>
        <v>Midwest</v>
      </c>
      <c r="W1086" s="30"/>
      <c r="X1086" s="3" t="str">
        <f aca="false">IF(W1086="","",LN(W1086))</f>
        <v/>
      </c>
      <c r="Y1086" s="3" t="str">
        <f aca="false">IF(X1086="","",X1086-AVERAGEIFS($X$2:$X$2705,$B$2:$B$2705,B1086))</f>
        <v/>
      </c>
      <c r="Z1086" s="21" t="n">
        <f aca="false">P1086</f>
        <v>0.427053441579552</v>
      </c>
      <c r="AA1086" s="3" t="n">
        <f aca="false">R1086</f>
        <v>0</v>
      </c>
      <c r="AB1086" s="21" t="n">
        <f aca="false">P1086</f>
        <v>0.427053441579552</v>
      </c>
      <c r="AC1086" s="3" t="str">
        <f aca="false">Y1086</f>
        <v/>
      </c>
      <c r="AD1086" s="3" t="n">
        <f aca="false">R1086</f>
        <v>0</v>
      </c>
    </row>
    <row r="1087" customFormat="false" ht="15" hidden="false" customHeight="true" outlineLevel="0" collapsed="false">
      <c r="A1087" s="7" t="s">
        <v>74</v>
      </c>
      <c r="B1087" s="7" t="n">
        <v>1967</v>
      </c>
      <c r="C1087" s="7" t="s">
        <v>156</v>
      </c>
      <c r="D1087" s="7" t="n">
        <v>69</v>
      </c>
      <c r="E1087" s="7" t="n">
        <v>93</v>
      </c>
      <c r="F1087" s="3" t="n">
        <f aca="false">COUNTIFS($B$2:$B$2705,B1087,$C$2:$C$2705,C1087)</f>
        <v>1</v>
      </c>
      <c r="G1087" s="3" t="n">
        <f aca="false">MIN(INT((MIN(B1087,2020)-1900)/10)+1,12)</f>
        <v>7</v>
      </c>
      <c r="H1087" s="3" t="n">
        <f aca="false">(MIN(B1087,2020)-1900-10*(G1087-1))/10</f>
        <v>0.7</v>
      </c>
      <c r="I1087" s="20" t="n">
        <f aca="false">EXP(LN(INDEX(Pop_Inputs!$B$2:$N$29,MATCH(C1087,Pop_Inputs!$A$2:$A$29,0),G1087))*(1-H1087)+LN(INDEX(Pop_Inputs!$B$2:$N$29,MATCH(C1087,Pop_Inputs!$A$2:$A$29,0),G1087+1))*H1087)</f>
        <v>1135838.53398225</v>
      </c>
      <c r="J1087" s="20" t="n">
        <f aca="false">I1087/F1087</f>
        <v>1135838.53398225</v>
      </c>
      <c r="K1087" s="21" t="n">
        <f aca="false">D1087/(D1087+E1087)</f>
        <v>0.425925925925926</v>
      </c>
      <c r="L1087" s="21" t="n">
        <f aca="false">AVERAGEIFS($K$2:$K$2705,$B$2:$B$2705,B1087)</f>
        <v>0.500005751092708</v>
      </c>
      <c r="M1087" s="21" t="n">
        <f aca="false">K1087-L1087</f>
        <v>-0.0740798251667817</v>
      </c>
      <c r="N1087" s="21" t="n">
        <f aca="false">LN(J1087)</f>
        <v>13.942881732582</v>
      </c>
      <c r="O1087" s="21" t="n">
        <f aca="false">AVERAGEIFS($N$2:$N$2705,$B$2:$B$2705,B1087)</f>
        <v>13.8314935099881</v>
      </c>
      <c r="P1087" s="21" t="n">
        <f aca="false">N1087-O1087</f>
        <v>0.111388222593881</v>
      </c>
      <c r="Q1087" s="7" t="n">
        <v>1</v>
      </c>
      <c r="R1087" s="3" t="n">
        <f aca="false">IF(AND(Q1087=1,B1087-_xlfn.MINIFS($B$2:$B$2705,$A$2:$A$2705,A1087)&lt;10),1,0)</f>
        <v>1</v>
      </c>
      <c r="S1087" s="7" t="n">
        <v>0</v>
      </c>
      <c r="T1087" s="3" t="n">
        <f aca="false">_xlfn.MINIFS($B$2:$B$2705,$A$2:$A$2705,A1087)</f>
        <v>1962</v>
      </c>
      <c r="U1087" s="3" t="n">
        <f aca="false">B1087-T1087</f>
        <v>5</v>
      </c>
      <c r="V1087" s="3" t="str">
        <f aca="false">INDEX(Pop_Inputs!$Q$2:$Q$29,MATCH(C1087,Pop_Inputs!$A$2:$A$29,0))</f>
        <v>South</v>
      </c>
      <c r="W1087" s="30"/>
      <c r="X1087" s="3" t="str">
        <f aca="false">IF(W1087="","",LN(W1087))</f>
        <v/>
      </c>
      <c r="Y1087" s="3" t="str">
        <f aca="false">IF(X1087="","",X1087-AVERAGEIFS($X$2:$X$2705,$B$2:$B$2705,B1087))</f>
        <v/>
      </c>
      <c r="Z1087" s="21" t="n">
        <f aca="false">P1087</f>
        <v>0.111388222593881</v>
      </c>
      <c r="AA1087" s="3" t="n">
        <f aca="false">R1087</f>
        <v>1</v>
      </c>
      <c r="AB1087" s="21" t="n">
        <f aca="false">P1087</f>
        <v>0.111388222593881</v>
      </c>
      <c r="AC1087" s="3" t="str">
        <f aca="false">Y1087</f>
        <v/>
      </c>
      <c r="AD1087" s="3" t="n">
        <f aca="false">R1087</f>
        <v>1</v>
      </c>
    </row>
    <row r="1088" customFormat="false" ht="15" hidden="false" customHeight="true" outlineLevel="0" collapsed="false">
      <c r="A1088" s="7" t="s">
        <v>62</v>
      </c>
      <c r="B1088" s="7" t="n">
        <v>1967</v>
      </c>
      <c r="C1088" s="7" t="s">
        <v>148</v>
      </c>
      <c r="D1088" s="7" t="n">
        <v>73</v>
      </c>
      <c r="E1088" s="7" t="n">
        <v>89</v>
      </c>
      <c r="F1088" s="3" t="n">
        <f aca="false">COUNTIFS($B$2:$B$2705,B1088,$C$2:$C$2705,C1088)</f>
        <v>2</v>
      </c>
      <c r="G1088" s="3" t="n">
        <f aca="false">MIN(INT((MIN(B1088,2020)-1900)/10)+1,12)</f>
        <v>7</v>
      </c>
      <c r="H1088" s="3" t="n">
        <f aca="false">(MIN(B1088,2020)-1900-10*(G1088-1))/10</f>
        <v>0.7</v>
      </c>
      <c r="I1088" s="20" t="n">
        <f aca="false">EXP(LN(INDEX(Pop_Inputs!$B$2:$N$29,MATCH(C1088,Pop_Inputs!$A$2:$A$29,0),G1088))*(1-H1088)+LN(INDEX(Pop_Inputs!$B$2:$N$29,MATCH(C1088,Pop_Inputs!$A$2:$A$29,0),G1088+1))*H1088)</f>
        <v>2710398.74150196</v>
      </c>
      <c r="J1088" s="20" t="n">
        <f aca="false">I1088/F1088</f>
        <v>1355199.37075098</v>
      </c>
      <c r="K1088" s="21" t="n">
        <f aca="false">D1088/(D1088+E1088)</f>
        <v>0.450617283950617</v>
      </c>
      <c r="L1088" s="21" t="n">
        <f aca="false">AVERAGEIFS($K$2:$K$2705,$B$2:$B$2705,B1088)</f>
        <v>0.500005751092708</v>
      </c>
      <c r="M1088" s="21" t="n">
        <f aca="false">K1088-L1088</f>
        <v>-0.0493884671420903</v>
      </c>
      <c r="N1088" s="21" t="n">
        <f aca="false">LN(J1088)</f>
        <v>14.1194591385579</v>
      </c>
      <c r="O1088" s="21" t="n">
        <f aca="false">AVERAGEIFS($N$2:$N$2705,$B$2:$B$2705,B1088)</f>
        <v>13.8314935099881</v>
      </c>
      <c r="P1088" s="21" t="n">
        <f aca="false">N1088-O1088</f>
        <v>0.287965628569804</v>
      </c>
      <c r="Q1088" s="7" t="n">
        <v>0</v>
      </c>
      <c r="R1088" s="3" t="n">
        <f aca="false">IF(AND(Q1088=1,B1088-_xlfn.MINIFS($B$2:$B$2705,$A$2:$A$2705,A1088)&lt;10),1,0)</f>
        <v>0</v>
      </c>
      <c r="S1088" s="7" t="n">
        <v>0</v>
      </c>
      <c r="T1088" s="3" t="n">
        <f aca="false">_xlfn.MINIFS($B$2:$B$2705,$A$2:$A$2705,A1088)</f>
        <v>1901</v>
      </c>
      <c r="U1088" s="3" t="n">
        <f aca="false">B1088-T1088</f>
        <v>66</v>
      </c>
      <c r="V1088" s="3" t="str">
        <f aca="false">INDEX(Pop_Inputs!$Q$2:$Q$29,MATCH(C1088,Pop_Inputs!$A$2:$A$29,0))</f>
        <v>West</v>
      </c>
      <c r="W1088" s="30"/>
      <c r="X1088" s="3" t="str">
        <f aca="false">IF(W1088="","",LN(W1088))</f>
        <v/>
      </c>
      <c r="Y1088" s="3" t="str">
        <f aca="false">IF(X1088="","",X1088-AVERAGEIFS($X$2:$X$2705,$B$2:$B$2705,B1088))</f>
        <v/>
      </c>
      <c r="Z1088" s="21" t="n">
        <f aca="false">P1088</f>
        <v>0.287965628569804</v>
      </c>
      <c r="AA1088" s="3" t="n">
        <f aca="false">R1088</f>
        <v>0</v>
      </c>
      <c r="AB1088" s="21" t="n">
        <f aca="false">P1088</f>
        <v>0.287965628569804</v>
      </c>
      <c r="AC1088" s="3" t="str">
        <f aca="false">Y1088</f>
        <v/>
      </c>
      <c r="AD1088" s="3" t="n">
        <f aca="false">R1088</f>
        <v>0</v>
      </c>
    </row>
    <row r="1089" customFormat="false" ht="15" hidden="false" customHeight="true" outlineLevel="0" collapsed="false">
      <c r="A1089" s="7" t="s">
        <v>68</v>
      </c>
      <c r="B1089" s="7" t="n">
        <v>1967</v>
      </c>
      <c r="C1089" s="7" t="s">
        <v>153</v>
      </c>
      <c r="D1089" s="7" t="n">
        <v>91</v>
      </c>
      <c r="E1089" s="7" t="n">
        <v>71</v>
      </c>
      <c r="F1089" s="3" t="n">
        <f aca="false">COUNTIFS($B$2:$B$2705,B1089,$C$2:$C$2705,C1089)</f>
        <v>1</v>
      </c>
      <c r="G1089" s="3" t="n">
        <f aca="false">MIN(INT((MIN(B1089,2020)-1900)/10)+1,12)</f>
        <v>7</v>
      </c>
      <c r="H1089" s="3" t="n">
        <f aca="false">(MIN(B1089,2020)-1900-10*(G1089-1))/10</f>
        <v>0.7</v>
      </c>
      <c r="I1089" s="20" t="n">
        <f aca="false">EXP(LN(INDEX(Pop_Inputs!$B$2:$N$29,MATCH(C1089,Pop_Inputs!$A$2:$A$29,0),G1089))*(1-H1089)+LN(INDEX(Pop_Inputs!$B$2:$N$29,MATCH(C1089,Pop_Inputs!$A$2:$A$29,0),G1089+1))*H1089)</f>
        <v>448407.097909612</v>
      </c>
      <c r="J1089" s="20" t="n">
        <f aca="false">I1089/F1089</f>
        <v>448407.097909612</v>
      </c>
      <c r="K1089" s="21" t="n">
        <f aca="false">D1089/(D1089+E1089)</f>
        <v>0.561728395061728</v>
      </c>
      <c r="L1089" s="21" t="n">
        <f aca="false">AVERAGEIFS($K$2:$K$2705,$B$2:$B$2705,B1089)</f>
        <v>0.500005751092708</v>
      </c>
      <c r="M1089" s="21" t="n">
        <f aca="false">K1089-L1089</f>
        <v>0.0617226439690208</v>
      </c>
      <c r="N1089" s="21" t="n">
        <f aca="false">LN(J1089)</f>
        <v>13.0134567994697</v>
      </c>
      <c r="O1089" s="21" t="n">
        <f aca="false">AVERAGEIFS($N$2:$N$2705,$B$2:$B$2705,B1089)</f>
        <v>13.8314935099881</v>
      </c>
      <c r="P1089" s="21" t="n">
        <f aca="false">N1089-O1089</f>
        <v>-0.818036710518438</v>
      </c>
      <c r="Q1089" s="7" t="n">
        <v>0</v>
      </c>
      <c r="R1089" s="3" t="n">
        <f aca="false">IF(AND(Q1089=1,B1089-_xlfn.MINIFS($B$2:$B$2705,$A$2:$A$2705,A1089)&lt;10),1,0)</f>
        <v>0</v>
      </c>
      <c r="S1089" s="7" t="n">
        <v>0</v>
      </c>
      <c r="T1089" s="3" t="n">
        <f aca="false">_xlfn.MINIFS($B$2:$B$2705,$A$2:$A$2705,A1089)</f>
        <v>1901</v>
      </c>
      <c r="U1089" s="3" t="n">
        <f aca="false">B1089-T1089</f>
        <v>66</v>
      </c>
      <c r="V1089" s="3" t="str">
        <f aca="false">INDEX(Pop_Inputs!$Q$2:$Q$29,MATCH(C1089,Pop_Inputs!$A$2:$A$29,0))</f>
        <v>Midwest</v>
      </c>
      <c r="W1089" s="30"/>
      <c r="X1089" s="3" t="str">
        <f aca="false">IF(W1089="","",LN(W1089))</f>
        <v/>
      </c>
      <c r="Y1089" s="3" t="str">
        <f aca="false">IF(X1089="","",X1089-AVERAGEIFS($X$2:$X$2705,$B$2:$B$2705,B1089))</f>
        <v/>
      </c>
      <c r="Z1089" s="21" t="n">
        <f aca="false">P1089</f>
        <v>-0.818036710518438</v>
      </c>
      <c r="AA1089" s="3" t="n">
        <f aca="false">R1089</f>
        <v>0</v>
      </c>
      <c r="AB1089" s="21" t="n">
        <f aca="false">P1089</f>
        <v>-0.818036710518438</v>
      </c>
      <c r="AC1089" s="3" t="str">
        <f aca="false">Y1089</f>
        <v/>
      </c>
      <c r="AD1089" s="3" t="n">
        <f aca="false">R1089</f>
        <v>0</v>
      </c>
    </row>
    <row r="1090" customFormat="false" ht="15" hidden="false" customHeight="true" outlineLevel="0" collapsed="false">
      <c r="A1090" s="7" t="s">
        <v>75</v>
      </c>
      <c r="B1090" s="7" t="n">
        <v>1967</v>
      </c>
      <c r="C1090" s="7" t="s">
        <v>154</v>
      </c>
      <c r="D1090" s="7" t="n">
        <v>61</v>
      </c>
      <c r="E1090" s="7" t="n">
        <v>101</v>
      </c>
      <c r="F1090" s="3" t="n">
        <f aca="false">COUNTIFS($B$2:$B$2705,B1090,$C$2:$C$2705,C1090)</f>
        <v>2</v>
      </c>
      <c r="G1090" s="3" t="n">
        <f aca="false">MIN(INT((MIN(B1090,2020)-1900)/10)+1,12)</f>
        <v>7</v>
      </c>
      <c r="H1090" s="3" t="n">
        <f aca="false">(MIN(B1090,2020)-1900-10*(G1090-1))/10</f>
        <v>0.7</v>
      </c>
      <c r="I1090" s="20" t="n">
        <f aca="false">EXP(LN(INDEX(Pop_Inputs!$B$2:$N$29,MATCH(C1090,Pop_Inputs!$A$2:$A$29,0),G1090))*(1-H1090)+LN(INDEX(Pop_Inputs!$B$2:$N$29,MATCH(C1090,Pop_Inputs!$A$2:$A$29,0),G1090+1))*H1090)</f>
        <v>7860827.75515069</v>
      </c>
      <c r="J1090" s="20" t="n">
        <f aca="false">I1090/F1090</f>
        <v>3930413.87757534</v>
      </c>
      <c r="K1090" s="21" t="n">
        <f aca="false">D1090/(D1090+E1090)</f>
        <v>0.376543209876543</v>
      </c>
      <c r="L1090" s="21" t="n">
        <f aca="false">AVERAGEIFS($K$2:$K$2705,$B$2:$B$2705,B1090)</f>
        <v>0.500005751092708</v>
      </c>
      <c r="M1090" s="21" t="n">
        <f aca="false">K1090-L1090</f>
        <v>-0.123462541216164</v>
      </c>
      <c r="N1090" s="21" t="n">
        <f aca="false">LN(J1090)</f>
        <v>15.1842552906606</v>
      </c>
      <c r="O1090" s="21" t="n">
        <f aca="false">AVERAGEIFS($N$2:$N$2705,$B$2:$B$2705,B1090)</f>
        <v>13.8314935099881</v>
      </c>
      <c r="P1090" s="21" t="n">
        <f aca="false">N1090-O1090</f>
        <v>1.35276178067249</v>
      </c>
      <c r="Q1090" s="7" t="n">
        <v>1</v>
      </c>
      <c r="R1090" s="3" t="n">
        <f aca="false">IF(AND(Q1090=1,B1090-_xlfn.MINIFS($B$2:$B$2705,$A$2:$A$2705,A1090)&lt;10),1,0)</f>
        <v>1</v>
      </c>
      <c r="S1090" s="7" t="n">
        <v>0</v>
      </c>
      <c r="T1090" s="3" t="n">
        <f aca="false">_xlfn.MINIFS($B$2:$B$2705,$A$2:$A$2705,A1090)</f>
        <v>1962</v>
      </c>
      <c r="U1090" s="3" t="n">
        <f aca="false">B1090-T1090</f>
        <v>5</v>
      </c>
      <c r="V1090" s="3" t="str">
        <f aca="false">INDEX(Pop_Inputs!$Q$2:$Q$29,MATCH(C1090,Pop_Inputs!$A$2:$A$29,0))</f>
        <v>Northeast</v>
      </c>
      <c r="W1090" s="30"/>
      <c r="X1090" s="3" t="str">
        <f aca="false">IF(W1090="","",LN(W1090))</f>
        <v/>
      </c>
      <c r="Y1090" s="3" t="str">
        <f aca="false">IF(X1090="","",X1090-AVERAGEIFS($X$2:$X$2705,$B$2:$B$2705,B1090))</f>
        <v/>
      </c>
      <c r="Z1090" s="21" t="n">
        <f aca="false">P1090</f>
        <v>1.35276178067249</v>
      </c>
      <c r="AA1090" s="3" t="n">
        <f aca="false">R1090</f>
        <v>1</v>
      </c>
      <c r="AB1090" s="21" t="n">
        <f aca="false">P1090</f>
        <v>1.35276178067249</v>
      </c>
      <c r="AC1090" s="3" t="str">
        <f aca="false">Y1090</f>
        <v/>
      </c>
      <c r="AD1090" s="3" t="n">
        <f aca="false">R1090</f>
        <v>1</v>
      </c>
    </row>
    <row r="1091" customFormat="false" ht="15" hidden="false" customHeight="true" outlineLevel="0" collapsed="false">
      <c r="A1091" s="7" t="s">
        <v>70</v>
      </c>
      <c r="B1091" s="7" t="n">
        <v>1967</v>
      </c>
      <c r="C1091" s="7" t="s">
        <v>154</v>
      </c>
      <c r="D1091" s="7" t="n">
        <v>72</v>
      </c>
      <c r="E1091" s="7" t="n">
        <v>90</v>
      </c>
      <c r="F1091" s="3" t="n">
        <f aca="false">COUNTIFS($B$2:$B$2705,B1091,$C$2:$C$2705,C1091)</f>
        <v>2</v>
      </c>
      <c r="G1091" s="3" t="n">
        <f aca="false">MIN(INT((MIN(B1091,2020)-1900)/10)+1,12)</f>
        <v>7</v>
      </c>
      <c r="H1091" s="3" t="n">
        <f aca="false">(MIN(B1091,2020)-1900-10*(G1091-1))/10</f>
        <v>0.7</v>
      </c>
      <c r="I1091" s="20" t="n">
        <f aca="false">EXP(LN(INDEX(Pop_Inputs!$B$2:$N$29,MATCH(C1091,Pop_Inputs!$A$2:$A$29,0),G1091))*(1-H1091)+LN(INDEX(Pop_Inputs!$B$2:$N$29,MATCH(C1091,Pop_Inputs!$A$2:$A$29,0),G1091+1))*H1091)</f>
        <v>7860827.75515069</v>
      </c>
      <c r="J1091" s="20" t="n">
        <f aca="false">I1091/F1091</f>
        <v>3930413.87757534</v>
      </c>
      <c r="K1091" s="21" t="n">
        <f aca="false">D1091/(D1091+E1091)</f>
        <v>0.444444444444444</v>
      </c>
      <c r="L1091" s="21" t="n">
        <f aca="false">AVERAGEIFS($K$2:$K$2705,$B$2:$B$2705,B1091)</f>
        <v>0.500005751092708</v>
      </c>
      <c r="M1091" s="21" t="n">
        <f aca="false">K1091-L1091</f>
        <v>-0.0555613066482632</v>
      </c>
      <c r="N1091" s="21" t="n">
        <f aca="false">LN(J1091)</f>
        <v>15.1842552906606</v>
      </c>
      <c r="O1091" s="21" t="n">
        <f aca="false">AVERAGEIFS($N$2:$N$2705,$B$2:$B$2705,B1091)</f>
        <v>13.8314935099881</v>
      </c>
      <c r="P1091" s="21" t="n">
        <f aca="false">N1091-O1091</f>
        <v>1.35276178067249</v>
      </c>
      <c r="Q1091" s="7" t="n">
        <v>0</v>
      </c>
      <c r="R1091" s="3" t="n">
        <f aca="false">IF(AND(Q1091=1,B1091-_xlfn.MINIFS($B$2:$B$2705,$A$2:$A$2705,A1091)&lt;10),1,0)</f>
        <v>0</v>
      </c>
      <c r="S1091" s="7" t="n">
        <v>1</v>
      </c>
      <c r="T1091" s="3" t="n">
        <f aca="false">_xlfn.MINIFS($B$2:$B$2705,$A$2:$A$2705,A1091)</f>
        <v>1903</v>
      </c>
      <c r="U1091" s="3" t="n">
        <f aca="false">B1091-T1091</f>
        <v>64</v>
      </c>
      <c r="V1091" s="3" t="str">
        <f aca="false">INDEX(Pop_Inputs!$Q$2:$Q$29,MATCH(C1091,Pop_Inputs!$A$2:$A$29,0))</f>
        <v>Northeast</v>
      </c>
      <c r="W1091" s="30"/>
      <c r="X1091" s="3" t="str">
        <f aca="false">IF(W1091="","",LN(W1091))</f>
        <v/>
      </c>
      <c r="Y1091" s="3" t="str">
        <f aca="false">IF(X1091="","",X1091-AVERAGEIFS($X$2:$X$2705,$B$2:$B$2705,B1091))</f>
        <v/>
      </c>
      <c r="Z1091" s="21" t="n">
        <f aca="false">P1091</f>
        <v>1.35276178067249</v>
      </c>
      <c r="AA1091" s="3" t="n">
        <f aca="false">R1091</f>
        <v>0</v>
      </c>
      <c r="AB1091" s="21" t="n">
        <f aca="false">P1091</f>
        <v>1.35276178067249</v>
      </c>
      <c r="AC1091" s="3" t="str">
        <f aca="false">Y1091</f>
        <v/>
      </c>
      <c r="AD1091" s="3" t="n">
        <f aca="false">R1091</f>
        <v>0</v>
      </c>
    </row>
    <row r="1092" customFormat="false" ht="15" hidden="false" customHeight="true" outlineLevel="0" collapsed="false">
      <c r="A1092" s="7" t="s">
        <v>69</v>
      </c>
      <c r="B1092" s="7" t="n">
        <v>1967</v>
      </c>
      <c r="C1092" s="7" t="s">
        <v>157</v>
      </c>
      <c r="D1092" s="7" t="n">
        <v>62</v>
      </c>
      <c r="E1092" s="7" t="n">
        <v>99</v>
      </c>
      <c r="F1092" s="3" t="n">
        <f aca="false">COUNTIFS($B$2:$B$2705,B1092,$C$2:$C$2705,C1092)</f>
        <v>1</v>
      </c>
      <c r="G1092" s="3" t="n">
        <f aca="false">MIN(INT((MIN(B1092,2020)-1900)/10)+1,12)</f>
        <v>7</v>
      </c>
      <c r="H1092" s="3" t="n">
        <f aca="false">(MIN(B1092,2020)-1900-10*(G1092-1))/10</f>
        <v>0.7</v>
      </c>
      <c r="I1092" s="20" t="n">
        <f aca="false">EXP(LN(INDEX(Pop_Inputs!$B$2:$N$29,MATCH(C1092,Pop_Inputs!$A$2:$A$29,0),G1092))*(1-H1092)+LN(INDEX(Pop_Inputs!$B$2:$N$29,MATCH(C1092,Pop_Inputs!$A$2:$A$29,0),G1092+1))*H1092)</f>
        <v>497408.927638025</v>
      </c>
      <c r="J1092" s="20" t="n">
        <f aca="false">I1092/F1092</f>
        <v>497408.927638025</v>
      </c>
      <c r="K1092" s="21" t="n">
        <f aca="false">D1092/(D1092+E1092)</f>
        <v>0.385093167701863</v>
      </c>
      <c r="L1092" s="21" t="n">
        <f aca="false">AVERAGEIFS($K$2:$K$2705,$B$2:$B$2705,B1092)</f>
        <v>0.500005751092708</v>
      </c>
      <c r="M1092" s="21" t="n">
        <f aca="false">K1092-L1092</f>
        <v>-0.114912583390844</v>
      </c>
      <c r="N1092" s="21" t="n">
        <f aca="false">LN(J1092)</f>
        <v>13.1171677587992</v>
      </c>
      <c r="O1092" s="21" t="n">
        <f aca="false">AVERAGEIFS($N$2:$N$2705,$B$2:$B$2705,B1092)</f>
        <v>13.8314935099881</v>
      </c>
      <c r="P1092" s="21" t="n">
        <f aca="false">N1092-O1092</f>
        <v>-0.714325751188946</v>
      </c>
      <c r="Q1092" s="7" t="n">
        <v>0</v>
      </c>
      <c r="R1092" s="3" t="n">
        <f aca="false">IF(AND(Q1092=1,B1092-_xlfn.MINIFS($B$2:$B$2705,$A$2:$A$2705,A1092)&lt;10),1,0)</f>
        <v>0</v>
      </c>
      <c r="S1092" s="7" t="n">
        <v>0</v>
      </c>
      <c r="T1092" s="3" t="n">
        <f aca="false">_xlfn.MINIFS($B$2:$B$2705,$A$2:$A$2705,A1092)</f>
        <v>1901</v>
      </c>
      <c r="U1092" s="3" t="n">
        <f aca="false">B1092-T1092</f>
        <v>66</v>
      </c>
      <c r="V1092" s="3" t="str">
        <f aca="false">INDEX(Pop_Inputs!$Q$2:$Q$29,MATCH(C1092,Pop_Inputs!$A$2:$A$29,0))</f>
        <v>Midwest</v>
      </c>
      <c r="W1092" s="30"/>
      <c r="X1092" s="3" t="str">
        <f aca="false">IF(W1092="","",LN(W1092))</f>
        <v/>
      </c>
      <c r="Y1092" s="3" t="str">
        <f aca="false">IF(X1092="","",X1092-AVERAGEIFS($X$2:$X$2705,$B$2:$B$2705,B1092))</f>
        <v/>
      </c>
      <c r="Z1092" s="21" t="n">
        <f aca="false">P1092</f>
        <v>-0.714325751188946</v>
      </c>
      <c r="AA1092" s="3" t="n">
        <f aca="false">R1092</f>
        <v>0</v>
      </c>
      <c r="AB1092" s="21" t="n">
        <f aca="false">P1092</f>
        <v>-0.714325751188946</v>
      </c>
      <c r="AC1092" s="3" t="str">
        <f aca="false">Y1092</f>
        <v/>
      </c>
      <c r="AD1092" s="3" t="n">
        <f aca="false">R1092</f>
        <v>0</v>
      </c>
    </row>
    <row r="1093" customFormat="false" ht="15" hidden="false" customHeight="true" outlineLevel="0" collapsed="false">
      <c r="A1093" s="7" t="s">
        <v>60</v>
      </c>
      <c r="B1093" s="7" t="n">
        <v>1967</v>
      </c>
      <c r="C1093" s="7" t="s">
        <v>146</v>
      </c>
      <c r="D1093" s="7" t="n">
        <v>82</v>
      </c>
      <c r="E1093" s="7" t="n">
        <v>80</v>
      </c>
      <c r="F1093" s="3" t="n">
        <f aca="false">COUNTIFS($B$2:$B$2705,B1093,$C$2:$C$2705,C1093)</f>
        <v>1</v>
      </c>
      <c r="G1093" s="3" t="n">
        <f aca="false">MIN(INT((MIN(B1093,2020)-1900)/10)+1,12)</f>
        <v>7</v>
      </c>
      <c r="H1093" s="3" t="n">
        <f aca="false">(MIN(B1093,2020)-1900-10*(G1093-1))/10</f>
        <v>0.7</v>
      </c>
      <c r="I1093" s="20" t="n">
        <f aca="false">EXP(LN(INDEX(Pop_Inputs!$B$2:$N$29,MATCH(C1093,Pop_Inputs!$A$2:$A$29,0),G1093))*(1-H1093)+LN(INDEX(Pop_Inputs!$B$2:$N$29,MATCH(C1093,Pop_Inputs!$A$2:$A$29,0),G1093+1))*H1093)</f>
        <v>1964625.74579244</v>
      </c>
      <c r="J1093" s="20" t="n">
        <f aca="false">I1093/F1093</f>
        <v>1964625.74579244</v>
      </c>
      <c r="K1093" s="21" t="n">
        <f aca="false">D1093/(D1093+E1093)</f>
        <v>0.506172839506173</v>
      </c>
      <c r="L1093" s="21" t="n">
        <f aca="false">AVERAGEIFS($K$2:$K$2705,$B$2:$B$2705,B1093)</f>
        <v>0.500005751092708</v>
      </c>
      <c r="M1093" s="21" t="n">
        <f aca="false">K1093-L1093</f>
        <v>0.00616708841346525</v>
      </c>
      <c r="N1093" s="21" t="n">
        <f aca="false">LN(J1093)</f>
        <v>14.4908123249891</v>
      </c>
      <c r="O1093" s="21" t="n">
        <f aca="false">AVERAGEIFS($N$2:$N$2705,$B$2:$B$2705,B1093)</f>
        <v>13.8314935099881</v>
      </c>
      <c r="P1093" s="21" t="n">
        <f aca="false">N1093-O1093</f>
        <v>0.65931881500101</v>
      </c>
      <c r="Q1093" s="7" t="n">
        <v>0</v>
      </c>
      <c r="R1093" s="3" t="n">
        <f aca="false">IF(AND(Q1093=1,B1093-_xlfn.MINIFS($B$2:$B$2705,$A$2:$A$2705,A1093)&lt;10),1,0)</f>
        <v>0</v>
      </c>
      <c r="S1093" s="7" t="n">
        <v>0</v>
      </c>
      <c r="T1093" s="3" t="n">
        <f aca="false">_xlfn.MINIFS($B$2:$B$2705,$A$2:$A$2705,A1093)</f>
        <v>1901</v>
      </c>
      <c r="U1093" s="3" t="n">
        <f aca="false">B1093-T1093</f>
        <v>66</v>
      </c>
      <c r="V1093" s="3" t="str">
        <f aca="false">INDEX(Pop_Inputs!$Q$2:$Q$29,MATCH(C1093,Pop_Inputs!$A$2:$A$29,0))</f>
        <v>Northeast</v>
      </c>
      <c r="W1093" s="30"/>
      <c r="X1093" s="3" t="str">
        <f aca="false">IF(W1093="","",LN(W1093))</f>
        <v/>
      </c>
      <c r="Y1093" s="3" t="str">
        <f aca="false">IF(X1093="","",X1093-AVERAGEIFS($X$2:$X$2705,$B$2:$B$2705,B1093))</f>
        <v/>
      </c>
      <c r="Z1093" s="21" t="n">
        <f aca="false">P1093</f>
        <v>0.65931881500101</v>
      </c>
      <c r="AA1093" s="3" t="n">
        <f aca="false">R1093</f>
        <v>0</v>
      </c>
      <c r="AB1093" s="21" t="n">
        <f aca="false">P1093</f>
        <v>0.65931881500101</v>
      </c>
      <c r="AC1093" s="3" t="str">
        <f aca="false">Y1093</f>
        <v/>
      </c>
      <c r="AD1093" s="3" t="n">
        <f aca="false">R1093</f>
        <v>0</v>
      </c>
    </row>
    <row r="1094" customFormat="false" ht="15" hidden="false" customHeight="true" outlineLevel="0" collapsed="false">
      <c r="A1094" s="7" t="s">
        <v>58</v>
      </c>
      <c r="B1094" s="7" t="n">
        <v>1967</v>
      </c>
      <c r="C1094" s="7" t="s">
        <v>144</v>
      </c>
      <c r="D1094" s="7" t="n">
        <v>81</v>
      </c>
      <c r="E1094" s="7" t="n">
        <v>81</v>
      </c>
      <c r="F1094" s="3" t="n">
        <f aca="false">COUNTIFS($B$2:$B$2705,B1094,$C$2:$C$2705,C1094)</f>
        <v>1</v>
      </c>
      <c r="G1094" s="3" t="n">
        <f aca="false">MIN(INT((MIN(B1094,2020)-1900)/10)+1,12)</f>
        <v>7</v>
      </c>
      <c r="H1094" s="3" t="n">
        <f aca="false">(MIN(B1094,2020)-1900-10*(G1094-1))/10</f>
        <v>0.7</v>
      </c>
      <c r="I1094" s="20" t="n">
        <f aca="false">EXP(LN(INDEX(Pop_Inputs!$B$2:$N$29,MATCH(C1094,Pop_Inputs!$A$2:$A$29,0),G1094))*(1-H1094)+LN(INDEX(Pop_Inputs!$B$2:$N$29,MATCH(C1094,Pop_Inputs!$A$2:$A$29,0),G1094+1))*H1094)</f>
        <v>544068.286224218</v>
      </c>
      <c r="J1094" s="20" t="n">
        <f aca="false">I1094/F1094</f>
        <v>544068.286224218</v>
      </c>
      <c r="K1094" s="21" t="n">
        <f aca="false">D1094/(D1094+E1094)</f>
        <v>0.5</v>
      </c>
      <c r="L1094" s="21" t="n">
        <f aca="false">AVERAGEIFS($K$2:$K$2705,$B$2:$B$2705,B1094)</f>
        <v>0.500005751092708</v>
      </c>
      <c r="M1094" s="21" t="n">
        <f aca="false">K1094-L1094</f>
        <v>-5.75109270761764E-006</v>
      </c>
      <c r="N1094" s="21" t="n">
        <f aca="false">LN(J1094)</f>
        <v>13.2068300441078</v>
      </c>
      <c r="O1094" s="21" t="n">
        <f aca="false">AVERAGEIFS($N$2:$N$2705,$B$2:$B$2705,B1094)</f>
        <v>13.8314935099881</v>
      </c>
      <c r="P1094" s="21" t="n">
        <f aca="false">N1094-O1094</f>
        <v>-0.624663465880339</v>
      </c>
      <c r="Q1094" s="7" t="n">
        <v>0</v>
      </c>
      <c r="R1094" s="3" t="n">
        <f aca="false">IF(AND(Q1094=1,B1094-_xlfn.MINIFS($B$2:$B$2705,$A$2:$A$2705,A1094)&lt;10),1,0)</f>
        <v>0</v>
      </c>
      <c r="S1094" s="7" t="n">
        <v>0</v>
      </c>
      <c r="T1094" s="3" t="n">
        <f aca="false">_xlfn.MINIFS($B$2:$B$2705,$A$2:$A$2705,A1094)</f>
        <v>1901</v>
      </c>
      <c r="U1094" s="3" t="n">
        <f aca="false">B1094-T1094</f>
        <v>66</v>
      </c>
      <c r="V1094" s="3" t="str">
        <f aca="false">INDEX(Pop_Inputs!$Q$2:$Q$29,MATCH(C1094,Pop_Inputs!$A$2:$A$29,0))</f>
        <v>Northeast</v>
      </c>
      <c r="W1094" s="30"/>
      <c r="X1094" s="3" t="str">
        <f aca="false">IF(W1094="","",LN(W1094))</f>
        <v/>
      </c>
      <c r="Y1094" s="3" t="str">
        <f aca="false">IF(X1094="","",X1094-AVERAGEIFS($X$2:$X$2705,$B$2:$B$2705,B1094))</f>
        <v/>
      </c>
      <c r="Z1094" s="21" t="n">
        <f aca="false">P1094</f>
        <v>-0.624663465880339</v>
      </c>
      <c r="AA1094" s="3" t="n">
        <f aca="false">R1094</f>
        <v>0</v>
      </c>
      <c r="AB1094" s="21" t="n">
        <f aca="false">P1094</f>
        <v>-0.624663465880339</v>
      </c>
      <c r="AC1094" s="3" t="str">
        <f aca="false">Y1094</f>
        <v/>
      </c>
      <c r="AD1094" s="3" t="n">
        <f aca="false">R1094</f>
        <v>0</v>
      </c>
    </row>
    <row r="1095" customFormat="false" ht="15" hidden="false" customHeight="true" outlineLevel="0" collapsed="false">
      <c r="A1095" s="7" t="s">
        <v>61</v>
      </c>
      <c r="B1095" s="7" t="n">
        <v>1967</v>
      </c>
      <c r="C1095" s="7" t="s">
        <v>147</v>
      </c>
      <c r="D1095" s="7" t="n">
        <v>91</v>
      </c>
      <c r="E1095" s="7" t="n">
        <v>71</v>
      </c>
      <c r="F1095" s="3" t="n">
        <f aca="false">COUNTIFS($B$2:$B$2705,B1095,$C$2:$C$2705,C1095)</f>
        <v>1</v>
      </c>
      <c r="G1095" s="3" t="n">
        <f aca="false">MIN(INT((MIN(B1095,2020)-1900)/10)+1,12)</f>
        <v>7</v>
      </c>
      <c r="H1095" s="3" t="n">
        <f aca="false">(MIN(B1095,2020)-1900-10*(G1095-1))/10</f>
        <v>0.7</v>
      </c>
      <c r="I1095" s="20" t="n">
        <f aca="false">EXP(LN(INDEX(Pop_Inputs!$B$2:$N$29,MATCH(C1095,Pop_Inputs!$A$2:$A$29,0),G1095))*(1-H1095)+LN(INDEX(Pop_Inputs!$B$2:$N$29,MATCH(C1095,Pop_Inputs!$A$2:$A$29,0),G1095+1))*H1095)</f>
        <v>722979.209475055</v>
      </c>
      <c r="J1095" s="20" t="n">
        <f aca="false">I1095/F1095</f>
        <v>722979.209475055</v>
      </c>
      <c r="K1095" s="21" t="n">
        <f aca="false">D1095/(D1095+E1095)</f>
        <v>0.561728395061728</v>
      </c>
      <c r="L1095" s="21" t="n">
        <f aca="false">AVERAGEIFS($K$2:$K$2705,$B$2:$B$2705,B1095)</f>
        <v>0.500005751092708</v>
      </c>
      <c r="M1095" s="21" t="n">
        <f aca="false">K1095-L1095</f>
        <v>0.0617226439690208</v>
      </c>
      <c r="N1095" s="21" t="n">
        <f aca="false">LN(J1095)</f>
        <v>13.4911357448147</v>
      </c>
      <c r="O1095" s="21" t="n">
        <f aca="false">AVERAGEIFS($N$2:$N$2705,$B$2:$B$2705,B1095)</f>
        <v>13.8314935099881</v>
      </c>
      <c r="P1095" s="21" t="n">
        <f aca="false">N1095-O1095</f>
        <v>-0.340357765173474</v>
      </c>
      <c r="Q1095" s="7" t="n">
        <v>0</v>
      </c>
      <c r="R1095" s="3" t="n">
        <f aca="false">IF(AND(Q1095=1,B1095-_xlfn.MINIFS($B$2:$B$2705,$A$2:$A$2705,A1095)&lt;10),1,0)</f>
        <v>0</v>
      </c>
      <c r="S1095" s="7" t="n">
        <v>0</v>
      </c>
      <c r="T1095" s="3" t="n">
        <f aca="false">_xlfn.MINIFS($B$2:$B$2705,$A$2:$A$2705,A1095)</f>
        <v>1901</v>
      </c>
      <c r="U1095" s="3" t="n">
        <f aca="false">B1095-T1095</f>
        <v>66</v>
      </c>
      <c r="V1095" s="3" t="str">
        <f aca="false">INDEX(Pop_Inputs!$Q$2:$Q$29,MATCH(C1095,Pop_Inputs!$A$2:$A$29,0))</f>
        <v>West</v>
      </c>
      <c r="W1095" s="30"/>
      <c r="X1095" s="3" t="str">
        <f aca="false">IF(W1095="","",LN(W1095))</f>
        <v/>
      </c>
      <c r="Y1095" s="3" t="str">
        <f aca="false">IF(X1095="","",X1095-AVERAGEIFS($X$2:$X$2705,$B$2:$B$2705,B1095))</f>
        <v/>
      </c>
      <c r="Z1095" s="21" t="n">
        <f aca="false">P1095</f>
        <v>-0.340357765173474</v>
      </c>
      <c r="AA1095" s="3" t="n">
        <f aca="false">R1095</f>
        <v>0</v>
      </c>
      <c r="AB1095" s="21" t="n">
        <f aca="false">P1095</f>
        <v>-0.340357765173474</v>
      </c>
      <c r="AC1095" s="3" t="str">
        <f aca="false">Y1095</f>
        <v/>
      </c>
      <c r="AD1095" s="3" t="n">
        <f aca="false">R1095</f>
        <v>0</v>
      </c>
    </row>
    <row r="1096" customFormat="false" ht="15" hidden="false" customHeight="true" outlineLevel="0" collapsed="false">
      <c r="A1096" s="7" t="s">
        <v>59</v>
      </c>
      <c r="B1096" s="7" t="n">
        <v>1967</v>
      </c>
      <c r="C1096" s="7" t="s">
        <v>145</v>
      </c>
      <c r="D1096" s="7" t="n">
        <v>101</v>
      </c>
      <c r="E1096" s="7" t="n">
        <v>60</v>
      </c>
      <c r="F1096" s="3" t="n">
        <f aca="false">COUNTIFS($B$2:$B$2705,B1096,$C$2:$C$2705,C1096)</f>
        <v>1</v>
      </c>
      <c r="G1096" s="3" t="n">
        <f aca="false">MIN(INT((MIN(B1096,2020)-1900)/10)+1,12)</f>
        <v>7</v>
      </c>
      <c r="H1096" s="3" t="n">
        <f aca="false">(MIN(B1096,2020)-1900-10*(G1096-1))/10</f>
        <v>0.7</v>
      </c>
      <c r="I1096" s="20" t="n">
        <f aca="false">EXP(LN(INDEX(Pop_Inputs!$B$2:$N$29,MATCH(C1096,Pop_Inputs!$A$2:$A$29,0),G1096))*(1-H1096)+LN(INDEX(Pop_Inputs!$B$2:$N$29,MATCH(C1096,Pop_Inputs!$A$2:$A$29,0),G1096+1))*H1096)</f>
        <v>658099.391729033</v>
      </c>
      <c r="J1096" s="20" t="n">
        <f aca="false">I1096/F1096</f>
        <v>658099.391729033</v>
      </c>
      <c r="K1096" s="21" t="n">
        <f aca="false">D1096/(D1096+E1096)</f>
        <v>0.627329192546584</v>
      </c>
      <c r="L1096" s="21" t="n">
        <f aca="false">AVERAGEIFS($K$2:$K$2705,$B$2:$B$2705,B1096)</f>
        <v>0.500005751092708</v>
      </c>
      <c r="M1096" s="21" t="n">
        <f aca="false">K1096-L1096</f>
        <v>0.127323441453876</v>
      </c>
      <c r="N1096" s="21" t="n">
        <f aca="false">LN(J1096)</f>
        <v>13.3971112501603</v>
      </c>
      <c r="O1096" s="21" t="n">
        <f aca="false">AVERAGEIFS($N$2:$N$2705,$B$2:$B$2705,B1096)</f>
        <v>13.8314935099881</v>
      </c>
      <c r="P1096" s="21" t="n">
        <f aca="false">N1096-O1096</f>
        <v>-0.43438225982784</v>
      </c>
      <c r="Q1096" s="7" t="n">
        <v>0</v>
      </c>
      <c r="R1096" s="3" t="n">
        <f aca="false">IF(AND(Q1096=1,B1096-_xlfn.MINIFS($B$2:$B$2705,$A$2:$A$2705,A1096)&lt;10),1,0)</f>
        <v>0</v>
      </c>
      <c r="S1096" s="7" t="n">
        <v>0</v>
      </c>
      <c r="T1096" s="3" t="n">
        <f aca="false">_xlfn.MINIFS($B$2:$B$2705,$A$2:$A$2705,A1096)</f>
        <v>1901</v>
      </c>
      <c r="U1096" s="3" t="n">
        <f aca="false">B1096-T1096</f>
        <v>66</v>
      </c>
      <c r="V1096" s="3" t="str">
        <f aca="false">INDEX(Pop_Inputs!$Q$2:$Q$29,MATCH(C1096,Pop_Inputs!$A$2:$A$29,0))</f>
        <v>Midwest</v>
      </c>
      <c r="W1096" s="30"/>
      <c r="X1096" s="3" t="str">
        <f aca="false">IF(W1096="","",LN(W1096))</f>
        <v/>
      </c>
      <c r="Y1096" s="3" t="str">
        <f aca="false">IF(X1096="","",X1096-AVERAGEIFS($X$2:$X$2705,$B$2:$B$2705,B1096))</f>
        <v/>
      </c>
      <c r="Z1096" s="21" t="n">
        <f aca="false">P1096</f>
        <v>-0.43438225982784</v>
      </c>
      <c r="AA1096" s="3" t="n">
        <f aca="false">R1096</f>
        <v>0</v>
      </c>
      <c r="AB1096" s="21" t="n">
        <f aca="false">P1096</f>
        <v>-0.43438225982784</v>
      </c>
      <c r="AC1096" s="3" t="str">
        <f aca="false">Y1096</f>
        <v/>
      </c>
      <c r="AD1096" s="3" t="n">
        <f aca="false">R1096</f>
        <v>0</v>
      </c>
    </row>
    <row r="1097" customFormat="false" ht="15" hidden="false" customHeight="true" outlineLevel="0" collapsed="false">
      <c r="A1097" s="7" t="s">
        <v>73</v>
      </c>
      <c r="B1097" s="7" t="n">
        <v>1967</v>
      </c>
      <c r="C1097" s="7" t="s">
        <v>160</v>
      </c>
      <c r="D1097" s="7" t="n">
        <v>76</v>
      </c>
      <c r="E1097" s="7" t="n">
        <v>85</v>
      </c>
      <c r="F1097" s="3" t="n">
        <f aca="false">COUNTIFS($B$2:$B$2705,B1097,$C$2:$C$2705,C1097)</f>
        <v>1</v>
      </c>
      <c r="G1097" s="3" t="n">
        <f aca="false">MIN(INT((MIN(B1097,2020)-1900)/10)+1,12)</f>
        <v>7</v>
      </c>
      <c r="H1097" s="3" t="n">
        <f aca="false">(MIN(B1097,2020)-1900-10*(G1097-1))/10</f>
        <v>0.7</v>
      </c>
      <c r="I1097" s="20" t="n">
        <f aca="false">EXP(LN(INDEX(Pop_Inputs!$B$2:$N$29,MATCH(C1097,Pop_Inputs!$A$2:$A$29,0),G1097))*(1-H1097)+LN(INDEX(Pop_Inputs!$B$2:$N$29,MATCH(C1097,Pop_Inputs!$A$2:$A$29,0),G1097+1))*H1097)</f>
        <v>758736.147422832</v>
      </c>
      <c r="J1097" s="20" t="n">
        <f aca="false">I1097/F1097</f>
        <v>758736.147422832</v>
      </c>
      <c r="K1097" s="21" t="n">
        <f aca="false">D1097/(D1097+E1097)</f>
        <v>0.472049689440994</v>
      </c>
      <c r="L1097" s="21" t="n">
        <f aca="false">AVERAGEIFS($K$2:$K$2705,$B$2:$B$2705,B1097)</f>
        <v>0.500005751092708</v>
      </c>
      <c r="M1097" s="21" t="n">
        <f aca="false">K1097-L1097</f>
        <v>-0.0279560616517138</v>
      </c>
      <c r="N1097" s="21" t="n">
        <f aca="false">LN(J1097)</f>
        <v>13.5394093640858</v>
      </c>
      <c r="O1097" s="21" t="n">
        <f aca="false">AVERAGEIFS($N$2:$N$2705,$B$2:$B$2705,B1097)</f>
        <v>13.8314935099881</v>
      </c>
      <c r="P1097" s="21" t="n">
        <f aca="false">N1097-O1097</f>
        <v>-0.292084145902299</v>
      </c>
      <c r="Q1097" s="7" t="n">
        <v>1</v>
      </c>
      <c r="R1097" s="3" t="n">
        <f aca="false">IF(AND(Q1097=1,B1097-_xlfn.MINIFS($B$2:$B$2705,$A$2:$A$2705,A1097)&lt;10),1,0)</f>
        <v>1</v>
      </c>
      <c r="S1097" s="7" t="n">
        <v>0</v>
      </c>
      <c r="T1097" s="3" t="n">
        <f aca="false">_xlfn.MINIFS($B$2:$B$2705,$A$2:$A$2705,A1097)</f>
        <v>1961</v>
      </c>
      <c r="U1097" s="3" t="n">
        <f aca="false">B1097-T1097</f>
        <v>6</v>
      </c>
      <c r="V1097" s="3" t="str">
        <f aca="false">INDEX(Pop_Inputs!$Q$2:$Q$29,MATCH(C1097,Pop_Inputs!$A$2:$A$29,0))</f>
        <v>South</v>
      </c>
      <c r="W1097" s="30"/>
      <c r="X1097" s="3" t="str">
        <f aca="false">IF(W1097="","",LN(W1097))</f>
        <v/>
      </c>
      <c r="Y1097" s="3" t="str">
        <f aca="false">IF(X1097="","",X1097-AVERAGEIFS($X$2:$X$2705,$B$2:$B$2705,B1097))</f>
        <v/>
      </c>
      <c r="Z1097" s="21" t="n">
        <f aca="false">P1097</f>
        <v>-0.292084145902299</v>
      </c>
      <c r="AA1097" s="3" t="n">
        <f aca="false">R1097</f>
        <v>1</v>
      </c>
      <c r="AB1097" s="21" t="n">
        <f aca="false">P1097</f>
        <v>-0.292084145902299</v>
      </c>
      <c r="AC1097" s="3" t="str">
        <f aca="false">Y1097</f>
        <v/>
      </c>
      <c r="AD1097" s="3" t="n">
        <f aca="false">R1097</f>
        <v>1</v>
      </c>
    </row>
    <row r="1098" customFormat="false" ht="15" hidden="false" customHeight="true" outlineLevel="0" collapsed="false">
      <c r="A1098" s="7" t="s">
        <v>71</v>
      </c>
      <c r="B1098" s="7" t="n">
        <v>1968</v>
      </c>
      <c r="C1098" s="7" t="s">
        <v>148</v>
      </c>
      <c r="D1098" s="7" t="n">
        <v>67</v>
      </c>
      <c r="E1098" s="7" t="n">
        <v>95</v>
      </c>
      <c r="F1098" s="3" t="n">
        <f aca="false">COUNTIFS($B$2:$B$2705,B1098,$C$2:$C$2705,C1098)</f>
        <v>2</v>
      </c>
      <c r="G1098" s="3" t="n">
        <f aca="false">MIN(INT((MIN(B1098,2020)-1900)/10)+1,12)</f>
        <v>7</v>
      </c>
      <c r="H1098" s="3" t="n">
        <f aca="false">(MIN(B1098,2020)-1900-10*(G1098-1))/10</f>
        <v>0.8</v>
      </c>
      <c r="I1098" s="20" t="n">
        <f aca="false">EXP(LN(INDEX(Pop_Inputs!$B$2:$N$29,MATCH(C1098,Pop_Inputs!$A$2:$A$29,0),G1098))*(1-H1098)+LN(INDEX(Pop_Inputs!$B$2:$N$29,MATCH(C1098,Pop_Inputs!$A$2:$A$29,0),G1098+1))*H1098)</f>
        <v>2745171.47399097</v>
      </c>
      <c r="J1098" s="20" t="n">
        <f aca="false">I1098/F1098</f>
        <v>1372585.73699548</v>
      </c>
      <c r="K1098" s="21" t="n">
        <f aca="false">D1098/(D1098+E1098)</f>
        <v>0.41358024691358</v>
      </c>
      <c r="L1098" s="21" t="n">
        <f aca="false">AVERAGEIFS($K$2:$K$2705,$B$2:$B$2705,B1098)</f>
        <v>0.499980829690975</v>
      </c>
      <c r="M1098" s="21" t="n">
        <f aca="false">K1098-L1098</f>
        <v>-0.0864005827773944</v>
      </c>
      <c r="N1098" s="21" t="n">
        <f aca="false">LN(J1098)</f>
        <v>14.1322069181711</v>
      </c>
      <c r="O1098" s="21" t="n">
        <f aca="false">AVERAGEIFS($N$2:$N$2705,$B$2:$B$2705,B1098)</f>
        <v>13.8130774664076</v>
      </c>
      <c r="P1098" s="21" t="n">
        <f aca="false">N1098-O1098</f>
        <v>0.319129451763512</v>
      </c>
      <c r="Q1098" s="7" t="n">
        <v>1</v>
      </c>
      <c r="R1098" s="3" t="n">
        <f aca="false">IF(AND(Q1098=1,B1098-_xlfn.MINIFS($B$2:$B$2705,$A$2:$A$2705,A1098)&lt;10),1,0)</f>
        <v>1</v>
      </c>
      <c r="S1098" s="7" t="n">
        <v>0</v>
      </c>
      <c r="T1098" s="3" t="n">
        <f aca="false">_xlfn.MINIFS($B$2:$B$2705,$A$2:$A$2705,A1098)</f>
        <v>1961</v>
      </c>
      <c r="U1098" s="3" t="n">
        <f aca="false">B1098-T1098</f>
        <v>7</v>
      </c>
      <c r="V1098" s="3" t="str">
        <f aca="false">INDEX(Pop_Inputs!$Q$2:$Q$29,MATCH(C1098,Pop_Inputs!$A$2:$A$29,0))</f>
        <v>West</v>
      </c>
      <c r="W1098" s="30"/>
      <c r="X1098" s="3" t="str">
        <f aca="false">IF(W1098="","",LN(W1098))</f>
        <v/>
      </c>
      <c r="Y1098" s="3" t="str">
        <f aca="false">IF(X1098="","",X1098-AVERAGEIFS($X$2:$X$2705,$B$2:$B$2705,B1098))</f>
        <v/>
      </c>
      <c r="Z1098" s="21" t="n">
        <f aca="false">P1098</f>
        <v>0.319129451763512</v>
      </c>
      <c r="AA1098" s="3" t="n">
        <f aca="false">R1098</f>
        <v>1</v>
      </c>
      <c r="AB1098" s="21" t="n">
        <f aca="false">P1098</f>
        <v>0.319129451763512</v>
      </c>
      <c r="AC1098" s="3" t="str">
        <f aca="false">Y1098</f>
        <v/>
      </c>
      <c r="AD1098" s="3" t="n">
        <f aca="false">R1098</f>
        <v>1</v>
      </c>
    </row>
    <row r="1099" customFormat="false" ht="15" hidden="false" customHeight="true" outlineLevel="0" collapsed="false">
      <c r="A1099" s="7" t="s">
        <v>54</v>
      </c>
      <c r="B1099" s="7" t="n">
        <v>1968</v>
      </c>
      <c r="C1099" s="7" t="s">
        <v>141</v>
      </c>
      <c r="D1099" s="7" t="n">
        <v>81</v>
      </c>
      <c r="E1099" s="7" t="n">
        <v>81</v>
      </c>
      <c r="F1099" s="3" t="n">
        <f aca="false">COUNTIFS($B$2:$B$2705,B1099,$C$2:$C$2705,C1099)</f>
        <v>1</v>
      </c>
      <c r="G1099" s="3" t="n">
        <f aca="false">MIN(INT((MIN(B1099,2020)-1900)/10)+1,12)</f>
        <v>7</v>
      </c>
      <c r="H1099" s="3" t="n">
        <f aca="false">(MIN(B1099,2020)-1900-10*(G1099-1))/10</f>
        <v>0.8</v>
      </c>
      <c r="I1099" s="20" t="n">
        <f aca="false">EXP(LN(INDEX(Pop_Inputs!$B$2:$N$29,MATCH(C1099,Pop_Inputs!$A$2:$A$29,0),G1099))*(1-H1099)+LN(INDEX(Pop_Inputs!$B$2:$N$29,MATCH(C1099,Pop_Inputs!$A$2:$A$29,0),G1099+1))*H1099)</f>
        <v>493512.818680219</v>
      </c>
      <c r="J1099" s="20" t="n">
        <f aca="false">I1099/F1099</f>
        <v>493512.818680219</v>
      </c>
      <c r="K1099" s="21" t="n">
        <f aca="false">D1099/(D1099+E1099)</f>
        <v>0.5</v>
      </c>
      <c r="L1099" s="21" t="n">
        <f aca="false">AVERAGEIFS($K$2:$K$2705,$B$2:$B$2705,B1099)</f>
        <v>0.499980829690975</v>
      </c>
      <c r="M1099" s="21" t="n">
        <f aca="false">K1099-L1099</f>
        <v>1.91703090253736E-005</v>
      </c>
      <c r="N1099" s="21" t="n">
        <f aca="false">LN(J1099)</f>
        <v>13.1093041125542</v>
      </c>
      <c r="O1099" s="21" t="n">
        <f aca="false">AVERAGEIFS($N$2:$N$2705,$B$2:$B$2705,B1099)</f>
        <v>13.8130774664076</v>
      </c>
      <c r="P1099" s="21" t="n">
        <f aca="false">N1099-O1099</f>
        <v>-0.703773353853322</v>
      </c>
      <c r="Q1099" s="7" t="n">
        <v>0</v>
      </c>
      <c r="R1099" s="3" t="n">
        <f aca="false">IF(AND(Q1099=1,B1099-_xlfn.MINIFS($B$2:$B$2705,$A$2:$A$2705,A1099)&lt;10),1,0)</f>
        <v>0</v>
      </c>
      <c r="S1099" s="7" t="n">
        <v>0</v>
      </c>
      <c r="T1099" s="3" t="n">
        <f aca="false">_xlfn.MINIFS($B$2:$B$2705,$A$2:$A$2705,A1099)</f>
        <v>1901</v>
      </c>
      <c r="U1099" s="3" t="n">
        <f aca="false">B1099-T1099</f>
        <v>67</v>
      </c>
      <c r="V1099" s="3" t="str">
        <f aca="false">INDEX(Pop_Inputs!$Q$2:$Q$29,MATCH(C1099,Pop_Inputs!$A$2:$A$29,0))</f>
        <v>South</v>
      </c>
      <c r="W1099" s="30"/>
      <c r="X1099" s="3" t="str">
        <f aca="false">IF(W1099="","",LN(W1099))</f>
        <v/>
      </c>
      <c r="Y1099" s="3" t="str">
        <f aca="false">IF(X1099="","",X1099-AVERAGEIFS($X$2:$X$2705,$B$2:$B$2705,B1099))</f>
        <v/>
      </c>
      <c r="Z1099" s="21" t="n">
        <f aca="false">P1099</f>
        <v>-0.703773353853322</v>
      </c>
      <c r="AA1099" s="3" t="n">
        <f aca="false">R1099</f>
        <v>0</v>
      </c>
      <c r="AB1099" s="21" t="n">
        <f aca="false">P1099</f>
        <v>-0.703773353853322</v>
      </c>
      <c r="AC1099" s="3" t="str">
        <f aca="false">Y1099</f>
        <v/>
      </c>
      <c r="AD1099" s="3" t="n">
        <f aca="false">R1099</f>
        <v>0</v>
      </c>
    </row>
    <row r="1100" customFormat="false" ht="15" hidden="false" customHeight="true" outlineLevel="0" collapsed="false">
      <c r="A1100" s="7" t="s">
        <v>63</v>
      </c>
      <c r="B1100" s="7" t="n">
        <v>1968</v>
      </c>
      <c r="C1100" s="7" t="s">
        <v>149</v>
      </c>
      <c r="D1100" s="7" t="n">
        <v>91</v>
      </c>
      <c r="E1100" s="7" t="n">
        <v>71</v>
      </c>
      <c r="F1100" s="3" t="n">
        <f aca="false">COUNTIFS($B$2:$B$2705,B1100,$C$2:$C$2705,C1100)</f>
        <v>1</v>
      </c>
      <c r="G1100" s="3" t="n">
        <f aca="false">MIN(INT((MIN(B1100,2020)-1900)/10)+1,12)</f>
        <v>7</v>
      </c>
      <c r="H1100" s="3" t="n">
        <f aca="false">(MIN(B1100,2020)-1900-10*(G1100-1))/10</f>
        <v>0.8</v>
      </c>
      <c r="I1100" s="20" t="n">
        <f aca="false">EXP(LN(INDEX(Pop_Inputs!$B$2:$N$29,MATCH(C1100,Pop_Inputs!$A$2:$A$29,0),G1100))*(1-H1100)+LN(INDEX(Pop_Inputs!$B$2:$N$29,MATCH(C1100,Pop_Inputs!$A$2:$A$29,0),G1100+1))*H1100)</f>
        <v>912316.364290816</v>
      </c>
      <c r="J1100" s="20" t="n">
        <f aca="false">I1100/F1100</f>
        <v>912316.364290816</v>
      </c>
      <c r="K1100" s="21" t="n">
        <f aca="false">D1100/(D1100+E1100)</f>
        <v>0.561728395061728</v>
      </c>
      <c r="L1100" s="21" t="n">
        <f aca="false">AVERAGEIFS($K$2:$K$2705,$B$2:$B$2705,B1100)</f>
        <v>0.499980829690975</v>
      </c>
      <c r="M1100" s="21" t="n">
        <f aca="false">K1100-L1100</f>
        <v>0.0617475653707538</v>
      </c>
      <c r="N1100" s="21" t="n">
        <f aca="false">LN(J1100)</f>
        <v>13.7237420995736</v>
      </c>
      <c r="O1100" s="21" t="n">
        <f aca="false">AVERAGEIFS($N$2:$N$2705,$B$2:$B$2705,B1100)</f>
        <v>13.8130774664076</v>
      </c>
      <c r="P1100" s="21" t="n">
        <f aca="false">N1100-O1100</f>
        <v>-0.0893353668339891</v>
      </c>
      <c r="Q1100" s="7" t="n">
        <v>0</v>
      </c>
      <c r="R1100" s="3" t="n">
        <f aca="false">IF(AND(Q1100=1,B1100-_xlfn.MINIFS($B$2:$B$2705,$A$2:$A$2705,A1100)&lt;10),1,0)</f>
        <v>0</v>
      </c>
      <c r="S1100" s="7" t="n">
        <v>0</v>
      </c>
      <c r="T1100" s="3" t="n">
        <f aca="false">_xlfn.MINIFS($B$2:$B$2705,$A$2:$A$2705,A1100)</f>
        <v>1901</v>
      </c>
      <c r="U1100" s="3" t="n">
        <f aca="false">B1100-T1100</f>
        <v>67</v>
      </c>
      <c r="V1100" s="3" t="str">
        <f aca="false">INDEX(Pop_Inputs!$Q$2:$Q$29,MATCH(C1100,Pop_Inputs!$A$2:$A$29,0))</f>
        <v>South</v>
      </c>
      <c r="W1100" s="30"/>
      <c r="X1100" s="3" t="str">
        <f aca="false">IF(W1100="","",LN(W1100))</f>
        <v/>
      </c>
      <c r="Y1100" s="3" t="str">
        <f aca="false">IF(X1100="","",X1100-AVERAGEIFS($X$2:$X$2705,$B$2:$B$2705,B1100))</f>
        <v/>
      </c>
      <c r="Z1100" s="21" t="n">
        <f aca="false">P1100</f>
        <v>-0.0893353668339891</v>
      </c>
      <c r="AA1100" s="3" t="n">
        <f aca="false">R1100</f>
        <v>0</v>
      </c>
      <c r="AB1100" s="21" t="n">
        <f aca="false">P1100</f>
        <v>-0.0893353668339891</v>
      </c>
      <c r="AC1100" s="3" t="str">
        <f aca="false">Y1100</f>
        <v/>
      </c>
      <c r="AD1100" s="3" t="n">
        <f aca="false">R1100</f>
        <v>0</v>
      </c>
    </row>
    <row r="1101" customFormat="false" ht="15" hidden="false" customHeight="true" outlineLevel="0" collapsed="false">
      <c r="A1101" s="7" t="s">
        <v>64</v>
      </c>
      <c r="B1101" s="7" t="n">
        <v>1968</v>
      </c>
      <c r="C1101" s="7" t="s">
        <v>150</v>
      </c>
      <c r="D1101" s="7" t="n">
        <v>86</v>
      </c>
      <c r="E1101" s="7" t="n">
        <v>76</v>
      </c>
      <c r="F1101" s="3" t="n">
        <f aca="false">COUNTIFS($B$2:$B$2705,B1101,$C$2:$C$2705,C1101)</f>
        <v>1</v>
      </c>
      <c r="G1101" s="3" t="n">
        <f aca="false">MIN(INT((MIN(B1101,2020)-1900)/10)+1,12)</f>
        <v>7</v>
      </c>
      <c r="H1101" s="3" t="n">
        <f aca="false">(MIN(B1101,2020)-1900-10*(G1101-1))/10</f>
        <v>0.8</v>
      </c>
      <c r="I1101" s="20" t="n">
        <f aca="false">EXP(LN(INDEX(Pop_Inputs!$B$2:$N$29,MATCH(C1101,Pop_Inputs!$A$2:$A$29,0),G1101))*(1-H1101)+LN(INDEX(Pop_Inputs!$B$2:$N$29,MATCH(C1101,Pop_Inputs!$A$2:$A$29,0),G1101+1))*H1101)</f>
        <v>651922.555077681</v>
      </c>
      <c r="J1101" s="20" t="n">
        <f aca="false">I1101/F1101</f>
        <v>651922.555077681</v>
      </c>
      <c r="K1101" s="21" t="n">
        <f aca="false">D1101/(D1101+E1101)</f>
        <v>0.530864197530864</v>
      </c>
      <c r="L1101" s="21" t="n">
        <f aca="false">AVERAGEIFS($K$2:$K$2705,$B$2:$B$2705,B1101)</f>
        <v>0.499980829690975</v>
      </c>
      <c r="M1101" s="21" t="n">
        <f aca="false">K1101-L1101</f>
        <v>0.0308833678398896</v>
      </c>
      <c r="N1101" s="21" t="n">
        <f aca="false">LN(J1101)</f>
        <v>13.3876810532981</v>
      </c>
      <c r="O1101" s="21" t="n">
        <f aca="false">AVERAGEIFS($N$2:$N$2705,$B$2:$B$2705,B1101)</f>
        <v>13.8130774664076</v>
      </c>
      <c r="P1101" s="21" t="n">
        <f aca="false">N1101-O1101</f>
        <v>-0.425396413109437</v>
      </c>
      <c r="Q1101" s="7" t="n">
        <v>0</v>
      </c>
      <c r="R1101" s="3" t="n">
        <f aca="false">IF(AND(Q1101=1,B1101-_xlfn.MINIFS($B$2:$B$2705,$A$2:$A$2705,A1101)&lt;10),1,0)</f>
        <v>0</v>
      </c>
      <c r="S1101" s="7" t="n">
        <v>0</v>
      </c>
      <c r="T1101" s="3" t="n">
        <f aca="false">_xlfn.MINIFS($B$2:$B$2705,$A$2:$A$2705,A1101)</f>
        <v>1901</v>
      </c>
      <c r="U1101" s="3" t="n">
        <f aca="false">B1101-T1101</f>
        <v>67</v>
      </c>
      <c r="V1101" s="3" t="str">
        <f aca="false">INDEX(Pop_Inputs!$Q$2:$Q$29,MATCH(C1101,Pop_Inputs!$A$2:$A$29,0))</f>
        <v>Northeast</v>
      </c>
      <c r="W1101" s="30"/>
      <c r="X1101" s="3" t="str">
        <f aca="false">IF(W1101="","",LN(W1101))</f>
        <v/>
      </c>
      <c r="Y1101" s="3" t="str">
        <f aca="false">IF(X1101="","",X1101-AVERAGEIFS($X$2:$X$2705,$B$2:$B$2705,B1101))</f>
        <v/>
      </c>
      <c r="Z1101" s="21" t="n">
        <f aca="false">P1101</f>
        <v>-0.425396413109437</v>
      </c>
      <c r="AA1101" s="3" t="n">
        <f aca="false">R1101</f>
        <v>0</v>
      </c>
      <c r="AB1101" s="21" t="n">
        <f aca="false">P1101</f>
        <v>-0.425396413109437</v>
      </c>
      <c r="AC1101" s="3" t="str">
        <f aca="false">Y1101</f>
        <v/>
      </c>
      <c r="AD1101" s="3" t="n">
        <f aca="false">R1101</f>
        <v>0</v>
      </c>
    </row>
    <row r="1102" customFormat="false" ht="15" hidden="false" customHeight="true" outlineLevel="0" collapsed="false">
      <c r="A1102" s="7" t="s">
        <v>56</v>
      </c>
      <c r="B1102" s="7" t="n">
        <v>1968</v>
      </c>
      <c r="C1102" s="7" t="s">
        <v>142</v>
      </c>
      <c r="D1102" s="7" t="n">
        <v>84</v>
      </c>
      <c r="E1102" s="7" t="n">
        <v>78</v>
      </c>
      <c r="F1102" s="3" t="n">
        <f aca="false">COUNTIFS($B$2:$B$2705,B1102,$C$2:$C$2705,C1102)</f>
        <v>2</v>
      </c>
      <c r="G1102" s="3" t="n">
        <f aca="false">MIN(INT((MIN(B1102,2020)-1900)/10)+1,12)</f>
        <v>7</v>
      </c>
      <c r="H1102" s="3" t="n">
        <f aca="false">(MIN(B1102,2020)-1900-10*(G1102-1))/10</f>
        <v>0.8</v>
      </c>
      <c r="I1102" s="20" t="n">
        <f aca="false">EXP(LN(INDEX(Pop_Inputs!$B$2:$N$29,MATCH(C1102,Pop_Inputs!$A$2:$A$29,0),G1102))*(1-H1102)+LN(INDEX(Pop_Inputs!$B$2:$N$29,MATCH(C1102,Pop_Inputs!$A$2:$A$29,0),G1102+1))*H1102)</f>
        <v>3402871.9805774</v>
      </c>
      <c r="J1102" s="20" t="n">
        <f aca="false">I1102/F1102</f>
        <v>1701435.9902887</v>
      </c>
      <c r="K1102" s="21" t="n">
        <f aca="false">D1102/(D1102+E1102)</f>
        <v>0.518518518518519</v>
      </c>
      <c r="L1102" s="21" t="n">
        <f aca="false">AVERAGEIFS($K$2:$K$2705,$B$2:$B$2705,B1102)</f>
        <v>0.499980829690975</v>
      </c>
      <c r="M1102" s="21" t="n">
        <f aca="false">K1102-L1102</f>
        <v>0.0185376888275439</v>
      </c>
      <c r="N1102" s="21" t="n">
        <f aca="false">LN(J1102)</f>
        <v>14.3469831526379</v>
      </c>
      <c r="O1102" s="21" t="n">
        <f aca="false">AVERAGEIFS($N$2:$N$2705,$B$2:$B$2705,B1102)</f>
        <v>13.8130774664076</v>
      </c>
      <c r="P1102" s="21" t="n">
        <f aca="false">N1102-O1102</f>
        <v>0.533905686230302</v>
      </c>
      <c r="Q1102" s="7" t="n">
        <v>0</v>
      </c>
      <c r="R1102" s="3" t="n">
        <f aca="false">IF(AND(Q1102=1,B1102-_xlfn.MINIFS($B$2:$B$2705,$A$2:$A$2705,A1102)&lt;10),1,0)</f>
        <v>0</v>
      </c>
      <c r="S1102" s="7" t="n">
        <v>0</v>
      </c>
      <c r="T1102" s="3" t="n">
        <f aca="false">_xlfn.MINIFS($B$2:$B$2705,$A$2:$A$2705,A1102)</f>
        <v>1901</v>
      </c>
      <c r="U1102" s="3" t="n">
        <f aca="false">B1102-T1102</f>
        <v>67</v>
      </c>
      <c r="V1102" s="3" t="str">
        <f aca="false">INDEX(Pop_Inputs!$Q$2:$Q$29,MATCH(C1102,Pop_Inputs!$A$2:$A$29,0))</f>
        <v>Midwest</v>
      </c>
      <c r="W1102" s="30"/>
      <c r="X1102" s="3" t="str">
        <f aca="false">IF(W1102="","",LN(W1102))</f>
        <v/>
      </c>
      <c r="Y1102" s="3" t="str">
        <f aca="false">IF(X1102="","",X1102-AVERAGEIFS($X$2:$X$2705,$B$2:$B$2705,B1102))</f>
        <v/>
      </c>
      <c r="Z1102" s="21" t="n">
        <f aca="false">P1102</f>
        <v>0.533905686230302</v>
      </c>
      <c r="AA1102" s="3" t="n">
        <f aca="false">R1102</f>
        <v>0</v>
      </c>
      <c r="AB1102" s="21" t="n">
        <f aca="false">P1102</f>
        <v>0.533905686230302</v>
      </c>
      <c r="AC1102" s="3" t="str">
        <f aca="false">Y1102</f>
        <v/>
      </c>
      <c r="AD1102" s="3" t="n">
        <f aca="false">R1102</f>
        <v>0</v>
      </c>
    </row>
    <row r="1103" customFormat="false" ht="15" hidden="false" customHeight="true" outlineLevel="0" collapsed="false">
      <c r="A1103" s="7" t="s">
        <v>65</v>
      </c>
      <c r="B1103" s="7" t="n">
        <v>1968</v>
      </c>
      <c r="C1103" s="7" t="s">
        <v>142</v>
      </c>
      <c r="D1103" s="7" t="n">
        <v>67</v>
      </c>
      <c r="E1103" s="7" t="n">
        <v>95</v>
      </c>
      <c r="F1103" s="3" t="n">
        <f aca="false">COUNTIFS($B$2:$B$2705,B1103,$C$2:$C$2705,C1103)</f>
        <v>2</v>
      </c>
      <c r="G1103" s="3" t="n">
        <f aca="false">MIN(INT((MIN(B1103,2020)-1900)/10)+1,12)</f>
        <v>7</v>
      </c>
      <c r="H1103" s="3" t="n">
        <f aca="false">(MIN(B1103,2020)-1900-10*(G1103-1))/10</f>
        <v>0.8</v>
      </c>
      <c r="I1103" s="20" t="n">
        <f aca="false">EXP(LN(INDEX(Pop_Inputs!$B$2:$N$29,MATCH(C1103,Pop_Inputs!$A$2:$A$29,0),G1103))*(1-H1103)+LN(INDEX(Pop_Inputs!$B$2:$N$29,MATCH(C1103,Pop_Inputs!$A$2:$A$29,0),G1103+1))*H1103)</f>
        <v>3402871.9805774</v>
      </c>
      <c r="J1103" s="20" t="n">
        <f aca="false">I1103/F1103</f>
        <v>1701435.9902887</v>
      </c>
      <c r="K1103" s="21" t="n">
        <f aca="false">D1103/(D1103+E1103)</f>
        <v>0.41358024691358</v>
      </c>
      <c r="L1103" s="21" t="n">
        <f aca="false">AVERAGEIFS($K$2:$K$2705,$B$2:$B$2705,B1103)</f>
        <v>0.499980829690975</v>
      </c>
      <c r="M1103" s="21" t="n">
        <f aca="false">K1103-L1103</f>
        <v>-0.0864005827773944</v>
      </c>
      <c r="N1103" s="21" t="n">
        <f aca="false">LN(J1103)</f>
        <v>14.3469831526379</v>
      </c>
      <c r="O1103" s="21" t="n">
        <f aca="false">AVERAGEIFS($N$2:$N$2705,$B$2:$B$2705,B1103)</f>
        <v>13.8130774664076</v>
      </c>
      <c r="P1103" s="21" t="n">
        <f aca="false">N1103-O1103</f>
        <v>0.533905686230302</v>
      </c>
      <c r="Q1103" s="7" t="n">
        <v>0</v>
      </c>
      <c r="R1103" s="3" t="n">
        <f aca="false">IF(AND(Q1103=1,B1103-_xlfn.MINIFS($B$2:$B$2705,$A$2:$A$2705,A1103)&lt;10),1,0)</f>
        <v>0</v>
      </c>
      <c r="S1103" s="7" t="n">
        <v>0</v>
      </c>
      <c r="T1103" s="3" t="n">
        <f aca="false">_xlfn.MINIFS($B$2:$B$2705,$A$2:$A$2705,A1103)</f>
        <v>1901</v>
      </c>
      <c r="U1103" s="3" t="n">
        <f aca="false">B1103-T1103</f>
        <v>67</v>
      </c>
      <c r="V1103" s="3" t="str">
        <f aca="false">INDEX(Pop_Inputs!$Q$2:$Q$29,MATCH(C1103,Pop_Inputs!$A$2:$A$29,0))</f>
        <v>Midwest</v>
      </c>
      <c r="W1103" s="30"/>
      <c r="X1103" s="3" t="str">
        <f aca="false">IF(W1103="","",LN(W1103))</f>
        <v/>
      </c>
      <c r="Y1103" s="3" t="str">
        <f aca="false">IF(X1103="","",X1103-AVERAGEIFS($X$2:$X$2705,$B$2:$B$2705,B1103))</f>
        <v/>
      </c>
      <c r="Z1103" s="21" t="n">
        <f aca="false">P1103</f>
        <v>0.533905686230302</v>
      </c>
      <c r="AA1103" s="3" t="n">
        <f aca="false">R1103</f>
        <v>0</v>
      </c>
      <c r="AB1103" s="21" t="n">
        <f aca="false">P1103</f>
        <v>0.533905686230302</v>
      </c>
      <c r="AC1103" s="3" t="str">
        <f aca="false">Y1103</f>
        <v/>
      </c>
      <c r="AD1103" s="3" t="n">
        <f aca="false">R1103</f>
        <v>0</v>
      </c>
    </row>
    <row r="1104" customFormat="false" ht="15" hidden="false" customHeight="true" outlineLevel="0" collapsed="false">
      <c r="A1104" s="7" t="s">
        <v>57</v>
      </c>
      <c r="B1104" s="7" t="n">
        <v>1968</v>
      </c>
      <c r="C1104" s="7" t="s">
        <v>143</v>
      </c>
      <c r="D1104" s="7" t="n">
        <v>83</v>
      </c>
      <c r="E1104" s="7" t="n">
        <v>79</v>
      </c>
      <c r="F1104" s="3" t="n">
        <f aca="false">COUNTIFS($B$2:$B$2705,B1104,$C$2:$C$2705,C1104)</f>
        <v>1</v>
      </c>
      <c r="G1104" s="3" t="n">
        <f aca="false">MIN(INT((MIN(B1104,2020)-1900)/10)+1,12)</f>
        <v>7</v>
      </c>
      <c r="H1104" s="3" t="n">
        <f aca="false">(MIN(B1104,2020)-1900-10*(G1104-1))/10</f>
        <v>0.8</v>
      </c>
      <c r="I1104" s="20" t="n">
        <f aca="false">EXP(LN(INDEX(Pop_Inputs!$B$2:$N$29,MATCH(C1104,Pop_Inputs!$A$2:$A$29,0),G1104))*(1-H1104)+LN(INDEX(Pop_Inputs!$B$2:$N$29,MATCH(C1104,Pop_Inputs!$A$2:$A$29,0),G1104+1))*H1104)</f>
        <v>462114.841875582</v>
      </c>
      <c r="J1104" s="20" t="n">
        <f aca="false">I1104/F1104</f>
        <v>462114.841875582</v>
      </c>
      <c r="K1104" s="21" t="n">
        <f aca="false">D1104/(D1104+E1104)</f>
        <v>0.512345679012346</v>
      </c>
      <c r="L1104" s="21" t="n">
        <f aca="false">AVERAGEIFS($K$2:$K$2705,$B$2:$B$2705,B1104)</f>
        <v>0.499980829690975</v>
      </c>
      <c r="M1104" s="21" t="n">
        <f aca="false">K1104-L1104</f>
        <v>0.0123648493213711</v>
      </c>
      <c r="N1104" s="21" t="n">
        <f aca="false">LN(J1104)</f>
        <v>13.0435687146624</v>
      </c>
      <c r="O1104" s="21" t="n">
        <f aca="false">AVERAGEIFS($N$2:$N$2705,$B$2:$B$2705,B1104)</f>
        <v>13.8130774664076</v>
      </c>
      <c r="P1104" s="21" t="n">
        <f aca="false">N1104-O1104</f>
        <v>-0.769508751745173</v>
      </c>
      <c r="Q1104" s="7" t="n">
        <v>0</v>
      </c>
      <c r="R1104" s="3" t="n">
        <f aca="false">IF(AND(Q1104=1,B1104-_xlfn.MINIFS($B$2:$B$2705,$A$2:$A$2705,A1104)&lt;10),1,0)</f>
        <v>0</v>
      </c>
      <c r="S1104" s="7" t="n">
        <v>0</v>
      </c>
      <c r="T1104" s="3" t="n">
        <f aca="false">_xlfn.MINIFS($B$2:$B$2705,$A$2:$A$2705,A1104)</f>
        <v>1901</v>
      </c>
      <c r="U1104" s="3" t="n">
        <f aca="false">B1104-T1104</f>
        <v>67</v>
      </c>
      <c r="V1104" s="3" t="str">
        <f aca="false">INDEX(Pop_Inputs!$Q$2:$Q$29,MATCH(C1104,Pop_Inputs!$A$2:$A$29,0))</f>
        <v>Midwest</v>
      </c>
      <c r="W1104" s="30"/>
      <c r="X1104" s="3" t="str">
        <f aca="false">IF(W1104="","",LN(W1104))</f>
        <v/>
      </c>
      <c r="Y1104" s="3" t="str">
        <f aca="false">IF(X1104="","",X1104-AVERAGEIFS($X$2:$X$2705,$B$2:$B$2705,B1104))</f>
        <v/>
      </c>
      <c r="Z1104" s="21" t="n">
        <f aca="false">P1104</f>
        <v>-0.769508751745173</v>
      </c>
      <c r="AA1104" s="3" t="n">
        <f aca="false">R1104</f>
        <v>0</v>
      </c>
      <c r="AB1104" s="21" t="n">
        <f aca="false">P1104</f>
        <v>-0.769508751745173</v>
      </c>
      <c r="AC1104" s="3" t="str">
        <f aca="false">Y1104</f>
        <v/>
      </c>
      <c r="AD1104" s="3" t="n">
        <f aca="false">R1104</f>
        <v>0</v>
      </c>
    </row>
    <row r="1105" customFormat="false" ht="15" hidden="false" customHeight="true" outlineLevel="0" collapsed="false">
      <c r="A1105" s="7" t="s">
        <v>66</v>
      </c>
      <c r="B1105" s="7" t="n">
        <v>1968</v>
      </c>
      <c r="C1105" s="7" t="s">
        <v>151</v>
      </c>
      <c r="D1105" s="7" t="n">
        <v>86</v>
      </c>
      <c r="E1105" s="7" t="n">
        <v>75</v>
      </c>
      <c r="F1105" s="3" t="n">
        <f aca="false">COUNTIFS($B$2:$B$2705,B1105,$C$2:$C$2705,C1105)</f>
        <v>1</v>
      </c>
      <c r="G1105" s="3" t="n">
        <f aca="false">MIN(INT((MIN(B1105,2020)-1900)/10)+1,12)</f>
        <v>7</v>
      </c>
      <c r="H1105" s="3" t="n">
        <f aca="false">(MIN(B1105,2020)-1900-10*(G1105-1))/10</f>
        <v>0.8</v>
      </c>
      <c r="I1105" s="20" t="n">
        <f aca="false">EXP(LN(INDEX(Pop_Inputs!$B$2:$N$29,MATCH(C1105,Pop_Inputs!$A$2:$A$29,0),G1105))*(1-H1105)+LN(INDEX(Pop_Inputs!$B$2:$N$29,MATCH(C1105,Pop_Inputs!$A$2:$A$29,0),G1105+1))*H1105)</f>
        <v>774413.384277735</v>
      </c>
      <c r="J1105" s="20" t="n">
        <f aca="false">I1105/F1105</f>
        <v>774413.384277735</v>
      </c>
      <c r="K1105" s="21" t="n">
        <f aca="false">D1105/(D1105+E1105)</f>
        <v>0.53416149068323</v>
      </c>
      <c r="L1105" s="21" t="n">
        <f aca="false">AVERAGEIFS($K$2:$K$2705,$B$2:$B$2705,B1105)</f>
        <v>0.499980829690975</v>
      </c>
      <c r="M1105" s="21" t="n">
        <f aca="false">K1105-L1105</f>
        <v>0.0341806609922552</v>
      </c>
      <c r="N1105" s="21" t="n">
        <f aca="false">LN(J1105)</f>
        <v>13.5598610982116</v>
      </c>
      <c r="O1105" s="21" t="n">
        <f aca="false">AVERAGEIFS($N$2:$N$2705,$B$2:$B$2705,B1105)</f>
        <v>13.8130774664076</v>
      </c>
      <c r="P1105" s="21" t="n">
        <f aca="false">N1105-O1105</f>
        <v>-0.253216368195909</v>
      </c>
      <c r="Q1105" s="7" t="n">
        <v>0</v>
      </c>
      <c r="R1105" s="3" t="n">
        <f aca="false">IF(AND(Q1105=1,B1105-_xlfn.MINIFS($B$2:$B$2705,$A$2:$A$2705,A1105)&lt;10),1,0)</f>
        <v>0</v>
      </c>
      <c r="S1105" s="7" t="n">
        <v>0</v>
      </c>
      <c r="T1105" s="3" t="n">
        <f aca="false">_xlfn.MINIFS($B$2:$B$2705,$A$2:$A$2705,A1105)</f>
        <v>1901</v>
      </c>
      <c r="U1105" s="3" t="n">
        <f aca="false">B1105-T1105</f>
        <v>67</v>
      </c>
      <c r="V1105" s="3" t="str">
        <f aca="false">INDEX(Pop_Inputs!$Q$2:$Q$29,MATCH(C1105,Pop_Inputs!$A$2:$A$29,0))</f>
        <v>Midwest</v>
      </c>
      <c r="W1105" s="30"/>
      <c r="X1105" s="3" t="str">
        <f aca="false">IF(W1105="","",LN(W1105))</f>
        <v/>
      </c>
      <c r="Y1105" s="3" t="str">
        <f aca="false">IF(X1105="","",X1105-AVERAGEIFS($X$2:$X$2705,$B$2:$B$2705,B1105))</f>
        <v/>
      </c>
      <c r="Z1105" s="21" t="n">
        <f aca="false">P1105</f>
        <v>-0.253216368195909</v>
      </c>
      <c r="AA1105" s="3" t="n">
        <f aca="false">R1105</f>
        <v>0</v>
      </c>
      <c r="AB1105" s="21" t="n">
        <f aca="false">P1105</f>
        <v>-0.253216368195909</v>
      </c>
      <c r="AC1105" s="3" t="str">
        <f aca="false">Y1105</f>
        <v/>
      </c>
      <c r="AD1105" s="3" t="n">
        <f aca="false">R1105</f>
        <v>0</v>
      </c>
    </row>
    <row r="1106" customFormat="false" ht="15" hidden="false" customHeight="true" outlineLevel="0" collapsed="false">
      <c r="A1106" s="7" t="s">
        <v>67</v>
      </c>
      <c r="B1106" s="7" t="n">
        <v>1968</v>
      </c>
      <c r="C1106" s="7" t="s">
        <v>152</v>
      </c>
      <c r="D1106" s="7" t="n">
        <v>103</v>
      </c>
      <c r="E1106" s="7" t="n">
        <v>59</v>
      </c>
      <c r="F1106" s="3" t="n">
        <f aca="false">COUNTIFS($B$2:$B$2705,B1106,$C$2:$C$2705,C1106)</f>
        <v>1</v>
      </c>
      <c r="G1106" s="3" t="n">
        <f aca="false">MIN(INT((MIN(B1106,2020)-1900)/10)+1,12)</f>
        <v>7</v>
      </c>
      <c r="H1106" s="3" t="n">
        <f aca="false">(MIN(B1106,2020)-1900-10*(G1106-1))/10</f>
        <v>0.8</v>
      </c>
      <c r="I1106" s="20" t="n">
        <f aca="false">EXP(LN(INDEX(Pop_Inputs!$B$2:$N$29,MATCH(C1106,Pop_Inputs!$A$2:$A$29,0),G1106))*(1-H1106)+LN(INDEX(Pop_Inputs!$B$2:$N$29,MATCH(C1106,Pop_Inputs!$A$2:$A$29,0),G1106+1))*H1106)</f>
        <v>1541960.21087381</v>
      </c>
      <c r="J1106" s="20" t="n">
        <f aca="false">I1106/F1106</f>
        <v>1541960.21087381</v>
      </c>
      <c r="K1106" s="21" t="n">
        <f aca="false">D1106/(D1106+E1106)</f>
        <v>0.635802469135803</v>
      </c>
      <c r="L1106" s="21" t="n">
        <f aca="false">AVERAGEIFS($K$2:$K$2705,$B$2:$B$2705,B1106)</f>
        <v>0.499980829690975</v>
      </c>
      <c r="M1106" s="21" t="n">
        <f aca="false">K1106-L1106</f>
        <v>0.135821639444828</v>
      </c>
      <c r="N1106" s="21" t="n">
        <f aca="false">LN(J1106)</f>
        <v>14.2485650291887</v>
      </c>
      <c r="O1106" s="21" t="n">
        <f aca="false">AVERAGEIFS($N$2:$N$2705,$B$2:$B$2705,B1106)</f>
        <v>13.8130774664076</v>
      </c>
      <c r="P1106" s="21" t="n">
        <f aca="false">N1106-O1106</f>
        <v>0.435487562781159</v>
      </c>
      <c r="Q1106" s="7" t="n">
        <v>0</v>
      </c>
      <c r="R1106" s="3" t="n">
        <f aca="false">IF(AND(Q1106=1,B1106-_xlfn.MINIFS($B$2:$B$2705,$A$2:$A$2705,A1106)&lt;10),1,0)</f>
        <v>0</v>
      </c>
      <c r="S1106" s="7" t="n">
        <v>0</v>
      </c>
      <c r="T1106" s="3" t="n">
        <f aca="false">_xlfn.MINIFS($B$2:$B$2705,$A$2:$A$2705,A1106)</f>
        <v>1901</v>
      </c>
      <c r="U1106" s="3" t="n">
        <f aca="false">B1106-T1106</f>
        <v>67</v>
      </c>
      <c r="V1106" s="3" t="str">
        <f aca="false">INDEX(Pop_Inputs!$Q$2:$Q$29,MATCH(C1106,Pop_Inputs!$A$2:$A$29,0))</f>
        <v>Midwest</v>
      </c>
      <c r="W1106" s="30"/>
      <c r="X1106" s="3" t="str">
        <f aca="false">IF(W1106="","",LN(W1106))</f>
        <v/>
      </c>
      <c r="Y1106" s="3" t="str">
        <f aca="false">IF(X1106="","",X1106-AVERAGEIFS($X$2:$X$2705,$B$2:$B$2705,B1106))</f>
        <v/>
      </c>
      <c r="Z1106" s="21" t="n">
        <f aca="false">P1106</f>
        <v>0.435487562781159</v>
      </c>
      <c r="AA1106" s="3" t="n">
        <f aca="false">R1106</f>
        <v>0</v>
      </c>
      <c r="AB1106" s="21" t="n">
        <f aca="false">P1106</f>
        <v>0.435487562781159</v>
      </c>
      <c r="AC1106" s="3" t="str">
        <f aca="false">Y1106</f>
        <v/>
      </c>
      <c r="AD1106" s="3" t="n">
        <f aca="false">R1106</f>
        <v>0</v>
      </c>
    </row>
    <row r="1107" customFormat="false" ht="15" hidden="false" customHeight="true" outlineLevel="0" collapsed="false">
      <c r="A1107" s="7" t="s">
        <v>74</v>
      </c>
      <c r="B1107" s="7" t="n">
        <v>1968</v>
      </c>
      <c r="C1107" s="7" t="s">
        <v>156</v>
      </c>
      <c r="D1107" s="7" t="n">
        <v>72</v>
      </c>
      <c r="E1107" s="7" t="n">
        <v>90</v>
      </c>
      <c r="F1107" s="3" t="n">
        <f aca="false">COUNTIFS($B$2:$B$2705,B1107,$C$2:$C$2705,C1107)</f>
        <v>1</v>
      </c>
      <c r="G1107" s="3" t="n">
        <f aca="false">MIN(INT((MIN(B1107,2020)-1900)/10)+1,12)</f>
        <v>7</v>
      </c>
      <c r="H1107" s="3" t="n">
        <f aca="false">(MIN(B1107,2020)-1900-10*(G1107-1))/10</f>
        <v>0.8</v>
      </c>
      <c r="I1107" s="20" t="n">
        <f aca="false">EXP(LN(INDEX(Pop_Inputs!$B$2:$N$29,MATCH(C1107,Pop_Inputs!$A$2:$A$29,0),G1107))*(1-H1107)+LN(INDEX(Pop_Inputs!$B$2:$N$29,MATCH(C1107,Pop_Inputs!$A$2:$A$29,0),G1107+1))*H1107)</f>
        <v>1167281.24846896</v>
      </c>
      <c r="J1107" s="20" t="n">
        <f aca="false">I1107/F1107</f>
        <v>1167281.24846896</v>
      </c>
      <c r="K1107" s="21" t="n">
        <f aca="false">D1107/(D1107+E1107)</f>
        <v>0.444444444444444</v>
      </c>
      <c r="L1107" s="21" t="n">
        <f aca="false">AVERAGEIFS($K$2:$K$2705,$B$2:$B$2705,B1107)</f>
        <v>0.499980829690975</v>
      </c>
      <c r="M1107" s="21" t="n">
        <f aca="false">K1107-L1107</f>
        <v>-0.0555363852465302</v>
      </c>
      <c r="N1107" s="21" t="n">
        <f aca="false">LN(J1107)</f>
        <v>13.9701878834913</v>
      </c>
      <c r="O1107" s="21" t="n">
        <f aca="false">AVERAGEIFS($N$2:$N$2705,$B$2:$B$2705,B1107)</f>
        <v>13.8130774664076</v>
      </c>
      <c r="P1107" s="21" t="n">
        <f aca="false">N1107-O1107</f>
        <v>0.157110417083752</v>
      </c>
      <c r="Q1107" s="7" t="n">
        <v>1</v>
      </c>
      <c r="R1107" s="3" t="n">
        <f aca="false">IF(AND(Q1107=1,B1107-_xlfn.MINIFS($B$2:$B$2705,$A$2:$A$2705,A1107)&lt;10),1,0)</f>
        <v>1</v>
      </c>
      <c r="S1107" s="7" t="n">
        <v>0</v>
      </c>
      <c r="T1107" s="3" t="n">
        <f aca="false">_xlfn.MINIFS($B$2:$B$2705,$A$2:$A$2705,A1107)</f>
        <v>1962</v>
      </c>
      <c r="U1107" s="3" t="n">
        <f aca="false">B1107-T1107</f>
        <v>6</v>
      </c>
      <c r="V1107" s="3" t="str">
        <f aca="false">INDEX(Pop_Inputs!$Q$2:$Q$29,MATCH(C1107,Pop_Inputs!$A$2:$A$29,0))</f>
        <v>South</v>
      </c>
      <c r="W1107" s="30"/>
      <c r="X1107" s="3" t="str">
        <f aca="false">IF(W1107="","",LN(W1107))</f>
        <v/>
      </c>
      <c r="Y1107" s="3" t="str">
        <f aca="false">IF(X1107="","",X1107-AVERAGEIFS($X$2:$X$2705,$B$2:$B$2705,B1107))</f>
        <v/>
      </c>
      <c r="Z1107" s="21" t="n">
        <f aca="false">P1107</f>
        <v>0.157110417083752</v>
      </c>
      <c r="AA1107" s="3" t="n">
        <f aca="false">R1107</f>
        <v>1</v>
      </c>
      <c r="AB1107" s="21" t="n">
        <f aca="false">P1107</f>
        <v>0.157110417083752</v>
      </c>
      <c r="AC1107" s="3" t="str">
        <f aca="false">Y1107</f>
        <v/>
      </c>
      <c r="AD1107" s="3" t="n">
        <f aca="false">R1107</f>
        <v>1</v>
      </c>
    </row>
    <row r="1108" customFormat="false" ht="15" hidden="false" customHeight="true" outlineLevel="0" collapsed="false">
      <c r="A1108" s="7" t="s">
        <v>62</v>
      </c>
      <c r="B1108" s="7" t="n">
        <v>1968</v>
      </c>
      <c r="C1108" s="7" t="s">
        <v>148</v>
      </c>
      <c r="D1108" s="7" t="n">
        <v>76</v>
      </c>
      <c r="E1108" s="7" t="n">
        <v>86</v>
      </c>
      <c r="F1108" s="3" t="n">
        <f aca="false">COUNTIFS($B$2:$B$2705,B1108,$C$2:$C$2705,C1108)</f>
        <v>2</v>
      </c>
      <c r="G1108" s="3" t="n">
        <f aca="false">MIN(INT((MIN(B1108,2020)-1900)/10)+1,12)</f>
        <v>7</v>
      </c>
      <c r="H1108" s="3" t="n">
        <f aca="false">(MIN(B1108,2020)-1900-10*(G1108-1))/10</f>
        <v>0.8</v>
      </c>
      <c r="I1108" s="20" t="n">
        <f aca="false">EXP(LN(INDEX(Pop_Inputs!$B$2:$N$29,MATCH(C1108,Pop_Inputs!$A$2:$A$29,0),G1108))*(1-H1108)+LN(INDEX(Pop_Inputs!$B$2:$N$29,MATCH(C1108,Pop_Inputs!$A$2:$A$29,0),G1108+1))*H1108)</f>
        <v>2745171.47399097</v>
      </c>
      <c r="J1108" s="20" t="n">
        <f aca="false">I1108/F1108</f>
        <v>1372585.73699548</v>
      </c>
      <c r="K1108" s="21" t="n">
        <f aca="false">D1108/(D1108+E1108)</f>
        <v>0.469135802469136</v>
      </c>
      <c r="L1108" s="21" t="n">
        <f aca="false">AVERAGEIFS($K$2:$K$2705,$B$2:$B$2705,B1108)</f>
        <v>0.499980829690975</v>
      </c>
      <c r="M1108" s="21" t="n">
        <f aca="false">K1108-L1108</f>
        <v>-0.0308450272218389</v>
      </c>
      <c r="N1108" s="21" t="n">
        <f aca="false">LN(J1108)</f>
        <v>14.1322069181711</v>
      </c>
      <c r="O1108" s="21" t="n">
        <f aca="false">AVERAGEIFS($N$2:$N$2705,$B$2:$B$2705,B1108)</f>
        <v>13.8130774664076</v>
      </c>
      <c r="P1108" s="21" t="n">
        <f aca="false">N1108-O1108</f>
        <v>0.319129451763512</v>
      </c>
      <c r="Q1108" s="7" t="n">
        <v>0</v>
      </c>
      <c r="R1108" s="3" t="n">
        <f aca="false">IF(AND(Q1108=1,B1108-_xlfn.MINIFS($B$2:$B$2705,$A$2:$A$2705,A1108)&lt;10),1,0)</f>
        <v>0</v>
      </c>
      <c r="S1108" s="7" t="n">
        <v>0</v>
      </c>
      <c r="T1108" s="3" t="n">
        <f aca="false">_xlfn.MINIFS($B$2:$B$2705,$A$2:$A$2705,A1108)</f>
        <v>1901</v>
      </c>
      <c r="U1108" s="3" t="n">
        <f aca="false">B1108-T1108</f>
        <v>67</v>
      </c>
      <c r="V1108" s="3" t="str">
        <f aca="false">INDEX(Pop_Inputs!$Q$2:$Q$29,MATCH(C1108,Pop_Inputs!$A$2:$A$29,0))</f>
        <v>West</v>
      </c>
      <c r="W1108" s="30"/>
      <c r="X1108" s="3" t="str">
        <f aca="false">IF(W1108="","",LN(W1108))</f>
        <v/>
      </c>
      <c r="Y1108" s="3" t="str">
        <f aca="false">IF(X1108="","",X1108-AVERAGEIFS($X$2:$X$2705,$B$2:$B$2705,B1108))</f>
        <v/>
      </c>
      <c r="Z1108" s="21" t="n">
        <f aca="false">P1108</f>
        <v>0.319129451763512</v>
      </c>
      <c r="AA1108" s="3" t="n">
        <f aca="false">R1108</f>
        <v>0</v>
      </c>
      <c r="AB1108" s="21" t="n">
        <f aca="false">P1108</f>
        <v>0.319129451763512</v>
      </c>
      <c r="AC1108" s="3" t="str">
        <f aca="false">Y1108</f>
        <v/>
      </c>
      <c r="AD1108" s="3" t="n">
        <f aca="false">R1108</f>
        <v>0</v>
      </c>
    </row>
    <row r="1109" customFormat="false" ht="15" hidden="false" customHeight="true" outlineLevel="0" collapsed="false">
      <c r="A1109" s="7" t="s">
        <v>68</v>
      </c>
      <c r="B1109" s="7" t="n">
        <v>1968</v>
      </c>
      <c r="C1109" s="7" t="s">
        <v>153</v>
      </c>
      <c r="D1109" s="7" t="n">
        <v>79</v>
      </c>
      <c r="E1109" s="7" t="n">
        <v>83</v>
      </c>
      <c r="F1109" s="3" t="n">
        <f aca="false">COUNTIFS($B$2:$B$2705,B1109,$C$2:$C$2705,C1109)</f>
        <v>1</v>
      </c>
      <c r="G1109" s="3" t="n">
        <f aca="false">MIN(INT((MIN(B1109,2020)-1900)/10)+1,12)</f>
        <v>7</v>
      </c>
      <c r="H1109" s="3" t="n">
        <f aca="false">(MIN(B1109,2020)-1900-10*(G1109-1))/10</f>
        <v>0.8</v>
      </c>
      <c r="I1109" s="20" t="n">
        <f aca="false">EXP(LN(INDEX(Pop_Inputs!$B$2:$N$29,MATCH(C1109,Pop_Inputs!$A$2:$A$29,0),G1109))*(1-H1109)+LN(INDEX(Pop_Inputs!$B$2:$N$29,MATCH(C1109,Pop_Inputs!$A$2:$A$29,0),G1109+1))*H1109)</f>
        <v>443688.58736049</v>
      </c>
      <c r="J1109" s="20" t="n">
        <f aca="false">I1109/F1109</f>
        <v>443688.58736049</v>
      </c>
      <c r="K1109" s="21" t="n">
        <f aca="false">D1109/(D1109+E1109)</f>
        <v>0.487654320987654</v>
      </c>
      <c r="L1109" s="21" t="n">
        <f aca="false">AVERAGEIFS($K$2:$K$2705,$B$2:$B$2705,B1109)</f>
        <v>0.499980829690975</v>
      </c>
      <c r="M1109" s="21" t="n">
        <f aca="false">K1109-L1109</f>
        <v>-0.0123265087033203</v>
      </c>
      <c r="N1109" s="21" t="n">
        <f aca="false">LN(J1109)</f>
        <v>13.0028782155138</v>
      </c>
      <c r="O1109" s="21" t="n">
        <f aca="false">AVERAGEIFS($N$2:$N$2705,$B$2:$B$2705,B1109)</f>
        <v>13.8130774664076</v>
      </c>
      <c r="P1109" s="21" t="n">
        <f aca="false">N1109-O1109</f>
        <v>-0.810199250893804</v>
      </c>
      <c r="Q1109" s="7" t="n">
        <v>0</v>
      </c>
      <c r="R1109" s="3" t="n">
        <f aca="false">IF(AND(Q1109=1,B1109-_xlfn.MINIFS($B$2:$B$2705,$A$2:$A$2705,A1109)&lt;10),1,0)</f>
        <v>0</v>
      </c>
      <c r="S1109" s="7" t="n">
        <v>0</v>
      </c>
      <c r="T1109" s="3" t="n">
        <f aca="false">_xlfn.MINIFS($B$2:$B$2705,$A$2:$A$2705,A1109)</f>
        <v>1901</v>
      </c>
      <c r="U1109" s="3" t="n">
        <f aca="false">B1109-T1109</f>
        <v>67</v>
      </c>
      <c r="V1109" s="3" t="str">
        <f aca="false">INDEX(Pop_Inputs!$Q$2:$Q$29,MATCH(C1109,Pop_Inputs!$A$2:$A$29,0))</f>
        <v>Midwest</v>
      </c>
      <c r="W1109" s="30"/>
      <c r="X1109" s="3" t="str">
        <f aca="false">IF(W1109="","",LN(W1109))</f>
        <v/>
      </c>
      <c r="Y1109" s="3" t="str">
        <f aca="false">IF(X1109="","",X1109-AVERAGEIFS($X$2:$X$2705,$B$2:$B$2705,B1109))</f>
        <v/>
      </c>
      <c r="Z1109" s="21" t="n">
        <f aca="false">P1109</f>
        <v>-0.810199250893804</v>
      </c>
      <c r="AA1109" s="3" t="n">
        <f aca="false">R1109</f>
        <v>0</v>
      </c>
      <c r="AB1109" s="21" t="n">
        <f aca="false">P1109</f>
        <v>-0.810199250893804</v>
      </c>
      <c r="AC1109" s="3" t="str">
        <f aca="false">Y1109</f>
        <v/>
      </c>
      <c r="AD1109" s="3" t="n">
        <f aca="false">R1109</f>
        <v>0</v>
      </c>
    </row>
    <row r="1110" customFormat="false" ht="15" hidden="false" customHeight="true" outlineLevel="0" collapsed="false">
      <c r="A1110" s="7" t="s">
        <v>75</v>
      </c>
      <c r="B1110" s="7" t="n">
        <v>1968</v>
      </c>
      <c r="C1110" s="7" t="s">
        <v>154</v>
      </c>
      <c r="D1110" s="7" t="n">
        <v>73</v>
      </c>
      <c r="E1110" s="7" t="n">
        <v>89</v>
      </c>
      <c r="F1110" s="3" t="n">
        <f aca="false">COUNTIFS($B$2:$B$2705,B1110,$C$2:$C$2705,C1110)</f>
        <v>2</v>
      </c>
      <c r="G1110" s="3" t="n">
        <f aca="false">MIN(INT((MIN(B1110,2020)-1900)/10)+1,12)</f>
        <v>7</v>
      </c>
      <c r="H1110" s="3" t="n">
        <f aca="false">(MIN(B1110,2020)-1900-10*(G1110-1))/10</f>
        <v>0.8</v>
      </c>
      <c r="I1110" s="20" t="n">
        <f aca="false">EXP(LN(INDEX(Pop_Inputs!$B$2:$N$29,MATCH(C1110,Pop_Inputs!$A$2:$A$29,0),G1110))*(1-H1110)+LN(INDEX(Pop_Inputs!$B$2:$N$29,MATCH(C1110,Pop_Inputs!$A$2:$A$29,0),G1110+1))*H1110)</f>
        <v>7872156.16995926</v>
      </c>
      <c r="J1110" s="20" t="n">
        <f aca="false">I1110/F1110</f>
        <v>3936078.08497963</v>
      </c>
      <c r="K1110" s="21" t="n">
        <f aca="false">D1110/(D1110+E1110)</f>
        <v>0.450617283950617</v>
      </c>
      <c r="L1110" s="21" t="n">
        <f aca="false">AVERAGEIFS($K$2:$K$2705,$B$2:$B$2705,B1110)</f>
        <v>0.499980829690975</v>
      </c>
      <c r="M1110" s="21" t="n">
        <f aca="false">K1110-L1110</f>
        <v>-0.0493635457403573</v>
      </c>
      <c r="N1110" s="21" t="n">
        <f aca="false">LN(J1110)</f>
        <v>15.185695375621</v>
      </c>
      <c r="O1110" s="21" t="n">
        <f aca="false">AVERAGEIFS($N$2:$N$2705,$B$2:$B$2705,B1110)</f>
        <v>13.8130774664076</v>
      </c>
      <c r="P1110" s="21" t="n">
        <f aca="false">N1110-O1110</f>
        <v>1.37261790921347</v>
      </c>
      <c r="Q1110" s="7" t="n">
        <v>1</v>
      </c>
      <c r="R1110" s="3" t="n">
        <f aca="false">IF(AND(Q1110=1,B1110-_xlfn.MINIFS($B$2:$B$2705,$A$2:$A$2705,A1110)&lt;10),1,0)</f>
        <v>1</v>
      </c>
      <c r="S1110" s="7" t="n">
        <v>0</v>
      </c>
      <c r="T1110" s="3" t="n">
        <f aca="false">_xlfn.MINIFS($B$2:$B$2705,$A$2:$A$2705,A1110)</f>
        <v>1962</v>
      </c>
      <c r="U1110" s="3" t="n">
        <f aca="false">B1110-T1110</f>
        <v>6</v>
      </c>
      <c r="V1110" s="3" t="str">
        <f aca="false">INDEX(Pop_Inputs!$Q$2:$Q$29,MATCH(C1110,Pop_Inputs!$A$2:$A$29,0))</f>
        <v>Northeast</v>
      </c>
      <c r="W1110" s="30"/>
      <c r="X1110" s="3" t="str">
        <f aca="false">IF(W1110="","",LN(W1110))</f>
        <v/>
      </c>
      <c r="Y1110" s="3" t="str">
        <f aca="false">IF(X1110="","",X1110-AVERAGEIFS($X$2:$X$2705,$B$2:$B$2705,B1110))</f>
        <v/>
      </c>
      <c r="Z1110" s="21" t="n">
        <f aca="false">P1110</f>
        <v>1.37261790921347</v>
      </c>
      <c r="AA1110" s="3" t="n">
        <f aca="false">R1110</f>
        <v>1</v>
      </c>
      <c r="AB1110" s="21" t="n">
        <f aca="false">P1110</f>
        <v>1.37261790921347</v>
      </c>
      <c r="AC1110" s="3" t="str">
        <f aca="false">Y1110</f>
        <v/>
      </c>
      <c r="AD1110" s="3" t="n">
        <f aca="false">R1110</f>
        <v>1</v>
      </c>
    </row>
    <row r="1111" customFormat="false" ht="15" hidden="false" customHeight="true" outlineLevel="0" collapsed="false">
      <c r="A1111" s="7" t="s">
        <v>70</v>
      </c>
      <c r="B1111" s="7" t="n">
        <v>1968</v>
      </c>
      <c r="C1111" s="7" t="s">
        <v>154</v>
      </c>
      <c r="D1111" s="7" t="n">
        <v>83</v>
      </c>
      <c r="E1111" s="7" t="n">
        <v>79</v>
      </c>
      <c r="F1111" s="3" t="n">
        <f aca="false">COUNTIFS($B$2:$B$2705,B1111,$C$2:$C$2705,C1111)</f>
        <v>2</v>
      </c>
      <c r="G1111" s="3" t="n">
        <f aca="false">MIN(INT((MIN(B1111,2020)-1900)/10)+1,12)</f>
        <v>7</v>
      </c>
      <c r="H1111" s="3" t="n">
        <f aca="false">(MIN(B1111,2020)-1900-10*(G1111-1))/10</f>
        <v>0.8</v>
      </c>
      <c r="I1111" s="20" t="n">
        <f aca="false">EXP(LN(INDEX(Pop_Inputs!$B$2:$N$29,MATCH(C1111,Pop_Inputs!$A$2:$A$29,0),G1111))*(1-H1111)+LN(INDEX(Pop_Inputs!$B$2:$N$29,MATCH(C1111,Pop_Inputs!$A$2:$A$29,0),G1111+1))*H1111)</f>
        <v>7872156.16995926</v>
      </c>
      <c r="J1111" s="20" t="n">
        <f aca="false">I1111/F1111</f>
        <v>3936078.08497963</v>
      </c>
      <c r="K1111" s="21" t="n">
        <f aca="false">D1111/(D1111+E1111)</f>
        <v>0.512345679012346</v>
      </c>
      <c r="L1111" s="21" t="n">
        <f aca="false">AVERAGEIFS($K$2:$K$2705,$B$2:$B$2705,B1111)</f>
        <v>0.499980829690975</v>
      </c>
      <c r="M1111" s="21" t="n">
        <f aca="false">K1111-L1111</f>
        <v>0.0123648493213711</v>
      </c>
      <c r="N1111" s="21" t="n">
        <f aca="false">LN(J1111)</f>
        <v>15.185695375621</v>
      </c>
      <c r="O1111" s="21" t="n">
        <f aca="false">AVERAGEIFS($N$2:$N$2705,$B$2:$B$2705,B1111)</f>
        <v>13.8130774664076</v>
      </c>
      <c r="P1111" s="21" t="n">
        <f aca="false">N1111-O1111</f>
        <v>1.37261790921347</v>
      </c>
      <c r="Q1111" s="7" t="n">
        <v>0</v>
      </c>
      <c r="R1111" s="3" t="n">
        <f aca="false">IF(AND(Q1111=1,B1111-_xlfn.MINIFS($B$2:$B$2705,$A$2:$A$2705,A1111)&lt;10),1,0)</f>
        <v>0</v>
      </c>
      <c r="S1111" s="7" t="n">
        <v>1</v>
      </c>
      <c r="T1111" s="3" t="n">
        <f aca="false">_xlfn.MINIFS($B$2:$B$2705,$A$2:$A$2705,A1111)</f>
        <v>1903</v>
      </c>
      <c r="U1111" s="3" t="n">
        <f aca="false">B1111-T1111</f>
        <v>65</v>
      </c>
      <c r="V1111" s="3" t="str">
        <f aca="false">INDEX(Pop_Inputs!$Q$2:$Q$29,MATCH(C1111,Pop_Inputs!$A$2:$A$29,0))</f>
        <v>Northeast</v>
      </c>
      <c r="W1111" s="30"/>
      <c r="X1111" s="3" t="str">
        <f aca="false">IF(W1111="","",LN(W1111))</f>
        <v/>
      </c>
      <c r="Y1111" s="3" t="str">
        <f aca="false">IF(X1111="","",X1111-AVERAGEIFS($X$2:$X$2705,$B$2:$B$2705,B1111))</f>
        <v/>
      </c>
      <c r="Z1111" s="21" t="n">
        <f aca="false">P1111</f>
        <v>1.37261790921347</v>
      </c>
      <c r="AA1111" s="3" t="n">
        <f aca="false">R1111</f>
        <v>0</v>
      </c>
      <c r="AB1111" s="21" t="n">
        <f aca="false">P1111</f>
        <v>1.37261790921347</v>
      </c>
      <c r="AC1111" s="3" t="str">
        <f aca="false">Y1111</f>
        <v/>
      </c>
      <c r="AD1111" s="3" t="n">
        <f aca="false">R1111</f>
        <v>0</v>
      </c>
    </row>
    <row r="1112" customFormat="false" ht="15" hidden="false" customHeight="true" outlineLevel="0" collapsed="false">
      <c r="A1112" s="7" t="s">
        <v>69</v>
      </c>
      <c r="B1112" s="7" t="n">
        <v>1968</v>
      </c>
      <c r="C1112" s="7" t="s">
        <v>253</v>
      </c>
      <c r="D1112" s="7" t="n">
        <v>82</v>
      </c>
      <c r="E1112" s="7" t="n">
        <v>80</v>
      </c>
      <c r="F1112" s="3" t="n">
        <f aca="false">COUNTIFS($B$2:$B$2705,B1112,$C$2:$C$2705,C1112)</f>
        <v>1</v>
      </c>
      <c r="G1112" s="3" t="n">
        <f aca="false">MIN(INT((MIN(B1112,2020)-1900)/10)+1,12)</f>
        <v>7</v>
      </c>
      <c r="H1112" s="3" t="n">
        <f aca="false">(MIN(B1112,2020)-1900-10*(G1112-1))/10</f>
        <v>0.8</v>
      </c>
      <c r="I1112" s="20" t="n">
        <f aca="false">EXP(LN(INDEX(Pop_Inputs!$B$2:$N$29,MATCH(C1112,Pop_Inputs!$A$2:$A$29,0),G1112))*(1-H1112)+LN(INDEX(Pop_Inputs!$B$2:$N$29,MATCH(C1112,Pop_Inputs!$A$2:$A$29,0),G1112+1))*H1112)</f>
        <v>362750.546913038</v>
      </c>
      <c r="J1112" s="20" t="n">
        <f aca="false">I1112/F1112</f>
        <v>362750.546913038</v>
      </c>
      <c r="K1112" s="21" t="n">
        <f aca="false">D1112/(D1112+E1112)</f>
        <v>0.506172839506173</v>
      </c>
      <c r="L1112" s="21" t="n">
        <f aca="false">AVERAGEIFS($K$2:$K$2705,$B$2:$B$2705,B1112)</f>
        <v>0.499980829690975</v>
      </c>
      <c r="M1112" s="21" t="n">
        <f aca="false">K1112-L1112</f>
        <v>0.00619200981519824</v>
      </c>
      <c r="N1112" s="21" t="n">
        <f aca="false">LN(J1112)</f>
        <v>12.8014706784311</v>
      </c>
      <c r="O1112" s="21" t="n">
        <f aca="false">AVERAGEIFS($N$2:$N$2705,$B$2:$B$2705,B1112)</f>
        <v>13.8130774664076</v>
      </c>
      <c r="P1112" s="21" t="n">
        <f aca="false">N1112-O1112</f>
        <v>-1.01160678797642</v>
      </c>
      <c r="Q1112" s="7" t="n">
        <v>0</v>
      </c>
      <c r="R1112" s="3" t="n">
        <f aca="false">IF(AND(Q1112=1,B1112-_xlfn.MINIFS($B$2:$B$2705,$A$2:$A$2705,A1112)&lt;10),1,0)</f>
        <v>0</v>
      </c>
      <c r="S1112" s="7" t="n">
        <v>0</v>
      </c>
      <c r="T1112" s="3" t="n">
        <f aca="false">_xlfn.MINIFS($B$2:$B$2705,$A$2:$A$2705,A1112)</f>
        <v>1901</v>
      </c>
      <c r="U1112" s="3" t="n">
        <f aca="false">B1112-T1112</f>
        <v>67</v>
      </c>
      <c r="V1112" s="3" t="str">
        <f aca="false">INDEX(Pop_Inputs!$Q$2:$Q$29,MATCH(C1112,Pop_Inputs!$A$2:$A$29,0))</f>
        <v>West</v>
      </c>
      <c r="W1112" s="30"/>
      <c r="X1112" s="3" t="str">
        <f aca="false">IF(W1112="","",LN(W1112))</f>
        <v/>
      </c>
      <c r="Y1112" s="3" t="str">
        <f aca="false">IF(X1112="","",X1112-AVERAGEIFS($X$2:$X$2705,$B$2:$B$2705,B1112))</f>
        <v/>
      </c>
      <c r="Z1112" s="21" t="n">
        <f aca="false">P1112</f>
        <v>-1.01160678797642</v>
      </c>
      <c r="AA1112" s="3" t="n">
        <f aca="false">R1112</f>
        <v>0</v>
      </c>
      <c r="AB1112" s="21" t="n">
        <f aca="false">P1112</f>
        <v>-1.01160678797642</v>
      </c>
      <c r="AC1112" s="3" t="str">
        <f aca="false">Y1112</f>
        <v/>
      </c>
      <c r="AD1112" s="3" t="n">
        <f aca="false">R1112</f>
        <v>0</v>
      </c>
    </row>
    <row r="1113" customFormat="false" ht="15" hidden="false" customHeight="true" outlineLevel="0" collapsed="false">
      <c r="A1113" s="7" t="s">
        <v>60</v>
      </c>
      <c r="B1113" s="7" t="n">
        <v>1968</v>
      </c>
      <c r="C1113" s="7" t="s">
        <v>146</v>
      </c>
      <c r="D1113" s="7" t="n">
        <v>76</v>
      </c>
      <c r="E1113" s="7" t="n">
        <v>86</v>
      </c>
      <c r="F1113" s="3" t="n">
        <f aca="false">COUNTIFS($B$2:$B$2705,B1113,$C$2:$C$2705,C1113)</f>
        <v>1</v>
      </c>
      <c r="G1113" s="3" t="n">
        <f aca="false">MIN(INT((MIN(B1113,2020)-1900)/10)+1,12)</f>
        <v>7</v>
      </c>
      <c r="H1113" s="3" t="n">
        <f aca="false">(MIN(B1113,2020)-1900-10*(G1113-1))/10</f>
        <v>0.8</v>
      </c>
      <c r="I1113" s="20" t="n">
        <f aca="false">EXP(LN(INDEX(Pop_Inputs!$B$2:$N$29,MATCH(C1113,Pop_Inputs!$A$2:$A$29,0),G1113))*(1-H1113)+LN(INDEX(Pop_Inputs!$B$2:$N$29,MATCH(C1113,Pop_Inputs!$A$2:$A$29,0),G1113+1))*H1113)</f>
        <v>1959272.25583249</v>
      </c>
      <c r="J1113" s="20" t="n">
        <f aca="false">I1113/F1113</f>
        <v>1959272.25583249</v>
      </c>
      <c r="K1113" s="21" t="n">
        <f aca="false">D1113/(D1113+E1113)</f>
        <v>0.469135802469136</v>
      </c>
      <c r="L1113" s="21" t="n">
        <f aca="false">AVERAGEIFS($K$2:$K$2705,$B$2:$B$2705,B1113)</f>
        <v>0.499980829690975</v>
      </c>
      <c r="M1113" s="21" t="n">
        <f aca="false">K1113-L1113</f>
        <v>-0.0308450272218389</v>
      </c>
      <c r="N1113" s="21" t="n">
        <f aca="false">LN(J1113)</f>
        <v>14.4880836642139</v>
      </c>
      <c r="O1113" s="21" t="n">
        <f aca="false">AVERAGEIFS($N$2:$N$2705,$B$2:$B$2705,B1113)</f>
        <v>13.8130774664076</v>
      </c>
      <c r="P1113" s="21" t="n">
        <f aca="false">N1113-O1113</f>
        <v>0.675006197806312</v>
      </c>
      <c r="Q1113" s="7" t="n">
        <v>0</v>
      </c>
      <c r="R1113" s="3" t="n">
        <f aca="false">IF(AND(Q1113=1,B1113-_xlfn.MINIFS($B$2:$B$2705,$A$2:$A$2705,A1113)&lt;10),1,0)</f>
        <v>0</v>
      </c>
      <c r="S1113" s="7" t="n">
        <v>0</v>
      </c>
      <c r="T1113" s="3" t="n">
        <f aca="false">_xlfn.MINIFS($B$2:$B$2705,$A$2:$A$2705,A1113)</f>
        <v>1901</v>
      </c>
      <c r="U1113" s="3" t="n">
        <f aca="false">B1113-T1113</f>
        <v>67</v>
      </c>
      <c r="V1113" s="3" t="str">
        <f aca="false">INDEX(Pop_Inputs!$Q$2:$Q$29,MATCH(C1113,Pop_Inputs!$A$2:$A$29,0))</f>
        <v>Northeast</v>
      </c>
      <c r="W1113" s="30"/>
      <c r="X1113" s="3" t="str">
        <f aca="false">IF(W1113="","",LN(W1113))</f>
        <v/>
      </c>
      <c r="Y1113" s="3" t="str">
        <f aca="false">IF(X1113="","",X1113-AVERAGEIFS($X$2:$X$2705,$B$2:$B$2705,B1113))</f>
        <v/>
      </c>
      <c r="Z1113" s="21" t="n">
        <f aca="false">P1113</f>
        <v>0.675006197806312</v>
      </c>
      <c r="AA1113" s="3" t="n">
        <f aca="false">R1113</f>
        <v>0</v>
      </c>
      <c r="AB1113" s="21" t="n">
        <f aca="false">P1113</f>
        <v>0.675006197806312</v>
      </c>
      <c r="AC1113" s="3" t="str">
        <f aca="false">Y1113</f>
        <v/>
      </c>
      <c r="AD1113" s="3" t="n">
        <f aca="false">R1113</f>
        <v>0</v>
      </c>
    </row>
    <row r="1114" customFormat="false" ht="15" hidden="false" customHeight="true" outlineLevel="0" collapsed="false">
      <c r="A1114" s="7" t="s">
        <v>58</v>
      </c>
      <c r="B1114" s="7" t="n">
        <v>1968</v>
      </c>
      <c r="C1114" s="7" t="s">
        <v>144</v>
      </c>
      <c r="D1114" s="7" t="n">
        <v>80</v>
      </c>
      <c r="E1114" s="7" t="n">
        <v>82</v>
      </c>
      <c r="F1114" s="3" t="n">
        <f aca="false">COUNTIFS($B$2:$B$2705,B1114,$C$2:$C$2705,C1114)</f>
        <v>1</v>
      </c>
      <c r="G1114" s="3" t="n">
        <f aca="false">MIN(INT((MIN(B1114,2020)-1900)/10)+1,12)</f>
        <v>7</v>
      </c>
      <c r="H1114" s="3" t="n">
        <f aca="false">(MIN(B1114,2020)-1900-10*(G1114-1))/10</f>
        <v>0.8</v>
      </c>
      <c r="I1114" s="20" t="n">
        <f aca="false">EXP(LN(INDEX(Pop_Inputs!$B$2:$N$29,MATCH(C1114,Pop_Inputs!$A$2:$A$29,0),G1114))*(1-H1114)+LN(INDEX(Pop_Inputs!$B$2:$N$29,MATCH(C1114,Pop_Inputs!$A$2:$A$29,0),G1114+1))*H1114)</f>
        <v>535964.416731794</v>
      </c>
      <c r="J1114" s="20" t="n">
        <f aca="false">I1114/F1114</f>
        <v>535964.416731794</v>
      </c>
      <c r="K1114" s="21" t="n">
        <f aca="false">D1114/(D1114+E1114)</f>
        <v>0.493827160493827</v>
      </c>
      <c r="L1114" s="21" t="n">
        <f aca="false">AVERAGEIFS($K$2:$K$2705,$B$2:$B$2705,B1114)</f>
        <v>0.499980829690975</v>
      </c>
      <c r="M1114" s="21" t="n">
        <f aca="false">K1114-L1114</f>
        <v>-0.00615366919714749</v>
      </c>
      <c r="N1114" s="21" t="n">
        <f aca="false">LN(J1114)</f>
        <v>13.1918230511548</v>
      </c>
      <c r="O1114" s="21" t="n">
        <f aca="false">AVERAGEIFS($N$2:$N$2705,$B$2:$B$2705,B1114)</f>
        <v>13.8130774664076</v>
      </c>
      <c r="P1114" s="21" t="n">
        <f aca="false">N1114-O1114</f>
        <v>-0.621254415252723</v>
      </c>
      <c r="Q1114" s="7" t="n">
        <v>0</v>
      </c>
      <c r="R1114" s="3" t="n">
        <f aca="false">IF(AND(Q1114=1,B1114-_xlfn.MINIFS($B$2:$B$2705,$A$2:$A$2705,A1114)&lt;10),1,0)</f>
        <v>0</v>
      </c>
      <c r="S1114" s="7" t="n">
        <v>0</v>
      </c>
      <c r="T1114" s="3" t="n">
        <f aca="false">_xlfn.MINIFS($B$2:$B$2705,$A$2:$A$2705,A1114)</f>
        <v>1901</v>
      </c>
      <c r="U1114" s="3" t="n">
        <f aca="false">B1114-T1114</f>
        <v>67</v>
      </c>
      <c r="V1114" s="3" t="str">
        <f aca="false">INDEX(Pop_Inputs!$Q$2:$Q$29,MATCH(C1114,Pop_Inputs!$A$2:$A$29,0))</f>
        <v>Northeast</v>
      </c>
      <c r="W1114" s="30"/>
      <c r="X1114" s="3" t="str">
        <f aca="false">IF(W1114="","",LN(W1114))</f>
        <v/>
      </c>
      <c r="Y1114" s="3" t="str">
        <f aca="false">IF(X1114="","",X1114-AVERAGEIFS($X$2:$X$2705,$B$2:$B$2705,B1114))</f>
        <v/>
      </c>
      <c r="Z1114" s="21" t="n">
        <f aca="false">P1114</f>
        <v>-0.621254415252723</v>
      </c>
      <c r="AA1114" s="3" t="n">
        <f aca="false">R1114</f>
        <v>0</v>
      </c>
      <c r="AB1114" s="21" t="n">
        <f aca="false">P1114</f>
        <v>-0.621254415252723</v>
      </c>
      <c r="AC1114" s="3" t="str">
        <f aca="false">Y1114</f>
        <v/>
      </c>
      <c r="AD1114" s="3" t="n">
        <f aca="false">R1114</f>
        <v>0</v>
      </c>
    </row>
    <row r="1115" customFormat="false" ht="15" hidden="false" customHeight="true" outlineLevel="0" collapsed="false">
      <c r="A1115" s="7" t="s">
        <v>61</v>
      </c>
      <c r="B1115" s="7" t="n">
        <v>1968</v>
      </c>
      <c r="C1115" s="7" t="s">
        <v>147</v>
      </c>
      <c r="D1115" s="7" t="n">
        <v>88</v>
      </c>
      <c r="E1115" s="7" t="n">
        <v>74</v>
      </c>
      <c r="F1115" s="3" t="n">
        <f aca="false">COUNTIFS($B$2:$B$2705,B1115,$C$2:$C$2705,C1115)</f>
        <v>1</v>
      </c>
      <c r="G1115" s="3" t="n">
        <f aca="false">MIN(INT((MIN(B1115,2020)-1900)/10)+1,12)</f>
        <v>7</v>
      </c>
      <c r="H1115" s="3" t="n">
        <f aca="false">(MIN(B1115,2020)-1900-10*(G1115-1))/10</f>
        <v>0.8</v>
      </c>
      <c r="I1115" s="20" t="n">
        <f aca="false">EXP(LN(INDEX(Pop_Inputs!$B$2:$N$29,MATCH(C1115,Pop_Inputs!$A$2:$A$29,0),G1115))*(1-H1115)+LN(INDEX(Pop_Inputs!$B$2:$N$29,MATCH(C1115,Pop_Inputs!$A$2:$A$29,0),G1115+1))*H1115)</f>
        <v>720535.891727373</v>
      </c>
      <c r="J1115" s="20" t="n">
        <f aca="false">I1115/F1115</f>
        <v>720535.891727373</v>
      </c>
      <c r="K1115" s="21" t="n">
        <f aca="false">D1115/(D1115+E1115)</f>
        <v>0.54320987654321</v>
      </c>
      <c r="L1115" s="21" t="n">
        <f aca="false">AVERAGEIFS($K$2:$K$2705,$B$2:$B$2705,B1115)</f>
        <v>0.499980829690975</v>
      </c>
      <c r="M1115" s="21" t="n">
        <f aca="false">K1115-L1115</f>
        <v>0.0432290468522352</v>
      </c>
      <c r="N1115" s="21" t="n">
        <f aca="false">LN(J1115)</f>
        <v>13.4877505082086</v>
      </c>
      <c r="O1115" s="21" t="n">
        <f aca="false">AVERAGEIFS($N$2:$N$2705,$B$2:$B$2705,B1115)</f>
        <v>13.8130774664076</v>
      </c>
      <c r="P1115" s="21" t="n">
        <f aca="false">N1115-O1115</f>
        <v>-0.325326958198986</v>
      </c>
      <c r="Q1115" s="7" t="n">
        <v>0</v>
      </c>
      <c r="R1115" s="3" t="n">
        <f aca="false">IF(AND(Q1115=1,B1115-_xlfn.MINIFS($B$2:$B$2705,$A$2:$A$2705,A1115)&lt;10),1,0)</f>
        <v>0</v>
      </c>
      <c r="S1115" s="7" t="n">
        <v>0</v>
      </c>
      <c r="T1115" s="3" t="n">
        <f aca="false">_xlfn.MINIFS($B$2:$B$2705,$A$2:$A$2705,A1115)</f>
        <v>1901</v>
      </c>
      <c r="U1115" s="3" t="n">
        <f aca="false">B1115-T1115</f>
        <v>67</v>
      </c>
      <c r="V1115" s="3" t="str">
        <f aca="false">INDEX(Pop_Inputs!$Q$2:$Q$29,MATCH(C1115,Pop_Inputs!$A$2:$A$29,0))</f>
        <v>West</v>
      </c>
      <c r="W1115" s="30"/>
      <c r="X1115" s="3" t="str">
        <f aca="false">IF(W1115="","",LN(W1115))</f>
        <v/>
      </c>
      <c r="Y1115" s="3" t="str">
        <f aca="false">IF(X1115="","",X1115-AVERAGEIFS($X$2:$X$2705,$B$2:$B$2705,B1115))</f>
        <v/>
      </c>
      <c r="Z1115" s="21" t="n">
        <f aca="false">P1115</f>
        <v>-0.325326958198986</v>
      </c>
      <c r="AA1115" s="3" t="n">
        <f aca="false">R1115</f>
        <v>0</v>
      </c>
      <c r="AB1115" s="21" t="n">
        <f aca="false">P1115</f>
        <v>-0.325326958198986</v>
      </c>
      <c r="AC1115" s="3" t="str">
        <f aca="false">Y1115</f>
        <v/>
      </c>
      <c r="AD1115" s="3" t="n">
        <f aca="false">R1115</f>
        <v>0</v>
      </c>
    </row>
    <row r="1116" customFormat="false" ht="15" hidden="false" customHeight="true" outlineLevel="0" collapsed="false">
      <c r="A1116" s="7" t="s">
        <v>59</v>
      </c>
      <c r="B1116" s="7" t="n">
        <v>1968</v>
      </c>
      <c r="C1116" s="7" t="s">
        <v>145</v>
      </c>
      <c r="D1116" s="7" t="n">
        <v>97</v>
      </c>
      <c r="E1116" s="7" t="n">
        <v>65</v>
      </c>
      <c r="F1116" s="3" t="n">
        <f aca="false">COUNTIFS($B$2:$B$2705,B1116,$C$2:$C$2705,C1116)</f>
        <v>1</v>
      </c>
      <c r="G1116" s="3" t="n">
        <f aca="false">MIN(INT((MIN(B1116,2020)-1900)/10)+1,12)</f>
        <v>7</v>
      </c>
      <c r="H1116" s="3" t="n">
        <f aca="false">(MIN(B1116,2020)-1900-10*(G1116-1))/10</f>
        <v>0.8</v>
      </c>
      <c r="I1116" s="20" t="n">
        <f aca="false">EXP(LN(INDEX(Pop_Inputs!$B$2:$N$29,MATCH(C1116,Pop_Inputs!$A$2:$A$29,0),G1116))*(1-H1116)+LN(INDEX(Pop_Inputs!$B$2:$N$29,MATCH(C1116,Pop_Inputs!$A$2:$A$29,0),G1116+1))*H1116)</f>
        <v>645920.950157939</v>
      </c>
      <c r="J1116" s="20" t="n">
        <f aca="false">I1116/F1116</f>
        <v>645920.950157939</v>
      </c>
      <c r="K1116" s="21" t="n">
        <f aca="false">D1116/(D1116+E1116)</f>
        <v>0.598765432098765</v>
      </c>
      <c r="L1116" s="21" t="n">
        <f aca="false">AVERAGEIFS($K$2:$K$2705,$B$2:$B$2705,B1116)</f>
        <v>0.499980829690975</v>
      </c>
      <c r="M1116" s="21" t="n">
        <f aca="false">K1116-L1116</f>
        <v>0.0987846024077908</v>
      </c>
      <c r="N1116" s="21" t="n">
        <f aca="false">LN(J1116)</f>
        <v>13.3784324071006</v>
      </c>
      <c r="O1116" s="21" t="n">
        <f aca="false">AVERAGEIFS($N$2:$N$2705,$B$2:$B$2705,B1116)</f>
        <v>13.8130774664076</v>
      </c>
      <c r="P1116" s="21" t="n">
        <f aca="false">N1116-O1116</f>
        <v>-0.434645059306977</v>
      </c>
      <c r="Q1116" s="7" t="n">
        <v>0</v>
      </c>
      <c r="R1116" s="3" t="n">
        <f aca="false">IF(AND(Q1116=1,B1116-_xlfn.MINIFS($B$2:$B$2705,$A$2:$A$2705,A1116)&lt;10),1,0)</f>
        <v>0</v>
      </c>
      <c r="S1116" s="7" t="n">
        <v>0</v>
      </c>
      <c r="T1116" s="3" t="n">
        <f aca="false">_xlfn.MINIFS($B$2:$B$2705,$A$2:$A$2705,A1116)</f>
        <v>1901</v>
      </c>
      <c r="U1116" s="3" t="n">
        <f aca="false">B1116-T1116</f>
        <v>67</v>
      </c>
      <c r="V1116" s="3" t="str">
        <f aca="false">INDEX(Pop_Inputs!$Q$2:$Q$29,MATCH(C1116,Pop_Inputs!$A$2:$A$29,0))</f>
        <v>Midwest</v>
      </c>
      <c r="W1116" s="30"/>
      <c r="X1116" s="3" t="str">
        <f aca="false">IF(W1116="","",LN(W1116))</f>
        <v/>
      </c>
      <c r="Y1116" s="3" t="str">
        <f aca="false">IF(X1116="","",X1116-AVERAGEIFS($X$2:$X$2705,$B$2:$B$2705,B1116))</f>
        <v/>
      </c>
      <c r="Z1116" s="21" t="n">
        <f aca="false">P1116</f>
        <v>-0.434645059306977</v>
      </c>
      <c r="AA1116" s="3" t="n">
        <f aca="false">R1116</f>
        <v>0</v>
      </c>
      <c r="AB1116" s="21" t="n">
        <f aca="false">P1116</f>
        <v>-0.434645059306977</v>
      </c>
      <c r="AC1116" s="3" t="str">
        <f aca="false">Y1116</f>
        <v/>
      </c>
      <c r="AD1116" s="3" t="n">
        <f aca="false">R1116</f>
        <v>0</v>
      </c>
    </row>
    <row r="1117" customFormat="false" ht="15" hidden="false" customHeight="true" outlineLevel="0" collapsed="false">
      <c r="A1117" s="7" t="s">
        <v>73</v>
      </c>
      <c r="B1117" s="7" t="n">
        <v>1968</v>
      </c>
      <c r="C1117" s="7" t="s">
        <v>160</v>
      </c>
      <c r="D1117" s="7" t="n">
        <v>65</v>
      </c>
      <c r="E1117" s="7" t="n">
        <v>96</v>
      </c>
      <c r="F1117" s="3" t="n">
        <f aca="false">COUNTIFS($B$2:$B$2705,B1117,$C$2:$C$2705,C1117)</f>
        <v>1</v>
      </c>
      <c r="G1117" s="3" t="n">
        <f aca="false">MIN(INT((MIN(B1117,2020)-1900)/10)+1,12)</f>
        <v>7</v>
      </c>
      <c r="H1117" s="3" t="n">
        <f aca="false">(MIN(B1117,2020)-1900-10*(G1117-1))/10</f>
        <v>0.8</v>
      </c>
      <c r="I1117" s="20" t="n">
        <f aca="false">EXP(LN(INDEX(Pop_Inputs!$B$2:$N$29,MATCH(C1117,Pop_Inputs!$A$2:$A$29,0),G1117))*(1-H1117)+LN(INDEX(Pop_Inputs!$B$2:$N$29,MATCH(C1117,Pop_Inputs!$A$2:$A$29,0),G1117+1))*H1117)</f>
        <v>757993.371367489</v>
      </c>
      <c r="J1117" s="20" t="n">
        <f aca="false">I1117/F1117</f>
        <v>757993.371367489</v>
      </c>
      <c r="K1117" s="21" t="n">
        <f aca="false">D1117/(D1117+E1117)</f>
        <v>0.403726708074534</v>
      </c>
      <c r="L1117" s="21" t="n">
        <f aca="false">AVERAGEIFS($K$2:$K$2705,$B$2:$B$2705,B1117)</f>
        <v>0.499980829690975</v>
      </c>
      <c r="M1117" s="21" t="n">
        <f aca="false">K1117-L1117</f>
        <v>-0.0962541216164405</v>
      </c>
      <c r="N1117" s="21" t="n">
        <f aca="false">LN(J1117)</f>
        <v>13.5384299196885</v>
      </c>
      <c r="O1117" s="21" t="n">
        <f aca="false">AVERAGEIFS($N$2:$N$2705,$B$2:$B$2705,B1117)</f>
        <v>13.8130774664076</v>
      </c>
      <c r="P1117" s="21" t="n">
        <f aca="false">N1117-O1117</f>
        <v>-0.274647546719054</v>
      </c>
      <c r="Q1117" s="7" t="n">
        <v>1</v>
      </c>
      <c r="R1117" s="3" t="n">
        <f aca="false">IF(AND(Q1117=1,B1117-_xlfn.MINIFS($B$2:$B$2705,$A$2:$A$2705,A1117)&lt;10),1,0)</f>
        <v>1</v>
      </c>
      <c r="S1117" s="7" t="n">
        <v>0</v>
      </c>
      <c r="T1117" s="3" t="n">
        <f aca="false">_xlfn.MINIFS($B$2:$B$2705,$A$2:$A$2705,A1117)</f>
        <v>1961</v>
      </c>
      <c r="U1117" s="3" t="n">
        <f aca="false">B1117-T1117</f>
        <v>7</v>
      </c>
      <c r="V1117" s="3" t="str">
        <f aca="false">INDEX(Pop_Inputs!$Q$2:$Q$29,MATCH(C1117,Pop_Inputs!$A$2:$A$29,0))</f>
        <v>South</v>
      </c>
      <c r="W1117" s="30"/>
      <c r="X1117" s="3" t="str">
        <f aca="false">IF(W1117="","",LN(W1117))</f>
        <v/>
      </c>
      <c r="Y1117" s="3" t="str">
        <f aca="false">IF(X1117="","",X1117-AVERAGEIFS($X$2:$X$2705,$B$2:$B$2705,B1117))</f>
        <v/>
      </c>
      <c r="Z1117" s="21" t="n">
        <f aca="false">P1117</f>
        <v>-0.274647546719054</v>
      </c>
      <c r="AA1117" s="3" t="n">
        <f aca="false">R1117</f>
        <v>1</v>
      </c>
      <c r="AB1117" s="21" t="n">
        <f aca="false">P1117</f>
        <v>-0.274647546719054</v>
      </c>
      <c r="AC1117" s="3" t="str">
        <f aca="false">Y1117</f>
        <v/>
      </c>
      <c r="AD1117" s="3" t="n">
        <f aca="false">R1117</f>
        <v>1</v>
      </c>
    </row>
    <row r="1118" customFormat="false" ht="15" hidden="false" customHeight="true" outlineLevel="0" collapsed="false">
      <c r="A1118" s="7" t="s">
        <v>71</v>
      </c>
      <c r="B1118" s="7" t="n">
        <v>1969</v>
      </c>
      <c r="C1118" s="7" t="s">
        <v>148</v>
      </c>
      <c r="D1118" s="7" t="n">
        <v>71</v>
      </c>
      <c r="E1118" s="7" t="n">
        <v>91</v>
      </c>
      <c r="F1118" s="3" t="n">
        <f aca="false">COUNTIFS($B$2:$B$2705,B1118,$C$2:$C$2705,C1118)</f>
        <v>2</v>
      </c>
      <c r="G1118" s="3" t="n">
        <f aca="false">MIN(INT((MIN(B1118,2020)-1900)/10)+1,12)</f>
        <v>7</v>
      </c>
      <c r="H1118" s="3" t="n">
        <f aca="false">(MIN(B1118,2020)-1900-10*(G1118-1))/10</f>
        <v>0.9</v>
      </c>
      <c r="I1118" s="20" t="n">
        <f aca="false">EXP(LN(INDEX(Pop_Inputs!$B$2:$N$29,MATCH(C1118,Pop_Inputs!$A$2:$A$29,0),G1118))*(1-H1118)+LN(INDEX(Pop_Inputs!$B$2:$N$29,MATCH(C1118,Pop_Inputs!$A$2:$A$29,0),G1118+1))*H1118)</f>
        <v>2780390.31904128</v>
      </c>
      <c r="J1118" s="20" t="n">
        <f aca="false">I1118/F1118</f>
        <v>1390195.15952064</v>
      </c>
      <c r="K1118" s="21" t="n">
        <f aca="false">D1118/(D1118+E1118)</f>
        <v>0.438271604938272</v>
      </c>
      <c r="L1118" s="21" t="n">
        <f aca="false">AVERAGEIFS($K$2:$K$2705,$B$2:$B$2705,B1118)</f>
        <v>0.49996964701071</v>
      </c>
      <c r="M1118" s="21" t="n">
        <f aca="false">K1118-L1118</f>
        <v>-0.0616980420724382</v>
      </c>
      <c r="N1118" s="21" t="n">
        <f aca="false">LN(J1118)</f>
        <v>14.1449546977842</v>
      </c>
      <c r="O1118" s="21" t="n">
        <f aca="false">AVERAGEIFS($N$2:$N$2705,$B$2:$B$2705,B1118)</f>
        <v>13.7486166909662</v>
      </c>
      <c r="P1118" s="21" t="n">
        <f aca="false">N1118-O1118</f>
        <v>0.396338006818009</v>
      </c>
      <c r="Q1118" s="7" t="n">
        <v>1</v>
      </c>
      <c r="R1118" s="3" t="n">
        <f aca="false">IF(AND(Q1118=1,B1118-_xlfn.MINIFS($B$2:$B$2705,$A$2:$A$2705,A1118)&lt;10),1,0)</f>
        <v>1</v>
      </c>
      <c r="S1118" s="7" t="n">
        <v>0</v>
      </c>
      <c r="T1118" s="3" t="n">
        <f aca="false">_xlfn.MINIFS($B$2:$B$2705,$A$2:$A$2705,A1118)</f>
        <v>1961</v>
      </c>
      <c r="U1118" s="3" t="n">
        <f aca="false">B1118-T1118</f>
        <v>8</v>
      </c>
      <c r="V1118" s="3" t="str">
        <f aca="false">INDEX(Pop_Inputs!$Q$2:$Q$29,MATCH(C1118,Pop_Inputs!$A$2:$A$29,0))</f>
        <v>West</v>
      </c>
      <c r="W1118" s="30"/>
      <c r="X1118" s="3" t="str">
        <f aca="false">IF(W1118="","",LN(W1118))</f>
        <v/>
      </c>
      <c r="Y1118" s="3" t="str">
        <f aca="false">IF(X1118="","",X1118-AVERAGEIFS($X$2:$X$2705,$B$2:$B$2705,B1118))</f>
        <v/>
      </c>
      <c r="Z1118" s="21" t="n">
        <f aca="false">P1118</f>
        <v>0.396338006818009</v>
      </c>
      <c r="AA1118" s="3" t="n">
        <f aca="false">R1118</f>
        <v>1</v>
      </c>
      <c r="AB1118" s="21" t="n">
        <f aca="false">P1118</f>
        <v>0.396338006818009</v>
      </c>
      <c r="AC1118" s="3" t="str">
        <f aca="false">Y1118</f>
        <v/>
      </c>
      <c r="AD1118" s="3" t="n">
        <f aca="false">R1118</f>
        <v>1</v>
      </c>
    </row>
    <row r="1119" customFormat="false" ht="15" hidden="false" customHeight="true" outlineLevel="0" collapsed="false">
      <c r="A1119" s="7" t="s">
        <v>54</v>
      </c>
      <c r="B1119" s="7" t="n">
        <v>1969</v>
      </c>
      <c r="C1119" s="7" t="s">
        <v>141</v>
      </c>
      <c r="D1119" s="7" t="n">
        <v>93</v>
      </c>
      <c r="E1119" s="7" t="n">
        <v>69</v>
      </c>
      <c r="F1119" s="3" t="n">
        <f aca="false">COUNTIFS($B$2:$B$2705,B1119,$C$2:$C$2705,C1119)</f>
        <v>1</v>
      </c>
      <c r="G1119" s="3" t="n">
        <f aca="false">MIN(INT((MIN(B1119,2020)-1900)/10)+1,12)</f>
        <v>7</v>
      </c>
      <c r="H1119" s="3" t="n">
        <f aca="false">(MIN(B1119,2020)-1900-10*(G1119-1))/10</f>
        <v>0.9</v>
      </c>
      <c r="I1119" s="20" t="n">
        <f aca="false">EXP(LN(INDEX(Pop_Inputs!$B$2:$N$29,MATCH(C1119,Pop_Inputs!$A$2:$A$29,0),G1119))*(1-H1119)+LN(INDEX(Pop_Inputs!$B$2:$N$29,MATCH(C1119,Pop_Inputs!$A$2:$A$29,0),G1119+1))*H1119)</f>
        <v>494275.320288841</v>
      </c>
      <c r="J1119" s="20" t="n">
        <f aca="false">I1119/F1119</f>
        <v>494275.320288841</v>
      </c>
      <c r="K1119" s="21" t="n">
        <f aca="false">D1119/(D1119+E1119)</f>
        <v>0.574074074074074</v>
      </c>
      <c r="L1119" s="21" t="n">
        <f aca="false">AVERAGEIFS($K$2:$K$2705,$B$2:$B$2705,B1119)</f>
        <v>0.49996964701071</v>
      </c>
      <c r="M1119" s="21" t="n">
        <f aca="false">K1119-L1119</f>
        <v>0.0741044270633643</v>
      </c>
      <c r="N1119" s="21" t="n">
        <f aca="false">LN(J1119)</f>
        <v>13.1108479694401</v>
      </c>
      <c r="O1119" s="21" t="n">
        <f aca="false">AVERAGEIFS($N$2:$N$2705,$B$2:$B$2705,B1119)</f>
        <v>13.7486166909662</v>
      </c>
      <c r="P1119" s="21" t="n">
        <f aca="false">N1119-O1119</f>
        <v>-0.637768721526065</v>
      </c>
      <c r="Q1119" s="7" t="n">
        <v>0</v>
      </c>
      <c r="R1119" s="3" t="n">
        <f aca="false">IF(AND(Q1119=1,B1119-_xlfn.MINIFS($B$2:$B$2705,$A$2:$A$2705,A1119)&lt;10),1,0)</f>
        <v>0</v>
      </c>
      <c r="S1119" s="7" t="n">
        <v>0</v>
      </c>
      <c r="T1119" s="3" t="n">
        <f aca="false">_xlfn.MINIFS($B$2:$B$2705,$A$2:$A$2705,A1119)</f>
        <v>1901</v>
      </c>
      <c r="U1119" s="3" t="n">
        <f aca="false">B1119-T1119</f>
        <v>68</v>
      </c>
      <c r="V1119" s="3" t="str">
        <f aca="false">INDEX(Pop_Inputs!$Q$2:$Q$29,MATCH(C1119,Pop_Inputs!$A$2:$A$29,0))</f>
        <v>South</v>
      </c>
      <c r="W1119" s="30"/>
      <c r="X1119" s="3" t="str">
        <f aca="false">IF(W1119="","",LN(W1119))</f>
        <v/>
      </c>
      <c r="Y1119" s="3" t="str">
        <f aca="false">IF(X1119="","",X1119-AVERAGEIFS($X$2:$X$2705,$B$2:$B$2705,B1119))</f>
        <v/>
      </c>
      <c r="Z1119" s="21" t="n">
        <f aca="false">P1119</f>
        <v>-0.637768721526065</v>
      </c>
      <c r="AA1119" s="3" t="n">
        <f aca="false">R1119</f>
        <v>0</v>
      </c>
      <c r="AB1119" s="21" t="n">
        <f aca="false">P1119</f>
        <v>-0.637768721526065</v>
      </c>
      <c r="AC1119" s="3" t="str">
        <f aca="false">Y1119</f>
        <v/>
      </c>
      <c r="AD1119" s="3" t="n">
        <f aca="false">R1119</f>
        <v>0</v>
      </c>
    </row>
    <row r="1120" customFormat="false" ht="15" hidden="false" customHeight="true" outlineLevel="0" collapsed="false">
      <c r="A1120" s="7" t="s">
        <v>63</v>
      </c>
      <c r="B1120" s="7" t="n">
        <v>1969</v>
      </c>
      <c r="C1120" s="7" t="s">
        <v>149</v>
      </c>
      <c r="D1120" s="7" t="n">
        <v>109</v>
      </c>
      <c r="E1120" s="7" t="n">
        <v>53</v>
      </c>
      <c r="F1120" s="3" t="n">
        <f aca="false">COUNTIFS($B$2:$B$2705,B1120,$C$2:$C$2705,C1120)</f>
        <v>1</v>
      </c>
      <c r="G1120" s="3" t="n">
        <f aca="false">MIN(INT((MIN(B1120,2020)-1900)/10)+1,12)</f>
        <v>7</v>
      </c>
      <c r="H1120" s="3" t="n">
        <f aca="false">(MIN(B1120,2020)-1900-10*(G1120-1))/10</f>
        <v>0.9</v>
      </c>
      <c r="I1120" s="20" t="n">
        <f aca="false">EXP(LN(INDEX(Pop_Inputs!$B$2:$N$29,MATCH(C1120,Pop_Inputs!$A$2:$A$29,0),G1120))*(1-H1120)+LN(INDEX(Pop_Inputs!$B$2:$N$29,MATCH(C1120,Pop_Inputs!$A$2:$A$29,0),G1120+1))*H1120)</f>
        <v>909031.769413856</v>
      </c>
      <c r="J1120" s="20" t="n">
        <f aca="false">I1120/F1120</f>
        <v>909031.769413856</v>
      </c>
      <c r="K1120" s="21" t="n">
        <f aca="false">D1120/(D1120+E1120)</f>
        <v>0.67283950617284</v>
      </c>
      <c r="L1120" s="21" t="n">
        <f aca="false">AVERAGEIFS($K$2:$K$2705,$B$2:$B$2705,B1120)</f>
        <v>0.49996964701071</v>
      </c>
      <c r="M1120" s="21" t="n">
        <f aca="false">K1120-L1120</f>
        <v>0.17286985916213</v>
      </c>
      <c r="N1120" s="21" t="n">
        <f aca="false">LN(J1120)</f>
        <v>13.7201353223991</v>
      </c>
      <c r="O1120" s="21" t="n">
        <f aca="false">AVERAGEIFS($N$2:$N$2705,$B$2:$B$2705,B1120)</f>
        <v>13.7486166909662</v>
      </c>
      <c r="P1120" s="21" t="n">
        <f aca="false">N1120-O1120</f>
        <v>-0.0284813685670766</v>
      </c>
      <c r="Q1120" s="7" t="n">
        <v>0</v>
      </c>
      <c r="R1120" s="3" t="n">
        <f aca="false">IF(AND(Q1120=1,B1120-_xlfn.MINIFS($B$2:$B$2705,$A$2:$A$2705,A1120)&lt;10),1,0)</f>
        <v>0</v>
      </c>
      <c r="S1120" s="7" t="n">
        <v>0</v>
      </c>
      <c r="T1120" s="3" t="n">
        <f aca="false">_xlfn.MINIFS($B$2:$B$2705,$A$2:$A$2705,A1120)</f>
        <v>1901</v>
      </c>
      <c r="U1120" s="3" t="n">
        <f aca="false">B1120-T1120</f>
        <v>68</v>
      </c>
      <c r="V1120" s="3" t="str">
        <f aca="false">INDEX(Pop_Inputs!$Q$2:$Q$29,MATCH(C1120,Pop_Inputs!$A$2:$A$29,0))</f>
        <v>South</v>
      </c>
      <c r="W1120" s="30"/>
      <c r="X1120" s="3" t="str">
        <f aca="false">IF(W1120="","",LN(W1120))</f>
        <v/>
      </c>
      <c r="Y1120" s="3" t="str">
        <f aca="false">IF(X1120="","",X1120-AVERAGEIFS($X$2:$X$2705,$B$2:$B$2705,B1120))</f>
        <v/>
      </c>
      <c r="Z1120" s="21" t="n">
        <f aca="false">P1120</f>
        <v>-0.0284813685670766</v>
      </c>
      <c r="AA1120" s="3" t="n">
        <f aca="false">R1120</f>
        <v>0</v>
      </c>
      <c r="AB1120" s="21" t="n">
        <f aca="false">P1120</f>
        <v>-0.0284813685670766</v>
      </c>
      <c r="AC1120" s="3" t="str">
        <f aca="false">Y1120</f>
        <v/>
      </c>
      <c r="AD1120" s="3" t="n">
        <f aca="false">R1120</f>
        <v>0</v>
      </c>
    </row>
    <row r="1121" customFormat="false" ht="15" hidden="false" customHeight="true" outlineLevel="0" collapsed="false">
      <c r="A1121" s="7" t="s">
        <v>64</v>
      </c>
      <c r="B1121" s="7" t="n">
        <v>1969</v>
      </c>
      <c r="C1121" s="7" t="s">
        <v>150</v>
      </c>
      <c r="D1121" s="7" t="n">
        <v>87</v>
      </c>
      <c r="E1121" s="7" t="n">
        <v>75</v>
      </c>
      <c r="F1121" s="3" t="n">
        <f aca="false">COUNTIFS($B$2:$B$2705,B1121,$C$2:$C$2705,C1121)</f>
        <v>1</v>
      </c>
      <c r="G1121" s="3" t="n">
        <f aca="false">MIN(INT((MIN(B1121,2020)-1900)/10)+1,12)</f>
        <v>7</v>
      </c>
      <c r="H1121" s="3" t="n">
        <f aca="false">(MIN(B1121,2020)-1900-10*(G1121-1))/10</f>
        <v>0.9</v>
      </c>
      <c r="I1121" s="20" t="n">
        <f aca="false">EXP(LN(INDEX(Pop_Inputs!$B$2:$N$29,MATCH(C1121,Pop_Inputs!$A$2:$A$29,0),G1121))*(1-H1121)+LN(INDEX(Pop_Inputs!$B$2:$N$29,MATCH(C1121,Pop_Inputs!$A$2:$A$29,0),G1121+1))*H1121)</f>
        <v>646474.008995106</v>
      </c>
      <c r="J1121" s="20" t="n">
        <f aca="false">I1121/F1121</f>
        <v>646474.008995106</v>
      </c>
      <c r="K1121" s="21" t="n">
        <f aca="false">D1121/(D1121+E1121)</f>
        <v>0.537037037037037</v>
      </c>
      <c r="L1121" s="21" t="n">
        <f aca="false">AVERAGEIFS($K$2:$K$2705,$B$2:$B$2705,B1121)</f>
        <v>0.49996964701071</v>
      </c>
      <c r="M1121" s="21" t="n">
        <f aca="false">K1121-L1121</f>
        <v>0.0370673900263273</v>
      </c>
      <c r="N1121" s="21" t="n">
        <f aca="false">LN(J1121)</f>
        <v>13.3792882737488</v>
      </c>
      <c r="O1121" s="21" t="n">
        <f aca="false">AVERAGEIFS($N$2:$N$2705,$B$2:$B$2705,B1121)</f>
        <v>13.7486166909662</v>
      </c>
      <c r="P1121" s="21" t="n">
        <f aca="false">N1121-O1121</f>
        <v>-0.3693284172174</v>
      </c>
      <c r="Q1121" s="7" t="n">
        <v>0</v>
      </c>
      <c r="R1121" s="3" t="n">
        <f aca="false">IF(AND(Q1121=1,B1121-_xlfn.MINIFS($B$2:$B$2705,$A$2:$A$2705,A1121)&lt;10),1,0)</f>
        <v>0</v>
      </c>
      <c r="S1121" s="7" t="n">
        <v>0</v>
      </c>
      <c r="T1121" s="3" t="n">
        <f aca="false">_xlfn.MINIFS($B$2:$B$2705,$A$2:$A$2705,A1121)</f>
        <v>1901</v>
      </c>
      <c r="U1121" s="3" t="n">
        <f aca="false">B1121-T1121</f>
        <v>68</v>
      </c>
      <c r="V1121" s="3" t="str">
        <f aca="false">INDEX(Pop_Inputs!$Q$2:$Q$29,MATCH(C1121,Pop_Inputs!$A$2:$A$29,0))</f>
        <v>Northeast</v>
      </c>
      <c r="W1121" s="30"/>
      <c r="X1121" s="3" t="str">
        <f aca="false">IF(W1121="","",LN(W1121))</f>
        <v/>
      </c>
      <c r="Y1121" s="3" t="str">
        <f aca="false">IF(X1121="","",X1121-AVERAGEIFS($X$2:$X$2705,$B$2:$B$2705,B1121))</f>
        <v/>
      </c>
      <c r="Z1121" s="21" t="n">
        <f aca="false">P1121</f>
        <v>-0.3693284172174</v>
      </c>
      <c r="AA1121" s="3" t="n">
        <f aca="false">R1121</f>
        <v>0</v>
      </c>
      <c r="AB1121" s="21" t="n">
        <f aca="false">P1121</f>
        <v>-0.3693284172174</v>
      </c>
      <c r="AC1121" s="3" t="str">
        <f aca="false">Y1121</f>
        <v/>
      </c>
      <c r="AD1121" s="3" t="n">
        <f aca="false">R1121</f>
        <v>0</v>
      </c>
    </row>
    <row r="1122" customFormat="false" ht="15" hidden="false" customHeight="true" outlineLevel="0" collapsed="false">
      <c r="A1122" s="7" t="s">
        <v>56</v>
      </c>
      <c r="B1122" s="7" t="n">
        <v>1969</v>
      </c>
      <c r="C1122" s="7" t="s">
        <v>142</v>
      </c>
      <c r="D1122" s="7" t="n">
        <v>92</v>
      </c>
      <c r="E1122" s="7" t="n">
        <v>70</v>
      </c>
      <c r="F1122" s="3" t="n">
        <f aca="false">COUNTIFS($B$2:$B$2705,B1122,$C$2:$C$2705,C1122)</f>
        <v>2</v>
      </c>
      <c r="G1122" s="3" t="n">
        <f aca="false">MIN(INT((MIN(B1122,2020)-1900)/10)+1,12)</f>
        <v>7</v>
      </c>
      <c r="H1122" s="3" t="n">
        <f aca="false">(MIN(B1122,2020)-1900-10*(G1122-1))/10</f>
        <v>0.9</v>
      </c>
      <c r="I1122" s="20" t="n">
        <f aca="false">EXP(LN(INDEX(Pop_Inputs!$B$2:$N$29,MATCH(C1122,Pop_Inputs!$A$2:$A$29,0),G1122))*(1-H1122)+LN(INDEX(Pop_Inputs!$B$2:$N$29,MATCH(C1122,Pop_Inputs!$A$2:$A$29,0),G1122+1))*H1122)</f>
        <v>3384866.85633408</v>
      </c>
      <c r="J1122" s="20" t="n">
        <f aca="false">I1122/F1122</f>
        <v>1692433.42816704</v>
      </c>
      <c r="K1122" s="21" t="n">
        <f aca="false">D1122/(D1122+E1122)</f>
        <v>0.567901234567901</v>
      </c>
      <c r="L1122" s="21" t="n">
        <f aca="false">AVERAGEIFS($K$2:$K$2705,$B$2:$B$2705,B1122)</f>
        <v>0.49996964701071</v>
      </c>
      <c r="M1122" s="21" t="n">
        <f aca="false">K1122-L1122</f>
        <v>0.0679315875571914</v>
      </c>
      <c r="N1122" s="21" t="n">
        <f aca="false">LN(J1122)</f>
        <v>14.3416779495634</v>
      </c>
      <c r="O1122" s="21" t="n">
        <f aca="false">AVERAGEIFS($N$2:$N$2705,$B$2:$B$2705,B1122)</f>
        <v>13.7486166909662</v>
      </c>
      <c r="P1122" s="21" t="n">
        <f aca="false">N1122-O1122</f>
        <v>0.593061258597214</v>
      </c>
      <c r="Q1122" s="7" t="n">
        <v>0</v>
      </c>
      <c r="R1122" s="3" t="n">
        <f aca="false">IF(AND(Q1122=1,B1122-_xlfn.MINIFS($B$2:$B$2705,$A$2:$A$2705,A1122)&lt;10),1,0)</f>
        <v>0</v>
      </c>
      <c r="S1122" s="7" t="n">
        <v>0</v>
      </c>
      <c r="T1122" s="3" t="n">
        <f aca="false">_xlfn.MINIFS($B$2:$B$2705,$A$2:$A$2705,A1122)</f>
        <v>1901</v>
      </c>
      <c r="U1122" s="3" t="n">
        <f aca="false">B1122-T1122</f>
        <v>68</v>
      </c>
      <c r="V1122" s="3" t="str">
        <f aca="false">INDEX(Pop_Inputs!$Q$2:$Q$29,MATCH(C1122,Pop_Inputs!$A$2:$A$29,0))</f>
        <v>Midwest</v>
      </c>
      <c r="W1122" s="30"/>
      <c r="X1122" s="3" t="str">
        <f aca="false">IF(W1122="","",LN(W1122))</f>
        <v/>
      </c>
      <c r="Y1122" s="3" t="str">
        <f aca="false">IF(X1122="","",X1122-AVERAGEIFS($X$2:$X$2705,$B$2:$B$2705,B1122))</f>
        <v/>
      </c>
      <c r="Z1122" s="21" t="n">
        <f aca="false">P1122</f>
        <v>0.593061258597214</v>
      </c>
      <c r="AA1122" s="3" t="n">
        <f aca="false">R1122</f>
        <v>0</v>
      </c>
      <c r="AB1122" s="21" t="n">
        <f aca="false">P1122</f>
        <v>0.593061258597214</v>
      </c>
      <c r="AC1122" s="3" t="str">
        <f aca="false">Y1122</f>
        <v/>
      </c>
      <c r="AD1122" s="3" t="n">
        <f aca="false">R1122</f>
        <v>0</v>
      </c>
    </row>
    <row r="1123" customFormat="false" ht="15" hidden="false" customHeight="true" outlineLevel="0" collapsed="false">
      <c r="A1123" s="7" t="s">
        <v>65</v>
      </c>
      <c r="B1123" s="7" t="n">
        <v>1969</v>
      </c>
      <c r="C1123" s="7" t="s">
        <v>142</v>
      </c>
      <c r="D1123" s="7" t="n">
        <v>68</v>
      </c>
      <c r="E1123" s="7" t="n">
        <v>94</v>
      </c>
      <c r="F1123" s="3" t="n">
        <f aca="false">COUNTIFS($B$2:$B$2705,B1123,$C$2:$C$2705,C1123)</f>
        <v>2</v>
      </c>
      <c r="G1123" s="3" t="n">
        <f aca="false">MIN(INT((MIN(B1123,2020)-1900)/10)+1,12)</f>
        <v>7</v>
      </c>
      <c r="H1123" s="3" t="n">
        <f aca="false">(MIN(B1123,2020)-1900-10*(G1123-1))/10</f>
        <v>0.9</v>
      </c>
      <c r="I1123" s="20" t="n">
        <f aca="false">EXP(LN(INDEX(Pop_Inputs!$B$2:$N$29,MATCH(C1123,Pop_Inputs!$A$2:$A$29,0),G1123))*(1-H1123)+LN(INDEX(Pop_Inputs!$B$2:$N$29,MATCH(C1123,Pop_Inputs!$A$2:$A$29,0),G1123+1))*H1123)</f>
        <v>3384866.85633408</v>
      </c>
      <c r="J1123" s="20" t="n">
        <f aca="false">I1123/F1123</f>
        <v>1692433.42816704</v>
      </c>
      <c r="K1123" s="21" t="n">
        <f aca="false">D1123/(D1123+E1123)</f>
        <v>0.419753086419753</v>
      </c>
      <c r="L1123" s="21" t="n">
        <f aca="false">AVERAGEIFS($K$2:$K$2705,$B$2:$B$2705,B1123)</f>
        <v>0.49996964701071</v>
      </c>
      <c r="M1123" s="21" t="n">
        <f aca="false">K1123-L1123</f>
        <v>-0.0802165605909567</v>
      </c>
      <c r="N1123" s="21" t="n">
        <f aca="false">LN(J1123)</f>
        <v>14.3416779495634</v>
      </c>
      <c r="O1123" s="21" t="n">
        <f aca="false">AVERAGEIFS($N$2:$N$2705,$B$2:$B$2705,B1123)</f>
        <v>13.7486166909662</v>
      </c>
      <c r="P1123" s="21" t="n">
        <f aca="false">N1123-O1123</f>
        <v>0.593061258597214</v>
      </c>
      <c r="Q1123" s="7" t="n">
        <v>0</v>
      </c>
      <c r="R1123" s="3" t="n">
        <f aca="false">IF(AND(Q1123=1,B1123-_xlfn.MINIFS($B$2:$B$2705,$A$2:$A$2705,A1123)&lt;10),1,0)</f>
        <v>0</v>
      </c>
      <c r="S1123" s="7" t="n">
        <v>0</v>
      </c>
      <c r="T1123" s="3" t="n">
        <f aca="false">_xlfn.MINIFS($B$2:$B$2705,$A$2:$A$2705,A1123)</f>
        <v>1901</v>
      </c>
      <c r="U1123" s="3" t="n">
        <f aca="false">B1123-T1123</f>
        <v>68</v>
      </c>
      <c r="V1123" s="3" t="str">
        <f aca="false">INDEX(Pop_Inputs!$Q$2:$Q$29,MATCH(C1123,Pop_Inputs!$A$2:$A$29,0))</f>
        <v>Midwest</v>
      </c>
      <c r="W1123" s="30"/>
      <c r="X1123" s="3" t="str">
        <f aca="false">IF(W1123="","",LN(W1123))</f>
        <v/>
      </c>
      <c r="Y1123" s="3" t="str">
        <f aca="false">IF(X1123="","",X1123-AVERAGEIFS($X$2:$X$2705,$B$2:$B$2705,B1123))</f>
        <v/>
      </c>
      <c r="Z1123" s="21" t="n">
        <f aca="false">P1123</f>
        <v>0.593061258597214</v>
      </c>
      <c r="AA1123" s="3" t="n">
        <f aca="false">R1123</f>
        <v>0</v>
      </c>
      <c r="AB1123" s="21" t="n">
        <f aca="false">P1123</f>
        <v>0.593061258597214</v>
      </c>
      <c r="AC1123" s="3" t="str">
        <f aca="false">Y1123</f>
        <v/>
      </c>
      <c r="AD1123" s="3" t="n">
        <f aca="false">R1123</f>
        <v>0</v>
      </c>
    </row>
    <row r="1124" customFormat="false" ht="15" hidden="false" customHeight="true" outlineLevel="0" collapsed="false">
      <c r="A1124" s="7" t="s">
        <v>57</v>
      </c>
      <c r="B1124" s="7" t="n">
        <v>1969</v>
      </c>
      <c r="C1124" s="7" t="s">
        <v>143</v>
      </c>
      <c r="D1124" s="7" t="n">
        <v>89</v>
      </c>
      <c r="E1124" s="7" t="n">
        <v>73</v>
      </c>
      <c r="F1124" s="3" t="n">
        <f aca="false">COUNTIFS($B$2:$B$2705,B1124,$C$2:$C$2705,C1124)</f>
        <v>1</v>
      </c>
      <c r="G1124" s="3" t="n">
        <f aca="false">MIN(INT((MIN(B1124,2020)-1900)/10)+1,12)</f>
        <v>7</v>
      </c>
      <c r="H1124" s="3" t="n">
        <f aca="false">(MIN(B1124,2020)-1900-10*(G1124-1))/10</f>
        <v>0.9</v>
      </c>
      <c r="I1124" s="20" t="n">
        <f aca="false">EXP(LN(INDEX(Pop_Inputs!$B$2:$N$29,MATCH(C1124,Pop_Inputs!$A$2:$A$29,0),G1124))*(1-H1124)+LN(INDEX(Pop_Inputs!$B$2:$N$29,MATCH(C1124,Pop_Inputs!$A$2:$A$29,0),G1124+1))*H1124)</f>
        <v>457294.783285079</v>
      </c>
      <c r="J1124" s="20" t="n">
        <f aca="false">I1124/F1124</f>
        <v>457294.783285079</v>
      </c>
      <c r="K1124" s="21" t="n">
        <f aca="false">D1124/(D1124+E1124)</f>
        <v>0.549382716049383</v>
      </c>
      <c r="L1124" s="21" t="n">
        <f aca="false">AVERAGEIFS($K$2:$K$2705,$B$2:$B$2705,B1124)</f>
        <v>0.49996964701071</v>
      </c>
      <c r="M1124" s="21" t="n">
        <f aca="false">K1124-L1124</f>
        <v>0.0494130690386729</v>
      </c>
      <c r="N1124" s="21" t="n">
        <f aca="false">LN(J1124)</f>
        <v>13.0330835019386</v>
      </c>
      <c r="O1124" s="21" t="n">
        <f aca="false">AVERAGEIFS($N$2:$N$2705,$B$2:$B$2705,B1124)</f>
        <v>13.7486166909662</v>
      </c>
      <c r="P1124" s="21" t="n">
        <f aca="false">N1124-O1124</f>
        <v>-0.715533189027621</v>
      </c>
      <c r="Q1124" s="7" t="n">
        <v>0</v>
      </c>
      <c r="R1124" s="3" t="n">
        <f aca="false">IF(AND(Q1124=1,B1124-_xlfn.MINIFS($B$2:$B$2705,$A$2:$A$2705,A1124)&lt;10),1,0)</f>
        <v>0</v>
      </c>
      <c r="S1124" s="7" t="n">
        <v>0</v>
      </c>
      <c r="T1124" s="3" t="n">
        <f aca="false">_xlfn.MINIFS($B$2:$B$2705,$A$2:$A$2705,A1124)</f>
        <v>1901</v>
      </c>
      <c r="U1124" s="3" t="n">
        <f aca="false">B1124-T1124</f>
        <v>68</v>
      </c>
      <c r="V1124" s="3" t="str">
        <f aca="false">INDEX(Pop_Inputs!$Q$2:$Q$29,MATCH(C1124,Pop_Inputs!$A$2:$A$29,0))</f>
        <v>Midwest</v>
      </c>
      <c r="W1124" s="30"/>
      <c r="X1124" s="3" t="str">
        <f aca="false">IF(W1124="","",LN(W1124))</f>
        <v/>
      </c>
      <c r="Y1124" s="3" t="str">
        <f aca="false">IF(X1124="","",X1124-AVERAGEIFS($X$2:$X$2705,$B$2:$B$2705,B1124))</f>
        <v/>
      </c>
      <c r="Z1124" s="21" t="n">
        <f aca="false">P1124</f>
        <v>-0.715533189027621</v>
      </c>
      <c r="AA1124" s="3" t="n">
        <f aca="false">R1124</f>
        <v>0</v>
      </c>
      <c r="AB1124" s="21" t="n">
        <f aca="false">P1124</f>
        <v>-0.715533189027621</v>
      </c>
      <c r="AC1124" s="3" t="str">
        <f aca="false">Y1124</f>
        <v/>
      </c>
      <c r="AD1124" s="3" t="n">
        <f aca="false">R1124</f>
        <v>0</v>
      </c>
    </row>
    <row r="1125" customFormat="false" ht="15" hidden="false" customHeight="true" outlineLevel="0" collapsed="false">
      <c r="A1125" s="7" t="s">
        <v>66</v>
      </c>
      <c r="B1125" s="7" t="n">
        <v>1969</v>
      </c>
      <c r="C1125" s="7" t="s">
        <v>151</v>
      </c>
      <c r="D1125" s="7" t="n">
        <v>62</v>
      </c>
      <c r="E1125" s="7" t="n">
        <v>99</v>
      </c>
      <c r="F1125" s="3" t="n">
        <f aca="false">COUNTIFS($B$2:$B$2705,B1125,$C$2:$C$2705,C1125)</f>
        <v>1</v>
      </c>
      <c r="G1125" s="3" t="n">
        <f aca="false">MIN(INT((MIN(B1125,2020)-1900)/10)+1,12)</f>
        <v>7</v>
      </c>
      <c r="H1125" s="3" t="n">
        <f aca="false">(MIN(B1125,2020)-1900-10*(G1125-1))/10</f>
        <v>0.9</v>
      </c>
      <c r="I1125" s="20" t="n">
        <f aca="false">EXP(LN(INDEX(Pop_Inputs!$B$2:$N$29,MATCH(C1125,Pop_Inputs!$A$2:$A$29,0),G1125))*(1-H1125)+LN(INDEX(Pop_Inputs!$B$2:$N$29,MATCH(C1125,Pop_Inputs!$A$2:$A$29,0),G1125+1))*H1125)</f>
        <v>762567.59273805</v>
      </c>
      <c r="J1125" s="20" t="n">
        <f aca="false">I1125/F1125</f>
        <v>762567.59273805</v>
      </c>
      <c r="K1125" s="21" t="n">
        <f aca="false">D1125/(D1125+E1125)</f>
        <v>0.385093167701863</v>
      </c>
      <c r="L1125" s="21" t="n">
        <f aca="false">AVERAGEIFS($K$2:$K$2705,$B$2:$B$2705,B1125)</f>
        <v>0.49996964701071</v>
      </c>
      <c r="M1125" s="21" t="n">
        <f aca="false">K1125-L1125</f>
        <v>-0.114876479308846</v>
      </c>
      <c r="N1125" s="21" t="n">
        <f aca="false">LN(J1125)</f>
        <v>13.5444464297487</v>
      </c>
      <c r="O1125" s="21" t="n">
        <f aca="false">AVERAGEIFS($N$2:$N$2705,$B$2:$B$2705,B1125)</f>
        <v>13.7486166909662</v>
      </c>
      <c r="P1125" s="21" t="n">
        <f aca="false">N1125-O1125</f>
        <v>-0.204170261217492</v>
      </c>
      <c r="Q1125" s="7" t="n">
        <v>0</v>
      </c>
      <c r="R1125" s="3" t="n">
        <f aca="false">IF(AND(Q1125=1,B1125-_xlfn.MINIFS($B$2:$B$2705,$A$2:$A$2705,A1125)&lt;10),1,0)</f>
        <v>0</v>
      </c>
      <c r="S1125" s="7" t="n">
        <v>0</v>
      </c>
      <c r="T1125" s="3" t="n">
        <f aca="false">_xlfn.MINIFS($B$2:$B$2705,$A$2:$A$2705,A1125)</f>
        <v>1901</v>
      </c>
      <c r="U1125" s="3" t="n">
        <f aca="false">B1125-T1125</f>
        <v>68</v>
      </c>
      <c r="V1125" s="3" t="str">
        <f aca="false">INDEX(Pop_Inputs!$Q$2:$Q$29,MATCH(C1125,Pop_Inputs!$A$2:$A$29,0))</f>
        <v>Midwest</v>
      </c>
      <c r="W1125" s="30"/>
      <c r="X1125" s="3" t="str">
        <f aca="false">IF(W1125="","",LN(W1125))</f>
        <v/>
      </c>
      <c r="Y1125" s="3" t="str">
        <f aca="false">IF(X1125="","",X1125-AVERAGEIFS($X$2:$X$2705,$B$2:$B$2705,B1125))</f>
        <v/>
      </c>
      <c r="Z1125" s="21" t="n">
        <f aca="false">P1125</f>
        <v>-0.204170261217492</v>
      </c>
      <c r="AA1125" s="3" t="n">
        <f aca="false">R1125</f>
        <v>0</v>
      </c>
      <c r="AB1125" s="21" t="n">
        <f aca="false">P1125</f>
        <v>-0.204170261217492</v>
      </c>
      <c r="AC1125" s="3" t="str">
        <f aca="false">Y1125</f>
        <v/>
      </c>
      <c r="AD1125" s="3" t="n">
        <f aca="false">R1125</f>
        <v>0</v>
      </c>
    </row>
    <row r="1126" customFormat="false" ht="15" hidden="false" customHeight="true" outlineLevel="0" collapsed="false">
      <c r="A1126" s="7" t="s">
        <v>67</v>
      </c>
      <c r="B1126" s="7" t="n">
        <v>1969</v>
      </c>
      <c r="C1126" s="7" t="s">
        <v>152</v>
      </c>
      <c r="D1126" s="7" t="n">
        <v>90</v>
      </c>
      <c r="E1126" s="7" t="n">
        <v>72</v>
      </c>
      <c r="F1126" s="3" t="n">
        <f aca="false">COUNTIFS($B$2:$B$2705,B1126,$C$2:$C$2705,C1126)</f>
        <v>1</v>
      </c>
      <c r="G1126" s="3" t="n">
        <f aca="false">MIN(INT((MIN(B1126,2020)-1900)/10)+1,12)</f>
        <v>7</v>
      </c>
      <c r="H1126" s="3" t="n">
        <f aca="false">(MIN(B1126,2020)-1900-10*(G1126-1))/10</f>
        <v>0.9</v>
      </c>
      <c r="I1126" s="20" t="n">
        <f aca="false">EXP(LN(INDEX(Pop_Inputs!$B$2:$N$29,MATCH(C1126,Pop_Inputs!$A$2:$A$29,0),G1126))*(1-H1126)+LN(INDEX(Pop_Inputs!$B$2:$N$29,MATCH(C1126,Pop_Inputs!$A$2:$A$29,0),G1126+1))*H1126)</f>
        <v>1526645.04828463</v>
      </c>
      <c r="J1126" s="20" t="n">
        <f aca="false">I1126/F1126</f>
        <v>1526645.04828463</v>
      </c>
      <c r="K1126" s="21" t="n">
        <f aca="false">D1126/(D1126+E1126)</f>
        <v>0.555555555555556</v>
      </c>
      <c r="L1126" s="21" t="n">
        <f aca="false">AVERAGEIFS($K$2:$K$2705,$B$2:$B$2705,B1126)</f>
        <v>0.49996964701071</v>
      </c>
      <c r="M1126" s="21" t="n">
        <f aca="false">K1126-L1126</f>
        <v>0.0555859085448458</v>
      </c>
      <c r="N1126" s="21" t="n">
        <f aca="false">LN(J1126)</f>
        <v>14.2385831068097</v>
      </c>
      <c r="O1126" s="21" t="n">
        <f aca="false">AVERAGEIFS($N$2:$N$2705,$B$2:$B$2705,B1126)</f>
        <v>13.7486166909662</v>
      </c>
      <c r="P1126" s="21" t="n">
        <f aca="false">N1126-O1126</f>
        <v>0.489966415843556</v>
      </c>
      <c r="Q1126" s="7" t="n">
        <v>0</v>
      </c>
      <c r="R1126" s="3" t="n">
        <f aca="false">IF(AND(Q1126=1,B1126-_xlfn.MINIFS($B$2:$B$2705,$A$2:$A$2705,A1126)&lt;10),1,0)</f>
        <v>0</v>
      </c>
      <c r="S1126" s="7" t="n">
        <v>0</v>
      </c>
      <c r="T1126" s="3" t="n">
        <f aca="false">_xlfn.MINIFS($B$2:$B$2705,$A$2:$A$2705,A1126)</f>
        <v>1901</v>
      </c>
      <c r="U1126" s="3" t="n">
        <f aca="false">B1126-T1126</f>
        <v>68</v>
      </c>
      <c r="V1126" s="3" t="str">
        <f aca="false">INDEX(Pop_Inputs!$Q$2:$Q$29,MATCH(C1126,Pop_Inputs!$A$2:$A$29,0))</f>
        <v>Midwest</v>
      </c>
      <c r="W1126" s="30"/>
      <c r="X1126" s="3" t="str">
        <f aca="false">IF(W1126="","",LN(W1126))</f>
        <v/>
      </c>
      <c r="Y1126" s="3" t="str">
        <f aca="false">IF(X1126="","",X1126-AVERAGEIFS($X$2:$X$2705,$B$2:$B$2705,B1126))</f>
        <v/>
      </c>
      <c r="Z1126" s="21" t="n">
        <f aca="false">P1126</f>
        <v>0.489966415843556</v>
      </c>
      <c r="AA1126" s="3" t="n">
        <f aca="false">R1126</f>
        <v>0</v>
      </c>
      <c r="AB1126" s="21" t="n">
        <f aca="false">P1126</f>
        <v>0.489966415843556</v>
      </c>
      <c r="AC1126" s="3" t="str">
        <f aca="false">Y1126</f>
        <v/>
      </c>
      <c r="AD1126" s="3" t="n">
        <f aca="false">R1126</f>
        <v>0</v>
      </c>
    </row>
    <row r="1127" customFormat="false" ht="15" hidden="false" customHeight="true" outlineLevel="0" collapsed="false">
      <c r="A1127" s="7" t="s">
        <v>74</v>
      </c>
      <c r="B1127" s="7" t="n">
        <v>1969</v>
      </c>
      <c r="C1127" s="7" t="s">
        <v>156</v>
      </c>
      <c r="D1127" s="7" t="n">
        <v>81</v>
      </c>
      <c r="E1127" s="7" t="n">
        <v>81</v>
      </c>
      <c r="F1127" s="3" t="n">
        <f aca="false">COUNTIFS($B$2:$B$2705,B1127,$C$2:$C$2705,C1127)</f>
        <v>1</v>
      </c>
      <c r="G1127" s="3" t="n">
        <f aca="false">MIN(INT((MIN(B1127,2020)-1900)/10)+1,12)</f>
        <v>7</v>
      </c>
      <c r="H1127" s="3" t="n">
        <f aca="false">(MIN(B1127,2020)-1900-10*(G1127-1))/10</f>
        <v>0.9</v>
      </c>
      <c r="I1127" s="20" t="n">
        <f aca="false">EXP(LN(INDEX(Pop_Inputs!$B$2:$N$29,MATCH(C1127,Pop_Inputs!$A$2:$A$29,0),G1127))*(1-H1127)+LN(INDEX(Pop_Inputs!$B$2:$N$29,MATCH(C1127,Pop_Inputs!$A$2:$A$29,0),G1127+1))*H1127)</f>
        <v>1199594.37214211</v>
      </c>
      <c r="J1127" s="20" t="n">
        <f aca="false">I1127/F1127</f>
        <v>1199594.37214211</v>
      </c>
      <c r="K1127" s="21" t="n">
        <f aca="false">D1127/(D1127+E1127)</f>
        <v>0.5</v>
      </c>
      <c r="L1127" s="21" t="n">
        <f aca="false">AVERAGEIFS($K$2:$K$2705,$B$2:$B$2705,B1127)</f>
        <v>0.49996964701071</v>
      </c>
      <c r="M1127" s="21" t="n">
        <f aca="false">K1127-L1127</f>
        <v>3.03529892902166E-005</v>
      </c>
      <c r="N1127" s="21" t="n">
        <f aca="false">LN(J1127)</f>
        <v>13.9974940344006</v>
      </c>
      <c r="O1127" s="21" t="n">
        <f aca="false">AVERAGEIFS($N$2:$N$2705,$B$2:$B$2705,B1127)</f>
        <v>13.7486166909662</v>
      </c>
      <c r="P1127" s="21" t="n">
        <f aca="false">N1127-O1127</f>
        <v>0.248877343434412</v>
      </c>
      <c r="Q1127" s="7" t="n">
        <v>1</v>
      </c>
      <c r="R1127" s="3" t="n">
        <f aca="false">IF(AND(Q1127=1,B1127-_xlfn.MINIFS($B$2:$B$2705,$A$2:$A$2705,A1127)&lt;10),1,0)</f>
        <v>1</v>
      </c>
      <c r="S1127" s="7" t="n">
        <v>0</v>
      </c>
      <c r="T1127" s="3" t="n">
        <f aca="false">_xlfn.MINIFS($B$2:$B$2705,$A$2:$A$2705,A1127)</f>
        <v>1962</v>
      </c>
      <c r="U1127" s="3" t="n">
        <f aca="false">B1127-T1127</f>
        <v>7</v>
      </c>
      <c r="V1127" s="3" t="str">
        <f aca="false">INDEX(Pop_Inputs!$Q$2:$Q$29,MATCH(C1127,Pop_Inputs!$A$2:$A$29,0))</f>
        <v>South</v>
      </c>
      <c r="W1127" s="30"/>
      <c r="X1127" s="3" t="str">
        <f aca="false">IF(W1127="","",LN(W1127))</f>
        <v/>
      </c>
      <c r="Y1127" s="3" t="str">
        <f aca="false">IF(X1127="","",X1127-AVERAGEIFS($X$2:$X$2705,$B$2:$B$2705,B1127))</f>
        <v/>
      </c>
      <c r="Z1127" s="21" t="n">
        <f aca="false">P1127</f>
        <v>0.248877343434412</v>
      </c>
      <c r="AA1127" s="3" t="n">
        <f aca="false">R1127</f>
        <v>1</v>
      </c>
      <c r="AB1127" s="21" t="n">
        <f aca="false">P1127</f>
        <v>0.248877343434412</v>
      </c>
      <c r="AC1127" s="3" t="str">
        <f aca="false">Y1127</f>
        <v/>
      </c>
      <c r="AD1127" s="3" t="n">
        <f aca="false">R1127</f>
        <v>1</v>
      </c>
    </row>
    <row r="1128" customFormat="false" ht="15" hidden="false" customHeight="true" outlineLevel="0" collapsed="false">
      <c r="A1128" s="7" t="s">
        <v>76</v>
      </c>
      <c r="B1128" s="7" t="n">
        <v>1969</v>
      </c>
      <c r="C1128" s="7" t="s">
        <v>157</v>
      </c>
      <c r="D1128" s="7" t="n">
        <v>69</v>
      </c>
      <c r="E1128" s="7" t="n">
        <v>93</v>
      </c>
      <c r="F1128" s="3" t="n">
        <f aca="false">COUNTIFS($B$2:$B$2705,B1128,$C$2:$C$2705,C1128)</f>
        <v>1</v>
      </c>
      <c r="G1128" s="3" t="n">
        <f aca="false">MIN(INT((MIN(B1128,2020)-1900)/10)+1,12)</f>
        <v>7</v>
      </c>
      <c r="H1128" s="3" t="n">
        <f aca="false">(MIN(B1128,2020)-1900-10*(G1128-1))/10</f>
        <v>0.9</v>
      </c>
      <c r="I1128" s="20" t="n">
        <f aca="false">EXP(LN(INDEX(Pop_Inputs!$B$2:$N$29,MATCH(C1128,Pop_Inputs!$A$2:$A$29,0),G1128))*(1-H1128)+LN(INDEX(Pop_Inputs!$B$2:$N$29,MATCH(C1128,Pop_Inputs!$A$2:$A$29,0),G1128+1))*H1128)</f>
        <v>503840.231894959</v>
      </c>
      <c r="J1128" s="20" t="n">
        <f aca="false">I1128/F1128</f>
        <v>503840.231894959</v>
      </c>
      <c r="K1128" s="21" t="n">
        <f aca="false">D1128/(D1128+E1128)</f>
        <v>0.425925925925926</v>
      </c>
      <c r="L1128" s="21" t="n">
        <f aca="false">AVERAGEIFS($K$2:$K$2705,$B$2:$B$2705,B1128)</f>
        <v>0.49996964701071</v>
      </c>
      <c r="M1128" s="21" t="n">
        <f aca="false">K1128-L1128</f>
        <v>-0.0740437210847839</v>
      </c>
      <c r="N1128" s="21" t="n">
        <f aca="false">LN(J1128)</f>
        <v>13.1300144965899</v>
      </c>
      <c r="O1128" s="21" t="n">
        <f aca="false">AVERAGEIFS($N$2:$N$2705,$B$2:$B$2705,B1128)</f>
        <v>13.7486166909662</v>
      </c>
      <c r="P1128" s="21" t="n">
        <f aca="false">N1128-O1128</f>
        <v>-0.618602194376283</v>
      </c>
      <c r="Q1128" s="7" t="n">
        <v>1</v>
      </c>
      <c r="R1128" s="3" t="n">
        <f aca="false">IF(AND(Q1128=1,B1128-_xlfn.MINIFS($B$2:$B$2705,$A$2:$A$2705,A1128)&lt;10),1,0)</f>
        <v>1</v>
      </c>
      <c r="S1128" s="7" t="n">
        <v>0</v>
      </c>
      <c r="T1128" s="3" t="n">
        <f aca="false">_xlfn.MINIFS($B$2:$B$2705,$A$2:$A$2705,A1128)</f>
        <v>1969</v>
      </c>
      <c r="U1128" s="3" t="n">
        <f aca="false">B1128-T1128</f>
        <v>0</v>
      </c>
      <c r="V1128" s="3" t="str">
        <f aca="false">INDEX(Pop_Inputs!$Q$2:$Q$29,MATCH(C1128,Pop_Inputs!$A$2:$A$29,0))</f>
        <v>Midwest</v>
      </c>
      <c r="W1128" s="30"/>
      <c r="X1128" s="3" t="str">
        <f aca="false">IF(W1128="","",LN(W1128))</f>
        <v/>
      </c>
      <c r="Y1128" s="3" t="str">
        <f aca="false">IF(X1128="","",X1128-AVERAGEIFS($X$2:$X$2705,$B$2:$B$2705,B1128))</f>
        <v/>
      </c>
      <c r="Z1128" s="21" t="n">
        <f aca="false">P1128</f>
        <v>-0.618602194376283</v>
      </c>
      <c r="AA1128" s="3" t="n">
        <f aca="false">R1128</f>
        <v>1</v>
      </c>
      <c r="AB1128" s="21" t="n">
        <f aca="false">P1128</f>
        <v>-0.618602194376283</v>
      </c>
      <c r="AC1128" s="3" t="str">
        <f aca="false">Y1128</f>
        <v/>
      </c>
      <c r="AD1128" s="3" t="n">
        <f aca="false">R1128</f>
        <v>1</v>
      </c>
    </row>
    <row r="1129" customFormat="false" ht="15" hidden="false" customHeight="true" outlineLevel="0" collapsed="false">
      <c r="A1129" s="7" t="s">
        <v>62</v>
      </c>
      <c r="B1129" s="7" t="n">
        <v>1969</v>
      </c>
      <c r="C1129" s="7" t="s">
        <v>148</v>
      </c>
      <c r="D1129" s="7" t="n">
        <v>85</v>
      </c>
      <c r="E1129" s="7" t="n">
        <v>77</v>
      </c>
      <c r="F1129" s="3" t="n">
        <f aca="false">COUNTIFS($B$2:$B$2705,B1129,$C$2:$C$2705,C1129)</f>
        <v>2</v>
      </c>
      <c r="G1129" s="3" t="n">
        <f aca="false">MIN(INT((MIN(B1129,2020)-1900)/10)+1,12)</f>
        <v>7</v>
      </c>
      <c r="H1129" s="3" t="n">
        <f aca="false">(MIN(B1129,2020)-1900-10*(G1129-1))/10</f>
        <v>0.9</v>
      </c>
      <c r="I1129" s="20" t="n">
        <f aca="false">EXP(LN(INDEX(Pop_Inputs!$B$2:$N$29,MATCH(C1129,Pop_Inputs!$A$2:$A$29,0),G1129))*(1-H1129)+LN(INDEX(Pop_Inputs!$B$2:$N$29,MATCH(C1129,Pop_Inputs!$A$2:$A$29,0),G1129+1))*H1129)</f>
        <v>2780390.31904128</v>
      </c>
      <c r="J1129" s="20" t="n">
        <f aca="false">I1129/F1129</f>
        <v>1390195.15952064</v>
      </c>
      <c r="K1129" s="21" t="n">
        <f aca="false">D1129/(D1129+E1129)</f>
        <v>0.524691358024691</v>
      </c>
      <c r="L1129" s="21" t="n">
        <f aca="false">AVERAGEIFS($K$2:$K$2705,$B$2:$B$2705,B1129)</f>
        <v>0.49996964701071</v>
      </c>
      <c r="M1129" s="21" t="n">
        <f aca="false">K1129-L1129</f>
        <v>0.0247217110139816</v>
      </c>
      <c r="N1129" s="21" t="n">
        <f aca="false">LN(J1129)</f>
        <v>14.1449546977842</v>
      </c>
      <c r="O1129" s="21" t="n">
        <f aca="false">AVERAGEIFS($N$2:$N$2705,$B$2:$B$2705,B1129)</f>
        <v>13.7486166909662</v>
      </c>
      <c r="P1129" s="21" t="n">
        <f aca="false">N1129-O1129</f>
        <v>0.396338006818009</v>
      </c>
      <c r="Q1129" s="7" t="n">
        <v>0</v>
      </c>
      <c r="R1129" s="3" t="n">
        <f aca="false">IF(AND(Q1129=1,B1129-_xlfn.MINIFS($B$2:$B$2705,$A$2:$A$2705,A1129)&lt;10),1,0)</f>
        <v>0</v>
      </c>
      <c r="S1129" s="7" t="n">
        <v>0</v>
      </c>
      <c r="T1129" s="3" t="n">
        <f aca="false">_xlfn.MINIFS($B$2:$B$2705,$A$2:$A$2705,A1129)</f>
        <v>1901</v>
      </c>
      <c r="U1129" s="3" t="n">
        <f aca="false">B1129-T1129</f>
        <v>68</v>
      </c>
      <c r="V1129" s="3" t="str">
        <f aca="false">INDEX(Pop_Inputs!$Q$2:$Q$29,MATCH(C1129,Pop_Inputs!$A$2:$A$29,0))</f>
        <v>West</v>
      </c>
      <c r="W1129" s="30"/>
      <c r="X1129" s="3" t="str">
        <f aca="false">IF(W1129="","",LN(W1129))</f>
        <v/>
      </c>
      <c r="Y1129" s="3" t="str">
        <f aca="false">IF(X1129="","",X1129-AVERAGEIFS($X$2:$X$2705,$B$2:$B$2705,B1129))</f>
        <v/>
      </c>
      <c r="Z1129" s="21" t="n">
        <f aca="false">P1129</f>
        <v>0.396338006818009</v>
      </c>
      <c r="AA1129" s="3" t="n">
        <f aca="false">R1129</f>
        <v>0</v>
      </c>
      <c r="AB1129" s="21" t="n">
        <f aca="false">P1129</f>
        <v>0.396338006818009</v>
      </c>
      <c r="AC1129" s="3" t="str">
        <f aca="false">Y1129</f>
        <v/>
      </c>
      <c r="AD1129" s="3" t="n">
        <f aca="false">R1129</f>
        <v>0</v>
      </c>
    </row>
    <row r="1130" customFormat="false" ht="15" hidden="false" customHeight="true" outlineLevel="0" collapsed="false">
      <c r="A1130" s="7" t="s">
        <v>77</v>
      </c>
      <c r="B1130" s="7" t="n">
        <v>1969</v>
      </c>
      <c r="C1130" s="7" t="s">
        <v>161</v>
      </c>
      <c r="D1130" s="7" t="n">
        <v>64</v>
      </c>
      <c r="E1130" s="7" t="n">
        <v>98</v>
      </c>
      <c r="F1130" s="3" t="n">
        <f aca="false">COUNTIFS($B$2:$B$2705,B1130,$C$2:$C$2705,C1130)</f>
        <v>1</v>
      </c>
      <c r="G1130" s="3" t="n">
        <f aca="false">MIN(INT((MIN(B1130,2020)-1900)/10)+1,12)</f>
        <v>7</v>
      </c>
      <c r="H1130" s="3" t="n">
        <f aca="false">(MIN(B1130,2020)-1900-10*(G1130-1))/10</f>
        <v>0.9</v>
      </c>
      <c r="I1130" s="20" t="n">
        <f aca="false">EXP(LN(INDEX(Pop_Inputs!$B$2:$N$29,MATCH(C1130,Pop_Inputs!$A$2:$A$29,0),G1130))*(1-H1130)+LN(INDEX(Pop_Inputs!$B$2:$N$29,MATCH(C1130,Pop_Inputs!$A$2:$A$29,0),G1130+1))*H1130)</f>
        <v>533399.92706419</v>
      </c>
      <c r="J1130" s="20" t="n">
        <f aca="false">I1130/F1130</f>
        <v>533399.92706419</v>
      </c>
      <c r="K1130" s="21" t="n">
        <f aca="false">D1130/(D1130+E1130)</f>
        <v>0.395061728395062</v>
      </c>
      <c r="L1130" s="21" t="n">
        <f aca="false">AVERAGEIFS($K$2:$K$2705,$B$2:$B$2705,B1130)</f>
        <v>0.49996964701071</v>
      </c>
      <c r="M1130" s="21" t="n">
        <f aca="false">K1130-L1130</f>
        <v>-0.104907918615648</v>
      </c>
      <c r="N1130" s="21" t="n">
        <f aca="false">LN(J1130)</f>
        <v>13.1870267539925</v>
      </c>
      <c r="O1130" s="21" t="n">
        <f aca="false">AVERAGEIFS($N$2:$N$2705,$B$2:$B$2705,B1130)</f>
        <v>13.7486166909662</v>
      </c>
      <c r="P1130" s="21" t="n">
        <f aca="false">N1130-O1130</f>
        <v>-0.561589936973698</v>
      </c>
      <c r="Q1130" s="7" t="n">
        <v>1</v>
      </c>
      <c r="R1130" s="3" t="n">
        <f aca="false">IF(AND(Q1130=1,B1130-_xlfn.MINIFS($B$2:$B$2705,$A$2:$A$2705,A1130)&lt;10),1,0)</f>
        <v>1</v>
      </c>
      <c r="S1130" s="7" t="n">
        <v>0</v>
      </c>
      <c r="T1130" s="3" t="n">
        <f aca="false">_xlfn.MINIFS($B$2:$B$2705,$A$2:$A$2705,A1130)</f>
        <v>1969</v>
      </c>
      <c r="U1130" s="3" t="n">
        <f aca="false">B1130-T1130</f>
        <v>0</v>
      </c>
      <c r="V1130" s="3" t="str">
        <f aca="false">INDEX(Pop_Inputs!$Q$2:$Q$29,MATCH(C1130,Pop_Inputs!$A$2:$A$29,0))</f>
        <v>West</v>
      </c>
      <c r="W1130" s="30"/>
      <c r="X1130" s="3" t="str">
        <f aca="false">IF(W1130="","",LN(W1130))</f>
        <v/>
      </c>
      <c r="Y1130" s="3" t="str">
        <f aca="false">IF(X1130="","",X1130-AVERAGEIFS($X$2:$X$2705,$B$2:$B$2705,B1130))</f>
        <v/>
      </c>
      <c r="Z1130" s="21" t="n">
        <f aca="false">P1130</f>
        <v>-0.561589936973698</v>
      </c>
      <c r="AA1130" s="3" t="n">
        <f aca="false">R1130</f>
        <v>1</v>
      </c>
      <c r="AB1130" s="21" t="n">
        <f aca="false">P1130</f>
        <v>-0.561589936973698</v>
      </c>
      <c r="AC1130" s="3" t="str">
        <f aca="false">Y1130</f>
        <v/>
      </c>
      <c r="AD1130" s="3" t="n">
        <f aca="false">R1130</f>
        <v>1</v>
      </c>
    </row>
    <row r="1131" customFormat="false" ht="15" hidden="false" customHeight="true" outlineLevel="0" collapsed="false">
      <c r="A1131" s="7" t="s">
        <v>68</v>
      </c>
      <c r="B1131" s="7" t="n">
        <v>1969</v>
      </c>
      <c r="C1131" s="7" t="s">
        <v>153</v>
      </c>
      <c r="D1131" s="7" t="n">
        <v>97</v>
      </c>
      <c r="E1131" s="7" t="n">
        <v>65</v>
      </c>
      <c r="F1131" s="3" t="n">
        <f aca="false">COUNTIFS($B$2:$B$2705,B1131,$C$2:$C$2705,C1131)</f>
        <v>1</v>
      </c>
      <c r="G1131" s="3" t="n">
        <f aca="false">MIN(INT((MIN(B1131,2020)-1900)/10)+1,12)</f>
        <v>7</v>
      </c>
      <c r="H1131" s="3" t="n">
        <f aca="false">(MIN(B1131,2020)-1900-10*(G1131-1))/10</f>
        <v>0.9</v>
      </c>
      <c r="I1131" s="20" t="n">
        <f aca="false">EXP(LN(INDEX(Pop_Inputs!$B$2:$N$29,MATCH(C1131,Pop_Inputs!$A$2:$A$29,0),G1131))*(1-H1131)+LN(INDEX(Pop_Inputs!$B$2:$N$29,MATCH(C1131,Pop_Inputs!$A$2:$A$29,0),G1131+1))*H1131)</f>
        <v>439019.728884018</v>
      </c>
      <c r="J1131" s="20" t="n">
        <f aca="false">I1131/F1131</f>
        <v>439019.728884018</v>
      </c>
      <c r="K1131" s="21" t="n">
        <f aca="false">D1131/(D1131+E1131)</f>
        <v>0.598765432098765</v>
      </c>
      <c r="L1131" s="21" t="n">
        <f aca="false">AVERAGEIFS($K$2:$K$2705,$B$2:$B$2705,B1131)</f>
        <v>0.49996964701071</v>
      </c>
      <c r="M1131" s="21" t="n">
        <f aca="false">K1131-L1131</f>
        <v>0.0987957850880556</v>
      </c>
      <c r="N1131" s="21" t="n">
        <f aca="false">LN(J1131)</f>
        <v>12.9922996315578</v>
      </c>
      <c r="O1131" s="21" t="n">
        <f aca="false">AVERAGEIFS($N$2:$N$2705,$B$2:$B$2705,B1131)</f>
        <v>13.7486166909662</v>
      </c>
      <c r="P1131" s="21" t="n">
        <f aca="false">N1131-O1131</f>
        <v>-0.756317059408382</v>
      </c>
      <c r="Q1131" s="7" t="n">
        <v>0</v>
      </c>
      <c r="R1131" s="3" t="n">
        <f aca="false">IF(AND(Q1131=1,B1131-_xlfn.MINIFS($B$2:$B$2705,$A$2:$A$2705,A1131)&lt;10),1,0)</f>
        <v>0</v>
      </c>
      <c r="S1131" s="7" t="n">
        <v>0</v>
      </c>
      <c r="T1131" s="3" t="n">
        <f aca="false">_xlfn.MINIFS($B$2:$B$2705,$A$2:$A$2705,A1131)</f>
        <v>1901</v>
      </c>
      <c r="U1131" s="3" t="n">
        <f aca="false">B1131-T1131</f>
        <v>68</v>
      </c>
      <c r="V1131" s="3" t="str">
        <f aca="false">INDEX(Pop_Inputs!$Q$2:$Q$29,MATCH(C1131,Pop_Inputs!$A$2:$A$29,0))</f>
        <v>Midwest</v>
      </c>
      <c r="W1131" s="30"/>
      <c r="X1131" s="3" t="str">
        <f aca="false">IF(W1131="","",LN(W1131))</f>
        <v/>
      </c>
      <c r="Y1131" s="3" t="str">
        <f aca="false">IF(X1131="","",X1131-AVERAGEIFS($X$2:$X$2705,$B$2:$B$2705,B1131))</f>
        <v/>
      </c>
      <c r="Z1131" s="21" t="n">
        <f aca="false">P1131</f>
        <v>-0.756317059408382</v>
      </c>
      <c r="AA1131" s="3" t="n">
        <f aca="false">R1131</f>
        <v>0</v>
      </c>
      <c r="AB1131" s="21" t="n">
        <f aca="false">P1131</f>
        <v>-0.756317059408382</v>
      </c>
      <c r="AC1131" s="3" t="str">
        <f aca="false">Y1131</f>
        <v/>
      </c>
      <c r="AD1131" s="3" t="n">
        <f aca="false">R1131</f>
        <v>0</v>
      </c>
    </row>
    <row r="1132" customFormat="false" ht="15" hidden="false" customHeight="true" outlineLevel="0" collapsed="false">
      <c r="A1132" s="7" t="s">
        <v>75</v>
      </c>
      <c r="B1132" s="7" t="n">
        <v>1969</v>
      </c>
      <c r="C1132" s="7" t="s">
        <v>154</v>
      </c>
      <c r="D1132" s="7" t="n">
        <v>100</v>
      </c>
      <c r="E1132" s="7" t="n">
        <v>62</v>
      </c>
      <c r="F1132" s="3" t="n">
        <f aca="false">COUNTIFS($B$2:$B$2705,B1132,$C$2:$C$2705,C1132)</f>
        <v>2</v>
      </c>
      <c r="G1132" s="3" t="n">
        <f aca="false">MIN(INT((MIN(B1132,2020)-1900)/10)+1,12)</f>
        <v>7</v>
      </c>
      <c r="H1132" s="3" t="n">
        <f aca="false">(MIN(B1132,2020)-1900-10*(G1132-1))/10</f>
        <v>0.9</v>
      </c>
      <c r="I1132" s="20" t="n">
        <f aca="false">EXP(LN(INDEX(Pop_Inputs!$B$2:$N$29,MATCH(C1132,Pop_Inputs!$A$2:$A$29,0),G1132))*(1-H1132)+LN(INDEX(Pop_Inputs!$B$2:$N$29,MATCH(C1132,Pop_Inputs!$A$2:$A$29,0),G1132+1))*H1132)</f>
        <v>7883500.91039996</v>
      </c>
      <c r="J1132" s="20" t="n">
        <f aca="false">I1132/F1132</f>
        <v>3941750.45519998</v>
      </c>
      <c r="K1132" s="21" t="n">
        <f aca="false">D1132/(D1132+E1132)</f>
        <v>0.617283950617284</v>
      </c>
      <c r="L1132" s="21" t="n">
        <f aca="false">AVERAGEIFS($K$2:$K$2705,$B$2:$B$2705,B1132)</f>
        <v>0.49996964701071</v>
      </c>
      <c r="M1132" s="21" t="n">
        <f aca="false">K1132-L1132</f>
        <v>0.117314303606574</v>
      </c>
      <c r="N1132" s="21" t="n">
        <f aca="false">LN(J1132)</f>
        <v>15.1871354605814</v>
      </c>
      <c r="O1132" s="21" t="n">
        <f aca="false">AVERAGEIFS($N$2:$N$2705,$B$2:$B$2705,B1132)</f>
        <v>13.7486166909662</v>
      </c>
      <c r="P1132" s="21" t="n">
        <f aca="false">N1132-O1132</f>
        <v>1.43851876961523</v>
      </c>
      <c r="Q1132" s="7" t="n">
        <v>1</v>
      </c>
      <c r="R1132" s="3" t="n">
        <f aca="false">IF(AND(Q1132=1,B1132-_xlfn.MINIFS($B$2:$B$2705,$A$2:$A$2705,A1132)&lt;10),1,0)</f>
        <v>1</v>
      </c>
      <c r="S1132" s="7" t="n">
        <v>0</v>
      </c>
      <c r="T1132" s="3" t="n">
        <f aca="false">_xlfn.MINIFS($B$2:$B$2705,$A$2:$A$2705,A1132)</f>
        <v>1962</v>
      </c>
      <c r="U1132" s="3" t="n">
        <f aca="false">B1132-T1132</f>
        <v>7</v>
      </c>
      <c r="V1132" s="3" t="str">
        <f aca="false">INDEX(Pop_Inputs!$Q$2:$Q$29,MATCH(C1132,Pop_Inputs!$A$2:$A$29,0))</f>
        <v>Northeast</v>
      </c>
      <c r="W1132" s="30"/>
      <c r="X1132" s="3" t="str">
        <f aca="false">IF(W1132="","",LN(W1132))</f>
        <v/>
      </c>
      <c r="Y1132" s="3" t="str">
        <f aca="false">IF(X1132="","",X1132-AVERAGEIFS($X$2:$X$2705,$B$2:$B$2705,B1132))</f>
        <v/>
      </c>
      <c r="Z1132" s="21" t="n">
        <f aca="false">P1132</f>
        <v>1.43851876961523</v>
      </c>
      <c r="AA1132" s="3" t="n">
        <f aca="false">R1132</f>
        <v>1</v>
      </c>
      <c r="AB1132" s="21" t="n">
        <f aca="false">P1132</f>
        <v>1.43851876961523</v>
      </c>
      <c r="AC1132" s="3" t="str">
        <f aca="false">Y1132</f>
        <v/>
      </c>
      <c r="AD1132" s="3" t="n">
        <f aca="false">R1132</f>
        <v>1</v>
      </c>
    </row>
    <row r="1133" customFormat="false" ht="15" hidden="false" customHeight="true" outlineLevel="0" collapsed="false">
      <c r="A1133" s="7" t="s">
        <v>70</v>
      </c>
      <c r="B1133" s="7" t="n">
        <v>1969</v>
      </c>
      <c r="C1133" s="7" t="s">
        <v>154</v>
      </c>
      <c r="D1133" s="7" t="n">
        <v>80</v>
      </c>
      <c r="E1133" s="7" t="n">
        <v>81</v>
      </c>
      <c r="F1133" s="3" t="n">
        <f aca="false">COUNTIFS($B$2:$B$2705,B1133,$C$2:$C$2705,C1133)</f>
        <v>2</v>
      </c>
      <c r="G1133" s="3" t="n">
        <f aca="false">MIN(INT((MIN(B1133,2020)-1900)/10)+1,12)</f>
        <v>7</v>
      </c>
      <c r="H1133" s="3" t="n">
        <f aca="false">(MIN(B1133,2020)-1900-10*(G1133-1))/10</f>
        <v>0.9</v>
      </c>
      <c r="I1133" s="20" t="n">
        <f aca="false">EXP(LN(INDEX(Pop_Inputs!$B$2:$N$29,MATCH(C1133,Pop_Inputs!$A$2:$A$29,0),G1133))*(1-H1133)+LN(INDEX(Pop_Inputs!$B$2:$N$29,MATCH(C1133,Pop_Inputs!$A$2:$A$29,0),G1133+1))*H1133)</f>
        <v>7883500.91039996</v>
      </c>
      <c r="J1133" s="20" t="n">
        <f aca="false">I1133/F1133</f>
        <v>3941750.45519998</v>
      </c>
      <c r="K1133" s="21" t="n">
        <f aca="false">D1133/(D1133+E1133)</f>
        <v>0.496894409937888</v>
      </c>
      <c r="L1133" s="21" t="n">
        <f aca="false">AVERAGEIFS($K$2:$K$2705,$B$2:$B$2705,B1133)</f>
        <v>0.49996964701071</v>
      </c>
      <c r="M1133" s="21" t="n">
        <f aca="false">K1133-L1133</f>
        <v>-0.00307523707282159</v>
      </c>
      <c r="N1133" s="21" t="n">
        <f aca="false">LN(J1133)</f>
        <v>15.1871354605814</v>
      </c>
      <c r="O1133" s="21" t="n">
        <f aca="false">AVERAGEIFS($N$2:$N$2705,$B$2:$B$2705,B1133)</f>
        <v>13.7486166909662</v>
      </c>
      <c r="P1133" s="21" t="n">
        <f aca="false">N1133-O1133</f>
        <v>1.43851876961523</v>
      </c>
      <c r="Q1133" s="7" t="n">
        <v>0</v>
      </c>
      <c r="R1133" s="3" t="n">
        <f aca="false">IF(AND(Q1133=1,B1133-_xlfn.MINIFS($B$2:$B$2705,$A$2:$A$2705,A1133)&lt;10),1,0)</f>
        <v>0</v>
      </c>
      <c r="S1133" s="7" t="n">
        <v>1</v>
      </c>
      <c r="T1133" s="3" t="n">
        <f aca="false">_xlfn.MINIFS($B$2:$B$2705,$A$2:$A$2705,A1133)</f>
        <v>1903</v>
      </c>
      <c r="U1133" s="3" t="n">
        <f aca="false">B1133-T1133</f>
        <v>66</v>
      </c>
      <c r="V1133" s="3" t="str">
        <f aca="false">INDEX(Pop_Inputs!$Q$2:$Q$29,MATCH(C1133,Pop_Inputs!$A$2:$A$29,0))</f>
        <v>Northeast</v>
      </c>
      <c r="W1133" s="30"/>
      <c r="X1133" s="3" t="str">
        <f aca="false">IF(W1133="","",LN(W1133))</f>
        <v/>
      </c>
      <c r="Y1133" s="3" t="str">
        <f aca="false">IF(X1133="","",X1133-AVERAGEIFS($X$2:$X$2705,$B$2:$B$2705,B1133))</f>
        <v/>
      </c>
      <c r="Z1133" s="21" t="n">
        <f aca="false">P1133</f>
        <v>1.43851876961523</v>
      </c>
      <c r="AA1133" s="3" t="n">
        <f aca="false">R1133</f>
        <v>0</v>
      </c>
      <c r="AB1133" s="21" t="n">
        <f aca="false">P1133</f>
        <v>1.43851876961523</v>
      </c>
      <c r="AC1133" s="3" t="str">
        <f aca="false">Y1133</f>
        <v/>
      </c>
      <c r="AD1133" s="3" t="n">
        <f aca="false">R1133</f>
        <v>0</v>
      </c>
    </row>
    <row r="1134" customFormat="false" ht="15" hidden="false" customHeight="true" outlineLevel="0" collapsed="false">
      <c r="A1134" s="7" t="s">
        <v>69</v>
      </c>
      <c r="B1134" s="7" t="n">
        <v>1969</v>
      </c>
      <c r="C1134" s="7" t="s">
        <v>253</v>
      </c>
      <c r="D1134" s="7" t="n">
        <v>88</v>
      </c>
      <c r="E1134" s="7" t="n">
        <v>74</v>
      </c>
      <c r="F1134" s="3" t="n">
        <f aca="false">COUNTIFS($B$2:$B$2705,B1134,$C$2:$C$2705,C1134)</f>
        <v>1</v>
      </c>
      <c r="G1134" s="3" t="n">
        <f aca="false">MIN(INT((MIN(B1134,2020)-1900)/10)+1,12)</f>
        <v>7</v>
      </c>
      <c r="H1134" s="3" t="n">
        <f aca="false">(MIN(B1134,2020)-1900-10*(G1134-1))/10</f>
        <v>0.9</v>
      </c>
      <c r="I1134" s="20" t="n">
        <f aca="false">EXP(LN(INDEX(Pop_Inputs!$B$2:$N$29,MATCH(C1134,Pop_Inputs!$A$2:$A$29,0),G1134))*(1-H1134)+LN(INDEX(Pop_Inputs!$B$2:$N$29,MATCH(C1134,Pop_Inputs!$A$2:$A$29,0),G1134+1))*H1134)</f>
        <v>362155.285053836</v>
      </c>
      <c r="J1134" s="20" t="n">
        <f aca="false">I1134/F1134</f>
        <v>362155.285053836</v>
      </c>
      <c r="K1134" s="21" t="n">
        <f aca="false">D1134/(D1134+E1134)</f>
        <v>0.54320987654321</v>
      </c>
      <c r="L1134" s="21" t="n">
        <f aca="false">AVERAGEIFS($K$2:$K$2705,$B$2:$B$2705,B1134)</f>
        <v>0.49996964701071</v>
      </c>
      <c r="M1134" s="21" t="n">
        <f aca="false">K1134-L1134</f>
        <v>0.0432402295325001</v>
      </c>
      <c r="N1134" s="21" t="n">
        <f aca="false">LN(J1134)</f>
        <v>12.7998283630662</v>
      </c>
      <c r="O1134" s="21" t="n">
        <f aca="false">AVERAGEIFS($N$2:$N$2705,$B$2:$B$2705,B1134)</f>
        <v>13.7486166909662</v>
      </c>
      <c r="P1134" s="21" t="n">
        <f aca="false">N1134-O1134</f>
        <v>-0.948788327900019</v>
      </c>
      <c r="Q1134" s="7" t="n">
        <v>0</v>
      </c>
      <c r="R1134" s="3" t="n">
        <f aca="false">IF(AND(Q1134=1,B1134-_xlfn.MINIFS($B$2:$B$2705,$A$2:$A$2705,A1134)&lt;10),1,0)</f>
        <v>0</v>
      </c>
      <c r="S1134" s="7" t="n">
        <v>0</v>
      </c>
      <c r="T1134" s="3" t="n">
        <f aca="false">_xlfn.MINIFS($B$2:$B$2705,$A$2:$A$2705,A1134)</f>
        <v>1901</v>
      </c>
      <c r="U1134" s="3" t="n">
        <f aca="false">B1134-T1134</f>
        <v>68</v>
      </c>
      <c r="V1134" s="3" t="str">
        <f aca="false">INDEX(Pop_Inputs!$Q$2:$Q$29,MATCH(C1134,Pop_Inputs!$A$2:$A$29,0))</f>
        <v>West</v>
      </c>
      <c r="W1134" s="30"/>
      <c r="X1134" s="3" t="str">
        <f aca="false">IF(W1134="","",LN(W1134))</f>
        <v/>
      </c>
      <c r="Y1134" s="3" t="str">
        <f aca="false">IF(X1134="","",X1134-AVERAGEIFS($X$2:$X$2705,$B$2:$B$2705,B1134))</f>
        <v/>
      </c>
      <c r="Z1134" s="21" t="n">
        <f aca="false">P1134</f>
        <v>-0.948788327900019</v>
      </c>
      <c r="AA1134" s="3" t="n">
        <f aca="false">R1134</f>
        <v>0</v>
      </c>
      <c r="AB1134" s="21" t="n">
        <f aca="false">P1134</f>
        <v>-0.948788327900019</v>
      </c>
      <c r="AC1134" s="3" t="str">
        <f aca="false">Y1134</f>
        <v/>
      </c>
      <c r="AD1134" s="3" t="n">
        <f aca="false">R1134</f>
        <v>0</v>
      </c>
    </row>
    <row r="1135" customFormat="false" ht="15" hidden="false" customHeight="true" outlineLevel="0" collapsed="false">
      <c r="A1135" s="7" t="s">
        <v>60</v>
      </c>
      <c r="B1135" s="7" t="n">
        <v>1969</v>
      </c>
      <c r="C1135" s="7" t="s">
        <v>146</v>
      </c>
      <c r="D1135" s="7" t="n">
        <v>63</v>
      </c>
      <c r="E1135" s="7" t="n">
        <v>99</v>
      </c>
      <c r="F1135" s="3" t="n">
        <f aca="false">COUNTIFS($B$2:$B$2705,B1135,$C$2:$C$2705,C1135)</f>
        <v>1</v>
      </c>
      <c r="G1135" s="3" t="n">
        <f aca="false">MIN(INT((MIN(B1135,2020)-1900)/10)+1,12)</f>
        <v>7</v>
      </c>
      <c r="H1135" s="3" t="n">
        <f aca="false">(MIN(B1135,2020)-1900-10*(G1135-1))/10</f>
        <v>0.9</v>
      </c>
      <c r="I1135" s="20" t="n">
        <f aca="false">EXP(LN(INDEX(Pop_Inputs!$B$2:$N$29,MATCH(C1135,Pop_Inputs!$A$2:$A$29,0),G1135))*(1-H1135)+LN(INDEX(Pop_Inputs!$B$2:$N$29,MATCH(C1135,Pop_Inputs!$A$2:$A$29,0),G1135+1))*H1135)</f>
        <v>1953933.35381878</v>
      </c>
      <c r="J1135" s="20" t="n">
        <f aca="false">I1135/F1135</f>
        <v>1953933.35381878</v>
      </c>
      <c r="K1135" s="21" t="n">
        <f aca="false">D1135/(D1135+E1135)</f>
        <v>0.388888888888889</v>
      </c>
      <c r="L1135" s="21" t="n">
        <f aca="false">AVERAGEIFS($K$2:$K$2705,$B$2:$B$2705,B1135)</f>
        <v>0.49996964701071</v>
      </c>
      <c r="M1135" s="21" t="n">
        <f aca="false">K1135-L1135</f>
        <v>-0.111080758121821</v>
      </c>
      <c r="N1135" s="21" t="n">
        <f aca="false">LN(J1135)</f>
        <v>14.4853550034386</v>
      </c>
      <c r="O1135" s="21" t="n">
        <f aca="false">AVERAGEIFS($N$2:$N$2705,$B$2:$B$2705,B1135)</f>
        <v>13.7486166909662</v>
      </c>
      <c r="P1135" s="21" t="n">
        <f aca="false">N1135-O1135</f>
        <v>0.736738312472404</v>
      </c>
      <c r="Q1135" s="7" t="n">
        <v>0</v>
      </c>
      <c r="R1135" s="3" t="n">
        <f aca="false">IF(AND(Q1135=1,B1135-_xlfn.MINIFS($B$2:$B$2705,$A$2:$A$2705,A1135)&lt;10),1,0)</f>
        <v>0</v>
      </c>
      <c r="S1135" s="7" t="n">
        <v>0</v>
      </c>
      <c r="T1135" s="3" t="n">
        <f aca="false">_xlfn.MINIFS($B$2:$B$2705,$A$2:$A$2705,A1135)</f>
        <v>1901</v>
      </c>
      <c r="U1135" s="3" t="n">
        <f aca="false">B1135-T1135</f>
        <v>68</v>
      </c>
      <c r="V1135" s="3" t="str">
        <f aca="false">INDEX(Pop_Inputs!$Q$2:$Q$29,MATCH(C1135,Pop_Inputs!$A$2:$A$29,0))</f>
        <v>Northeast</v>
      </c>
      <c r="W1135" s="30"/>
      <c r="X1135" s="3" t="str">
        <f aca="false">IF(W1135="","",LN(W1135))</f>
        <v/>
      </c>
      <c r="Y1135" s="3" t="str">
        <f aca="false">IF(X1135="","",X1135-AVERAGEIFS($X$2:$X$2705,$B$2:$B$2705,B1135))</f>
        <v/>
      </c>
      <c r="Z1135" s="21" t="n">
        <f aca="false">P1135</f>
        <v>0.736738312472404</v>
      </c>
      <c r="AA1135" s="3" t="n">
        <f aca="false">R1135</f>
        <v>0</v>
      </c>
      <c r="AB1135" s="21" t="n">
        <f aca="false">P1135</f>
        <v>0.736738312472404</v>
      </c>
      <c r="AC1135" s="3" t="str">
        <f aca="false">Y1135</f>
        <v/>
      </c>
      <c r="AD1135" s="3" t="n">
        <f aca="false">R1135</f>
        <v>0</v>
      </c>
    </row>
    <row r="1136" customFormat="false" ht="15" hidden="false" customHeight="true" outlineLevel="0" collapsed="false">
      <c r="A1136" s="7" t="s">
        <v>58</v>
      </c>
      <c r="B1136" s="7" t="n">
        <v>1969</v>
      </c>
      <c r="C1136" s="7" t="s">
        <v>144</v>
      </c>
      <c r="D1136" s="7" t="n">
        <v>88</v>
      </c>
      <c r="E1136" s="7" t="n">
        <v>74</v>
      </c>
      <c r="F1136" s="3" t="n">
        <f aca="false">COUNTIFS($B$2:$B$2705,B1136,$C$2:$C$2705,C1136)</f>
        <v>1</v>
      </c>
      <c r="G1136" s="3" t="n">
        <f aca="false">MIN(INT((MIN(B1136,2020)-1900)/10)+1,12)</f>
        <v>7</v>
      </c>
      <c r="H1136" s="3" t="n">
        <f aca="false">(MIN(B1136,2020)-1900-10*(G1136-1))/10</f>
        <v>0.9</v>
      </c>
      <c r="I1136" s="20" t="n">
        <f aca="false">EXP(LN(INDEX(Pop_Inputs!$B$2:$N$29,MATCH(C1136,Pop_Inputs!$A$2:$A$29,0),G1136))*(1-H1136)+LN(INDEX(Pop_Inputs!$B$2:$N$29,MATCH(C1136,Pop_Inputs!$A$2:$A$29,0),G1136+1))*H1136)</f>
        <v>527981.253963898</v>
      </c>
      <c r="J1136" s="20" t="n">
        <f aca="false">I1136/F1136</f>
        <v>527981.253963898</v>
      </c>
      <c r="K1136" s="21" t="n">
        <f aca="false">D1136/(D1136+E1136)</f>
        <v>0.54320987654321</v>
      </c>
      <c r="L1136" s="21" t="n">
        <f aca="false">AVERAGEIFS($K$2:$K$2705,$B$2:$B$2705,B1136)</f>
        <v>0.49996964701071</v>
      </c>
      <c r="M1136" s="21" t="n">
        <f aca="false">K1136-L1136</f>
        <v>0.0432402295325001</v>
      </c>
      <c r="N1136" s="21" t="n">
        <f aca="false">LN(J1136)</f>
        <v>13.1768160582019</v>
      </c>
      <c r="O1136" s="21" t="n">
        <f aca="false">AVERAGEIFS($N$2:$N$2705,$B$2:$B$2705,B1136)</f>
        <v>13.7486166909662</v>
      </c>
      <c r="P1136" s="21" t="n">
        <f aca="false">N1136-O1136</f>
        <v>-0.571800632764319</v>
      </c>
      <c r="Q1136" s="7" t="n">
        <v>0</v>
      </c>
      <c r="R1136" s="3" t="n">
        <f aca="false">IF(AND(Q1136=1,B1136-_xlfn.MINIFS($B$2:$B$2705,$A$2:$A$2705,A1136)&lt;10),1,0)</f>
        <v>0</v>
      </c>
      <c r="S1136" s="7" t="n">
        <v>0</v>
      </c>
      <c r="T1136" s="3" t="n">
        <f aca="false">_xlfn.MINIFS($B$2:$B$2705,$A$2:$A$2705,A1136)</f>
        <v>1901</v>
      </c>
      <c r="U1136" s="3" t="n">
        <f aca="false">B1136-T1136</f>
        <v>68</v>
      </c>
      <c r="V1136" s="3" t="str">
        <f aca="false">INDEX(Pop_Inputs!$Q$2:$Q$29,MATCH(C1136,Pop_Inputs!$A$2:$A$29,0))</f>
        <v>Northeast</v>
      </c>
      <c r="W1136" s="30"/>
      <c r="X1136" s="3" t="str">
        <f aca="false">IF(W1136="","",LN(W1136))</f>
        <v/>
      </c>
      <c r="Y1136" s="3" t="str">
        <f aca="false">IF(X1136="","",X1136-AVERAGEIFS($X$2:$X$2705,$B$2:$B$2705,B1136))</f>
        <v/>
      </c>
      <c r="Z1136" s="21" t="n">
        <f aca="false">P1136</f>
        <v>-0.571800632764319</v>
      </c>
      <c r="AA1136" s="3" t="n">
        <f aca="false">R1136</f>
        <v>0</v>
      </c>
      <c r="AB1136" s="21" t="n">
        <f aca="false">P1136</f>
        <v>-0.571800632764319</v>
      </c>
      <c r="AC1136" s="3" t="str">
        <f aca="false">Y1136</f>
        <v/>
      </c>
      <c r="AD1136" s="3" t="n">
        <f aca="false">R1136</f>
        <v>0</v>
      </c>
    </row>
    <row r="1137" customFormat="false" ht="15" hidden="false" customHeight="true" outlineLevel="0" collapsed="false">
      <c r="A1137" s="7" t="s">
        <v>78</v>
      </c>
      <c r="B1137" s="7" t="n">
        <v>1969</v>
      </c>
      <c r="C1137" s="7" t="s">
        <v>159</v>
      </c>
      <c r="D1137" s="7" t="n">
        <v>52</v>
      </c>
      <c r="E1137" s="7" t="n">
        <v>110</v>
      </c>
      <c r="F1137" s="3" t="n">
        <f aca="false">COUNTIFS($B$2:$B$2705,B1137,$C$2:$C$2705,C1137)</f>
        <v>1</v>
      </c>
      <c r="G1137" s="3" t="n">
        <f aca="false">MIN(INT((MIN(B1137,2020)-1900)/10)+1,12)</f>
        <v>7</v>
      </c>
      <c r="H1137" s="3" t="n">
        <f aca="false">(MIN(B1137,2020)-1900-10*(G1137-1))/10</f>
        <v>0.9</v>
      </c>
      <c r="I1137" s="20" t="n">
        <f aca="false">EXP(LN(INDEX(Pop_Inputs!$B$2:$N$29,MATCH(C1137,Pop_Inputs!$A$2:$A$29,0),G1137))*(1-H1137)+LN(INDEX(Pop_Inputs!$B$2:$N$29,MATCH(C1137,Pop_Inputs!$A$2:$A$29,0),G1137+1))*H1137)</f>
        <v>683301.500973494</v>
      </c>
      <c r="J1137" s="20" t="n">
        <f aca="false">I1137/F1137</f>
        <v>683301.500973494</v>
      </c>
      <c r="K1137" s="21" t="n">
        <f aca="false">D1137/(D1137+E1137)</f>
        <v>0.320987654320988</v>
      </c>
      <c r="L1137" s="21" t="n">
        <f aca="false">AVERAGEIFS($K$2:$K$2705,$B$2:$B$2705,B1137)</f>
        <v>0.49996964701071</v>
      </c>
      <c r="M1137" s="21" t="n">
        <f aca="false">K1137-L1137</f>
        <v>-0.178981992689722</v>
      </c>
      <c r="N1137" s="21" t="n">
        <f aca="false">LN(J1137)</f>
        <v>13.4346914774202</v>
      </c>
      <c r="O1137" s="21" t="n">
        <f aca="false">AVERAGEIFS($N$2:$N$2705,$B$2:$B$2705,B1137)</f>
        <v>13.7486166909662</v>
      </c>
      <c r="P1137" s="21" t="n">
        <f aca="false">N1137-O1137</f>
        <v>-0.313925213546</v>
      </c>
      <c r="Q1137" s="7" t="n">
        <v>1</v>
      </c>
      <c r="R1137" s="3" t="n">
        <f aca="false">IF(AND(Q1137=1,B1137-_xlfn.MINIFS($B$2:$B$2705,$A$2:$A$2705,A1137)&lt;10),1,0)</f>
        <v>1</v>
      </c>
      <c r="S1137" s="7" t="n">
        <v>0</v>
      </c>
      <c r="T1137" s="3" t="n">
        <f aca="false">_xlfn.MINIFS($B$2:$B$2705,$A$2:$A$2705,A1137)</f>
        <v>1969</v>
      </c>
      <c r="U1137" s="3" t="n">
        <f aca="false">B1137-T1137</f>
        <v>0</v>
      </c>
      <c r="V1137" s="3" t="str">
        <f aca="false">INDEX(Pop_Inputs!$Q$2:$Q$29,MATCH(C1137,Pop_Inputs!$A$2:$A$29,0))</f>
        <v>West</v>
      </c>
      <c r="W1137" s="30"/>
      <c r="X1137" s="3" t="str">
        <f aca="false">IF(W1137="","",LN(W1137))</f>
        <v/>
      </c>
      <c r="Y1137" s="3" t="str">
        <f aca="false">IF(X1137="","",X1137-AVERAGEIFS($X$2:$X$2705,$B$2:$B$2705,B1137))</f>
        <v/>
      </c>
      <c r="Z1137" s="21" t="n">
        <f aca="false">P1137</f>
        <v>-0.313925213546</v>
      </c>
      <c r="AA1137" s="3" t="n">
        <f aca="false">R1137</f>
        <v>1</v>
      </c>
      <c r="AB1137" s="21" t="n">
        <f aca="false">P1137</f>
        <v>-0.313925213546</v>
      </c>
      <c r="AC1137" s="3" t="str">
        <f aca="false">Y1137</f>
        <v/>
      </c>
      <c r="AD1137" s="3" t="n">
        <f aca="false">R1137</f>
        <v>1</v>
      </c>
    </row>
    <row r="1138" customFormat="false" ht="15" hidden="false" customHeight="true" outlineLevel="0" collapsed="false">
      <c r="A1138" s="7" t="s">
        <v>61</v>
      </c>
      <c r="B1138" s="7" t="n">
        <v>1969</v>
      </c>
      <c r="C1138" s="7" t="s">
        <v>147</v>
      </c>
      <c r="D1138" s="7" t="n">
        <v>90</v>
      </c>
      <c r="E1138" s="7" t="n">
        <v>72</v>
      </c>
      <c r="F1138" s="3" t="n">
        <f aca="false">COUNTIFS($B$2:$B$2705,B1138,$C$2:$C$2705,C1138)</f>
        <v>1</v>
      </c>
      <c r="G1138" s="3" t="n">
        <f aca="false">MIN(INT((MIN(B1138,2020)-1900)/10)+1,12)</f>
        <v>7</v>
      </c>
      <c r="H1138" s="3" t="n">
        <f aca="false">(MIN(B1138,2020)-1900-10*(G1138-1))/10</f>
        <v>0.9</v>
      </c>
      <c r="I1138" s="20" t="n">
        <f aca="false">EXP(LN(INDEX(Pop_Inputs!$B$2:$N$29,MATCH(C1138,Pop_Inputs!$A$2:$A$29,0),G1138))*(1-H1138)+LN(INDEX(Pop_Inputs!$B$2:$N$29,MATCH(C1138,Pop_Inputs!$A$2:$A$29,0),G1138+1))*H1138)</f>
        <v>718100.831204154</v>
      </c>
      <c r="J1138" s="20" t="n">
        <f aca="false">I1138/F1138</f>
        <v>718100.831204154</v>
      </c>
      <c r="K1138" s="21" t="n">
        <f aca="false">D1138/(D1138+E1138)</f>
        <v>0.555555555555556</v>
      </c>
      <c r="L1138" s="21" t="n">
        <f aca="false">AVERAGEIFS($K$2:$K$2705,$B$2:$B$2705,B1138)</f>
        <v>0.49996964701071</v>
      </c>
      <c r="M1138" s="21" t="n">
        <f aca="false">K1138-L1138</f>
        <v>0.0555859085448458</v>
      </c>
      <c r="N1138" s="21" t="n">
        <f aca="false">LN(J1138)</f>
        <v>13.4843652716025</v>
      </c>
      <c r="O1138" s="21" t="n">
        <f aca="false">AVERAGEIFS($N$2:$N$2705,$B$2:$B$2705,B1138)</f>
        <v>13.7486166909662</v>
      </c>
      <c r="P1138" s="21" t="n">
        <f aca="false">N1138-O1138</f>
        <v>-0.264251419363708</v>
      </c>
      <c r="Q1138" s="7" t="n">
        <v>0</v>
      </c>
      <c r="R1138" s="3" t="n">
        <f aca="false">IF(AND(Q1138=1,B1138-_xlfn.MINIFS($B$2:$B$2705,$A$2:$A$2705,A1138)&lt;10),1,0)</f>
        <v>0</v>
      </c>
      <c r="S1138" s="7" t="n">
        <v>0</v>
      </c>
      <c r="T1138" s="3" t="n">
        <f aca="false">_xlfn.MINIFS($B$2:$B$2705,$A$2:$A$2705,A1138)</f>
        <v>1901</v>
      </c>
      <c r="U1138" s="3" t="n">
        <f aca="false">B1138-T1138</f>
        <v>68</v>
      </c>
      <c r="V1138" s="3" t="str">
        <f aca="false">INDEX(Pop_Inputs!$Q$2:$Q$29,MATCH(C1138,Pop_Inputs!$A$2:$A$29,0))</f>
        <v>West</v>
      </c>
      <c r="W1138" s="30"/>
      <c r="X1138" s="3" t="str">
        <f aca="false">IF(W1138="","",LN(W1138))</f>
        <v/>
      </c>
      <c r="Y1138" s="3" t="str">
        <f aca="false">IF(X1138="","",X1138-AVERAGEIFS($X$2:$X$2705,$B$2:$B$2705,B1138))</f>
        <v/>
      </c>
      <c r="Z1138" s="21" t="n">
        <f aca="false">P1138</f>
        <v>-0.264251419363708</v>
      </c>
      <c r="AA1138" s="3" t="n">
        <f aca="false">R1138</f>
        <v>0</v>
      </c>
      <c r="AB1138" s="21" t="n">
        <f aca="false">P1138</f>
        <v>-0.264251419363708</v>
      </c>
      <c r="AC1138" s="3" t="str">
        <f aca="false">Y1138</f>
        <v/>
      </c>
      <c r="AD1138" s="3" t="n">
        <f aca="false">R1138</f>
        <v>0</v>
      </c>
    </row>
    <row r="1139" customFormat="false" ht="15" hidden="false" customHeight="true" outlineLevel="0" collapsed="false">
      <c r="A1139" s="7" t="s">
        <v>59</v>
      </c>
      <c r="B1139" s="7" t="n">
        <v>1969</v>
      </c>
      <c r="C1139" s="7" t="s">
        <v>145</v>
      </c>
      <c r="D1139" s="7" t="n">
        <v>87</v>
      </c>
      <c r="E1139" s="7" t="n">
        <v>75</v>
      </c>
      <c r="F1139" s="3" t="n">
        <f aca="false">COUNTIFS($B$2:$B$2705,B1139,$C$2:$C$2705,C1139)</f>
        <v>1</v>
      </c>
      <c r="G1139" s="3" t="n">
        <f aca="false">MIN(INT((MIN(B1139,2020)-1900)/10)+1,12)</f>
        <v>7</v>
      </c>
      <c r="H1139" s="3" t="n">
        <f aca="false">(MIN(B1139,2020)-1900-10*(G1139-1))/10</f>
        <v>0.9</v>
      </c>
      <c r="I1139" s="20" t="n">
        <f aca="false">EXP(LN(INDEX(Pop_Inputs!$B$2:$N$29,MATCH(C1139,Pop_Inputs!$A$2:$A$29,0),G1139))*(1-H1139)+LN(INDEX(Pop_Inputs!$B$2:$N$29,MATCH(C1139,Pop_Inputs!$A$2:$A$29,0),G1139+1))*H1139)</f>
        <v>633967.87642788</v>
      </c>
      <c r="J1139" s="20" t="n">
        <f aca="false">I1139/F1139</f>
        <v>633967.87642788</v>
      </c>
      <c r="K1139" s="21" t="n">
        <f aca="false">D1139/(D1139+E1139)</f>
        <v>0.537037037037037</v>
      </c>
      <c r="L1139" s="21" t="n">
        <f aca="false">AVERAGEIFS($K$2:$K$2705,$B$2:$B$2705,B1139)</f>
        <v>0.49996964701071</v>
      </c>
      <c r="M1139" s="21" t="n">
        <f aca="false">K1139-L1139</f>
        <v>0.0370673900263273</v>
      </c>
      <c r="N1139" s="21" t="n">
        <f aca="false">LN(J1139)</f>
        <v>13.3597535640409</v>
      </c>
      <c r="O1139" s="21" t="n">
        <f aca="false">AVERAGEIFS($N$2:$N$2705,$B$2:$B$2705,B1139)</f>
        <v>13.7486166909662</v>
      </c>
      <c r="P1139" s="21" t="n">
        <f aca="false">N1139-O1139</f>
        <v>-0.388863126925322</v>
      </c>
      <c r="Q1139" s="7" t="n">
        <v>0</v>
      </c>
      <c r="R1139" s="3" t="n">
        <f aca="false">IF(AND(Q1139=1,B1139-_xlfn.MINIFS($B$2:$B$2705,$A$2:$A$2705,A1139)&lt;10),1,0)</f>
        <v>0</v>
      </c>
      <c r="S1139" s="7" t="n">
        <v>0</v>
      </c>
      <c r="T1139" s="3" t="n">
        <f aca="false">_xlfn.MINIFS($B$2:$B$2705,$A$2:$A$2705,A1139)</f>
        <v>1901</v>
      </c>
      <c r="U1139" s="3" t="n">
        <f aca="false">B1139-T1139</f>
        <v>68</v>
      </c>
      <c r="V1139" s="3" t="str">
        <f aca="false">INDEX(Pop_Inputs!$Q$2:$Q$29,MATCH(C1139,Pop_Inputs!$A$2:$A$29,0))</f>
        <v>Midwest</v>
      </c>
      <c r="W1139" s="30"/>
      <c r="X1139" s="3" t="str">
        <f aca="false">IF(W1139="","",LN(W1139))</f>
        <v/>
      </c>
      <c r="Y1139" s="3" t="str">
        <f aca="false">IF(X1139="","",X1139-AVERAGEIFS($X$2:$X$2705,$B$2:$B$2705,B1139))</f>
        <v/>
      </c>
      <c r="Z1139" s="21" t="n">
        <f aca="false">P1139</f>
        <v>-0.388863126925322</v>
      </c>
      <c r="AA1139" s="3" t="n">
        <f aca="false">R1139</f>
        <v>0</v>
      </c>
      <c r="AB1139" s="21" t="n">
        <f aca="false">P1139</f>
        <v>-0.388863126925322</v>
      </c>
      <c r="AC1139" s="3" t="str">
        <f aca="false">Y1139</f>
        <v/>
      </c>
      <c r="AD1139" s="3" t="n">
        <f aca="false">R1139</f>
        <v>0</v>
      </c>
    </row>
    <row r="1140" customFormat="false" ht="15" hidden="false" customHeight="true" outlineLevel="0" collapsed="false">
      <c r="A1140" s="7" t="s">
        <v>73</v>
      </c>
      <c r="B1140" s="7" t="n">
        <v>1969</v>
      </c>
      <c r="C1140" s="7" t="s">
        <v>160</v>
      </c>
      <c r="D1140" s="7" t="n">
        <v>86</v>
      </c>
      <c r="E1140" s="7" t="n">
        <v>76</v>
      </c>
      <c r="F1140" s="3" t="n">
        <f aca="false">COUNTIFS($B$2:$B$2705,B1140,$C$2:$C$2705,C1140)</f>
        <v>1</v>
      </c>
      <c r="G1140" s="3" t="n">
        <f aca="false">MIN(INT((MIN(B1140,2020)-1900)/10)+1,12)</f>
        <v>7</v>
      </c>
      <c r="H1140" s="3" t="n">
        <f aca="false">(MIN(B1140,2020)-1900-10*(G1140-1))/10</f>
        <v>0.9</v>
      </c>
      <c r="I1140" s="20" t="n">
        <f aca="false">EXP(LN(INDEX(Pop_Inputs!$B$2:$N$29,MATCH(C1140,Pop_Inputs!$A$2:$A$29,0),G1140))*(1-H1140)+LN(INDEX(Pop_Inputs!$B$2:$N$29,MATCH(C1140,Pop_Inputs!$A$2:$A$29,0),G1140+1))*H1140)</f>
        <v>757251.32246383</v>
      </c>
      <c r="J1140" s="20" t="n">
        <f aca="false">I1140/F1140</f>
        <v>757251.32246383</v>
      </c>
      <c r="K1140" s="21" t="n">
        <f aca="false">D1140/(D1140+E1140)</f>
        <v>0.530864197530864</v>
      </c>
      <c r="L1140" s="21" t="n">
        <f aca="false">AVERAGEIFS($K$2:$K$2705,$B$2:$B$2705,B1140)</f>
        <v>0.49996964701071</v>
      </c>
      <c r="M1140" s="21" t="n">
        <f aca="false">K1140-L1140</f>
        <v>0.0308945505201544</v>
      </c>
      <c r="N1140" s="21" t="n">
        <f aca="false">LN(J1140)</f>
        <v>13.5374504752912</v>
      </c>
      <c r="O1140" s="21" t="n">
        <f aca="false">AVERAGEIFS($N$2:$N$2705,$B$2:$B$2705,B1140)</f>
        <v>13.7486166909662</v>
      </c>
      <c r="P1140" s="21" t="n">
        <f aca="false">N1140-O1140</f>
        <v>-0.21116621567502</v>
      </c>
      <c r="Q1140" s="7" t="n">
        <v>1</v>
      </c>
      <c r="R1140" s="3" t="n">
        <f aca="false">IF(AND(Q1140=1,B1140-_xlfn.MINIFS($B$2:$B$2705,$A$2:$A$2705,A1140)&lt;10),1,0)</f>
        <v>1</v>
      </c>
      <c r="S1140" s="7" t="n">
        <v>0</v>
      </c>
      <c r="T1140" s="3" t="n">
        <f aca="false">_xlfn.MINIFS($B$2:$B$2705,$A$2:$A$2705,A1140)</f>
        <v>1961</v>
      </c>
      <c r="U1140" s="3" t="n">
        <f aca="false">B1140-T1140</f>
        <v>8</v>
      </c>
      <c r="V1140" s="3" t="str">
        <f aca="false">INDEX(Pop_Inputs!$Q$2:$Q$29,MATCH(C1140,Pop_Inputs!$A$2:$A$29,0))</f>
        <v>South</v>
      </c>
      <c r="W1140" s="30"/>
      <c r="X1140" s="3" t="str">
        <f aca="false">IF(W1140="","",LN(W1140))</f>
        <v/>
      </c>
      <c r="Y1140" s="3" t="str">
        <f aca="false">IF(X1140="","",X1140-AVERAGEIFS($X$2:$X$2705,$B$2:$B$2705,B1140))</f>
        <v/>
      </c>
      <c r="Z1140" s="21" t="n">
        <f aca="false">P1140</f>
        <v>-0.21116621567502</v>
      </c>
      <c r="AA1140" s="3" t="n">
        <f aca="false">R1140</f>
        <v>1</v>
      </c>
      <c r="AB1140" s="21" t="n">
        <f aca="false">P1140</f>
        <v>-0.21116621567502</v>
      </c>
      <c r="AC1140" s="3" t="str">
        <f aca="false">Y1140</f>
        <v/>
      </c>
      <c r="AD1140" s="3" t="n">
        <f aca="false">R1140</f>
        <v>1</v>
      </c>
    </row>
    <row r="1141" customFormat="false" ht="15" hidden="false" customHeight="true" outlineLevel="0" collapsed="false">
      <c r="A1141" s="7" t="s">
        <v>79</v>
      </c>
      <c r="B1141" s="7" t="n">
        <v>1969</v>
      </c>
      <c r="C1141" s="7" t="s">
        <v>254</v>
      </c>
      <c r="D1141" s="7" t="n">
        <v>52</v>
      </c>
      <c r="E1141" s="7" t="n">
        <v>110</v>
      </c>
      <c r="F1141" s="3" t="n">
        <f aca="false">COUNTIFS($B$2:$B$2705,B1141,$C$2:$C$2705,C1141)</f>
        <v>1</v>
      </c>
      <c r="G1141" s="3" t="n">
        <f aca="false">MIN(INT((MIN(B1141,2020)-1900)/10)+1,12)</f>
        <v>7</v>
      </c>
      <c r="H1141" s="3" t="n">
        <f aca="false">(MIN(B1141,2020)-1900-10*(G1141-1))/10</f>
        <v>0.9</v>
      </c>
      <c r="I1141" s="20" t="n">
        <f aca="false">EXP(LN(INDEX(Pop_Inputs!$B$2:$N$29,MATCH(C1141,Pop_Inputs!$A$2:$A$29,0),G1141))*(1-H1141)+LN(INDEX(Pop_Inputs!$B$2:$N$29,MATCH(C1141,Pop_Inputs!$A$2:$A$29,0),G1141+1))*H1141)</f>
        <v>1212002.65189759</v>
      </c>
      <c r="J1141" s="20" t="n">
        <f aca="false">I1141/F1141</f>
        <v>1212002.65189759</v>
      </c>
      <c r="K1141" s="21" t="n">
        <f aca="false">D1141/(D1141+E1141)</f>
        <v>0.320987654320988</v>
      </c>
      <c r="L1141" s="21" t="n">
        <f aca="false">AVERAGEIFS($K$2:$K$2705,$B$2:$B$2705,B1141)</f>
        <v>0.49996964701071</v>
      </c>
      <c r="M1141" s="21" t="n">
        <f aca="false">K1141-L1141</f>
        <v>-0.178981992689722</v>
      </c>
      <c r="N1141" s="21" t="n">
        <f aca="false">LN(J1141)</f>
        <v>14.0077846336433</v>
      </c>
      <c r="O1141" s="21" t="n">
        <f aca="false">AVERAGEIFS($N$2:$N$2705,$B$2:$B$2705,B1141)</f>
        <v>13.7486166909662</v>
      </c>
      <c r="P1141" s="21" t="n">
        <f aca="false">N1141-O1141</f>
        <v>0.259167942677129</v>
      </c>
      <c r="Q1141" s="7" t="n">
        <v>1</v>
      </c>
      <c r="R1141" s="3" t="n">
        <f aca="false">IF(AND(Q1141=1,B1141-_xlfn.MINIFS($B$2:$B$2705,$A$2:$A$2705,A1141)&lt;10),1,0)</f>
        <v>1</v>
      </c>
      <c r="S1141" s="7" t="n">
        <v>0</v>
      </c>
      <c r="T1141" s="3" t="n">
        <f aca="false">_xlfn.MINIFS($B$2:$B$2705,$A$2:$A$2705,A1141)</f>
        <v>1969</v>
      </c>
      <c r="U1141" s="3" t="n">
        <f aca="false">B1141-T1141</f>
        <v>0</v>
      </c>
      <c r="V1141" s="3" t="str">
        <f aca="false">INDEX(Pop_Inputs!$Q$2:$Q$29,MATCH(C1141,Pop_Inputs!$A$2:$A$29,0))</f>
        <v>Canada</v>
      </c>
      <c r="W1141" s="30"/>
      <c r="X1141" s="3" t="str">
        <f aca="false">IF(W1141="","",LN(W1141))</f>
        <v/>
      </c>
      <c r="Y1141" s="3" t="str">
        <f aca="false">IF(X1141="","",X1141-AVERAGEIFS($X$2:$X$2705,$B$2:$B$2705,B1141))</f>
        <v/>
      </c>
      <c r="Z1141" s="21" t="n">
        <f aca="false">P1141</f>
        <v>0.259167942677129</v>
      </c>
      <c r="AA1141" s="3" t="n">
        <f aca="false">R1141</f>
        <v>1</v>
      </c>
      <c r="AB1141" s="21" t="n">
        <f aca="false">P1141</f>
        <v>0.259167942677129</v>
      </c>
      <c r="AC1141" s="3" t="str">
        <f aca="false">Y1141</f>
        <v/>
      </c>
      <c r="AD1141" s="3" t="n">
        <f aca="false">R1141</f>
        <v>1</v>
      </c>
    </row>
    <row r="1142" customFormat="false" ht="15" hidden="false" customHeight="true" outlineLevel="0" collapsed="false">
      <c r="A1142" s="7" t="s">
        <v>71</v>
      </c>
      <c r="B1142" s="7" t="n">
        <v>1970</v>
      </c>
      <c r="C1142" s="7" t="s">
        <v>148</v>
      </c>
      <c r="D1142" s="7" t="n">
        <v>86</v>
      </c>
      <c r="E1142" s="7" t="n">
        <v>76</v>
      </c>
      <c r="F1142" s="3" t="n">
        <f aca="false">COUNTIFS($B$2:$B$2705,B1142,$C$2:$C$2705,C1142)</f>
        <v>2</v>
      </c>
      <c r="G1142" s="3" t="n">
        <f aca="false">MIN(INT((MIN(B1142,2020)-1900)/10)+1,12)</f>
        <v>8</v>
      </c>
      <c r="H1142" s="3" t="n">
        <f aca="false">(MIN(B1142,2020)-1900-10*(G1142-1))/10</f>
        <v>0</v>
      </c>
      <c r="I1142" s="20" t="n">
        <f aca="false">EXP(LN(INDEX(Pop_Inputs!$B$2:$N$29,MATCH(C1142,Pop_Inputs!$A$2:$A$29,0),G1142))*(1-H1142)+LN(INDEX(Pop_Inputs!$B$2:$N$29,MATCH(C1142,Pop_Inputs!$A$2:$A$29,0),G1142+1))*H1142)</f>
        <v>2816061</v>
      </c>
      <c r="J1142" s="20" t="n">
        <f aca="false">I1142/F1142</f>
        <v>1408030.5</v>
      </c>
      <c r="K1142" s="21" t="n">
        <f aca="false">D1142/(D1142+E1142)</f>
        <v>0.530864197530864</v>
      </c>
      <c r="L1142" s="21" t="n">
        <f aca="false">AVERAGEIFS($K$2:$K$2705,$B$2:$B$2705,B1142)</f>
        <v>0.499998402474248</v>
      </c>
      <c r="M1142" s="21" t="n">
        <f aca="false">K1142-L1142</f>
        <v>0.0308657950566164</v>
      </c>
      <c r="N1142" s="21" t="n">
        <f aca="false">LN(J1142)</f>
        <v>14.1577024773973</v>
      </c>
      <c r="O1142" s="21" t="n">
        <f aca="false">AVERAGEIFS($N$2:$N$2705,$B$2:$B$2705,B1142)</f>
        <v>13.7598481058072</v>
      </c>
      <c r="P1142" s="21" t="n">
        <f aca="false">N1142-O1142</f>
        <v>0.397854371590167</v>
      </c>
      <c r="Q1142" s="7" t="n">
        <v>1</v>
      </c>
      <c r="R1142" s="3" t="n">
        <f aca="false">IF(AND(Q1142=1,B1142-_xlfn.MINIFS($B$2:$B$2705,$A$2:$A$2705,A1142)&lt;10),1,0)</f>
        <v>1</v>
      </c>
      <c r="S1142" s="7" t="n">
        <v>0</v>
      </c>
      <c r="T1142" s="3" t="n">
        <f aca="false">_xlfn.MINIFS($B$2:$B$2705,$A$2:$A$2705,A1142)</f>
        <v>1961</v>
      </c>
      <c r="U1142" s="3" t="n">
        <f aca="false">B1142-T1142</f>
        <v>9</v>
      </c>
      <c r="V1142" s="3" t="str">
        <f aca="false">INDEX(Pop_Inputs!$Q$2:$Q$29,MATCH(C1142,Pop_Inputs!$A$2:$A$29,0))</f>
        <v>West</v>
      </c>
      <c r="W1142" s="30"/>
      <c r="X1142" s="3" t="str">
        <f aca="false">IF(W1142="","",LN(W1142))</f>
        <v/>
      </c>
      <c r="Y1142" s="3" t="str">
        <f aca="false">IF(X1142="","",X1142-AVERAGEIFS($X$2:$X$2705,$B$2:$B$2705,B1142))</f>
        <v/>
      </c>
      <c r="Z1142" s="21" t="n">
        <f aca="false">P1142</f>
        <v>0.397854371590167</v>
      </c>
      <c r="AA1142" s="3" t="n">
        <f aca="false">R1142</f>
        <v>1</v>
      </c>
      <c r="AB1142" s="21" t="n">
        <f aca="false">P1142</f>
        <v>0.397854371590167</v>
      </c>
      <c r="AC1142" s="3" t="str">
        <f aca="false">Y1142</f>
        <v/>
      </c>
      <c r="AD1142" s="3" t="n">
        <f aca="false">R1142</f>
        <v>1</v>
      </c>
    </row>
    <row r="1143" customFormat="false" ht="15" hidden="false" customHeight="true" outlineLevel="0" collapsed="false">
      <c r="A1143" s="7" t="s">
        <v>54</v>
      </c>
      <c r="B1143" s="7" t="n">
        <v>1970</v>
      </c>
      <c r="C1143" s="7" t="s">
        <v>141</v>
      </c>
      <c r="D1143" s="7" t="n">
        <v>76</v>
      </c>
      <c r="E1143" s="7" t="n">
        <v>86</v>
      </c>
      <c r="F1143" s="3" t="n">
        <f aca="false">COUNTIFS($B$2:$B$2705,B1143,$C$2:$C$2705,C1143)</f>
        <v>1</v>
      </c>
      <c r="G1143" s="3" t="n">
        <f aca="false">MIN(INT((MIN(B1143,2020)-1900)/10)+1,12)</f>
        <v>8</v>
      </c>
      <c r="H1143" s="3" t="n">
        <f aca="false">(MIN(B1143,2020)-1900-10*(G1143-1))/10</f>
        <v>0</v>
      </c>
      <c r="I1143" s="20" t="n">
        <f aca="false">EXP(LN(INDEX(Pop_Inputs!$B$2:$N$29,MATCH(C1143,Pop_Inputs!$A$2:$A$29,0),G1143))*(1-H1143)+LN(INDEX(Pop_Inputs!$B$2:$N$29,MATCH(C1143,Pop_Inputs!$A$2:$A$29,0),G1143+1))*H1143)</f>
        <v>495039</v>
      </c>
      <c r="J1143" s="20" t="n">
        <f aca="false">I1143/F1143</f>
        <v>495039</v>
      </c>
      <c r="K1143" s="21" t="n">
        <f aca="false">D1143/(D1143+E1143)</f>
        <v>0.469135802469136</v>
      </c>
      <c r="L1143" s="21" t="n">
        <f aca="false">AVERAGEIFS($K$2:$K$2705,$B$2:$B$2705,B1143)</f>
        <v>0.499998402474248</v>
      </c>
      <c r="M1143" s="21" t="n">
        <f aca="false">K1143-L1143</f>
        <v>-0.0308626000051121</v>
      </c>
      <c r="N1143" s="21" t="n">
        <f aca="false">LN(J1143)</f>
        <v>13.112391826326</v>
      </c>
      <c r="O1143" s="21" t="n">
        <f aca="false">AVERAGEIFS($N$2:$N$2705,$B$2:$B$2705,B1143)</f>
        <v>13.7598481058072</v>
      </c>
      <c r="P1143" s="21" t="n">
        <f aca="false">N1143-O1143</f>
        <v>-0.647456279481148</v>
      </c>
      <c r="Q1143" s="7" t="n">
        <v>0</v>
      </c>
      <c r="R1143" s="3" t="n">
        <f aca="false">IF(AND(Q1143=1,B1143-_xlfn.MINIFS($B$2:$B$2705,$A$2:$A$2705,A1143)&lt;10),1,0)</f>
        <v>0</v>
      </c>
      <c r="S1143" s="7" t="n">
        <v>0</v>
      </c>
      <c r="T1143" s="3" t="n">
        <f aca="false">_xlfn.MINIFS($B$2:$B$2705,$A$2:$A$2705,A1143)</f>
        <v>1901</v>
      </c>
      <c r="U1143" s="3" t="n">
        <f aca="false">B1143-T1143</f>
        <v>69</v>
      </c>
      <c r="V1143" s="3" t="str">
        <f aca="false">INDEX(Pop_Inputs!$Q$2:$Q$29,MATCH(C1143,Pop_Inputs!$A$2:$A$29,0))</f>
        <v>South</v>
      </c>
      <c r="W1143" s="30"/>
      <c r="X1143" s="3" t="str">
        <f aca="false">IF(W1143="","",LN(W1143))</f>
        <v/>
      </c>
      <c r="Y1143" s="3" t="str">
        <f aca="false">IF(X1143="","",X1143-AVERAGEIFS($X$2:$X$2705,$B$2:$B$2705,B1143))</f>
        <v/>
      </c>
      <c r="Z1143" s="21" t="n">
        <f aca="false">P1143</f>
        <v>-0.647456279481148</v>
      </c>
      <c r="AA1143" s="3" t="n">
        <f aca="false">R1143</f>
        <v>0</v>
      </c>
      <c r="AB1143" s="21" t="n">
        <f aca="false">P1143</f>
        <v>-0.647456279481148</v>
      </c>
      <c r="AC1143" s="3" t="str">
        <f aca="false">Y1143</f>
        <v/>
      </c>
      <c r="AD1143" s="3" t="n">
        <f aca="false">R1143</f>
        <v>0</v>
      </c>
    </row>
    <row r="1144" customFormat="false" ht="15" hidden="false" customHeight="true" outlineLevel="0" collapsed="false">
      <c r="A1144" s="7" t="s">
        <v>63</v>
      </c>
      <c r="B1144" s="7" t="n">
        <v>1970</v>
      </c>
      <c r="C1144" s="7" t="s">
        <v>149</v>
      </c>
      <c r="D1144" s="7" t="n">
        <v>108</v>
      </c>
      <c r="E1144" s="7" t="n">
        <v>54</v>
      </c>
      <c r="F1144" s="3" t="n">
        <f aca="false">COUNTIFS($B$2:$B$2705,B1144,$C$2:$C$2705,C1144)</f>
        <v>1</v>
      </c>
      <c r="G1144" s="3" t="n">
        <f aca="false">MIN(INT((MIN(B1144,2020)-1900)/10)+1,12)</f>
        <v>8</v>
      </c>
      <c r="H1144" s="3" t="n">
        <f aca="false">(MIN(B1144,2020)-1900-10*(G1144-1))/10</f>
        <v>0</v>
      </c>
      <c r="I1144" s="20" t="n">
        <f aca="false">EXP(LN(INDEX(Pop_Inputs!$B$2:$N$29,MATCH(C1144,Pop_Inputs!$A$2:$A$29,0),G1144))*(1-H1144)+LN(INDEX(Pop_Inputs!$B$2:$N$29,MATCH(C1144,Pop_Inputs!$A$2:$A$29,0),G1144+1))*H1144)</f>
        <v>905758.999999999</v>
      </c>
      <c r="J1144" s="20" t="n">
        <f aca="false">I1144/F1144</f>
        <v>905758.999999999</v>
      </c>
      <c r="K1144" s="21" t="n">
        <f aca="false">D1144/(D1144+E1144)</f>
        <v>0.666666666666667</v>
      </c>
      <c r="L1144" s="21" t="n">
        <f aca="false">AVERAGEIFS($K$2:$K$2705,$B$2:$B$2705,B1144)</f>
        <v>0.499998402474248</v>
      </c>
      <c r="M1144" s="21" t="n">
        <f aca="false">K1144-L1144</f>
        <v>0.166668264192419</v>
      </c>
      <c r="N1144" s="21" t="n">
        <f aca="false">LN(J1144)</f>
        <v>13.7165285452247</v>
      </c>
      <c r="O1144" s="21" t="n">
        <f aca="false">AVERAGEIFS($N$2:$N$2705,$B$2:$B$2705,B1144)</f>
        <v>13.7598481058072</v>
      </c>
      <c r="P1144" s="21" t="n">
        <f aca="false">N1144-O1144</f>
        <v>-0.0433195605825052</v>
      </c>
      <c r="Q1144" s="7" t="n">
        <v>0</v>
      </c>
      <c r="R1144" s="3" t="n">
        <f aca="false">IF(AND(Q1144=1,B1144-_xlfn.MINIFS($B$2:$B$2705,$A$2:$A$2705,A1144)&lt;10),1,0)</f>
        <v>0</v>
      </c>
      <c r="S1144" s="7" t="n">
        <v>0</v>
      </c>
      <c r="T1144" s="3" t="n">
        <f aca="false">_xlfn.MINIFS($B$2:$B$2705,$A$2:$A$2705,A1144)</f>
        <v>1901</v>
      </c>
      <c r="U1144" s="3" t="n">
        <f aca="false">B1144-T1144</f>
        <v>69</v>
      </c>
      <c r="V1144" s="3" t="str">
        <f aca="false">INDEX(Pop_Inputs!$Q$2:$Q$29,MATCH(C1144,Pop_Inputs!$A$2:$A$29,0))</f>
        <v>South</v>
      </c>
      <c r="W1144" s="30"/>
      <c r="X1144" s="3" t="str">
        <f aca="false">IF(W1144="","",LN(W1144))</f>
        <v/>
      </c>
      <c r="Y1144" s="3" t="str">
        <f aca="false">IF(X1144="","",X1144-AVERAGEIFS($X$2:$X$2705,$B$2:$B$2705,B1144))</f>
        <v/>
      </c>
      <c r="Z1144" s="21" t="n">
        <f aca="false">P1144</f>
        <v>-0.0433195605825052</v>
      </c>
      <c r="AA1144" s="3" t="n">
        <f aca="false">R1144</f>
        <v>0</v>
      </c>
      <c r="AB1144" s="21" t="n">
        <f aca="false">P1144</f>
        <v>-0.0433195605825052</v>
      </c>
      <c r="AC1144" s="3" t="str">
        <f aca="false">Y1144</f>
        <v/>
      </c>
      <c r="AD1144" s="3" t="n">
        <f aca="false">R1144</f>
        <v>0</v>
      </c>
    </row>
    <row r="1145" customFormat="false" ht="15" hidden="false" customHeight="true" outlineLevel="0" collapsed="false">
      <c r="A1145" s="7" t="s">
        <v>64</v>
      </c>
      <c r="B1145" s="7" t="n">
        <v>1970</v>
      </c>
      <c r="C1145" s="7" t="s">
        <v>150</v>
      </c>
      <c r="D1145" s="7" t="n">
        <v>87</v>
      </c>
      <c r="E1145" s="7" t="n">
        <v>75</v>
      </c>
      <c r="F1145" s="3" t="n">
        <f aca="false">COUNTIFS($B$2:$B$2705,B1145,$C$2:$C$2705,C1145)</f>
        <v>1</v>
      </c>
      <c r="G1145" s="3" t="n">
        <f aca="false">MIN(INT((MIN(B1145,2020)-1900)/10)+1,12)</f>
        <v>8</v>
      </c>
      <c r="H1145" s="3" t="n">
        <f aca="false">(MIN(B1145,2020)-1900-10*(G1145-1))/10</f>
        <v>0</v>
      </c>
      <c r="I1145" s="20" t="n">
        <f aca="false">EXP(LN(INDEX(Pop_Inputs!$B$2:$N$29,MATCH(C1145,Pop_Inputs!$A$2:$A$29,0),G1145))*(1-H1145)+LN(INDEX(Pop_Inputs!$B$2:$N$29,MATCH(C1145,Pop_Inputs!$A$2:$A$29,0),G1145+1))*H1145)</f>
        <v>641071</v>
      </c>
      <c r="J1145" s="20" t="n">
        <f aca="false">I1145/F1145</f>
        <v>641071</v>
      </c>
      <c r="K1145" s="21" t="n">
        <f aca="false">D1145/(D1145+E1145)</f>
        <v>0.537037037037037</v>
      </c>
      <c r="L1145" s="21" t="n">
        <f aca="false">AVERAGEIFS($K$2:$K$2705,$B$2:$B$2705,B1145)</f>
        <v>0.499998402474248</v>
      </c>
      <c r="M1145" s="21" t="n">
        <f aca="false">K1145-L1145</f>
        <v>0.0370386345627892</v>
      </c>
      <c r="N1145" s="21" t="n">
        <f aca="false">LN(J1145)</f>
        <v>13.3708954941995</v>
      </c>
      <c r="O1145" s="21" t="n">
        <f aca="false">AVERAGEIFS($N$2:$N$2705,$B$2:$B$2705,B1145)</f>
        <v>13.7598481058072</v>
      </c>
      <c r="P1145" s="21" t="n">
        <f aca="false">N1145-O1145</f>
        <v>-0.388952611607703</v>
      </c>
      <c r="Q1145" s="7" t="n">
        <v>0</v>
      </c>
      <c r="R1145" s="3" t="n">
        <f aca="false">IF(AND(Q1145=1,B1145-_xlfn.MINIFS($B$2:$B$2705,$A$2:$A$2705,A1145)&lt;10),1,0)</f>
        <v>0</v>
      </c>
      <c r="S1145" s="7" t="n">
        <v>0</v>
      </c>
      <c r="T1145" s="3" t="n">
        <f aca="false">_xlfn.MINIFS($B$2:$B$2705,$A$2:$A$2705,A1145)</f>
        <v>1901</v>
      </c>
      <c r="U1145" s="3" t="n">
        <f aca="false">B1145-T1145</f>
        <v>69</v>
      </c>
      <c r="V1145" s="3" t="str">
        <f aca="false">INDEX(Pop_Inputs!$Q$2:$Q$29,MATCH(C1145,Pop_Inputs!$A$2:$A$29,0))</f>
        <v>Northeast</v>
      </c>
      <c r="W1145" s="30"/>
      <c r="X1145" s="3" t="str">
        <f aca="false">IF(W1145="","",LN(W1145))</f>
        <v/>
      </c>
      <c r="Y1145" s="3" t="str">
        <f aca="false">IF(X1145="","",X1145-AVERAGEIFS($X$2:$X$2705,$B$2:$B$2705,B1145))</f>
        <v/>
      </c>
      <c r="Z1145" s="21" t="n">
        <f aca="false">P1145</f>
        <v>-0.388952611607703</v>
      </c>
      <c r="AA1145" s="3" t="n">
        <f aca="false">R1145</f>
        <v>0</v>
      </c>
      <c r="AB1145" s="21" t="n">
        <f aca="false">P1145</f>
        <v>-0.388952611607703</v>
      </c>
      <c r="AC1145" s="3" t="str">
        <f aca="false">Y1145</f>
        <v/>
      </c>
      <c r="AD1145" s="3" t="n">
        <f aca="false">R1145</f>
        <v>0</v>
      </c>
    </row>
    <row r="1146" customFormat="false" ht="15" hidden="false" customHeight="true" outlineLevel="0" collapsed="false">
      <c r="A1146" s="7" t="s">
        <v>56</v>
      </c>
      <c r="B1146" s="7" t="n">
        <v>1970</v>
      </c>
      <c r="C1146" s="7" t="s">
        <v>142</v>
      </c>
      <c r="D1146" s="7" t="n">
        <v>84</v>
      </c>
      <c r="E1146" s="7" t="n">
        <v>78</v>
      </c>
      <c r="F1146" s="3" t="n">
        <f aca="false">COUNTIFS($B$2:$B$2705,B1146,$C$2:$C$2705,C1146)</f>
        <v>2</v>
      </c>
      <c r="G1146" s="3" t="n">
        <f aca="false">MIN(INT((MIN(B1146,2020)-1900)/10)+1,12)</f>
        <v>8</v>
      </c>
      <c r="H1146" s="3" t="n">
        <f aca="false">(MIN(B1146,2020)-1900-10*(G1146-1))/10</f>
        <v>0</v>
      </c>
      <c r="I1146" s="20" t="n">
        <f aca="false">EXP(LN(INDEX(Pop_Inputs!$B$2:$N$29,MATCH(C1146,Pop_Inputs!$A$2:$A$29,0),G1146))*(1-H1146)+LN(INDEX(Pop_Inputs!$B$2:$N$29,MATCH(C1146,Pop_Inputs!$A$2:$A$29,0),G1146+1))*H1146)</f>
        <v>3366957</v>
      </c>
      <c r="J1146" s="20" t="n">
        <f aca="false">I1146/F1146</f>
        <v>1683478.5</v>
      </c>
      <c r="K1146" s="21" t="n">
        <f aca="false">D1146/(D1146+E1146)</f>
        <v>0.518518518518519</v>
      </c>
      <c r="L1146" s="21" t="n">
        <f aca="false">AVERAGEIFS($K$2:$K$2705,$B$2:$B$2705,B1146)</f>
        <v>0.499998402474248</v>
      </c>
      <c r="M1146" s="21" t="n">
        <f aca="false">K1146-L1146</f>
        <v>0.0185201160442706</v>
      </c>
      <c r="N1146" s="21" t="n">
        <f aca="false">LN(J1146)</f>
        <v>14.3363727464889</v>
      </c>
      <c r="O1146" s="21" t="n">
        <f aca="false">AVERAGEIFS($N$2:$N$2705,$B$2:$B$2705,B1146)</f>
        <v>13.7598481058072</v>
      </c>
      <c r="P1146" s="21" t="n">
        <f aca="false">N1146-O1146</f>
        <v>0.576524640681784</v>
      </c>
      <c r="Q1146" s="7" t="n">
        <v>0</v>
      </c>
      <c r="R1146" s="3" t="n">
        <f aca="false">IF(AND(Q1146=1,B1146-_xlfn.MINIFS($B$2:$B$2705,$A$2:$A$2705,A1146)&lt;10),1,0)</f>
        <v>0</v>
      </c>
      <c r="S1146" s="7" t="n">
        <v>0</v>
      </c>
      <c r="T1146" s="3" t="n">
        <f aca="false">_xlfn.MINIFS($B$2:$B$2705,$A$2:$A$2705,A1146)</f>
        <v>1901</v>
      </c>
      <c r="U1146" s="3" t="n">
        <f aca="false">B1146-T1146</f>
        <v>69</v>
      </c>
      <c r="V1146" s="3" t="str">
        <f aca="false">INDEX(Pop_Inputs!$Q$2:$Q$29,MATCH(C1146,Pop_Inputs!$A$2:$A$29,0))</f>
        <v>Midwest</v>
      </c>
      <c r="W1146" s="30"/>
      <c r="X1146" s="3" t="str">
        <f aca="false">IF(W1146="","",LN(W1146))</f>
        <v/>
      </c>
      <c r="Y1146" s="3" t="str">
        <f aca="false">IF(X1146="","",X1146-AVERAGEIFS($X$2:$X$2705,$B$2:$B$2705,B1146))</f>
        <v/>
      </c>
      <c r="Z1146" s="21" t="n">
        <f aca="false">P1146</f>
        <v>0.576524640681784</v>
      </c>
      <c r="AA1146" s="3" t="n">
        <f aca="false">R1146</f>
        <v>0</v>
      </c>
      <c r="AB1146" s="21" t="n">
        <f aca="false">P1146</f>
        <v>0.576524640681784</v>
      </c>
      <c r="AC1146" s="3" t="str">
        <f aca="false">Y1146</f>
        <v/>
      </c>
      <c r="AD1146" s="3" t="n">
        <f aca="false">R1146</f>
        <v>0</v>
      </c>
    </row>
    <row r="1147" customFormat="false" ht="15" hidden="false" customHeight="true" outlineLevel="0" collapsed="false">
      <c r="A1147" s="7" t="s">
        <v>65</v>
      </c>
      <c r="B1147" s="7" t="n">
        <v>1970</v>
      </c>
      <c r="C1147" s="7" t="s">
        <v>142</v>
      </c>
      <c r="D1147" s="7" t="n">
        <v>56</v>
      </c>
      <c r="E1147" s="7" t="n">
        <v>106</v>
      </c>
      <c r="F1147" s="3" t="n">
        <f aca="false">COUNTIFS($B$2:$B$2705,B1147,$C$2:$C$2705,C1147)</f>
        <v>2</v>
      </c>
      <c r="G1147" s="3" t="n">
        <f aca="false">MIN(INT((MIN(B1147,2020)-1900)/10)+1,12)</f>
        <v>8</v>
      </c>
      <c r="H1147" s="3" t="n">
        <f aca="false">(MIN(B1147,2020)-1900-10*(G1147-1))/10</f>
        <v>0</v>
      </c>
      <c r="I1147" s="20" t="n">
        <f aca="false">EXP(LN(INDEX(Pop_Inputs!$B$2:$N$29,MATCH(C1147,Pop_Inputs!$A$2:$A$29,0),G1147))*(1-H1147)+LN(INDEX(Pop_Inputs!$B$2:$N$29,MATCH(C1147,Pop_Inputs!$A$2:$A$29,0),G1147+1))*H1147)</f>
        <v>3366957</v>
      </c>
      <c r="J1147" s="20" t="n">
        <f aca="false">I1147/F1147</f>
        <v>1683478.5</v>
      </c>
      <c r="K1147" s="21" t="n">
        <f aca="false">D1147/(D1147+E1147)</f>
        <v>0.345679012345679</v>
      </c>
      <c r="L1147" s="21" t="n">
        <f aca="false">AVERAGEIFS($K$2:$K$2705,$B$2:$B$2705,B1147)</f>
        <v>0.499998402474248</v>
      </c>
      <c r="M1147" s="21" t="n">
        <f aca="false">K1147-L1147</f>
        <v>-0.154319390128569</v>
      </c>
      <c r="N1147" s="21" t="n">
        <f aca="false">LN(J1147)</f>
        <v>14.3363727464889</v>
      </c>
      <c r="O1147" s="21" t="n">
        <f aca="false">AVERAGEIFS($N$2:$N$2705,$B$2:$B$2705,B1147)</f>
        <v>13.7598481058072</v>
      </c>
      <c r="P1147" s="21" t="n">
        <f aca="false">N1147-O1147</f>
        <v>0.576524640681784</v>
      </c>
      <c r="Q1147" s="7" t="n">
        <v>0</v>
      </c>
      <c r="R1147" s="3" t="n">
        <f aca="false">IF(AND(Q1147=1,B1147-_xlfn.MINIFS($B$2:$B$2705,$A$2:$A$2705,A1147)&lt;10),1,0)</f>
        <v>0</v>
      </c>
      <c r="S1147" s="7" t="n">
        <v>0</v>
      </c>
      <c r="T1147" s="3" t="n">
        <f aca="false">_xlfn.MINIFS($B$2:$B$2705,$A$2:$A$2705,A1147)</f>
        <v>1901</v>
      </c>
      <c r="U1147" s="3" t="n">
        <f aca="false">B1147-T1147</f>
        <v>69</v>
      </c>
      <c r="V1147" s="3" t="str">
        <f aca="false">INDEX(Pop_Inputs!$Q$2:$Q$29,MATCH(C1147,Pop_Inputs!$A$2:$A$29,0))</f>
        <v>Midwest</v>
      </c>
      <c r="W1147" s="30"/>
      <c r="X1147" s="3" t="str">
        <f aca="false">IF(W1147="","",LN(W1147))</f>
        <v/>
      </c>
      <c r="Y1147" s="3" t="str">
        <f aca="false">IF(X1147="","",X1147-AVERAGEIFS($X$2:$X$2705,$B$2:$B$2705,B1147))</f>
        <v/>
      </c>
      <c r="Z1147" s="21" t="n">
        <f aca="false">P1147</f>
        <v>0.576524640681784</v>
      </c>
      <c r="AA1147" s="3" t="n">
        <f aca="false">R1147</f>
        <v>0</v>
      </c>
      <c r="AB1147" s="21" t="n">
        <f aca="false">P1147</f>
        <v>0.576524640681784</v>
      </c>
      <c r="AC1147" s="3" t="str">
        <f aca="false">Y1147</f>
        <v/>
      </c>
      <c r="AD1147" s="3" t="n">
        <f aca="false">R1147</f>
        <v>0</v>
      </c>
    </row>
    <row r="1148" customFormat="false" ht="15" hidden="false" customHeight="true" outlineLevel="0" collapsed="false">
      <c r="A1148" s="7" t="s">
        <v>57</v>
      </c>
      <c r="B1148" s="7" t="n">
        <v>1970</v>
      </c>
      <c r="C1148" s="7" t="s">
        <v>143</v>
      </c>
      <c r="D1148" s="7" t="n">
        <v>102</v>
      </c>
      <c r="E1148" s="7" t="n">
        <v>60</v>
      </c>
      <c r="F1148" s="3" t="n">
        <f aca="false">COUNTIFS($B$2:$B$2705,B1148,$C$2:$C$2705,C1148)</f>
        <v>1</v>
      </c>
      <c r="G1148" s="3" t="n">
        <f aca="false">MIN(INT((MIN(B1148,2020)-1900)/10)+1,12)</f>
        <v>8</v>
      </c>
      <c r="H1148" s="3" t="n">
        <f aca="false">(MIN(B1148,2020)-1900-10*(G1148-1))/10</f>
        <v>0</v>
      </c>
      <c r="I1148" s="20" t="n">
        <f aca="false">EXP(LN(INDEX(Pop_Inputs!$B$2:$N$29,MATCH(C1148,Pop_Inputs!$A$2:$A$29,0),G1148))*(1-H1148)+LN(INDEX(Pop_Inputs!$B$2:$N$29,MATCH(C1148,Pop_Inputs!$A$2:$A$29,0),G1148+1))*H1148)</f>
        <v>452525</v>
      </c>
      <c r="J1148" s="20" t="n">
        <f aca="false">I1148/F1148</f>
        <v>452525</v>
      </c>
      <c r="K1148" s="21" t="n">
        <f aca="false">D1148/(D1148+E1148)</f>
        <v>0.62962962962963</v>
      </c>
      <c r="L1148" s="21" t="n">
        <f aca="false">AVERAGEIFS($K$2:$K$2705,$B$2:$B$2705,B1148)</f>
        <v>0.499998402474248</v>
      </c>
      <c r="M1148" s="21" t="n">
        <f aca="false">K1148-L1148</f>
        <v>0.129631227155382</v>
      </c>
      <c r="N1148" s="21" t="n">
        <f aca="false">LN(J1148)</f>
        <v>13.0225982892148</v>
      </c>
      <c r="O1148" s="21" t="n">
        <f aca="false">AVERAGEIFS($N$2:$N$2705,$B$2:$B$2705,B1148)</f>
        <v>13.7598481058072</v>
      </c>
      <c r="P1148" s="21" t="n">
        <f aca="false">N1148-O1148</f>
        <v>-0.737249816592406</v>
      </c>
      <c r="Q1148" s="7" t="n">
        <v>0</v>
      </c>
      <c r="R1148" s="3" t="n">
        <f aca="false">IF(AND(Q1148=1,B1148-_xlfn.MINIFS($B$2:$B$2705,$A$2:$A$2705,A1148)&lt;10),1,0)</f>
        <v>0</v>
      </c>
      <c r="S1148" s="7" t="n">
        <v>0</v>
      </c>
      <c r="T1148" s="3" t="n">
        <f aca="false">_xlfn.MINIFS($B$2:$B$2705,$A$2:$A$2705,A1148)</f>
        <v>1901</v>
      </c>
      <c r="U1148" s="3" t="n">
        <f aca="false">B1148-T1148</f>
        <v>69</v>
      </c>
      <c r="V1148" s="3" t="str">
        <f aca="false">INDEX(Pop_Inputs!$Q$2:$Q$29,MATCH(C1148,Pop_Inputs!$A$2:$A$29,0))</f>
        <v>Midwest</v>
      </c>
      <c r="W1148" s="30"/>
      <c r="X1148" s="3" t="str">
        <f aca="false">IF(W1148="","",LN(W1148))</f>
        <v/>
      </c>
      <c r="Y1148" s="3" t="str">
        <f aca="false">IF(X1148="","",X1148-AVERAGEIFS($X$2:$X$2705,$B$2:$B$2705,B1148))</f>
        <v/>
      </c>
      <c r="Z1148" s="21" t="n">
        <f aca="false">P1148</f>
        <v>-0.737249816592406</v>
      </c>
      <c r="AA1148" s="3" t="n">
        <f aca="false">R1148</f>
        <v>0</v>
      </c>
      <c r="AB1148" s="21" t="n">
        <f aca="false">P1148</f>
        <v>-0.737249816592406</v>
      </c>
      <c r="AC1148" s="3" t="str">
        <f aca="false">Y1148</f>
        <v/>
      </c>
      <c r="AD1148" s="3" t="n">
        <f aca="false">R1148</f>
        <v>0</v>
      </c>
    </row>
    <row r="1149" customFormat="false" ht="15" hidden="false" customHeight="true" outlineLevel="0" collapsed="false">
      <c r="A1149" s="7" t="s">
        <v>66</v>
      </c>
      <c r="B1149" s="7" t="n">
        <v>1970</v>
      </c>
      <c r="C1149" s="7" t="s">
        <v>151</v>
      </c>
      <c r="D1149" s="7" t="n">
        <v>76</v>
      </c>
      <c r="E1149" s="7" t="n">
        <v>86</v>
      </c>
      <c r="F1149" s="3" t="n">
        <f aca="false">COUNTIFS($B$2:$B$2705,B1149,$C$2:$C$2705,C1149)</f>
        <v>1</v>
      </c>
      <c r="G1149" s="3" t="n">
        <f aca="false">MIN(INT((MIN(B1149,2020)-1900)/10)+1,12)</f>
        <v>8</v>
      </c>
      <c r="H1149" s="3" t="n">
        <f aca="false">(MIN(B1149,2020)-1900-10*(G1149-1))/10</f>
        <v>0</v>
      </c>
      <c r="I1149" s="20" t="n">
        <f aca="false">EXP(LN(INDEX(Pop_Inputs!$B$2:$N$29,MATCH(C1149,Pop_Inputs!$A$2:$A$29,0),G1149))*(1-H1149)+LN(INDEX(Pop_Inputs!$B$2:$N$29,MATCH(C1149,Pop_Inputs!$A$2:$A$29,0),G1149+1))*H1149)</f>
        <v>750903</v>
      </c>
      <c r="J1149" s="20" t="n">
        <f aca="false">I1149/F1149</f>
        <v>750903</v>
      </c>
      <c r="K1149" s="21" t="n">
        <f aca="false">D1149/(D1149+E1149)</f>
        <v>0.469135802469136</v>
      </c>
      <c r="L1149" s="21" t="n">
        <f aca="false">AVERAGEIFS($K$2:$K$2705,$B$2:$B$2705,B1149)</f>
        <v>0.499998402474248</v>
      </c>
      <c r="M1149" s="21" t="n">
        <f aca="false">K1149-L1149</f>
        <v>-0.0308626000051121</v>
      </c>
      <c r="N1149" s="21" t="n">
        <f aca="false">LN(J1149)</f>
        <v>13.5290317612857</v>
      </c>
      <c r="O1149" s="21" t="n">
        <f aca="false">AVERAGEIFS($N$2:$N$2705,$B$2:$B$2705,B1149)</f>
        <v>13.7598481058072</v>
      </c>
      <c r="P1149" s="21" t="n">
        <f aca="false">N1149-O1149</f>
        <v>-0.230816344521413</v>
      </c>
      <c r="Q1149" s="7" t="n">
        <v>0</v>
      </c>
      <c r="R1149" s="3" t="n">
        <f aca="false">IF(AND(Q1149=1,B1149-_xlfn.MINIFS($B$2:$B$2705,$A$2:$A$2705,A1149)&lt;10),1,0)</f>
        <v>0</v>
      </c>
      <c r="S1149" s="7" t="n">
        <v>0</v>
      </c>
      <c r="T1149" s="3" t="n">
        <f aca="false">_xlfn.MINIFS($B$2:$B$2705,$A$2:$A$2705,A1149)</f>
        <v>1901</v>
      </c>
      <c r="U1149" s="3" t="n">
        <f aca="false">B1149-T1149</f>
        <v>69</v>
      </c>
      <c r="V1149" s="3" t="str">
        <f aca="false">INDEX(Pop_Inputs!$Q$2:$Q$29,MATCH(C1149,Pop_Inputs!$A$2:$A$29,0))</f>
        <v>Midwest</v>
      </c>
      <c r="W1149" s="30"/>
      <c r="X1149" s="3" t="str">
        <f aca="false">IF(W1149="","",LN(W1149))</f>
        <v/>
      </c>
      <c r="Y1149" s="3" t="str">
        <f aca="false">IF(X1149="","",X1149-AVERAGEIFS($X$2:$X$2705,$B$2:$B$2705,B1149))</f>
        <v/>
      </c>
      <c r="Z1149" s="21" t="n">
        <f aca="false">P1149</f>
        <v>-0.230816344521413</v>
      </c>
      <c r="AA1149" s="3" t="n">
        <f aca="false">R1149</f>
        <v>0</v>
      </c>
      <c r="AB1149" s="21" t="n">
        <f aca="false">P1149</f>
        <v>-0.230816344521413</v>
      </c>
      <c r="AC1149" s="3" t="str">
        <f aca="false">Y1149</f>
        <v/>
      </c>
      <c r="AD1149" s="3" t="n">
        <f aca="false">R1149</f>
        <v>0</v>
      </c>
    </row>
    <row r="1150" customFormat="false" ht="15" hidden="false" customHeight="true" outlineLevel="0" collapsed="false">
      <c r="A1150" s="7" t="s">
        <v>67</v>
      </c>
      <c r="B1150" s="7" t="n">
        <v>1970</v>
      </c>
      <c r="C1150" s="7" t="s">
        <v>152</v>
      </c>
      <c r="D1150" s="7" t="n">
        <v>79</v>
      </c>
      <c r="E1150" s="7" t="n">
        <v>83</v>
      </c>
      <c r="F1150" s="3" t="n">
        <f aca="false">COUNTIFS($B$2:$B$2705,B1150,$C$2:$C$2705,C1150)</f>
        <v>1</v>
      </c>
      <c r="G1150" s="3" t="n">
        <f aca="false">MIN(INT((MIN(B1150,2020)-1900)/10)+1,12)</f>
        <v>8</v>
      </c>
      <c r="H1150" s="3" t="n">
        <f aca="false">(MIN(B1150,2020)-1900-10*(G1150-1))/10</f>
        <v>0</v>
      </c>
      <c r="I1150" s="20" t="n">
        <f aca="false">EXP(LN(INDEX(Pop_Inputs!$B$2:$N$29,MATCH(C1150,Pop_Inputs!$A$2:$A$29,0),G1150))*(1-H1150)+LN(INDEX(Pop_Inputs!$B$2:$N$29,MATCH(C1150,Pop_Inputs!$A$2:$A$29,0),G1150+1))*H1150)</f>
        <v>1511482</v>
      </c>
      <c r="J1150" s="20" t="n">
        <f aca="false">I1150/F1150</f>
        <v>1511482</v>
      </c>
      <c r="K1150" s="21" t="n">
        <f aca="false">D1150/(D1150+E1150)</f>
        <v>0.487654320987654</v>
      </c>
      <c r="L1150" s="21" t="n">
        <f aca="false">AVERAGEIFS($K$2:$K$2705,$B$2:$B$2705,B1150)</f>
        <v>0.499998402474248</v>
      </c>
      <c r="M1150" s="21" t="n">
        <f aca="false">K1150-L1150</f>
        <v>-0.0123440814865936</v>
      </c>
      <c r="N1150" s="21" t="n">
        <f aca="false">LN(J1150)</f>
        <v>14.2286011844308</v>
      </c>
      <c r="O1150" s="21" t="n">
        <f aca="false">AVERAGEIFS($N$2:$N$2705,$B$2:$B$2705,B1150)</f>
        <v>13.7598481058072</v>
      </c>
      <c r="P1150" s="21" t="n">
        <f aca="false">N1150-O1150</f>
        <v>0.468753078623614</v>
      </c>
      <c r="Q1150" s="7" t="n">
        <v>0</v>
      </c>
      <c r="R1150" s="3" t="n">
        <f aca="false">IF(AND(Q1150=1,B1150-_xlfn.MINIFS($B$2:$B$2705,$A$2:$A$2705,A1150)&lt;10),1,0)</f>
        <v>0</v>
      </c>
      <c r="S1150" s="7" t="n">
        <v>0</v>
      </c>
      <c r="T1150" s="3" t="n">
        <f aca="false">_xlfn.MINIFS($B$2:$B$2705,$A$2:$A$2705,A1150)</f>
        <v>1901</v>
      </c>
      <c r="U1150" s="3" t="n">
        <f aca="false">B1150-T1150</f>
        <v>69</v>
      </c>
      <c r="V1150" s="3" t="str">
        <f aca="false">INDEX(Pop_Inputs!$Q$2:$Q$29,MATCH(C1150,Pop_Inputs!$A$2:$A$29,0))</f>
        <v>Midwest</v>
      </c>
      <c r="W1150" s="30"/>
      <c r="X1150" s="3" t="str">
        <f aca="false">IF(W1150="","",LN(W1150))</f>
        <v/>
      </c>
      <c r="Y1150" s="3" t="str">
        <f aca="false">IF(X1150="","",X1150-AVERAGEIFS($X$2:$X$2705,$B$2:$B$2705,B1150))</f>
        <v/>
      </c>
      <c r="Z1150" s="21" t="n">
        <f aca="false">P1150</f>
        <v>0.468753078623614</v>
      </c>
      <c r="AA1150" s="3" t="n">
        <f aca="false">R1150</f>
        <v>0</v>
      </c>
      <c r="AB1150" s="21" t="n">
        <f aca="false">P1150</f>
        <v>0.468753078623614</v>
      </c>
      <c r="AC1150" s="3" t="str">
        <f aca="false">Y1150</f>
        <v/>
      </c>
      <c r="AD1150" s="3" t="n">
        <f aca="false">R1150</f>
        <v>0</v>
      </c>
    </row>
    <row r="1151" customFormat="false" ht="15" hidden="false" customHeight="true" outlineLevel="0" collapsed="false">
      <c r="A1151" s="7" t="s">
        <v>74</v>
      </c>
      <c r="B1151" s="7" t="n">
        <v>1970</v>
      </c>
      <c r="C1151" s="7" t="s">
        <v>156</v>
      </c>
      <c r="D1151" s="7" t="n">
        <v>79</v>
      </c>
      <c r="E1151" s="7" t="n">
        <v>83</v>
      </c>
      <c r="F1151" s="3" t="n">
        <f aca="false">COUNTIFS($B$2:$B$2705,B1151,$C$2:$C$2705,C1151)</f>
        <v>1</v>
      </c>
      <c r="G1151" s="3" t="n">
        <f aca="false">MIN(INT((MIN(B1151,2020)-1900)/10)+1,12)</f>
        <v>8</v>
      </c>
      <c r="H1151" s="3" t="n">
        <f aca="false">(MIN(B1151,2020)-1900-10*(G1151-1))/10</f>
        <v>0</v>
      </c>
      <c r="I1151" s="20" t="n">
        <f aca="false">EXP(LN(INDEX(Pop_Inputs!$B$2:$N$29,MATCH(C1151,Pop_Inputs!$A$2:$A$29,0),G1151))*(1-H1151)+LN(INDEX(Pop_Inputs!$B$2:$N$29,MATCH(C1151,Pop_Inputs!$A$2:$A$29,0),G1151+1))*H1151)</f>
        <v>1232802</v>
      </c>
      <c r="J1151" s="20" t="n">
        <f aca="false">I1151/F1151</f>
        <v>1232802</v>
      </c>
      <c r="K1151" s="21" t="n">
        <f aca="false">D1151/(D1151+E1151)</f>
        <v>0.487654320987654</v>
      </c>
      <c r="L1151" s="21" t="n">
        <f aca="false">AVERAGEIFS($K$2:$K$2705,$B$2:$B$2705,B1151)</f>
        <v>0.499998402474248</v>
      </c>
      <c r="M1151" s="21" t="n">
        <f aca="false">K1151-L1151</f>
        <v>-0.0123440814865936</v>
      </c>
      <c r="N1151" s="21" t="n">
        <f aca="false">LN(J1151)</f>
        <v>14.0248001853099</v>
      </c>
      <c r="O1151" s="21" t="n">
        <f aca="false">AVERAGEIFS($N$2:$N$2705,$B$2:$B$2705,B1151)</f>
        <v>13.7598481058072</v>
      </c>
      <c r="P1151" s="21" t="n">
        <f aca="false">N1151-O1151</f>
        <v>0.264952079502734</v>
      </c>
      <c r="Q1151" s="7" t="n">
        <v>1</v>
      </c>
      <c r="R1151" s="3" t="n">
        <f aca="false">IF(AND(Q1151=1,B1151-_xlfn.MINIFS($B$2:$B$2705,$A$2:$A$2705,A1151)&lt;10),1,0)</f>
        <v>1</v>
      </c>
      <c r="S1151" s="7" t="n">
        <v>0</v>
      </c>
      <c r="T1151" s="3" t="n">
        <f aca="false">_xlfn.MINIFS($B$2:$B$2705,$A$2:$A$2705,A1151)</f>
        <v>1962</v>
      </c>
      <c r="U1151" s="3" t="n">
        <f aca="false">B1151-T1151</f>
        <v>8</v>
      </c>
      <c r="V1151" s="3" t="str">
        <f aca="false">INDEX(Pop_Inputs!$Q$2:$Q$29,MATCH(C1151,Pop_Inputs!$A$2:$A$29,0))</f>
        <v>South</v>
      </c>
      <c r="W1151" s="30"/>
      <c r="X1151" s="3" t="str">
        <f aca="false">IF(W1151="","",LN(W1151))</f>
        <v/>
      </c>
      <c r="Y1151" s="3" t="str">
        <f aca="false">IF(X1151="","",X1151-AVERAGEIFS($X$2:$X$2705,$B$2:$B$2705,B1151))</f>
        <v/>
      </c>
      <c r="Z1151" s="21" t="n">
        <f aca="false">P1151</f>
        <v>0.264952079502734</v>
      </c>
      <c r="AA1151" s="3" t="n">
        <f aca="false">R1151</f>
        <v>1</v>
      </c>
      <c r="AB1151" s="21" t="n">
        <f aca="false">P1151</f>
        <v>0.264952079502734</v>
      </c>
      <c r="AC1151" s="3" t="str">
        <f aca="false">Y1151</f>
        <v/>
      </c>
      <c r="AD1151" s="3" t="n">
        <f aca="false">R1151</f>
        <v>1</v>
      </c>
    </row>
    <row r="1152" customFormat="false" ht="15" hidden="false" customHeight="true" outlineLevel="0" collapsed="false">
      <c r="A1152" s="7" t="s">
        <v>76</v>
      </c>
      <c r="B1152" s="7" t="n">
        <v>1970</v>
      </c>
      <c r="C1152" s="7" t="s">
        <v>157</v>
      </c>
      <c r="D1152" s="7" t="n">
        <v>65</v>
      </c>
      <c r="E1152" s="7" t="n">
        <v>97</v>
      </c>
      <c r="F1152" s="3" t="n">
        <f aca="false">COUNTIFS($B$2:$B$2705,B1152,$C$2:$C$2705,C1152)</f>
        <v>1</v>
      </c>
      <c r="G1152" s="3" t="n">
        <f aca="false">MIN(INT((MIN(B1152,2020)-1900)/10)+1,12)</f>
        <v>8</v>
      </c>
      <c r="H1152" s="3" t="n">
        <f aca="false">(MIN(B1152,2020)-1900-10*(G1152-1))/10</f>
        <v>0</v>
      </c>
      <c r="I1152" s="20" t="n">
        <f aca="false">EXP(LN(INDEX(Pop_Inputs!$B$2:$N$29,MATCH(C1152,Pop_Inputs!$A$2:$A$29,0),G1152))*(1-H1152)+LN(INDEX(Pop_Inputs!$B$2:$N$29,MATCH(C1152,Pop_Inputs!$A$2:$A$29,0),G1152+1))*H1152)</f>
        <v>507087</v>
      </c>
      <c r="J1152" s="20" t="n">
        <f aca="false">I1152/F1152</f>
        <v>507087</v>
      </c>
      <c r="K1152" s="21" t="n">
        <f aca="false">D1152/(D1152+E1152)</f>
        <v>0.401234567901235</v>
      </c>
      <c r="L1152" s="21" t="n">
        <f aca="false">AVERAGEIFS($K$2:$K$2705,$B$2:$B$2705,B1152)</f>
        <v>0.499998402474248</v>
      </c>
      <c r="M1152" s="21" t="n">
        <f aca="false">K1152-L1152</f>
        <v>-0.0987638345730133</v>
      </c>
      <c r="N1152" s="21" t="n">
        <f aca="false">LN(J1152)</f>
        <v>13.1364378654853</v>
      </c>
      <c r="O1152" s="21" t="n">
        <f aca="false">AVERAGEIFS($N$2:$N$2705,$B$2:$B$2705,B1152)</f>
        <v>13.7598481058072</v>
      </c>
      <c r="P1152" s="21" t="n">
        <f aca="false">N1152-O1152</f>
        <v>-0.623410240321894</v>
      </c>
      <c r="Q1152" s="7" t="n">
        <v>1</v>
      </c>
      <c r="R1152" s="3" t="n">
        <f aca="false">IF(AND(Q1152=1,B1152-_xlfn.MINIFS($B$2:$B$2705,$A$2:$A$2705,A1152)&lt;10),1,0)</f>
        <v>1</v>
      </c>
      <c r="S1152" s="7" t="n">
        <v>0</v>
      </c>
      <c r="T1152" s="3" t="n">
        <f aca="false">_xlfn.MINIFS($B$2:$B$2705,$A$2:$A$2705,A1152)</f>
        <v>1969</v>
      </c>
      <c r="U1152" s="3" t="n">
        <f aca="false">B1152-T1152</f>
        <v>1</v>
      </c>
      <c r="V1152" s="3" t="str">
        <f aca="false">INDEX(Pop_Inputs!$Q$2:$Q$29,MATCH(C1152,Pop_Inputs!$A$2:$A$29,0))</f>
        <v>Midwest</v>
      </c>
      <c r="W1152" s="30"/>
      <c r="X1152" s="3" t="str">
        <f aca="false">IF(W1152="","",LN(W1152))</f>
        <v/>
      </c>
      <c r="Y1152" s="3" t="str">
        <f aca="false">IF(X1152="","",X1152-AVERAGEIFS($X$2:$X$2705,$B$2:$B$2705,B1152))</f>
        <v/>
      </c>
      <c r="Z1152" s="21" t="n">
        <f aca="false">P1152</f>
        <v>-0.623410240321894</v>
      </c>
      <c r="AA1152" s="3" t="n">
        <f aca="false">R1152</f>
        <v>1</v>
      </c>
      <c r="AB1152" s="21" t="n">
        <f aca="false">P1152</f>
        <v>-0.623410240321894</v>
      </c>
      <c r="AC1152" s="3" t="str">
        <f aca="false">Y1152</f>
        <v/>
      </c>
      <c r="AD1152" s="3" t="n">
        <f aca="false">R1152</f>
        <v>1</v>
      </c>
    </row>
    <row r="1153" customFormat="false" ht="15" hidden="false" customHeight="true" outlineLevel="0" collapsed="false">
      <c r="A1153" s="7" t="s">
        <v>62</v>
      </c>
      <c r="B1153" s="7" t="n">
        <v>1970</v>
      </c>
      <c r="C1153" s="7" t="s">
        <v>148</v>
      </c>
      <c r="D1153" s="7" t="n">
        <v>87</v>
      </c>
      <c r="E1153" s="7" t="n">
        <v>74</v>
      </c>
      <c r="F1153" s="3" t="n">
        <f aca="false">COUNTIFS($B$2:$B$2705,B1153,$C$2:$C$2705,C1153)</f>
        <v>2</v>
      </c>
      <c r="G1153" s="3" t="n">
        <f aca="false">MIN(INT((MIN(B1153,2020)-1900)/10)+1,12)</f>
        <v>8</v>
      </c>
      <c r="H1153" s="3" t="n">
        <f aca="false">(MIN(B1153,2020)-1900-10*(G1153-1))/10</f>
        <v>0</v>
      </c>
      <c r="I1153" s="20" t="n">
        <f aca="false">EXP(LN(INDEX(Pop_Inputs!$B$2:$N$29,MATCH(C1153,Pop_Inputs!$A$2:$A$29,0),G1153))*(1-H1153)+LN(INDEX(Pop_Inputs!$B$2:$N$29,MATCH(C1153,Pop_Inputs!$A$2:$A$29,0),G1153+1))*H1153)</f>
        <v>2816061</v>
      </c>
      <c r="J1153" s="20" t="n">
        <f aca="false">I1153/F1153</f>
        <v>1408030.5</v>
      </c>
      <c r="K1153" s="21" t="n">
        <f aca="false">D1153/(D1153+E1153)</f>
        <v>0.540372670807453</v>
      </c>
      <c r="L1153" s="21" t="n">
        <f aca="false">AVERAGEIFS($K$2:$K$2705,$B$2:$B$2705,B1153)</f>
        <v>0.499998402474248</v>
      </c>
      <c r="M1153" s="21" t="n">
        <f aca="false">K1153-L1153</f>
        <v>0.0403742683332056</v>
      </c>
      <c r="N1153" s="21" t="n">
        <f aca="false">LN(J1153)</f>
        <v>14.1577024773973</v>
      </c>
      <c r="O1153" s="21" t="n">
        <f aca="false">AVERAGEIFS($N$2:$N$2705,$B$2:$B$2705,B1153)</f>
        <v>13.7598481058072</v>
      </c>
      <c r="P1153" s="21" t="n">
        <f aca="false">N1153-O1153</f>
        <v>0.397854371590167</v>
      </c>
      <c r="Q1153" s="7" t="n">
        <v>0</v>
      </c>
      <c r="R1153" s="3" t="n">
        <f aca="false">IF(AND(Q1153=1,B1153-_xlfn.MINIFS($B$2:$B$2705,$A$2:$A$2705,A1153)&lt;10),1,0)</f>
        <v>0</v>
      </c>
      <c r="S1153" s="7" t="n">
        <v>0</v>
      </c>
      <c r="T1153" s="3" t="n">
        <f aca="false">_xlfn.MINIFS($B$2:$B$2705,$A$2:$A$2705,A1153)</f>
        <v>1901</v>
      </c>
      <c r="U1153" s="3" t="n">
        <f aca="false">B1153-T1153</f>
        <v>69</v>
      </c>
      <c r="V1153" s="3" t="str">
        <f aca="false">INDEX(Pop_Inputs!$Q$2:$Q$29,MATCH(C1153,Pop_Inputs!$A$2:$A$29,0))</f>
        <v>West</v>
      </c>
      <c r="W1153" s="30"/>
      <c r="X1153" s="3" t="str">
        <f aca="false">IF(W1153="","",LN(W1153))</f>
        <v/>
      </c>
      <c r="Y1153" s="3" t="str">
        <f aca="false">IF(X1153="","",X1153-AVERAGEIFS($X$2:$X$2705,$B$2:$B$2705,B1153))</f>
        <v/>
      </c>
      <c r="Z1153" s="21" t="n">
        <f aca="false">P1153</f>
        <v>0.397854371590167</v>
      </c>
      <c r="AA1153" s="3" t="n">
        <f aca="false">R1153</f>
        <v>0</v>
      </c>
      <c r="AB1153" s="21" t="n">
        <f aca="false">P1153</f>
        <v>0.397854371590167</v>
      </c>
      <c r="AC1153" s="3" t="str">
        <f aca="false">Y1153</f>
        <v/>
      </c>
      <c r="AD1153" s="3" t="n">
        <f aca="false">R1153</f>
        <v>0</v>
      </c>
    </row>
    <row r="1154" customFormat="false" ht="15" hidden="false" customHeight="true" outlineLevel="0" collapsed="false">
      <c r="A1154" s="7" t="s">
        <v>77</v>
      </c>
      <c r="B1154" s="7" t="n">
        <v>1970</v>
      </c>
      <c r="C1154" s="7" t="s">
        <v>158</v>
      </c>
      <c r="D1154" s="7" t="n">
        <v>65</v>
      </c>
      <c r="E1154" s="7" t="n">
        <v>97</v>
      </c>
      <c r="F1154" s="3" t="n">
        <f aca="false">COUNTIFS($B$2:$B$2705,B1154,$C$2:$C$2705,C1154)</f>
        <v>1</v>
      </c>
      <c r="G1154" s="3" t="n">
        <f aca="false">MIN(INT((MIN(B1154,2020)-1900)/10)+1,12)</f>
        <v>8</v>
      </c>
      <c r="H1154" s="3" t="n">
        <f aca="false">(MIN(B1154,2020)-1900-10*(G1154-1))/10</f>
        <v>0</v>
      </c>
      <c r="I1154" s="20" t="n">
        <f aca="false">EXP(LN(INDEX(Pop_Inputs!$B$2:$N$29,MATCH(C1154,Pop_Inputs!$A$2:$A$29,0),G1154))*(1-H1154)+LN(INDEX(Pop_Inputs!$B$2:$N$29,MATCH(C1154,Pop_Inputs!$A$2:$A$29,0),G1154+1))*H1154)</f>
        <v>717099</v>
      </c>
      <c r="J1154" s="20" t="n">
        <f aca="false">I1154/F1154</f>
        <v>717099</v>
      </c>
      <c r="K1154" s="21" t="n">
        <f aca="false">D1154/(D1154+E1154)</f>
        <v>0.401234567901235</v>
      </c>
      <c r="L1154" s="21" t="n">
        <f aca="false">AVERAGEIFS($K$2:$K$2705,$B$2:$B$2705,B1154)</f>
        <v>0.499998402474248</v>
      </c>
      <c r="M1154" s="21" t="n">
        <f aca="false">K1154-L1154</f>
        <v>-0.0987638345730133</v>
      </c>
      <c r="N1154" s="21" t="n">
        <f aca="false">LN(J1154)</f>
        <v>13.482969185364</v>
      </c>
      <c r="O1154" s="21" t="n">
        <f aca="false">AVERAGEIFS($N$2:$N$2705,$B$2:$B$2705,B1154)</f>
        <v>13.7598481058072</v>
      </c>
      <c r="P1154" s="21" t="n">
        <f aca="false">N1154-O1154</f>
        <v>-0.276878920443114</v>
      </c>
      <c r="Q1154" s="7" t="n">
        <v>1</v>
      </c>
      <c r="R1154" s="3" t="n">
        <f aca="false">IF(AND(Q1154=1,B1154-_xlfn.MINIFS($B$2:$B$2705,$A$2:$A$2705,A1154)&lt;10),1,0)</f>
        <v>1</v>
      </c>
      <c r="S1154" s="7" t="n">
        <v>0</v>
      </c>
      <c r="T1154" s="3" t="n">
        <f aca="false">_xlfn.MINIFS($B$2:$B$2705,$A$2:$A$2705,A1154)</f>
        <v>1969</v>
      </c>
      <c r="U1154" s="3" t="n">
        <f aca="false">B1154-T1154</f>
        <v>1</v>
      </c>
      <c r="V1154" s="3" t="str">
        <f aca="false">INDEX(Pop_Inputs!$Q$2:$Q$29,MATCH(C1154,Pop_Inputs!$A$2:$A$29,0))</f>
        <v>Midwest</v>
      </c>
      <c r="W1154" s="30"/>
      <c r="X1154" s="3" t="str">
        <f aca="false">IF(W1154="","",LN(W1154))</f>
        <v/>
      </c>
      <c r="Y1154" s="3" t="str">
        <f aca="false">IF(X1154="","",X1154-AVERAGEIFS($X$2:$X$2705,$B$2:$B$2705,B1154))</f>
        <v/>
      </c>
      <c r="Z1154" s="21" t="n">
        <f aca="false">P1154</f>
        <v>-0.276878920443114</v>
      </c>
      <c r="AA1154" s="3" t="n">
        <f aca="false">R1154</f>
        <v>1</v>
      </c>
      <c r="AB1154" s="21" t="n">
        <f aca="false">P1154</f>
        <v>-0.276878920443114</v>
      </c>
      <c r="AC1154" s="3" t="str">
        <f aca="false">Y1154</f>
        <v/>
      </c>
      <c r="AD1154" s="3" t="n">
        <f aca="false">R1154</f>
        <v>1</v>
      </c>
    </row>
    <row r="1155" customFormat="false" ht="15" hidden="false" customHeight="true" outlineLevel="0" collapsed="false">
      <c r="A1155" s="7" t="s">
        <v>68</v>
      </c>
      <c r="B1155" s="7" t="n">
        <v>1970</v>
      </c>
      <c r="C1155" s="7" t="s">
        <v>153</v>
      </c>
      <c r="D1155" s="7" t="n">
        <v>98</v>
      </c>
      <c r="E1155" s="7" t="n">
        <v>64</v>
      </c>
      <c r="F1155" s="3" t="n">
        <f aca="false">COUNTIFS($B$2:$B$2705,B1155,$C$2:$C$2705,C1155)</f>
        <v>1</v>
      </c>
      <c r="G1155" s="3" t="n">
        <f aca="false">MIN(INT((MIN(B1155,2020)-1900)/10)+1,12)</f>
        <v>8</v>
      </c>
      <c r="H1155" s="3" t="n">
        <f aca="false">(MIN(B1155,2020)-1900-10*(G1155-1))/10</f>
        <v>0</v>
      </c>
      <c r="I1155" s="20" t="n">
        <f aca="false">EXP(LN(INDEX(Pop_Inputs!$B$2:$N$29,MATCH(C1155,Pop_Inputs!$A$2:$A$29,0),G1155))*(1-H1155)+LN(INDEX(Pop_Inputs!$B$2:$N$29,MATCH(C1155,Pop_Inputs!$A$2:$A$29,0),G1155+1))*H1155)</f>
        <v>434400</v>
      </c>
      <c r="J1155" s="20" t="n">
        <f aca="false">I1155/F1155</f>
        <v>434400</v>
      </c>
      <c r="K1155" s="21" t="n">
        <f aca="false">D1155/(D1155+E1155)</f>
        <v>0.604938271604938</v>
      </c>
      <c r="L1155" s="21" t="n">
        <f aca="false">AVERAGEIFS($K$2:$K$2705,$B$2:$B$2705,B1155)</f>
        <v>0.499998402474248</v>
      </c>
      <c r="M1155" s="21" t="n">
        <f aca="false">K1155-L1155</f>
        <v>0.10493986913069</v>
      </c>
      <c r="N1155" s="21" t="n">
        <f aca="false">LN(J1155)</f>
        <v>12.9817210476019</v>
      </c>
      <c r="O1155" s="21" t="n">
        <f aca="false">AVERAGEIFS($N$2:$N$2705,$B$2:$B$2705,B1155)</f>
        <v>13.7598481058072</v>
      </c>
      <c r="P1155" s="21" t="n">
        <f aca="false">N1155-O1155</f>
        <v>-0.778127058205298</v>
      </c>
      <c r="Q1155" s="7" t="n">
        <v>0</v>
      </c>
      <c r="R1155" s="3" t="n">
        <f aca="false">IF(AND(Q1155=1,B1155-_xlfn.MINIFS($B$2:$B$2705,$A$2:$A$2705,A1155)&lt;10),1,0)</f>
        <v>0</v>
      </c>
      <c r="S1155" s="7" t="n">
        <v>0</v>
      </c>
      <c r="T1155" s="3" t="n">
        <f aca="false">_xlfn.MINIFS($B$2:$B$2705,$A$2:$A$2705,A1155)</f>
        <v>1901</v>
      </c>
      <c r="U1155" s="3" t="n">
        <f aca="false">B1155-T1155</f>
        <v>69</v>
      </c>
      <c r="V1155" s="3" t="str">
        <f aca="false">INDEX(Pop_Inputs!$Q$2:$Q$29,MATCH(C1155,Pop_Inputs!$A$2:$A$29,0))</f>
        <v>Midwest</v>
      </c>
      <c r="W1155" s="30"/>
      <c r="X1155" s="3" t="str">
        <f aca="false">IF(W1155="","",LN(W1155))</f>
        <v/>
      </c>
      <c r="Y1155" s="3" t="str">
        <f aca="false">IF(X1155="","",X1155-AVERAGEIFS($X$2:$X$2705,$B$2:$B$2705,B1155))</f>
        <v/>
      </c>
      <c r="Z1155" s="21" t="n">
        <f aca="false">P1155</f>
        <v>-0.778127058205298</v>
      </c>
      <c r="AA1155" s="3" t="n">
        <f aca="false">R1155</f>
        <v>0</v>
      </c>
      <c r="AB1155" s="21" t="n">
        <f aca="false">P1155</f>
        <v>-0.778127058205298</v>
      </c>
      <c r="AC1155" s="3" t="str">
        <f aca="false">Y1155</f>
        <v/>
      </c>
      <c r="AD1155" s="3" t="n">
        <f aca="false">R1155</f>
        <v>0</v>
      </c>
    </row>
    <row r="1156" customFormat="false" ht="15" hidden="false" customHeight="true" outlineLevel="0" collapsed="false">
      <c r="A1156" s="7" t="s">
        <v>75</v>
      </c>
      <c r="B1156" s="7" t="n">
        <v>1970</v>
      </c>
      <c r="C1156" s="7" t="s">
        <v>154</v>
      </c>
      <c r="D1156" s="7" t="n">
        <v>83</v>
      </c>
      <c r="E1156" s="7" t="n">
        <v>79</v>
      </c>
      <c r="F1156" s="3" t="n">
        <f aca="false">COUNTIFS($B$2:$B$2705,B1156,$C$2:$C$2705,C1156)</f>
        <v>2</v>
      </c>
      <c r="G1156" s="3" t="n">
        <f aca="false">MIN(INT((MIN(B1156,2020)-1900)/10)+1,12)</f>
        <v>8</v>
      </c>
      <c r="H1156" s="3" t="n">
        <f aca="false">(MIN(B1156,2020)-1900-10*(G1156-1))/10</f>
        <v>0</v>
      </c>
      <c r="I1156" s="20" t="n">
        <f aca="false">EXP(LN(INDEX(Pop_Inputs!$B$2:$N$29,MATCH(C1156,Pop_Inputs!$A$2:$A$29,0),G1156))*(1-H1156)+LN(INDEX(Pop_Inputs!$B$2:$N$29,MATCH(C1156,Pop_Inputs!$A$2:$A$29,0),G1156+1))*H1156)</f>
        <v>7894862</v>
      </c>
      <c r="J1156" s="20" t="n">
        <f aca="false">I1156/F1156</f>
        <v>3947431</v>
      </c>
      <c r="K1156" s="21" t="n">
        <f aca="false">D1156/(D1156+E1156)</f>
        <v>0.512345679012346</v>
      </c>
      <c r="L1156" s="21" t="n">
        <f aca="false">AVERAGEIFS($K$2:$K$2705,$B$2:$B$2705,B1156)</f>
        <v>0.499998402474248</v>
      </c>
      <c r="M1156" s="21" t="n">
        <f aca="false">K1156-L1156</f>
        <v>0.0123472765380979</v>
      </c>
      <c r="N1156" s="21" t="n">
        <f aca="false">LN(J1156)</f>
        <v>15.1885755455418</v>
      </c>
      <c r="O1156" s="21" t="n">
        <f aca="false">AVERAGEIFS($N$2:$N$2705,$B$2:$B$2705,B1156)</f>
        <v>13.7598481058072</v>
      </c>
      <c r="P1156" s="21" t="n">
        <f aca="false">N1156-O1156</f>
        <v>1.42872743973465</v>
      </c>
      <c r="Q1156" s="7" t="n">
        <v>1</v>
      </c>
      <c r="R1156" s="3" t="n">
        <f aca="false">IF(AND(Q1156=1,B1156-_xlfn.MINIFS($B$2:$B$2705,$A$2:$A$2705,A1156)&lt;10),1,0)</f>
        <v>1</v>
      </c>
      <c r="S1156" s="7" t="n">
        <v>0</v>
      </c>
      <c r="T1156" s="3" t="n">
        <f aca="false">_xlfn.MINIFS($B$2:$B$2705,$A$2:$A$2705,A1156)</f>
        <v>1962</v>
      </c>
      <c r="U1156" s="3" t="n">
        <f aca="false">B1156-T1156</f>
        <v>8</v>
      </c>
      <c r="V1156" s="3" t="str">
        <f aca="false">INDEX(Pop_Inputs!$Q$2:$Q$29,MATCH(C1156,Pop_Inputs!$A$2:$A$29,0))</f>
        <v>Northeast</v>
      </c>
      <c r="W1156" s="30"/>
      <c r="X1156" s="3" t="str">
        <f aca="false">IF(W1156="","",LN(W1156))</f>
        <v/>
      </c>
      <c r="Y1156" s="3" t="str">
        <f aca="false">IF(X1156="","",X1156-AVERAGEIFS($X$2:$X$2705,$B$2:$B$2705,B1156))</f>
        <v/>
      </c>
      <c r="Z1156" s="21" t="n">
        <f aca="false">P1156</f>
        <v>1.42872743973465</v>
      </c>
      <c r="AA1156" s="3" t="n">
        <f aca="false">R1156</f>
        <v>1</v>
      </c>
      <c r="AB1156" s="21" t="n">
        <f aca="false">P1156</f>
        <v>1.42872743973465</v>
      </c>
      <c r="AC1156" s="3" t="str">
        <f aca="false">Y1156</f>
        <v/>
      </c>
      <c r="AD1156" s="3" t="n">
        <f aca="false">R1156</f>
        <v>1</v>
      </c>
    </row>
    <row r="1157" customFormat="false" ht="15" hidden="false" customHeight="true" outlineLevel="0" collapsed="false">
      <c r="A1157" s="7" t="s">
        <v>70</v>
      </c>
      <c r="B1157" s="7" t="n">
        <v>1970</v>
      </c>
      <c r="C1157" s="7" t="s">
        <v>154</v>
      </c>
      <c r="D1157" s="7" t="n">
        <v>93</v>
      </c>
      <c r="E1157" s="7" t="n">
        <v>69</v>
      </c>
      <c r="F1157" s="3" t="n">
        <f aca="false">COUNTIFS($B$2:$B$2705,B1157,$C$2:$C$2705,C1157)</f>
        <v>2</v>
      </c>
      <c r="G1157" s="3" t="n">
        <f aca="false">MIN(INT((MIN(B1157,2020)-1900)/10)+1,12)</f>
        <v>8</v>
      </c>
      <c r="H1157" s="3" t="n">
        <f aca="false">(MIN(B1157,2020)-1900-10*(G1157-1))/10</f>
        <v>0</v>
      </c>
      <c r="I1157" s="20" t="n">
        <f aca="false">EXP(LN(INDEX(Pop_Inputs!$B$2:$N$29,MATCH(C1157,Pop_Inputs!$A$2:$A$29,0),G1157))*(1-H1157)+LN(INDEX(Pop_Inputs!$B$2:$N$29,MATCH(C1157,Pop_Inputs!$A$2:$A$29,0),G1157+1))*H1157)</f>
        <v>7894862</v>
      </c>
      <c r="J1157" s="20" t="n">
        <f aca="false">I1157/F1157</f>
        <v>3947431</v>
      </c>
      <c r="K1157" s="21" t="n">
        <f aca="false">D1157/(D1157+E1157)</f>
        <v>0.574074074074074</v>
      </c>
      <c r="L1157" s="21" t="n">
        <f aca="false">AVERAGEIFS($K$2:$K$2705,$B$2:$B$2705,B1157)</f>
        <v>0.499998402474248</v>
      </c>
      <c r="M1157" s="21" t="n">
        <f aca="false">K1157-L1157</f>
        <v>0.0740756715998262</v>
      </c>
      <c r="N1157" s="21" t="n">
        <f aca="false">LN(J1157)</f>
        <v>15.1885755455418</v>
      </c>
      <c r="O1157" s="21" t="n">
        <f aca="false">AVERAGEIFS($N$2:$N$2705,$B$2:$B$2705,B1157)</f>
        <v>13.7598481058072</v>
      </c>
      <c r="P1157" s="21" t="n">
        <f aca="false">N1157-O1157</f>
        <v>1.42872743973465</v>
      </c>
      <c r="Q1157" s="7" t="n">
        <v>0</v>
      </c>
      <c r="R1157" s="3" t="n">
        <f aca="false">IF(AND(Q1157=1,B1157-_xlfn.MINIFS($B$2:$B$2705,$A$2:$A$2705,A1157)&lt;10),1,0)</f>
        <v>0</v>
      </c>
      <c r="S1157" s="7" t="n">
        <v>1</v>
      </c>
      <c r="T1157" s="3" t="n">
        <f aca="false">_xlfn.MINIFS($B$2:$B$2705,$A$2:$A$2705,A1157)</f>
        <v>1903</v>
      </c>
      <c r="U1157" s="3" t="n">
        <f aca="false">B1157-T1157</f>
        <v>67</v>
      </c>
      <c r="V1157" s="3" t="str">
        <f aca="false">INDEX(Pop_Inputs!$Q$2:$Q$29,MATCH(C1157,Pop_Inputs!$A$2:$A$29,0))</f>
        <v>Northeast</v>
      </c>
      <c r="W1157" s="30"/>
      <c r="X1157" s="3" t="str">
        <f aca="false">IF(W1157="","",LN(W1157))</f>
        <v/>
      </c>
      <c r="Y1157" s="3" t="str">
        <f aca="false">IF(X1157="","",X1157-AVERAGEIFS($X$2:$X$2705,$B$2:$B$2705,B1157))</f>
        <v/>
      </c>
      <c r="Z1157" s="21" t="n">
        <f aca="false">P1157</f>
        <v>1.42872743973465</v>
      </c>
      <c r="AA1157" s="3" t="n">
        <f aca="false">R1157</f>
        <v>0</v>
      </c>
      <c r="AB1157" s="21" t="n">
        <f aca="false">P1157</f>
        <v>1.42872743973465</v>
      </c>
      <c r="AC1157" s="3" t="str">
        <f aca="false">Y1157</f>
        <v/>
      </c>
      <c r="AD1157" s="3" t="n">
        <f aca="false">R1157</f>
        <v>0</v>
      </c>
    </row>
    <row r="1158" customFormat="false" ht="15" hidden="false" customHeight="true" outlineLevel="0" collapsed="false">
      <c r="A1158" s="7" t="s">
        <v>69</v>
      </c>
      <c r="B1158" s="7" t="n">
        <v>1970</v>
      </c>
      <c r="C1158" s="7" t="s">
        <v>253</v>
      </c>
      <c r="D1158" s="7" t="n">
        <v>89</v>
      </c>
      <c r="E1158" s="7" t="n">
        <v>73</v>
      </c>
      <c r="F1158" s="3" t="n">
        <f aca="false">COUNTIFS($B$2:$B$2705,B1158,$C$2:$C$2705,C1158)</f>
        <v>1</v>
      </c>
      <c r="G1158" s="3" t="n">
        <f aca="false">MIN(INT((MIN(B1158,2020)-1900)/10)+1,12)</f>
        <v>8</v>
      </c>
      <c r="H1158" s="3" t="n">
        <f aca="false">(MIN(B1158,2020)-1900-10*(G1158-1))/10</f>
        <v>0</v>
      </c>
      <c r="I1158" s="20" t="n">
        <f aca="false">EXP(LN(INDEX(Pop_Inputs!$B$2:$N$29,MATCH(C1158,Pop_Inputs!$A$2:$A$29,0),G1158))*(1-H1158)+LN(INDEX(Pop_Inputs!$B$2:$N$29,MATCH(C1158,Pop_Inputs!$A$2:$A$29,0),G1158+1))*H1158)</f>
        <v>361561</v>
      </c>
      <c r="J1158" s="20" t="n">
        <f aca="false">I1158/F1158</f>
        <v>361561</v>
      </c>
      <c r="K1158" s="21" t="n">
        <f aca="false">D1158/(D1158+E1158)</f>
        <v>0.549382716049383</v>
      </c>
      <c r="L1158" s="21" t="n">
        <f aca="false">AVERAGEIFS($K$2:$K$2705,$B$2:$B$2705,B1158)</f>
        <v>0.499998402474248</v>
      </c>
      <c r="M1158" s="21" t="n">
        <f aca="false">K1158-L1158</f>
        <v>0.0493843135751348</v>
      </c>
      <c r="N1158" s="21" t="n">
        <f aca="false">LN(J1158)</f>
        <v>12.7981860477012</v>
      </c>
      <c r="O1158" s="21" t="n">
        <f aca="false">AVERAGEIFS($N$2:$N$2705,$B$2:$B$2705,B1158)</f>
        <v>13.7598481058072</v>
      </c>
      <c r="P1158" s="21" t="n">
        <f aca="false">N1158-O1158</f>
        <v>-0.961662058105961</v>
      </c>
      <c r="Q1158" s="7" t="n">
        <v>0</v>
      </c>
      <c r="R1158" s="3" t="n">
        <f aca="false">IF(AND(Q1158=1,B1158-_xlfn.MINIFS($B$2:$B$2705,$A$2:$A$2705,A1158)&lt;10),1,0)</f>
        <v>0</v>
      </c>
      <c r="S1158" s="7" t="n">
        <v>0</v>
      </c>
      <c r="T1158" s="3" t="n">
        <f aca="false">_xlfn.MINIFS($B$2:$B$2705,$A$2:$A$2705,A1158)</f>
        <v>1901</v>
      </c>
      <c r="U1158" s="3" t="n">
        <f aca="false">B1158-T1158</f>
        <v>69</v>
      </c>
      <c r="V1158" s="3" t="str">
        <f aca="false">INDEX(Pop_Inputs!$Q$2:$Q$29,MATCH(C1158,Pop_Inputs!$A$2:$A$29,0))</f>
        <v>West</v>
      </c>
      <c r="W1158" s="30"/>
      <c r="X1158" s="3" t="str">
        <f aca="false">IF(W1158="","",LN(W1158))</f>
        <v/>
      </c>
      <c r="Y1158" s="3" t="str">
        <f aca="false">IF(X1158="","",X1158-AVERAGEIFS($X$2:$X$2705,$B$2:$B$2705,B1158))</f>
        <v/>
      </c>
      <c r="Z1158" s="21" t="n">
        <f aca="false">P1158</f>
        <v>-0.961662058105961</v>
      </c>
      <c r="AA1158" s="3" t="n">
        <f aca="false">R1158</f>
        <v>0</v>
      </c>
      <c r="AB1158" s="21" t="n">
        <f aca="false">P1158</f>
        <v>-0.961662058105961</v>
      </c>
      <c r="AC1158" s="3" t="str">
        <f aca="false">Y1158</f>
        <v/>
      </c>
      <c r="AD1158" s="3" t="n">
        <f aca="false">R1158</f>
        <v>0</v>
      </c>
    </row>
    <row r="1159" customFormat="false" ht="15" hidden="false" customHeight="true" outlineLevel="0" collapsed="false">
      <c r="A1159" s="7" t="s">
        <v>60</v>
      </c>
      <c r="B1159" s="7" t="n">
        <v>1970</v>
      </c>
      <c r="C1159" s="7" t="s">
        <v>146</v>
      </c>
      <c r="D1159" s="7" t="n">
        <v>73</v>
      </c>
      <c r="E1159" s="7" t="n">
        <v>88</v>
      </c>
      <c r="F1159" s="3" t="n">
        <f aca="false">COUNTIFS($B$2:$B$2705,B1159,$C$2:$C$2705,C1159)</f>
        <v>1</v>
      </c>
      <c r="G1159" s="3" t="n">
        <f aca="false">MIN(INT((MIN(B1159,2020)-1900)/10)+1,12)</f>
        <v>8</v>
      </c>
      <c r="H1159" s="3" t="n">
        <f aca="false">(MIN(B1159,2020)-1900-10*(G1159-1))/10</f>
        <v>0</v>
      </c>
      <c r="I1159" s="20" t="n">
        <f aca="false">EXP(LN(INDEX(Pop_Inputs!$B$2:$N$29,MATCH(C1159,Pop_Inputs!$A$2:$A$29,0),G1159))*(1-H1159)+LN(INDEX(Pop_Inputs!$B$2:$N$29,MATCH(C1159,Pop_Inputs!$A$2:$A$29,0),G1159+1))*H1159)</f>
        <v>1948609</v>
      </c>
      <c r="J1159" s="20" t="n">
        <f aca="false">I1159/F1159</f>
        <v>1948609</v>
      </c>
      <c r="K1159" s="21" t="n">
        <f aca="false">D1159/(D1159+E1159)</f>
        <v>0.453416149068323</v>
      </c>
      <c r="L1159" s="21" t="n">
        <f aca="false">AVERAGEIFS($K$2:$K$2705,$B$2:$B$2705,B1159)</f>
        <v>0.499998402474248</v>
      </c>
      <c r="M1159" s="21" t="n">
        <f aca="false">K1159-L1159</f>
        <v>-0.0465822534059249</v>
      </c>
      <c r="N1159" s="21" t="n">
        <f aca="false">LN(J1159)</f>
        <v>14.4826263426633</v>
      </c>
      <c r="O1159" s="21" t="n">
        <f aca="false">AVERAGEIFS($N$2:$N$2705,$B$2:$B$2705,B1159)</f>
        <v>13.7598481058072</v>
      </c>
      <c r="P1159" s="21" t="n">
        <f aca="false">N1159-O1159</f>
        <v>0.722778236856158</v>
      </c>
      <c r="Q1159" s="7" t="n">
        <v>0</v>
      </c>
      <c r="R1159" s="3" t="n">
        <f aca="false">IF(AND(Q1159=1,B1159-_xlfn.MINIFS($B$2:$B$2705,$A$2:$A$2705,A1159)&lt;10),1,0)</f>
        <v>0</v>
      </c>
      <c r="S1159" s="7" t="n">
        <v>0</v>
      </c>
      <c r="T1159" s="3" t="n">
        <f aca="false">_xlfn.MINIFS($B$2:$B$2705,$A$2:$A$2705,A1159)</f>
        <v>1901</v>
      </c>
      <c r="U1159" s="3" t="n">
        <f aca="false">B1159-T1159</f>
        <v>69</v>
      </c>
      <c r="V1159" s="3" t="str">
        <f aca="false">INDEX(Pop_Inputs!$Q$2:$Q$29,MATCH(C1159,Pop_Inputs!$A$2:$A$29,0))</f>
        <v>Northeast</v>
      </c>
      <c r="W1159" s="30"/>
      <c r="X1159" s="3" t="str">
        <f aca="false">IF(W1159="","",LN(W1159))</f>
        <v/>
      </c>
      <c r="Y1159" s="3" t="str">
        <f aca="false">IF(X1159="","",X1159-AVERAGEIFS($X$2:$X$2705,$B$2:$B$2705,B1159))</f>
        <v/>
      </c>
      <c r="Z1159" s="21" t="n">
        <f aca="false">P1159</f>
        <v>0.722778236856158</v>
      </c>
      <c r="AA1159" s="3" t="n">
        <f aca="false">R1159</f>
        <v>0</v>
      </c>
      <c r="AB1159" s="21" t="n">
        <f aca="false">P1159</f>
        <v>0.722778236856158</v>
      </c>
      <c r="AC1159" s="3" t="str">
        <f aca="false">Y1159</f>
        <v/>
      </c>
      <c r="AD1159" s="3" t="n">
        <f aca="false">R1159</f>
        <v>0</v>
      </c>
    </row>
    <row r="1160" customFormat="false" ht="15" hidden="false" customHeight="true" outlineLevel="0" collapsed="false">
      <c r="A1160" s="7" t="s">
        <v>58</v>
      </c>
      <c r="B1160" s="7" t="n">
        <v>1970</v>
      </c>
      <c r="C1160" s="7" t="s">
        <v>144</v>
      </c>
      <c r="D1160" s="7" t="n">
        <v>89</v>
      </c>
      <c r="E1160" s="7" t="n">
        <v>73</v>
      </c>
      <c r="F1160" s="3" t="n">
        <f aca="false">COUNTIFS($B$2:$B$2705,B1160,$C$2:$C$2705,C1160)</f>
        <v>1</v>
      </c>
      <c r="G1160" s="3" t="n">
        <f aca="false">MIN(INT((MIN(B1160,2020)-1900)/10)+1,12)</f>
        <v>8</v>
      </c>
      <c r="H1160" s="3" t="n">
        <f aca="false">(MIN(B1160,2020)-1900-10*(G1160-1))/10</f>
        <v>0</v>
      </c>
      <c r="I1160" s="20" t="n">
        <f aca="false">EXP(LN(INDEX(Pop_Inputs!$B$2:$N$29,MATCH(C1160,Pop_Inputs!$A$2:$A$29,0),G1160))*(1-H1160)+LN(INDEX(Pop_Inputs!$B$2:$N$29,MATCH(C1160,Pop_Inputs!$A$2:$A$29,0),G1160+1))*H1160)</f>
        <v>520117</v>
      </c>
      <c r="J1160" s="20" t="n">
        <f aca="false">I1160/F1160</f>
        <v>520117</v>
      </c>
      <c r="K1160" s="21" t="n">
        <f aca="false">D1160/(D1160+E1160)</f>
        <v>0.549382716049383</v>
      </c>
      <c r="L1160" s="21" t="n">
        <f aca="false">AVERAGEIFS($K$2:$K$2705,$B$2:$B$2705,B1160)</f>
        <v>0.499998402474248</v>
      </c>
      <c r="M1160" s="21" t="n">
        <f aca="false">K1160-L1160</f>
        <v>0.0493843135751348</v>
      </c>
      <c r="N1160" s="21" t="n">
        <f aca="false">LN(J1160)</f>
        <v>13.1618090652489</v>
      </c>
      <c r="O1160" s="21" t="n">
        <f aca="false">AVERAGEIFS($N$2:$N$2705,$B$2:$B$2705,B1160)</f>
        <v>13.7598481058072</v>
      </c>
      <c r="P1160" s="21" t="n">
        <f aca="false">N1160-O1160</f>
        <v>-0.598039040558254</v>
      </c>
      <c r="Q1160" s="7" t="n">
        <v>0</v>
      </c>
      <c r="R1160" s="3" t="n">
        <f aca="false">IF(AND(Q1160=1,B1160-_xlfn.MINIFS($B$2:$B$2705,$A$2:$A$2705,A1160)&lt;10),1,0)</f>
        <v>0</v>
      </c>
      <c r="S1160" s="7" t="n">
        <v>0</v>
      </c>
      <c r="T1160" s="3" t="n">
        <f aca="false">_xlfn.MINIFS($B$2:$B$2705,$A$2:$A$2705,A1160)</f>
        <v>1901</v>
      </c>
      <c r="U1160" s="3" t="n">
        <f aca="false">B1160-T1160</f>
        <v>69</v>
      </c>
      <c r="V1160" s="3" t="str">
        <f aca="false">INDEX(Pop_Inputs!$Q$2:$Q$29,MATCH(C1160,Pop_Inputs!$A$2:$A$29,0))</f>
        <v>Northeast</v>
      </c>
      <c r="W1160" s="30"/>
      <c r="X1160" s="3" t="str">
        <f aca="false">IF(W1160="","",LN(W1160))</f>
        <v/>
      </c>
      <c r="Y1160" s="3" t="str">
        <f aca="false">IF(X1160="","",X1160-AVERAGEIFS($X$2:$X$2705,$B$2:$B$2705,B1160))</f>
        <v/>
      </c>
      <c r="Z1160" s="21" t="n">
        <f aca="false">P1160</f>
        <v>-0.598039040558254</v>
      </c>
      <c r="AA1160" s="3" t="n">
        <f aca="false">R1160</f>
        <v>0</v>
      </c>
      <c r="AB1160" s="21" t="n">
        <f aca="false">P1160</f>
        <v>-0.598039040558254</v>
      </c>
      <c r="AC1160" s="3" t="str">
        <f aca="false">Y1160</f>
        <v/>
      </c>
      <c r="AD1160" s="3" t="n">
        <f aca="false">R1160</f>
        <v>0</v>
      </c>
    </row>
    <row r="1161" customFormat="false" ht="15" hidden="false" customHeight="true" outlineLevel="0" collapsed="false">
      <c r="A1161" s="7" t="s">
        <v>78</v>
      </c>
      <c r="B1161" s="7" t="n">
        <v>1970</v>
      </c>
      <c r="C1161" s="7" t="s">
        <v>159</v>
      </c>
      <c r="D1161" s="7" t="n">
        <v>63</v>
      </c>
      <c r="E1161" s="7" t="n">
        <v>99</v>
      </c>
      <c r="F1161" s="3" t="n">
        <f aca="false">COUNTIFS($B$2:$B$2705,B1161,$C$2:$C$2705,C1161)</f>
        <v>1</v>
      </c>
      <c r="G1161" s="3" t="n">
        <f aca="false">MIN(INT((MIN(B1161,2020)-1900)/10)+1,12)</f>
        <v>8</v>
      </c>
      <c r="H1161" s="3" t="n">
        <f aca="false">(MIN(B1161,2020)-1900-10*(G1161-1))/10</f>
        <v>0</v>
      </c>
      <c r="I1161" s="20" t="n">
        <f aca="false">EXP(LN(INDEX(Pop_Inputs!$B$2:$N$29,MATCH(C1161,Pop_Inputs!$A$2:$A$29,0),G1161))*(1-H1161)+LN(INDEX(Pop_Inputs!$B$2:$N$29,MATCH(C1161,Pop_Inputs!$A$2:$A$29,0),G1161+1))*H1161)</f>
        <v>696769</v>
      </c>
      <c r="J1161" s="20" t="n">
        <f aca="false">I1161/F1161</f>
        <v>696769</v>
      </c>
      <c r="K1161" s="21" t="n">
        <f aca="false">D1161/(D1161+E1161)</f>
        <v>0.388888888888889</v>
      </c>
      <c r="L1161" s="21" t="n">
        <f aca="false">AVERAGEIFS($K$2:$K$2705,$B$2:$B$2705,B1161)</f>
        <v>0.499998402474248</v>
      </c>
      <c r="M1161" s="21" t="n">
        <f aca="false">K1161-L1161</f>
        <v>-0.111109513585359</v>
      </c>
      <c r="N1161" s="21" t="n">
        <f aca="false">LN(J1161)</f>
        <v>13.4542092144378</v>
      </c>
      <c r="O1161" s="21" t="n">
        <f aca="false">AVERAGEIFS($N$2:$N$2705,$B$2:$B$2705,B1161)</f>
        <v>13.7598481058072</v>
      </c>
      <c r="P1161" s="21" t="n">
        <f aca="false">N1161-O1161</f>
        <v>-0.305638891369396</v>
      </c>
      <c r="Q1161" s="7" t="n">
        <v>1</v>
      </c>
      <c r="R1161" s="3" t="n">
        <f aca="false">IF(AND(Q1161=1,B1161-_xlfn.MINIFS($B$2:$B$2705,$A$2:$A$2705,A1161)&lt;10),1,0)</f>
        <v>1</v>
      </c>
      <c r="S1161" s="7" t="n">
        <v>0</v>
      </c>
      <c r="T1161" s="3" t="n">
        <f aca="false">_xlfn.MINIFS($B$2:$B$2705,$A$2:$A$2705,A1161)</f>
        <v>1969</v>
      </c>
      <c r="U1161" s="3" t="n">
        <f aca="false">B1161-T1161</f>
        <v>1</v>
      </c>
      <c r="V1161" s="3" t="str">
        <f aca="false">INDEX(Pop_Inputs!$Q$2:$Q$29,MATCH(C1161,Pop_Inputs!$A$2:$A$29,0))</f>
        <v>West</v>
      </c>
      <c r="W1161" s="30"/>
      <c r="X1161" s="3" t="str">
        <f aca="false">IF(W1161="","",LN(W1161))</f>
        <v/>
      </c>
      <c r="Y1161" s="3" t="str">
        <f aca="false">IF(X1161="","",X1161-AVERAGEIFS($X$2:$X$2705,$B$2:$B$2705,B1161))</f>
        <v/>
      </c>
      <c r="Z1161" s="21" t="n">
        <f aca="false">P1161</f>
        <v>-0.305638891369396</v>
      </c>
      <c r="AA1161" s="3" t="n">
        <f aca="false">R1161</f>
        <v>1</v>
      </c>
      <c r="AB1161" s="21" t="n">
        <f aca="false">P1161</f>
        <v>-0.305638891369396</v>
      </c>
      <c r="AC1161" s="3" t="str">
        <f aca="false">Y1161</f>
        <v/>
      </c>
      <c r="AD1161" s="3" t="n">
        <f aca="false">R1161</f>
        <v>1</v>
      </c>
    </row>
    <row r="1162" customFormat="false" ht="15" hidden="false" customHeight="true" outlineLevel="0" collapsed="false">
      <c r="A1162" s="7" t="s">
        <v>61</v>
      </c>
      <c r="B1162" s="7" t="n">
        <v>1970</v>
      </c>
      <c r="C1162" s="7" t="s">
        <v>147</v>
      </c>
      <c r="D1162" s="7" t="n">
        <v>86</v>
      </c>
      <c r="E1162" s="7" t="n">
        <v>76</v>
      </c>
      <c r="F1162" s="3" t="n">
        <f aca="false">COUNTIFS($B$2:$B$2705,B1162,$C$2:$C$2705,C1162)</f>
        <v>1</v>
      </c>
      <c r="G1162" s="3" t="n">
        <f aca="false">MIN(INT((MIN(B1162,2020)-1900)/10)+1,12)</f>
        <v>8</v>
      </c>
      <c r="H1162" s="3" t="n">
        <f aca="false">(MIN(B1162,2020)-1900-10*(G1162-1))/10</f>
        <v>0</v>
      </c>
      <c r="I1162" s="20" t="n">
        <f aca="false">EXP(LN(INDEX(Pop_Inputs!$B$2:$N$29,MATCH(C1162,Pop_Inputs!$A$2:$A$29,0),G1162))*(1-H1162)+LN(INDEX(Pop_Inputs!$B$2:$N$29,MATCH(C1162,Pop_Inputs!$A$2:$A$29,0),G1162+1))*H1162)</f>
        <v>715674.000000001</v>
      </c>
      <c r="J1162" s="20" t="n">
        <f aca="false">I1162/F1162</f>
        <v>715674.000000001</v>
      </c>
      <c r="K1162" s="21" t="n">
        <f aca="false">D1162/(D1162+E1162)</f>
        <v>0.530864197530864</v>
      </c>
      <c r="L1162" s="21" t="n">
        <f aca="false">AVERAGEIFS($K$2:$K$2705,$B$2:$B$2705,B1162)</f>
        <v>0.499998402474248</v>
      </c>
      <c r="M1162" s="21" t="n">
        <f aca="false">K1162-L1162</f>
        <v>0.0308657950566164</v>
      </c>
      <c r="N1162" s="21" t="n">
        <f aca="false">LN(J1162)</f>
        <v>13.4809800349964</v>
      </c>
      <c r="O1162" s="21" t="n">
        <f aca="false">AVERAGEIFS($N$2:$N$2705,$B$2:$B$2705,B1162)</f>
        <v>13.7598481058072</v>
      </c>
      <c r="P1162" s="21" t="n">
        <f aca="false">N1162-O1162</f>
        <v>-0.278868070810772</v>
      </c>
      <c r="Q1162" s="7" t="n">
        <v>0</v>
      </c>
      <c r="R1162" s="3" t="n">
        <f aca="false">IF(AND(Q1162=1,B1162-_xlfn.MINIFS($B$2:$B$2705,$A$2:$A$2705,A1162)&lt;10),1,0)</f>
        <v>0</v>
      </c>
      <c r="S1162" s="7" t="n">
        <v>0</v>
      </c>
      <c r="T1162" s="3" t="n">
        <f aca="false">_xlfn.MINIFS($B$2:$B$2705,$A$2:$A$2705,A1162)</f>
        <v>1901</v>
      </c>
      <c r="U1162" s="3" t="n">
        <f aca="false">B1162-T1162</f>
        <v>69</v>
      </c>
      <c r="V1162" s="3" t="str">
        <f aca="false">INDEX(Pop_Inputs!$Q$2:$Q$29,MATCH(C1162,Pop_Inputs!$A$2:$A$29,0))</f>
        <v>West</v>
      </c>
      <c r="W1162" s="30"/>
      <c r="X1162" s="3" t="str">
        <f aca="false">IF(W1162="","",LN(W1162))</f>
        <v/>
      </c>
      <c r="Y1162" s="3" t="str">
        <f aca="false">IF(X1162="","",X1162-AVERAGEIFS($X$2:$X$2705,$B$2:$B$2705,B1162))</f>
        <v/>
      </c>
      <c r="Z1162" s="21" t="n">
        <f aca="false">P1162</f>
        <v>-0.278868070810772</v>
      </c>
      <c r="AA1162" s="3" t="n">
        <f aca="false">R1162</f>
        <v>0</v>
      </c>
      <c r="AB1162" s="21" t="n">
        <f aca="false">P1162</f>
        <v>-0.278868070810772</v>
      </c>
      <c r="AC1162" s="3" t="str">
        <f aca="false">Y1162</f>
        <v/>
      </c>
      <c r="AD1162" s="3" t="n">
        <f aca="false">R1162</f>
        <v>0</v>
      </c>
    </row>
    <row r="1163" customFormat="false" ht="15" hidden="false" customHeight="true" outlineLevel="0" collapsed="false">
      <c r="A1163" s="7" t="s">
        <v>59</v>
      </c>
      <c r="B1163" s="7" t="n">
        <v>1970</v>
      </c>
      <c r="C1163" s="7" t="s">
        <v>145</v>
      </c>
      <c r="D1163" s="7" t="n">
        <v>76</v>
      </c>
      <c r="E1163" s="7" t="n">
        <v>86</v>
      </c>
      <c r="F1163" s="3" t="n">
        <f aca="false">COUNTIFS($B$2:$B$2705,B1163,$C$2:$C$2705,C1163)</f>
        <v>1</v>
      </c>
      <c r="G1163" s="3" t="n">
        <f aca="false">MIN(INT((MIN(B1163,2020)-1900)/10)+1,12)</f>
        <v>8</v>
      </c>
      <c r="H1163" s="3" t="n">
        <f aca="false">(MIN(B1163,2020)-1900-10*(G1163-1))/10</f>
        <v>0</v>
      </c>
      <c r="I1163" s="20" t="n">
        <f aca="false">EXP(LN(INDEX(Pop_Inputs!$B$2:$N$29,MATCH(C1163,Pop_Inputs!$A$2:$A$29,0),G1163))*(1-H1163)+LN(INDEX(Pop_Inputs!$B$2:$N$29,MATCH(C1163,Pop_Inputs!$A$2:$A$29,0),G1163+1))*H1163)</f>
        <v>622236</v>
      </c>
      <c r="J1163" s="20" t="n">
        <f aca="false">I1163/F1163</f>
        <v>622236</v>
      </c>
      <c r="K1163" s="21" t="n">
        <f aca="false">D1163/(D1163+E1163)</f>
        <v>0.469135802469136</v>
      </c>
      <c r="L1163" s="21" t="n">
        <f aca="false">AVERAGEIFS($K$2:$K$2705,$B$2:$B$2705,B1163)</f>
        <v>0.499998402474248</v>
      </c>
      <c r="M1163" s="21" t="n">
        <f aca="false">K1163-L1163</f>
        <v>-0.0308626000051121</v>
      </c>
      <c r="N1163" s="21" t="n">
        <f aca="false">LN(J1163)</f>
        <v>13.3410747209812</v>
      </c>
      <c r="O1163" s="21" t="n">
        <f aca="false">AVERAGEIFS($N$2:$N$2705,$B$2:$B$2705,B1163)</f>
        <v>13.7598481058072</v>
      </c>
      <c r="P1163" s="21" t="n">
        <f aca="false">N1163-O1163</f>
        <v>-0.418773384826009</v>
      </c>
      <c r="Q1163" s="7" t="n">
        <v>0</v>
      </c>
      <c r="R1163" s="3" t="n">
        <f aca="false">IF(AND(Q1163=1,B1163-_xlfn.MINIFS($B$2:$B$2705,$A$2:$A$2705,A1163)&lt;10),1,0)</f>
        <v>0</v>
      </c>
      <c r="S1163" s="7" t="n">
        <v>0</v>
      </c>
      <c r="T1163" s="3" t="n">
        <f aca="false">_xlfn.MINIFS($B$2:$B$2705,$A$2:$A$2705,A1163)</f>
        <v>1901</v>
      </c>
      <c r="U1163" s="3" t="n">
        <f aca="false">B1163-T1163</f>
        <v>69</v>
      </c>
      <c r="V1163" s="3" t="str">
        <f aca="false">INDEX(Pop_Inputs!$Q$2:$Q$29,MATCH(C1163,Pop_Inputs!$A$2:$A$29,0))</f>
        <v>Midwest</v>
      </c>
      <c r="W1163" s="30"/>
      <c r="X1163" s="3" t="str">
        <f aca="false">IF(W1163="","",LN(W1163))</f>
        <v/>
      </c>
      <c r="Y1163" s="3" t="str">
        <f aca="false">IF(X1163="","",X1163-AVERAGEIFS($X$2:$X$2705,$B$2:$B$2705,B1163))</f>
        <v/>
      </c>
      <c r="Z1163" s="21" t="n">
        <f aca="false">P1163</f>
        <v>-0.418773384826009</v>
      </c>
      <c r="AA1163" s="3" t="n">
        <f aca="false">R1163</f>
        <v>0</v>
      </c>
      <c r="AB1163" s="21" t="n">
        <f aca="false">P1163</f>
        <v>-0.418773384826009</v>
      </c>
      <c r="AC1163" s="3" t="str">
        <f aca="false">Y1163</f>
        <v/>
      </c>
      <c r="AD1163" s="3" t="n">
        <f aca="false">R1163</f>
        <v>0</v>
      </c>
    </row>
    <row r="1164" customFormat="false" ht="15" hidden="false" customHeight="true" outlineLevel="0" collapsed="false">
      <c r="A1164" s="7" t="s">
        <v>73</v>
      </c>
      <c r="B1164" s="7" t="n">
        <v>1970</v>
      </c>
      <c r="C1164" s="7" t="s">
        <v>160</v>
      </c>
      <c r="D1164" s="7" t="n">
        <v>70</v>
      </c>
      <c r="E1164" s="7" t="n">
        <v>92</v>
      </c>
      <c r="F1164" s="3" t="n">
        <f aca="false">COUNTIFS($B$2:$B$2705,B1164,$C$2:$C$2705,C1164)</f>
        <v>1</v>
      </c>
      <c r="G1164" s="3" t="n">
        <f aca="false">MIN(INT((MIN(B1164,2020)-1900)/10)+1,12)</f>
        <v>8</v>
      </c>
      <c r="H1164" s="3" t="n">
        <f aca="false">(MIN(B1164,2020)-1900-10*(G1164-1))/10</f>
        <v>0</v>
      </c>
      <c r="I1164" s="20" t="n">
        <f aca="false">EXP(LN(INDEX(Pop_Inputs!$B$2:$N$29,MATCH(C1164,Pop_Inputs!$A$2:$A$29,0),G1164))*(1-H1164)+LN(INDEX(Pop_Inputs!$B$2:$N$29,MATCH(C1164,Pop_Inputs!$A$2:$A$29,0),G1164+1))*H1164)</f>
        <v>756510.000000001</v>
      </c>
      <c r="J1164" s="20" t="n">
        <f aca="false">I1164/F1164</f>
        <v>756510.000000001</v>
      </c>
      <c r="K1164" s="21" t="n">
        <f aca="false">D1164/(D1164+E1164)</f>
        <v>0.432098765432099</v>
      </c>
      <c r="L1164" s="21" t="n">
        <f aca="false">AVERAGEIFS($K$2:$K$2705,$B$2:$B$2705,B1164)</f>
        <v>0.499998402474248</v>
      </c>
      <c r="M1164" s="21" t="n">
        <f aca="false">K1164-L1164</f>
        <v>-0.0678996370421491</v>
      </c>
      <c r="N1164" s="21" t="n">
        <f aca="false">LN(J1164)</f>
        <v>13.5364710308938</v>
      </c>
      <c r="O1164" s="21" t="n">
        <f aca="false">AVERAGEIFS($N$2:$N$2705,$B$2:$B$2705,B1164)</f>
        <v>13.7598481058072</v>
      </c>
      <c r="P1164" s="21" t="n">
        <f aca="false">N1164-O1164</f>
        <v>-0.223377074913325</v>
      </c>
      <c r="Q1164" s="7" t="n">
        <v>1</v>
      </c>
      <c r="R1164" s="3" t="n">
        <f aca="false">IF(AND(Q1164=1,B1164-_xlfn.MINIFS($B$2:$B$2705,$A$2:$A$2705,A1164)&lt;10),1,0)</f>
        <v>1</v>
      </c>
      <c r="S1164" s="7" t="n">
        <v>0</v>
      </c>
      <c r="T1164" s="3" t="n">
        <f aca="false">_xlfn.MINIFS($B$2:$B$2705,$A$2:$A$2705,A1164)</f>
        <v>1961</v>
      </c>
      <c r="U1164" s="3" t="n">
        <f aca="false">B1164-T1164</f>
        <v>9</v>
      </c>
      <c r="V1164" s="3" t="str">
        <f aca="false">INDEX(Pop_Inputs!$Q$2:$Q$29,MATCH(C1164,Pop_Inputs!$A$2:$A$29,0))</f>
        <v>South</v>
      </c>
      <c r="W1164" s="30"/>
      <c r="X1164" s="3" t="str">
        <f aca="false">IF(W1164="","",LN(W1164))</f>
        <v/>
      </c>
      <c r="Y1164" s="3" t="str">
        <f aca="false">IF(X1164="","",X1164-AVERAGEIFS($X$2:$X$2705,$B$2:$B$2705,B1164))</f>
        <v/>
      </c>
      <c r="Z1164" s="21" t="n">
        <f aca="false">P1164</f>
        <v>-0.223377074913325</v>
      </c>
      <c r="AA1164" s="3" t="n">
        <f aca="false">R1164</f>
        <v>1</v>
      </c>
      <c r="AB1164" s="21" t="n">
        <f aca="false">P1164</f>
        <v>-0.223377074913325</v>
      </c>
      <c r="AC1164" s="3" t="str">
        <f aca="false">Y1164</f>
        <v/>
      </c>
      <c r="AD1164" s="3" t="n">
        <f aca="false">R1164</f>
        <v>1</v>
      </c>
    </row>
    <row r="1165" customFormat="false" ht="15" hidden="false" customHeight="true" outlineLevel="0" collapsed="false">
      <c r="A1165" s="7" t="s">
        <v>79</v>
      </c>
      <c r="B1165" s="7" t="n">
        <v>1970</v>
      </c>
      <c r="C1165" s="7" t="s">
        <v>254</v>
      </c>
      <c r="D1165" s="7" t="n">
        <v>73</v>
      </c>
      <c r="E1165" s="7" t="n">
        <v>89</v>
      </c>
      <c r="F1165" s="3" t="n">
        <f aca="false">COUNTIFS($B$2:$B$2705,B1165,$C$2:$C$2705,C1165)</f>
        <v>1</v>
      </c>
      <c r="G1165" s="3" t="n">
        <f aca="false">MIN(INT((MIN(B1165,2020)-1900)/10)+1,12)</f>
        <v>8</v>
      </c>
      <c r="H1165" s="3" t="n">
        <f aca="false">(MIN(B1165,2020)-1900-10*(G1165-1))/10</f>
        <v>0</v>
      </c>
      <c r="I1165" s="20" t="n">
        <f aca="false">EXP(LN(INDEX(Pop_Inputs!$B$2:$N$29,MATCH(C1165,Pop_Inputs!$A$2:$A$29,0),G1165))*(1-H1165)+LN(INDEX(Pop_Inputs!$B$2:$N$29,MATCH(C1165,Pop_Inputs!$A$2:$A$29,0),G1165+1))*H1165)</f>
        <v>1214352</v>
      </c>
      <c r="J1165" s="20" t="n">
        <f aca="false">I1165/F1165</f>
        <v>1214352</v>
      </c>
      <c r="K1165" s="21" t="n">
        <f aca="false">D1165/(D1165+E1165)</f>
        <v>0.450617283950617</v>
      </c>
      <c r="L1165" s="21" t="n">
        <f aca="false">AVERAGEIFS($K$2:$K$2705,$B$2:$B$2705,B1165)</f>
        <v>0.499998402474248</v>
      </c>
      <c r="M1165" s="21" t="n">
        <f aca="false">K1165-L1165</f>
        <v>-0.0493811185236306</v>
      </c>
      <c r="N1165" s="21" t="n">
        <f aca="false">LN(J1165)</f>
        <v>14.0097211591506</v>
      </c>
      <c r="O1165" s="21" t="n">
        <f aca="false">AVERAGEIFS($N$2:$N$2705,$B$2:$B$2705,B1165)</f>
        <v>13.7598481058072</v>
      </c>
      <c r="P1165" s="21" t="n">
        <f aca="false">N1165-O1165</f>
        <v>0.249873053343482</v>
      </c>
      <c r="Q1165" s="7" t="n">
        <v>1</v>
      </c>
      <c r="R1165" s="3" t="n">
        <f aca="false">IF(AND(Q1165=1,B1165-_xlfn.MINIFS($B$2:$B$2705,$A$2:$A$2705,A1165)&lt;10),1,0)</f>
        <v>1</v>
      </c>
      <c r="S1165" s="7" t="n">
        <v>0</v>
      </c>
      <c r="T1165" s="3" t="n">
        <f aca="false">_xlfn.MINIFS($B$2:$B$2705,$A$2:$A$2705,A1165)</f>
        <v>1969</v>
      </c>
      <c r="U1165" s="3" t="n">
        <f aca="false">B1165-T1165</f>
        <v>1</v>
      </c>
      <c r="V1165" s="3" t="str">
        <f aca="false">INDEX(Pop_Inputs!$Q$2:$Q$29,MATCH(C1165,Pop_Inputs!$A$2:$A$29,0))</f>
        <v>Canada</v>
      </c>
      <c r="W1165" s="30"/>
      <c r="X1165" s="3" t="str">
        <f aca="false">IF(W1165="","",LN(W1165))</f>
        <v/>
      </c>
      <c r="Y1165" s="3" t="str">
        <f aca="false">IF(X1165="","",X1165-AVERAGEIFS($X$2:$X$2705,$B$2:$B$2705,B1165))</f>
        <v/>
      </c>
      <c r="Z1165" s="21" t="n">
        <f aca="false">P1165</f>
        <v>0.249873053343482</v>
      </c>
      <c r="AA1165" s="3" t="n">
        <f aca="false">R1165</f>
        <v>1</v>
      </c>
      <c r="AB1165" s="21" t="n">
        <f aca="false">P1165</f>
        <v>0.249873053343482</v>
      </c>
      <c r="AC1165" s="3" t="str">
        <f aca="false">Y1165</f>
        <v/>
      </c>
      <c r="AD1165" s="3" t="n">
        <f aca="false">R1165</f>
        <v>1</v>
      </c>
    </row>
    <row r="1166" customFormat="false" ht="15" hidden="false" customHeight="true" outlineLevel="0" collapsed="false">
      <c r="A1166" s="7" t="s">
        <v>71</v>
      </c>
      <c r="B1166" s="7" t="n">
        <v>1971</v>
      </c>
      <c r="C1166" s="7" t="s">
        <v>148</v>
      </c>
      <c r="D1166" s="7" t="n">
        <v>76</v>
      </c>
      <c r="E1166" s="7" t="n">
        <v>86</v>
      </c>
      <c r="F1166" s="3" t="n">
        <f aca="false">COUNTIFS($B$2:$B$2705,B1166,$C$2:$C$2705,C1166)</f>
        <v>2</v>
      </c>
      <c r="G1166" s="3" t="n">
        <f aca="false">MIN(INT((MIN(B1166,2020)-1900)/10)+1,12)</f>
        <v>8</v>
      </c>
      <c r="H1166" s="3" t="n">
        <f aca="false">(MIN(B1166,2020)-1900-10*(G1166-1))/10</f>
        <v>0.1</v>
      </c>
      <c r="I1166" s="20" t="n">
        <f aca="false">EXP(LN(INDEX(Pop_Inputs!$B$2:$N$29,MATCH(C1166,Pop_Inputs!$A$2:$A$29,0),G1166))*(1-H1166)+LN(INDEX(Pop_Inputs!$B$2:$N$29,MATCH(C1166,Pop_Inputs!$A$2:$A$29,0),G1166+1))*H1166)</f>
        <v>2830788.42535109</v>
      </c>
      <c r="J1166" s="20" t="n">
        <f aca="false">I1166/F1166</f>
        <v>1415394.21267555</v>
      </c>
      <c r="K1166" s="21" t="n">
        <f aca="false">D1166/(D1166+E1166)</f>
        <v>0.469135802469136</v>
      </c>
      <c r="L1166" s="21" t="n">
        <f aca="false">AVERAGEIFS($K$2:$K$2705,$B$2:$B$2705,B1166)</f>
        <v>0.500019127566531</v>
      </c>
      <c r="M1166" s="21" t="n">
        <f aca="false">K1166-L1166</f>
        <v>-0.0308833250973957</v>
      </c>
      <c r="N1166" s="21" t="n">
        <f aca="false">LN(J1166)</f>
        <v>14.1629186457894</v>
      </c>
      <c r="O1166" s="21" t="n">
        <f aca="false">AVERAGEIFS($N$2:$N$2705,$B$2:$B$2705,B1166)</f>
        <v>13.7494211542312</v>
      </c>
      <c r="P1166" s="21" t="n">
        <f aca="false">N1166-O1166</f>
        <v>0.413497491558173</v>
      </c>
      <c r="Q1166" s="7" t="n">
        <v>1</v>
      </c>
      <c r="R1166" s="3" t="n">
        <f aca="false">IF(AND(Q1166=1,B1166-_xlfn.MINIFS($B$2:$B$2705,$A$2:$A$2705,A1166)&lt;10),1,0)</f>
        <v>0</v>
      </c>
      <c r="S1166" s="7" t="n">
        <v>0</v>
      </c>
      <c r="T1166" s="3" t="n">
        <f aca="false">_xlfn.MINIFS($B$2:$B$2705,$A$2:$A$2705,A1166)</f>
        <v>1961</v>
      </c>
      <c r="U1166" s="3" t="n">
        <f aca="false">B1166-T1166</f>
        <v>10</v>
      </c>
      <c r="V1166" s="3" t="str">
        <f aca="false">INDEX(Pop_Inputs!$Q$2:$Q$29,MATCH(C1166,Pop_Inputs!$A$2:$A$29,0))</f>
        <v>West</v>
      </c>
      <c r="W1166" s="30"/>
      <c r="X1166" s="3" t="str">
        <f aca="false">IF(W1166="","",LN(W1166))</f>
        <v/>
      </c>
      <c r="Y1166" s="3" t="str">
        <f aca="false">IF(X1166="","",X1166-AVERAGEIFS($X$2:$X$2705,$B$2:$B$2705,B1166))</f>
        <v/>
      </c>
      <c r="Z1166" s="21" t="n">
        <f aca="false">P1166</f>
        <v>0.413497491558173</v>
      </c>
      <c r="AA1166" s="3" t="n">
        <f aca="false">R1166</f>
        <v>0</v>
      </c>
      <c r="AB1166" s="21" t="n">
        <f aca="false">P1166</f>
        <v>0.413497491558173</v>
      </c>
      <c r="AC1166" s="3" t="str">
        <f aca="false">Y1166</f>
        <v/>
      </c>
      <c r="AD1166" s="3" t="n">
        <f aca="false">R1166</f>
        <v>0</v>
      </c>
    </row>
    <row r="1167" customFormat="false" ht="15" hidden="false" customHeight="true" outlineLevel="0" collapsed="false">
      <c r="A1167" s="7" t="s">
        <v>54</v>
      </c>
      <c r="B1167" s="7" t="n">
        <v>1971</v>
      </c>
      <c r="C1167" s="7" t="s">
        <v>141</v>
      </c>
      <c r="D1167" s="7" t="n">
        <v>82</v>
      </c>
      <c r="E1167" s="7" t="n">
        <v>80</v>
      </c>
      <c r="F1167" s="3" t="n">
        <f aca="false">COUNTIFS($B$2:$B$2705,B1167,$C$2:$C$2705,C1167)</f>
        <v>1</v>
      </c>
      <c r="G1167" s="3" t="n">
        <f aca="false">MIN(INT((MIN(B1167,2020)-1900)/10)+1,12)</f>
        <v>8</v>
      </c>
      <c r="H1167" s="3" t="n">
        <f aca="false">(MIN(B1167,2020)-1900-10*(G1167-1))/10</f>
        <v>0.1</v>
      </c>
      <c r="I1167" s="20" t="n">
        <f aca="false">EXP(LN(INDEX(Pop_Inputs!$B$2:$N$29,MATCH(C1167,Pop_Inputs!$A$2:$A$29,0),G1167))*(1-H1167)+LN(INDEX(Pop_Inputs!$B$2:$N$29,MATCH(C1167,Pop_Inputs!$A$2:$A$29,0),G1167+1))*H1167)</f>
        <v>487547.141286949</v>
      </c>
      <c r="J1167" s="20" t="n">
        <f aca="false">I1167/F1167</f>
        <v>487547.141286949</v>
      </c>
      <c r="K1167" s="21" t="n">
        <f aca="false">D1167/(D1167+E1167)</f>
        <v>0.506172839506173</v>
      </c>
      <c r="L1167" s="21" t="n">
        <f aca="false">AVERAGEIFS($K$2:$K$2705,$B$2:$B$2705,B1167)</f>
        <v>0.500019127566531</v>
      </c>
      <c r="M1167" s="21" t="n">
        <f aca="false">K1167-L1167</f>
        <v>0.00615371193964143</v>
      </c>
      <c r="N1167" s="21" t="n">
        <f aca="false">LN(J1167)</f>
        <v>13.0971422648207</v>
      </c>
      <c r="O1167" s="21" t="n">
        <f aca="false">AVERAGEIFS($N$2:$N$2705,$B$2:$B$2705,B1167)</f>
        <v>13.7494211542312</v>
      </c>
      <c r="P1167" s="21" t="n">
        <f aca="false">N1167-O1167</f>
        <v>-0.652278889410514</v>
      </c>
      <c r="Q1167" s="7" t="n">
        <v>0</v>
      </c>
      <c r="R1167" s="3" t="n">
        <f aca="false">IF(AND(Q1167=1,B1167-_xlfn.MINIFS($B$2:$B$2705,$A$2:$A$2705,A1167)&lt;10),1,0)</f>
        <v>0</v>
      </c>
      <c r="S1167" s="7" t="n">
        <v>0</v>
      </c>
      <c r="T1167" s="3" t="n">
        <f aca="false">_xlfn.MINIFS($B$2:$B$2705,$A$2:$A$2705,A1167)</f>
        <v>1901</v>
      </c>
      <c r="U1167" s="3" t="n">
        <f aca="false">B1167-T1167</f>
        <v>70</v>
      </c>
      <c r="V1167" s="3" t="str">
        <f aca="false">INDEX(Pop_Inputs!$Q$2:$Q$29,MATCH(C1167,Pop_Inputs!$A$2:$A$29,0))</f>
        <v>South</v>
      </c>
      <c r="W1167" s="30"/>
      <c r="X1167" s="3" t="str">
        <f aca="false">IF(W1167="","",LN(W1167))</f>
        <v/>
      </c>
      <c r="Y1167" s="3" t="str">
        <f aca="false">IF(X1167="","",X1167-AVERAGEIFS($X$2:$X$2705,$B$2:$B$2705,B1167))</f>
        <v/>
      </c>
      <c r="Z1167" s="21" t="n">
        <f aca="false">P1167</f>
        <v>-0.652278889410514</v>
      </c>
      <c r="AA1167" s="3" t="n">
        <f aca="false">R1167</f>
        <v>0</v>
      </c>
      <c r="AB1167" s="21" t="n">
        <f aca="false">P1167</f>
        <v>-0.652278889410514</v>
      </c>
      <c r="AC1167" s="3" t="str">
        <f aca="false">Y1167</f>
        <v/>
      </c>
      <c r="AD1167" s="3" t="n">
        <f aca="false">R1167</f>
        <v>0</v>
      </c>
    </row>
    <row r="1168" customFormat="false" ht="15" hidden="false" customHeight="true" outlineLevel="0" collapsed="false">
      <c r="A1168" s="7" t="s">
        <v>63</v>
      </c>
      <c r="B1168" s="7" t="n">
        <v>1971</v>
      </c>
      <c r="C1168" s="7" t="s">
        <v>149</v>
      </c>
      <c r="D1168" s="7" t="n">
        <v>101</v>
      </c>
      <c r="E1168" s="7" t="n">
        <v>57</v>
      </c>
      <c r="F1168" s="3" t="n">
        <f aca="false">COUNTIFS($B$2:$B$2705,B1168,$C$2:$C$2705,C1168)</f>
        <v>1</v>
      </c>
      <c r="G1168" s="3" t="n">
        <f aca="false">MIN(INT((MIN(B1168,2020)-1900)/10)+1,12)</f>
        <v>8</v>
      </c>
      <c r="H1168" s="3" t="n">
        <f aca="false">(MIN(B1168,2020)-1900-10*(G1168-1))/10</f>
        <v>0.1</v>
      </c>
      <c r="I1168" s="20" t="n">
        <f aca="false">EXP(LN(INDEX(Pop_Inputs!$B$2:$N$29,MATCH(C1168,Pop_Inputs!$A$2:$A$29,0),G1168))*(1-H1168)+LN(INDEX(Pop_Inputs!$B$2:$N$29,MATCH(C1168,Pop_Inputs!$A$2:$A$29,0),G1168+1))*H1168)</f>
        <v>893092.510585793</v>
      </c>
      <c r="J1168" s="20" t="n">
        <f aca="false">I1168/F1168</f>
        <v>893092.510585793</v>
      </c>
      <c r="K1168" s="21" t="n">
        <f aca="false">D1168/(D1168+E1168)</f>
        <v>0.639240506329114</v>
      </c>
      <c r="L1168" s="21" t="n">
        <f aca="false">AVERAGEIFS($K$2:$K$2705,$B$2:$B$2705,B1168)</f>
        <v>0.500019127566531</v>
      </c>
      <c r="M1168" s="21" t="n">
        <f aca="false">K1168-L1168</f>
        <v>0.139221378762582</v>
      </c>
      <c r="N1168" s="21" t="n">
        <f aca="false">LN(J1168)</f>
        <v>13.7024454497739</v>
      </c>
      <c r="O1168" s="21" t="n">
        <f aca="false">AVERAGEIFS($N$2:$N$2705,$B$2:$B$2705,B1168)</f>
        <v>13.7494211542312</v>
      </c>
      <c r="P1168" s="21" t="n">
        <f aca="false">N1168-O1168</f>
        <v>-0.0469757044573367</v>
      </c>
      <c r="Q1168" s="7" t="n">
        <v>0</v>
      </c>
      <c r="R1168" s="3" t="n">
        <f aca="false">IF(AND(Q1168=1,B1168-_xlfn.MINIFS($B$2:$B$2705,$A$2:$A$2705,A1168)&lt;10),1,0)</f>
        <v>0</v>
      </c>
      <c r="S1168" s="7" t="n">
        <v>0</v>
      </c>
      <c r="T1168" s="3" t="n">
        <f aca="false">_xlfn.MINIFS($B$2:$B$2705,$A$2:$A$2705,A1168)</f>
        <v>1901</v>
      </c>
      <c r="U1168" s="3" t="n">
        <f aca="false">B1168-T1168</f>
        <v>70</v>
      </c>
      <c r="V1168" s="3" t="str">
        <f aca="false">INDEX(Pop_Inputs!$Q$2:$Q$29,MATCH(C1168,Pop_Inputs!$A$2:$A$29,0))</f>
        <v>South</v>
      </c>
      <c r="W1168" s="30"/>
      <c r="X1168" s="3" t="str">
        <f aca="false">IF(W1168="","",LN(W1168))</f>
        <v/>
      </c>
      <c r="Y1168" s="3" t="str">
        <f aca="false">IF(X1168="","",X1168-AVERAGEIFS($X$2:$X$2705,$B$2:$B$2705,B1168))</f>
        <v/>
      </c>
      <c r="Z1168" s="21" t="n">
        <f aca="false">P1168</f>
        <v>-0.0469757044573367</v>
      </c>
      <c r="AA1168" s="3" t="n">
        <f aca="false">R1168</f>
        <v>0</v>
      </c>
      <c r="AB1168" s="21" t="n">
        <f aca="false">P1168</f>
        <v>-0.0469757044573367</v>
      </c>
      <c r="AC1168" s="3" t="str">
        <f aca="false">Y1168</f>
        <v/>
      </c>
      <c r="AD1168" s="3" t="n">
        <f aca="false">R1168</f>
        <v>0</v>
      </c>
    </row>
    <row r="1169" customFormat="false" ht="15" hidden="false" customHeight="true" outlineLevel="0" collapsed="false">
      <c r="A1169" s="7" t="s">
        <v>64</v>
      </c>
      <c r="B1169" s="7" t="n">
        <v>1971</v>
      </c>
      <c r="C1169" s="7" t="s">
        <v>150</v>
      </c>
      <c r="D1169" s="7" t="n">
        <v>85</v>
      </c>
      <c r="E1169" s="7" t="n">
        <v>77</v>
      </c>
      <c r="F1169" s="3" t="n">
        <f aca="false">COUNTIFS($B$2:$B$2705,B1169,$C$2:$C$2705,C1169)</f>
        <v>1</v>
      </c>
      <c r="G1169" s="3" t="n">
        <f aca="false">MIN(INT((MIN(B1169,2020)-1900)/10)+1,12)</f>
        <v>8</v>
      </c>
      <c r="H1169" s="3" t="n">
        <f aca="false">(MIN(B1169,2020)-1900-10*(G1169-1))/10</f>
        <v>0.1</v>
      </c>
      <c r="I1169" s="20" t="n">
        <f aca="false">EXP(LN(INDEX(Pop_Inputs!$B$2:$N$29,MATCH(C1169,Pop_Inputs!$A$2:$A$29,0),G1169))*(1-H1169)+LN(INDEX(Pop_Inputs!$B$2:$N$29,MATCH(C1169,Pop_Inputs!$A$2:$A$29,0),G1169+1))*H1169)</f>
        <v>632799.161117261</v>
      </c>
      <c r="J1169" s="20" t="n">
        <f aca="false">I1169/F1169</f>
        <v>632799.161117261</v>
      </c>
      <c r="K1169" s="21" t="n">
        <f aca="false">D1169/(D1169+E1169)</f>
        <v>0.524691358024691</v>
      </c>
      <c r="L1169" s="21" t="n">
        <f aca="false">AVERAGEIFS($K$2:$K$2705,$B$2:$B$2705,B1169)</f>
        <v>0.500019127566531</v>
      </c>
      <c r="M1169" s="21" t="n">
        <f aca="false">K1169-L1169</f>
        <v>0.0246722304581599</v>
      </c>
      <c r="N1169" s="21" t="n">
        <f aca="false">LN(J1169)</f>
        <v>13.3579083697667</v>
      </c>
      <c r="O1169" s="21" t="n">
        <f aca="false">AVERAGEIFS($N$2:$N$2705,$B$2:$B$2705,B1169)</f>
        <v>13.7494211542312</v>
      </c>
      <c r="P1169" s="21" t="n">
        <f aca="false">N1169-O1169</f>
        <v>-0.391512784464538</v>
      </c>
      <c r="Q1169" s="7" t="n">
        <v>0</v>
      </c>
      <c r="R1169" s="3" t="n">
        <f aca="false">IF(AND(Q1169=1,B1169-_xlfn.MINIFS($B$2:$B$2705,$A$2:$A$2705,A1169)&lt;10),1,0)</f>
        <v>0</v>
      </c>
      <c r="S1169" s="7" t="n">
        <v>0</v>
      </c>
      <c r="T1169" s="3" t="n">
        <f aca="false">_xlfn.MINIFS($B$2:$B$2705,$A$2:$A$2705,A1169)</f>
        <v>1901</v>
      </c>
      <c r="U1169" s="3" t="n">
        <f aca="false">B1169-T1169</f>
        <v>70</v>
      </c>
      <c r="V1169" s="3" t="str">
        <f aca="false">INDEX(Pop_Inputs!$Q$2:$Q$29,MATCH(C1169,Pop_Inputs!$A$2:$A$29,0))</f>
        <v>Northeast</v>
      </c>
      <c r="W1169" s="30"/>
      <c r="X1169" s="3" t="str">
        <f aca="false">IF(W1169="","",LN(W1169))</f>
        <v/>
      </c>
      <c r="Y1169" s="3" t="str">
        <f aca="false">IF(X1169="","",X1169-AVERAGEIFS($X$2:$X$2705,$B$2:$B$2705,B1169))</f>
        <v/>
      </c>
      <c r="Z1169" s="21" t="n">
        <f aca="false">P1169</f>
        <v>-0.391512784464538</v>
      </c>
      <c r="AA1169" s="3" t="n">
        <f aca="false">R1169</f>
        <v>0</v>
      </c>
      <c r="AB1169" s="21" t="n">
        <f aca="false">P1169</f>
        <v>-0.391512784464538</v>
      </c>
      <c r="AC1169" s="3" t="str">
        <f aca="false">Y1169</f>
        <v/>
      </c>
      <c r="AD1169" s="3" t="n">
        <f aca="false">R1169</f>
        <v>0</v>
      </c>
    </row>
    <row r="1170" customFormat="false" ht="15" hidden="false" customHeight="true" outlineLevel="0" collapsed="false">
      <c r="A1170" s="7" t="s">
        <v>56</v>
      </c>
      <c r="B1170" s="7" t="n">
        <v>1971</v>
      </c>
      <c r="C1170" s="7" t="s">
        <v>142</v>
      </c>
      <c r="D1170" s="7" t="n">
        <v>83</v>
      </c>
      <c r="E1170" s="7" t="n">
        <v>79</v>
      </c>
      <c r="F1170" s="3" t="n">
        <f aca="false">COUNTIFS($B$2:$B$2705,B1170,$C$2:$C$2705,C1170)</f>
        <v>2</v>
      </c>
      <c r="G1170" s="3" t="n">
        <f aca="false">MIN(INT((MIN(B1170,2020)-1900)/10)+1,12)</f>
        <v>8</v>
      </c>
      <c r="H1170" s="3" t="n">
        <f aca="false">(MIN(B1170,2020)-1900-10*(G1170-1))/10</f>
        <v>0.1</v>
      </c>
      <c r="I1170" s="20" t="n">
        <f aca="false">EXP(LN(INDEX(Pop_Inputs!$B$2:$N$29,MATCH(C1170,Pop_Inputs!$A$2:$A$29,0),G1170))*(1-H1170)+LN(INDEX(Pop_Inputs!$B$2:$N$29,MATCH(C1170,Pop_Inputs!$A$2:$A$29,0),G1170+1))*H1170)</f>
        <v>3328888.90100613</v>
      </c>
      <c r="J1170" s="20" t="n">
        <f aca="false">I1170/F1170</f>
        <v>1664444.45050306</v>
      </c>
      <c r="K1170" s="21" t="n">
        <f aca="false">D1170/(D1170+E1170)</f>
        <v>0.512345679012346</v>
      </c>
      <c r="L1170" s="21" t="n">
        <f aca="false">AVERAGEIFS($K$2:$K$2705,$B$2:$B$2705,B1170)</f>
        <v>0.500019127566531</v>
      </c>
      <c r="M1170" s="21" t="n">
        <f aca="false">K1170-L1170</f>
        <v>0.0123265514458143</v>
      </c>
      <c r="N1170" s="21" t="n">
        <f aca="false">LN(J1170)</f>
        <v>14.3250019623572</v>
      </c>
      <c r="O1170" s="21" t="n">
        <f aca="false">AVERAGEIFS($N$2:$N$2705,$B$2:$B$2705,B1170)</f>
        <v>13.7494211542312</v>
      </c>
      <c r="P1170" s="21" t="n">
        <f aca="false">N1170-O1170</f>
        <v>0.575580808125958</v>
      </c>
      <c r="Q1170" s="7" t="n">
        <v>0</v>
      </c>
      <c r="R1170" s="3" t="n">
        <f aca="false">IF(AND(Q1170=1,B1170-_xlfn.MINIFS($B$2:$B$2705,$A$2:$A$2705,A1170)&lt;10),1,0)</f>
        <v>0</v>
      </c>
      <c r="S1170" s="7" t="n">
        <v>0</v>
      </c>
      <c r="T1170" s="3" t="n">
        <f aca="false">_xlfn.MINIFS($B$2:$B$2705,$A$2:$A$2705,A1170)</f>
        <v>1901</v>
      </c>
      <c r="U1170" s="3" t="n">
        <f aca="false">B1170-T1170</f>
        <v>70</v>
      </c>
      <c r="V1170" s="3" t="str">
        <f aca="false">INDEX(Pop_Inputs!$Q$2:$Q$29,MATCH(C1170,Pop_Inputs!$A$2:$A$29,0))</f>
        <v>Midwest</v>
      </c>
      <c r="W1170" s="30"/>
      <c r="X1170" s="3" t="str">
        <f aca="false">IF(W1170="","",LN(W1170))</f>
        <v/>
      </c>
      <c r="Y1170" s="3" t="str">
        <f aca="false">IF(X1170="","",X1170-AVERAGEIFS($X$2:$X$2705,$B$2:$B$2705,B1170))</f>
        <v/>
      </c>
      <c r="Z1170" s="21" t="n">
        <f aca="false">P1170</f>
        <v>0.575580808125958</v>
      </c>
      <c r="AA1170" s="3" t="n">
        <f aca="false">R1170</f>
        <v>0</v>
      </c>
      <c r="AB1170" s="21" t="n">
        <f aca="false">P1170</f>
        <v>0.575580808125958</v>
      </c>
      <c r="AC1170" s="3" t="str">
        <f aca="false">Y1170</f>
        <v/>
      </c>
      <c r="AD1170" s="3" t="n">
        <f aca="false">R1170</f>
        <v>0</v>
      </c>
    </row>
    <row r="1171" customFormat="false" ht="15" hidden="false" customHeight="true" outlineLevel="0" collapsed="false">
      <c r="A1171" s="7" t="s">
        <v>65</v>
      </c>
      <c r="B1171" s="7" t="n">
        <v>1971</v>
      </c>
      <c r="C1171" s="7" t="s">
        <v>142</v>
      </c>
      <c r="D1171" s="7" t="n">
        <v>79</v>
      </c>
      <c r="E1171" s="7" t="n">
        <v>83</v>
      </c>
      <c r="F1171" s="3" t="n">
        <f aca="false">COUNTIFS($B$2:$B$2705,B1171,$C$2:$C$2705,C1171)</f>
        <v>2</v>
      </c>
      <c r="G1171" s="3" t="n">
        <f aca="false">MIN(INT((MIN(B1171,2020)-1900)/10)+1,12)</f>
        <v>8</v>
      </c>
      <c r="H1171" s="3" t="n">
        <f aca="false">(MIN(B1171,2020)-1900-10*(G1171-1))/10</f>
        <v>0.1</v>
      </c>
      <c r="I1171" s="20" t="n">
        <f aca="false">EXP(LN(INDEX(Pop_Inputs!$B$2:$N$29,MATCH(C1171,Pop_Inputs!$A$2:$A$29,0),G1171))*(1-H1171)+LN(INDEX(Pop_Inputs!$B$2:$N$29,MATCH(C1171,Pop_Inputs!$A$2:$A$29,0),G1171+1))*H1171)</f>
        <v>3328888.90100613</v>
      </c>
      <c r="J1171" s="20" t="n">
        <f aca="false">I1171/F1171</f>
        <v>1664444.45050306</v>
      </c>
      <c r="K1171" s="21" t="n">
        <f aca="false">D1171/(D1171+E1171)</f>
        <v>0.487654320987654</v>
      </c>
      <c r="L1171" s="21" t="n">
        <f aca="false">AVERAGEIFS($K$2:$K$2705,$B$2:$B$2705,B1171)</f>
        <v>0.500019127566531</v>
      </c>
      <c r="M1171" s="21" t="n">
        <f aca="false">K1171-L1171</f>
        <v>-0.0123648065788771</v>
      </c>
      <c r="N1171" s="21" t="n">
        <f aca="false">LN(J1171)</f>
        <v>14.3250019623572</v>
      </c>
      <c r="O1171" s="21" t="n">
        <f aca="false">AVERAGEIFS($N$2:$N$2705,$B$2:$B$2705,B1171)</f>
        <v>13.7494211542312</v>
      </c>
      <c r="P1171" s="21" t="n">
        <f aca="false">N1171-O1171</f>
        <v>0.575580808125958</v>
      </c>
      <c r="Q1171" s="7" t="n">
        <v>0</v>
      </c>
      <c r="R1171" s="3" t="n">
        <f aca="false">IF(AND(Q1171=1,B1171-_xlfn.MINIFS($B$2:$B$2705,$A$2:$A$2705,A1171)&lt;10),1,0)</f>
        <v>0</v>
      </c>
      <c r="S1171" s="7" t="n">
        <v>0</v>
      </c>
      <c r="T1171" s="3" t="n">
        <f aca="false">_xlfn.MINIFS($B$2:$B$2705,$A$2:$A$2705,A1171)</f>
        <v>1901</v>
      </c>
      <c r="U1171" s="3" t="n">
        <f aca="false">B1171-T1171</f>
        <v>70</v>
      </c>
      <c r="V1171" s="3" t="str">
        <f aca="false">INDEX(Pop_Inputs!$Q$2:$Q$29,MATCH(C1171,Pop_Inputs!$A$2:$A$29,0))</f>
        <v>Midwest</v>
      </c>
      <c r="W1171" s="30"/>
      <c r="X1171" s="3" t="str">
        <f aca="false">IF(W1171="","",LN(W1171))</f>
        <v/>
      </c>
      <c r="Y1171" s="3" t="str">
        <f aca="false">IF(X1171="","",X1171-AVERAGEIFS($X$2:$X$2705,$B$2:$B$2705,B1171))</f>
        <v/>
      </c>
      <c r="Z1171" s="21" t="n">
        <f aca="false">P1171</f>
        <v>0.575580808125958</v>
      </c>
      <c r="AA1171" s="3" t="n">
        <f aca="false">R1171</f>
        <v>0</v>
      </c>
      <c r="AB1171" s="21" t="n">
        <f aca="false">P1171</f>
        <v>0.575580808125958</v>
      </c>
      <c r="AC1171" s="3" t="str">
        <f aca="false">Y1171</f>
        <v/>
      </c>
      <c r="AD1171" s="3" t="n">
        <f aca="false">R1171</f>
        <v>0</v>
      </c>
    </row>
    <row r="1172" customFormat="false" ht="15" hidden="false" customHeight="true" outlineLevel="0" collapsed="false">
      <c r="A1172" s="7" t="s">
        <v>57</v>
      </c>
      <c r="B1172" s="7" t="n">
        <v>1971</v>
      </c>
      <c r="C1172" s="7" t="s">
        <v>143</v>
      </c>
      <c r="D1172" s="7" t="n">
        <v>79</v>
      </c>
      <c r="E1172" s="7" t="n">
        <v>83</v>
      </c>
      <c r="F1172" s="3" t="n">
        <f aca="false">COUNTIFS($B$2:$B$2705,B1172,$C$2:$C$2705,C1172)</f>
        <v>1</v>
      </c>
      <c r="G1172" s="3" t="n">
        <f aca="false">MIN(INT((MIN(B1172,2020)-1900)/10)+1,12)</f>
        <v>8</v>
      </c>
      <c r="H1172" s="3" t="n">
        <f aca="false">(MIN(B1172,2020)-1900-10*(G1172-1))/10</f>
        <v>0.1</v>
      </c>
      <c r="I1172" s="20" t="n">
        <f aca="false">EXP(LN(INDEX(Pop_Inputs!$B$2:$N$29,MATCH(C1172,Pop_Inputs!$A$2:$A$29,0),G1172))*(1-H1172)+LN(INDEX(Pop_Inputs!$B$2:$N$29,MATCH(C1172,Pop_Inputs!$A$2:$A$29,0),G1172+1))*H1172)</f>
        <v>445324.153508295</v>
      </c>
      <c r="J1172" s="20" t="n">
        <f aca="false">I1172/F1172</f>
        <v>445324.153508295</v>
      </c>
      <c r="K1172" s="21" t="n">
        <f aca="false">D1172/(D1172+E1172)</f>
        <v>0.487654320987654</v>
      </c>
      <c r="L1172" s="21" t="n">
        <f aca="false">AVERAGEIFS($K$2:$K$2705,$B$2:$B$2705,B1172)</f>
        <v>0.500019127566531</v>
      </c>
      <c r="M1172" s="21" t="n">
        <f aca="false">K1172-L1172</f>
        <v>-0.0123648065788771</v>
      </c>
      <c r="N1172" s="21" t="n">
        <f aca="false">LN(J1172)</f>
        <v>13.0065577308186</v>
      </c>
      <c r="O1172" s="21" t="n">
        <f aca="false">AVERAGEIFS($N$2:$N$2705,$B$2:$B$2705,B1172)</f>
        <v>13.7494211542312</v>
      </c>
      <c r="P1172" s="21" t="n">
        <f aca="false">N1172-O1172</f>
        <v>-0.742863423412612</v>
      </c>
      <c r="Q1172" s="7" t="n">
        <v>0</v>
      </c>
      <c r="R1172" s="3" t="n">
        <f aca="false">IF(AND(Q1172=1,B1172-_xlfn.MINIFS($B$2:$B$2705,$A$2:$A$2705,A1172)&lt;10),1,0)</f>
        <v>0</v>
      </c>
      <c r="S1172" s="7" t="n">
        <v>0</v>
      </c>
      <c r="T1172" s="3" t="n">
        <f aca="false">_xlfn.MINIFS($B$2:$B$2705,$A$2:$A$2705,A1172)</f>
        <v>1901</v>
      </c>
      <c r="U1172" s="3" t="n">
        <f aca="false">B1172-T1172</f>
        <v>70</v>
      </c>
      <c r="V1172" s="3" t="str">
        <f aca="false">INDEX(Pop_Inputs!$Q$2:$Q$29,MATCH(C1172,Pop_Inputs!$A$2:$A$29,0))</f>
        <v>Midwest</v>
      </c>
      <c r="W1172" s="30"/>
      <c r="X1172" s="3" t="str">
        <f aca="false">IF(W1172="","",LN(W1172))</f>
        <v/>
      </c>
      <c r="Y1172" s="3" t="str">
        <f aca="false">IF(X1172="","",X1172-AVERAGEIFS($X$2:$X$2705,$B$2:$B$2705,B1172))</f>
        <v/>
      </c>
      <c r="Z1172" s="21" t="n">
        <f aca="false">P1172</f>
        <v>-0.742863423412612</v>
      </c>
      <c r="AA1172" s="3" t="n">
        <f aca="false">R1172</f>
        <v>0</v>
      </c>
      <c r="AB1172" s="21" t="n">
        <f aca="false">P1172</f>
        <v>-0.742863423412612</v>
      </c>
      <c r="AC1172" s="3" t="str">
        <f aca="false">Y1172</f>
        <v/>
      </c>
      <c r="AD1172" s="3" t="n">
        <f aca="false">R1172</f>
        <v>0</v>
      </c>
    </row>
    <row r="1173" customFormat="false" ht="15" hidden="false" customHeight="true" outlineLevel="0" collapsed="false">
      <c r="A1173" s="7" t="s">
        <v>66</v>
      </c>
      <c r="B1173" s="7" t="n">
        <v>1971</v>
      </c>
      <c r="C1173" s="7" t="s">
        <v>151</v>
      </c>
      <c r="D1173" s="7" t="n">
        <v>60</v>
      </c>
      <c r="E1173" s="7" t="n">
        <v>102</v>
      </c>
      <c r="F1173" s="3" t="n">
        <f aca="false">COUNTIFS($B$2:$B$2705,B1173,$C$2:$C$2705,C1173)</f>
        <v>1</v>
      </c>
      <c r="G1173" s="3" t="n">
        <f aca="false">MIN(INT((MIN(B1173,2020)-1900)/10)+1,12)</f>
        <v>8</v>
      </c>
      <c r="H1173" s="3" t="n">
        <f aca="false">(MIN(B1173,2020)-1900-10*(G1173-1))/10</f>
        <v>0.1</v>
      </c>
      <c r="I1173" s="20" t="n">
        <f aca="false">EXP(LN(INDEX(Pop_Inputs!$B$2:$N$29,MATCH(C1173,Pop_Inputs!$A$2:$A$29,0),G1173))*(1-H1173)+LN(INDEX(Pop_Inputs!$B$2:$N$29,MATCH(C1173,Pop_Inputs!$A$2:$A$29,0),G1173+1))*H1173)</f>
        <v>730976.095735604</v>
      </c>
      <c r="J1173" s="20" t="n">
        <f aca="false">I1173/F1173</f>
        <v>730976.095735604</v>
      </c>
      <c r="K1173" s="21" t="n">
        <f aca="false">D1173/(D1173+E1173)</f>
        <v>0.37037037037037</v>
      </c>
      <c r="L1173" s="21" t="n">
        <f aca="false">AVERAGEIFS($K$2:$K$2705,$B$2:$B$2705,B1173)</f>
        <v>0.500019127566531</v>
      </c>
      <c r="M1173" s="21" t="n">
        <f aca="false">K1173-L1173</f>
        <v>-0.129648757196161</v>
      </c>
      <c r="N1173" s="21" t="n">
        <f aca="false">LN(J1173)</f>
        <v>13.5021360374251</v>
      </c>
      <c r="O1173" s="21" t="n">
        <f aca="false">AVERAGEIFS($N$2:$N$2705,$B$2:$B$2705,B1173)</f>
        <v>13.7494211542312</v>
      </c>
      <c r="P1173" s="21" t="n">
        <f aca="false">N1173-O1173</f>
        <v>-0.247285116806049</v>
      </c>
      <c r="Q1173" s="7" t="n">
        <v>0</v>
      </c>
      <c r="R1173" s="3" t="n">
        <f aca="false">IF(AND(Q1173=1,B1173-_xlfn.MINIFS($B$2:$B$2705,$A$2:$A$2705,A1173)&lt;10),1,0)</f>
        <v>0</v>
      </c>
      <c r="S1173" s="7" t="n">
        <v>0</v>
      </c>
      <c r="T1173" s="3" t="n">
        <f aca="false">_xlfn.MINIFS($B$2:$B$2705,$A$2:$A$2705,A1173)</f>
        <v>1901</v>
      </c>
      <c r="U1173" s="3" t="n">
        <f aca="false">B1173-T1173</f>
        <v>70</v>
      </c>
      <c r="V1173" s="3" t="str">
        <f aca="false">INDEX(Pop_Inputs!$Q$2:$Q$29,MATCH(C1173,Pop_Inputs!$A$2:$A$29,0))</f>
        <v>Midwest</v>
      </c>
      <c r="W1173" s="30"/>
      <c r="X1173" s="3" t="str">
        <f aca="false">IF(W1173="","",LN(W1173))</f>
        <v/>
      </c>
      <c r="Y1173" s="3" t="str">
        <f aca="false">IF(X1173="","",X1173-AVERAGEIFS($X$2:$X$2705,$B$2:$B$2705,B1173))</f>
        <v/>
      </c>
      <c r="Z1173" s="21" t="n">
        <f aca="false">P1173</f>
        <v>-0.247285116806049</v>
      </c>
      <c r="AA1173" s="3" t="n">
        <f aca="false">R1173</f>
        <v>0</v>
      </c>
      <c r="AB1173" s="21" t="n">
        <f aca="false">P1173</f>
        <v>-0.247285116806049</v>
      </c>
      <c r="AC1173" s="3" t="str">
        <f aca="false">Y1173</f>
        <v/>
      </c>
      <c r="AD1173" s="3" t="n">
        <f aca="false">R1173</f>
        <v>0</v>
      </c>
    </row>
    <row r="1174" customFormat="false" ht="15" hidden="false" customHeight="true" outlineLevel="0" collapsed="false">
      <c r="A1174" s="7" t="s">
        <v>67</v>
      </c>
      <c r="B1174" s="7" t="n">
        <v>1971</v>
      </c>
      <c r="C1174" s="7" t="s">
        <v>152</v>
      </c>
      <c r="D1174" s="7" t="n">
        <v>91</v>
      </c>
      <c r="E1174" s="7" t="n">
        <v>71</v>
      </c>
      <c r="F1174" s="3" t="n">
        <f aca="false">COUNTIFS($B$2:$B$2705,B1174,$C$2:$C$2705,C1174)</f>
        <v>1</v>
      </c>
      <c r="G1174" s="3" t="n">
        <f aca="false">MIN(INT((MIN(B1174,2020)-1900)/10)+1,12)</f>
        <v>8</v>
      </c>
      <c r="H1174" s="3" t="n">
        <f aca="false">(MIN(B1174,2020)-1900-10*(G1174-1))/10</f>
        <v>0.1</v>
      </c>
      <c r="I1174" s="20" t="n">
        <f aca="false">EXP(LN(INDEX(Pop_Inputs!$B$2:$N$29,MATCH(C1174,Pop_Inputs!$A$2:$A$29,0),G1174))*(1-H1174)+LN(INDEX(Pop_Inputs!$B$2:$N$29,MATCH(C1174,Pop_Inputs!$A$2:$A$29,0),G1174+1))*H1174)</f>
        <v>1477415.07978049</v>
      </c>
      <c r="J1174" s="20" t="n">
        <f aca="false">I1174/F1174</f>
        <v>1477415.07978049</v>
      </c>
      <c r="K1174" s="21" t="n">
        <f aca="false">D1174/(D1174+E1174)</f>
        <v>0.561728395061728</v>
      </c>
      <c r="L1174" s="21" t="n">
        <f aca="false">AVERAGEIFS($K$2:$K$2705,$B$2:$B$2705,B1174)</f>
        <v>0.500019127566531</v>
      </c>
      <c r="M1174" s="21" t="n">
        <f aca="false">K1174-L1174</f>
        <v>0.061709267495197</v>
      </c>
      <c r="N1174" s="21" t="n">
        <f aca="false">LN(J1174)</f>
        <v>14.2058045509967</v>
      </c>
      <c r="O1174" s="21" t="n">
        <f aca="false">AVERAGEIFS($N$2:$N$2705,$B$2:$B$2705,B1174)</f>
        <v>13.7494211542312</v>
      </c>
      <c r="P1174" s="21" t="n">
        <f aca="false">N1174-O1174</f>
        <v>0.456383396765526</v>
      </c>
      <c r="Q1174" s="7" t="n">
        <v>0</v>
      </c>
      <c r="R1174" s="3" t="n">
        <f aca="false">IF(AND(Q1174=1,B1174-_xlfn.MINIFS($B$2:$B$2705,$A$2:$A$2705,A1174)&lt;10),1,0)</f>
        <v>0</v>
      </c>
      <c r="S1174" s="7" t="n">
        <v>0</v>
      </c>
      <c r="T1174" s="3" t="n">
        <f aca="false">_xlfn.MINIFS($B$2:$B$2705,$A$2:$A$2705,A1174)</f>
        <v>1901</v>
      </c>
      <c r="U1174" s="3" t="n">
        <f aca="false">B1174-T1174</f>
        <v>70</v>
      </c>
      <c r="V1174" s="3" t="str">
        <f aca="false">INDEX(Pop_Inputs!$Q$2:$Q$29,MATCH(C1174,Pop_Inputs!$A$2:$A$29,0))</f>
        <v>Midwest</v>
      </c>
      <c r="W1174" s="30"/>
      <c r="X1174" s="3" t="str">
        <f aca="false">IF(W1174="","",LN(W1174))</f>
        <v/>
      </c>
      <c r="Y1174" s="3" t="str">
        <f aca="false">IF(X1174="","",X1174-AVERAGEIFS($X$2:$X$2705,$B$2:$B$2705,B1174))</f>
        <v/>
      </c>
      <c r="Z1174" s="21" t="n">
        <f aca="false">P1174</f>
        <v>0.456383396765526</v>
      </c>
      <c r="AA1174" s="3" t="n">
        <f aca="false">R1174</f>
        <v>0</v>
      </c>
      <c r="AB1174" s="21" t="n">
        <f aca="false">P1174</f>
        <v>0.456383396765526</v>
      </c>
      <c r="AC1174" s="3" t="str">
        <f aca="false">Y1174</f>
        <v/>
      </c>
      <c r="AD1174" s="3" t="n">
        <f aca="false">R1174</f>
        <v>0</v>
      </c>
    </row>
    <row r="1175" customFormat="false" ht="15" hidden="false" customHeight="true" outlineLevel="0" collapsed="false">
      <c r="A1175" s="7" t="s">
        <v>74</v>
      </c>
      <c r="B1175" s="7" t="n">
        <v>1971</v>
      </c>
      <c r="C1175" s="7" t="s">
        <v>156</v>
      </c>
      <c r="D1175" s="7" t="n">
        <v>79</v>
      </c>
      <c r="E1175" s="7" t="n">
        <v>83</v>
      </c>
      <c r="F1175" s="3" t="n">
        <f aca="false">COUNTIFS($B$2:$B$2705,B1175,$C$2:$C$2705,C1175)</f>
        <v>1</v>
      </c>
      <c r="G1175" s="3" t="n">
        <f aca="false">MIN(INT((MIN(B1175,2020)-1900)/10)+1,12)</f>
        <v>8</v>
      </c>
      <c r="H1175" s="3" t="n">
        <f aca="false">(MIN(B1175,2020)-1900-10*(G1175-1))/10</f>
        <v>0.1</v>
      </c>
      <c r="I1175" s="20" t="n">
        <f aca="false">EXP(LN(INDEX(Pop_Inputs!$B$2:$N$29,MATCH(C1175,Pop_Inputs!$A$2:$A$29,0),G1175))*(1-H1175)+LN(INDEX(Pop_Inputs!$B$2:$N$29,MATCH(C1175,Pop_Inputs!$A$2:$A$29,0),G1175+1))*H1175)</f>
        <v>1264980.47831467</v>
      </c>
      <c r="J1175" s="20" t="n">
        <f aca="false">I1175/F1175</f>
        <v>1264980.47831467</v>
      </c>
      <c r="K1175" s="21" t="n">
        <f aca="false">D1175/(D1175+E1175)</f>
        <v>0.487654320987654</v>
      </c>
      <c r="L1175" s="21" t="n">
        <f aca="false">AVERAGEIFS($K$2:$K$2705,$B$2:$B$2705,B1175)</f>
        <v>0.500019127566531</v>
      </c>
      <c r="M1175" s="21" t="n">
        <f aca="false">K1175-L1175</f>
        <v>-0.0123648065788771</v>
      </c>
      <c r="N1175" s="21" t="n">
        <f aca="false">LN(J1175)</f>
        <v>14.0505672478624</v>
      </c>
      <c r="O1175" s="21" t="n">
        <f aca="false">AVERAGEIFS($N$2:$N$2705,$B$2:$B$2705,B1175)</f>
        <v>13.7494211542312</v>
      </c>
      <c r="P1175" s="21" t="n">
        <f aca="false">N1175-O1175</f>
        <v>0.30114609363117</v>
      </c>
      <c r="Q1175" s="7" t="n">
        <v>1</v>
      </c>
      <c r="R1175" s="3" t="n">
        <f aca="false">IF(AND(Q1175=1,B1175-_xlfn.MINIFS($B$2:$B$2705,$A$2:$A$2705,A1175)&lt;10),1,0)</f>
        <v>1</v>
      </c>
      <c r="S1175" s="7" t="n">
        <v>0</v>
      </c>
      <c r="T1175" s="3" t="n">
        <f aca="false">_xlfn.MINIFS($B$2:$B$2705,$A$2:$A$2705,A1175)</f>
        <v>1962</v>
      </c>
      <c r="U1175" s="3" t="n">
        <f aca="false">B1175-T1175</f>
        <v>9</v>
      </c>
      <c r="V1175" s="3" t="str">
        <f aca="false">INDEX(Pop_Inputs!$Q$2:$Q$29,MATCH(C1175,Pop_Inputs!$A$2:$A$29,0))</f>
        <v>South</v>
      </c>
      <c r="W1175" s="30"/>
      <c r="X1175" s="3" t="str">
        <f aca="false">IF(W1175="","",LN(W1175))</f>
        <v/>
      </c>
      <c r="Y1175" s="3" t="str">
        <f aca="false">IF(X1175="","",X1175-AVERAGEIFS($X$2:$X$2705,$B$2:$B$2705,B1175))</f>
        <v/>
      </c>
      <c r="Z1175" s="21" t="n">
        <f aca="false">P1175</f>
        <v>0.30114609363117</v>
      </c>
      <c r="AA1175" s="3" t="n">
        <f aca="false">R1175</f>
        <v>1</v>
      </c>
      <c r="AB1175" s="21" t="n">
        <f aca="false">P1175</f>
        <v>0.30114609363117</v>
      </c>
      <c r="AC1175" s="3" t="str">
        <f aca="false">Y1175</f>
        <v/>
      </c>
      <c r="AD1175" s="3" t="n">
        <f aca="false">R1175</f>
        <v>1</v>
      </c>
    </row>
    <row r="1176" customFormat="false" ht="15" hidden="false" customHeight="true" outlineLevel="0" collapsed="false">
      <c r="A1176" s="7" t="s">
        <v>76</v>
      </c>
      <c r="B1176" s="7" t="n">
        <v>1971</v>
      </c>
      <c r="C1176" s="7" t="s">
        <v>157</v>
      </c>
      <c r="D1176" s="7" t="n">
        <v>85</v>
      </c>
      <c r="E1176" s="7" t="n">
        <v>76</v>
      </c>
      <c r="F1176" s="3" t="n">
        <f aca="false">COUNTIFS($B$2:$B$2705,B1176,$C$2:$C$2705,C1176)</f>
        <v>1</v>
      </c>
      <c r="G1176" s="3" t="n">
        <f aca="false">MIN(INT((MIN(B1176,2020)-1900)/10)+1,12)</f>
        <v>8</v>
      </c>
      <c r="H1176" s="3" t="n">
        <f aca="false">(MIN(B1176,2020)-1900-10*(G1176-1))/10</f>
        <v>0.1</v>
      </c>
      <c r="I1176" s="20" t="n">
        <f aca="false">EXP(LN(INDEX(Pop_Inputs!$B$2:$N$29,MATCH(C1176,Pop_Inputs!$A$2:$A$29,0),G1176))*(1-H1176)+LN(INDEX(Pop_Inputs!$B$2:$N$29,MATCH(C1176,Pop_Inputs!$A$2:$A$29,0),G1176+1))*H1176)</f>
        <v>500861.259640942</v>
      </c>
      <c r="J1176" s="20" t="n">
        <f aca="false">I1176/F1176</f>
        <v>500861.259640942</v>
      </c>
      <c r="K1176" s="21" t="n">
        <f aca="false">D1176/(D1176+E1176)</f>
        <v>0.527950310559006</v>
      </c>
      <c r="L1176" s="21" t="n">
        <f aca="false">AVERAGEIFS($K$2:$K$2705,$B$2:$B$2705,B1176)</f>
        <v>0.500019127566531</v>
      </c>
      <c r="M1176" s="21" t="n">
        <f aca="false">K1176-L1176</f>
        <v>0.0279311829924748</v>
      </c>
      <c r="N1176" s="21" t="n">
        <f aca="false">LN(J1176)</f>
        <v>13.1240844148513</v>
      </c>
      <c r="O1176" s="21" t="n">
        <f aca="false">AVERAGEIFS($N$2:$N$2705,$B$2:$B$2705,B1176)</f>
        <v>13.7494211542312</v>
      </c>
      <c r="P1176" s="21" t="n">
        <f aca="false">N1176-O1176</f>
        <v>-0.625336739379906</v>
      </c>
      <c r="Q1176" s="7" t="n">
        <v>1</v>
      </c>
      <c r="R1176" s="3" t="n">
        <f aca="false">IF(AND(Q1176=1,B1176-_xlfn.MINIFS($B$2:$B$2705,$A$2:$A$2705,A1176)&lt;10),1,0)</f>
        <v>1</v>
      </c>
      <c r="S1176" s="7" t="n">
        <v>0</v>
      </c>
      <c r="T1176" s="3" t="n">
        <f aca="false">_xlfn.MINIFS($B$2:$B$2705,$A$2:$A$2705,A1176)</f>
        <v>1969</v>
      </c>
      <c r="U1176" s="3" t="n">
        <f aca="false">B1176-T1176</f>
        <v>2</v>
      </c>
      <c r="V1176" s="3" t="str">
        <f aca="false">INDEX(Pop_Inputs!$Q$2:$Q$29,MATCH(C1176,Pop_Inputs!$A$2:$A$29,0))</f>
        <v>Midwest</v>
      </c>
      <c r="W1176" s="30"/>
      <c r="X1176" s="3" t="str">
        <f aca="false">IF(W1176="","",LN(W1176))</f>
        <v/>
      </c>
      <c r="Y1176" s="3" t="str">
        <f aca="false">IF(X1176="","",X1176-AVERAGEIFS($X$2:$X$2705,$B$2:$B$2705,B1176))</f>
        <v/>
      </c>
      <c r="Z1176" s="21" t="n">
        <f aca="false">P1176</f>
        <v>-0.625336739379906</v>
      </c>
      <c r="AA1176" s="3" t="n">
        <f aca="false">R1176</f>
        <v>1</v>
      </c>
      <c r="AB1176" s="21" t="n">
        <f aca="false">P1176</f>
        <v>-0.625336739379906</v>
      </c>
      <c r="AC1176" s="3" t="str">
        <f aca="false">Y1176</f>
        <v/>
      </c>
      <c r="AD1176" s="3" t="n">
        <f aca="false">R1176</f>
        <v>1</v>
      </c>
    </row>
    <row r="1177" customFormat="false" ht="15" hidden="false" customHeight="true" outlineLevel="0" collapsed="false">
      <c r="A1177" s="7" t="s">
        <v>62</v>
      </c>
      <c r="B1177" s="7" t="n">
        <v>1971</v>
      </c>
      <c r="C1177" s="7" t="s">
        <v>148</v>
      </c>
      <c r="D1177" s="7" t="n">
        <v>89</v>
      </c>
      <c r="E1177" s="7" t="n">
        <v>73</v>
      </c>
      <c r="F1177" s="3" t="n">
        <f aca="false">COUNTIFS($B$2:$B$2705,B1177,$C$2:$C$2705,C1177)</f>
        <v>2</v>
      </c>
      <c r="G1177" s="3" t="n">
        <f aca="false">MIN(INT((MIN(B1177,2020)-1900)/10)+1,12)</f>
        <v>8</v>
      </c>
      <c r="H1177" s="3" t="n">
        <f aca="false">(MIN(B1177,2020)-1900-10*(G1177-1))/10</f>
        <v>0.1</v>
      </c>
      <c r="I1177" s="20" t="n">
        <f aca="false">EXP(LN(INDEX(Pop_Inputs!$B$2:$N$29,MATCH(C1177,Pop_Inputs!$A$2:$A$29,0),G1177))*(1-H1177)+LN(INDEX(Pop_Inputs!$B$2:$N$29,MATCH(C1177,Pop_Inputs!$A$2:$A$29,0),G1177+1))*H1177)</f>
        <v>2830788.42535109</v>
      </c>
      <c r="J1177" s="20" t="n">
        <f aca="false">I1177/F1177</f>
        <v>1415394.21267555</v>
      </c>
      <c r="K1177" s="21" t="n">
        <f aca="false">D1177/(D1177+E1177)</f>
        <v>0.549382716049383</v>
      </c>
      <c r="L1177" s="21" t="n">
        <f aca="false">AVERAGEIFS($K$2:$K$2705,$B$2:$B$2705,B1177)</f>
        <v>0.500019127566531</v>
      </c>
      <c r="M1177" s="21" t="n">
        <f aca="false">K1177-L1177</f>
        <v>0.0493635884828513</v>
      </c>
      <c r="N1177" s="21" t="n">
        <f aca="false">LN(J1177)</f>
        <v>14.1629186457894</v>
      </c>
      <c r="O1177" s="21" t="n">
        <f aca="false">AVERAGEIFS($N$2:$N$2705,$B$2:$B$2705,B1177)</f>
        <v>13.7494211542312</v>
      </c>
      <c r="P1177" s="21" t="n">
        <f aca="false">N1177-O1177</f>
        <v>0.413497491558173</v>
      </c>
      <c r="Q1177" s="7" t="n">
        <v>0</v>
      </c>
      <c r="R1177" s="3" t="n">
        <f aca="false">IF(AND(Q1177=1,B1177-_xlfn.MINIFS($B$2:$B$2705,$A$2:$A$2705,A1177)&lt;10),1,0)</f>
        <v>0</v>
      </c>
      <c r="S1177" s="7" t="n">
        <v>0</v>
      </c>
      <c r="T1177" s="3" t="n">
        <f aca="false">_xlfn.MINIFS($B$2:$B$2705,$A$2:$A$2705,A1177)</f>
        <v>1901</v>
      </c>
      <c r="U1177" s="3" t="n">
        <f aca="false">B1177-T1177</f>
        <v>70</v>
      </c>
      <c r="V1177" s="3" t="str">
        <f aca="false">INDEX(Pop_Inputs!$Q$2:$Q$29,MATCH(C1177,Pop_Inputs!$A$2:$A$29,0))</f>
        <v>West</v>
      </c>
      <c r="W1177" s="30"/>
      <c r="X1177" s="3" t="str">
        <f aca="false">IF(W1177="","",LN(W1177))</f>
        <v/>
      </c>
      <c r="Y1177" s="3" t="str">
        <f aca="false">IF(X1177="","",X1177-AVERAGEIFS($X$2:$X$2705,$B$2:$B$2705,B1177))</f>
        <v/>
      </c>
      <c r="Z1177" s="21" t="n">
        <f aca="false">P1177</f>
        <v>0.413497491558173</v>
      </c>
      <c r="AA1177" s="3" t="n">
        <f aca="false">R1177</f>
        <v>0</v>
      </c>
      <c r="AB1177" s="21" t="n">
        <f aca="false">P1177</f>
        <v>0.413497491558173</v>
      </c>
      <c r="AC1177" s="3" t="str">
        <f aca="false">Y1177</f>
        <v/>
      </c>
      <c r="AD1177" s="3" t="n">
        <f aca="false">R1177</f>
        <v>0</v>
      </c>
    </row>
    <row r="1178" customFormat="false" ht="15" hidden="false" customHeight="true" outlineLevel="0" collapsed="false">
      <c r="A1178" s="7" t="s">
        <v>77</v>
      </c>
      <c r="B1178" s="7" t="n">
        <v>1971</v>
      </c>
      <c r="C1178" s="7" t="s">
        <v>158</v>
      </c>
      <c r="D1178" s="7" t="n">
        <v>69</v>
      </c>
      <c r="E1178" s="7" t="n">
        <v>92</v>
      </c>
      <c r="F1178" s="3" t="n">
        <f aca="false">COUNTIFS($B$2:$B$2705,B1178,$C$2:$C$2705,C1178)</f>
        <v>1</v>
      </c>
      <c r="G1178" s="3" t="n">
        <f aca="false">MIN(INT((MIN(B1178,2020)-1900)/10)+1,12)</f>
        <v>8</v>
      </c>
      <c r="H1178" s="3" t="n">
        <f aca="false">(MIN(B1178,2020)-1900-10*(G1178-1))/10</f>
        <v>0.1</v>
      </c>
      <c r="I1178" s="20" t="n">
        <f aca="false">EXP(LN(INDEX(Pop_Inputs!$B$2:$N$29,MATCH(C1178,Pop_Inputs!$A$2:$A$29,0),G1178))*(1-H1178)+LN(INDEX(Pop_Inputs!$B$2:$N$29,MATCH(C1178,Pop_Inputs!$A$2:$A$29,0),G1178+1))*H1178)</f>
        <v>708567.764694857</v>
      </c>
      <c r="J1178" s="20" t="n">
        <f aca="false">I1178/F1178</f>
        <v>708567.764694857</v>
      </c>
      <c r="K1178" s="21" t="n">
        <f aca="false">D1178/(D1178+E1178)</f>
        <v>0.428571428571429</v>
      </c>
      <c r="L1178" s="21" t="n">
        <f aca="false">AVERAGEIFS($K$2:$K$2705,$B$2:$B$2705,B1178)</f>
        <v>0.500019127566531</v>
      </c>
      <c r="M1178" s="21" t="n">
        <f aca="false">K1178-L1178</f>
        <v>-0.0714476989951029</v>
      </c>
      <c r="N1178" s="21" t="n">
        <f aca="false">LN(J1178)</f>
        <v>13.4710009788389</v>
      </c>
      <c r="O1178" s="21" t="n">
        <f aca="false">AVERAGEIFS($N$2:$N$2705,$B$2:$B$2705,B1178)</f>
        <v>13.7494211542312</v>
      </c>
      <c r="P1178" s="21" t="n">
        <f aca="false">N1178-O1178</f>
        <v>-0.278420175392315</v>
      </c>
      <c r="Q1178" s="7" t="n">
        <v>1</v>
      </c>
      <c r="R1178" s="3" t="n">
        <f aca="false">IF(AND(Q1178=1,B1178-_xlfn.MINIFS($B$2:$B$2705,$A$2:$A$2705,A1178)&lt;10),1,0)</f>
        <v>1</v>
      </c>
      <c r="S1178" s="7" t="n">
        <v>0</v>
      </c>
      <c r="T1178" s="3" t="n">
        <f aca="false">_xlfn.MINIFS($B$2:$B$2705,$A$2:$A$2705,A1178)</f>
        <v>1969</v>
      </c>
      <c r="U1178" s="3" t="n">
        <f aca="false">B1178-T1178</f>
        <v>2</v>
      </c>
      <c r="V1178" s="3" t="str">
        <f aca="false">INDEX(Pop_Inputs!$Q$2:$Q$29,MATCH(C1178,Pop_Inputs!$A$2:$A$29,0))</f>
        <v>Midwest</v>
      </c>
      <c r="W1178" s="30"/>
      <c r="X1178" s="3" t="str">
        <f aca="false">IF(W1178="","",LN(W1178))</f>
        <v/>
      </c>
      <c r="Y1178" s="3" t="str">
        <f aca="false">IF(X1178="","",X1178-AVERAGEIFS($X$2:$X$2705,$B$2:$B$2705,B1178))</f>
        <v/>
      </c>
      <c r="Z1178" s="21" t="n">
        <f aca="false">P1178</f>
        <v>-0.278420175392315</v>
      </c>
      <c r="AA1178" s="3" t="n">
        <f aca="false">R1178</f>
        <v>1</v>
      </c>
      <c r="AB1178" s="21" t="n">
        <f aca="false">P1178</f>
        <v>-0.278420175392315</v>
      </c>
      <c r="AC1178" s="3" t="str">
        <f aca="false">Y1178</f>
        <v/>
      </c>
      <c r="AD1178" s="3" t="n">
        <f aca="false">R1178</f>
        <v>1</v>
      </c>
    </row>
    <row r="1179" customFormat="false" ht="15" hidden="false" customHeight="true" outlineLevel="0" collapsed="false">
      <c r="A1179" s="7" t="s">
        <v>68</v>
      </c>
      <c r="B1179" s="7" t="n">
        <v>1971</v>
      </c>
      <c r="C1179" s="7" t="s">
        <v>153</v>
      </c>
      <c r="D1179" s="7" t="n">
        <v>74</v>
      </c>
      <c r="E1179" s="7" t="n">
        <v>86</v>
      </c>
      <c r="F1179" s="3" t="n">
        <f aca="false">COUNTIFS($B$2:$B$2705,B1179,$C$2:$C$2705,C1179)</f>
        <v>1</v>
      </c>
      <c r="G1179" s="3" t="n">
        <f aca="false">MIN(INT((MIN(B1179,2020)-1900)/10)+1,12)</f>
        <v>8</v>
      </c>
      <c r="H1179" s="3" t="n">
        <f aca="false">(MIN(B1179,2020)-1900-10*(G1179-1))/10</f>
        <v>0.1</v>
      </c>
      <c r="I1179" s="20" t="n">
        <f aca="false">EXP(LN(INDEX(Pop_Inputs!$B$2:$N$29,MATCH(C1179,Pop_Inputs!$A$2:$A$29,0),G1179))*(1-H1179)+LN(INDEX(Pop_Inputs!$B$2:$N$29,MATCH(C1179,Pop_Inputs!$A$2:$A$29,0),G1179+1))*H1179)</f>
        <v>427594.873298368</v>
      </c>
      <c r="J1179" s="20" t="n">
        <f aca="false">I1179/F1179</f>
        <v>427594.873298368</v>
      </c>
      <c r="K1179" s="21" t="n">
        <f aca="false">D1179/(D1179+E1179)</f>
        <v>0.4625</v>
      </c>
      <c r="L1179" s="21" t="n">
        <f aca="false">AVERAGEIFS($K$2:$K$2705,$B$2:$B$2705,B1179)</f>
        <v>0.500019127566531</v>
      </c>
      <c r="M1179" s="21" t="n">
        <f aca="false">K1179-L1179</f>
        <v>-0.0375191275665314</v>
      </c>
      <c r="N1179" s="21" t="n">
        <f aca="false">LN(J1179)</f>
        <v>12.9659314685812</v>
      </c>
      <c r="O1179" s="21" t="n">
        <f aca="false">AVERAGEIFS($N$2:$N$2705,$B$2:$B$2705,B1179)</f>
        <v>13.7494211542312</v>
      </c>
      <c r="P1179" s="21" t="n">
        <f aca="false">N1179-O1179</f>
        <v>-0.783489685650004</v>
      </c>
      <c r="Q1179" s="7" t="n">
        <v>0</v>
      </c>
      <c r="R1179" s="3" t="n">
        <f aca="false">IF(AND(Q1179=1,B1179-_xlfn.MINIFS($B$2:$B$2705,$A$2:$A$2705,A1179)&lt;10),1,0)</f>
        <v>0</v>
      </c>
      <c r="S1179" s="7" t="n">
        <v>0</v>
      </c>
      <c r="T1179" s="3" t="n">
        <f aca="false">_xlfn.MINIFS($B$2:$B$2705,$A$2:$A$2705,A1179)</f>
        <v>1901</v>
      </c>
      <c r="U1179" s="3" t="n">
        <f aca="false">B1179-T1179</f>
        <v>70</v>
      </c>
      <c r="V1179" s="3" t="str">
        <f aca="false">INDEX(Pop_Inputs!$Q$2:$Q$29,MATCH(C1179,Pop_Inputs!$A$2:$A$29,0))</f>
        <v>Midwest</v>
      </c>
      <c r="W1179" s="30"/>
      <c r="X1179" s="3" t="str">
        <f aca="false">IF(W1179="","",LN(W1179))</f>
        <v/>
      </c>
      <c r="Y1179" s="3" t="str">
        <f aca="false">IF(X1179="","",X1179-AVERAGEIFS($X$2:$X$2705,$B$2:$B$2705,B1179))</f>
        <v/>
      </c>
      <c r="Z1179" s="21" t="n">
        <f aca="false">P1179</f>
        <v>-0.783489685650004</v>
      </c>
      <c r="AA1179" s="3" t="n">
        <f aca="false">R1179</f>
        <v>0</v>
      </c>
      <c r="AB1179" s="21" t="n">
        <f aca="false">P1179</f>
        <v>-0.783489685650004</v>
      </c>
      <c r="AC1179" s="3" t="str">
        <f aca="false">Y1179</f>
        <v/>
      </c>
      <c r="AD1179" s="3" t="n">
        <f aca="false">R1179</f>
        <v>0</v>
      </c>
    </row>
    <row r="1180" customFormat="false" ht="15" hidden="false" customHeight="true" outlineLevel="0" collapsed="false">
      <c r="A1180" s="7" t="s">
        <v>75</v>
      </c>
      <c r="B1180" s="7" t="n">
        <v>1971</v>
      </c>
      <c r="C1180" s="7" t="s">
        <v>154</v>
      </c>
      <c r="D1180" s="7" t="n">
        <v>83</v>
      </c>
      <c r="E1180" s="7" t="n">
        <v>79</v>
      </c>
      <c r="F1180" s="3" t="n">
        <f aca="false">COUNTIFS($B$2:$B$2705,B1180,$C$2:$C$2705,C1180)</f>
        <v>2</v>
      </c>
      <c r="G1180" s="3" t="n">
        <f aca="false">MIN(INT((MIN(B1180,2020)-1900)/10)+1,12)</f>
        <v>8</v>
      </c>
      <c r="H1180" s="3" t="n">
        <f aca="false">(MIN(B1180,2020)-1900-10*(G1180-1))/10</f>
        <v>0.1</v>
      </c>
      <c r="I1180" s="20" t="n">
        <f aca="false">EXP(LN(INDEX(Pop_Inputs!$B$2:$N$29,MATCH(C1180,Pop_Inputs!$A$2:$A$29,0),G1180))*(1-H1180)+LN(INDEX(Pop_Inputs!$B$2:$N$29,MATCH(C1180,Pop_Inputs!$A$2:$A$29,0),G1180+1))*H1180)</f>
        <v>7808400.79475594</v>
      </c>
      <c r="J1180" s="20" t="n">
        <f aca="false">I1180/F1180</f>
        <v>3904200.39737797</v>
      </c>
      <c r="K1180" s="21" t="n">
        <f aca="false">D1180/(D1180+E1180)</f>
        <v>0.512345679012346</v>
      </c>
      <c r="L1180" s="21" t="n">
        <f aca="false">AVERAGEIFS($K$2:$K$2705,$B$2:$B$2705,B1180)</f>
        <v>0.500019127566531</v>
      </c>
      <c r="M1180" s="21" t="n">
        <f aca="false">K1180-L1180</f>
        <v>0.0123265514458143</v>
      </c>
      <c r="N1180" s="21" t="n">
        <f aca="false">LN(J1180)</f>
        <v>15.1775635564933</v>
      </c>
      <c r="O1180" s="21" t="n">
        <f aca="false">AVERAGEIFS($N$2:$N$2705,$B$2:$B$2705,B1180)</f>
        <v>13.7494211542312</v>
      </c>
      <c r="P1180" s="21" t="n">
        <f aca="false">N1180-O1180</f>
        <v>1.42814240226211</v>
      </c>
      <c r="Q1180" s="7" t="n">
        <v>1</v>
      </c>
      <c r="R1180" s="3" t="n">
        <f aca="false">IF(AND(Q1180=1,B1180-_xlfn.MINIFS($B$2:$B$2705,$A$2:$A$2705,A1180)&lt;10),1,0)</f>
        <v>1</v>
      </c>
      <c r="S1180" s="7" t="n">
        <v>0</v>
      </c>
      <c r="T1180" s="3" t="n">
        <f aca="false">_xlfn.MINIFS($B$2:$B$2705,$A$2:$A$2705,A1180)</f>
        <v>1962</v>
      </c>
      <c r="U1180" s="3" t="n">
        <f aca="false">B1180-T1180</f>
        <v>9</v>
      </c>
      <c r="V1180" s="3" t="str">
        <f aca="false">INDEX(Pop_Inputs!$Q$2:$Q$29,MATCH(C1180,Pop_Inputs!$A$2:$A$29,0))</f>
        <v>Northeast</v>
      </c>
      <c r="W1180" s="30"/>
      <c r="X1180" s="3" t="str">
        <f aca="false">IF(W1180="","",LN(W1180))</f>
        <v/>
      </c>
      <c r="Y1180" s="3" t="str">
        <f aca="false">IF(X1180="","",X1180-AVERAGEIFS($X$2:$X$2705,$B$2:$B$2705,B1180))</f>
        <v/>
      </c>
      <c r="Z1180" s="21" t="n">
        <f aca="false">P1180</f>
        <v>1.42814240226211</v>
      </c>
      <c r="AA1180" s="3" t="n">
        <f aca="false">R1180</f>
        <v>1</v>
      </c>
      <c r="AB1180" s="21" t="n">
        <f aca="false">P1180</f>
        <v>1.42814240226211</v>
      </c>
      <c r="AC1180" s="3" t="str">
        <f aca="false">Y1180</f>
        <v/>
      </c>
      <c r="AD1180" s="3" t="n">
        <f aca="false">R1180</f>
        <v>1</v>
      </c>
    </row>
    <row r="1181" customFormat="false" ht="15" hidden="false" customHeight="true" outlineLevel="0" collapsed="false">
      <c r="A1181" s="7" t="s">
        <v>70</v>
      </c>
      <c r="B1181" s="7" t="n">
        <v>1971</v>
      </c>
      <c r="C1181" s="7" t="s">
        <v>154</v>
      </c>
      <c r="D1181" s="7" t="n">
        <v>82</v>
      </c>
      <c r="E1181" s="7" t="n">
        <v>80</v>
      </c>
      <c r="F1181" s="3" t="n">
        <f aca="false">COUNTIFS($B$2:$B$2705,B1181,$C$2:$C$2705,C1181)</f>
        <v>2</v>
      </c>
      <c r="G1181" s="3" t="n">
        <f aca="false">MIN(INT((MIN(B1181,2020)-1900)/10)+1,12)</f>
        <v>8</v>
      </c>
      <c r="H1181" s="3" t="n">
        <f aca="false">(MIN(B1181,2020)-1900-10*(G1181-1))/10</f>
        <v>0.1</v>
      </c>
      <c r="I1181" s="20" t="n">
        <f aca="false">EXP(LN(INDEX(Pop_Inputs!$B$2:$N$29,MATCH(C1181,Pop_Inputs!$A$2:$A$29,0),G1181))*(1-H1181)+LN(INDEX(Pop_Inputs!$B$2:$N$29,MATCH(C1181,Pop_Inputs!$A$2:$A$29,0),G1181+1))*H1181)</f>
        <v>7808400.79475594</v>
      </c>
      <c r="J1181" s="20" t="n">
        <f aca="false">I1181/F1181</f>
        <v>3904200.39737797</v>
      </c>
      <c r="K1181" s="21" t="n">
        <f aca="false">D1181/(D1181+E1181)</f>
        <v>0.506172839506173</v>
      </c>
      <c r="L1181" s="21" t="n">
        <f aca="false">AVERAGEIFS($K$2:$K$2705,$B$2:$B$2705,B1181)</f>
        <v>0.500019127566531</v>
      </c>
      <c r="M1181" s="21" t="n">
        <f aca="false">K1181-L1181</f>
        <v>0.00615371193964143</v>
      </c>
      <c r="N1181" s="21" t="n">
        <f aca="false">LN(J1181)</f>
        <v>15.1775635564933</v>
      </c>
      <c r="O1181" s="21" t="n">
        <f aca="false">AVERAGEIFS($N$2:$N$2705,$B$2:$B$2705,B1181)</f>
        <v>13.7494211542312</v>
      </c>
      <c r="P1181" s="21" t="n">
        <f aca="false">N1181-O1181</f>
        <v>1.42814240226211</v>
      </c>
      <c r="Q1181" s="7" t="n">
        <v>0</v>
      </c>
      <c r="R1181" s="3" t="n">
        <f aca="false">IF(AND(Q1181=1,B1181-_xlfn.MINIFS($B$2:$B$2705,$A$2:$A$2705,A1181)&lt;10),1,0)</f>
        <v>0</v>
      </c>
      <c r="S1181" s="7" t="n">
        <v>1</v>
      </c>
      <c r="T1181" s="3" t="n">
        <f aca="false">_xlfn.MINIFS($B$2:$B$2705,$A$2:$A$2705,A1181)</f>
        <v>1903</v>
      </c>
      <c r="U1181" s="3" t="n">
        <f aca="false">B1181-T1181</f>
        <v>68</v>
      </c>
      <c r="V1181" s="3" t="str">
        <f aca="false">INDEX(Pop_Inputs!$Q$2:$Q$29,MATCH(C1181,Pop_Inputs!$A$2:$A$29,0))</f>
        <v>Northeast</v>
      </c>
      <c r="W1181" s="30"/>
      <c r="X1181" s="3" t="str">
        <f aca="false">IF(W1181="","",LN(W1181))</f>
        <v/>
      </c>
      <c r="Y1181" s="3" t="str">
        <f aca="false">IF(X1181="","",X1181-AVERAGEIFS($X$2:$X$2705,$B$2:$B$2705,B1181))</f>
        <v/>
      </c>
      <c r="Z1181" s="21" t="n">
        <f aca="false">P1181</f>
        <v>1.42814240226211</v>
      </c>
      <c r="AA1181" s="3" t="n">
        <f aca="false">R1181</f>
        <v>0</v>
      </c>
      <c r="AB1181" s="21" t="n">
        <f aca="false">P1181</f>
        <v>1.42814240226211</v>
      </c>
      <c r="AC1181" s="3" t="str">
        <f aca="false">Y1181</f>
        <v/>
      </c>
      <c r="AD1181" s="3" t="n">
        <f aca="false">R1181</f>
        <v>0</v>
      </c>
    </row>
    <row r="1182" customFormat="false" ht="15" hidden="false" customHeight="true" outlineLevel="0" collapsed="false">
      <c r="A1182" s="7" t="s">
        <v>69</v>
      </c>
      <c r="B1182" s="7" t="n">
        <v>1971</v>
      </c>
      <c r="C1182" s="7" t="s">
        <v>253</v>
      </c>
      <c r="D1182" s="7" t="n">
        <v>101</v>
      </c>
      <c r="E1182" s="7" t="n">
        <v>60</v>
      </c>
      <c r="F1182" s="3" t="n">
        <f aca="false">COUNTIFS($B$2:$B$2705,B1182,$C$2:$C$2705,C1182)</f>
        <v>1</v>
      </c>
      <c r="G1182" s="3" t="n">
        <f aca="false">MIN(INT((MIN(B1182,2020)-1900)/10)+1,12)</f>
        <v>8</v>
      </c>
      <c r="H1182" s="3" t="n">
        <f aca="false">(MIN(B1182,2020)-1900-10*(G1182-1))/10</f>
        <v>0.1</v>
      </c>
      <c r="I1182" s="20" t="n">
        <f aca="false">EXP(LN(INDEX(Pop_Inputs!$B$2:$N$29,MATCH(C1182,Pop_Inputs!$A$2:$A$29,0),G1182))*(1-H1182)+LN(INDEX(Pop_Inputs!$B$2:$N$29,MATCH(C1182,Pop_Inputs!$A$2:$A$29,0),G1182+1))*H1182)</f>
        <v>359274.623219646</v>
      </c>
      <c r="J1182" s="20" t="n">
        <f aca="false">I1182/F1182</f>
        <v>359274.623219646</v>
      </c>
      <c r="K1182" s="21" t="n">
        <f aca="false">D1182/(D1182+E1182)</f>
        <v>0.627329192546584</v>
      </c>
      <c r="L1182" s="21" t="n">
        <f aca="false">AVERAGEIFS($K$2:$K$2705,$B$2:$B$2705,B1182)</f>
        <v>0.500019127566531</v>
      </c>
      <c r="M1182" s="21" t="n">
        <f aca="false">K1182-L1182</f>
        <v>0.127310064980052</v>
      </c>
      <c r="N1182" s="21" t="n">
        <f aca="false">LN(J1182)</f>
        <v>12.7918423422178</v>
      </c>
      <c r="O1182" s="21" t="n">
        <f aca="false">AVERAGEIFS($N$2:$N$2705,$B$2:$B$2705,B1182)</f>
        <v>13.7494211542312</v>
      </c>
      <c r="P1182" s="21" t="n">
        <f aca="false">N1182-O1182</f>
        <v>-0.957578812013406</v>
      </c>
      <c r="Q1182" s="7" t="n">
        <v>0</v>
      </c>
      <c r="R1182" s="3" t="n">
        <f aca="false">IF(AND(Q1182=1,B1182-_xlfn.MINIFS($B$2:$B$2705,$A$2:$A$2705,A1182)&lt;10),1,0)</f>
        <v>0</v>
      </c>
      <c r="S1182" s="7" t="n">
        <v>0</v>
      </c>
      <c r="T1182" s="3" t="n">
        <f aca="false">_xlfn.MINIFS($B$2:$B$2705,$A$2:$A$2705,A1182)</f>
        <v>1901</v>
      </c>
      <c r="U1182" s="3" t="n">
        <f aca="false">B1182-T1182</f>
        <v>70</v>
      </c>
      <c r="V1182" s="3" t="str">
        <f aca="false">INDEX(Pop_Inputs!$Q$2:$Q$29,MATCH(C1182,Pop_Inputs!$A$2:$A$29,0))</f>
        <v>West</v>
      </c>
      <c r="W1182" s="30"/>
      <c r="X1182" s="3" t="str">
        <f aca="false">IF(W1182="","",LN(W1182))</f>
        <v/>
      </c>
      <c r="Y1182" s="3" t="str">
        <f aca="false">IF(X1182="","",X1182-AVERAGEIFS($X$2:$X$2705,$B$2:$B$2705,B1182))</f>
        <v/>
      </c>
      <c r="Z1182" s="21" t="n">
        <f aca="false">P1182</f>
        <v>-0.957578812013406</v>
      </c>
      <c r="AA1182" s="3" t="n">
        <f aca="false">R1182</f>
        <v>0</v>
      </c>
      <c r="AB1182" s="21" t="n">
        <f aca="false">P1182</f>
        <v>-0.957578812013406</v>
      </c>
      <c r="AC1182" s="3" t="str">
        <f aca="false">Y1182</f>
        <v/>
      </c>
      <c r="AD1182" s="3" t="n">
        <f aca="false">R1182</f>
        <v>0</v>
      </c>
    </row>
    <row r="1183" customFormat="false" ht="15" hidden="false" customHeight="true" outlineLevel="0" collapsed="false">
      <c r="A1183" s="7" t="s">
        <v>60</v>
      </c>
      <c r="B1183" s="7" t="n">
        <v>1971</v>
      </c>
      <c r="C1183" s="7" t="s">
        <v>146</v>
      </c>
      <c r="D1183" s="7" t="n">
        <v>67</v>
      </c>
      <c r="E1183" s="7" t="n">
        <v>95</v>
      </c>
      <c r="F1183" s="3" t="n">
        <f aca="false">COUNTIFS($B$2:$B$2705,B1183,$C$2:$C$2705,C1183)</f>
        <v>1</v>
      </c>
      <c r="G1183" s="3" t="n">
        <f aca="false">MIN(INT((MIN(B1183,2020)-1900)/10)+1,12)</f>
        <v>8</v>
      </c>
      <c r="H1183" s="3" t="n">
        <f aca="false">(MIN(B1183,2020)-1900-10*(G1183-1))/10</f>
        <v>0.1</v>
      </c>
      <c r="I1183" s="20" t="n">
        <f aca="false">EXP(LN(INDEX(Pop_Inputs!$B$2:$N$29,MATCH(C1183,Pop_Inputs!$A$2:$A$29,0),G1183))*(1-H1183)+LN(INDEX(Pop_Inputs!$B$2:$N$29,MATCH(C1183,Pop_Inputs!$A$2:$A$29,0),G1183+1))*H1183)</f>
        <v>1920856.31850127</v>
      </c>
      <c r="J1183" s="20" t="n">
        <f aca="false">I1183/F1183</f>
        <v>1920856.31850127</v>
      </c>
      <c r="K1183" s="21" t="n">
        <f aca="false">D1183/(D1183+E1183)</f>
        <v>0.41358024691358</v>
      </c>
      <c r="L1183" s="21" t="n">
        <f aca="false">AVERAGEIFS($K$2:$K$2705,$B$2:$B$2705,B1183)</f>
        <v>0.500019127566531</v>
      </c>
      <c r="M1183" s="21" t="n">
        <f aca="false">K1183-L1183</f>
        <v>-0.0864388806529512</v>
      </c>
      <c r="N1183" s="21" t="n">
        <f aca="false">LN(J1183)</f>
        <v>14.4682816437953</v>
      </c>
      <c r="O1183" s="21" t="n">
        <f aca="false">AVERAGEIFS($N$2:$N$2705,$B$2:$B$2705,B1183)</f>
        <v>13.7494211542312</v>
      </c>
      <c r="P1183" s="21" t="n">
        <f aca="false">N1183-O1183</f>
        <v>0.718860489564092</v>
      </c>
      <c r="Q1183" s="7" t="n">
        <v>0</v>
      </c>
      <c r="R1183" s="3" t="n">
        <f aca="false">IF(AND(Q1183=1,B1183-_xlfn.MINIFS($B$2:$B$2705,$A$2:$A$2705,A1183)&lt;10),1,0)</f>
        <v>0</v>
      </c>
      <c r="S1183" s="7" t="n">
        <v>0</v>
      </c>
      <c r="T1183" s="3" t="n">
        <f aca="false">_xlfn.MINIFS($B$2:$B$2705,$A$2:$A$2705,A1183)</f>
        <v>1901</v>
      </c>
      <c r="U1183" s="3" t="n">
        <f aca="false">B1183-T1183</f>
        <v>70</v>
      </c>
      <c r="V1183" s="3" t="str">
        <f aca="false">INDEX(Pop_Inputs!$Q$2:$Q$29,MATCH(C1183,Pop_Inputs!$A$2:$A$29,0))</f>
        <v>Northeast</v>
      </c>
      <c r="W1183" s="30"/>
      <c r="X1183" s="3" t="str">
        <f aca="false">IF(W1183="","",LN(W1183))</f>
        <v/>
      </c>
      <c r="Y1183" s="3" t="str">
        <f aca="false">IF(X1183="","",X1183-AVERAGEIFS($X$2:$X$2705,$B$2:$B$2705,B1183))</f>
        <v/>
      </c>
      <c r="Z1183" s="21" t="n">
        <f aca="false">P1183</f>
        <v>0.718860489564092</v>
      </c>
      <c r="AA1183" s="3" t="n">
        <f aca="false">R1183</f>
        <v>0</v>
      </c>
      <c r="AB1183" s="21" t="n">
        <f aca="false">P1183</f>
        <v>0.718860489564092</v>
      </c>
      <c r="AC1183" s="3" t="str">
        <f aca="false">Y1183</f>
        <v/>
      </c>
      <c r="AD1183" s="3" t="n">
        <f aca="false">R1183</f>
        <v>0</v>
      </c>
    </row>
    <row r="1184" customFormat="false" ht="15" hidden="false" customHeight="true" outlineLevel="0" collapsed="false">
      <c r="A1184" s="7" t="s">
        <v>58</v>
      </c>
      <c r="B1184" s="7" t="n">
        <v>1971</v>
      </c>
      <c r="C1184" s="7" t="s">
        <v>144</v>
      </c>
      <c r="D1184" s="7" t="n">
        <v>97</v>
      </c>
      <c r="E1184" s="7" t="n">
        <v>65</v>
      </c>
      <c r="F1184" s="3" t="n">
        <f aca="false">COUNTIFS($B$2:$B$2705,B1184,$C$2:$C$2705,C1184)</f>
        <v>1</v>
      </c>
      <c r="G1184" s="3" t="n">
        <f aca="false">MIN(INT((MIN(B1184,2020)-1900)/10)+1,12)</f>
        <v>8</v>
      </c>
      <c r="H1184" s="3" t="n">
        <f aca="false">(MIN(B1184,2020)-1900-10*(G1184-1))/10</f>
        <v>0.1</v>
      </c>
      <c r="I1184" s="20" t="n">
        <f aca="false">EXP(LN(INDEX(Pop_Inputs!$B$2:$N$29,MATCH(C1184,Pop_Inputs!$A$2:$A$29,0),G1184))*(1-H1184)+LN(INDEX(Pop_Inputs!$B$2:$N$29,MATCH(C1184,Pop_Inputs!$A$2:$A$29,0),G1184+1))*H1184)</f>
        <v>509590.330530913</v>
      </c>
      <c r="J1184" s="20" t="n">
        <f aca="false">I1184/F1184</f>
        <v>509590.330530913</v>
      </c>
      <c r="K1184" s="21" t="n">
        <f aca="false">D1184/(D1184+E1184)</f>
        <v>0.598765432098765</v>
      </c>
      <c r="L1184" s="21" t="n">
        <f aca="false">AVERAGEIFS($K$2:$K$2705,$B$2:$B$2705,B1184)</f>
        <v>0.500019127566531</v>
      </c>
      <c r="M1184" s="21" t="n">
        <f aca="false">K1184-L1184</f>
        <v>0.098746304532234</v>
      </c>
      <c r="N1184" s="21" t="n">
        <f aca="false">LN(J1184)</f>
        <v>13.1413624084347</v>
      </c>
      <c r="O1184" s="21" t="n">
        <f aca="false">AVERAGEIFS($N$2:$N$2705,$B$2:$B$2705,B1184)</f>
        <v>13.7494211542312</v>
      </c>
      <c r="P1184" s="21" t="n">
        <f aca="false">N1184-O1184</f>
        <v>-0.608058745796491</v>
      </c>
      <c r="Q1184" s="7" t="n">
        <v>0</v>
      </c>
      <c r="R1184" s="3" t="n">
        <f aca="false">IF(AND(Q1184=1,B1184-_xlfn.MINIFS($B$2:$B$2705,$A$2:$A$2705,A1184)&lt;10),1,0)</f>
        <v>0</v>
      </c>
      <c r="S1184" s="7" t="n">
        <v>0</v>
      </c>
      <c r="T1184" s="3" t="n">
        <f aca="false">_xlfn.MINIFS($B$2:$B$2705,$A$2:$A$2705,A1184)</f>
        <v>1901</v>
      </c>
      <c r="U1184" s="3" t="n">
        <f aca="false">B1184-T1184</f>
        <v>70</v>
      </c>
      <c r="V1184" s="3" t="str">
        <f aca="false">INDEX(Pop_Inputs!$Q$2:$Q$29,MATCH(C1184,Pop_Inputs!$A$2:$A$29,0))</f>
        <v>Northeast</v>
      </c>
      <c r="W1184" s="30"/>
      <c r="X1184" s="3" t="str">
        <f aca="false">IF(W1184="","",LN(W1184))</f>
        <v/>
      </c>
      <c r="Y1184" s="3" t="str">
        <f aca="false">IF(X1184="","",X1184-AVERAGEIFS($X$2:$X$2705,$B$2:$B$2705,B1184))</f>
        <v/>
      </c>
      <c r="Z1184" s="21" t="n">
        <f aca="false">P1184</f>
        <v>-0.608058745796491</v>
      </c>
      <c r="AA1184" s="3" t="n">
        <f aca="false">R1184</f>
        <v>0</v>
      </c>
      <c r="AB1184" s="21" t="n">
        <f aca="false">P1184</f>
        <v>-0.608058745796491</v>
      </c>
      <c r="AC1184" s="3" t="str">
        <f aca="false">Y1184</f>
        <v/>
      </c>
      <c r="AD1184" s="3" t="n">
        <f aca="false">R1184</f>
        <v>0</v>
      </c>
    </row>
    <row r="1185" customFormat="false" ht="15" hidden="false" customHeight="true" outlineLevel="0" collapsed="false">
      <c r="A1185" s="7" t="s">
        <v>78</v>
      </c>
      <c r="B1185" s="7" t="n">
        <v>1971</v>
      </c>
      <c r="C1185" s="7" t="s">
        <v>159</v>
      </c>
      <c r="D1185" s="7" t="n">
        <v>61</v>
      </c>
      <c r="E1185" s="7" t="n">
        <v>100</v>
      </c>
      <c r="F1185" s="3" t="n">
        <f aca="false">COUNTIFS($B$2:$B$2705,B1185,$C$2:$C$2705,C1185)</f>
        <v>1</v>
      </c>
      <c r="G1185" s="3" t="n">
        <f aca="false">MIN(INT((MIN(B1185,2020)-1900)/10)+1,12)</f>
        <v>8</v>
      </c>
      <c r="H1185" s="3" t="n">
        <f aca="false">(MIN(B1185,2020)-1900-10*(G1185-1))/10</f>
        <v>0.1</v>
      </c>
      <c r="I1185" s="20" t="n">
        <f aca="false">EXP(LN(INDEX(Pop_Inputs!$B$2:$N$29,MATCH(C1185,Pop_Inputs!$A$2:$A$29,0),G1185))*(1-H1185)+LN(INDEX(Pop_Inputs!$B$2:$N$29,MATCH(C1185,Pop_Inputs!$A$2:$A$29,0),G1185+1))*H1185)</f>
        <v>712865.239302971</v>
      </c>
      <c r="J1185" s="20" t="n">
        <f aca="false">I1185/F1185</f>
        <v>712865.239302971</v>
      </c>
      <c r="K1185" s="21" t="n">
        <f aca="false">D1185/(D1185+E1185)</f>
        <v>0.37888198757764</v>
      </c>
      <c r="L1185" s="21" t="n">
        <f aca="false">AVERAGEIFS($K$2:$K$2705,$B$2:$B$2705,B1185)</f>
        <v>0.500019127566531</v>
      </c>
      <c r="M1185" s="21" t="n">
        <f aca="false">K1185-L1185</f>
        <v>-0.121137139988892</v>
      </c>
      <c r="N1185" s="21" t="n">
        <f aca="false">LN(J1185)</f>
        <v>13.4770476763475</v>
      </c>
      <c r="O1185" s="21" t="n">
        <f aca="false">AVERAGEIFS($N$2:$N$2705,$B$2:$B$2705,B1185)</f>
        <v>13.7494211542312</v>
      </c>
      <c r="P1185" s="21" t="n">
        <f aca="false">N1185-O1185</f>
        <v>-0.272373477883667</v>
      </c>
      <c r="Q1185" s="7" t="n">
        <v>1</v>
      </c>
      <c r="R1185" s="3" t="n">
        <f aca="false">IF(AND(Q1185=1,B1185-_xlfn.MINIFS($B$2:$B$2705,$A$2:$A$2705,A1185)&lt;10),1,0)</f>
        <v>1</v>
      </c>
      <c r="S1185" s="7" t="n">
        <v>0</v>
      </c>
      <c r="T1185" s="3" t="n">
        <f aca="false">_xlfn.MINIFS($B$2:$B$2705,$A$2:$A$2705,A1185)</f>
        <v>1969</v>
      </c>
      <c r="U1185" s="3" t="n">
        <f aca="false">B1185-T1185</f>
        <v>2</v>
      </c>
      <c r="V1185" s="3" t="str">
        <f aca="false">INDEX(Pop_Inputs!$Q$2:$Q$29,MATCH(C1185,Pop_Inputs!$A$2:$A$29,0))</f>
        <v>West</v>
      </c>
      <c r="W1185" s="30"/>
      <c r="X1185" s="3" t="str">
        <f aca="false">IF(W1185="","",LN(W1185))</f>
        <v/>
      </c>
      <c r="Y1185" s="3" t="str">
        <f aca="false">IF(X1185="","",X1185-AVERAGEIFS($X$2:$X$2705,$B$2:$B$2705,B1185))</f>
        <v/>
      </c>
      <c r="Z1185" s="21" t="n">
        <f aca="false">P1185</f>
        <v>-0.272373477883667</v>
      </c>
      <c r="AA1185" s="3" t="n">
        <f aca="false">R1185</f>
        <v>1</v>
      </c>
      <c r="AB1185" s="21" t="n">
        <f aca="false">P1185</f>
        <v>-0.272373477883667</v>
      </c>
      <c r="AC1185" s="3" t="str">
        <f aca="false">Y1185</f>
        <v/>
      </c>
      <c r="AD1185" s="3" t="n">
        <f aca="false">R1185</f>
        <v>1</v>
      </c>
    </row>
    <row r="1186" customFormat="false" ht="15" hidden="false" customHeight="true" outlineLevel="0" collapsed="false">
      <c r="A1186" s="7" t="s">
        <v>61</v>
      </c>
      <c r="B1186" s="7" t="n">
        <v>1971</v>
      </c>
      <c r="C1186" s="7" t="s">
        <v>147</v>
      </c>
      <c r="D1186" s="7" t="n">
        <v>90</v>
      </c>
      <c r="E1186" s="7" t="n">
        <v>72</v>
      </c>
      <c r="F1186" s="3" t="n">
        <f aca="false">COUNTIFS($B$2:$B$2705,B1186,$C$2:$C$2705,C1186)</f>
        <v>1</v>
      </c>
      <c r="G1186" s="3" t="n">
        <f aca="false">MIN(INT((MIN(B1186,2020)-1900)/10)+1,12)</f>
        <v>8</v>
      </c>
      <c r="H1186" s="3" t="n">
        <f aca="false">(MIN(B1186,2020)-1900-10*(G1186-1))/10</f>
        <v>0.1</v>
      </c>
      <c r="I1186" s="20" t="n">
        <f aca="false">EXP(LN(INDEX(Pop_Inputs!$B$2:$N$29,MATCH(C1186,Pop_Inputs!$A$2:$A$29,0),G1186))*(1-H1186)+LN(INDEX(Pop_Inputs!$B$2:$N$29,MATCH(C1186,Pop_Inputs!$A$2:$A$29,0),G1186+1))*H1186)</f>
        <v>711916.45349837</v>
      </c>
      <c r="J1186" s="20" t="n">
        <f aca="false">I1186/F1186</f>
        <v>711916.45349837</v>
      </c>
      <c r="K1186" s="21" t="n">
        <f aca="false">D1186/(D1186+E1186)</f>
        <v>0.555555555555556</v>
      </c>
      <c r="L1186" s="21" t="n">
        <f aca="false">AVERAGEIFS($K$2:$K$2705,$B$2:$B$2705,B1186)</f>
        <v>0.500019127566531</v>
      </c>
      <c r="M1186" s="21" t="n">
        <f aca="false">K1186-L1186</f>
        <v>0.0555364279890241</v>
      </c>
      <c r="N1186" s="21" t="n">
        <f aca="false">LN(J1186)</f>
        <v>13.475715842917</v>
      </c>
      <c r="O1186" s="21" t="n">
        <f aca="false">AVERAGEIFS($N$2:$N$2705,$B$2:$B$2705,B1186)</f>
        <v>13.7494211542312</v>
      </c>
      <c r="P1186" s="21" t="n">
        <f aca="false">N1186-O1186</f>
        <v>-0.273705311314204</v>
      </c>
      <c r="Q1186" s="7" t="n">
        <v>0</v>
      </c>
      <c r="R1186" s="3" t="n">
        <f aca="false">IF(AND(Q1186=1,B1186-_xlfn.MINIFS($B$2:$B$2705,$A$2:$A$2705,A1186)&lt;10),1,0)</f>
        <v>0</v>
      </c>
      <c r="S1186" s="7" t="n">
        <v>0</v>
      </c>
      <c r="T1186" s="3" t="n">
        <f aca="false">_xlfn.MINIFS($B$2:$B$2705,$A$2:$A$2705,A1186)</f>
        <v>1901</v>
      </c>
      <c r="U1186" s="3" t="n">
        <f aca="false">B1186-T1186</f>
        <v>70</v>
      </c>
      <c r="V1186" s="3" t="str">
        <f aca="false">INDEX(Pop_Inputs!$Q$2:$Q$29,MATCH(C1186,Pop_Inputs!$A$2:$A$29,0))</f>
        <v>West</v>
      </c>
      <c r="W1186" s="30"/>
      <c r="X1186" s="3" t="str">
        <f aca="false">IF(W1186="","",LN(W1186))</f>
        <v/>
      </c>
      <c r="Y1186" s="3" t="str">
        <f aca="false">IF(X1186="","",X1186-AVERAGEIFS($X$2:$X$2705,$B$2:$B$2705,B1186))</f>
        <v/>
      </c>
      <c r="Z1186" s="21" t="n">
        <f aca="false">P1186</f>
        <v>-0.273705311314204</v>
      </c>
      <c r="AA1186" s="3" t="n">
        <f aca="false">R1186</f>
        <v>0</v>
      </c>
      <c r="AB1186" s="21" t="n">
        <f aca="false">P1186</f>
        <v>-0.273705311314204</v>
      </c>
      <c r="AC1186" s="3" t="str">
        <f aca="false">Y1186</f>
        <v/>
      </c>
      <c r="AD1186" s="3" t="n">
        <f aca="false">R1186</f>
        <v>0</v>
      </c>
    </row>
    <row r="1187" customFormat="false" ht="15" hidden="false" customHeight="true" outlineLevel="0" collapsed="false">
      <c r="A1187" s="7" t="s">
        <v>59</v>
      </c>
      <c r="B1187" s="7" t="n">
        <v>1971</v>
      </c>
      <c r="C1187" s="7" t="s">
        <v>145</v>
      </c>
      <c r="D1187" s="7" t="n">
        <v>90</v>
      </c>
      <c r="E1187" s="7" t="n">
        <v>72</v>
      </c>
      <c r="F1187" s="3" t="n">
        <f aca="false">COUNTIFS($B$2:$B$2705,B1187,$C$2:$C$2705,C1187)</f>
        <v>1</v>
      </c>
      <c r="G1187" s="3" t="n">
        <f aca="false">MIN(INT((MIN(B1187,2020)-1900)/10)+1,12)</f>
        <v>8</v>
      </c>
      <c r="H1187" s="3" t="n">
        <f aca="false">(MIN(B1187,2020)-1900-10*(G1187-1))/10</f>
        <v>0.1</v>
      </c>
      <c r="I1187" s="20" t="n">
        <f aca="false">EXP(LN(INDEX(Pop_Inputs!$B$2:$N$29,MATCH(C1187,Pop_Inputs!$A$2:$A$29,0),G1187))*(1-H1187)+LN(INDEX(Pop_Inputs!$B$2:$N$29,MATCH(C1187,Pop_Inputs!$A$2:$A$29,0),G1187+1))*H1187)</f>
        <v>602901.755248971</v>
      </c>
      <c r="J1187" s="20" t="n">
        <f aca="false">I1187/F1187</f>
        <v>602901.755248971</v>
      </c>
      <c r="K1187" s="21" t="n">
        <f aca="false">D1187/(D1187+E1187)</f>
        <v>0.555555555555556</v>
      </c>
      <c r="L1187" s="21" t="n">
        <f aca="false">AVERAGEIFS($K$2:$K$2705,$B$2:$B$2705,B1187)</f>
        <v>0.500019127566531</v>
      </c>
      <c r="M1187" s="21" t="n">
        <f aca="false">K1187-L1187</f>
        <v>0.0555364279890241</v>
      </c>
      <c r="N1187" s="21" t="n">
        <f aca="false">LN(J1187)</f>
        <v>13.3095095358167</v>
      </c>
      <c r="O1187" s="21" t="n">
        <f aca="false">AVERAGEIFS($N$2:$N$2705,$B$2:$B$2705,B1187)</f>
        <v>13.7494211542312</v>
      </c>
      <c r="P1187" s="21" t="n">
        <f aca="false">N1187-O1187</f>
        <v>-0.439911618414477</v>
      </c>
      <c r="Q1187" s="7" t="n">
        <v>0</v>
      </c>
      <c r="R1187" s="3" t="n">
        <f aca="false">IF(AND(Q1187=1,B1187-_xlfn.MINIFS($B$2:$B$2705,$A$2:$A$2705,A1187)&lt;10),1,0)</f>
        <v>0</v>
      </c>
      <c r="S1187" s="7" t="n">
        <v>0</v>
      </c>
      <c r="T1187" s="3" t="n">
        <f aca="false">_xlfn.MINIFS($B$2:$B$2705,$A$2:$A$2705,A1187)</f>
        <v>1901</v>
      </c>
      <c r="U1187" s="3" t="n">
        <f aca="false">B1187-T1187</f>
        <v>70</v>
      </c>
      <c r="V1187" s="3" t="str">
        <f aca="false">INDEX(Pop_Inputs!$Q$2:$Q$29,MATCH(C1187,Pop_Inputs!$A$2:$A$29,0))</f>
        <v>Midwest</v>
      </c>
      <c r="W1187" s="30"/>
      <c r="X1187" s="3" t="str">
        <f aca="false">IF(W1187="","",LN(W1187))</f>
        <v/>
      </c>
      <c r="Y1187" s="3" t="str">
        <f aca="false">IF(X1187="","",X1187-AVERAGEIFS($X$2:$X$2705,$B$2:$B$2705,B1187))</f>
        <v/>
      </c>
      <c r="Z1187" s="21" t="n">
        <f aca="false">P1187</f>
        <v>-0.439911618414477</v>
      </c>
      <c r="AA1187" s="3" t="n">
        <f aca="false">R1187</f>
        <v>0</v>
      </c>
      <c r="AB1187" s="21" t="n">
        <f aca="false">P1187</f>
        <v>-0.439911618414477</v>
      </c>
      <c r="AC1187" s="3" t="str">
        <f aca="false">Y1187</f>
        <v/>
      </c>
      <c r="AD1187" s="3" t="n">
        <f aca="false">R1187</f>
        <v>0</v>
      </c>
    </row>
    <row r="1188" customFormat="false" ht="15" hidden="false" customHeight="true" outlineLevel="0" collapsed="false">
      <c r="A1188" s="7" t="s">
        <v>73</v>
      </c>
      <c r="B1188" s="7" t="n">
        <v>1971</v>
      </c>
      <c r="C1188" s="7" t="s">
        <v>160</v>
      </c>
      <c r="D1188" s="7" t="n">
        <v>63</v>
      </c>
      <c r="E1188" s="7" t="n">
        <v>96</v>
      </c>
      <c r="F1188" s="3" t="n">
        <f aca="false">COUNTIFS($B$2:$B$2705,B1188,$C$2:$C$2705,C1188)</f>
        <v>1</v>
      </c>
      <c r="G1188" s="3" t="n">
        <f aca="false">MIN(INT((MIN(B1188,2020)-1900)/10)+1,12)</f>
        <v>8</v>
      </c>
      <c r="H1188" s="3" t="n">
        <f aca="false">(MIN(B1188,2020)-1900-10*(G1188-1))/10</f>
        <v>0.1</v>
      </c>
      <c r="I1188" s="20" t="n">
        <f aca="false">EXP(LN(INDEX(Pop_Inputs!$B$2:$N$29,MATCH(C1188,Pop_Inputs!$A$2:$A$29,0),G1188))*(1-H1188)+LN(INDEX(Pop_Inputs!$B$2:$N$29,MATCH(C1188,Pop_Inputs!$A$2:$A$29,0),G1188+1))*H1188)</f>
        <v>743768.764257864</v>
      </c>
      <c r="J1188" s="20" t="n">
        <f aca="false">I1188/F1188</f>
        <v>743768.764257864</v>
      </c>
      <c r="K1188" s="21" t="n">
        <f aca="false">D1188/(D1188+E1188)</f>
        <v>0.39622641509434</v>
      </c>
      <c r="L1188" s="21" t="n">
        <f aca="false">AVERAGEIFS($K$2:$K$2705,$B$2:$B$2705,B1188)</f>
        <v>0.500019127566531</v>
      </c>
      <c r="M1188" s="21" t="n">
        <f aca="false">K1188-L1188</f>
        <v>-0.103792712472192</v>
      </c>
      <c r="N1188" s="21" t="n">
        <f aca="false">LN(J1188)</f>
        <v>13.519485464778</v>
      </c>
      <c r="O1188" s="21" t="n">
        <f aca="false">AVERAGEIFS($N$2:$N$2705,$B$2:$B$2705,B1188)</f>
        <v>13.7494211542312</v>
      </c>
      <c r="P1188" s="21" t="n">
        <f aca="false">N1188-O1188</f>
        <v>-0.2299356894532</v>
      </c>
      <c r="Q1188" s="7" t="n">
        <v>1</v>
      </c>
      <c r="R1188" s="3" t="n">
        <f aca="false">IF(AND(Q1188=1,B1188-_xlfn.MINIFS($B$2:$B$2705,$A$2:$A$2705,A1188)&lt;10),1,0)</f>
        <v>0</v>
      </c>
      <c r="S1188" s="7" t="n">
        <v>0</v>
      </c>
      <c r="T1188" s="3" t="n">
        <f aca="false">_xlfn.MINIFS($B$2:$B$2705,$A$2:$A$2705,A1188)</f>
        <v>1961</v>
      </c>
      <c r="U1188" s="3" t="n">
        <f aca="false">B1188-T1188</f>
        <v>10</v>
      </c>
      <c r="V1188" s="3" t="str">
        <f aca="false">INDEX(Pop_Inputs!$Q$2:$Q$29,MATCH(C1188,Pop_Inputs!$A$2:$A$29,0))</f>
        <v>South</v>
      </c>
      <c r="W1188" s="30"/>
      <c r="X1188" s="3" t="str">
        <f aca="false">IF(W1188="","",LN(W1188))</f>
        <v/>
      </c>
      <c r="Y1188" s="3" t="str">
        <f aca="false">IF(X1188="","",X1188-AVERAGEIFS($X$2:$X$2705,$B$2:$B$2705,B1188))</f>
        <v/>
      </c>
      <c r="Z1188" s="21" t="n">
        <f aca="false">P1188</f>
        <v>-0.2299356894532</v>
      </c>
      <c r="AA1188" s="3" t="n">
        <f aca="false">R1188</f>
        <v>0</v>
      </c>
      <c r="AB1188" s="21" t="n">
        <f aca="false">P1188</f>
        <v>-0.2299356894532</v>
      </c>
      <c r="AC1188" s="3" t="str">
        <f aca="false">Y1188</f>
        <v/>
      </c>
      <c r="AD1188" s="3" t="n">
        <f aca="false">R1188</f>
        <v>0</v>
      </c>
    </row>
    <row r="1189" customFormat="false" ht="15" hidden="false" customHeight="true" outlineLevel="0" collapsed="false">
      <c r="A1189" s="7" t="s">
        <v>79</v>
      </c>
      <c r="B1189" s="7" t="n">
        <v>1971</v>
      </c>
      <c r="C1189" s="7" t="s">
        <v>254</v>
      </c>
      <c r="D1189" s="7" t="n">
        <v>71</v>
      </c>
      <c r="E1189" s="7" t="n">
        <v>90</v>
      </c>
      <c r="F1189" s="3" t="n">
        <f aca="false">COUNTIFS($B$2:$B$2705,B1189,$C$2:$C$2705,C1189)</f>
        <v>1</v>
      </c>
      <c r="G1189" s="3" t="n">
        <f aca="false">MIN(INT((MIN(B1189,2020)-1900)/10)+1,12)</f>
        <v>8</v>
      </c>
      <c r="H1189" s="3" t="n">
        <f aca="false">(MIN(B1189,2020)-1900-10*(G1189-1))/10</f>
        <v>0.1</v>
      </c>
      <c r="I1189" s="20" t="n">
        <f aca="false">EXP(LN(INDEX(Pop_Inputs!$B$2:$N$29,MATCH(C1189,Pop_Inputs!$A$2:$A$29,0),G1189))*(1-H1189)+LN(INDEX(Pop_Inputs!$B$2:$N$29,MATCH(C1189,Pop_Inputs!$A$2:$A$29,0),G1189+1))*H1189)</f>
        <v>1188634.75792018</v>
      </c>
      <c r="J1189" s="20" t="n">
        <f aca="false">I1189/F1189</f>
        <v>1188634.75792018</v>
      </c>
      <c r="K1189" s="21" t="n">
        <f aca="false">D1189/(D1189+E1189)</f>
        <v>0.440993788819876</v>
      </c>
      <c r="L1189" s="21" t="n">
        <f aca="false">AVERAGEIFS($K$2:$K$2705,$B$2:$B$2705,B1189)</f>
        <v>0.500019127566531</v>
      </c>
      <c r="M1189" s="21" t="n">
        <f aca="false">K1189-L1189</f>
        <v>-0.0590253387466557</v>
      </c>
      <c r="N1189" s="21" t="n">
        <f aca="false">LN(J1189)</f>
        <v>13.9883159442266</v>
      </c>
      <c r="O1189" s="21" t="n">
        <f aca="false">AVERAGEIFS($N$2:$N$2705,$B$2:$B$2705,B1189)</f>
        <v>13.7494211542312</v>
      </c>
      <c r="P1189" s="21" t="n">
        <f aca="false">N1189-O1189</f>
        <v>0.238894789995452</v>
      </c>
      <c r="Q1189" s="7" t="n">
        <v>1</v>
      </c>
      <c r="R1189" s="3" t="n">
        <f aca="false">IF(AND(Q1189=1,B1189-_xlfn.MINIFS($B$2:$B$2705,$A$2:$A$2705,A1189)&lt;10),1,0)</f>
        <v>1</v>
      </c>
      <c r="S1189" s="7" t="n">
        <v>0</v>
      </c>
      <c r="T1189" s="3" t="n">
        <f aca="false">_xlfn.MINIFS($B$2:$B$2705,$A$2:$A$2705,A1189)</f>
        <v>1969</v>
      </c>
      <c r="U1189" s="3" t="n">
        <f aca="false">B1189-T1189</f>
        <v>2</v>
      </c>
      <c r="V1189" s="3" t="str">
        <f aca="false">INDEX(Pop_Inputs!$Q$2:$Q$29,MATCH(C1189,Pop_Inputs!$A$2:$A$29,0))</f>
        <v>Canada</v>
      </c>
      <c r="W1189" s="30"/>
      <c r="X1189" s="3" t="str">
        <f aca="false">IF(W1189="","",LN(W1189))</f>
        <v/>
      </c>
      <c r="Y1189" s="3" t="str">
        <f aca="false">IF(X1189="","",X1189-AVERAGEIFS($X$2:$X$2705,$B$2:$B$2705,B1189))</f>
        <v/>
      </c>
      <c r="Z1189" s="21" t="n">
        <f aca="false">P1189</f>
        <v>0.238894789995452</v>
      </c>
      <c r="AA1189" s="3" t="n">
        <f aca="false">R1189</f>
        <v>1</v>
      </c>
      <c r="AB1189" s="21" t="n">
        <f aca="false">P1189</f>
        <v>0.238894789995452</v>
      </c>
      <c r="AC1189" s="3" t="str">
        <f aca="false">Y1189</f>
        <v/>
      </c>
      <c r="AD1189" s="3" t="n">
        <f aca="false">R1189</f>
        <v>1</v>
      </c>
    </row>
    <row r="1190" customFormat="false" ht="15" hidden="false" customHeight="true" outlineLevel="0" collapsed="false">
      <c r="A1190" s="7" t="s">
        <v>71</v>
      </c>
      <c r="B1190" s="7" t="n">
        <v>1972</v>
      </c>
      <c r="C1190" s="7" t="s">
        <v>148</v>
      </c>
      <c r="D1190" s="7" t="n">
        <v>75</v>
      </c>
      <c r="E1190" s="7" t="n">
        <v>80</v>
      </c>
      <c r="F1190" s="3" t="n">
        <f aca="false">COUNTIFS($B$2:$B$2705,B1190,$C$2:$C$2705,C1190)</f>
        <v>2</v>
      </c>
      <c r="G1190" s="3" t="n">
        <f aca="false">MIN(INT((MIN(B1190,2020)-1900)/10)+1,12)</f>
        <v>8</v>
      </c>
      <c r="H1190" s="3" t="n">
        <f aca="false">(MIN(B1190,2020)-1900-10*(G1190-1))/10</f>
        <v>0.2</v>
      </c>
      <c r="I1190" s="20" t="n">
        <f aca="false">EXP(LN(INDEX(Pop_Inputs!$B$2:$N$29,MATCH(C1190,Pop_Inputs!$A$2:$A$29,0),G1190))*(1-H1190)+LN(INDEX(Pop_Inputs!$B$2:$N$29,MATCH(C1190,Pop_Inputs!$A$2:$A$29,0),G1190+1))*H1190)</f>
        <v>2845592.87213654</v>
      </c>
      <c r="J1190" s="20" t="n">
        <f aca="false">I1190/F1190</f>
        <v>1422796.43606827</v>
      </c>
      <c r="K1190" s="21" t="n">
        <f aca="false">D1190/(D1190+E1190)</f>
        <v>0.483870967741936</v>
      </c>
      <c r="L1190" s="21" t="n">
        <f aca="false">AVERAGEIFS($K$2:$K$2705,$B$2:$B$2705,B1190)</f>
        <v>0.500023381285241</v>
      </c>
      <c r="M1190" s="21" t="n">
        <f aca="false">K1190-L1190</f>
        <v>-0.0161524135433054</v>
      </c>
      <c r="N1190" s="21" t="n">
        <f aca="false">LN(J1190)</f>
        <v>14.1681348141814</v>
      </c>
      <c r="O1190" s="21" t="n">
        <f aca="false">AVERAGEIFS($N$2:$N$2705,$B$2:$B$2705,B1190)</f>
        <v>13.7455583905089</v>
      </c>
      <c r="P1190" s="21" t="n">
        <f aca="false">N1190-O1190</f>
        <v>0.422576423672503</v>
      </c>
      <c r="Q1190" s="7" t="n">
        <v>1</v>
      </c>
      <c r="R1190" s="3" t="n">
        <f aca="false">IF(AND(Q1190=1,B1190-_xlfn.MINIFS($B$2:$B$2705,$A$2:$A$2705,A1190)&lt;10),1,0)</f>
        <v>0</v>
      </c>
      <c r="S1190" s="7" t="n">
        <v>0</v>
      </c>
      <c r="T1190" s="3" t="n">
        <f aca="false">_xlfn.MINIFS($B$2:$B$2705,$A$2:$A$2705,A1190)</f>
        <v>1961</v>
      </c>
      <c r="U1190" s="3" t="n">
        <f aca="false">B1190-T1190</f>
        <v>11</v>
      </c>
      <c r="V1190" s="3" t="str">
        <f aca="false">INDEX(Pop_Inputs!$Q$2:$Q$29,MATCH(C1190,Pop_Inputs!$A$2:$A$29,0))</f>
        <v>West</v>
      </c>
      <c r="W1190" s="30"/>
      <c r="X1190" s="3" t="str">
        <f aca="false">IF(W1190="","",LN(W1190))</f>
        <v/>
      </c>
      <c r="Y1190" s="3" t="str">
        <f aca="false">IF(X1190="","",X1190-AVERAGEIFS($X$2:$X$2705,$B$2:$B$2705,B1190))</f>
        <v/>
      </c>
      <c r="Z1190" s="21" t="n">
        <f aca="false">P1190</f>
        <v>0.422576423672503</v>
      </c>
      <c r="AA1190" s="3" t="n">
        <f aca="false">R1190</f>
        <v>0</v>
      </c>
      <c r="AB1190" s="21" t="n">
        <f aca="false">P1190</f>
        <v>0.422576423672503</v>
      </c>
      <c r="AC1190" s="3" t="str">
        <f aca="false">Y1190</f>
        <v/>
      </c>
      <c r="AD1190" s="3" t="n">
        <f aca="false">R1190</f>
        <v>0</v>
      </c>
    </row>
    <row r="1191" customFormat="false" ht="15" hidden="false" customHeight="true" outlineLevel="0" collapsed="false">
      <c r="A1191" s="7" t="s">
        <v>54</v>
      </c>
      <c r="B1191" s="7" t="n">
        <v>1972</v>
      </c>
      <c r="C1191" s="7" t="s">
        <v>141</v>
      </c>
      <c r="D1191" s="7" t="n">
        <v>70</v>
      </c>
      <c r="E1191" s="7" t="n">
        <v>84</v>
      </c>
      <c r="F1191" s="3" t="n">
        <f aca="false">COUNTIFS($B$2:$B$2705,B1191,$C$2:$C$2705,C1191)</f>
        <v>1</v>
      </c>
      <c r="G1191" s="3" t="n">
        <f aca="false">MIN(INT((MIN(B1191,2020)-1900)/10)+1,12)</f>
        <v>8</v>
      </c>
      <c r="H1191" s="3" t="n">
        <f aca="false">(MIN(B1191,2020)-1900-10*(G1191-1))/10</f>
        <v>0.2</v>
      </c>
      <c r="I1191" s="20" t="n">
        <f aca="false">EXP(LN(INDEX(Pop_Inputs!$B$2:$N$29,MATCH(C1191,Pop_Inputs!$A$2:$A$29,0),G1191))*(1-H1191)+LN(INDEX(Pop_Inputs!$B$2:$N$29,MATCH(C1191,Pop_Inputs!$A$2:$A$29,0),G1191+1))*H1191)</f>
        <v>480168.663432732</v>
      </c>
      <c r="J1191" s="20" t="n">
        <f aca="false">I1191/F1191</f>
        <v>480168.663432732</v>
      </c>
      <c r="K1191" s="21" t="n">
        <f aca="false">D1191/(D1191+E1191)</f>
        <v>0.454545454545455</v>
      </c>
      <c r="L1191" s="21" t="n">
        <f aca="false">AVERAGEIFS($K$2:$K$2705,$B$2:$B$2705,B1191)</f>
        <v>0.500023381285241</v>
      </c>
      <c r="M1191" s="21" t="n">
        <f aca="false">K1191-L1191</f>
        <v>-0.0454779267397864</v>
      </c>
      <c r="N1191" s="21" t="n">
        <f aca="false">LN(J1191)</f>
        <v>13.0818927033153</v>
      </c>
      <c r="O1191" s="21" t="n">
        <f aca="false">AVERAGEIFS($N$2:$N$2705,$B$2:$B$2705,B1191)</f>
        <v>13.7455583905089</v>
      </c>
      <c r="P1191" s="21" t="n">
        <f aca="false">N1191-O1191</f>
        <v>-0.663665687193555</v>
      </c>
      <c r="Q1191" s="7" t="n">
        <v>0</v>
      </c>
      <c r="R1191" s="3" t="n">
        <f aca="false">IF(AND(Q1191=1,B1191-_xlfn.MINIFS($B$2:$B$2705,$A$2:$A$2705,A1191)&lt;10),1,0)</f>
        <v>0</v>
      </c>
      <c r="S1191" s="7" t="n">
        <v>0</v>
      </c>
      <c r="T1191" s="3" t="n">
        <f aca="false">_xlfn.MINIFS($B$2:$B$2705,$A$2:$A$2705,A1191)</f>
        <v>1901</v>
      </c>
      <c r="U1191" s="3" t="n">
        <f aca="false">B1191-T1191</f>
        <v>71</v>
      </c>
      <c r="V1191" s="3" t="str">
        <f aca="false">INDEX(Pop_Inputs!$Q$2:$Q$29,MATCH(C1191,Pop_Inputs!$A$2:$A$29,0))</f>
        <v>South</v>
      </c>
      <c r="W1191" s="30"/>
      <c r="X1191" s="3" t="str">
        <f aca="false">IF(W1191="","",LN(W1191))</f>
        <v/>
      </c>
      <c r="Y1191" s="3" t="str">
        <f aca="false">IF(X1191="","",X1191-AVERAGEIFS($X$2:$X$2705,$B$2:$B$2705,B1191))</f>
        <v/>
      </c>
      <c r="Z1191" s="21" t="n">
        <f aca="false">P1191</f>
        <v>-0.663665687193555</v>
      </c>
      <c r="AA1191" s="3" t="n">
        <f aca="false">R1191</f>
        <v>0</v>
      </c>
      <c r="AB1191" s="21" t="n">
        <f aca="false">P1191</f>
        <v>-0.663665687193555</v>
      </c>
      <c r="AC1191" s="3" t="str">
        <f aca="false">Y1191</f>
        <v/>
      </c>
      <c r="AD1191" s="3" t="n">
        <f aca="false">R1191</f>
        <v>0</v>
      </c>
    </row>
    <row r="1192" customFormat="false" ht="15" hidden="false" customHeight="true" outlineLevel="0" collapsed="false">
      <c r="A1192" s="7" t="s">
        <v>63</v>
      </c>
      <c r="B1192" s="7" t="n">
        <v>1972</v>
      </c>
      <c r="C1192" s="7" t="s">
        <v>149</v>
      </c>
      <c r="D1192" s="7" t="n">
        <v>80</v>
      </c>
      <c r="E1192" s="7" t="n">
        <v>74</v>
      </c>
      <c r="F1192" s="3" t="n">
        <f aca="false">COUNTIFS($B$2:$B$2705,B1192,$C$2:$C$2705,C1192)</f>
        <v>1</v>
      </c>
      <c r="G1192" s="3" t="n">
        <f aca="false">MIN(INT((MIN(B1192,2020)-1900)/10)+1,12)</f>
        <v>8</v>
      </c>
      <c r="H1192" s="3" t="n">
        <f aca="false">(MIN(B1192,2020)-1900-10*(G1192-1))/10</f>
        <v>0.2</v>
      </c>
      <c r="I1192" s="20" t="n">
        <f aca="false">EXP(LN(INDEX(Pop_Inputs!$B$2:$N$29,MATCH(C1192,Pop_Inputs!$A$2:$A$29,0),G1192))*(1-H1192)+LN(INDEX(Pop_Inputs!$B$2:$N$29,MATCH(C1192,Pop_Inputs!$A$2:$A$29,0),G1192+1))*H1192)</f>
        <v>880603.154331819</v>
      </c>
      <c r="J1192" s="20" t="n">
        <f aca="false">I1192/F1192</f>
        <v>880603.154331819</v>
      </c>
      <c r="K1192" s="21" t="n">
        <f aca="false">D1192/(D1192+E1192)</f>
        <v>0.519480519480519</v>
      </c>
      <c r="L1192" s="21" t="n">
        <f aca="false">AVERAGEIFS($K$2:$K$2705,$B$2:$B$2705,B1192)</f>
        <v>0.500023381285241</v>
      </c>
      <c r="M1192" s="21" t="n">
        <f aca="false">K1192-L1192</f>
        <v>0.0194571381952785</v>
      </c>
      <c r="N1192" s="21" t="n">
        <f aca="false">LN(J1192)</f>
        <v>13.6883623543231</v>
      </c>
      <c r="O1192" s="21" t="n">
        <f aca="false">AVERAGEIFS($N$2:$N$2705,$B$2:$B$2705,B1192)</f>
        <v>13.7455583905089</v>
      </c>
      <c r="P1192" s="21" t="n">
        <f aca="false">N1192-O1192</f>
        <v>-0.057196036185843</v>
      </c>
      <c r="Q1192" s="7" t="n">
        <v>0</v>
      </c>
      <c r="R1192" s="3" t="n">
        <f aca="false">IF(AND(Q1192=1,B1192-_xlfn.MINIFS($B$2:$B$2705,$A$2:$A$2705,A1192)&lt;10),1,0)</f>
        <v>0</v>
      </c>
      <c r="S1192" s="7" t="n">
        <v>0</v>
      </c>
      <c r="T1192" s="3" t="n">
        <f aca="false">_xlfn.MINIFS($B$2:$B$2705,$A$2:$A$2705,A1192)</f>
        <v>1901</v>
      </c>
      <c r="U1192" s="3" t="n">
        <f aca="false">B1192-T1192</f>
        <v>71</v>
      </c>
      <c r="V1192" s="3" t="str">
        <f aca="false">INDEX(Pop_Inputs!$Q$2:$Q$29,MATCH(C1192,Pop_Inputs!$A$2:$A$29,0))</f>
        <v>South</v>
      </c>
      <c r="W1192" s="30"/>
      <c r="X1192" s="3" t="str">
        <f aca="false">IF(W1192="","",LN(W1192))</f>
        <v/>
      </c>
      <c r="Y1192" s="3" t="str">
        <f aca="false">IF(X1192="","",X1192-AVERAGEIFS($X$2:$X$2705,$B$2:$B$2705,B1192))</f>
        <v/>
      </c>
      <c r="Z1192" s="21" t="n">
        <f aca="false">P1192</f>
        <v>-0.057196036185843</v>
      </c>
      <c r="AA1192" s="3" t="n">
        <f aca="false">R1192</f>
        <v>0</v>
      </c>
      <c r="AB1192" s="21" t="n">
        <f aca="false">P1192</f>
        <v>-0.057196036185843</v>
      </c>
      <c r="AC1192" s="3" t="str">
        <f aca="false">Y1192</f>
        <v/>
      </c>
      <c r="AD1192" s="3" t="n">
        <f aca="false">R1192</f>
        <v>0</v>
      </c>
    </row>
    <row r="1193" customFormat="false" ht="15" hidden="false" customHeight="true" outlineLevel="0" collapsed="false">
      <c r="A1193" s="7" t="s">
        <v>64</v>
      </c>
      <c r="B1193" s="7" t="n">
        <v>1972</v>
      </c>
      <c r="C1193" s="7" t="s">
        <v>150</v>
      </c>
      <c r="D1193" s="7" t="n">
        <v>85</v>
      </c>
      <c r="E1193" s="7" t="n">
        <v>70</v>
      </c>
      <c r="F1193" s="3" t="n">
        <f aca="false">COUNTIFS($B$2:$B$2705,B1193,$C$2:$C$2705,C1193)</f>
        <v>1</v>
      </c>
      <c r="G1193" s="3" t="n">
        <f aca="false">MIN(INT((MIN(B1193,2020)-1900)/10)+1,12)</f>
        <v>8</v>
      </c>
      <c r="H1193" s="3" t="n">
        <f aca="false">(MIN(B1193,2020)-1900-10*(G1193-1))/10</f>
        <v>0.2</v>
      </c>
      <c r="I1193" s="20" t="n">
        <f aca="false">EXP(LN(INDEX(Pop_Inputs!$B$2:$N$29,MATCH(C1193,Pop_Inputs!$A$2:$A$29,0),G1193))*(1-H1193)+LN(INDEX(Pop_Inputs!$B$2:$N$29,MATCH(C1193,Pop_Inputs!$A$2:$A$29,0),G1193+1))*H1193)</f>
        <v>624634.055058968</v>
      </c>
      <c r="J1193" s="20" t="n">
        <f aca="false">I1193/F1193</f>
        <v>624634.055058968</v>
      </c>
      <c r="K1193" s="21" t="n">
        <f aca="false">D1193/(D1193+E1193)</f>
        <v>0.548387096774194</v>
      </c>
      <c r="L1193" s="21" t="n">
        <f aca="false">AVERAGEIFS($K$2:$K$2705,$B$2:$B$2705,B1193)</f>
        <v>0.500023381285241</v>
      </c>
      <c r="M1193" s="21" t="n">
        <f aca="false">K1193-L1193</f>
        <v>0.0483637154889526</v>
      </c>
      <c r="N1193" s="21" t="n">
        <f aca="false">LN(J1193)</f>
        <v>13.3449212453339</v>
      </c>
      <c r="O1193" s="21" t="n">
        <f aca="false">AVERAGEIFS($N$2:$N$2705,$B$2:$B$2705,B1193)</f>
        <v>13.7455583905089</v>
      </c>
      <c r="P1193" s="21" t="n">
        <f aca="false">N1193-O1193</f>
        <v>-0.400637145175052</v>
      </c>
      <c r="Q1193" s="7" t="n">
        <v>0</v>
      </c>
      <c r="R1193" s="3" t="n">
        <f aca="false">IF(AND(Q1193=1,B1193-_xlfn.MINIFS($B$2:$B$2705,$A$2:$A$2705,A1193)&lt;10),1,0)</f>
        <v>0</v>
      </c>
      <c r="S1193" s="7" t="n">
        <v>0</v>
      </c>
      <c r="T1193" s="3" t="n">
        <f aca="false">_xlfn.MINIFS($B$2:$B$2705,$A$2:$A$2705,A1193)</f>
        <v>1901</v>
      </c>
      <c r="U1193" s="3" t="n">
        <f aca="false">B1193-T1193</f>
        <v>71</v>
      </c>
      <c r="V1193" s="3" t="str">
        <f aca="false">INDEX(Pop_Inputs!$Q$2:$Q$29,MATCH(C1193,Pop_Inputs!$A$2:$A$29,0))</f>
        <v>Northeast</v>
      </c>
      <c r="W1193" s="30"/>
      <c r="X1193" s="3" t="str">
        <f aca="false">IF(W1193="","",LN(W1193))</f>
        <v/>
      </c>
      <c r="Y1193" s="3" t="str">
        <f aca="false">IF(X1193="","",X1193-AVERAGEIFS($X$2:$X$2705,$B$2:$B$2705,B1193))</f>
        <v/>
      </c>
      <c r="Z1193" s="21" t="n">
        <f aca="false">P1193</f>
        <v>-0.400637145175052</v>
      </c>
      <c r="AA1193" s="3" t="n">
        <f aca="false">R1193</f>
        <v>0</v>
      </c>
      <c r="AB1193" s="21" t="n">
        <f aca="false">P1193</f>
        <v>-0.400637145175052</v>
      </c>
      <c r="AC1193" s="3" t="str">
        <f aca="false">Y1193</f>
        <v/>
      </c>
      <c r="AD1193" s="3" t="n">
        <f aca="false">R1193</f>
        <v>0</v>
      </c>
    </row>
    <row r="1194" customFormat="false" ht="15" hidden="false" customHeight="true" outlineLevel="0" collapsed="false">
      <c r="A1194" s="7" t="s">
        <v>56</v>
      </c>
      <c r="B1194" s="7" t="n">
        <v>1972</v>
      </c>
      <c r="C1194" s="7" t="s">
        <v>142</v>
      </c>
      <c r="D1194" s="7" t="n">
        <v>85</v>
      </c>
      <c r="E1194" s="7" t="n">
        <v>70</v>
      </c>
      <c r="F1194" s="3" t="n">
        <f aca="false">COUNTIFS($B$2:$B$2705,B1194,$C$2:$C$2705,C1194)</f>
        <v>2</v>
      </c>
      <c r="G1194" s="3" t="n">
        <f aca="false">MIN(INT((MIN(B1194,2020)-1900)/10)+1,12)</f>
        <v>8</v>
      </c>
      <c r="H1194" s="3" t="n">
        <f aca="false">(MIN(B1194,2020)-1900-10*(G1194-1))/10</f>
        <v>0.2</v>
      </c>
      <c r="I1194" s="20" t="n">
        <f aca="false">EXP(LN(INDEX(Pop_Inputs!$B$2:$N$29,MATCH(C1194,Pop_Inputs!$A$2:$A$29,0),G1194))*(1-H1194)+LN(INDEX(Pop_Inputs!$B$2:$N$29,MATCH(C1194,Pop_Inputs!$A$2:$A$29,0),G1194+1))*H1194)</f>
        <v>3291251.21444728</v>
      </c>
      <c r="J1194" s="20" t="n">
        <f aca="false">I1194/F1194</f>
        <v>1645625.60722364</v>
      </c>
      <c r="K1194" s="21" t="n">
        <f aca="false">D1194/(D1194+E1194)</f>
        <v>0.548387096774194</v>
      </c>
      <c r="L1194" s="21" t="n">
        <f aca="false">AVERAGEIFS($K$2:$K$2705,$B$2:$B$2705,B1194)</f>
        <v>0.500023381285241</v>
      </c>
      <c r="M1194" s="21" t="n">
        <f aca="false">K1194-L1194</f>
        <v>0.0483637154889526</v>
      </c>
      <c r="N1194" s="21" t="n">
        <f aca="false">LN(J1194)</f>
        <v>14.3136311782254</v>
      </c>
      <c r="O1194" s="21" t="n">
        <f aca="false">AVERAGEIFS($N$2:$N$2705,$B$2:$B$2705,B1194)</f>
        <v>13.7455583905089</v>
      </c>
      <c r="P1194" s="21" t="n">
        <f aca="false">N1194-O1194</f>
        <v>0.568072787716456</v>
      </c>
      <c r="Q1194" s="7" t="n">
        <v>0</v>
      </c>
      <c r="R1194" s="3" t="n">
        <f aca="false">IF(AND(Q1194=1,B1194-_xlfn.MINIFS($B$2:$B$2705,$A$2:$A$2705,A1194)&lt;10),1,0)</f>
        <v>0</v>
      </c>
      <c r="S1194" s="7" t="n">
        <v>0</v>
      </c>
      <c r="T1194" s="3" t="n">
        <f aca="false">_xlfn.MINIFS($B$2:$B$2705,$A$2:$A$2705,A1194)</f>
        <v>1901</v>
      </c>
      <c r="U1194" s="3" t="n">
        <f aca="false">B1194-T1194</f>
        <v>71</v>
      </c>
      <c r="V1194" s="3" t="str">
        <f aca="false">INDEX(Pop_Inputs!$Q$2:$Q$29,MATCH(C1194,Pop_Inputs!$A$2:$A$29,0))</f>
        <v>Midwest</v>
      </c>
      <c r="W1194" s="30"/>
      <c r="X1194" s="3" t="str">
        <f aca="false">IF(W1194="","",LN(W1194))</f>
        <v/>
      </c>
      <c r="Y1194" s="3" t="str">
        <f aca="false">IF(X1194="","",X1194-AVERAGEIFS($X$2:$X$2705,$B$2:$B$2705,B1194))</f>
        <v/>
      </c>
      <c r="Z1194" s="21" t="n">
        <f aca="false">P1194</f>
        <v>0.568072787716456</v>
      </c>
      <c r="AA1194" s="3" t="n">
        <f aca="false">R1194</f>
        <v>0</v>
      </c>
      <c r="AB1194" s="21" t="n">
        <f aca="false">P1194</f>
        <v>0.568072787716456</v>
      </c>
      <c r="AC1194" s="3" t="str">
        <f aca="false">Y1194</f>
        <v/>
      </c>
      <c r="AD1194" s="3" t="n">
        <f aca="false">R1194</f>
        <v>0</v>
      </c>
    </row>
    <row r="1195" customFormat="false" ht="15" hidden="false" customHeight="true" outlineLevel="0" collapsed="false">
      <c r="A1195" s="7" t="s">
        <v>65</v>
      </c>
      <c r="B1195" s="7" t="n">
        <v>1972</v>
      </c>
      <c r="C1195" s="7" t="s">
        <v>142</v>
      </c>
      <c r="D1195" s="7" t="n">
        <v>87</v>
      </c>
      <c r="E1195" s="7" t="n">
        <v>67</v>
      </c>
      <c r="F1195" s="3" t="n">
        <f aca="false">COUNTIFS($B$2:$B$2705,B1195,$C$2:$C$2705,C1195)</f>
        <v>2</v>
      </c>
      <c r="G1195" s="3" t="n">
        <f aca="false">MIN(INT((MIN(B1195,2020)-1900)/10)+1,12)</f>
        <v>8</v>
      </c>
      <c r="H1195" s="3" t="n">
        <f aca="false">(MIN(B1195,2020)-1900-10*(G1195-1))/10</f>
        <v>0.2</v>
      </c>
      <c r="I1195" s="20" t="n">
        <f aca="false">EXP(LN(INDEX(Pop_Inputs!$B$2:$N$29,MATCH(C1195,Pop_Inputs!$A$2:$A$29,0),G1195))*(1-H1195)+LN(INDEX(Pop_Inputs!$B$2:$N$29,MATCH(C1195,Pop_Inputs!$A$2:$A$29,0),G1195+1))*H1195)</f>
        <v>3291251.21444728</v>
      </c>
      <c r="J1195" s="20" t="n">
        <f aca="false">I1195/F1195</f>
        <v>1645625.60722364</v>
      </c>
      <c r="K1195" s="21" t="n">
        <f aca="false">D1195/(D1195+E1195)</f>
        <v>0.564935064935065</v>
      </c>
      <c r="L1195" s="21" t="n">
        <f aca="false">AVERAGEIFS($K$2:$K$2705,$B$2:$B$2705,B1195)</f>
        <v>0.500023381285241</v>
      </c>
      <c r="M1195" s="21" t="n">
        <f aca="false">K1195-L1195</f>
        <v>0.064911683649824</v>
      </c>
      <c r="N1195" s="21" t="n">
        <f aca="false">LN(J1195)</f>
        <v>14.3136311782254</v>
      </c>
      <c r="O1195" s="21" t="n">
        <f aca="false">AVERAGEIFS($N$2:$N$2705,$B$2:$B$2705,B1195)</f>
        <v>13.7455583905089</v>
      </c>
      <c r="P1195" s="21" t="n">
        <f aca="false">N1195-O1195</f>
        <v>0.568072787716456</v>
      </c>
      <c r="Q1195" s="7" t="n">
        <v>0</v>
      </c>
      <c r="R1195" s="3" t="n">
        <f aca="false">IF(AND(Q1195=1,B1195-_xlfn.MINIFS($B$2:$B$2705,$A$2:$A$2705,A1195)&lt;10),1,0)</f>
        <v>0</v>
      </c>
      <c r="S1195" s="7" t="n">
        <v>0</v>
      </c>
      <c r="T1195" s="3" t="n">
        <f aca="false">_xlfn.MINIFS($B$2:$B$2705,$A$2:$A$2705,A1195)</f>
        <v>1901</v>
      </c>
      <c r="U1195" s="3" t="n">
        <f aca="false">B1195-T1195</f>
        <v>71</v>
      </c>
      <c r="V1195" s="3" t="str">
        <f aca="false">INDEX(Pop_Inputs!$Q$2:$Q$29,MATCH(C1195,Pop_Inputs!$A$2:$A$29,0))</f>
        <v>Midwest</v>
      </c>
      <c r="W1195" s="30"/>
      <c r="X1195" s="3" t="str">
        <f aca="false">IF(W1195="","",LN(W1195))</f>
        <v/>
      </c>
      <c r="Y1195" s="3" t="str">
        <f aca="false">IF(X1195="","",X1195-AVERAGEIFS($X$2:$X$2705,$B$2:$B$2705,B1195))</f>
        <v/>
      </c>
      <c r="Z1195" s="21" t="n">
        <f aca="false">P1195</f>
        <v>0.568072787716456</v>
      </c>
      <c r="AA1195" s="3" t="n">
        <f aca="false">R1195</f>
        <v>0</v>
      </c>
      <c r="AB1195" s="21" t="n">
        <f aca="false">P1195</f>
        <v>0.568072787716456</v>
      </c>
      <c r="AC1195" s="3" t="str">
        <f aca="false">Y1195</f>
        <v/>
      </c>
      <c r="AD1195" s="3" t="n">
        <f aca="false">R1195</f>
        <v>0</v>
      </c>
    </row>
    <row r="1196" customFormat="false" ht="15" hidden="false" customHeight="true" outlineLevel="0" collapsed="false">
      <c r="A1196" s="7" t="s">
        <v>57</v>
      </c>
      <c r="B1196" s="7" t="n">
        <v>1972</v>
      </c>
      <c r="C1196" s="7" t="s">
        <v>143</v>
      </c>
      <c r="D1196" s="7" t="n">
        <v>95</v>
      </c>
      <c r="E1196" s="7" t="n">
        <v>59</v>
      </c>
      <c r="F1196" s="3" t="n">
        <f aca="false">COUNTIFS($B$2:$B$2705,B1196,$C$2:$C$2705,C1196)</f>
        <v>1</v>
      </c>
      <c r="G1196" s="3" t="n">
        <f aca="false">MIN(INT((MIN(B1196,2020)-1900)/10)+1,12)</f>
        <v>8</v>
      </c>
      <c r="H1196" s="3" t="n">
        <f aca="false">(MIN(B1196,2020)-1900-10*(G1196-1))/10</f>
        <v>0.2</v>
      </c>
      <c r="I1196" s="20" t="n">
        <f aca="false">EXP(LN(INDEX(Pop_Inputs!$B$2:$N$29,MATCH(C1196,Pop_Inputs!$A$2:$A$29,0),G1196))*(1-H1196)+LN(INDEX(Pop_Inputs!$B$2:$N$29,MATCH(C1196,Pop_Inputs!$A$2:$A$29,0),G1196+1))*H1196)</f>
        <v>438237.891161549</v>
      </c>
      <c r="J1196" s="20" t="n">
        <f aca="false">I1196/F1196</f>
        <v>438237.891161549</v>
      </c>
      <c r="K1196" s="21" t="n">
        <f aca="false">D1196/(D1196+E1196)</f>
        <v>0.616883116883117</v>
      </c>
      <c r="L1196" s="21" t="n">
        <f aca="false">AVERAGEIFS($K$2:$K$2705,$B$2:$B$2705,B1196)</f>
        <v>0.500023381285241</v>
      </c>
      <c r="M1196" s="21" t="n">
        <f aca="false">K1196-L1196</f>
        <v>0.116859735597876</v>
      </c>
      <c r="N1196" s="21" t="n">
        <f aca="false">LN(J1196)</f>
        <v>12.9905171724224</v>
      </c>
      <c r="O1196" s="21" t="n">
        <f aca="false">AVERAGEIFS($N$2:$N$2705,$B$2:$B$2705,B1196)</f>
        <v>13.7455583905089</v>
      </c>
      <c r="P1196" s="21" t="n">
        <f aca="false">N1196-O1196</f>
        <v>-0.755041218086491</v>
      </c>
      <c r="Q1196" s="7" t="n">
        <v>0</v>
      </c>
      <c r="R1196" s="3" t="n">
        <f aca="false">IF(AND(Q1196=1,B1196-_xlfn.MINIFS($B$2:$B$2705,$A$2:$A$2705,A1196)&lt;10),1,0)</f>
        <v>0</v>
      </c>
      <c r="S1196" s="7" t="n">
        <v>0</v>
      </c>
      <c r="T1196" s="3" t="n">
        <f aca="false">_xlfn.MINIFS($B$2:$B$2705,$A$2:$A$2705,A1196)</f>
        <v>1901</v>
      </c>
      <c r="U1196" s="3" t="n">
        <f aca="false">B1196-T1196</f>
        <v>71</v>
      </c>
      <c r="V1196" s="3" t="str">
        <f aca="false">INDEX(Pop_Inputs!$Q$2:$Q$29,MATCH(C1196,Pop_Inputs!$A$2:$A$29,0))</f>
        <v>Midwest</v>
      </c>
      <c r="W1196" s="30"/>
      <c r="X1196" s="3" t="str">
        <f aca="false">IF(W1196="","",LN(W1196))</f>
        <v/>
      </c>
      <c r="Y1196" s="3" t="str">
        <f aca="false">IF(X1196="","",X1196-AVERAGEIFS($X$2:$X$2705,$B$2:$B$2705,B1196))</f>
        <v/>
      </c>
      <c r="Z1196" s="21" t="n">
        <f aca="false">P1196</f>
        <v>-0.755041218086491</v>
      </c>
      <c r="AA1196" s="3" t="n">
        <f aca="false">R1196</f>
        <v>0</v>
      </c>
      <c r="AB1196" s="21" t="n">
        <f aca="false">P1196</f>
        <v>-0.755041218086491</v>
      </c>
      <c r="AC1196" s="3" t="str">
        <f aca="false">Y1196</f>
        <v/>
      </c>
      <c r="AD1196" s="3" t="n">
        <f aca="false">R1196</f>
        <v>0</v>
      </c>
    </row>
    <row r="1197" customFormat="false" ht="15" hidden="false" customHeight="true" outlineLevel="0" collapsed="false">
      <c r="A1197" s="7" t="s">
        <v>66</v>
      </c>
      <c r="B1197" s="7" t="n">
        <v>1972</v>
      </c>
      <c r="C1197" s="7" t="s">
        <v>151</v>
      </c>
      <c r="D1197" s="7" t="n">
        <v>72</v>
      </c>
      <c r="E1197" s="7" t="n">
        <v>84</v>
      </c>
      <c r="F1197" s="3" t="n">
        <f aca="false">COUNTIFS($B$2:$B$2705,B1197,$C$2:$C$2705,C1197)</f>
        <v>1</v>
      </c>
      <c r="G1197" s="3" t="n">
        <f aca="false">MIN(INT((MIN(B1197,2020)-1900)/10)+1,12)</f>
        <v>8</v>
      </c>
      <c r="H1197" s="3" t="n">
        <f aca="false">(MIN(B1197,2020)-1900-10*(G1197-1))/10</f>
        <v>0.2</v>
      </c>
      <c r="I1197" s="20" t="n">
        <f aca="false">EXP(LN(INDEX(Pop_Inputs!$B$2:$N$29,MATCH(C1197,Pop_Inputs!$A$2:$A$29,0),G1197))*(1-H1197)+LN(INDEX(Pop_Inputs!$B$2:$N$29,MATCH(C1197,Pop_Inputs!$A$2:$A$29,0),G1197+1))*H1197)</f>
        <v>711577.996807666</v>
      </c>
      <c r="J1197" s="20" t="n">
        <f aca="false">I1197/F1197</f>
        <v>711577.996807666</v>
      </c>
      <c r="K1197" s="21" t="n">
        <f aca="false">D1197/(D1197+E1197)</f>
        <v>0.461538461538462</v>
      </c>
      <c r="L1197" s="21" t="n">
        <f aca="false">AVERAGEIFS($K$2:$K$2705,$B$2:$B$2705,B1197)</f>
        <v>0.500023381285241</v>
      </c>
      <c r="M1197" s="21" t="n">
        <f aca="false">K1197-L1197</f>
        <v>-0.0384849197467794</v>
      </c>
      <c r="N1197" s="21" t="n">
        <f aca="false">LN(J1197)</f>
        <v>13.4752403135645</v>
      </c>
      <c r="O1197" s="21" t="n">
        <f aca="false">AVERAGEIFS($N$2:$N$2705,$B$2:$B$2705,B1197)</f>
        <v>13.7455583905089</v>
      </c>
      <c r="P1197" s="21" t="n">
        <f aca="false">N1197-O1197</f>
        <v>-0.27031807694436</v>
      </c>
      <c r="Q1197" s="7" t="n">
        <v>0</v>
      </c>
      <c r="R1197" s="3" t="n">
        <f aca="false">IF(AND(Q1197=1,B1197-_xlfn.MINIFS($B$2:$B$2705,$A$2:$A$2705,A1197)&lt;10),1,0)</f>
        <v>0</v>
      </c>
      <c r="S1197" s="7" t="n">
        <v>0</v>
      </c>
      <c r="T1197" s="3" t="n">
        <f aca="false">_xlfn.MINIFS($B$2:$B$2705,$A$2:$A$2705,A1197)</f>
        <v>1901</v>
      </c>
      <c r="U1197" s="3" t="n">
        <f aca="false">B1197-T1197</f>
        <v>71</v>
      </c>
      <c r="V1197" s="3" t="str">
        <f aca="false">INDEX(Pop_Inputs!$Q$2:$Q$29,MATCH(C1197,Pop_Inputs!$A$2:$A$29,0))</f>
        <v>Midwest</v>
      </c>
      <c r="W1197" s="30"/>
      <c r="X1197" s="3" t="str">
        <f aca="false">IF(W1197="","",LN(W1197))</f>
        <v/>
      </c>
      <c r="Y1197" s="3" t="str">
        <f aca="false">IF(X1197="","",X1197-AVERAGEIFS($X$2:$X$2705,$B$2:$B$2705,B1197))</f>
        <v/>
      </c>
      <c r="Z1197" s="21" t="n">
        <f aca="false">P1197</f>
        <v>-0.27031807694436</v>
      </c>
      <c r="AA1197" s="3" t="n">
        <f aca="false">R1197</f>
        <v>0</v>
      </c>
      <c r="AB1197" s="21" t="n">
        <f aca="false">P1197</f>
        <v>-0.27031807694436</v>
      </c>
      <c r="AC1197" s="3" t="str">
        <f aca="false">Y1197</f>
        <v/>
      </c>
      <c r="AD1197" s="3" t="n">
        <f aca="false">R1197</f>
        <v>0</v>
      </c>
    </row>
    <row r="1198" customFormat="false" ht="15" hidden="false" customHeight="true" outlineLevel="0" collapsed="false">
      <c r="A1198" s="7" t="s">
        <v>67</v>
      </c>
      <c r="B1198" s="7" t="n">
        <v>1972</v>
      </c>
      <c r="C1198" s="7" t="s">
        <v>152</v>
      </c>
      <c r="D1198" s="7" t="n">
        <v>86</v>
      </c>
      <c r="E1198" s="7" t="n">
        <v>70</v>
      </c>
      <c r="F1198" s="3" t="n">
        <f aca="false">COUNTIFS($B$2:$B$2705,B1198,$C$2:$C$2705,C1198)</f>
        <v>1</v>
      </c>
      <c r="G1198" s="3" t="n">
        <f aca="false">MIN(INT((MIN(B1198,2020)-1900)/10)+1,12)</f>
        <v>8</v>
      </c>
      <c r="H1198" s="3" t="n">
        <f aca="false">(MIN(B1198,2020)-1900-10*(G1198-1))/10</f>
        <v>0.2</v>
      </c>
      <c r="I1198" s="20" t="n">
        <f aca="false">EXP(LN(INDEX(Pop_Inputs!$B$2:$N$29,MATCH(C1198,Pop_Inputs!$A$2:$A$29,0),G1198))*(1-H1198)+LN(INDEX(Pop_Inputs!$B$2:$N$29,MATCH(C1198,Pop_Inputs!$A$2:$A$29,0),G1198+1))*H1198)</f>
        <v>1444115.98547835</v>
      </c>
      <c r="J1198" s="20" t="n">
        <f aca="false">I1198/F1198</f>
        <v>1444115.98547835</v>
      </c>
      <c r="K1198" s="21" t="n">
        <f aca="false">D1198/(D1198+E1198)</f>
        <v>0.551282051282051</v>
      </c>
      <c r="L1198" s="21" t="n">
        <f aca="false">AVERAGEIFS($K$2:$K$2705,$B$2:$B$2705,B1198)</f>
        <v>0.500023381285241</v>
      </c>
      <c r="M1198" s="21" t="n">
        <f aca="false">K1198-L1198</f>
        <v>0.0512586699968104</v>
      </c>
      <c r="N1198" s="21" t="n">
        <f aca="false">LN(J1198)</f>
        <v>14.1830079175627</v>
      </c>
      <c r="O1198" s="21" t="n">
        <f aca="false">AVERAGEIFS($N$2:$N$2705,$B$2:$B$2705,B1198)</f>
        <v>13.7455583905089</v>
      </c>
      <c r="P1198" s="21" t="n">
        <f aca="false">N1198-O1198</f>
        <v>0.437449527053767</v>
      </c>
      <c r="Q1198" s="7" t="n">
        <v>0</v>
      </c>
      <c r="R1198" s="3" t="n">
        <f aca="false">IF(AND(Q1198=1,B1198-_xlfn.MINIFS($B$2:$B$2705,$A$2:$A$2705,A1198)&lt;10),1,0)</f>
        <v>0</v>
      </c>
      <c r="S1198" s="7" t="n">
        <v>0</v>
      </c>
      <c r="T1198" s="3" t="n">
        <f aca="false">_xlfn.MINIFS($B$2:$B$2705,$A$2:$A$2705,A1198)</f>
        <v>1901</v>
      </c>
      <c r="U1198" s="3" t="n">
        <f aca="false">B1198-T1198</f>
        <v>71</v>
      </c>
      <c r="V1198" s="3" t="str">
        <f aca="false">INDEX(Pop_Inputs!$Q$2:$Q$29,MATCH(C1198,Pop_Inputs!$A$2:$A$29,0))</f>
        <v>Midwest</v>
      </c>
      <c r="W1198" s="30"/>
      <c r="X1198" s="3" t="str">
        <f aca="false">IF(W1198="","",LN(W1198))</f>
        <v/>
      </c>
      <c r="Y1198" s="3" t="str">
        <f aca="false">IF(X1198="","",X1198-AVERAGEIFS($X$2:$X$2705,$B$2:$B$2705,B1198))</f>
        <v/>
      </c>
      <c r="Z1198" s="21" t="n">
        <f aca="false">P1198</f>
        <v>0.437449527053767</v>
      </c>
      <c r="AA1198" s="3" t="n">
        <f aca="false">R1198</f>
        <v>0</v>
      </c>
      <c r="AB1198" s="21" t="n">
        <f aca="false">P1198</f>
        <v>0.437449527053767</v>
      </c>
      <c r="AC1198" s="3" t="str">
        <f aca="false">Y1198</f>
        <v/>
      </c>
      <c r="AD1198" s="3" t="n">
        <f aca="false">R1198</f>
        <v>0</v>
      </c>
    </row>
    <row r="1199" customFormat="false" ht="15" hidden="false" customHeight="true" outlineLevel="0" collapsed="false">
      <c r="A1199" s="7" t="s">
        <v>74</v>
      </c>
      <c r="B1199" s="7" t="n">
        <v>1972</v>
      </c>
      <c r="C1199" s="7" t="s">
        <v>156</v>
      </c>
      <c r="D1199" s="7" t="n">
        <v>84</v>
      </c>
      <c r="E1199" s="7" t="n">
        <v>69</v>
      </c>
      <c r="F1199" s="3" t="n">
        <f aca="false">COUNTIFS($B$2:$B$2705,B1199,$C$2:$C$2705,C1199)</f>
        <v>1</v>
      </c>
      <c r="G1199" s="3" t="n">
        <f aca="false">MIN(INT((MIN(B1199,2020)-1900)/10)+1,12)</f>
        <v>8</v>
      </c>
      <c r="H1199" s="3" t="n">
        <f aca="false">(MIN(B1199,2020)-1900-10*(G1199-1))/10</f>
        <v>0.2</v>
      </c>
      <c r="I1199" s="20" t="n">
        <f aca="false">EXP(LN(INDEX(Pop_Inputs!$B$2:$N$29,MATCH(C1199,Pop_Inputs!$A$2:$A$29,0),G1199))*(1-H1199)+LN(INDEX(Pop_Inputs!$B$2:$N$29,MATCH(C1199,Pop_Inputs!$A$2:$A$29,0),G1199+1))*H1199)</f>
        <v>1297998.87615141</v>
      </c>
      <c r="J1199" s="20" t="n">
        <f aca="false">I1199/F1199</f>
        <v>1297998.87615141</v>
      </c>
      <c r="K1199" s="21" t="n">
        <f aca="false">D1199/(D1199+E1199)</f>
        <v>0.549019607843137</v>
      </c>
      <c r="L1199" s="21" t="n">
        <f aca="false">AVERAGEIFS($K$2:$K$2705,$B$2:$B$2705,B1199)</f>
        <v>0.500023381285241</v>
      </c>
      <c r="M1199" s="21" t="n">
        <f aca="false">K1199-L1199</f>
        <v>0.0489962265578964</v>
      </c>
      <c r="N1199" s="21" t="n">
        <f aca="false">LN(J1199)</f>
        <v>14.0763343104148</v>
      </c>
      <c r="O1199" s="21" t="n">
        <f aca="false">AVERAGEIFS($N$2:$N$2705,$B$2:$B$2705,B1199)</f>
        <v>13.7455583905089</v>
      </c>
      <c r="P1199" s="21" t="n">
        <f aca="false">N1199-O1199</f>
        <v>0.33077591990593</v>
      </c>
      <c r="Q1199" s="7" t="n">
        <v>1</v>
      </c>
      <c r="R1199" s="3" t="n">
        <f aca="false">IF(AND(Q1199=1,B1199-_xlfn.MINIFS($B$2:$B$2705,$A$2:$A$2705,A1199)&lt;10),1,0)</f>
        <v>0</v>
      </c>
      <c r="S1199" s="7" t="n">
        <v>0</v>
      </c>
      <c r="T1199" s="3" t="n">
        <f aca="false">_xlfn.MINIFS($B$2:$B$2705,$A$2:$A$2705,A1199)</f>
        <v>1962</v>
      </c>
      <c r="U1199" s="3" t="n">
        <f aca="false">B1199-T1199</f>
        <v>10</v>
      </c>
      <c r="V1199" s="3" t="str">
        <f aca="false">INDEX(Pop_Inputs!$Q$2:$Q$29,MATCH(C1199,Pop_Inputs!$A$2:$A$29,0))</f>
        <v>South</v>
      </c>
      <c r="W1199" s="30"/>
      <c r="X1199" s="3" t="str">
        <f aca="false">IF(W1199="","",LN(W1199))</f>
        <v/>
      </c>
      <c r="Y1199" s="3" t="str">
        <f aca="false">IF(X1199="","",X1199-AVERAGEIFS($X$2:$X$2705,$B$2:$B$2705,B1199))</f>
        <v/>
      </c>
      <c r="Z1199" s="21" t="n">
        <f aca="false">P1199</f>
        <v>0.33077591990593</v>
      </c>
      <c r="AA1199" s="3" t="n">
        <f aca="false">R1199</f>
        <v>0</v>
      </c>
      <c r="AB1199" s="21" t="n">
        <f aca="false">P1199</f>
        <v>0.33077591990593</v>
      </c>
      <c r="AC1199" s="3" t="str">
        <f aca="false">Y1199</f>
        <v/>
      </c>
      <c r="AD1199" s="3" t="n">
        <f aca="false">R1199</f>
        <v>0</v>
      </c>
    </row>
    <row r="1200" customFormat="false" ht="15" hidden="false" customHeight="true" outlineLevel="0" collapsed="false">
      <c r="A1200" s="7" t="s">
        <v>76</v>
      </c>
      <c r="B1200" s="7" t="n">
        <v>1972</v>
      </c>
      <c r="C1200" s="7" t="s">
        <v>157</v>
      </c>
      <c r="D1200" s="7" t="n">
        <v>76</v>
      </c>
      <c r="E1200" s="7" t="n">
        <v>78</v>
      </c>
      <c r="F1200" s="3" t="n">
        <f aca="false">COUNTIFS($B$2:$B$2705,B1200,$C$2:$C$2705,C1200)</f>
        <v>1</v>
      </c>
      <c r="G1200" s="3" t="n">
        <f aca="false">MIN(INT((MIN(B1200,2020)-1900)/10)+1,12)</f>
        <v>8</v>
      </c>
      <c r="H1200" s="3" t="n">
        <f aca="false">(MIN(B1200,2020)-1900-10*(G1200-1))/10</f>
        <v>0.2</v>
      </c>
      <c r="I1200" s="20" t="n">
        <f aca="false">EXP(LN(INDEX(Pop_Inputs!$B$2:$N$29,MATCH(C1200,Pop_Inputs!$A$2:$A$29,0),G1200))*(1-H1200)+LN(INDEX(Pop_Inputs!$B$2:$N$29,MATCH(C1200,Pop_Inputs!$A$2:$A$29,0),G1200+1))*H1200)</f>
        <v>494711.955560113</v>
      </c>
      <c r="J1200" s="20" t="n">
        <f aca="false">I1200/F1200</f>
        <v>494711.955560113</v>
      </c>
      <c r="K1200" s="21" t="n">
        <f aca="false">D1200/(D1200+E1200)</f>
        <v>0.493506493506494</v>
      </c>
      <c r="L1200" s="21" t="n">
        <f aca="false">AVERAGEIFS($K$2:$K$2705,$B$2:$B$2705,B1200)</f>
        <v>0.500023381285241</v>
      </c>
      <c r="M1200" s="21" t="n">
        <f aca="false">K1200-L1200</f>
        <v>-0.00651688777874743</v>
      </c>
      <c r="N1200" s="21" t="n">
        <f aca="false">LN(J1200)</f>
        <v>13.1117309642173</v>
      </c>
      <c r="O1200" s="21" t="n">
        <f aca="false">AVERAGEIFS($N$2:$N$2705,$B$2:$B$2705,B1200)</f>
        <v>13.7455583905089</v>
      </c>
      <c r="P1200" s="21" t="n">
        <f aca="false">N1200-O1200</f>
        <v>-0.633827426291591</v>
      </c>
      <c r="Q1200" s="7" t="n">
        <v>1</v>
      </c>
      <c r="R1200" s="3" t="n">
        <f aca="false">IF(AND(Q1200=1,B1200-_xlfn.MINIFS($B$2:$B$2705,$A$2:$A$2705,A1200)&lt;10),1,0)</f>
        <v>1</v>
      </c>
      <c r="S1200" s="7" t="n">
        <v>0</v>
      </c>
      <c r="T1200" s="3" t="n">
        <f aca="false">_xlfn.MINIFS($B$2:$B$2705,$A$2:$A$2705,A1200)</f>
        <v>1969</v>
      </c>
      <c r="U1200" s="3" t="n">
        <f aca="false">B1200-T1200</f>
        <v>3</v>
      </c>
      <c r="V1200" s="3" t="str">
        <f aca="false">INDEX(Pop_Inputs!$Q$2:$Q$29,MATCH(C1200,Pop_Inputs!$A$2:$A$29,0))</f>
        <v>Midwest</v>
      </c>
      <c r="W1200" s="30"/>
      <c r="X1200" s="3" t="str">
        <f aca="false">IF(W1200="","",LN(W1200))</f>
        <v/>
      </c>
      <c r="Y1200" s="3" t="str">
        <f aca="false">IF(X1200="","",X1200-AVERAGEIFS($X$2:$X$2705,$B$2:$B$2705,B1200))</f>
        <v/>
      </c>
      <c r="Z1200" s="21" t="n">
        <f aca="false">P1200</f>
        <v>-0.633827426291591</v>
      </c>
      <c r="AA1200" s="3" t="n">
        <f aca="false">R1200</f>
        <v>1</v>
      </c>
      <c r="AB1200" s="21" t="n">
        <f aca="false">P1200</f>
        <v>-0.633827426291591</v>
      </c>
      <c r="AC1200" s="3" t="str">
        <f aca="false">Y1200</f>
        <v/>
      </c>
      <c r="AD1200" s="3" t="n">
        <f aca="false">R1200</f>
        <v>1</v>
      </c>
    </row>
    <row r="1201" customFormat="false" ht="15" hidden="false" customHeight="true" outlineLevel="0" collapsed="false">
      <c r="A1201" s="7" t="s">
        <v>62</v>
      </c>
      <c r="B1201" s="7" t="n">
        <v>1972</v>
      </c>
      <c r="C1201" s="7" t="s">
        <v>148</v>
      </c>
      <c r="D1201" s="7" t="n">
        <v>85</v>
      </c>
      <c r="E1201" s="7" t="n">
        <v>70</v>
      </c>
      <c r="F1201" s="3" t="n">
        <f aca="false">COUNTIFS($B$2:$B$2705,B1201,$C$2:$C$2705,C1201)</f>
        <v>2</v>
      </c>
      <c r="G1201" s="3" t="n">
        <f aca="false">MIN(INT((MIN(B1201,2020)-1900)/10)+1,12)</f>
        <v>8</v>
      </c>
      <c r="H1201" s="3" t="n">
        <f aca="false">(MIN(B1201,2020)-1900-10*(G1201-1))/10</f>
        <v>0.2</v>
      </c>
      <c r="I1201" s="20" t="n">
        <f aca="false">EXP(LN(INDEX(Pop_Inputs!$B$2:$N$29,MATCH(C1201,Pop_Inputs!$A$2:$A$29,0),G1201))*(1-H1201)+LN(INDEX(Pop_Inputs!$B$2:$N$29,MATCH(C1201,Pop_Inputs!$A$2:$A$29,0),G1201+1))*H1201)</f>
        <v>2845592.87213654</v>
      </c>
      <c r="J1201" s="20" t="n">
        <f aca="false">I1201/F1201</f>
        <v>1422796.43606827</v>
      </c>
      <c r="K1201" s="21" t="n">
        <f aca="false">D1201/(D1201+E1201)</f>
        <v>0.548387096774194</v>
      </c>
      <c r="L1201" s="21" t="n">
        <f aca="false">AVERAGEIFS($K$2:$K$2705,$B$2:$B$2705,B1201)</f>
        <v>0.500023381285241</v>
      </c>
      <c r="M1201" s="21" t="n">
        <f aca="false">K1201-L1201</f>
        <v>0.0483637154889526</v>
      </c>
      <c r="N1201" s="21" t="n">
        <f aca="false">LN(J1201)</f>
        <v>14.1681348141814</v>
      </c>
      <c r="O1201" s="21" t="n">
        <f aca="false">AVERAGEIFS($N$2:$N$2705,$B$2:$B$2705,B1201)</f>
        <v>13.7455583905089</v>
      </c>
      <c r="P1201" s="21" t="n">
        <f aca="false">N1201-O1201</f>
        <v>0.422576423672503</v>
      </c>
      <c r="Q1201" s="7" t="n">
        <v>0</v>
      </c>
      <c r="R1201" s="3" t="n">
        <f aca="false">IF(AND(Q1201=1,B1201-_xlfn.MINIFS($B$2:$B$2705,$A$2:$A$2705,A1201)&lt;10),1,0)</f>
        <v>0</v>
      </c>
      <c r="S1201" s="7" t="n">
        <v>0</v>
      </c>
      <c r="T1201" s="3" t="n">
        <f aca="false">_xlfn.MINIFS($B$2:$B$2705,$A$2:$A$2705,A1201)</f>
        <v>1901</v>
      </c>
      <c r="U1201" s="3" t="n">
        <f aca="false">B1201-T1201</f>
        <v>71</v>
      </c>
      <c r="V1201" s="3" t="str">
        <f aca="false">INDEX(Pop_Inputs!$Q$2:$Q$29,MATCH(C1201,Pop_Inputs!$A$2:$A$29,0))</f>
        <v>West</v>
      </c>
      <c r="W1201" s="30"/>
      <c r="X1201" s="3" t="str">
        <f aca="false">IF(W1201="","",LN(W1201))</f>
        <v/>
      </c>
      <c r="Y1201" s="3" t="str">
        <f aca="false">IF(X1201="","",X1201-AVERAGEIFS($X$2:$X$2705,$B$2:$B$2705,B1201))</f>
        <v/>
      </c>
      <c r="Z1201" s="21" t="n">
        <f aca="false">P1201</f>
        <v>0.422576423672503</v>
      </c>
      <c r="AA1201" s="3" t="n">
        <f aca="false">R1201</f>
        <v>0</v>
      </c>
      <c r="AB1201" s="21" t="n">
        <f aca="false">P1201</f>
        <v>0.422576423672503</v>
      </c>
      <c r="AC1201" s="3" t="str">
        <f aca="false">Y1201</f>
        <v/>
      </c>
      <c r="AD1201" s="3" t="n">
        <f aca="false">R1201</f>
        <v>0</v>
      </c>
    </row>
    <row r="1202" customFormat="false" ht="15" hidden="false" customHeight="true" outlineLevel="0" collapsed="false">
      <c r="A1202" s="7" t="s">
        <v>77</v>
      </c>
      <c r="B1202" s="7" t="n">
        <v>1972</v>
      </c>
      <c r="C1202" s="7" t="s">
        <v>158</v>
      </c>
      <c r="D1202" s="7" t="n">
        <v>65</v>
      </c>
      <c r="E1202" s="7" t="n">
        <v>91</v>
      </c>
      <c r="F1202" s="3" t="n">
        <f aca="false">COUNTIFS($B$2:$B$2705,B1202,$C$2:$C$2705,C1202)</f>
        <v>1</v>
      </c>
      <c r="G1202" s="3" t="n">
        <f aca="false">MIN(INT((MIN(B1202,2020)-1900)/10)+1,12)</f>
        <v>8</v>
      </c>
      <c r="H1202" s="3" t="n">
        <f aca="false">(MIN(B1202,2020)-1900-10*(G1202-1))/10</f>
        <v>0.2</v>
      </c>
      <c r="I1202" s="20" t="n">
        <f aca="false">EXP(LN(INDEX(Pop_Inputs!$B$2:$N$29,MATCH(C1202,Pop_Inputs!$A$2:$A$29,0),G1202))*(1-H1202)+LN(INDEX(Pop_Inputs!$B$2:$N$29,MATCH(C1202,Pop_Inputs!$A$2:$A$29,0),G1202+1))*H1202)</f>
        <v>700138.024407601</v>
      </c>
      <c r="J1202" s="20" t="n">
        <f aca="false">I1202/F1202</f>
        <v>700138.024407601</v>
      </c>
      <c r="K1202" s="21" t="n">
        <f aca="false">D1202/(D1202+E1202)</f>
        <v>0.416666666666667</v>
      </c>
      <c r="L1202" s="21" t="n">
        <f aca="false">AVERAGEIFS($K$2:$K$2705,$B$2:$B$2705,B1202)</f>
        <v>0.500023381285241</v>
      </c>
      <c r="M1202" s="21" t="n">
        <f aca="false">K1202-L1202</f>
        <v>-0.0833567146185743</v>
      </c>
      <c r="N1202" s="21" t="n">
        <f aca="false">LN(J1202)</f>
        <v>13.4590327723137</v>
      </c>
      <c r="O1202" s="21" t="n">
        <f aca="false">AVERAGEIFS($N$2:$N$2705,$B$2:$B$2705,B1202)</f>
        <v>13.7455583905089</v>
      </c>
      <c r="P1202" s="21" t="n">
        <f aca="false">N1202-O1202</f>
        <v>-0.28652561819519</v>
      </c>
      <c r="Q1202" s="7" t="n">
        <v>1</v>
      </c>
      <c r="R1202" s="3" t="n">
        <f aca="false">IF(AND(Q1202=1,B1202-_xlfn.MINIFS($B$2:$B$2705,$A$2:$A$2705,A1202)&lt;10),1,0)</f>
        <v>1</v>
      </c>
      <c r="S1202" s="7" t="n">
        <v>0</v>
      </c>
      <c r="T1202" s="3" t="n">
        <f aca="false">_xlfn.MINIFS($B$2:$B$2705,$A$2:$A$2705,A1202)</f>
        <v>1969</v>
      </c>
      <c r="U1202" s="3" t="n">
        <f aca="false">B1202-T1202</f>
        <v>3</v>
      </c>
      <c r="V1202" s="3" t="str">
        <f aca="false">INDEX(Pop_Inputs!$Q$2:$Q$29,MATCH(C1202,Pop_Inputs!$A$2:$A$29,0))</f>
        <v>Midwest</v>
      </c>
      <c r="W1202" s="30"/>
      <c r="X1202" s="3" t="str">
        <f aca="false">IF(W1202="","",LN(W1202))</f>
        <v/>
      </c>
      <c r="Y1202" s="3" t="str">
        <f aca="false">IF(X1202="","",X1202-AVERAGEIFS($X$2:$X$2705,$B$2:$B$2705,B1202))</f>
        <v/>
      </c>
      <c r="Z1202" s="21" t="n">
        <f aca="false">P1202</f>
        <v>-0.28652561819519</v>
      </c>
      <c r="AA1202" s="3" t="n">
        <f aca="false">R1202</f>
        <v>1</v>
      </c>
      <c r="AB1202" s="21" t="n">
        <f aca="false">P1202</f>
        <v>-0.28652561819519</v>
      </c>
      <c r="AC1202" s="3" t="str">
        <f aca="false">Y1202</f>
        <v/>
      </c>
      <c r="AD1202" s="3" t="n">
        <f aca="false">R1202</f>
        <v>1</v>
      </c>
    </row>
    <row r="1203" customFormat="false" ht="15" hidden="false" customHeight="true" outlineLevel="0" collapsed="false">
      <c r="A1203" s="7" t="s">
        <v>68</v>
      </c>
      <c r="B1203" s="7" t="n">
        <v>1972</v>
      </c>
      <c r="C1203" s="7" t="s">
        <v>153</v>
      </c>
      <c r="D1203" s="7" t="n">
        <v>77</v>
      </c>
      <c r="E1203" s="7" t="n">
        <v>77</v>
      </c>
      <c r="F1203" s="3" t="n">
        <f aca="false">COUNTIFS($B$2:$B$2705,B1203,$C$2:$C$2705,C1203)</f>
        <v>1</v>
      </c>
      <c r="G1203" s="3" t="n">
        <f aca="false">MIN(INT((MIN(B1203,2020)-1900)/10)+1,12)</f>
        <v>8</v>
      </c>
      <c r="H1203" s="3" t="n">
        <f aca="false">(MIN(B1203,2020)-1900-10*(G1203-1))/10</f>
        <v>0.2</v>
      </c>
      <c r="I1203" s="20" t="n">
        <f aca="false">EXP(LN(INDEX(Pop_Inputs!$B$2:$N$29,MATCH(C1203,Pop_Inputs!$A$2:$A$29,0),G1203))*(1-H1203)+LN(INDEX(Pop_Inputs!$B$2:$N$29,MATCH(C1203,Pop_Inputs!$A$2:$A$29,0),G1203+1))*H1203)</f>
        <v>420896.352833904</v>
      </c>
      <c r="J1203" s="20" t="n">
        <f aca="false">I1203/F1203</f>
        <v>420896.352833904</v>
      </c>
      <c r="K1203" s="21" t="n">
        <f aca="false">D1203/(D1203+E1203)</f>
        <v>0.5</v>
      </c>
      <c r="L1203" s="21" t="n">
        <f aca="false">AVERAGEIFS($K$2:$K$2705,$B$2:$B$2705,B1203)</f>
        <v>0.500023381285241</v>
      </c>
      <c r="M1203" s="21" t="n">
        <f aca="false">K1203-L1203</f>
        <v>-2.3381285240931E-005</v>
      </c>
      <c r="N1203" s="21" t="n">
        <f aca="false">LN(J1203)</f>
        <v>12.9501418895605</v>
      </c>
      <c r="O1203" s="21" t="n">
        <f aca="false">AVERAGEIFS($N$2:$N$2705,$B$2:$B$2705,B1203)</f>
        <v>13.7455583905089</v>
      </c>
      <c r="P1203" s="21" t="n">
        <f aca="false">N1203-O1203</f>
        <v>-0.795416500948385</v>
      </c>
      <c r="Q1203" s="7" t="n">
        <v>0</v>
      </c>
      <c r="R1203" s="3" t="n">
        <f aca="false">IF(AND(Q1203=1,B1203-_xlfn.MINIFS($B$2:$B$2705,$A$2:$A$2705,A1203)&lt;10),1,0)</f>
        <v>0</v>
      </c>
      <c r="S1203" s="7" t="n">
        <v>0</v>
      </c>
      <c r="T1203" s="3" t="n">
        <f aca="false">_xlfn.MINIFS($B$2:$B$2705,$A$2:$A$2705,A1203)</f>
        <v>1901</v>
      </c>
      <c r="U1203" s="3" t="n">
        <f aca="false">B1203-T1203</f>
        <v>71</v>
      </c>
      <c r="V1203" s="3" t="str">
        <f aca="false">INDEX(Pop_Inputs!$Q$2:$Q$29,MATCH(C1203,Pop_Inputs!$A$2:$A$29,0))</f>
        <v>Midwest</v>
      </c>
      <c r="W1203" s="30"/>
      <c r="X1203" s="3" t="str">
        <f aca="false">IF(W1203="","",LN(W1203))</f>
        <v/>
      </c>
      <c r="Y1203" s="3" t="str">
        <f aca="false">IF(X1203="","",X1203-AVERAGEIFS($X$2:$X$2705,$B$2:$B$2705,B1203))</f>
        <v/>
      </c>
      <c r="Z1203" s="21" t="n">
        <f aca="false">P1203</f>
        <v>-0.795416500948385</v>
      </c>
      <c r="AA1203" s="3" t="n">
        <f aca="false">R1203</f>
        <v>0</v>
      </c>
      <c r="AB1203" s="21" t="n">
        <f aca="false">P1203</f>
        <v>-0.795416500948385</v>
      </c>
      <c r="AC1203" s="3" t="str">
        <f aca="false">Y1203</f>
        <v/>
      </c>
      <c r="AD1203" s="3" t="n">
        <f aca="false">R1203</f>
        <v>0</v>
      </c>
    </row>
    <row r="1204" customFormat="false" ht="15" hidden="false" customHeight="true" outlineLevel="0" collapsed="false">
      <c r="A1204" s="7" t="s">
        <v>75</v>
      </c>
      <c r="B1204" s="7" t="n">
        <v>1972</v>
      </c>
      <c r="C1204" s="7" t="s">
        <v>154</v>
      </c>
      <c r="D1204" s="7" t="n">
        <v>83</v>
      </c>
      <c r="E1204" s="7" t="n">
        <v>73</v>
      </c>
      <c r="F1204" s="3" t="n">
        <f aca="false">COUNTIFS($B$2:$B$2705,B1204,$C$2:$C$2705,C1204)</f>
        <v>2</v>
      </c>
      <c r="G1204" s="3" t="n">
        <f aca="false">MIN(INT((MIN(B1204,2020)-1900)/10)+1,12)</f>
        <v>8</v>
      </c>
      <c r="H1204" s="3" t="n">
        <f aca="false">(MIN(B1204,2020)-1900-10*(G1204-1))/10</f>
        <v>0.2</v>
      </c>
      <c r="I1204" s="20" t="n">
        <f aca="false">EXP(LN(INDEX(Pop_Inputs!$B$2:$N$29,MATCH(C1204,Pop_Inputs!$A$2:$A$29,0),G1204))*(1-H1204)+LN(INDEX(Pop_Inputs!$B$2:$N$29,MATCH(C1204,Pop_Inputs!$A$2:$A$29,0),G1204+1))*H1204)</f>
        <v>7722886.47623545</v>
      </c>
      <c r="J1204" s="20" t="n">
        <f aca="false">I1204/F1204</f>
        <v>3861443.23811773</v>
      </c>
      <c r="K1204" s="21" t="n">
        <f aca="false">D1204/(D1204+E1204)</f>
        <v>0.532051282051282</v>
      </c>
      <c r="L1204" s="21" t="n">
        <f aca="false">AVERAGEIFS($K$2:$K$2705,$B$2:$B$2705,B1204)</f>
        <v>0.500023381285241</v>
      </c>
      <c r="M1204" s="21" t="n">
        <f aca="false">K1204-L1204</f>
        <v>0.0320279007660411</v>
      </c>
      <c r="N1204" s="21" t="n">
        <f aca="false">LN(J1204)</f>
        <v>15.1665515674448</v>
      </c>
      <c r="O1204" s="21" t="n">
        <f aca="false">AVERAGEIFS($N$2:$N$2705,$B$2:$B$2705,B1204)</f>
        <v>13.7455583905089</v>
      </c>
      <c r="P1204" s="21" t="n">
        <f aca="false">N1204-O1204</f>
        <v>1.42099317693588</v>
      </c>
      <c r="Q1204" s="7" t="n">
        <v>1</v>
      </c>
      <c r="R1204" s="3" t="n">
        <f aca="false">IF(AND(Q1204=1,B1204-_xlfn.MINIFS($B$2:$B$2705,$A$2:$A$2705,A1204)&lt;10),1,0)</f>
        <v>0</v>
      </c>
      <c r="S1204" s="7" t="n">
        <v>0</v>
      </c>
      <c r="T1204" s="3" t="n">
        <f aca="false">_xlfn.MINIFS($B$2:$B$2705,$A$2:$A$2705,A1204)</f>
        <v>1962</v>
      </c>
      <c r="U1204" s="3" t="n">
        <f aca="false">B1204-T1204</f>
        <v>10</v>
      </c>
      <c r="V1204" s="3" t="str">
        <f aca="false">INDEX(Pop_Inputs!$Q$2:$Q$29,MATCH(C1204,Pop_Inputs!$A$2:$A$29,0))</f>
        <v>Northeast</v>
      </c>
      <c r="W1204" s="30"/>
      <c r="X1204" s="3" t="str">
        <f aca="false">IF(W1204="","",LN(W1204))</f>
        <v/>
      </c>
      <c r="Y1204" s="3" t="str">
        <f aca="false">IF(X1204="","",X1204-AVERAGEIFS($X$2:$X$2705,$B$2:$B$2705,B1204))</f>
        <v/>
      </c>
      <c r="Z1204" s="21" t="n">
        <f aca="false">P1204</f>
        <v>1.42099317693588</v>
      </c>
      <c r="AA1204" s="3" t="n">
        <f aca="false">R1204</f>
        <v>0</v>
      </c>
      <c r="AB1204" s="21" t="n">
        <f aca="false">P1204</f>
        <v>1.42099317693588</v>
      </c>
      <c r="AC1204" s="3" t="str">
        <f aca="false">Y1204</f>
        <v/>
      </c>
      <c r="AD1204" s="3" t="n">
        <f aca="false">R1204</f>
        <v>0</v>
      </c>
    </row>
    <row r="1205" customFormat="false" ht="15" hidden="false" customHeight="true" outlineLevel="0" collapsed="false">
      <c r="A1205" s="7" t="s">
        <v>70</v>
      </c>
      <c r="B1205" s="7" t="n">
        <v>1972</v>
      </c>
      <c r="C1205" s="7" t="s">
        <v>154</v>
      </c>
      <c r="D1205" s="7" t="n">
        <v>79</v>
      </c>
      <c r="E1205" s="7" t="n">
        <v>76</v>
      </c>
      <c r="F1205" s="3" t="n">
        <f aca="false">COUNTIFS($B$2:$B$2705,B1205,$C$2:$C$2705,C1205)</f>
        <v>2</v>
      </c>
      <c r="G1205" s="3" t="n">
        <f aca="false">MIN(INT((MIN(B1205,2020)-1900)/10)+1,12)</f>
        <v>8</v>
      </c>
      <c r="H1205" s="3" t="n">
        <f aca="false">(MIN(B1205,2020)-1900-10*(G1205-1))/10</f>
        <v>0.2</v>
      </c>
      <c r="I1205" s="20" t="n">
        <f aca="false">EXP(LN(INDEX(Pop_Inputs!$B$2:$N$29,MATCH(C1205,Pop_Inputs!$A$2:$A$29,0),G1205))*(1-H1205)+LN(INDEX(Pop_Inputs!$B$2:$N$29,MATCH(C1205,Pop_Inputs!$A$2:$A$29,0),G1205+1))*H1205)</f>
        <v>7722886.47623545</v>
      </c>
      <c r="J1205" s="20" t="n">
        <f aca="false">I1205/F1205</f>
        <v>3861443.23811773</v>
      </c>
      <c r="K1205" s="21" t="n">
        <f aca="false">D1205/(D1205+E1205)</f>
        <v>0.509677419354839</v>
      </c>
      <c r="L1205" s="21" t="n">
        <f aca="false">AVERAGEIFS($K$2:$K$2705,$B$2:$B$2705,B1205)</f>
        <v>0.500023381285241</v>
      </c>
      <c r="M1205" s="21" t="n">
        <f aca="false">K1205-L1205</f>
        <v>0.00965403806959775</v>
      </c>
      <c r="N1205" s="21" t="n">
        <f aca="false">LN(J1205)</f>
        <v>15.1665515674448</v>
      </c>
      <c r="O1205" s="21" t="n">
        <f aca="false">AVERAGEIFS($N$2:$N$2705,$B$2:$B$2705,B1205)</f>
        <v>13.7455583905089</v>
      </c>
      <c r="P1205" s="21" t="n">
        <f aca="false">N1205-O1205</f>
        <v>1.42099317693588</v>
      </c>
      <c r="Q1205" s="7" t="n">
        <v>0</v>
      </c>
      <c r="R1205" s="3" t="n">
        <f aca="false">IF(AND(Q1205=1,B1205-_xlfn.MINIFS($B$2:$B$2705,$A$2:$A$2705,A1205)&lt;10),1,0)</f>
        <v>0</v>
      </c>
      <c r="S1205" s="7" t="n">
        <v>1</v>
      </c>
      <c r="T1205" s="3" t="n">
        <f aca="false">_xlfn.MINIFS($B$2:$B$2705,$A$2:$A$2705,A1205)</f>
        <v>1903</v>
      </c>
      <c r="U1205" s="3" t="n">
        <f aca="false">B1205-T1205</f>
        <v>69</v>
      </c>
      <c r="V1205" s="3" t="str">
        <f aca="false">INDEX(Pop_Inputs!$Q$2:$Q$29,MATCH(C1205,Pop_Inputs!$A$2:$A$29,0))</f>
        <v>Northeast</v>
      </c>
      <c r="W1205" s="30"/>
      <c r="X1205" s="3" t="str">
        <f aca="false">IF(W1205="","",LN(W1205))</f>
        <v/>
      </c>
      <c r="Y1205" s="3" t="str">
        <f aca="false">IF(X1205="","",X1205-AVERAGEIFS($X$2:$X$2705,$B$2:$B$2705,B1205))</f>
        <v/>
      </c>
      <c r="Z1205" s="21" t="n">
        <f aca="false">P1205</f>
        <v>1.42099317693588</v>
      </c>
      <c r="AA1205" s="3" t="n">
        <f aca="false">R1205</f>
        <v>0</v>
      </c>
      <c r="AB1205" s="21" t="n">
        <f aca="false">P1205</f>
        <v>1.42099317693588</v>
      </c>
      <c r="AC1205" s="3" t="str">
        <f aca="false">Y1205</f>
        <v/>
      </c>
      <c r="AD1205" s="3" t="n">
        <f aca="false">R1205</f>
        <v>0</v>
      </c>
    </row>
    <row r="1206" customFormat="false" ht="15" hidden="false" customHeight="true" outlineLevel="0" collapsed="false">
      <c r="A1206" s="7" t="s">
        <v>69</v>
      </c>
      <c r="B1206" s="7" t="n">
        <v>1972</v>
      </c>
      <c r="C1206" s="7" t="s">
        <v>253</v>
      </c>
      <c r="D1206" s="7" t="n">
        <v>93</v>
      </c>
      <c r="E1206" s="7" t="n">
        <v>62</v>
      </c>
      <c r="F1206" s="3" t="n">
        <f aca="false">COUNTIFS($B$2:$B$2705,B1206,$C$2:$C$2705,C1206)</f>
        <v>1</v>
      </c>
      <c r="G1206" s="3" t="n">
        <f aca="false">MIN(INT((MIN(B1206,2020)-1900)/10)+1,12)</f>
        <v>8</v>
      </c>
      <c r="H1206" s="3" t="n">
        <f aca="false">(MIN(B1206,2020)-1900-10*(G1206-1))/10</f>
        <v>0.2</v>
      </c>
      <c r="I1206" s="20" t="n">
        <f aca="false">EXP(LN(INDEX(Pop_Inputs!$B$2:$N$29,MATCH(C1206,Pop_Inputs!$A$2:$A$29,0),G1206))*(1-H1206)+LN(INDEX(Pop_Inputs!$B$2:$N$29,MATCH(C1206,Pop_Inputs!$A$2:$A$29,0),G1206+1))*H1206)</f>
        <v>357002.704632465</v>
      </c>
      <c r="J1206" s="20" t="n">
        <f aca="false">I1206/F1206</f>
        <v>357002.704632465</v>
      </c>
      <c r="K1206" s="21" t="n">
        <f aca="false">D1206/(D1206+E1206)</f>
        <v>0.6</v>
      </c>
      <c r="L1206" s="21" t="n">
        <f aca="false">AVERAGEIFS($K$2:$K$2705,$B$2:$B$2705,B1206)</f>
        <v>0.500023381285241</v>
      </c>
      <c r="M1206" s="21" t="n">
        <f aca="false">K1206-L1206</f>
        <v>0.0999766187147591</v>
      </c>
      <c r="N1206" s="21" t="n">
        <f aca="false">LN(J1206)</f>
        <v>12.7854986367344</v>
      </c>
      <c r="O1206" s="21" t="n">
        <f aca="false">AVERAGEIFS($N$2:$N$2705,$B$2:$B$2705,B1206)</f>
        <v>13.7455583905089</v>
      </c>
      <c r="P1206" s="21" t="n">
        <f aca="false">N1206-O1206</f>
        <v>-0.960059753774525</v>
      </c>
      <c r="Q1206" s="7" t="n">
        <v>0</v>
      </c>
      <c r="R1206" s="3" t="n">
        <f aca="false">IF(AND(Q1206=1,B1206-_xlfn.MINIFS($B$2:$B$2705,$A$2:$A$2705,A1206)&lt;10),1,0)</f>
        <v>0</v>
      </c>
      <c r="S1206" s="7" t="n">
        <v>0</v>
      </c>
      <c r="T1206" s="3" t="n">
        <f aca="false">_xlfn.MINIFS($B$2:$B$2705,$A$2:$A$2705,A1206)</f>
        <v>1901</v>
      </c>
      <c r="U1206" s="3" t="n">
        <f aca="false">B1206-T1206</f>
        <v>71</v>
      </c>
      <c r="V1206" s="3" t="str">
        <f aca="false">INDEX(Pop_Inputs!$Q$2:$Q$29,MATCH(C1206,Pop_Inputs!$A$2:$A$29,0))</f>
        <v>West</v>
      </c>
      <c r="W1206" s="30"/>
      <c r="X1206" s="3" t="str">
        <f aca="false">IF(W1206="","",LN(W1206))</f>
        <v/>
      </c>
      <c r="Y1206" s="3" t="str">
        <f aca="false">IF(X1206="","",X1206-AVERAGEIFS($X$2:$X$2705,$B$2:$B$2705,B1206))</f>
        <v/>
      </c>
      <c r="Z1206" s="21" t="n">
        <f aca="false">P1206</f>
        <v>-0.960059753774525</v>
      </c>
      <c r="AA1206" s="3" t="n">
        <f aca="false">R1206</f>
        <v>0</v>
      </c>
      <c r="AB1206" s="21" t="n">
        <f aca="false">P1206</f>
        <v>-0.960059753774525</v>
      </c>
      <c r="AC1206" s="3" t="str">
        <f aca="false">Y1206</f>
        <v/>
      </c>
      <c r="AD1206" s="3" t="n">
        <f aca="false">R1206</f>
        <v>0</v>
      </c>
    </row>
    <row r="1207" customFormat="false" ht="15" hidden="false" customHeight="true" outlineLevel="0" collapsed="false">
      <c r="A1207" s="7" t="s">
        <v>60</v>
      </c>
      <c r="B1207" s="7" t="n">
        <v>1972</v>
      </c>
      <c r="C1207" s="7" t="s">
        <v>146</v>
      </c>
      <c r="D1207" s="7" t="n">
        <v>59</v>
      </c>
      <c r="E1207" s="7" t="n">
        <v>97</v>
      </c>
      <c r="F1207" s="3" t="n">
        <f aca="false">COUNTIFS($B$2:$B$2705,B1207,$C$2:$C$2705,C1207)</f>
        <v>1</v>
      </c>
      <c r="G1207" s="3" t="n">
        <f aca="false">MIN(INT((MIN(B1207,2020)-1900)/10)+1,12)</f>
        <v>8</v>
      </c>
      <c r="H1207" s="3" t="n">
        <f aca="false">(MIN(B1207,2020)-1900-10*(G1207-1))/10</f>
        <v>0.2</v>
      </c>
      <c r="I1207" s="20" t="n">
        <f aca="false">EXP(LN(INDEX(Pop_Inputs!$B$2:$N$29,MATCH(C1207,Pop_Inputs!$A$2:$A$29,0),G1207))*(1-H1207)+LN(INDEX(Pop_Inputs!$B$2:$N$29,MATCH(C1207,Pop_Inputs!$A$2:$A$29,0),G1207+1))*H1207)</f>
        <v>1893498.89912561</v>
      </c>
      <c r="J1207" s="20" t="n">
        <f aca="false">I1207/F1207</f>
        <v>1893498.89912561</v>
      </c>
      <c r="K1207" s="21" t="n">
        <f aca="false">D1207/(D1207+E1207)</f>
        <v>0.378205128205128</v>
      </c>
      <c r="L1207" s="21" t="n">
        <f aca="false">AVERAGEIFS($K$2:$K$2705,$B$2:$B$2705,B1207)</f>
        <v>0.500023381285241</v>
      </c>
      <c r="M1207" s="21" t="n">
        <f aca="false">K1207-L1207</f>
        <v>-0.121818253080113</v>
      </c>
      <c r="N1207" s="21" t="n">
        <f aca="false">LN(J1207)</f>
        <v>14.4539369449273</v>
      </c>
      <c r="O1207" s="21" t="n">
        <f aca="false">AVERAGEIFS($N$2:$N$2705,$B$2:$B$2705,B1207)</f>
        <v>13.7455583905089</v>
      </c>
      <c r="P1207" s="21" t="n">
        <f aca="false">N1207-O1207</f>
        <v>0.708378554418349</v>
      </c>
      <c r="Q1207" s="7" t="n">
        <v>0</v>
      </c>
      <c r="R1207" s="3" t="n">
        <f aca="false">IF(AND(Q1207=1,B1207-_xlfn.MINIFS($B$2:$B$2705,$A$2:$A$2705,A1207)&lt;10),1,0)</f>
        <v>0</v>
      </c>
      <c r="S1207" s="7" t="n">
        <v>0</v>
      </c>
      <c r="T1207" s="3" t="n">
        <f aca="false">_xlfn.MINIFS($B$2:$B$2705,$A$2:$A$2705,A1207)</f>
        <v>1901</v>
      </c>
      <c r="U1207" s="3" t="n">
        <f aca="false">B1207-T1207</f>
        <v>71</v>
      </c>
      <c r="V1207" s="3" t="str">
        <f aca="false">INDEX(Pop_Inputs!$Q$2:$Q$29,MATCH(C1207,Pop_Inputs!$A$2:$A$29,0))</f>
        <v>Northeast</v>
      </c>
      <c r="W1207" s="30"/>
      <c r="X1207" s="3" t="str">
        <f aca="false">IF(W1207="","",LN(W1207))</f>
        <v/>
      </c>
      <c r="Y1207" s="3" t="str">
        <f aca="false">IF(X1207="","",X1207-AVERAGEIFS($X$2:$X$2705,$B$2:$B$2705,B1207))</f>
        <v/>
      </c>
      <c r="Z1207" s="21" t="n">
        <f aca="false">P1207</f>
        <v>0.708378554418349</v>
      </c>
      <c r="AA1207" s="3" t="n">
        <f aca="false">R1207</f>
        <v>0</v>
      </c>
      <c r="AB1207" s="21" t="n">
        <f aca="false">P1207</f>
        <v>0.708378554418349</v>
      </c>
      <c r="AC1207" s="3" t="str">
        <f aca="false">Y1207</f>
        <v/>
      </c>
      <c r="AD1207" s="3" t="n">
        <f aca="false">R1207</f>
        <v>0</v>
      </c>
    </row>
    <row r="1208" customFormat="false" ht="15" hidden="false" customHeight="true" outlineLevel="0" collapsed="false">
      <c r="A1208" s="7" t="s">
        <v>58</v>
      </c>
      <c r="B1208" s="7" t="n">
        <v>1972</v>
      </c>
      <c r="C1208" s="7" t="s">
        <v>144</v>
      </c>
      <c r="D1208" s="7" t="n">
        <v>96</v>
      </c>
      <c r="E1208" s="7" t="n">
        <v>59</v>
      </c>
      <c r="F1208" s="3" t="n">
        <f aca="false">COUNTIFS($B$2:$B$2705,B1208,$C$2:$C$2705,C1208)</f>
        <v>1</v>
      </c>
      <c r="G1208" s="3" t="n">
        <f aca="false">MIN(INT((MIN(B1208,2020)-1900)/10)+1,12)</f>
        <v>8</v>
      </c>
      <c r="H1208" s="3" t="n">
        <f aca="false">(MIN(B1208,2020)-1900-10*(G1208-1))/10</f>
        <v>0.2</v>
      </c>
      <c r="I1208" s="20" t="n">
        <f aca="false">EXP(LN(INDEX(Pop_Inputs!$B$2:$N$29,MATCH(C1208,Pop_Inputs!$A$2:$A$29,0),G1208))*(1-H1208)+LN(INDEX(Pop_Inputs!$B$2:$N$29,MATCH(C1208,Pop_Inputs!$A$2:$A$29,0),G1208+1))*H1208)</f>
        <v>499276.710760474</v>
      </c>
      <c r="J1208" s="20" t="n">
        <f aca="false">I1208/F1208</f>
        <v>499276.710760474</v>
      </c>
      <c r="K1208" s="21" t="n">
        <f aca="false">D1208/(D1208+E1208)</f>
        <v>0.619354838709677</v>
      </c>
      <c r="L1208" s="21" t="n">
        <f aca="false">AVERAGEIFS($K$2:$K$2705,$B$2:$B$2705,B1208)</f>
        <v>0.500023381285241</v>
      </c>
      <c r="M1208" s="21" t="n">
        <f aca="false">K1208-L1208</f>
        <v>0.119331457424437</v>
      </c>
      <c r="N1208" s="21" t="n">
        <f aca="false">LN(J1208)</f>
        <v>13.1209157516205</v>
      </c>
      <c r="O1208" s="21" t="n">
        <f aca="false">AVERAGEIFS($N$2:$N$2705,$B$2:$B$2705,B1208)</f>
        <v>13.7455583905089</v>
      </c>
      <c r="P1208" s="21" t="n">
        <f aca="false">N1208-O1208</f>
        <v>-0.624642638888403</v>
      </c>
      <c r="Q1208" s="7" t="n">
        <v>0</v>
      </c>
      <c r="R1208" s="3" t="n">
        <f aca="false">IF(AND(Q1208=1,B1208-_xlfn.MINIFS($B$2:$B$2705,$A$2:$A$2705,A1208)&lt;10),1,0)</f>
        <v>0</v>
      </c>
      <c r="S1208" s="7" t="n">
        <v>0</v>
      </c>
      <c r="T1208" s="3" t="n">
        <f aca="false">_xlfn.MINIFS($B$2:$B$2705,$A$2:$A$2705,A1208)</f>
        <v>1901</v>
      </c>
      <c r="U1208" s="3" t="n">
        <f aca="false">B1208-T1208</f>
        <v>71</v>
      </c>
      <c r="V1208" s="3" t="str">
        <f aca="false">INDEX(Pop_Inputs!$Q$2:$Q$29,MATCH(C1208,Pop_Inputs!$A$2:$A$29,0))</f>
        <v>Northeast</v>
      </c>
      <c r="W1208" s="30"/>
      <c r="X1208" s="3" t="str">
        <f aca="false">IF(W1208="","",LN(W1208))</f>
        <v/>
      </c>
      <c r="Y1208" s="3" t="str">
        <f aca="false">IF(X1208="","",X1208-AVERAGEIFS($X$2:$X$2705,$B$2:$B$2705,B1208))</f>
        <v/>
      </c>
      <c r="Z1208" s="21" t="n">
        <f aca="false">P1208</f>
        <v>-0.624642638888403</v>
      </c>
      <c r="AA1208" s="3" t="n">
        <f aca="false">R1208</f>
        <v>0</v>
      </c>
      <c r="AB1208" s="21" t="n">
        <f aca="false">P1208</f>
        <v>-0.624642638888403</v>
      </c>
      <c r="AC1208" s="3" t="str">
        <f aca="false">Y1208</f>
        <v/>
      </c>
      <c r="AD1208" s="3" t="n">
        <f aca="false">R1208</f>
        <v>0</v>
      </c>
    </row>
    <row r="1209" customFormat="false" ht="15" hidden="false" customHeight="true" outlineLevel="0" collapsed="false">
      <c r="A1209" s="7" t="s">
        <v>78</v>
      </c>
      <c r="B1209" s="7" t="n">
        <v>1972</v>
      </c>
      <c r="C1209" s="7" t="s">
        <v>159</v>
      </c>
      <c r="D1209" s="7" t="n">
        <v>58</v>
      </c>
      <c r="E1209" s="7" t="n">
        <v>95</v>
      </c>
      <c r="F1209" s="3" t="n">
        <f aca="false">COUNTIFS($B$2:$B$2705,B1209,$C$2:$C$2705,C1209)</f>
        <v>1</v>
      </c>
      <c r="G1209" s="3" t="n">
        <f aca="false">MIN(INT((MIN(B1209,2020)-1900)/10)+1,12)</f>
        <v>8</v>
      </c>
      <c r="H1209" s="3" t="n">
        <f aca="false">(MIN(B1209,2020)-1900-10*(G1209-1))/10</f>
        <v>0.2</v>
      </c>
      <c r="I1209" s="20" t="n">
        <f aca="false">EXP(LN(INDEX(Pop_Inputs!$B$2:$N$29,MATCH(C1209,Pop_Inputs!$A$2:$A$29,0),G1209))*(1-H1209)+LN(INDEX(Pop_Inputs!$B$2:$N$29,MATCH(C1209,Pop_Inputs!$A$2:$A$29,0),G1209+1))*H1209)</f>
        <v>729333.321956749</v>
      </c>
      <c r="J1209" s="20" t="n">
        <f aca="false">I1209/F1209</f>
        <v>729333.321956749</v>
      </c>
      <c r="K1209" s="21" t="n">
        <f aca="false">D1209/(D1209+E1209)</f>
        <v>0.379084967320261</v>
      </c>
      <c r="L1209" s="21" t="n">
        <f aca="false">AVERAGEIFS($K$2:$K$2705,$B$2:$B$2705,B1209)</f>
        <v>0.500023381285241</v>
      </c>
      <c r="M1209" s="21" t="n">
        <f aca="false">K1209-L1209</f>
        <v>-0.12093841396498</v>
      </c>
      <c r="N1209" s="21" t="n">
        <f aca="false">LN(J1209)</f>
        <v>13.4998861382573</v>
      </c>
      <c r="O1209" s="21" t="n">
        <f aca="false">AVERAGEIFS($N$2:$N$2705,$B$2:$B$2705,B1209)</f>
        <v>13.7455583905089</v>
      </c>
      <c r="P1209" s="21" t="n">
        <f aca="false">N1209-O1209</f>
        <v>-0.245672252251612</v>
      </c>
      <c r="Q1209" s="7" t="n">
        <v>1</v>
      </c>
      <c r="R1209" s="3" t="n">
        <f aca="false">IF(AND(Q1209=1,B1209-_xlfn.MINIFS($B$2:$B$2705,$A$2:$A$2705,A1209)&lt;10),1,0)</f>
        <v>1</v>
      </c>
      <c r="S1209" s="7" t="n">
        <v>0</v>
      </c>
      <c r="T1209" s="3" t="n">
        <f aca="false">_xlfn.MINIFS($B$2:$B$2705,$A$2:$A$2705,A1209)</f>
        <v>1969</v>
      </c>
      <c r="U1209" s="3" t="n">
        <f aca="false">B1209-T1209</f>
        <v>3</v>
      </c>
      <c r="V1209" s="3" t="str">
        <f aca="false">INDEX(Pop_Inputs!$Q$2:$Q$29,MATCH(C1209,Pop_Inputs!$A$2:$A$29,0))</f>
        <v>West</v>
      </c>
      <c r="W1209" s="30"/>
      <c r="X1209" s="3" t="str">
        <f aca="false">IF(W1209="","",LN(W1209))</f>
        <v/>
      </c>
      <c r="Y1209" s="3" t="str">
        <f aca="false">IF(X1209="","",X1209-AVERAGEIFS($X$2:$X$2705,$B$2:$B$2705,B1209))</f>
        <v/>
      </c>
      <c r="Z1209" s="21" t="n">
        <f aca="false">P1209</f>
        <v>-0.245672252251612</v>
      </c>
      <c r="AA1209" s="3" t="n">
        <f aca="false">R1209</f>
        <v>1</v>
      </c>
      <c r="AB1209" s="21" t="n">
        <f aca="false">P1209</f>
        <v>-0.245672252251612</v>
      </c>
      <c r="AC1209" s="3" t="str">
        <f aca="false">Y1209</f>
        <v/>
      </c>
      <c r="AD1209" s="3" t="n">
        <f aca="false">R1209</f>
        <v>1</v>
      </c>
    </row>
    <row r="1210" customFormat="false" ht="15" hidden="false" customHeight="true" outlineLevel="0" collapsed="false">
      <c r="A1210" s="7" t="s">
        <v>61</v>
      </c>
      <c r="B1210" s="7" t="n">
        <v>1972</v>
      </c>
      <c r="C1210" s="7" t="s">
        <v>147</v>
      </c>
      <c r="D1210" s="7" t="n">
        <v>69</v>
      </c>
      <c r="E1210" s="7" t="n">
        <v>86</v>
      </c>
      <c r="F1210" s="3" t="n">
        <f aca="false">COUNTIFS($B$2:$B$2705,B1210,$C$2:$C$2705,C1210)</f>
        <v>1</v>
      </c>
      <c r="G1210" s="3" t="n">
        <f aca="false">MIN(INT((MIN(B1210,2020)-1900)/10)+1,12)</f>
        <v>8</v>
      </c>
      <c r="H1210" s="3" t="n">
        <f aca="false">(MIN(B1210,2020)-1900-10*(G1210-1))/10</f>
        <v>0.2</v>
      </c>
      <c r="I1210" s="20" t="n">
        <f aca="false">EXP(LN(INDEX(Pop_Inputs!$B$2:$N$29,MATCH(C1210,Pop_Inputs!$A$2:$A$29,0),G1210))*(1-H1210)+LN(INDEX(Pop_Inputs!$B$2:$N$29,MATCH(C1210,Pop_Inputs!$A$2:$A$29,0),G1210+1))*H1210)</f>
        <v>708178.635470474</v>
      </c>
      <c r="J1210" s="20" t="n">
        <f aca="false">I1210/F1210</f>
        <v>708178.635470474</v>
      </c>
      <c r="K1210" s="21" t="n">
        <f aca="false">D1210/(D1210+E1210)</f>
        <v>0.445161290322581</v>
      </c>
      <c r="L1210" s="21" t="n">
        <f aca="false">AVERAGEIFS($K$2:$K$2705,$B$2:$B$2705,B1210)</f>
        <v>0.500023381285241</v>
      </c>
      <c r="M1210" s="21" t="n">
        <f aca="false">K1210-L1210</f>
        <v>-0.0548620909626603</v>
      </c>
      <c r="N1210" s="21" t="n">
        <f aca="false">LN(J1210)</f>
        <v>13.4704516508376</v>
      </c>
      <c r="O1210" s="21" t="n">
        <f aca="false">AVERAGEIFS($N$2:$N$2705,$B$2:$B$2705,B1210)</f>
        <v>13.7455583905089</v>
      </c>
      <c r="P1210" s="21" t="n">
        <f aca="false">N1210-O1210</f>
        <v>-0.275106739671314</v>
      </c>
      <c r="Q1210" s="7" t="n">
        <v>0</v>
      </c>
      <c r="R1210" s="3" t="n">
        <f aca="false">IF(AND(Q1210=1,B1210-_xlfn.MINIFS($B$2:$B$2705,$A$2:$A$2705,A1210)&lt;10),1,0)</f>
        <v>0</v>
      </c>
      <c r="S1210" s="7" t="n">
        <v>0</v>
      </c>
      <c r="T1210" s="3" t="n">
        <f aca="false">_xlfn.MINIFS($B$2:$B$2705,$A$2:$A$2705,A1210)</f>
        <v>1901</v>
      </c>
      <c r="U1210" s="3" t="n">
        <f aca="false">B1210-T1210</f>
        <v>71</v>
      </c>
      <c r="V1210" s="3" t="str">
        <f aca="false">INDEX(Pop_Inputs!$Q$2:$Q$29,MATCH(C1210,Pop_Inputs!$A$2:$A$29,0))</f>
        <v>West</v>
      </c>
      <c r="W1210" s="30"/>
      <c r="X1210" s="3" t="str">
        <f aca="false">IF(W1210="","",LN(W1210))</f>
        <v/>
      </c>
      <c r="Y1210" s="3" t="str">
        <f aca="false">IF(X1210="","",X1210-AVERAGEIFS($X$2:$X$2705,$B$2:$B$2705,B1210))</f>
        <v/>
      </c>
      <c r="Z1210" s="21" t="n">
        <f aca="false">P1210</f>
        <v>-0.275106739671314</v>
      </c>
      <c r="AA1210" s="3" t="n">
        <f aca="false">R1210</f>
        <v>0</v>
      </c>
      <c r="AB1210" s="21" t="n">
        <f aca="false">P1210</f>
        <v>-0.275106739671314</v>
      </c>
      <c r="AC1210" s="3" t="str">
        <f aca="false">Y1210</f>
        <v/>
      </c>
      <c r="AD1210" s="3" t="n">
        <f aca="false">R1210</f>
        <v>0</v>
      </c>
    </row>
    <row r="1211" customFormat="false" ht="15" hidden="false" customHeight="true" outlineLevel="0" collapsed="false">
      <c r="A1211" s="7" t="s">
        <v>59</v>
      </c>
      <c r="B1211" s="7" t="n">
        <v>1972</v>
      </c>
      <c r="C1211" s="7" t="s">
        <v>145</v>
      </c>
      <c r="D1211" s="7" t="n">
        <v>75</v>
      </c>
      <c r="E1211" s="7" t="n">
        <v>81</v>
      </c>
      <c r="F1211" s="3" t="n">
        <f aca="false">COUNTIFS($B$2:$B$2705,B1211,$C$2:$C$2705,C1211)</f>
        <v>1</v>
      </c>
      <c r="G1211" s="3" t="n">
        <f aca="false">MIN(INT((MIN(B1211,2020)-1900)/10)+1,12)</f>
        <v>8</v>
      </c>
      <c r="H1211" s="3" t="n">
        <f aca="false">(MIN(B1211,2020)-1900-10*(G1211-1))/10</f>
        <v>0.2</v>
      </c>
      <c r="I1211" s="20" t="n">
        <f aca="false">EXP(LN(INDEX(Pop_Inputs!$B$2:$N$29,MATCH(C1211,Pop_Inputs!$A$2:$A$29,0),G1211))*(1-H1211)+LN(INDEX(Pop_Inputs!$B$2:$N$29,MATCH(C1211,Pop_Inputs!$A$2:$A$29,0),G1211+1))*H1211)</f>
        <v>584168.268120601</v>
      </c>
      <c r="J1211" s="20" t="n">
        <f aca="false">I1211/F1211</f>
        <v>584168.268120601</v>
      </c>
      <c r="K1211" s="21" t="n">
        <f aca="false">D1211/(D1211+E1211)</f>
        <v>0.480769230769231</v>
      </c>
      <c r="L1211" s="21" t="n">
        <f aca="false">AVERAGEIFS($K$2:$K$2705,$B$2:$B$2705,B1211)</f>
        <v>0.500023381285241</v>
      </c>
      <c r="M1211" s="21" t="n">
        <f aca="false">K1211-L1211</f>
        <v>-0.0192541505160102</v>
      </c>
      <c r="N1211" s="21" t="n">
        <f aca="false">LN(J1211)</f>
        <v>13.2779443506523</v>
      </c>
      <c r="O1211" s="21" t="n">
        <f aca="false">AVERAGEIFS($N$2:$N$2705,$B$2:$B$2705,B1211)</f>
        <v>13.7455583905089</v>
      </c>
      <c r="P1211" s="21" t="n">
        <f aca="false">N1211-O1211</f>
        <v>-0.46761403985662</v>
      </c>
      <c r="Q1211" s="7" t="n">
        <v>0</v>
      </c>
      <c r="R1211" s="3" t="n">
        <f aca="false">IF(AND(Q1211=1,B1211-_xlfn.MINIFS($B$2:$B$2705,$A$2:$A$2705,A1211)&lt;10),1,0)</f>
        <v>0</v>
      </c>
      <c r="S1211" s="7" t="n">
        <v>0</v>
      </c>
      <c r="T1211" s="3" t="n">
        <f aca="false">_xlfn.MINIFS($B$2:$B$2705,$A$2:$A$2705,A1211)</f>
        <v>1901</v>
      </c>
      <c r="U1211" s="3" t="n">
        <f aca="false">B1211-T1211</f>
        <v>71</v>
      </c>
      <c r="V1211" s="3" t="str">
        <f aca="false">INDEX(Pop_Inputs!$Q$2:$Q$29,MATCH(C1211,Pop_Inputs!$A$2:$A$29,0))</f>
        <v>Midwest</v>
      </c>
      <c r="W1211" s="30"/>
      <c r="X1211" s="3" t="str">
        <f aca="false">IF(W1211="","",LN(W1211))</f>
        <v/>
      </c>
      <c r="Y1211" s="3" t="str">
        <f aca="false">IF(X1211="","",X1211-AVERAGEIFS($X$2:$X$2705,$B$2:$B$2705,B1211))</f>
        <v/>
      </c>
      <c r="Z1211" s="21" t="n">
        <f aca="false">P1211</f>
        <v>-0.46761403985662</v>
      </c>
      <c r="AA1211" s="3" t="n">
        <f aca="false">R1211</f>
        <v>0</v>
      </c>
      <c r="AB1211" s="21" t="n">
        <f aca="false">P1211</f>
        <v>-0.46761403985662</v>
      </c>
      <c r="AC1211" s="3" t="str">
        <f aca="false">Y1211</f>
        <v/>
      </c>
      <c r="AD1211" s="3" t="n">
        <f aca="false">R1211</f>
        <v>0</v>
      </c>
    </row>
    <row r="1212" customFormat="false" ht="15" hidden="false" customHeight="true" outlineLevel="0" collapsed="false">
      <c r="A1212" s="7" t="s">
        <v>73</v>
      </c>
      <c r="B1212" s="7" t="n">
        <v>1972</v>
      </c>
      <c r="C1212" s="7" t="s">
        <v>155</v>
      </c>
      <c r="D1212" s="7" t="n">
        <v>54</v>
      </c>
      <c r="E1212" s="7" t="n">
        <v>100</v>
      </c>
      <c r="F1212" s="3" t="n">
        <f aca="false">COUNTIFS($B$2:$B$2705,B1212,$C$2:$C$2705,C1212)</f>
        <v>1</v>
      </c>
      <c r="G1212" s="3" t="n">
        <f aca="false">MIN(INT((MIN(B1212,2020)-1900)/10)+1,12)</f>
        <v>8</v>
      </c>
      <c r="H1212" s="3" t="n">
        <f aca="false">(MIN(B1212,2020)-1900-10*(G1212-1))/10</f>
        <v>0.2</v>
      </c>
      <c r="I1212" s="20" t="n">
        <f aca="false">EXP(LN(INDEX(Pop_Inputs!$B$2:$N$29,MATCH(C1212,Pop_Inputs!$A$2:$A$29,0),G1212))*(1-H1212)+LN(INDEX(Pop_Inputs!$B$2:$N$29,MATCH(C1212,Pop_Inputs!$A$2:$A$29,0),G1212+1))*H1212)</f>
        <v>856012.627827812</v>
      </c>
      <c r="J1212" s="20" t="n">
        <f aca="false">I1212/F1212</f>
        <v>856012.627827812</v>
      </c>
      <c r="K1212" s="21" t="n">
        <f aca="false">D1212/(D1212+E1212)</f>
        <v>0.350649350649351</v>
      </c>
      <c r="L1212" s="21" t="n">
        <f aca="false">AVERAGEIFS($K$2:$K$2705,$B$2:$B$2705,B1212)</f>
        <v>0.500023381285241</v>
      </c>
      <c r="M1212" s="21" t="n">
        <f aca="false">K1212-L1212</f>
        <v>-0.14937403063589</v>
      </c>
      <c r="N1212" s="21" t="n">
        <f aca="false">LN(J1212)</f>
        <v>13.6600404071504</v>
      </c>
      <c r="O1212" s="21" t="n">
        <f aca="false">AVERAGEIFS($N$2:$N$2705,$B$2:$B$2705,B1212)</f>
        <v>13.7455583905089</v>
      </c>
      <c r="P1212" s="21" t="n">
        <f aca="false">N1212-O1212</f>
        <v>-0.0855179833585424</v>
      </c>
      <c r="Q1212" s="7" t="n">
        <v>1</v>
      </c>
      <c r="R1212" s="3" t="n">
        <f aca="false">IF(AND(Q1212=1,B1212-_xlfn.MINIFS($B$2:$B$2705,$A$2:$A$2705,A1212)&lt;10),1,0)</f>
        <v>0</v>
      </c>
      <c r="S1212" s="7" t="n">
        <v>0</v>
      </c>
      <c r="T1212" s="3" t="n">
        <f aca="false">_xlfn.MINIFS($B$2:$B$2705,$A$2:$A$2705,A1212)</f>
        <v>1961</v>
      </c>
      <c r="U1212" s="3" t="n">
        <f aca="false">B1212-T1212</f>
        <v>11</v>
      </c>
      <c r="V1212" s="3" t="str">
        <f aca="false">INDEX(Pop_Inputs!$Q$2:$Q$29,MATCH(C1212,Pop_Inputs!$A$2:$A$29,0))</f>
        <v>South</v>
      </c>
      <c r="W1212" s="30"/>
      <c r="X1212" s="3" t="str">
        <f aca="false">IF(W1212="","",LN(W1212))</f>
        <v/>
      </c>
      <c r="Y1212" s="3" t="str">
        <f aca="false">IF(X1212="","",X1212-AVERAGEIFS($X$2:$X$2705,$B$2:$B$2705,B1212))</f>
        <v/>
      </c>
      <c r="Z1212" s="21" t="n">
        <f aca="false">P1212</f>
        <v>-0.0855179833585424</v>
      </c>
      <c r="AA1212" s="3" t="n">
        <f aca="false">R1212</f>
        <v>0</v>
      </c>
      <c r="AB1212" s="21" t="n">
        <f aca="false">P1212</f>
        <v>-0.0855179833585424</v>
      </c>
      <c r="AC1212" s="3" t="str">
        <f aca="false">Y1212</f>
        <v/>
      </c>
      <c r="AD1212" s="3" t="n">
        <f aca="false">R1212</f>
        <v>0</v>
      </c>
    </row>
    <row r="1213" customFormat="false" ht="15" hidden="false" customHeight="true" outlineLevel="0" collapsed="false">
      <c r="A1213" s="7" t="s">
        <v>79</v>
      </c>
      <c r="B1213" s="7" t="n">
        <v>1972</v>
      </c>
      <c r="C1213" s="7" t="s">
        <v>254</v>
      </c>
      <c r="D1213" s="7" t="n">
        <v>70</v>
      </c>
      <c r="E1213" s="7" t="n">
        <v>86</v>
      </c>
      <c r="F1213" s="3" t="n">
        <f aca="false">COUNTIFS($B$2:$B$2705,B1213,$C$2:$C$2705,C1213)</f>
        <v>1</v>
      </c>
      <c r="G1213" s="3" t="n">
        <f aca="false">MIN(INT((MIN(B1213,2020)-1900)/10)+1,12)</f>
        <v>8</v>
      </c>
      <c r="H1213" s="3" t="n">
        <f aca="false">(MIN(B1213,2020)-1900-10*(G1213-1))/10</f>
        <v>0.2</v>
      </c>
      <c r="I1213" s="20" t="n">
        <f aca="false">EXP(LN(INDEX(Pop_Inputs!$B$2:$N$29,MATCH(C1213,Pop_Inputs!$A$2:$A$29,0),G1213))*(1-H1213)+LN(INDEX(Pop_Inputs!$B$2:$N$29,MATCH(C1213,Pop_Inputs!$A$2:$A$29,0),G1213+1))*H1213)</f>
        <v>1163462.14914289</v>
      </c>
      <c r="J1213" s="20" t="n">
        <f aca="false">I1213/F1213</f>
        <v>1163462.14914289</v>
      </c>
      <c r="K1213" s="21" t="n">
        <f aca="false">D1213/(D1213+E1213)</f>
        <v>0.448717948717949</v>
      </c>
      <c r="L1213" s="21" t="n">
        <f aca="false">AVERAGEIFS($K$2:$K$2705,$B$2:$B$2705,B1213)</f>
        <v>0.500023381285241</v>
      </c>
      <c r="M1213" s="21" t="n">
        <f aca="false">K1213-L1213</f>
        <v>-0.0513054325672922</v>
      </c>
      <c r="N1213" s="21" t="n">
        <f aca="false">LN(J1213)</f>
        <v>13.9669107293027</v>
      </c>
      <c r="O1213" s="21" t="n">
        <f aca="false">AVERAGEIFS($N$2:$N$2705,$B$2:$B$2705,B1213)</f>
        <v>13.7455583905089</v>
      </c>
      <c r="P1213" s="21" t="n">
        <f aca="false">N1213-O1213</f>
        <v>0.221352338793748</v>
      </c>
      <c r="Q1213" s="7" t="n">
        <v>1</v>
      </c>
      <c r="R1213" s="3" t="n">
        <f aca="false">IF(AND(Q1213=1,B1213-_xlfn.MINIFS($B$2:$B$2705,$A$2:$A$2705,A1213)&lt;10),1,0)</f>
        <v>1</v>
      </c>
      <c r="S1213" s="7" t="n">
        <v>0</v>
      </c>
      <c r="T1213" s="3" t="n">
        <f aca="false">_xlfn.MINIFS($B$2:$B$2705,$A$2:$A$2705,A1213)</f>
        <v>1969</v>
      </c>
      <c r="U1213" s="3" t="n">
        <f aca="false">B1213-T1213</f>
        <v>3</v>
      </c>
      <c r="V1213" s="3" t="str">
        <f aca="false">INDEX(Pop_Inputs!$Q$2:$Q$29,MATCH(C1213,Pop_Inputs!$A$2:$A$29,0))</f>
        <v>Canada</v>
      </c>
      <c r="W1213" s="30"/>
      <c r="X1213" s="3" t="str">
        <f aca="false">IF(W1213="","",LN(W1213))</f>
        <v/>
      </c>
      <c r="Y1213" s="3" t="str">
        <f aca="false">IF(X1213="","",X1213-AVERAGEIFS($X$2:$X$2705,$B$2:$B$2705,B1213))</f>
        <v/>
      </c>
      <c r="Z1213" s="21" t="n">
        <f aca="false">P1213</f>
        <v>0.221352338793748</v>
      </c>
      <c r="AA1213" s="3" t="n">
        <f aca="false">R1213</f>
        <v>1</v>
      </c>
      <c r="AB1213" s="21" t="n">
        <f aca="false">P1213</f>
        <v>0.221352338793748</v>
      </c>
      <c r="AC1213" s="3" t="str">
        <f aca="false">Y1213</f>
        <v/>
      </c>
      <c r="AD1213" s="3" t="n">
        <f aca="false">R1213</f>
        <v>1</v>
      </c>
    </row>
    <row r="1214" customFormat="false" ht="15" hidden="false" customHeight="true" outlineLevel="0" collapsed="false">
      <c r="A1214" s="7" t="s">
        <v>71</v>
      </c>
      <c r="B1214" s="7" t="n">
        <v>1973</v>
      </c>
      <c r="C1214" s="7" t="s">
        <v>148</v>
      </c>
      <c r="D1214" s="7" t="n">
        <v>79</v>
      </c>
      <c r="E1214" s="7" t="n">
        <v>83</v>
      </c>
      <c r="F1214" s="3" t="n">
        <f aca="false">COUNTIFS($B$2:$B$2705,B1214,$C$2:$C$2705,C1214)</f>
        <v>2</v>
      </c>
      <c r="G1214" s="3" t="n">
        <f aca="false">MIN(INT((MIN(B1214,2020)-1900)/10)+1,12)</f>
        <v>8</v>
      </c>
      <c r="H1214" s="3" t="n">
        <f aca="false">(MIN(B1214,2020)-1900-10*(G1214-1))/10</f>
        <v>0.3</v>
      </c>
      <c r="I1214" s="20" t="n">
        <f aca="false">EXP(LN(INDEX(Pop_Inputs!$B$2:$N$29,MATCH(C1214,Pop_Inputs!$A$2:$A$29,0),G1214))*(1-H1214)+LN(INDEX(Pop_Inputs!$B$2:$N$29,MATCH(C1214,Pop_Inputs!$A$2:$A$29,0),G1214+1))*H1214)</f>
        <v>2860474.74316276</v>
      </c>
      <c r="J1214" s="20" t="n">
        <f aca="false">I1214/F1214</f>
        <v>1430237.37158138</v>
      </c>
      <c r="K1214" s="21" t="n">
        <f aca="false">D1214/(D1214+E1214)</f>
        <v>0.487654320987654</v>
      </c>
      <c r="L1214" s="21" t="n">
        <f aca="false">AVERAGEIFS($K$2:$K$2705,$B$2:$B$2705,B1214)</f>
        <v>0.500012780206017</v>
      </c>
      <c r="M1214" s="21" t="n">
        <f aca="false">K1214-L1214</f>
        <v>-0.0123584592183626</v>
      </c>
      <c r="N1214" s="21" t="n">
        <f aca="false">LN(J1214)</f>
        <v>14.1733509825734</v>
      </c>
      <c r="O1214" s="21" t="n">
        <f aca="false">AVERAGEIFS($N$2:$N$2705,$B$2:$B$2705,B1214)</f>
        <v>13.7361237047695</v>
      </c>
      <c r="P1214" s="21" t="n">
        <f aca="false">N1214-O1214</f>
        <v>0.437227277803975</v>
      </c>
      <c r="Q1214" s="7" t="n">
        <v>1</v>
      </c>
      <c r="R1214" s="3" t="n">
        <f aca="false">IF(AND(Q1214=1,B1214-_xlfn.MINIFS($B$2:$B$2705,$A$2:$A$2705,A1214)&lt;10),1,0)</f>
        <v>0</v>
      </c>
      <c r="S1214" s="7" t="n">
        <v>0</v>
      </c>
      <c r="T1214" s="3" t="n">
        <f aca="false">_xlfn.MINIFS($B$2:$B$2705,$A$2:$A$2705,A1214)</f>
        <v>1961</v>
      </c>
      <c r="U1214" s="3" t="n">
        <f aca="false">B1214-T1214</f>
        <v>12</v>
      </c>
      <c r="V1214" s="3" t="str">
        <f aca="false">INDEX(Pop_Inputs!$Q$2:$Q$29,MATCH(C1214,Pop_Inputs!$A$2:$A$29,0))</f>
        <v>West</v>
      </c>
      <c r="W1214" s="30"/>
      <c r="X1214" s="3" t="str">
        <f aca="false">IF(W1214="","",LN(W1214))</f>
        <v/>
      </c>
      <c r="Y1214" s="3" t="str">
        <f aca="false">IF(X1214="","",X1214-AVERAGEIFS($X$2:$X$2705,$B$2:$B$2705,B1214))</f>
        <v/>
      </c>
      <c r="Z1214" s="21" t="n">
        <f aca="false">P1214</f>
        <v>0.437227277803975</v>
      </c>
      <c r="AA1214" s="3" t="n">
        <f aca="false">R1214</f>
        <v>0</v>
      </c>
      <c r="AB1214" s="21" t="n">
        <f aca="false">P1214</f>
        <v>0.437227277803975</v>
      </c>
      <c r="AC1214" s="3" t="str">
        <f aca="false">Y1214</f>
        <v/>
      </c>
      <c r="AD1214" s="3" t="n">
        <f aca="false">R1214</f>
        <v>0</v>
      </c>
    </row>
    <row r="1215" customFormat="false" ht="15" hidden="false" customHeight="true" outlineLevel="0" collapsed="false">
      <c r="A1215" s="7" t="s">
        <v>54</v>
      </c>
      <c r="B1215" s="7" t="n">
        <v>1973</v>
      </c>
      <c r="C1215" s="7" t="s">
        <v>141</v>
      </c>
      <c r="D1215" s="7" t="n">
        <v>76</v>
      </c>
      <c r="E1215" s="7" t="n">
        <v>85</v>
      </c>
      <c r="F1215" s="3" t="n">
        <f aca="false">COUNTIFS($B$2:$B$2705,B1215,$C$2:$C$2705,C1215)</f>
        <v>1</v>
      </c>
      <c r="G1215" s="3" t="n">
        <f aca="false">MIN(INT((MIN(B1215,2020)-1900)/10)+1,12)</f>
        <v>8</v>
      </c>
      <c r="H1215" s="3" t="n">
        <f aca="false">(MIN(B1215,2020)-1900-10*(G1215-1))/10</f>
        <v>0.3</v>
      </c>
      <c r="I1215" s="20" t="n">
        <f aca="false">EXP(LN(INDEX(Pop_Inputs!$B$2:$N$29,MATCH(C1215,Pop_Inputs!$A$2:$A$29,0),G1215))*(1-H1215)+LN(INDEX(Pop_Inputs!$B$2:$N$29,MATCH(C1215,Pop_Inputs!$A$2:$A$29,0),G1215+1))*H1215)</f>
        <v>472901.85054552</v>
      </c>
      <c r="J1215" s="20" t="n">
        <f aca="false">I1215/F1215</f>
        <v>472901.85054552</v>
      </c>
      <c r="K1215" s="21" t="n">
        <f aca="false">D1215/(D1215+E1215)</f>
        <v>0.472049689440994</v>
      </c>
      <c r="L1215" s="21" t="n">
        <f aca="false">AVERAGEIFS($K$2:$K$2705,$B$2:$B$2705,B1215)</f>
        <v>0.500012780206017</v>
      </c>
      <c r="M1215" s="21" t="n">
        <f aca="false">K1215-L1215</f>
        <v>-0.0279630907650231</v>
      </c>
      <c r="N1215" s="21" t="n">
        <f aca="false">LN(J1215)</f>
        <v>13.06664314181</v>
      </c>
      <c r="O1215" s="21" t="n">
        <f aca="false">AVERAGEIFS($N$2:$N$2705,$B$2:$B$2705,B1215)</f>
        <v>13.7361237047695</v>
      </c>
      <c r="P1215" s="21" t="n">
        <f aca="false">N1215-O1215</f>
        <v>-0.669480562959453</v>
      </c>
      <c r="Q1215" s="7" t="n">
        <v>0</v>
      </c>
      <c r="R1215" s="3" t="n">
        <f aca="false">IF(AND(Q1215=1,B1215-_xlfn.MINIFS($B$2:$B$2705,$A$2:$A$2705,A1215)&lt;10),1,0)</f>
        <v>0</v>
      </c>
      <c r="S1215" s="7" t="n">
        <v>0</v>
      </c>
      <c r="T1215" s="3" t="n">
        <f aca="false">_xlfn.MINIFS($B$2:$B$2705,$A$2:$A$2705,A1215)</f>
        <v>1901</v>
      </c>
      <c r="U1215" s="3" t="n">
        <f aca="false">B1215-T1215</f>
        <v>72</v>
      </c>
      <c r="V1215" s="3" t="str">
        <f aca="false">INDEX(Pop_Inputs!$Q$2:$Q$29,MATCH(C1215,Pop_Inputs!$A$2:$A$29,0))</f>
        <v>South</v>
      </c>
      <c r="W1215" s="30"/>
      <c r="X1215" s="3" t="str">
        <f aca="false">IF(W1215="","",LN(W1215))</f>
        <v/>
      </c>
      <c r="Y1215" s="3" t="str">
        <f aca="false">IF(X1215="","",X1215-AVERAGEIFS($X$2:$X$2705,$B$2:$B$2705,B1215))</f>
        <v/>
      </c>
      <c r="Z1215" s="21" t="n">
        <f aca="false">P1215</f>
        <v>-0.669480562959453</v>
      </c>
      <c r="AA1215" s="3" t="n">
        <f aca="false">R1215</f>
        <v>0</v>
      </c>
      <c r="AB1215" s="21" t="n">
        <f aca="false">P1215</f>
        <v>-0.669480562959453</v>
      </c>
      <c r="AC1215" s="3" t="str">
        <f aca="false">Y1215</f>
        <v/>
      </c>
      <c r="AD1215" s="3" t="n">
        <f aca="false">R1215</f>
        <v>0</v>
      </c>
    </row>
    <row r="1216" customFormat="false" ht="15" hidden="false" customHeight="true" outlineLevel="0" collapsed="false">
      <c r="A1216" s="7" t="s">
        <v>63</v>
      </c>
      <c r="B1216" s="7" t="n">
        <v>1973</v>
      </c>
      <c r="C1216" s="7" t="s">
        <v>149</v>
      </c>
      <c r="D1216" s="7" t="n">
        <v>97</v>
      </c>
      <c r="E1216" s="7" t="n">
        <v>65</v>
      </c>
      <c r="F1216" s="3" t="n">
        <f aca="false">COUNTIFS($B$2:$B$2705,B1216,$C$2:$C$2705,C1216)</f>
        <v>1</v>
      </c>
      <c r="G1216" s="3" t="n">
        <f aca="false">MIN(INT((MIN(B1216,2020)-1900)/10)+1,12)</f>
        <v>8</v>
      </c>
      <c r="H1216" s="3" t="n">
        <f aca="false">(MIN(B1216,2020)-1900-10*(G1216-1))/10</f>
        <v>0.3</v>
      </c>
      <c r="I1216" s="20" t="n">
        <f aca="false">EXP(LN(INDEX(Pop_Inputs!$B$2:$N$29,MATCH(C1216,Pop_Inputs!$A$2:$A$29,0),G1216))*(1-H1216)+LN(INDEX(Pop_Inputs!$B$2:$N$29,MATCH(C1216,Pop_Inputs!$A$2:$A$29,0),G1216+1))*H1216)</f>
        <v>868288.454138432</v>
      </c>
      <c r="J1216" s="20" t="n">
        <f aca="false">I1216/F1216</f>
        <v>868288.454138432</v>
      </c>
      <c r="K1216" s="21" t="n">
        <f aca="false">D1216/(D1216+E1216)</f>
        <v>0.598765432098765</v>
      </c>
      <c r="L1216" s="21" t="n">
        <f aca="false">AVERAGEIFS($K$2:$K$2705,$B$2:$B$2705,B1216)</f>
        <v>0.500012780206017</v>
      </c>
      <c r="M1216" s="21" t="n">
        <f aca="false">K1216-L1216</f>
        <v>0.0987526518927485</v>
      </c>
      <c r="N1216" s="21" t="n">
        <f aca="false">LN(J1216)</f>
        <v>13.6742792588723</v>
      </c>
      <c r="O1216" s="21" t="n">
        <f aca="false">AVERAGEIFS($N$2:$N$2705,$B$2:$B$2705,B1216)</f>
        <v>13.7361237047695</v>
      </c>
      <c r="P1216" s="21" t="n">
        <f aca="false">N1216-O1216</f>
        <v>-0.0618444458972061</v>
      </c>
      <c r="Q1216" s="7" t="n">
        <v>0</v>
      </c>
      <c r="R1216" s="3" t="n">
        <f aca="false">IF(AND(Q1216=1,B1216-_xlfn.MINIFS($B$2:$B$2705,$A$2:$A$2705,A1216)&lt;10),1,0)</f>
        <v>0</v>
      </c>
      <c r="S1216" s="7" t="n">
        <v>0</v>
      </c>
      <c r="T1216" s="3" t="n">
        <f aca="false">_xlfn.MINIFS($B$2:$B$2705,$A$2:$A$2705,A1216)</f>
        <v>1901</v>
      </c>
      <c r="U1216" s="3" t="n">
        <f aca="false">B1216-T1216</f>
        <v>72</v>
      </c>
      <c r="V1216" s="3" t="str">
        <f aca="false">INDEX(Pop_Inputs!$Q$2:$Q$29,MATCH(C1216,Pop_Inputs!$A$2:$A$29,0))</f>
        <v>South</v>
      </c>
      <c r="W1216" s="30"/>
      <c r="X1216" s="3" t="str">
        <f aca="false">IF(W1216="","",LN(W1216))</f>
        <v/>
      </c>
      <c r="Y1216" s="3" t="str">
        <f aca="false">IF(X1216="","",X1216-AVERAGEIFS($X$2:$X$2705,$B$2:$B$2705,B1216))</f>
        <v/>
      </c>
      <c r="Z1216" s="21" t="n">
        <f aca="false">P1216</f>
        <v>-0.0618444458972061</v>
      </c>
      <c r="AA1216" s="3" t="n">
        <f aca="false">R1216</f>
        <v>0</v>
      </c>
      <c r="AB1216" s="21" t="n">
        <f aca="false">P1216</f>
        <v>-0.0618444458972061</v>
      </c>
      <c r="AC1216" s="3" t="str">
        <f aca="false">Y1216</f>
        <v/>
      </c>
      <c r="AD1216" s="3" t="n">
        <f aca="false">R1216</f>
        <v>0</v>
      </c>
    </row>
    <row r="1217" customFormat="false" ht="15" hidden="false" customHeight="true" outlineLevel="0" collapsed="false">
      <c r="A1217" s="7" t="s">
        <v>64</v>
      </c>
      <c r="B1217" s="7" t="n">
        <v>1973</v>
      </c>
      <c r="C1217" s="7" t="s">
        <v>150</v>
      </c>
      <c r="D1217" s="7" t="n">
        <v>89</v>
      </c>
      <c r="E1217" s="7" t="n">
        <v>73</v>
      </c>
      <c r="F1217" s="3" t="n">
        <f aca="false">COUNTIFS($B$2:$B$2705,B1217,$C$2:$C$2705,C1217)</f>
        <v>1</v>
      </c>
      <c r="G1217" s="3" t="n">
        <f aca="false">MIN(INT((MIN(B1217,2020)-1900)/10)+1,12)</f>
        <v>8</v>
      </c>
      <c r="H1217" s="3" t="n">
        <f aca="false">(MIN(B1217,2020)-1900-10*(G1217-1))/10</f>
        <v>0.3</v>
      </c>
      <c r="I1217" s="20" t="n">
        <f aca="false">EXP(LN(INDEX(Pop_Inputs!$B$2:$N$29,MATCH(C1217,Pop_Inputs!$A$2:$A$29,0),G1217))*(1-H1217)+LN(INDEX(Pop_Inputs!$B$2:$N$29,MATCH(C1217,Pop_Inputs!$A$2:$A$29,0),G1217+1))*H1217)</f>
        <v>616574.30463488</v>
      </c>
      <c r="J1217" s="20" t="n">
        <f aca="false">I1217/F1217</f>
        <v>616574.30463488</v>
      </c>
      <c r="K1217" s="21" t="n">
        <f aca="false">D1217/(D1217+E1217)</f>
        <v>0.549382716049383</v>
      </c>
      <c r="L1217" s="21" t="n">
        <f aca="false">AVERAGEIFS($K$2:$K$2705,$B$2:$B$2705,B1217)</f>
        <v>0.500012780206017</v>
      </c>
      <c r="M1217" s="21" t="n">
        <f aca="false">K1217-L1217</f>
        <v>0.0493699358433658</v>
      </c>
      <c r="N1217" s="21" t="n">
        <f aca="false">LN(J1217)</f>
        <v>13.3319341209011</v>
      </c>
      <c r="O1217" s="21" t="n">
        <f aca="false">AVERAGEIFS($N$2:$N$2705,$B$2:$B$2705,B1217)</f>
        <v>13.7361237047695</v>
      </c>
      <c r="P1217" s="21" t="n">
        <f aca="false">N1217-O1217</f>
        <v>-0.404189583868419</v>
      </c>
      <c r="Q1217" s="7" t="n">
        <v>0</v>
      </c>
      <c r="R1217" s="3" t="n">
        <f aca="false">IF(AND(Q1217=1,B1217-_xlfn.MINIFS($B$2:$B$2705,$A$2:$A$2705,A1217)&lt;10),1,0)</f>
        <v>0</v>
      </c>
      <c r="S1217" s="7" t="n">
        <v>0</v>
      </c>
      <c r="T1217" s="3" t="n">
        <f aca="false">_xlfn.MINIFS($B$2:$B$2705,$A$2:$A$2705,A1217)</f>
        <v>1901</v>
      </c>
      <c r="U1217" s="3" t="n">
        <f aca="false">B1217-T1217</f>
        <v>72</v>
      </c>
      <c r="V1217" s="3" t="str">
        <f aca="false">INDEX(Pop_Inputs!$Q$2:$Q$29,MATCH(C1217,Pop_Inputs!$A$2:$A$29,0))</f>
        <v>Northeast</v>
      </c>
      <c r="W1217" s="30"/>
      <c r="X1217" s="3" t="str">
        <f aca="false">IF(W1217="","",LN(W1217))</f>
        <v/>
      </c>
      <c r="Y1217" s="3" t="str">
        <f aca="false">IF(X1217="","",X1217-AVERAGEIFS($X$2:$X$2705,$B$2:$B$2705,B1217))</f>
        <v/>
      </c>
      <c r="Z1217" s="21" t="n">
        <f aca="false">P1217</f>
        <v>-0.404189583868419</v>
      </c>
      <c r="AA1217" s="3" t="n">
        <f aca="false">R1217</f>
        <v>0</v>
      </c>
      <c r="AB1217" s="21" t="n">
        <f aca="false">P1217</f>
        <v>-0.404189583868419</v>
      </c>
      <c r="AC1217" s="3" t="str">
        <f aca="false">Y1217</f>
        <v/>
      </c>
      <c r="AD1217" s="3" t="n">
        <f aca="false">R1217</f>
        <v>0</v>
      </c>
    </row>
    <row r="1218" customFormat="false" ht="15" hidden="false" customHeight="true" outlineLevel="0" collapsed="false">
      <c r="A1218" s="7" t="s">
        <v>56</v>
      </c>
      <c r="B1218" s="7" t="n">
        <v>1973</v>
      </c>
      <c r="C1218" s="7" t="s">
        <v>142</v>
      </c>
      <c r="D1218" s="7" t="n">
        <v>77</v>
      </c>
      <c r="E1218" s="7" t="n">
        <v>84</v>
      </c>
      <c r="F1218" s="3" t="n">
        <f aca="false">COUNTIFS($B$2:$B$2705,B1218,$C$2:$C$2705,C1218)</f>
        <v>2</v>
      </c>
      <c r="G1218" s="3" t="n">
        <f aca="false">MIN(INT((MIN(B1218,2020)-1900)/10)+1,12)</f>
        <v>8</v>
      </c>
      <c r="H1218" s="3" t="n">
        <f aca="false">(MIN(B1218,2020)-1900-10*(G1218-1))/10</f>
        <v>0.3</v>
      </c>
      <c r="I1218" s="20" t="n">
        <f aca="false">EXP(LN(INDEX(Pop_Inputs!$B$2:$N$29,MATCH(C1218,Pop_Inputs!$A$2:$A$29,0),G1218))*(1-H1218)+LN(INDEX(Pop_Inputs!$B$2:$N$29,MATCH(C1218,Pop_Inputs!$A$2:$A$29,0),G1218+1))*H1218)</f>
        <v>3254039.07391644</v>
      </c>
      <c r="J1218" s="20" t="n">
        <f aca="false">I1218/F1218</f>
        <v>1627019.53695822</v>
      </c>
      <c r="K1218" s="21" t="n">
        <f aca="false">D1218/(D1218+E1218)</f>
        <v>0.478260869565217</v>
      </c>
      <c r="L1218" s="21" t="n">
        <f aca="false">AVERAGEIFS($K$2:$K$2705,$B$2:$B$2705,B1218)</f>
        <v>0.500012780206017</v>
      </c>
      <c r="M1218" s="21" t="n">
        <f aca="false">K1218-L1218</f>
        <v>-0.0217519106407995</v>
      </c>
      <c r="N1218" s="21" t="n">
        <f aca="false">LN(J1218)</f>
        <v>14.3022603940936</v>
      </c>
      <c r="O1218" s="21" t="n">
        <f aca="false">AVERAGEIFS($N$2:$N$2705,$B$2:$B$2705,B1218)</f>
        <v>13.7361237047695</v>
      </c>
      <c r="P1218" s="21" t="n">
        <f aca="false">N1218-O1218</f>
        <v>0.566136689324098</v>
      </c>
      <c r="Q1218" s="7" t="n">
        <v>0</v>
      </c>
      <c r="R1218" s="3" t="n">
        <f aca="false">IF(AND(Q1218=1,B1218-_xlfn.MINIFS($B$2:$B$2705,$A$2:$A$2705,A1218)&lt;10),1,0)</f>
        <v>0</v>
      </c>
      <c r="S1218" s="7" t="n">
        <v>0</v>
      </c>
      <c r="T1218" s="3" t="n">
        <f aca="false">_xlfn.MINIFS($B$2:$B$2705,$A$2:$A$2705,A1218)</f>
        <v>1901</v>
      </c>
      <c r="U1218" s="3" t="n">
        <f aca="false">B1218-T1218</f>
        <v>72</v>
      </c>
      <c r="V1218" s="3" t="str">
        <f aca="false">INDEX(Pop_Inputs!$Q$2:$Q$29,MATCH(C1218,Pop_Inputs!$A$2:$A$29,0))</f>
        <v>Midwest</v>
      </c>
      <c r="W1218" s="30"/>
      <c r="X1218" s="3" t="str">
        <f aca="false">IF(W1218="","",LN(W1218))</f>
        <v/>
      </c>
      <c r="Y1218" s="3" t="str">
        <f aca="false">IF(X1218="","",X1218-AVERAGEIFS($X$2:$X$2705,$B$2:$B$2705,B1218))</f>
        <v/>
      </c>
      <c r="Z1218" s="21" t="n">
        <f aca="false">P1218</f>
        <v>0.566136689324098</v>
      </c>
      <c r="AA1218" s="3" t="n">
        <f aca="false">R1218</f>
        <v>0</v>
      </c>
      <c r="AB1218" s="21" t="n">
        <f aca="false">P1218</f>
        <v>0.566136689324098</v>
      </c>
      <c r="AC1218" s="3" t="str">
        <f aca="false">Y1218</f>
        <v/>
      </c>
      <c r="AD1218" s="3" t="n">
        <f aca="false">R1218</f>
        <v>0</v>
      </c>
    </row>
    <row r="1219" customFormat="false" ht="15" hidden="false" customHeight="true" outlineLevel="0" collapsed="false">
      <c r="A1219" s="7" t="s">
        <v>65</v>
      </c>
      <c r="B1219" s="7" t="n">
        <v>1973</v>
      </c>
      <c r="C1219" s="7" t="s">
        <v>142</v>
      </c>
      <c r="D1219" s="7" t="n">
        <v>77</v>
      </c>
      <c r="E1219" s="7" t="n">
        <v>85</v>
      </c>
      <c r="F1219" s="3" t="n">
        <f aca="false">COUNTIFS($B$2:$B$2705,B1219,$C$2:$C$2705,C1219)</f>
        <v>2</v>
      </c>
      <c r="G1219" s="3" t="n">
        <f aca="false">MIN(INT((MIN(B1219,2020)-1900)/10)+1,12)</f>
        <v>8</v>
      </c>
      <c r="H1219" s="3" t="n">
        <f aca="false">(MIN(B1219,2020)-1900-10*(G1219-1))/10</f>
        <v>0.3</v>
      </c>
      <c r="I1219" s="20" t="n">
        <f aca="false">EXP(LN(INDEX(Pop_Inputs!$B$2:$N$29,MATCH(C1219,Pop_Inputs!$A$2:$A$29,0),G1219))*(1-H1219)+LN(INDEX(Pop_Inputs!$B$2:$N$29,MATCH(C1219,Pop_Inputs!$A$2:$A$29,0),G1219+1))*H1219)</f>
        <v>3254039.07391644</v>
      </c>
      <c r="J1219" s="20" t="n">
        <f aca="false">I1219/F1219</f>
        <v>1627019.53695822</v>
      </c>
      <c r="K1219" s="21" t="n">
        <f aca="false">D1219/(D1219+E1219)</f>
        <v>0.475308641975309</v>
      </c>
      <c r="L1219" s="21" t="n">
        <f aca="false">AVERAGEIFS($K$2:$K$2705,$B$2:$B$2705,B1219)</f>
        <v>0.500012780206017</v>
      </c>
      <c r="M1219" s="21" t="n">
        <f aca="false">K1219-L1219</f>
        <v>-0.0247041382307083</v>
      </c>
      <c r="N1219" s="21" t="n">
        <f aca="false">LN(J1219)</f>
        <v>14.3022603940936</v>
      </c>
      <c r="O1219" s="21" t="n">
        <f aca="false">AVERAGEIFS($N$2:$N$2705,$B$2:$B$2705,B1219)</f>
        <v>13.7361237047695</v>
      </c>
      <c r="P1219" s="21" t="n">
        <f aca="false">N1219-O1219</f>
        <v>0.566136689324098</v>
      </c>
      <c r="Q1219" s="7" t="n">
        <v>0</v>
      </c>
      <c r="R1219" s="3" t="n">
        <f aca="false">IF(AND(Q1219=1,B1219-_xlfn.MINIFS($B$2:$B$2705,$A$2:$A$2705,A1219)&lt;10),1,0)</f>
        <v>0</v>
      </c>
      <c r="S1219" s="7" t="n">
        <v>0</v>
      </c>
      <c r="T1219" s="3" t="n">
        <f aca="false">_xlfn.MINIFS($B$2:$B$2705,$A$2:$A$2705,A1219)</f>
        <v>1901</v>
      </c>
      <c r="U1219" s="3" t="n">
        <f aca="false">B1219-T1219</f>
        <v>72</v>
      </c>
      <c r="V1219" s="3" t="str">
        <f aca="false">INDEX(Pop_Inputs!$Q$2:$Q$29,MATCH(C1219,Pop_Inputs!$A$2:$A$29,0))</f>
        <v>Midwest</v>
      </c>
      <c r="W1219" s="30"/>
      <c r="X1219" s="3" t="str">
        <f aca="false">IF(W1219="","",LN(W1219))</f>
        <v/>
      </c>
      <c r="Y1219" s="3" t="str">
        <f aca="false">IF(X1219="","",X1219-AVERAGEIFS($X$2:$X$2705,$B$2:$B$2705,B1219))</f>
        <v/>
      </c>
      <c r="Z1219" s="21" t="n">
        <f aca="false">P1219</f>
        <v>0.566136689324098</v>
      </c>
      <c r="AA1219" s="3" t="n">
        <f aca="false">R1219</f>
        <v>0</v>
      </c>
      <c r="AB1219" s="21" t="n">
        <f aca="false">P1219</f>
        <v>0.566136689324098</v>
      </c>
      <c r="AC1219" s="3" t="str">
        <f aca="false">Y1219</f>
        <v/>
      </c>
      <c r="AD1219" s="3" t="n">
        <f aca="false">R1219</f>
        <v>0</v>
      </c>
    </row>
    <row r="1220" customFormat="false" ht="15" hidden="false" customHeight="true" outlineLevel="0" collapsed="false">
      <c r="A1220" s="7" t="s">
        <v>57</v>
      </c>
      <c r="B1220" s="7" t="n">
        <v>1973</v>
      </c>
      <c r="C1220" s="7" t="s">
        <v>143</v>
      </c>
      <c r="D1220" s="7" t="n">
        <v>99</v>
      </c>
      <c r="E1220" s="7" t="n">
        <v>63</v>
      </c>
      <c r="F1220" s="3" t="n">
        <f aca="false">COUNTIFS($B$2:$B$2705,B1220,$C$2:$C$2705,C1220)</f>
        <v>1</v>
      </c>
      <c r="G1220" s="3" t="n">
        <f aca="false">MIN(INT((MIN(B1220,2020)-1900)/10)+1,12)</f>
        <v>8</v>
      </c>
      <c r="H1220" s="3" t="n">
        <f aca="false">(MIN(B1220,2020)-1900-10*(G1220-1))/10</f>
        <v>0.3</v>
      </c>
      <c r="I1220" s="20" t="n">
        <f aca="false">EXP(LN(INDEX(Pop_Inputs!$B$2:$N$29,MATCH(C1220,Pop_Inputs!$A$2:$A$29,0),G1220))*(1-H1220)+LN(INDEX(Pop_Inputs!$B$2:$N$29,MATCH(C1220,Pop_Inputs!$A$2:$A$29,0),G1220+1))*H1220)</f>
        <v>431264.389628809</v>
      </c>
      <c r="J1220" s="20" t="n">
        <f aca="false">I1220/F1220</f>
        <v>431264.389628809</v>
      </c>
      <c r="K1220" s="21" t="n">
        <f aca="false">D1220/(D1220+E1220)</f>
        <v>0.611111111111111</v>
      </c>
      <c r="L1220" s="21" t="n">
        <f aca="false">AVERAGEIFS($K$2:$K$2705,$B$2:$B$2705,B1220)</f>
        <v>0.500012780206017</v>
      </c>
      <c r="M1220" s="21" t="n">
        <f aca="false">K1220-L1220</f>
        <v>0.111098330905094</v>
      </c>
      <c r="N1220" s="21" t="n">
        <f aca="false">LN(J1220)</f>
        <v>12.9744766140262</v>
      </c>
      <c r="O1220" s="21" t="n">
        <f aca="false">AVERAGEIFS($N$2:$N$2705,$B$2:$B$2705,B1220)</f>
        <v>13.7361237047695</v>
      </c>
      <c r="P1220" s="21" t="n">
        <f aca="false">N1220-O1220</f>
        <v>-0.761647090743228</v>
      </c>
      <c r="Q1220" s="7" t="n">
        <v>0</v>
      </c>
      <c r="R1220" s="3" t="n">
        <f aca="false">IF(AND(Q1220=1,B1220-_xlfn.MINIFS($B$2:$B$2705,$A$2:$A$2705,A1220)&lt;10),1,0)</f>
        <v>0</v>
      </c>
      <c r="S1220" s="7" t="n">
        <v>0</v>
      </c>
      <c r="T1220" s="3" t="n">
        <f aca="false">_xlfn.MINIFS($B$2:$B$2705,$A$2:$A$2705,A1220)</f>
        <v>1901</v>
      </c>
      <c r="U1220" s="3" t="n">
        <f aca="false">B1220-T1220</f>
        <v>72</v>
      </c>
      <c r="V1220" s="3" t="str">
        <f aca="false">INDEX(Pop_Inputs!$Q$2:$Q$29,MATCH(C1220,Pop_Inputs!$A$2:$A$29,0))</f>
        <v>Midwest</v>
      </c>
      <c r="W1220" s="30"/>
      <c r="X1220" s="3" t="str">
        <f aca="false">IF(W1220="","",LN(W1220))</f>
        <v/>
      </c>
      <c r="Y1220" s="3" t="str">
        <f aca="false">IF(X1220="","",X1220-AVERAGEIFS($X$2:$X$2705,$B$2:$B$2705,B1220))</f>
        <v/>
      </c>
      <c r="Z1220" s="21" t="n">
        <f aca="false">P1220</f>
        <v>-0.761647090743228</v>
      </c>
      <c r="AA1220" s="3" t="n">
        <f aca="false">R1220</f>
        <v>0</v>
      </c>
      <c r="AB1220" s="21" t="n">
        <f aca="false">P1220</f>
        <v>-0.761647090743228</v>
      </c>
      <c r="AC1220" s="3" t="str">
        <f aca="false">Y1220</f>
        <v/>
      </c>
      <c r="AD1220" s="3" t="n">
        <f aca="false">R1220</f>
        <v>0</v>
      </c>
    </row>
    <row r="1221" customFormat="false" ht="15" hidden="false" customHeight="true" outlineLevel="0" collapsed="false">
      <c r="A1221" s="7" t="s">
        <v>66</v>
      </c>
      <c r="B1221" s="7" t="n">
        <v>1973</v>
      </c>
      <c r="C1221" s="7" t="s">
        <v>151</v>
      </c>
      <c r="D1221" s="7" t="n">
        <v>71</v>
      </c>
      <c r="E1221" s="7" t="n">
        <v>91</v>
      </c>
      <c r="F1221" s="3" t="n">
        <f aca="false">COUNTIFS($B$2:$B$2705,B1221,$C$2:$C$2705,C1221)</f>
        <v>1</v>
      </c>
      <c r="G1221" s="3" t="n">
        <f aca="false">MIN(INT((MIN(B1221,2020)-1900)/10)+1,12)</f>
        <v>8</v>
      </c>
      <c r="H1221" s="3" t="n">
        <f aca="false">(MIN(B1221,2020)-1900-10*(G1221-1))/10</f>
        <v>0.3</v>
      </c>
      <c r="I1221" s="20" t="n">
        <f aca="false">EXP(LN(INDEX(Pop_Inputs!$B$2:$N$29,MATCH(C1221,Pop_Inputs!$A$2:$A$29,0),G1221))*(1-H1221)+LN(INDEX(Pop_Inputs!$B$2:$N$29,MATCH(C1221,Pop_Inputs!$A$2:$A$29,0),G1221+1))*H1221)</f>
        <v>692694.670174217</v>
      </c>
      <c r="J1221" s="20" t="n">
        <f aca="false">I1221/F1221</f>
        <v>692694.670174217</v>
      </c>
      <c r="K1221" s="21" t="n">
        <f aca="false">D1221/(D1221+E1221)</f>
        <v>0.438271604938272</v>
      </c>
      <c r="L1221" s="21" t="n">
        <f aca="false">AVERAGEIFS($K$2:$K$2705,$B$2:$B$2705,B1221)</f>
        <v>0.500012780206017</v>
      </c>
      <c r="M1221" s="21" t="n">
        <f aca="false">K1221-L1221</f>
        <v>-0.0617411752677453</v>
      </c>
      <c r="N1221" s="21" t="n">
        <f aca="false">LN(J1221)</f>
        <v>13.4483445897039</v>
      </c>
      <c r="O1221" s="21" t="n">
        <f aca="false">AVERAGEIFS($N$2:$N$2705,$B$2:$B$2705,B1221)</f>
        <v>13.7361237047695</v>
      </c>
      <c r="P1221" s="21" t="n">
        <f aca="false">N1221-O1221</f>
        <v>-0.287779115065526</v>
      </c>
      <c r="Q1221" s="7" t="n">
        <v>0</v>
      </c>
      <c r="R1221" s="3" t="n">
        <f aca="false">IF(AND(Q1221=1,B1221-_xlfn.MINIFS($B$2:$B$2705,$A$2:$A$2705,A1221)&lt;10),1,0)</f>
        <v>0</v>
      </c>
      <c r="S1221" s="7" t="n">
        <v>0</v>
      </c>
      <c r="T1221" s="3" t="n">
        <f aca="false">_xlfn.MINIFS($B$2:$B$2705,$A$2:$A$2705,A1221)</f>
        <v>1901</v>
      </c>
      <c r="U1221" s="3" t="n">
        <f aca="false">B1221-T1221</f>
        <v>72</v>
      </c>
      <c r="V1221" s="3" t="str">
        <f aca="false">INDEX(Pop_Inputs!$Q$2:$Q$29,MATCH(C1221,Pop_Inputs!$A$2:$A$29,0))</f>
        <v>Midwest</v>
      </c>
      <c r="W1221" s="30"/>
      <c r="X1221" s="3" t="str">
        <f aca="false">IF(W1221="","",LN(W1221))</f>
        <v/>
      </c>
      <c r="Y1221" s="3" t="str">
        <f aca="false">IF(X1221="","",X1221-AVERAGEIFS($X$2:$X$2705,$B$2:$B$2705,B1221))</f>
        <v/>
      </c>
      <c r="Z1221" s="21" t="n">
        <f aca="false">P1221</f>
        <v>-0.287779115065526</v>
      </c>
      <c r="AA1221" s="3" t="n">
        <f aca="false">R1221</f>
        <v>0</v>
      </c>
      <c r="AB1221" s="21" t="n">
        <f aca="false">P1221</f>
        <v>-0.287779115065526</v>
      </c>
      <c r="AC1221" s="3" t="str">
        <f aca="false">Y1221</f>
        <v/>
      </c>
      <c r="AD1221" s="3" t="n">
        <f aca="false">R1221</f>
        <v>0</v>
      </c>
    </row>
    <row r="1222" customFormat="false" ht="15" hidden="false" customHeight="true" outlineLevel="0" collapsed="false">
      <c r="A1222" s="7" t="s">
        <v>67</v>
      </c>
      <c r="B1222" s="7" t="n">
        <v>1973</v>
      </c>
      <c r="C1222" s="7" t="s">
        <v>152</v>
      </c>
      <c r="D1222" s="7" t="n">
        <v>85</v>
      </c>
      <c r="E1222" s="7" t="n">
        <v>77</v>
      </c>
      <c r="F1222" s="3" t="n">
        <f aca="false">COUNTIFS($B$2:$B$2705,B1222,$C$2:$C$2705,C1222)</f>
        <v>1</v>
      </c>
      <c r="G1222" s="3" t="n">
        <f aca="false">MIN(INT((MIN(B1222,2020)-1900)/10)+1,12)</f>
        <v>8</v>
      </c>
      <c r="H1222" s="3" t="n">
        <f aca="false">(MIN(B1222,2020)-1900-10*(G1222-1))/10</f>
        <v>0.3</v>
      </c>
      <c r="I1222" s="20" t="n">
        <f aca="false">EXP(LN(INDEX(Pop_Inputs!$B$2:$N$29,MATCH(C1222,Pop_Inputs!$A$2:$A$29,0),G1222))*(1-H1222)+LN(INDEX(Pop_Inputs!$B$2:$N$29,MATCH(C1222,Pop_Inputs!$A$2:$A$29,0),G1222+1))*H1222)</f>
        <v>1411567.4112545</v>
      </c>
      <c r="J1222" s="20" t="n">
        <f aca="false">I1222/F1222</f>
        <v>1411567.4112545</v>
      </c>
      <c r="K1222" s="21" t="n">
        <f aca="false">D1222/(D1222+E1222)</f>
        <v>0.524691358024691</v>
      </c>
      <c r="L1222" s="21" t="n">
        <f aca="false">AVERAGEIFS($K$2:$K$2705,$B$2:$B$2705,B1222)</f>
        <v>0.500012780206017</v>
      </c>
      <c r="M1222" s="21" t="n">
        <f aca="false">K1222-L1222</f>
        <v>0.0246785778186744</v>
      </c>
      <c r="N1222" s="21" t="n">
        <f aca="false">LN(J1222)</f>
        <v>14.1602112841286</v>
      </c>
      <c r="O1222" s="21" t="n">
        <f aca="false">AVERAGEIFS($N$2:$N$2705,$B$2:$B$2705,B1222)</f>
        <v>13.7361237047695</v>
      </c>
      <c r="P1222" s="21" t="n">
        <f aca="false">N1222-O1222</f>
        <v>0.424087579359149</v>
      </c>
      <c r="Q1222" s="7" t="n">
        <v>0</v>
      </c>
      <c r="R1222" s="3" t="n">
        <f aca="false">IF(AND(Q1222=1,B1222-_xlfn.MINIFS($B$2:$B$2705,$A$2:$A$2705,A1222)&lt;10),1,0)</f>
        <v>0</v>
      </c>
      <c r="S1222" s="7" t="n">
        <v>0</v>
      </c>
      <c r="T1222" s="3" t="n">
        <f aca="false">_xlfn.MINIFS($B$2:$B$2705,$A$2:$A$2705,A1222)</f>
        <v>1901</v>
      </c>
      <c r="U1222" s="3" t="n">
        <f aca="false">B1222-T1222</f>
        <v>72</v>
      </c>
      <c r="V1222" s="3" t="str">
        <f aca="false">INDEX(Pop_Inputs!$Q$2:$Q$29,MATCH(C1222,Pop_Inputs!$A$2:$A$29,0))</f>
        <v>Midwest</v>
      </c>
      <c r="W1222" s="30"/>
      <c r="X1222" s="3" t="str">
        <f aca="false">IF(W1222="","",LN(W1222))</f>
        <v/>
      </c>
      <c r="Y1222" s="3" t="str">
        <f aca="false">IF(X1222="","",X1222-AVERAGEIFS($X$2:$X$2705,$B$2:$B$2705,B1222))</f>
        <v/>
      </c>
      <c r="Z1222" s="21" t="n">
        <f aca="false">P1222</f>
        <v>0.424087579359149</v>
      </c>
      <c r="AA1222" s="3" t="n">
        <f aca="false">R1222</f>
        <v>0</v>
      </c>
      <c r="AB1222" s="21" t="n">
        <f aca="false">P1222</f>
        <v>0.424087579359149</v>
      </c>
      <c r="AC1222" s="3" t="str">
        <f aca="false">Y1222</f>
        <v/>
      </c>
      <c r="AD1222" s="3" t="n">
        <f aca="false">R1222</f>
        <v>0</v>
      </c>
    </row>
    <row r="1223" customFormat="false" ht="15" hidden="false" customHeight="true" outlineLevel="0" collapsed="false">
      <c r="A1223" s="7" t="s">
        <v>74</v>
      </c>
      <c r="B1223" s="7" t="n">
        <v>1973</v>
      </c>
      <c r="C1223" s="7" t="s">
        <v>156</v>
      </c>
      <c r="D1223" s="7" t="n">
        <v>82</v>
      </c>
      <c r="E1223" s="7" t="n">
        <v>80</v>
      </c>
      <c r="F1223" s="3" t="n">
        <f aca="false">COUNTIFS($B$2:$B$2705,B1223,$C$2:$C$2705,C1223)</f>
        <v>1</v>
      </c>
      <c r="G1223" s="3" t="n">
        <f aca="false">MIN(INT((MIN(B1223,2020)-1900)/10)+1,12)</f>
        <v>8</v>
      </c>
      <c r="H1223" s="3" t="n">
        <f aca="false">(MIN(B1223,2020)-1900-10*(G1223-1))/10</f>
        <v>0.3</v>
      </c>
      <c r="I1223" s="20" t="n">
        <f aca="false">EXP(LN(INDEX(Pop_Inputs!$B$2:$N$29,MATCH(C1223,Pop_Inputs!$A$2:$A$29,0),G1223))*(1-H1223)+LN(INDEX(Pop_Inputs!$B$2:$N$29,MATCH(C1223,Pop_Inputs!$A$2:$A$29,0),G1223+1))*H1223)</f>
        <v>1331879.11700817</v>
      </c>
      <c r="J1223" s="20" t="n">
        <f aca="false">I1223/F1223</f>
        <v>1331879.11700817</v>
      </c>
      <c r="K1223" s="21" t="n">
        <f aca="false">D1223/(D1223+E1223)</f>
        <v>0.506172839506173</v>
      </c>
      <c r="L1223" s="21" t="n">
        <f aca="false">AVERAGEIFS($K$2:$K$2705,$B$2:$B$2705,B1223)</f>
        <v>0.500012780206017</v>
      </c>
      <c r="M1223" s="21" t="n">
        <f aca="false">K1223-L1223</f>
        <v>0.00616005930015595</v>
      </c>
      <c r="N1223" s="21" t="n">
        <f aca="false">LN(J1223)</f>
        <v>14.1021013729673</v>
      </c>
      <c r="O1223" s="21" t="n">
        <f aca="false">AVERAGEIFS($N$2:$N$2705,$B$2:$B$2705,B1223)</f>
        <v>13.7361237047695</v>
      </c>
      <c r="P1223" s="21" t="n">
        <f aca="false">N1223-O1223</f>
        <v>0.365977668197832</v>
      </c>
      <c r="Q1223" s="7" t="n">
        <v>1</v>
      </c>
      <c r="R1223" s="3" t="n">
        <f aca="false">IF(AND(Q1223=1,B1223-_xlfn.MINIFS($B$2:$B$2705,$A$2:$A$2705,A1223)&lt;10),1,0)</f>
        <v>0</v>
      </c>
      <c r="S1223" s="7" t="n">
        <v>0</v>
      </c>
      <c r="T1223" s="3" t="n">
        <f aca="false">_xlfn.MINIFS($B$2:$B$2705,$A$2:$A$2705,A1223)</f>
        <v>1962</v>
      </c>
      <c r="U1223" s="3" t="n">
        <f aca="false">B1223-T1223</f>
        <v>11</v>
      </c>
      <c r="V1223" s="3" t="str">
        <f aca="false">INDEX(Pop_Inputs!$Q$2:$Q$29,MATCH(C1223,Pop_Inputs!$A$2:$A$29,0))</f>
        <v>South</v>
      </c>
      <c r="W1223" s="30"/>
      <c r="X1223" s="3" t="str">
        <f aca="false">IF(W1223="","",LN(W1223))</f>
        <v/>
      </c>
      <c r="Y1223" s="3" t="str">
        <f aca="false">IF(X1223="","",X1223-AVERAGEIFS($X$2:$X$2705,$B$2:$B$2705,B1223))</f>
        <v/>
      </c>
      <c r="Z1223" s="21" t="n">
        <f aca="false">P1223</f>
        <v>0.365977668197832</v>
      </c>
      <c r="AA1223" s="3" t="n">
        <f aca="false">R1223</f>
        <v>0</v>
      </c>
      <c r="AB1223" s="21" t="n">
        <f aca="false">P1223</f>
        <v>0.365977668197832</v>
      </c>
      <c r="AC1223" s="3" t="str">
        <f aca="false">Y1223</f>
        <v/>
      </c>
      <c r="AD1223" s="3" t="n">
        <f aca="false">R1223</f>
        <v>0</v>
      </c>
    </row>
    <row r="1224" customFormat="false" ht="15" hidden="false" customHeight="true" outlineLevel="0" collapsed="false">
      <c r="A1224" s="7" t="s">
        <v>76</v>
      </c>
      <c r="B1224" s="7" t="n">
        <v>1973</v>
      </c>
      <c r="C1224" s="7" t="s">
        <v>157</v>
      </c>
      <c r="D1224" s="7" t="n">
        <v>88</v>
      </c>
      <c r="E1224" s="7" t="n">
        <v>74</v>
      </c>
      <c r="F1224" s="3" t="n">
        <f aca="false">COUNTIFS($B$2:$B$2705,B1224,$C$2:$C$2705,C1224)</f>
        <v>1</v>
      </c>
      <c r="G1224" s="3" t="n">
        <f aca="false">MIN(INT((MIN(B1224,2020)-1900)/10)+1,12)</f>
        <v>8</v>
      </c>
      <c r="H1224" s="3" t="n">
        <f aca="false">(MIN(B1224,2020)-1900-10*(G1224-1))/10</f>
        <v>0.3</v>
      </c>
      <c r="I1224" s="20" t="n">
        <f aca="false">EXP(LN(INDEX(Pop_Inputs!$B$2:$N$29,MATCH(C1224,Pop_Inputs!$A$2:$A$29,0),G1224))*(1-H1224)+LN(INDEX(Pop_Inputs!$B$2:$N$29,MATCH(C1224,Pop_Inputs!$A$2:$A$29,0),G1224+1))*H1224)</f>
        <v>488638.149314165</v>
      </c>
      <c r="J1224" s="20" t="n">
        <f aca="false">I1224/F1224</f>
        <v>488638.149314165</v>
      </c>
      <c r="K1224" s="21" t="n">
        <f aca="false">D1224/(D1224+E1224)</f>
        <v>0.54320987654321</v>
      </c>
      <c r="L1224" s="21" t="n">
        <f aca="false">AVERAGEIFS($K$2:$K$2705,$B$2:$B$2705,B1224)</f>
        <v>0.500012780206017</v>
      </c>
      <c r="M1224" s="21" t="n">
        <f aca="false">K1224-L1224</f>
        <v>0.0431970963371929</v>
      </c>
      <c r="N1224" s="21" t="n">
        <f aca="false">LN(J1224)</f>
        <v>13.0993775135833</v>
      </c>
      <c r="O1224" s="21" t="n">
        <f aca="false">AVERAGEIFS($N$2:$N$2705,$B$2:$B$2705,B1224)</f>
        <v>13.7361237047695</v>
      </c>
      <c r="P1224" s="21" t="n">
        <f aca="false">N1224-O1224</f>
        <v>-0.636746191186132</v>
      </c>
      <c r="Q1224" s="7" t="n">
        <v>1</v>
      </c>
      <c r="R1224" s="3" t="n">
        <f aca="false">IF(AND(Q1224=1,B1224-_xlfn.MINIFS($B$2:$B$2705,$A$2:$A$2705,A1224)&lt;10),1,0)</f>
        <v>1</v>
      </c>
      <c r="S1224" s="7" t="n">
        <v>0</v>
      </c>
      <c r="T1224" s="3" t="n">
        <f aca="false">_xlfn.MINIFS($B$2:$B$2705,$A$2:$A$2705,A1224)</f>
        <v>1969</v>
      </c>
      <c r="U1224" s="3" t="n">
        <f aca="false">B1224-T1224</f>
        <v>4</v>
      </c>
      <c r="V1224" s="3" t="str">
        <f aca="false">INDEX(Pop_Inputs!$Q$2:$Q$29,MATCH(C1224,Pop_Inputs!$A$2:$A$29,0))</f>
        <v>Midwest</v>
      </c>
      <c r="W1224" s="30"/>
      <c r="X1224" s="3" t="str">
        <f aca="false">IF(W1224="","",LN(W1224))</f>
        <v/>
      </c>
      <c r="Y1224" s="3" t="str">
        <f aca="false">IF(X1224="","",X1224-AVERAGEIFS($X$2:$X$2705,$B$2:$B$2705,B1224))</f>
        <v/>
      </c>
      <c r="Z1224" s="21" t="n">
        <f aca="false">P1224</f>
        <v>-0.636746191186132</v>
      </c>
      <c r="AA1224" s="3" t="n">
        <f aca="false">R1224</f>
        <v>1</v>
      </c>
      <c r="AB1224" s="21" t="n">
        <f aca="false">P1224</f>
        <v>-0.636746191186132</v>
      </c>
      <c r="AC1224" s="3" t="str">
        <f aca="false">Y1224</f>
        <v/>
      </c>
      <c r="AD1224" s="3" t="n">
        <f aca="false">R1224</f>
        <v>1</v>
      </c>
    </row>
    <row r="1225" customFormat="false" ht="15" hidden="false" customHeight="true" outlineLevel="0" collapsed="false">
      <c r="A1225" s="7" t="s">
        <v>62</v>
      </c>
      <c r="B1225" s="7" t="n">
        <v>1973</v>
      </c>
      <c r="C1225" s="7" t="s">
        <v>148</v>
      </c>
      <c r="D1225" s="7" t="n">
        <v>95</v>
      </c>
      <c r="E1225" s="7" t="n">
        <v>66</v>
      </c>
      <c r="F1225" s="3" t="n">
        <f aca="false">COUNTIFS($B$2:$B$2705,B1225,$C$2:$C$2705,C1225)</f>
        <v>2</v>
      </c>
      <c r="G1225" s="3" t="n">
        <f aca="false">MIN(INT((MIN(B1225,2020)-1900)/10)+1,12)</f>
        <v>8</v>
      </c>
      <c r="H1225" s="3" t="n">
        <f aca="false">(MIN(B1225,2020)-1900-10*(G1225-1))/10</f>
        <v>0.3</v>
      </c>
      <c r="I1225" s="20" t="n">
        <f aca="false">EXP(LN(INDEX(Pop_Inputs!$B$2:$N$29,MATCH(C1225,Pop_Inputs!$A$2:$A$29,0),G1225))*(1-H1225)+LN(INDEX(Pop_Inputs!$B$2:$N$29,MATCH(C1225,Pop_Inputs!$A$2:$A$29,0),G1225+1))*H1225)</f>
        <v>2860474.74316276</v>
      </c>
      <c r="J1225" s="20" t="n">
        <f aca="false">I1225/F1225</f>
        <v>1430237.37158138</v>
      </c>
      <c r="K1225" s="21" t="n">
        <f aca="false">D1225/(D1225+E1225)</f>
        <v>0.590062111801242</v>
      </c>
      <c r="L1225" s="21" t="n">
        <f aca="false">AVERAGEIFS($K$2:$K$2705,$B$2:$B$2705,B1225)</f>
        <v>0.500012780206017</v>
      </c>
      <c r="M1225" s="21" t="n">
        <f aca="false">K1225-L1225</f>
        <v>0.0900493315952253</v>
      </c>
      <c r="N1225" s="21" t="n">
        <f aca="false">LN(J1225)</f>
        <v>14.1733509825734</v>
      </c>
      <c r="O1225" s="21" t="n">
        <f aca="false">AVERAGEIFS($N$2:$N$2705,$B$2:$B$2705,B1225)</f>
        <v>13.7361237047695</v>
      </c>
      <c r="P1225" s="21" t="n">
        <f aca="false">N1225-O1225</f>
        <v>0.437227277803975</v>
      </c>
      <c r="Q1225" s="7" t="n">
        <v>0</v>
      </c>
      <c r="R1225" s="3" t="n">
        <f aca="false">IF(AND(Q1225=1,B1225-_xlfn.MINIFS($B$2:$B$2705,$A$2:$A$2705,A1225)&lt;10),1,0)</f>
        <v>0</v>
      </c>
      <c r="S1225" s="7" t="n">
        <v>0</v>
      </c>
      <c r="T1225" s="3" t="n">
        <f aca="false">_xlfn.MINIFS($B$2:$B$2705,$A$2:$A$2705,A1225)</f>
        <v>1901</v>
      </c>
      <c r="U1225" s="3" t="n">
        <f aca="false">B1225-T1225</f>
        <v>72</v>
      </c>
      <c r="V1225" s="3" t="str">
        <f aca="false">INDEX(Pop_Inputs!$Q$2:$Q$29,MATCH(C1225,Pop_Inputs!$A$2:$A$29,0))</f>
        <v>West</v>
      </c>
      <c r="W1225" s="30"/>
      <c r="X1225" s="3" t="str">
        <f aca="false">IF(W1225="","",LN(W1225))</f>
        <v/>
      </c>
      <c r="Y1225" s="3" t="str">
        <f aca="false">IF(X1225="","",X1225-AVERAGEIFS($X$2:$X$2705,$B$2:$B$2705,B1225))</f>
        <v/>
      </c>
      <c r="Z1225" s="21" t="n">
        <f aca="false">P1225</f>
        <v>0.437227277803975</v>
      </c>
      <c r="AA1225" s="3" t="n">
        <f aca="false">R1225</f>
        <v>0</v>
      </c>
      <c r="AB1225" s="21" t="n">
        <f aca="false">P1225</f>
        <v>0.437227277803975</v>
      </c>
      <c r="AC1225" s="3" t="str">
        <f aca="false">Y1225</f>
        <v/>
      </c>
      <c r="AD1225" s="3" t="n">
        <f aca="false">R1225</f>
        <v>0</v>
      </c>
    </row>
    <row r="1226" customFormat="false" ht="15" hidden="false" customHeight="true" outlineLevel="0" collapsed="false">
      <c r="A1226" s="7" t="s">
        <v>77</v>
      </c>
      <c r="B1226" s="7" t="n">
        <v>1973</v>
      </c>
      <c r="C1226" s="7" t="s">
        <v>158</v>
      </c>
      <c r="D1226" s="7" t="n">
        <v>74</v>
      </c>
      <c r="E1226" s="7" t="n">
        <v>88</v>
      </c>
      <c r="F1226" s="3" t="n">
        <f aca="false">COUNTIFS($B$2:$B$2705,B1226,$C$2:$C$2705,C1226)</f>
        <v>1</v>
      </c>
      <c r="G1226" s="3" t="n">
        <f aca="false">MIN(INT((MIN(B1226,2020)-1900)/10)+1,12)</f>
        <v>8</v>
      </c>
      <c r="H1226" s="3" t="n">
        <f aca="false">(MIN(B1226,2020)-1900-10*(G1226-1))/10</f>
        <v>0.3</v>
      </c>
      <c r="I1226" s="20" t="n">
        <f aca="false">EXP(LN(INDEX(Pop_Inputs!$B$2:$N$29,MATCH(C1226,Pop_Inputs!$A$2:$A$29,0),G1226))*(1-H1226)+LN(INDEX(Pop_Inputs!$B$2:$N$29,MATCH(C1226,Pop_Inputs!$A$2:$A$29,0),G1226+1))*H1226)</f>
        <v>691808.571664954</v>
      </c>
      <c r="J1226" s="20" t="n">
        <f aca="false">I1226/F1226</f>
        <v>691808.571664954</v>
      </c>
      <c r="K1226" s="21" t="n">
        <f aca="false">D1226/(D1226+E1226)</f>
        <v>0.45679012345679</v>
      </c>
      <c r="L1226" s="21" t="n">
        <f aca="false">AVERAGEIFS($K$2:$K$2705,$B$2:$B$2705,B1226)</f>
        <v>0.500012780206017</v>
      </c>
      <c r="M1226" s="21" t="n">
        <f aca="false">K1226-L1226</f>
        <v>-0.0432226567492268</v>
      </c>
      <c r="N1226" s="21" t="n">
        <f aca="false">LN(J1226)</f>
        <v>13.4470645657885</v>
      </c>
      <c r="O1226" s="21" t="n">
        <f aca="false">AVERAGEIFS($N$2:$N$2705,$B$2:$B$2705,B1226)</f>
        <v>13.7361237047695</v>
      </c>
      <c r="P1226" s="21" t="n">
        <f aca="false">N1226-O1226</f>
        <v>-0.289059138980923</v>
      </c>
      <c r="Q1226" s="7" t="n">
        <v>1</v>
      </c>
      <c r="R1226" s="3" t="n">
        <f aca="false">IF(AND(Q1226=1,B1226-_xlfn.MINIFS($B$2:$B$2705,$A$2:$A$2705,A1226)&lt;10),1,0)</f>
        <v>1</v>
      </c>
      <c r="S1226" s="7" t="n">
        <v>0</v>
      </c>
      <c r="T1226" s="3" t="n">
        <f aca="false">_xlfn.MINIFS($B$2:$B$2705,$A$2:$A$2705,A1226)</f>
        <v>1969</v>
      </c>
      <c r="U1226" s="3" t="n">
        <f aca="false">B1226-T1226</f>
        <v>4</v>
      </c>
      <c r="V1226" s="3" t="str">
        <f aca="false">INDEX(Pop_Inputs!$Q$2:$Q$29,MATCH(C1226,Pop_Inputs!$A$2:$A$29,0))</f>
        <v>Midwest</v>
      </c>
      <c r="W1226" s="30"/>
      <c r="X1226" s="3" t="str">
        <f aca="false">IF(W1226="","",LN(W1226))</f>
        <v/>
      </c>
      <c r="Y1226" s="3" t="str">
        <f aca="false">IF(X1226="","",X1226-AVERAGEIFS($X$2:$X$2705,$B$2:$B$2705,B1226))</f>
        <v/>
      </c>
      <c r="Z1226" s="21" t="n">
        <f aca="false">P1226</f>
        <v>-0.289059138980923</v>
      </c>
      <c r="AA1226" s="3" t="n">
        <f aca="false">R1226</f>
        <v>1</v>
      </c>
      <c r="AB1226" s="21" t="n">
        <f aca="false">P1226</f>
        <v>-0.289059138980923</v>
      </c>
      <c r="AC1226" s="3" t="str">
        <f aca="false">Y1226</f>
        <v/>
      </c>
      <c r="AD1226" s="3" t="n">
        <f aca="false">R1226</f>
        <v>1</v>
      </c>
    </row>
    <row r="1227" customFormat="false" ht="15" hidden="false" customHeight="true" outlineLevel="0" collapsed="false">
      <c r="A1227" s="7" t="s">
        <v>68</v>
      </c>
      <c r="B1227" s="7" t="n">
        <v>1973</v>
      </c>
      <c r="C1227" s="7" t="s">
        <v>153</v>
      </c>
      <c r="D1227" s="7" t="n">
        <v>81</v>
      </c>
      <c r="E1227" s="7" t="n">
        <v>81</v>
      </c>
      <c r="F1227" s="3" t="n">
        <f aca="false">COUNTIFS($B$2:$B$2705,B1227,$C$2:$C$2705,C1227)</f>
        <v>1</v>
      </c>
      <c r="G1227" s="3" t="n">
        <f aca="false">MIN(INT((MIN(B1227,2020)-1900)/10)+1,12)</f>
        <v>8</v>
      </c>
      <c r="H1227" s="3" t="n">
        <f aca="false">(MIN(B1227,2020)-1900-10*(G1227-1))/10</f>
        <v>0.3</v>
      </c>
      <c r="I1227" s="20" t="n">
        <f aca="false">EXP(LN(INDEX(Pop_Inputs!$B$2:$N$29,MATCH(C1227,Pop_Inputs!$A$2:$A$29,0),G1227))*(1-H1227)+LN(INDEX(Pop_Inputs!$B$2:$N$29,MATCH(C1227,Pop_Inputs!$A$2:$A$29,0),G1227+1))*H1227)</f>
        <v>414302.768558374</v>
      </c>
      <c r="J1227" s="20" t="n">
        <f aca="false">I1227/F1227</f>
        <v>414302.768558374</v>
      </c>
      <c r="K1227" s="21" t="n">
        <f aca="false">D1227/(D1227+E1227)</f>
        <v>0.5</v>
      </c>
      <c r="L1227" s="21" t="n">
        <f aca="false">AVERAGEIFS($K$2:$K$2705,$B$2:$B$2705,B1227)</f>
        <v>0.500012780206017</v>
      </c>
      <c r="M1227" s="21" t="n">
        <f aca="false">K1227-L1227</f>
        <v>-1.27802060169158E-005</v>
      </c>
      <c r="N1227" s="21" t="n">
        <f aca="false">LN(J1227)</f>
        <v>12.9343523105398</v>
      </c>
      <c r="O1227" s="21" t="n">
        <f aca="false">AVERAGEIFS($N$2:$N$2705,$B$2:$B$2705,B1227)</f>
        <v>13.7361237047695</v>
      </c>
      <c r="P1227" s="21" t="n">
        <f aca="false">N1227-O1227</f>
        <v>-0.801771394229625</v>
      </c>
      <c r="Q1227" s="7" t="n">
        <v>0</v>
      </c>
      <c r="R1227" s="3" t="n">
        <f aca="false">IF(AND(Q1227=1,B1227-_xlfn.MINIFS($B$2:$B$2705,$A$2:$A$2705,A1227)&lt;10),1,0)</f>
        <v>0</v>
      </c>
      <c r="S1227" s="7" t="n">
        <v>0</v>
      </c>
      <c r="T1227" s="3" t="n">
        <f aca="false">_xlfn.MINIFS($B$2:$B$2705,$A$2:$A$2705,A1227)</f>
        <v>1901</v>
      </c>
      <c r="U1227" s="3" t="n">
        <f aca="false">B1227-T1227</f>
        <v>72</v>
      </c>
      <c r="V1227" s="3" t="str">
        <f aca="false">INDEX(Pop_Inputs!$Q$2:$Q$29,MATCH(C1227,Pop_Inputs!$A$2:$A$29,0))</f>
        <v>Midwest</v>
      </c>
      <c r="W1227" s="30"/>
      <c r="X1227" s="3" t="str">
        <f aca="false">IF(W1227="","",LN(W1227))</f>
        <v/>
      </c>
      <c r="Y1227" s="3" t="str">
        <f aca="false">IF(X1227="","",X1227-AVERAGEIFS($X$2:$X$2705,$B$2:$B$2705,B1227))</f>
        <v/>
      </c>
      <c r="Z1227" s="21" t="n">
        <f aca="false">P1227</f>
        <v>-0.801771394229625</v>
      </c>
      <c r="AA1227" s="3" t="n">
        <f aca="false">R1227</f>
        <v>0</v>
      </c>
      <c r="AB1227" s="21" t="n">
        <f aca="false">P1227</f>
        <v>-0.801771394229625</v>
      </c>
      <c r="AC1227" s="3" t="str">
        <f aca="false">Y1227</f>
        <v/>
      </c>
      <c r="AD1227" s="3" t="n">
        <f aca="false">R1227</f>
        <v>0</v>
      </c>
    </row>
    <row r="1228" customFormat="false" ht="15" hidden="false" customHeight="true" outlineLevel="0" collapsed="false">
      <c r="A1228" s="7" t="s">
        <v>75</v>
      </c>
      <c r="B1228" s="7" t="n">
        <v>1973</v>
      </c>
      <c r="C1228" s="7" t="s">
        <v>154</v>
      </c>
      <c r="D1228" s="7" t="n">
        <v>82</v>
      </c>
      <c r="E1228" s="7" t="n">
        <v>79</v>
      </c>
      <c r="F1228" s="3" t="n">
        <f aca="false">COUNTIFS($B$2:$B$2705,B1228,$C$2:$C$2705,C1228)</f>
        <v>2</v>
      </c>
      <c r="G1228" s="3" t="n">
        <f aca="false">MIN(INT((MIN(B1228,2020)-1900)/10)+1,12)</f>
        <v>8</v>
      </c>
      <c r="H1228" s="3" t="n">
        <f aca="false">(MIN(B1228,2020)-1900-10*(G1228-1))/10</f>
        <v>0.3</v>
      </c>
      <c r="I1228" s="20" t="n">
        <f aca="false">EXP(LN(INDEX(Pop_Inputs!$B$2:$N$29,MATCH(C1228,Pop_Inputs!$A$2:$A$29,0),G1228))*(1-H1228)+LN(INDEX(Pop_Inputs!$B$2:$N$29,MATCH(C1228,Pop_Inputs!$A$2:$A$29,0),G1228+1))*H1228)</f>
        <v>7638308.67453372</v>
      </c>
      <c r="J1228" s="20" t="n">
        <f aca="false">I1228/F1228</f>
        <v>3819154.33726686</v>
      </c>
      <c r="K1228" s="21" t="n">
        <f aca="false">D1228/(D1228+E1228)</f>
        <v>0.509316770186335</v>
      </c>
      <c r="L1228" s="21" t="n">
        <f aca="false">AVERAGEIFS($K$2:$K$2705,$B$2:$B$2705,B1228)</f>
        <v>0.500012780206017</v>
      </c>
      <c r="M1228" s="21" t="n">
        <f aca="false">K1228-L1228</f>
        <v>0.00930398998031845</v>
      </c>
      <c r="N1228" s="21" t="n">
        <f aca="false">LN(J1228)</f>
        <v>15.1555395783963</v>
      </c>
      <c r="O1228" s="21" t="n">
        <f aca="false">AVERAGEIFS($N$2:$N$2705,$B$2:$B$2705,B1228)</f>
        <v>13.7361237047695</v>
      </c>
      <c r="P1228" s="21" t="n">
        <f aca="false">N1228-O1228</f>
        <v>1.4194158736268</v>
      </c>
      <c r="Q1228" s="7" t="n">
        <v>1</v>
      </c>
      <c r="R1228" s="3" t="n">
        <f aca="false">IF(AND(Q1228=1,B1228-_xlfn.MINIFS($B$2:$B$2705,$A$2:$A$2705,A1228)&lt;10),1,0)</f>
        <v>0</v>
      </c>
      <c r="S1228" s="7" t="n">
        <v>0</v>
      </c>
      <c r="T1228" s="3" t="n">
        <f aca="false">_xlfn.MINIFS($B$2:$B$2705,$A$2:$A$2705,A1228)</f>
        <v>1962</v>
      </c>
      <c r="U1228" s="3" t="n">
        <f aca="false">B1228-T1228</f>
        <v>11</v>
      </c>
      <c r="V1228" s="3" t="str">
        <f aca="false">INDEX(Pop_Inputs!$Q$2:$Q$29,MATCH(C1228,Pop_Inputs!$A$2:$A$29,0))</f>
        <v>Northeast</v>
      </c>
      <c r="W1228" s="30"/>
      <c r="X1228" s="3" t="str">
        <f aca="false">IF(W1228="","",LN(W1228))</f>
        <v/>
      </c>
      <c r="Y1228" s="3" t="str">
        <f aca="false">IF(X1228="","",X1228-AVERAGEIFS($X$2:$X$2705,$B$2:$B$2705,B1228))</f>
        <v/>
      </c>
      <c r="Z1228" s="21" t="n">
        <f aca="false">P1228</f>
        <v>1.4194158736268</v>
      </c>
      <c r="AA1228" s="3" t="n">
        <f aca="false">R1228</f>
        <v>0</v>
      </c>
      <c r="AB1228" s="21" t="n">
        <f aca="false">P1228</f>
        <v>1.4194158736268</v>
      </c>
      <c r="AC1228" s="3" t="str">
        <f aca="false">Y1228</f>
        <v/>
      </c>
      <c r="AD1228" s="3" t="n">
        <f aca="false">R1228</f>
        <v>0</v>
      </c>
    </row>
    <row r="1229" customFormat="false" ht="15" hidden="false" customHeight="true" outlineLevel="0" collapsed="false">
      <c r="A1229" s="7" t="s">
        <v>70</v>
      </c>
      <c r="B1229" s="7" t="n">
        <v>1973</v>
      </c>
      <c r="C1229" s="7" t="s">
        <v>154</v>
      </c>
      <c r="D1229" s="7" t="n">
        <v>80</v>
      </c>
      <c r="E1229" s="7" t="n">
        <v>82</v>
      </c>
      <c r="F1229" s="3" t="n">
        <f aca="false">COUNTIFS($B$2:$B$2705,B1229,$C$2:$C$2705,C1229)</f>
        <v>2</v>
      </c>
      <c r="G1229" s="3" t="n">
        <f aca="false">MIN(INT((MIN(B1229,2020)-1900)/10)+1,12)</f>
        <v>8</v>
      </c>
      <c r="H1229" s="3" t="n">
        <f aca="false">(MIN(B1229,2020)-1900-10*(G1229-1))/10</f>
        <v>0.3</v>
      </c>
      <c r="I1229" s="20" t="n">
        <f aca="false">EXP(LN(INDEX(Pop_Inputs!$B$2:$N$29,MATCH(C1229,Pop_Inputs!$A$2:$A$29,0),G1229))*(1-H1229)+LN(INDEX(Pop_Inputs!$B$2:$N$29,MATCH(C1229,Pop_Inputs!$A$2:$A$29,0),G1229+1))*H1229)</f>
        <v>7638308.67453372</v>
      </c>
      <c r="J1229" s="20" t="n">
        <f aca="false">I1229/F1229</f>
        <v>3819154.33726686</v>
      </c>
      <c r="K1229" s="21" t="n">
        <f aca="false">D1229/(D1229+E1229)</f>
        <v>0.493827160493827</v>
      </c>
      <c r="L1229" s="21" t="n">
        <f aca="false">AVERAGEIFS($K$2:$K$2705,$B$2:$B$2705,B1229)</f>
        <v>0.500012780206017</v>
      </c>
      <c r="M1229" s="21" t="n">
        <f aca="false">K1229-L1229</f>
        <v>-0.00618561971218978</v>
      </c>
      <c r="N1229" s="21" t="n">
        <f aca="false">LN(J1229)</f>
        <v>15.1555395783963</v>
      </c>
      <c r="O1229" s="21" t="n">
        <f aca="false">AVERAGEIFS($N$2:$N$2705,$B$2:$B$2705,B1229)</f>
        <v>13.7361237047695</v>
      </c>
      <c r="P1229" s="21" t="n">
        <f aca="false">N1229-O1229</f>
        <v>1.4194158736268</v>
      </c>
      <c r="Q1229" s="7" t="n">
        <v>0</v>
      </c>
      <c r="R1229" s="3" t="n">
        <f aca="false">IF(AND(Q1229=1,B1229-_xlfn.MINIFS($B$2:$B$2705,$A$2:$A$2705,A1229)&lt;10),1,0)</f>
        <v>0</v>
      </c>
      <c r="S1229" s="7" t="n">
        <v>1</v>
      </c>
      <c r="T1229" s="3" t="n">
        <f aca="false">_xlfn.MINIFS($B$2:$B$2705,$A$2:$A$2705,A1229)</f>
        <v>1903</v>
      </c>
      <c r="U1229" s="3" t="n">
        <f aca="false">B1229-T1229</f>
        <v>70</v>
      </c>
      <c r="V1229" s="3" t="str">
        <f aca="false">INDEX(Pop_Inputs!$Q$2:$Q$29,MATCH(C1229,Pop_Inputs!$A$2:$A$29,0))</f>
        <v>Northeast</v>
      </c>
      <c r="W1229" s="30"/>
      <c r="X1229" s="3" t="str">
        <f aca="false">IF(W1229="","",LN(W1229))</f>
        <v/>
      </c>
      <c r="Y1229" s="3" t="str">
        <f aca="false">IF(X1229="","",X1229-AVERAGEIFS($X$2:$X$2705,$B$2:$B$2705,B1229))</f>
        <v/>
      </c>
      <c r="Z1229" s="21" t="n">
        <f aca="false">P1229</f>
        <v>1.4194158736268</v>
      </c>
      <c r="AA1229" s="3" t="n">
        <f aca="false">R1229</f>
        <v>0</v>
      </c>
      <c r="AB1229" s="21" t="n">
        <f aca="false">P1229</f>
        <v>1.4194158736268</v>
      </c>
      <c r="AC1229" s="3" t="str">
        <f aca="false">Y1229</f>
        <v/>
      </c>
      <c r="AD1229" s="3" t="n">
        <f aca="false">R1229</f>
        <v>0</v>
      </c>
    </row>
    <row r="1230" customFormat="false" ht="15" hidden="false" customHeight="true" outlineLevel="0" collapsed="false">
      <c r="A1230" s="7" t="s">
        <v>69</v>
      </c>
      <c r="B1230" s="7" t="n">
        <v>1973</v>
      </c>
      <c r="C1230" s="7" t="s">
        <v>253</v>
      </c>
      <c r="D1230" s="7" t="n">
        <v>94</v>
      </c>
      <c r="E1230" s="7" t="n">
        <v>68</v>
      </c>
      <c r="F1230" s="3" t="n">
        <f aca="false">COUNTIFS($B$2:$B$2705,B1230,$C$2:$C$2705,C1230)</f>
        <v>1</v>
      </c>
      <c r="G1230" s="3" t="n">
        <f aca="false">MIN(INT((MIN(B1230,2020)-1900)/10)+1,12)</f>
        <v>8</v>
      </c>
      <c r="H1230" s="3" t="n">
        <f aca="false">(MIN(B1230,2020)-1900-10*(G1230-1))/10</f>
        <v>0.3</v>
      </c>
      <c r="I1230" s="20" t="n">
        <f aca="false">EXP(LN(INDEX(Pop_Inputs!$B$2:$N$29,MATCH(C1230,Pop_Inputs!$A$2:$A$29,0),G1230))*(1-H1230)+LN(INDEX(Pop_Inputs!$B$2:$N$29,MATCH(C1230,Pop_Inputs!$A$2:$A$29,0),G1230+1))*H1230)</f>
        <v>354745.152810239</v>
      </c>
      <c r="J1230" s="20" t="n">
        <f aca="false">I1230/F1230</f>
        <v>354745.152810239</v>
      </c>
      <c r="K1230" s="21" t="n">
        <f aca="false">D1230/(D1230+E1230)</f>
        <v>0.580246913580247</v>
      </c>
      <c r="L1230" s="21" t="n">
        <f aca="false">AVERAGEIFS($K$2:$K$2705,$B$2:$B$2705,B1230)</f>
        <v>0.500012780206017</v>
      </c>
      <c r="M1230" s="21" t="n">
        <f aca="false">K1230-L1230</f>
        <v>0.08023413337423</v>
      </c>
      <c r="N1230" s="21" t="n">
        <f aca="false">LN(J1230)</f>
        <v>12.779154931251</v>
      </c>
      <c r="O1230" s="21" t="n">
        <f aca="false">AVERAGEIFS($N$2:$N$2705,$B$2:$B$2705,B1230)</f>
        <v>13.7361237047695</v>
      </c>
      <c r="P1230" s="21" t="n">
        <f aca="false">N1230-O1230</f>
        <v>-0.956968773518501</v>
      </c>
      <c r="Q1230" s="7" t="n">
        <v>0</v>
      </c>
      <c r="R1230" s="3" t="n">
        <f aca="false">IF(AND(Q1230=1,B1230-_xlfn.MINIFS($B$2:$B$2705,$A$2:$A$2705,A1230)&lt;10),1,0)</f>
        <v>0</v>
      </c>
      <c r="S1230" s="7" t="n">
        <v>0</v>
      </c>
      <c r="T1230" s="3" t="n">
        <f aca="false">_xlfn.MINIFS($B$2:$B$2705,$A$2:$A$2705,A1230)</f>
        <v>1901</v>
      </c>
      <c r="U1230" s="3" t="n">
        <f aca="false">B1230-T1230</f>
        <v>72</v>
      </c>
      <c r="V1230" s="3" t="str">
        <f aca="false">INDEX(Pop_Inputs!$Q$2:$Q$29,MATCH(C1230,Pop_Inputs!$A$2:$A$29,0))</f>
        <v>West</v>
      </c>
      <c r="W1230" s="30"/>
      <c r="X1230" s="3" t="str">
        <f aca="false">IF(W1230="","",LN(W1230))</f>
        <v/>
      </c>
      <c r="Y1230" s="3" t="str">
        <f aca="false">IF(X1230="","",X1230-AVERAGEIFS($X$2:$X$2705,$B$2:$B$2705,B1230))</f>
        <v/>
      </c>
      <c r="Z1230" s="21" t="n">
        <f aca="false">P1230</f>
        <v>-0.956968773518501</v>
      </c>
      <c r="AA1230" s="3" t="n">
        <f aca="false">R1230</f>
        <v>0</v>
      </c>
      <c r="AB1230" s="21" t="n">
        <f aca="false">P1230</f>
        <v>-0.956968773518501</v>
      </c>
      <c r="AC1230" s="3" t="str">
        <f aca="false">Y1230</f>
        <v/>
      </c>
      <c r="AD1230" s="3" t="n">
        <f aca="false">R1230</f>
        <v>0</v>
      </c>
    </row>
    <row r="1231" customFormat="false" ht="15" hidden="false" customHeight="true" outlineLevel="0" collapsed="false">
      <c r="A1231" s="7" t="s">
        <v>60</v>
      </c>
      <c r="B1231" s="7" t="n">
        <v>1973</v>
      </c>
      <c r="C1231" s="7" t="s">
        <v>146</v>
      </c>
      <c r="D1231" s="7" t="n">
        <v>71</v>
      </c>
      <c r="E1231" s="7" t="n">
        <v>91</v>
      </c>
      <c r="F1231" s="3" t="n">
        <f aca="false">COUNTIFS($B$2:$B$2705,B1231,$C$2:$C$2705,C1231)</f>
        <v>1</v>
      </c>
      <c r="G1231" s="3" t="n">
        <f aca="false">MIN(INT((MIN(B1231,2020)-1900)/10)+1,12)</f>
        <v>8</v>
      </c>
      <c r="H1231" s="3" t="n">
        <f aca="false">(MIN(B1231,2020)-1900-10*(G1231-1))/10</f>
        <v>0.3</v>
      </c>
      <c r="I1231" s="20" t="n">
        <f aca="false">EXP(LN(INDEX(Pop_Inputs!$B$2:$N$29,MATCH(C1231,Pop_Inputs!$A$2:$A$29,0),G1231))*(1-H1231)+LN(INDEX(Pop_Inputs!$B$2:$N$29,MATCH(C1231,Pop_Inputs!$A$2:$A$29,0),G1231+1))*H1231)</f>
        <v>1866531.11242974</v>
      </c>
      <c r="J1231" s="20" t="n">
        <f aca="false">I1231/F1231</f>
        <v>1866531.11242974</v>
      </c>
      <c r="K1231" s="21" t="n">
        <f aca="false">D1231/(D1231+E1231)</f>
        <v>0.438271604938272</v>
      </c>
      <c r="L1231" s="21" t="n">
        <f aca="false">AVERAGEIFS($K$2:$K$2705,$B$2:$B$2705,B1231)</f>
        <v>0.500012780206017</v>
      </c>
      <c r="M1231" s="21" t="n">
        <f aca="false">K1231-L1231</f>
        <v>-0.0617411752677453</v>
      </c>
      <c r="N1231" s="21" t="n">
        <f aca="false">LN(J1231)</f>
        <v>14.4395922460592</v>
      </c>
      <c r="O1231" s="21" t="n">
        <f aca="false">AVERAGEIFS($N$2:$N$2705,$B$2:$B$2705,B1231)</f>
        <v>13.7361237047695</v>
      </c>
      <c r="P1231" s="21" t="n">
        <f aca="false">N1231-O1231</f>
        <v>0.703468541289752</v>
      </c>
      <c r="Q1231" s="7" t="n">
        <v>0</v>
      </c>
      <c r="R1231" s="3" t="n">
        <f aca="false">IF(AND(Q1231=1,B1231-_xlfn.MINIFS($B$2:$B$2705,$A$2:$A$2705,A1231)&lt;10),1,0)</f>
        <v>0</v>
      </c>
      <c r="S1231" s="7" t="n">
        <v>0</v>
      </c>
      <c r="T1231" s="3" t="n">
        <f aca="false">_xlfn.MINIFS($B$2:$B$2705,$A$2:$A$2705,A1231)</f>
        <v>1901</v>
      </c>
      <c r="U1231" s="3" t="n">
        <f aca="false">B1231-T1231</f>
        <v>72</v>
      </c>
      <c r="V1231" s="3" t="str">
        <f aca="false">INDEX(Pop_Inputs!$Q$2:$Q$29,MATCH(C1231,Pop_Inputs!$A$2:$A$29,0))</f>
        <v>Northeast</v>
      </c>
      <c r="W1231" s="30"/>
      <c r="X1231" s="3" t="str">
        <f aca="false">IF(W1231="","",LN(W1231))</f>
        <v/>
      </c>
      <c r="Y1231" s="3" t="str">
        <f aca="false">IF(X1231="","",X1231-AVERAGEIFS($X$2:$X$2705,$B$2:$B$2705,B1231))</f>
        <v/>
      </c>
      <c r="Z1231" s="21" t="n">
        <f aca="false">P1231</f>
        <v>0.703468541289752</v>
      </c>
      <c r="AA1231" s="3" t="n">
        <f aca="false">R1231</f>
        <v>0</v>
      </c>
      <c r="AB1231" s="21" t="n">
        <f aca="false">P1231</f>
        <v>0.703468541289752</v>
      </c>
      <c r="AC1231" s="3" t="str">
        <f aca="false">Y1231</f>
        <v/>
      </c>
      <c r="AD1231" s="3" t="n">
        <f aca="false">R1231</f>
        <v>0</v>
      </c>
    </row>
    <row r="1232" customFormat="false" ht="15" hidden="false" customHeight="true" outlineLevel="0" collapsed="false">
      <c r="A1232" s="7" t="s">
        <v>58</v>
      </c>
      <c r="B1232" s="7" t="n">
        <v>1973</v>
      </c>
      <c r="C1232" s="7" t="s">
        <v>144</v>
      </c>
      <c r="D1232" s="7" t="n">
        <v>80</v>
      </c>
      <c r="E1232" s="7" t="n">
        <v>82</v>
      </c>
      <c r="F1232" s="3" t="n">
        <f aca="false">COUNTIFS($B$2:$B$2705,B1232,$C$2:$C$2705,C1232)</f>
        <v>1</v>
      </c>
      <c r="G1232" s="3" t="n">
        <f aca="false">MIN(INT((MIN(B1232,2020)-1900)/10)+1,12)</f>
        <v>8</v>
      </c>
      <c r="H1232" s="3" t="n">
        <f aca="false">(MIN(B1232,2020)-1900-10*(G1232-1))/10</f>
        <v>0.3</v>
      </c>
      <c r="I1232" s="20" t="n">
        <f aca="false">EXP(LN(INDEX(Pop_Inputs!$B$2:$N$29,MATCH(C1232,Pop_Inputs!$A$2:$A$29,0),G1232))*(1-H1232)+LN(INDEX(Pop_Inputs!$B$2:$N$29,MATCH(C1232,Pop_Inputs!$A$2:$A$29,0),G1232+1))*H1232)</f>
        <v>489171.828767021</v>
      </c>
      <c r="J1232" s="20" t="n">
        <f aca="false">I1232/F1232</f>
        <v>489171.828767021</v>
      </c>
      <c r="K1232" s="21" t="n">
        <f aca="false">D1232/(D1232+E1232)</f>
        <v>0.493827160493827</v>
      </c>
      <c r="L1232" s="21" t="n">
        <f aca="false">AVERAGEIFS($K$2:$K$2705,$B$2:$B$2705,B1232)</f>
        <v>0.500012780206017</v>
      </c>
      <c r="M1232" s="21" t="n">
        <f aca="false">K1232-L1232</f>
        <v>-0.00618561971218978</v>
      </c>
      <c r="N1232" s="21" t="n">
        <f aca="false">LN(J1232)</f>
        <v>13.1004690948063</v>
      </c>
      <c r="O1232" s="21" t="n">
        <f aca="false">AVERAGEIFS($N$2:$N$2705,$B$2:$B$2705,B1232)</f>
        <v>13.7361237047695</v>
      </c>
      <c r="P1232" s="21" t="n">
        <f aca="false">N1232-O1232</f>
        <v>-0.635654609963172</v>
      </c>
      <c r="Q1232" s="7" t="n">
        <v>0</v>
      </c>
      <c r="R1232" s="3" t="n">
        <f aca="false">IF(AND(Q1232=1,B1232-_xlfn.MINIFS($B$2:$B$2705,$A$2:$A$2705,A1232)&lt;10),1,0)</f>
        <v>0</v>
      </c>
      <c r="S1232" s="7" t="n">
        <v>0</v>
      </c>
      <c r="T1232" s="3" t="n">
        <f aca="false">_xlfn.MINIFS($B$2:$B$2705,$A$2:$A$2705,A1232)</f>
        <v>1901</v>
      </c>
      <c r="U1232" s="3" t="n">
        <f aca="false">B1232-T1232</f>
        <v>72</v>
      </c>
      <c r="V1232" s="3" t="str">
        <f aca="false">INDEX(Pop_Inputs!$Q$2:$Q$29,MATCH(C1232,Pop_Inputs!$A$2:$A$29,0))</f>
        <v>Northeast</v>
      </c>
      <c r="W1232" s="30"/>
      <c r="X1232" s="3" t="str">
        <f aca="false">IF(W1232="","",LN(W1232))</f>
        <v/>
      </c>
      <c r="Y1232" s="3" t="str">
        <f aca="false">IF(X1232="","",X1232-AVERAGEIFS($X$2:$X$2705,$B$2:$B$2705,B1232))</f>
        <v/>
      </c>
      <c r="Z1232" s="21" t="n">
        <f aca="false">P1232</f>
        <v>-0.635654609963172</v>
      </c>
      <c r="AA1232" s="3" t="n">
        <f aca="false">R1232</f>
        <v>0</v>
      </c>
      <c r="AB1232" s="21" t="n">
        <f aca="false">P1232</f>
        <v>-0.635654609963172</v>
      </c>
      <c r="AC1232" s="3" t="str">
        <f aca="false">Y1232</f>
        <v/>
      </c>
      <c r="AD1232" s="3" t="n">
        <f aca="false">R1232</f>
        <v>0</v>
      </c>
    </row>
    <row r="1233" customFormat="false" ht="15" hidden="false" customHeight="true" outlineLevel="0" collapsed="false">
      <c r="A1233" s="7" t="s">
        <v>78</v>
      </c>
      <c r="B1233" s="7" t="n">
        <v>1973</v>
      </c>
      <c r="C1233" s="7" t="s">
        <v>159</v>
      </c>
      <c r="D1233" s="7" t="n">
        <v>60</v>
      </c>
      <c r="E1233" s="7" t="n">
        <v>102</v>
      </c>
      <c r="F1233" s="3" t="n">
        <f aca="false">COUNTIFS($B$2:$B$2705,B1233,$C$2:$C$2705,C1233)</f>
        <v>1</v>
      </c>
      <c r="G1233" s="3" t="n">
        <f aca="false">MIN(INT((MIN(B1233,2020)-1900)/10)+1,12)</f>
        <v>8</v>
      </c>
      <c r="H1233" s="3" t="n">
        <f aca="false">(MIN(B1233,2020)-1900-10*(G1233-1))/10</f>
        <v>0.3</v>
      </c>
      <c r="I1233" s="20" t="n">
        <f aca="false">EXP(LN(INDEX(Pop_Inputs!$B$2:$N$29,MATCH(C1233,Pop_Inputs!$A$2:$A$29,0),G1233))*(1-H1233)+LN(INDEX(Pop_Inputs!$B$2:$N$29,MATCH(C1233,Pop_Inputs!$A$2:$A$29,0),G1233+1))*H1233)</f>
        <v>746181.838009913</v>
      </c>
      <c r="J1233" s="20" t="n">
        <f aca="false">I1233/F1233</f>
        <v>746181.838009913</v>
      </c>
      <c r="K1233" s="21" t="n">
        <f aca="false">D1233/(D1233+E1233)</f>
        <v>0.37037037037037</v>
      </c>
      <c r="L1233" s="21" t="n">
        <f aca="false">AVERAGEIFS($K$2:$K$2705,$B$2:$B$2705,B1233)</f>
        <v>0.500012780206017</v>
      </c>
      <c r="M1233" s="21" t="n">
        <f aca="false">K1233-L1233</f>
        <v>-0.129642409835647</v>
      </c>
      <c r="N1233" s="21" t="n">
        <f aca="false">LN(J1233)</f>
        <v>13.5227246001671</v>
      </c>
      <c r="O1233" s="21" t="n">
        <f aca="false">AVERAGEIFS($N$2:$N$2705,$B$2:$B$2705,B1233)</f>
        <v>13.7361237047695</v>
      </c>
      <c r="P1233" s="21" t="n">
        <f aca="false">N1233-O1233</f>
        <v>-0.213399104602413</v>
      </c>
      <c r="Q1233" s="7" t="n">
        <v>1</v>
      </c>
      <c r="R1233" s="3" t="n">
        <f aca="false">IF(AND(Q1233=1,B1233-_xlfn.MINIFS($B$2:$B$2705,$A$2:$A$2705,A1233)&lt;10),1,0)</f>
        <v>1</v>
      </c>
      <c r="S1233" s="7" t="n">
        <v>0</v>
      </c>
      <c r="T1233" s="3" t="n">
        <f aca="false">_xlfn.MINIFS($B$2:$B$2705,$A$2:$A$2705,A1233)</f>
        <v>1969</v>
      </c>
      <c r="U1233" s="3" t="n">
        <f aca="false">B1233-T1233</f>
        <v>4</v>
      </c>
      <c r="V1233" s="3" t="str">
        <f aca="false">INDEX(Pop_Inputs!$Q$2:$Q$29,MATCH(C1233,Pop_Inputs!$A$2:$A$29,0))</f>
        <v>West</v>
      </c>
      <c r="W1233" s="30"/>
      <c r="X1233" s="3" t="str">
        <f aca="false">IF(W1233="","",LN(W1233))</f>
        <v/>
      </c>
      <c r="Y1233" s="3" t="str">
        <f aca="false">IF(X1233="","",X1233-AVERAGEIFS($X$2:$X$2705,$B$2:$B$2705,B1233))</f>
        <v/>
      </c>
      <c r="Z1233" s="21" t="n">
        <f aca="false">P1233</f>
        <v>-0.213399104602413</v>
      </c>
      <c r="AA1233" s="3" t="n">
        <f aca="false">R1233</f>
        <v>1</v>
      </c>
      <c r="AB1233" s="21" t="n">
        <f aca="false">P1233</f>
        <v>-0.213399104602413</v>
      </c>
      <c r="AC1233" s="3" t="str">
        <f aca="false">Y1233</f>
        <v/>
      </c>
      <c r="AD1233" s="3" t="n">
        <f aca="false">R1233</f>
        <v>1</v>
      </c>
    </row>
    <row r="1234" customFormat="false" ht="15" hidden="false" customHeight="true" outlineLevel="0" collapsed="false">
      <c r="A1234" s="7" t="s">
        <v>61</v>
      </c>
      <c r="B1234" s="7" t="n">
        <v>1973</v>
      </c>
      <c r="C1234" s="7" t="s">
        <v>147</v>
      </c>
      <c r="D1234" s="7" t="n">
        <v>88</v>
      </c>
      <c r="E1234" s="7" t="n">
        <v>74</v>
      </c>
      <c r="F1234" s="3" t="n">
        <f aca="false">COUNTIFS($B$2:$B$2705,B1234,$C$2:$C$2705,C1234)</f>
        <v>1</v>
      </c>
      <c r="G1234" s="3" t="n">
        <f aca="false">MIN(INT((MIN(B1234,2020)-1900)/10)+1,12)</f>
        <v>8</v>
      </c>
      <c r="H1234" s="3" t="n">
        <f aca="false">(MIN(B1234,2020)-1900-10*(G1234-1))/10</f>
        <v>0.3</v>
      </c>
      <c r="I1234" s="20" t="n">
        <f aca="false">EXP(LN(INDEX(Pop_Inputs!$B$2:$N$29,MATCH(C1234,Pop_Inputs!$A$2:$A$29,0),G1234))*(1-H1234)+LN(INDEX(Pop_Inputs!$B$2:$N$29,MATCH(C1234,Pop_Inputs!$A$2:$A$29,0),G1234+1))*H1234)</f>
        <v>704460.442334711</v>
      </c>
      <c r="J1234" s="20" t="n">
        <f aca="false">I1234/F1234</f>
        <v>704460.442334711</v>
      </c>
      <c r="K1234" s="21" t="n">
        <f aca="false">D1234/(D1234+E1234)</f>
        <v>0.54320987654321</v>
      </c>
      <c r="L1234" s="21" t="n">
        <f aca="false">AVERAGEIFS($K$2:$K$2705,$B$2:$B$2705,B1234)</f>
        <v>0.500012780206017</v>
      </c>
      <c r="M1234" s="21" t="n">
        <f aca="false">K1234-L1234</f>
        <v>0.0431970963371929</v>
      </c>
      <c r="N1234" s="21" t="n">
        <f aca="false">LN(J1234)</f>
        <v>13.4651874587582</v>
      </c>
      <c r="O1234" s="21" t="n">
        <f aca="false">AVERAGEIFS($N$2:$N$2705,$B$2:$B$2705,B1234)</f>
        <v>13.7361237047695</v>
      </c>
      <c r="P1234" s="21" t="n">
        <f aca="false">N1234-O1234</f>
        <v>-0.270936246011281</v>
      </c>
      <c r="Q1234" s="7" t="n">
        <v>0</v>
      </c>
      <c r="R1234" s="3" t="n">
        <f aca="false">IF(AND(Q1234=1,B1234-_xlfn.MINIFS($B$2:$B$2705,$A$2:$A$2705,A1234)&lt;10),1,0)</f>
        <v>0</v>
      </c>
      <c r="S1234" s="7" t="n">
        <v>0</v>
      </c>
      <c r="T1234" s="3" t="n">
        <f aca="false">_xlfn.MINIFS($B$2:$B$2705,$A$2:$A$2705,A1234)</f>
        <v>1901</v>
      </c>
      <c r="U1234" s="3" t="n">
        <f aca="false">B1234-T1234</f>
        <v>72</v>
      </c>
      <c r="V1234" s="3" t="str">
        <f aca="false">INDEX(Pop_Inputs!$Q$2:$Q$29,MATCH(C1234,Pop_Inputs!$A$2:$A$29,0))</f>
        <v>West</v>
      </c>
      <c r="W1234" s="30"/>
      <c r="X1234" s="3" t="str">
        <f aca="false">IF(W1234="","",LN(W1234))</f>
        <v/>
      </c>
      <c r="Y1234" s="3" t="str">
        <f aca="false">IF(X1234="","",X1234-AVERAGEIFS($X$2:$X$2705,$B$2:$B$2705,B1234))</f>
        <v/>
      </c>
      <c r="Z1234" s="21" t="n">
        <f aca="false">P1234</f>
        <v>-0.270936246011281</v>
      </c>
      <c r="AA1234" s="3" t="n">
        <f aca="false">R1234</f>
        <v>0</v>
      </c>
      <c r="AB1234" s="21" t="n">
        <f aca="false">P1234</f>
        <v>-0.270936246011281</v>
      </c>
      <c r="AC1234" s="3" t="str">
        <f aca="false">Y1234</f>
        <v/>
      </c>
      <c r="AD1234" s="3" t="n">
        <f aca="false">R1234</f>
        <v>0</v>
      </c>
    </row>
    <row r="1235" customFormat="false" ht="15" hidden="false" customHeight="true" outlineLevel="0" collapsed="false">
      <c r="A1235" s="7" t="s">
        <v>59</v>
      </c>
      <c r="B1235" s="7" t="n">
        <v>1973</v>
      </c>
      <c r="C1235" s="7" t="s">
        <v>145</v>
      </c>
      <c r="D1235" s="7" t="n">
        <v>81</v>
      </c>
      <c r="E1235" s="7" t="n">
        <v>81</v>
      </c>
      <c r="F1235" s="3" t="n">
        <f aca="false">COUNTIFS($B$2:$B$2705,B1235,$C$2:$C$2705,C1235)</f>
        <v>1</v>
      </c>
      <c r="G1235" s="3" t="n">
        <f aca="false">MIN(INT((MIN(B1235,2020)-1900)/10)+1,12)</f>
        <v>8</v>
      </c>
      <c r="H1235" s="3" t="n">
        <f aca="false">(MIN(B1235,2020)-1900-10*(G1235-1))/10</f>
        <v>0.3</v>
      </c>
      <c r="I1235" s="20" t="n">
        <f aca="false">EXP(LN(INDEX(Pop_Inputs!$B$2:$N$29,MATCH(C1235,Pop_Inputs!$A$2:$A$29,0),G1235))*(1-H1235)+LN(INDEX(Pop_Inputs!$B$2:$N$29,MATCH(C1235,Pop_Inputs!$A$2:$A$29,0),G1235+1))*H1235)</f>
        <v>566016.871750689</v>
      </c>
      <c r="J1235" s="20" t="n">
        <f aca="false">I1235/F1235</f>
        <v>566016.871750689</v>
      </c>
      <c r="K1235" s="21" t="n">
        <f aca="false">D1235/(D1235+E1235)</f>
        <v>0.5</v>
      </c>
      <c r="L1235" s="21" t="n">
        <f aca="false">AVERAGEIFS($K$2:$K$2705,$B$2:$B$2705,B1235)</f>
        <v>0.500012780206017</v>
      </c>
      <c r="M1235" s="21" t="n">
        <f aca="false">K1235-L1235</f>
        <v>-1.27802060169158E-005</v>
      </c>
      <c r="N1235" s="21" t="n">
        <f aca="false">LN(J1235)</f>
        <v>13.2463791654878</v>
      </c>
      <c r="O1235" s="21" t="n">
        <f aca="false">AVERAGEIFS($N$2:$N$2705,$B$2:$B$2705,B1235)</f>
        <v>13.7361237047695</v>
      </c>
      <c r="P1235" s="21" t="n">
        <f aca="false">N1235-O1235</f>
        <v>-0.48974453928162</v>
      </c>
      <c r="Q1235" s="7" t="n">
        <v>0</v>
      </c>
      <c r="R1235" s="3" t="n">
        <f aca="false">IF(AND(Q1235=1,B1235-_xlfn.MINIFS($B$2:$B$2705,$A$2:$A$2705,A1235)&lt;10),1,0)</f>
        <v>0</v>
      </c>
      <c r="S1235" s="7" t="n">
        <v>0</v>
      </c>
      <c r="T1235" s="3" t="n">
        <f aca="false">_xlfn.MINIFS($B$2:$B$2705,$A$2:$A$2705,A1235)</f>
        <v>1901</v>
      </c>
      <c r="U1235" s="3" t="n">
        <f aca="false">B1235-T1235</f>
        <v>72</v>
      </c>
      <c r="V1235" s="3" t="str">
        <f aca="false">INDEX(Pop_Inputs!$Q$2:$Q$29,MATCH(C1235,Pop_Inputs!$A$2:$A$29,0))</f>
        <v>Midwest</v>
      </c>
      <c r="W1235" s="30"/>
      <c r="X1235" s="3" t="str">
        <f aca="false">IF(W1235="","",LN(W1235))</f>
        <v/>
      </c>
      <c r="Y1235" s="3" t="str">
        <f aca="false">IF(X1235="","",X1235-AVERAGEIFS($X$2:$X$2705,$B$2:$B$2705,B1235))</f>
        <v/>
      </c>
      <c r="Z1235" s="21" t="n">
        <f aca="false">P1235</f>
        <v>-0.48974453928162</v>
      </c>
      <c r="AA1235" s="3" t="n">
        <f aca="false">R1235</f>
        <v>0</v>
      </c>
      <c r="AB1235" s="21" t="n">
        <f aca="false">P1235</f>
        <v>-0.48974453928162</v>
      </c>
      <c r="AC1235" s="3" t="str">
        <f aca="false">Y1235</f>
        <v/>
      </c>
      <c r="AD1235" s="3" t="n">
        <f aca="false">R1235</f>
        <v>0</v>
      </c>
    </row>
    <row r="1236" customFormat="false" ht="15" hidden="false" customHeight="true" outlineLevel="0" collapsed="false">
      <c r="A1236" s="7" t="s">
        <v>73</v>
      </c>
      <c r="B1236" s="7" t="n">
        <v>1973</v>
      </c>
      <c r="C1236" s="7" t="s">
        <v>155</v>
      </c>
      <c r="D1236" s="7" t="n">
        <v>57</v>
      </c>
      <c r="E1236" s="7" t="n">
        <v>105</v>
      </c>
      <c r="F1236" s="3" t="n">
        <f aca="false">COUNTIFS($B$2:$B$2705,B1236,$C$2:$C$2705,C1236)</f>
        <v>1</v>
      </c>
      <c r="G1236" s="3" t="n">
        <f aca="false">MIN(INT((MIN(B1236,2020)-1900)/10)+1,12)</f>
        <v>8</v>
      </c>
      <c r="H1236" s="3" t="n">
        <f aca="false">(MIN(B1236,2020)-1900-10*(G1236-1))/10</f>
        <v>0.3</v>
      </c>
      <c r="I1236" s="20" t="n">
        <f aca="false">EXP(LN(INDEX(Pop_Inputs!$B$2:$N$29,MATCH(C1236,Pop_Inputs!$A$2:$A$29,0),G1236))*(1-H1236)+LN(INDEX(Pop_Inputs!$B$2:$N$29,MATCH(C1236,Pop_Inputs!$A$2:$A$29,0),G1236+1))*H1236)</f>
        <v>861878.183411529</v>
      </c>
      <c r="J1236" s="20" t="n">
        <f aca="false">I1236/F1236</f>
        <v>861878.183411529</v>
      </c>
      <c r="K1236" s="21" t="n">
        <f aca="false">D1236/(D1236+E1236)</f>
        <v>0.351851851851852</v>
      </c>
      <c r="L1236" s="21" t="n">
        <f aca="false">AVERAGEIFS($K$2:$K$2705,$B$2:$B$2705,B1236)</f>
        <v>0.500012780206017</v>
      </c>
      <c r="M1236" s="21" t="n">
        <f aca="false">K1236-L1236</f>
        <v>-0.148160928354165</v>
      </c>
      <c r="N1236" s="21" t="n">
        <f aca="false">LN(J1236)</f>
        <v>13.6668692211113</v>
      </c>
      <c r="O1236" s="21" t="n">
        <f aca="false">AVERAGEIFS($N$2:$N$2705,$B$2:$B$2705,B1236)</f>
        <v>13.7361237047695</v>
      </c>
      <c r="P1236" s="21" t="n">
        <f aca="false">N1236-O1236</f>
        <v>-0.0692544836581561</v>
      </c>
      <c r="Q1236" s="7" t="n">
        <v>1</v>
      </c>
      <c r="R1236" s="3" t="n">
        <f aca="false">IF(AND(Q1236=1,B1236-_xlfn.MINIFS($B$2:$B$2705,$A$2:$A$2705,A1236)&lt;10),1,0)</f>
        <v>0</v>
      </c>
      <c r="S1236" s="7" t="n">
        <v>0</v>
      </c>
      <c r="T1236" s="3" t="n">
        <f aca="false">_xlfn.MINIFS($B$2:$B$2705,$A$2:$A$2705,A1236)</f>
        <v>1961</v>
      </c>
      <c r="U1236" s="3" t="n">
        <f aca="false">B1236-T1236</f>
        <v>12</v>
      </c>
      <c r="V1236" s="3" t="str">
        <f aca="false">INDEX(Pop_Inputs!$Q$2:$Q$29,MATCH(C1236,Pop_Inputs!$A$2:$A$29,0))</f>
        <v>South</v>
      </c>
      <c r="W1236" s="30"/>
      <c r="X1236" s="3" t="str">
        <f aca="false">IF(W1236="","",LN(W1236))</f>
        <v/>
      </c>
      <c r="Y1236" s="3" t="str">
        <f aca="false">IF(X1236="","",X1236-AVERAGEIFS($X$2:$X$2705,$B$2:$B$2705,B1236))</f>
        <v/>
      </c>
      <c r="Z1236" s="21" t="n">
        <f aca="false">P1236</f>
        <v>-0.0692544836581561</v>
      </c>
      <c r="AA1236" s="3" t="n">
        <f aca="false">R1236</f>
        <v>0</v>
      </c>
      <c r="AB1236" s="21" t="n">
        <f aca="false">P1236</f>
        <v>-0.0692544836581561</v>
      </c>
      <c r="AC1236" s="3" t="str">
        <f aca="false">Y1236</f>
        <v/>
      </c>
      <c r="AD1236" s="3" t="n">
        <f aca="false">R1236</f>
        <v>0</v>
      </c>
    </row>
    <row r="1237" customFormat="false" ht="15" hidden="false" customHeight="true" outlineLevel="0" collapsed="false">
      <c r="A1237" s="7" t="s">
        <v>79</v>
      </c>
      <c r="B1237" s="7" t="n">
        <v>1973</v>
      </c>
      <c r="C1237" s="7" t="s">
        <v>254</v>
      </c>
      <c r="D1237" s="7" t="n">
        <v>79</v>
      </c>
      <c r="E1237" s="7" t="n">
        <v>83</v>
      </c>
      <c r="F1237" s="3" t="n">
        <f aca="false">COUNTIFS($B$2:$B$2705,B1237,$C$2:$C$2705,C1237)</f>
        <v>1</v>
      </c>
      <c r="G1237" s="3" t="n">
        <f aca="false">MIN(INT((MIN(B1237,2020)-1900)/10)+1,12)</f>
        <v>8</v>
      </c>
      <c r="H1237" s="3" t="n">
        <f aca="false">(MIN(B1237,2020)-1900-10*(G1237-1))/10</f>
        <v>0.3</v>
      </c>
      <c r="I1237" s="20" t="n">
        <f aca="false">EXP(LN(INDEX(Pop_Inputs!$B$2:$N$29,MATCH(C1237,Pop_Inputs!$A$2:$A$29,0),G1237))*(1-H1237)+LN(INDEX(Pop_Inputs!$B$2:$N$29,MATCH(C1237,Pop_Inputs!$A$2:$A$29,0),G1237+1))*H1237)</f>
        <v>1138822.63956065</v>
      </c>
      <c r="J1237" s="20" t="n">
        <f aca="false">I1237/F1237</f>
        <v>1138822.63956065</v>
      </c>
      <c r="K1237" s="21" t="n">
        <f aca="false">D1237/(D1237+E1237)</f>
        <v>0.487654320987654</v>
      </c>
      <c r="L1237" s="21" t="n">
        <f aca="false">AVERAGEIFS($K$2:$K$2705,$B$2:$B$2705,B1237)</f>
        <v>0.500012780206017</v>
      </c>
      <c r="M1237" s="21" t="n">
        <f aca="false">K1237-L1237</f>
        <v>-0.0123584592183626</v>
      </c>
      <c r="N1237" s="21" t="n">
        <f aca="false">LN(J1237)</f>
        <v>13.9455055143787</v>
      </c>
      <c r="O1237" s="21" t="n">
        <f aca="false">AVERAGEIFS($N$2:$N$2705,$B$2:$B$2705,B1237)</f>
        <v>13.7361237047695</v>
      </c>
      <c r="P1237" s="21" t="n">
        <f aca="false">N1237-O1237</f>
        <v>0.209381809609187</v>
      </c>
      <c r="Q1237" s="7" t="n">
        <v>1</v>
      </c>
      <c r="R1237" s="3" t="n">
        <f aca="false">IF(AND(Q1237=1,B1237-_xlfn.MINIFS($B$2:$B$2705,$A$2:$A$2705,A1237)&lt;10),1,0)</f>
        <v>1</v>
      </c>
      <c r="S1237" s="7" t="n">
        <v>0</v>
      </c>
      <c r="T1237" s="3" t="n">
        <f aca="false">_xlfn.MINIFS($B$2:$B$2705,$A$2:$A$2705,A1237)</f>
        <v>1969</v>
      </c>
      <c r="U1237" s="3" t="n">
        <f aca="false">B1237-T1237</f>
        <v>4</v>
      </c>
      <c r="V1237" s="3" t="str">
        <f aca="false">INDEX(Pop_Inputs!$Q$2:$Q$29,MATCH(C1237,Pop_Inputs!$A$2:$A$29,0))</f>
        <v>Canada</v>
      </c>
      <c r="W1237" s="30"/>
      <c r="X1237" s="3" t="str">
        <f aca="false">IF(W1237="","",LN(W1237))</f>
        <v/>
      </c>
      <c r="Y1237" s="3" t="str">
        <f aca="false">IF(X1237="","",X1237-AVERAGEIFS($X$2:$X$2705,$B$2:$B$2705,B1237))</f>
        <v/>
      </c>
      <c r="Z1237" s="21" t="n">
        <f aca="false">P1237</f>
        <v>0.209381809609187</v>
      </c>
      <c r="AA1237" s="3" t="n">
        <f aca="false">R1237</f>
        <v>1</v>
      </c>
      <c r="AB1237" s="21" t="n">
        <f aca="false">P1237</f>
        <v>0.209381809609187</v>
      </c>
      <c r="AC1237" s="3" t="str">
        <f aca="false">Y1237</f>
        <v/>
      </c>
      <c r="AD1237" s="3" t="n">
        <f aca="false">R1237</f>
        <v>1</v>
      </c>
    </row>
    <row r="1238" customFormat="false" ht="15" hidden="false" customHeight="true" outlineLevel="0" collapsed="false">
      <c r="A1238" s="7" t="s">
        <v>71</v>
      </c>
      <c r="B1238" s="7" t="n">
        <v>1974</v>
      </c>
      <c r="C1238" s="7" t="s">
        <v>148</v>
      </c>
      <c r="D1238" s="7" t="n">
        <v>68</v>
      </c>
      <c r="E1238" s="7" t="n">
        <v>94</v>
      </c>
      <c r="F1238" s="3" t="n">
        <f aca="false">COUNTIFS($B$2:$B$2705,B1238,$C$2:$C$2705,C1238)</f>
        <v>2</v>
      </c>
      <c r="G1238" s="3" t="n">
        <f aca="false">MIN(INT((MIN(B1238,2020)-1900)/10)+1,12)</f>
        <v>8</v>
      </c>
      <c r="H1238" s="3" t="n">
        <f aca="false">(MIN(B1238,2020)-1900-10*(G1238-1))/10</f>
        <v>0.4</v>
      </c>
      <c r="I1238" s="20" t="n">
        <f aca="false">EXP(LN(INDEX(Pop_Inputs!$B$2:$N$29,MATCH(C1238,Pop_Inputs!$A$2:$A$29,0),G1238))*(1-H1238)+LN(INDEX(Pop_Inputs!$B$2:$N$29,MATCH(C1238,Pop_Inputs!$A$2:$A$29,0),G1238+1))*H1238)</f>
        <v>2875434.44334276</v>
      </c>
      <c r="J1238" s="20" t="n">
        <f aca="false">I1238/F1238</f>
        <v>1437717.22167138</v>
      </c>
      <c r="K1238" s="21" t="n">
        <f aca="false">D1238/(D1238+E1238)</f>
        <v>0.419753086419753</v>
      </c>
      <c r="L1238" s="21" t="n">
        <f aca="false">AVERAGEIFS($K$2:$K$2705,$B$2:$B$2705,B1238)</f>
        <v>0.500019250185313</v>
      </c>
      <c r="M1238" s="21" t="n">
        <f aca="false">K1238-L1238</f>
        <v>-0.08026616376556</v>
      </c>
      <c r="N1238" s="21" t="n">
        <f aca="false">LN(J1238)</f>
        <v>14.1785671509655</v>
      </c>
      <c r="O1238" s="21" t="n">
        <f aca="false">AVERAGEIFS($N$2:$N$2705,$B$2:$B$2705,B1238)</f>
        <v>13.72668901903</v>
      </c>
      <c r="P1238" s="21" t="n">
        <f aca="false">N1238-O1238</f>
        <v>0.451878131935445</v>
      </c>
      <c r="Q1238" s="7" t="n">
        <v>1</v>
      </c>
      <c r="R1238" s="3" t="n">
        <f aca="false">IF(AND(Q1238=1,B1238-_xlfn.MINIFS($B$2:$B$2705,$A$2:$A$2705,A1238)&lt;10),1,0)</f>
        <v>0</v>
      </c>
      <c r="S1238" s="7" t="n">
        <v>0</v>
      </c>
      <c r="T1238" s="3" t="n">
        <f aca="false">_xlfn.MINIFS($B$2:$B$2705,$A$2:$A$2705,A1238)</f>
        <v>1961</v>
      </c>
      <c r="U1238" s="3" t="n">
        <f aca="false">B1238-T1238</f>
        <v>13</v>
      </c>
      <c r="V1238" s="3" t="str">
        <f aca="false">INDEX(Pop_Inputs!$Q$2:$Q$29,MATCH(C1238,Pop_Inputs!$A$2:$A$29,0))</f>
        <v>West</v>
      </c>
      <c r="W1238" s="30"/>
      <c r="X1238" s="3" t="str">
        <f aca="false">IF(W1238="","",LN(W1238))</f>
        <v/>
      </c>
      <c r="Y1238" s="3" t="str">
        <f aca="false">IF(X1238="","",X1238-AVERAGEIFS($X$2:$X$2705,$B$2:$B$2705,B1238))</f>
        <v/>
      </c>
      <c r="Z1238" s="21" t="n">
        <f aca="false">P1238</f>
        <v>0.451878131935445</v>
      </c>
      <c r="AA1238" s="3" t="n">
        <f aca="false">R1238</f>
        <v>0</v>
      </c>
      <c r="AB1238" s="21" t="n">
        <f aca="false">P1238</f>
        <v>0.451878131935445</v>
      </c>
      <c r="AC1238" s="3" t="str">
        <f aca="false">Y1238</f>
        <v/>
      </c>
      <c r="AD1238" s="3" t="n">
        <f aca="false">R1238</f>
        <v>0</v>
      </c>
    </row>
    <row r="1239" customFormat="false" ht="15" hidden="false" customHeight="true" outlineLevel="0" collapsed="false">
      <c r="A1239" s="7" t="s">
        <v>54</v>
      </c>
      <c r="B1239" s="7" t="n">
        <v>1974</v>
      </c>
      <c r="C1239" s="7" t="s">
        <v>141</v>
      </c>
      <c r="D1239" s="7" t="n">
        <v>88</v>
      </c>
      <c r="E1239" s="7" t="n">
        <v>74</v>
      </c>
      <c r="F1239" s="3" t="n">
        <f aca="false">COUNTIFS($B$2:$B$2705,B1239,$C$2:$C$2705,C1239)</f>
        <v>1</v>
      </c>
      <c r="G1239" s="3" t="n">
        <f aca="false">MIN(INT((MIN(B1239,2020)-1900)/10)+1,12)</f>
        <v>8</v>
      </c>
      <c r="H1239" s="3" t="n">
        <f aca="false">(MIN(B1239,2020)-1900-10*(G1239-1))/10</f>
        <v>0.4</v>
      </c>
      <c r="I1239" s="20" t="n">
        <f aca="false">EXP(LN(INDEX(Pop_Inputs!$B$2:$N$29,MATCH(C1239,Pop_Inputs!$A$2:$A$29,0),G1239))*(1-H1239)+LN(INDEX(Pop_Inputs!$B$2:$N$29,MATCH(C1239,Pop_Inputs!$A$2:$A$29,0),G1239+1))*H1239)</f>
        <v>465745.012701578</v>
      </c>
      <c r="J1239" s="20" t="n">
        <f aca="false">I1239/F1239</f>
        <v>465745.012701578</v>
      </c>
      <c r="K1239" s="21" t="n">
        <f aca="false">D1239/(D1239+E1239)</f>
        <v>0.54320987654321</v>
      </c>
      <c r="L1239" s="21" t="n">
        <f aca="false">AVERAGEIFS($K$2:$K$2705,$B$2:$B$2705,B1239)</f>
        <v>0.500019250185313</v>
      </c>
      <c r="M1239" s="21" t="n">
        <f aca="false">K1239-L1239</f>
        <v>0.0431906263578968</v>
      </c>
      <c r="N1239" s="21" t="n">
        <f aca="false">LN(J1239)</f>
        <v>13.0513935803047</v>
      </c>
      <c r="O1239" s="21" t="n">
        <f aca="false">AVERAGEIFS($N$2:$N$2705,$B$2:$B$2705,B1239)</f>
        <v>13.72668901903</v>
      </c>
      <c r="P1239" s="21" t="n">
        <f aca="false">N1239-O1239</f>
        <v>-0.675295438725355</v>
      </c>
      <c r="Q1239" s="7" t="n">
        <v>0</v>
      </c>
      <c r="R1239" s="3" t="n">
        <f aca="false">IF(AND(Q1239=1,B1239-_xlfn.MINIFS($B$2:$B$2705,$A$2:$A$2705,A1239)&lt;10),1,0)</f>
        <v>0</v>
      </c>
      <c r="S1239" s="7" t="n">
        <v>0</v>
      </c>
      <c r="T1239" s="3" t="n">
        <f aca="false">_xlfn.MINIFS($B$2:$B$2705,$A$2:$A$2705,A1239)</f>
        <v>1901</v>
      </c>
      <c r="U1239" s="3" t="n">
        <f aca="false">B1239-T1239</f>
        <v>73</v>
      </c>
      <c r="V1239" s="3" t="str">
        <f aca="false">INDEX(Pop_Inputs!$Q$2:$Q$29,MATCH(C1239,Pop_Inputs!$A$2:$A$29,0))</f>
        <v>South</v>
      </c>
      <c r="W1239" s="30"/>
      <c r="X1239" s="3" t="str">
        <f aca="false">IF(W1239="","",LN(W1239))</f>
        <v/>
      </c>
      <c r="Y1239" s="3" t="str">
        <f aca="false">IF(X1239="","",X1239-AVERAGEIFS($X$2:$X$2705,$B$2:$B$2705,B1239))</f>
        <v/>
      </c>
      <c r="Z1239" s="21" t="n">
        <f aca="false">P1239</f>
        <v>-0.675295438725355</v>
      </c>
      <c r="AA1239" s="3" t="n">
        <f aca="false">R1239</f>
        <v>0</v>
      </c>
      <c r="AB1239" s="21" t="n">
        <f aca="false">P1239</f>
        <v>-0.675295438725355</v>
      </c>
      <c r="AC1239" s="3" t="str">
        <f aca="false">Y1239</f>
        <v/>
      </c>
      <c r="AD1239" s="3" t="n">
        <f aca="false">R1239</f>
        <v>0</v>
      </c>
    </row>
    <row r="1240" customFormat="false" ht="15" hidden="false" customHeight="true" outlineLevel="0" collapsed="false">
      <c r="A1240" s="7" t="s">
        <v>63</v>
      </c>
      <c r="B1240" s="7" t="n">
        <v>1974</v>
      </c>
      <c r="C1240" s="7" t="s">
        <v>149</v>
      </c>
      <c r="D1240" s="7" t="n">
        <v>91</v>
      </c>
      <c r="E1240" s="7" t="n">
        <v>71</v>
      </c>
      <c r="F1240" s="3" t="n">
        <f aca="false">COUNTIFS($B$2:$B$2705,B1240,$C$2:$C$2705,C1240)</f>
        <v>1</v>
      </c>
      <c r="G1240" s="3" t="n">
        <f aca="false">MIN(INT((MIN(B1240,2020)-1900)/10)+1,12)</f>
        <v>8</v>
      </c>
      <c r="H1240" s="3" t="n">
        <f aca="false">(MIN(B1240,2020)-1900-10*(G1240-1))/10</f>
        <v>0.4</v>
      </c>
      <c r="I1240" s="20" t="n">
        <f aca="false">EXP(LN(INDEX(Pop_Inputs!$B$2:$N$29,MATCH(C1240,Pop_Inputs!$A$2:$A$29,0),G1240))*(1-H1240)+LN(INDEX(Pop_Inputs!$B$2:$N$29,MATCH(C1240,Pop_Inputs!$A$2:$A$29,0),G1240+1))*H1240)</f>
        <v>856145.967546718</v>
      </c>
      <c r="J1240" s="20" t="n">
        <f aca="false">I1240/F1240</f>
        <v>856145.967546718</v>
      </c>
      <c r="K1240" s="21" t="n">
        <f aca="false">D1240/(D1240+E1240)</f>
        <v>0.561728395061728</v>
      </c>
      <c r="L1240" s="21" t="n">
        <f aca="false">AVERAGEIFS($K$2:$K$2705,$B$2:$B$2705,B1240)</f>
        <v>0.500019250185313</v>
      </c>
      <c r="M1240" s="21" t="n">
        <f aca="false">K1240-L1240</f>
        <v>0.0617091448764154</v>
      </c>
      <c r="N1240" s="21" t="n">
        <f aca="false">LN(J1240)</f>
        <v>13.6601961634215</v>
      </c>
      <c r="O1240" s="21" t="n">
        <f aca="false">AVERAGEIFS($N$2:$N$2705,$B$2:$B$2705,B1240)</f>
        <v>13.72668901903</v>
      </c>
      <c r="P1240" s="21" t="n">
        <f aca="false">N1240-O1240</f>
        <v>-0.0664928556085744</v>
      </c>
      <c r="Q1240" s="7" t="n">
        <v>0</v>
      </c>
      <c r="R1240" s="3" t="n">
        <f aca="false">IF(AND(Q1240=1,B1240-_xlfn.MINIFS($B$2:$B$2705,$A$2:$A$2705,A1240)&lt;10),1,0)</f>
        <v>0</v>
      </c>
      <c r="S1240" s="7" t="n">
        <v>0</v>
      </c>
      <c r="T1240" s="3" t="n">
        <f aca="false">_xlfn.MINIFS($B$2:$B$2705,$A$2:$A$2705,A1240)</f>
        <v>1901</v>
      </c>
      <c r="U1240" s="3" t="n">
        <f aca="false">B1240-T1240</f>
        <v>73</v>
      </c>
      <c r="V1240" s="3" t="str">
        <f aca="false">INDEX(Pop_Inputs!$Q$2:$Q$29,MATCH(C1240,Pop_Inputs!$A$2:$A$29,0))</f>
        <v>South</v>
      </c>
      <c r="W1240" s="30"/>
      <c r="X1240" s="3" t="str">
        <f aca="false">IF(W1240="","",LN(W1240))</f>
        <v/>
      </c>
      <c r="Y1240" s="3" t="str">
        <f aca="false">IF(X1240="","",X1240-AVERAGEIFS($X$2:$X$2705,$B$2:$B$2705,B1240))</f>
        <v/>
      </c>
      <c r="Z1240" s="21" t="n">
        <f aca="false">P1240</f>
        <v>-0.0664928556085744</v>
      </c>
      <c r="AA1240" s="3" t="n">
        <f aca="false">R1240</f>
        <v>0</v>
      </c>
      <c r="AB1240" s="21" t="n">
        <f aca="false">P1240</f>
        <v>-0.0664928556085744</v>
      </c>
      <c r="AC1240" s="3" t="str">
        <f aca="false">Y1240</f>
        <v/>
      </c>
      <c r="AD1240" s="3" t="n">
        <f aca="false">R1240</f>
        <v>0</v>
      </c>
    </row>
    <row r="1241" customFormat="false" ht="15" hidden="false" customHeight="true" outlineLevel="0" collapsed="false">
      <c r="A1241" s="7" t="s">
        <v>64</v>
      </c>
      <c r="B1241" s="7" t="n">
        <v>1974</v>
      </c>
      <c r="C1241" s="7" t="s">
        <v>150</v>
      </c>
      <c r="D1241" s="7" t="n">
        <v>84</v>
      </c>
      <c r="E1241" s="7" t="n">
        <v>78</v>
      </c>
      <c r="F1241" s="3" t="n">
        <f aca="false">COUNTIFS($B$2:$B$2705,B1241,$C$2:$C$2705,C1241)</f>
        <v>1</v>
      </c>
      <c r="G1241" s="3" t="n">
        <f aca="false">MIN(INT((MIN(B1241,2020)-1900)/10)+1,12)</f>
        <v>8</v>
      </c>
      <c r="H1241" s="3" t="n">
        <f aca="false">(MIN(B1241,2020)-1900-10*(G1241-1))/10</f>
        <v>0.4</v>
      </c>
      <c r="I1241" s="20" t="n">
        <f aca="false">EXP(LN(INDEX(Pop_Inputs!$B$2:$N$29,MATCH(C1241,Pop_Inputs!$A$2:$A$29,0),G1241))*(1-H1241)+LN(INDEX(Pop_Inputs!$B$2:$N$29,MATCH(C1241,Pop_Inputs!$A$2:$A$29,0),G1241+1))*H1241)</f>
        <v>608618.550424852</v>
      </c>
      <c r="J1241" s="20" t="n">
        <f aca="false">I1241/F1241</f>
        <v>608618.550424852</v>
      </c>
      <c r="K1241" s="21" t="n">
        <f aca="false">D1241/(D1241+E1241)</f>
        <v>0.518518518518519</v>
      </c>
      <c r="L1241" s="21" t="n">
        <f aca="false">AVERAGEIFS($K$2:$K$2705,$B$2:$B$2705,B1241)</f>
        <v>0.500019250185313</v>
      </c>
      <c r="M1241" s="21" t="n">
        <f aca="false">K1241-L1241</f>
        <v>0.0184992683332055</v>
      </c>
      <c r="N1241" s="21" t="n">
        <f aca="false">LN(J1241)</f>
        <v>13.3189469964682</v>
      </c>
      <c r="O1241" s="21" t="n">
        <f aca="false">AVERAGEIFS($N$2:$N$2705,$B$2:$B$2705,B1241)</f>
        <v>13.72668901903</v>
      </c>
      <c r="P1241" s="21" t="n">
        <f aca="false">N1241-O1241</f>
        <v>-0.40774202256179</v>
      </c>
      <c r="Q1241" s="7" t="n">
        <v>0</v>
      </c>
      <c r="R1241" s="3" t="n">
        <f aca="false">IF(AND(Q1241=1,B1241-_xlfn.MINIFS($B$2:$B$2705,$A$2:$A$2705,A1241)&lt;10),1,0)</f>
        <v>0</v>
      </c>
      <c r="S1241" s="7" t="n">
        <v>0</v>
      </c>
      <c r="T1241" s="3" t="n">
        <f aca="false">_xlfn.MINIFS($B$2:$B$2705,$A$2:$A$2705,A1241)</f>
        <v>1901</v>
      </c>
      <c r="U1241" s="3" t="n">
        <f aca="false">B1241-T1241</f>
        <v>73</v>
      </c>
      <c r="V1241" s="3" t="str">
        <f aca="false">INDEX(Pop_Inputs!$Q$2:$Q$29,MATCH(C1241,Pop_Inputs!$A$2:$A$29,0))</f>
        <v>Northeast</v>
      </c>
      <c r="W1241" s="30"/>
      <c r="X1241" s="3" t="str">
        <f aca="false">IF(W1241="","",LN(W1241))</f>
        <v/>
      </c>
      <c r="Y1241" s="3" t="str">
        <f aca="false">IF(X1241="","",X1241-AVERAGEIFS($X$2:$X$2705,$B$2:$B$2705,B1241))</f>
        <v/>
      </c>
      <c r="Z1241" s="21" t="n">
        <f aca="false">P1241</f>
        <v>-0.40774202256179</v>
      </c>
      <c r="AA1241" s="3" t="n">
        <f aca="false">R1241</f>
        <v>0</v>
      </c>
      <c r="AB1241" s="21" t="n">
        <f aca="false">P1241</f>
        <v>-0.40774202256179</v>
      </c>
      <c r="AC1241" s="3" t="str">
        <f aca="false">Y1241</f>
        <v/>
      </c>
      <c r="AD1241" s="3" t="n">
        <f aca="false">R1241</f>
        <v>0</v>
      </c>
    </row>
    <row r="1242" customFormat="false" ht="15" hidden="false" customHeight="true" outlineLevel="0" collapsed="false">
      <c r="A1242" s="7" t="s">
        <v>56</v>
      </c>
      <c r="B1242" s="7" t="n">
        <v>1974</v>
      </c>
      <c r="C1242" s="7" t="s">
        <v>142</v>
      </c>
      <c r="D1242" s="7" t="n">
        <v>66</v>
      </c>
      <c r="E1242" s="7" t="n">
        <v>96</v>
      </c>
      <c r="F1242" s="3" t="n">
        <f aca="false">COUNTIFS($B$2:$B$2705,B1242,$C$2:$C$2705,C1242)</f>
        <v>2</v>
      </c>
      <c r="G1242" s="3" t="n">
        <f aca="false">MIN(INT((MIN(B1242,2020)-1900)/10)+1,12)</f>
        <v>8</v>
      </c>
      <c r="H1242" s="3" t="n">
        <f aca="false">(MIN(B1242,2020)-1900-10*(G1242-1))/10</f>
        <v>0.4</v>
      </c>
      <c r="I1242" s="20" t="n">
        <f aca="false">EXP(LN(INDEX(Pop_Inputs!$B$2:$N$29,MATCH(C1242,Pop_Inputs!$A$2:$A$29,0),G1242))*(1-H1242)+LN(INDEX(Pop_Inputs!$B$2:$N$29,MATCH(C1242,Pop_Inputs!$A$2:$A$29,0),G1242+1))*H1242)</f>
        <v>3217247.66802805</v>
      </c>
      <c r="J1242" s="20" t="n">
        <f aca="false">I1242/F1242</f>
        <v>1608623.83401402</v>
      </c>
      <c r="K1242" s="21" t="n">
        <f aca="false">D1242/(D1242+E1242)</f>
        <v>0.407407407407407</v>
      </c>
      <c r="L1242" s="21" t="n">
        <f aca="false">AVERAGEIFS($K$2:$K$2705,$B$2:$B$2705,B1242)</f>
        <v>0.500019250185313</v>
      </c>
      <c r="M1242" s="21" t="n">
        <f aca="false">K1242-L1242</f>
        <v>-0.0926118427779056</v>
      </c>
      <c r="N1242" s="21" t="n">
        <f aca="false">LN(J1242)</f>
        <v>14.2908896099618</v>
      </c>
      <c r="O1242" s="21" t="n">
        <f aca="false">AVERAGEIFS($N$2:$N$2705,$B$2:$B$2705,B1242)</f>
        <v>13.72668901903</v>
      </c>
      <c r="P1242" s="21" t="n">
        <f aca="false">N1242-O1242</f>
        <v>0.564200590931737</v>
      </c>
      <c r="Q1242" s="7" t="n">
        <v>0</v>
      </c>
      <c r="R1242" s="3" t="n">
        <f aca="false">IF(AND(Q1242=1,B1242-_xlfn.MINIFS($B$2:$B$2705,$A$2:$A$2705,A1242)&lt;10),1,0)</f>
        <v>0</v>
      </c>
      <c r="S1242" s="7" t="n">
        <v>0</v>
      </c>
      <c r="T1242" s="3" t="n">
        <f aca="false">_xlfn.MINIFS($B$2:$B$2705,$A$2:$A$2705,A1242)</f>
        <v>1901</v>
      </c>
      <c r="U1242" s="3" t="n">
        <f aca="false">B1242-T1242</f>
        <v>73</v>
      </c>
      <c r="V1242" s="3" t="str">
        <f aca="false">INDEX(Pop_Inputs!$Q$2:$Q$29,MATCH(C1242,Pop_Inputs!$A$2:$A$29,0))</f>
        <v>Midwest</v>
      </c>
      <c r="W1242" s="30"/>
      <c r="X1242" s="3" t="str">
        <f aca="false">IF(W1242="","",LN(W1242))</f>
        <v/>
      </c>
      <c r="Y1242" s="3" t="str">
        <f aca="false">IF(X1242="","",X1242-AVERAGEIFS($X$2:$X$2705,$B$2:$B$2705,B1242))</f>
        <v/>
      </c>
      <c r="Z1242" s="21" t="n">
        <f aca="false">P1242</f>
        <v>0.564200590931737</v>
      </c>
      <c r="AA1242" s="3" t="n">
        <f aca="false">R1242</f>
        <v>0</v>
      </c>
      <c r="AB1242" s="21" t="n">
        <f aca="false">P1242</f>
        <v>0.564200590931737</v>
      </c>
      <c r="AC1242" s="3" t="str">
        <f aca="false">Y1242</f>
        <v/>
      </c>
      <c r="AD1242" s="3" t="n">
        <f aca="false">R1242</f>
        <v>0</v>
      </c>
    </row>
    <row r="1243" customFormat="false" ht="15" hidden="false" customHeight="true" outlineLevel="0" collapsed="false">
      <c r="A1243" s="7" t="s">
        <v>65</v>
      </c>
      <c r="B1243" s="7" t="n">
        <v>1974</v>
      </c>
      <c r="C1243" s="7" t="s">
        <v>142</v>
      </c>
      <c r="D1243" s="7" t="n">
        <v>80</v>
      </c>
      <c r="E1243" s="7" t="n">
        <v>80</v>
      </c>
      <c r="F1243" s="3" t="n">
        <f aca="false">COUNTIFS($B$2:$B$2705,B1243,$C$2:$C$2705,C1243)</f>
        <v>2</v>
      </c>
      <c r="G1243" s="3" t="n">
        <f aca="false">MIN(INT((MIN(B1243,2020)-1900)/10)+1,12)</f>
        <v>8</v>
      </c>
      <c r="H1243" s="3" t="n">
        <f aca="false">(MIN(B1243,2020)-1900-10*(G1243-1))/10</f>
        <v>0.4</v>
      </c>
      <c r="I1243" s="20" t="n">
        <f aca="false">EXP(LN(INDEX(Pop_Inputs!$B$2:$N$29,MATCH(C1243,Pop_Inputs!$A$2:$A$29,0),G1243))*(1-H1243)+LN(INDEX(Pop_Inputs!$B$2:$N$29,MATCH(C1243,Pop_Inputs!$A$2:$A$29,0),G1243+1))*H1243)</f>
        <v>3217247.66802805</v>
      </c>
      <c r="J1243" s="20" t="n">
        <f aca="false">I1243/F1243</f>
        <v>1608623.83401402</v>
      </c>
      <c r="K1243" s="21" t="n">
        <f aca="false">D1243/(D1243+E1243)</f>
        <v>0.5</v>
      </c>
      <c r="L1243" s="21" t="n">
        <f aca="false">AVERAGEIFS($K$2:$K$2705,$B$2:$B$2705,B1243)</f>
        <v>0.500019250185313</v>
      </c>
      <c r="M1243" s="21" t="n">
        <f aca="false">K1243-L1243</f>
        <v>-1.92501853130134E-005</v>
      </c>
      <c r="N1243" s="21" t="n">
        <f aca="false">LN(J1243)</f>
        <v>14.2908896099618</v>
      </c>
      <c r="O1243" s="21" t="n">
        <f aca="false">AVERAGEIFS($N$2:$N$2705,$B$2:$B$2705,B1243)</f>
        <v>13.72668901903</v>
      </c>
      <c r="P1243" s="21" t="n">
        <f aca="false">N1243-O1243</f>
        <v>0.564200590931737</v>
      </c>
      <c r="Q1243" s="7" t="n">
        <v>0</v>
      </c>
      <c r="R1243" s="3" t="n">
        <f aca="false">IF(AND(Q1243=1,B1243-_xlfn.MINIFS($B$2:$B$2705,$A$2:$A$2705,A1243)&lt;10),1,0)</f>
        <v>0</v>
      </c>
      <c r="S1243" s="7" t="n">
        <v>0</v>
      </c>
      <c r="T1243" s="3" t="n">
        <f aca="false">_xlfn.MINIFS($B$2:$B$2705,$A$2:$A$2705,A1243)</f>
        <v>1901</v>
      </c>
      <c r="U1243" s="3" t="n">
        <f aca="false">B1243-T1243</f>
        <v>73</v>
      </c>
      <c r="V1243" s="3" t="str">
        <f aca="false">INDEX(Pop_Inputs!$Q$2:$Q$29,MATCH(C1243,Pop_Inputs!$A$2:$A$29,0))</f>
        <v>Midwest</v>
      </c>
      <c r="W1243" s="30"/>
      <c r="X1243" s="3" t="str">
        <f aca="false">IF(W1243="","",LN(W1243))</f>
        <v/>
      </c>
      <c r="Y1243" s="3" t="str">
        <f aca="false">IF(X1243="","",X1243-AVERAGEIFS($X$2:$X$2705,$B$2:$B$2705,B1243))</f>
        <v/>
      </c>
      <c r="Z1243" s="21" t="n">
        <f aca="false">P1243</f>
        <v>0.564200590931737</v>
      </c>
      <c r="AA1243" s="3" t="n">
        <f aca="false">R1243</f>
        <v>0</v>
      </c>
      <c r="AB1243" s="21" t="n">
        <f aca="false">P1243</f>
        <v>0.564200590931737</v>
      </c>
      <c r="AC1243" s="3" t="str">
        <f aca="false">Y1243</f>
        <v/>
      </c>
      <c r="AD1243" s="3" t="n">
        <f aca="false">R1243</f>
        <v>0</v>
      </c>
    </row>
    <row r="1244" customFormat="false" ht="15" hidden="false" customHeight="true" outlineLevel="0" collapsed="false">
      <c r="A1244" s="7" t="s">
        <v>57</v>
      </c>
      <c r="B1244" s="7" t="n">
        <v>1974</v>
      </c>
      <c r="C1244" s="7" t="s">
        <v>143</v>
      </c>
      <c r="D1244" s="7" t="n">
        <v>98</v>
      </c>
      <c r="E1244" s="7" t="n">
        <v>64</v>
      </c>
      <c r="F1244" s="3" t="n">
        <f aca="false">COUNTIFS($B$2:$B$2705,B1244,$C$2:$C$2705,C1244)</f>
        <v>1</v>
      </c>
      <c r="G1244" s="3" t="n">
        <f aca="false">MIN(INT((MIN(B1244,2020)-1900)/10)+1,12)</f>
        <v>8</v>
      </c>
      <c r="H1244" s="3" t="n">
        <f aca="false">(MIN(B1244,2020)-1900-10*(G1244-1))/10</f>
        <v>0.4</v>
      </c>
      <c r="I1244" s="20" t="n">
        <f aca="false">EXP(LN(INDEX(Pop_Inputs!$B$2:$N$29,MATCH(C1244,Pop_Inputs!$A$2:$A$29,0),G1244))*(1-H1244)+LN(INDEX(Pop_Inputs!$B$2:$N$29,MATCH(C1244,Pop_Inputs!$A$2:$A$29,0),G1244+1))*H1244)</f>
        <v>424401.854593052</v>
      </c>
      <c r="J1244" s="20" t="n">
        <f aca="false">I1244/F1244</f>
        <v>424401.854593052</v>
      </c>
      <c r="K1244" s="21" t="n">
        <f aca="false">D1244/(D1244+E1244)</f>
        <v>0.604938271604938</v>
      </c>
      <c r="L1244" s="21" t="n">
        <f aca="false">AVERAGEIFS($K$2:$K$2705,$B$2:$B$2705,B1244)</f>
        <v>0.500019250185313</v>
      </c>
      <c r="M1244" s="21" t="n">
        <f aca="false">K1244-L1244</f>
        <v>0.104919021419625</v>
      </c>
      <c r="N1244" s="21" t="n">
        <f aca="false">LN(J1244)</f>
        <v>12.9584360556301</v>
      </c>
      <c r="O1244" s="21" t="n">
        <f aca="false">AVERAGEIFS($N$2:$N$2705,$B$2:$B$2705,B1244)</f>
        <v>13.72668901903</v>
      </c>
      <c r="P1244" s="21" t="n">
        <f aca="false">N1244-O1244</f>
        <v>-0.768252963399968</v>
      </c>
      <c r="Q1244" s="7" t="n">
        <v>0</v>
      </c>
      <c r="R1244" s="3" t="n">
        <f aca="false">IF(AND(Q1244=1,B1244-_xlfn.MINIFS($B$2:$B$2705,$A$2:$A$2705,A1244)&lt;10),1,0)</f>
        <v>0</v>
      </c>
      <c r="S1244" s="7" t="n">
        <v>0</v>
      </c>
      <c r="T1244" s="3" t="n">
        <f aca="false">_xlfn.MINIFS($B$2:$B$2705,$A$2:$A$2705,A1244)</f>
        <v>1901</v>
      </c>
      <c r="U1244" s="3" t="n">
        <f aca="false">B1244-T1244</f>
        <v>73</v>
      </c>
      <c r="V1244" s="3" t="str">
        <f aca="false">INDEX(Pop_Inputs!$Q$2:$Q$29,MATCH(C1244,Pop_Inputs!$A$2:$A$29,0))</f>
        <v>Midwest</v>
      </c>
      <c r="W1244" s="30"/>
      <c r="X1244" s="3" t="str">
        <f aca="false">IF(W1244="","",LN(W1244))</f>
        <v/>
      </c>
      <c r="Y1244" s="3" t="str">
        <f aca="false">IF(X1244="","",X1244-AVERAGEIFS($X$2:$X$2705,$B$2:$B$2705,B1244))</f>
        <v/>
      </c>
      <c r="Z1244" s="21" t="n">
        <f aca="false">P1244</f>
        <v>-0.768252963399968</v>
      </c>
      <c r="AA1244" s="3" t="n">
        <f aca="false">R1244</f>
        <v>0</v>
      </c>
      <c r="AB1244" s="21" t="n">
        <f aca="false">P1244</f>
        <v>-0.768252963399968</v>
      </c>
      <c r="AC1244" s="3" t="str">
        <f aca="false">Y1244</f>
        <v/>
      </c>
      <c r="AD1244" s="3" t="n">
        <f aca="false">R1244</f>
        <v>0</v>
      </c>
    </row>
    <row r="1245" customFormat="false" ht="15" hidden="false" customHeight="true" outlineLevel="0" collapsed="false">
      <c r="A1245" s="7" t="s">
        <v>66</v>
      </c>
      <c r="B1245" s="7" t="n">
        <v>1974</v>
      </c>
      <c r="C1245" s="7" t="s">
        <v>151</v>
      </c>
      <c r="D1245" s="7" t="n">
        <v>77</v>
      </c>
      <c r="E1245" s="7" t="n">
        <v>85</v>
      </c>
      <c r="F1245" s="3" t="n">
        <f aca="false">COUNTIFS($B$2:$B$2705,B1245,$C$2:$C$2705,C1245)</f>
        <v>1</v>
      </c>
      <c r="G1245" s="3" t="n">
        <f aca="false">MIN(INT((MIN(B1245,2020)-1900)/10)+1,12)</f>
        <v>8</v>
      </c>
      <c r="H1245" s="3" t="n">
        <f aca="false">(MIN(B1245,2020)-1900-10*(G1245-1))/10</f>
        <v>0.4</v>
      </c>
      <c r="I1245" s="20" t="n">
        <f aca="false">EXP(LN(INDEX(Pop_Inputs!$B$2:$N$29,MATCH(C1245,Pop_Inputs!$A$2:$A$29,0),G1245))*(1-H1245)+LN(INDEX(Pop_Inputs!$B$2:$N$29,MATCH(C1245,Pop_Inputs!$A$2:$A$29,0),G1245+1))*H1245)</f>
        <v>674312.455191697</v>
      </c>
      <c r="J1245" s="20" t="n">
        <f aca="false">I1245/F1245</f>
        <v>674312.455191697</v>
      </c>
      <c r="K1245" s="21" t="n">
        <f aca="false">D1245/(D1245+E1245)</f>
        <v>0.475308641975309</v>
      </c>
      <c r="L1245" s="21" t="n">
        <f aca="false">AVERAGEIFS($K$2:$K$2705,$B$2:$B$2705,B1245)</f>
        <v>0.500019250185313</v>
      </c>
      <c r="M1245" s="21" t="n">
        <f aca="false">K1245-L1245</f>
        <v>-0.0247106082100044</v>
      </c>
      <c r="N1245" s="21" t="n">
        <f aca="false">LN(J1245)</f>
        <v>13.4214488658433</v>
      </c>
      <c r="O1245" s="21" t="n">
        <f aca="false">AVERAGEIFS($N$2:$N$2705,$B$2:$B$2705,B1245)</f>
        <v>13.72668901903</v>
      </c>
      <c r="P1245" s="21" t="n">
        <f aca="false">N1245-O1245</f>
        <v>-0.305240153186697</v>
      </c>
      <c r="Q1245" s="7" t="n">
        <v>0</v>
      </c>
      <c r="R1245" s="3" t="n">
        <f aca="false">IF(AND(Q1245=1,B1245-_xlfn.MINIFS($B$2:$B$2705,$A$2:$A$2705,A1245)&lt;10),1,0)</f>
        <v>0</v>
      </c>
      <c r="S1245" s="7" t="n">
        <v>0</v>
      </c>
      <c r="T1245" s="3" t="n">
        <f aca="false">_xlfn.MINIFS($B$2:$B$2705,$A$2:$A$2705,A1245)</f>
        <v>1901</v>
      </c>
      <c r="U1245" s="3" t="n">
        <f aca="false">B1245-T1245</f>
        <v>73</v>
      </c>
      <c r="V1245" s="3" t="str">
        <f aca="false">INDEX(Pop_Inputs!$Q$2:$Q$29,MATCH(C1245,Pop_Inputs!$A$2:$A$29,0))</f>
        <v>Midwest</v>
      </c>
      <c r="W1245" s="30"/>
      <c r="X1245" s="3" t="str">
        <f aca="false">IF(W1245="","",LN(W1245))</f>
        <v/>
      </c>
      <c r="Y1245" s="3" t="str">
        <f aca="false">IF(X1245="","",X1245-AVERAGEIFS($X$2:$X$2705,$B$2:$B$2705,B1245))</f>
        <v/>
      </c>
      <c r="Z1245" s="21" t="n">
        <f aca="false">P1245</f>
        <v>-0.305240153186697</v>
      </c>
      <c r="AA1245" s="3" t="n">
        <f aca="false">R1245</f>
        <v>0</v>
      </c>
      <c r="AB1245" s="21" t="n">
        <f aca="false">P1245</f>
        <v>-0.305240153186697</v>
      </c>
      <c r="AC1245" s="3" t="str">
        <f aca="false">Y1245</f>
        <v/>
      </c>
      <c r="AD1245" s="3" t="n">
        <f aca="false">R1245</f>
        <v>0</v>
      </c>
    </row>
    <row r="1246" customFormat="false" ht="15" hidden="false" customHeight="true" outlineLevel="0" collapsed="false">
      <c r="A1246" s="7" t="s">
        <v>67</v>
      </c>
      <c r="B1246" s="7" t="n">
        <v>1974</v>
      </c>
      <c r="C1246" s="7" t="s">
        <v>152</v>
      </c>
      <c r="D1246" s="7" t="n">
        <v>72</v>
      </c>
      <c r="E1246" s="7" t="n">
        <v>90</v>
      </c>
      <c r="F1246" s="3" t="n">
        <f aca="false">COUNTIFS($B$2:$B$2705,B1246,$C$2:$C$2705,C1246)</f>
        <v>1</v>
      </c>
      <c r="G1246" s="3" t="n">
        <f aca="false">MIN(INT((MIN(B1246,2020)-1900)/10)+1,12)</f>
        <v>8</v>
      </c>
      <c r="H1246" s="3" t="n">
        <f aca="false">(MIN(B1246,2020)-1900-10*(G1246-1))/10</f>
        <v>0.4</v>
      </c>
      <c r="I1246" s="20" t="n">
        <f aca="false">EXP(LN(INDEX(Pop_Inputs!$B$2:$N$29,MATCH(C1246,Pop_Inputs!$A$2:$A$29,0),G1246))*(1-H1246)+LN(INDEX(Pop_Inputs!$B$2:$N$29,MATCH(C1246,Pop_Inputs!$A$2:$A$29,0),G1246+1))*H1246)</f>
        <v>1379752.4413219</v>
      </c>
      <c r="J1246" s="20" t="n">
        <f aca="false">I1246/F1246</f>
        <v>1379752.4413219</v>
      </c>
      <c r="K1246" s="21" t="n">
        <f aca="false">D1246/(D1246+E1246)</f>
        <v>0.444444444444444</v>
      </c>
      <c r="L1246" s="21" t="n">
        <f aca="false">AVERAGEIFS($K$2:$K$2705,$B$2:$B$2705,B1246)</f>
        <v>0.500019250185313</v>
      </c>
      <c r="M1246" s="21" t="n">
        <f aca="false">K1246-L1246</f>
        <v>-0.0555748057408686</v>
      </c>
      <c r="N1246" s="21" t="n">
        <f aca="false">LN(J1246)</f>
        <v>14.1374146506946</v>
      </c>
      <c r="O1246" s="21" t="n">
        <f aca="false">AVERAGEIFS($N$2:$N$2705,$B$2:$B$2705,B1246)</f>
        <v>13.72668901903</v>
      </c>
      <c r="P1246" s="21" t="n">
        <f aca="false">N1246-O1246</f>
        <v>0.410725631664526</v>
      </c>
      <c r="Q1246" s="7" t="n">
        <v>0</v>
      </c>
      <c r="R1246" s="3" t="n">
        <f aca="false">IF(AND(Q1246=1,B1246-_xlfn.MINIFS($B$2:$B$2705,$A$2:$A$2705,A1246)&lt;10),1,0)</f>
        <v>0</v>
      </c>
      <c r="S1246" s="7" t="n">
        <v>0</v>
      </c>
      <c r="T1246" s="3" t="n">
        <f aca="false">_xlfn.MINIFS($B$2:$B$2705,$A$2:$A$2705,A1246)</f>
        <v>1901</v>
      </c>
      <c r="U1246" s="3" t="n">
        <f aca="false">B1246-T1246</f>
        <v>73</v>
      </c>
      <c r="V1246" s="3" t="str">
        <f aca="false">INDEX(Pop_Inputs!$Q$2:$Q$29,MATCH(C1246,Pop_Inputs!$A$2:$A$29,0))</f>
        <v>Midwest</v>
      </c>
      <c r="W1246" s="30"/>
      <c r="X1246" s="3" t="str">
        <f aca="false">IF(W1246="","",LN(W1246))</f>
        <v/>
      </c>
      <c r="Y1246" s="3" t="str">
        <f aca="false">IF(X1246="","",X1246-AVERAGEIFS($X$2:$X$2705,$B$2:$B$2705,B1246))</f>
        <v/>
      </c>
      <c r="Z1246" s="21" t="n">
        <f aca="false">P1246</f>
        <v>0.410725631664526</v>
      </c>
      <c r="AA1246" s="3" t="n">
        <f aca="false">R1246</f>
        <v>0</v>
      </c>
      <c r="AB1246" s="21" t="n">
        <f aca="false">P1246</f>
        <v>0.410725631664526</v>
      </c>
      <c r="AC1246" s="3" t="str">
        <f aca="false">Y1246</f>
        <v/>
      </c>
      <c r="AD1246" s="3" t="n">
        <f aca="false">R1246</f>
        <v>0</v>
      </c>
    </row>
    <row r="1247" customFormat="false" ht="15" hidden="false" customHeight="true" outlineLevel="0" collapsed="false">
      <c r="A1247" s="7" t="s">
        <v>74</v>
      </c>
      <c r="B1247" s="7" t="n">
        <v>1974</v>
      </c>
      <c r="C1247" s="7" t="s">
        <v>156</v>
      </c>
      <c r="D1247" s="7" t="n">
        <v>81</v>
      </c>
      <c r="E1247" s="7" t="n">
        <v>81</v>
      </c>
      <c r="F1247" s="3" t="n">
        <f aca="false">COUNTIFS($B$2:$B$2705,B1247,$C$2:$C$2705,C1247)</f>
        <v>1</v>
      </c>
      <c r="G1247" s="3" t="n">
        <f aca="false">MIN(INT((MIN(B1247,2020)-1900)/10)+1,12)</f>
        <v>8</v>
      </c>
      <c r="H1247" s="3" t="n">
        <f aca="false">(MIN(B1247,2020)-1900-10*(G1247-1))/10</f>
        <v>0.4</v>
      </c>
      <c r="I1247" s="20" t="n">
        <f aca="false">EXP(LN(INDEX(Pop_Inputs!$B$2:$N$29,MATCH(C1247,Pop_Inputs!$A$2:$A$29,0),G1247))*(1-H1247)+LN(INDEX(Pop_Inputs!$B$2:$N$29,MATCH(C1247,Pop_Inputs!$A$2:$A$29,0),G1247+1))*H1247)</f>
        <v>1366643.69662794</v>
      </c>
      <c r="J1247" s="20" t="n">
        <f aca="false">I1247/F1247</f>
        <v>1366643.69662794</v>
      </c>
      <c r="K1247" s="21" t="n">
        <f aca="false">D1247/(D1247+E1247)</f>
        <v>0.5</v>
      </c>
      <c r="L1247" s="21" t="n">
        <f aca="false">AVERAGEIFS($K$2:$K$2705,$B$2:$B$2705,B1247)</f>
        <v>0.500019250185313</v>
      </c>
      <c r="M1247" s="21" t="n">
        <f aca="false">K1247-L1247</f>
        <v>-1.92501853130134E-005</v>
      </c>
      <c r="N1247" s="21" t="n">
        <f aca="false">LN(J1247)</f>
        <v>14.1278684355198</v>
      </c>
      <c r="O1247" s="21" t="n">
        <f aca="false">AVERAGEIFS($N$2:$N$2705,$B$2:$B$2705,B1247)</f>
        <v>13.72668901903</v>
      </c>
      <c r="P1247" s="21" t="n">
        <f aca="false">N1247-O1247</f>
        <v>0.401179416489734</v>
      </c>
      <c r="Q1247" s="7" t="n">
        <v>1</v>
      </c>
      <c r="R1247" s="3" t="n">
        <f aca="false">IF(AND(Q1247=1,B1247-_xlfn.MINIFS($B$2:$B$2705,$A$2:$A$2705,A1247)&lt;10),1,0)</f>
        <v>0</v>
      </c>
      <c r="S1247" s="7" t="n">
        <v>0</v>
      </c>
      <c r="T1247" s="3" t="n">
        <f aca="false">_xlfn.MINIFS($B$2:$B$2705,$A$2:$A$2705,A1247)</f>
        <v>1962</v>
      </c>
      <c r="U1247" s="3" t="n">
        <f aca="false">B1247-T1247</f>
        <v>12</v>
      </c>
      <c r="V1247" s="3" t="str">
        <f aca="false">INDEX(Pop_Inputs!$Q$2:$Q$29,MATCH(C1247,Pop_Inputs!$A$2:$A$29,0))</f>
        <v>South</v>
      </c>
      <c r="W1247" s="30"/>
      <c r="X1247" s="3" t="str">
        <f aca="false">IF(W1247="","",LN(W1247))</f>
        <v/>
      </c>
      <c r="Y1247" s="3" t="str">
        <f aca="false">IF(X1247="","",X1247-AVERAGEIFS($X$2:$X$2705,$B$2:$B$2705,B1247))</f>
        <v/>
      </c>
      <c r="Z1247" s="21" t="n">
        <f aca="false">P1247</f>
        <v>0.401179416489734</v>
      </c>
      <c r="AA1247" s="3" t="n">
        <f aca="false">R1247</f>
        <v>0</v>
      </c>
      <c r="AB1247" s="21" t="n">
        <f aca="false">P1247</f>
        <v>0.401179416489734</v>
      </c>
      <c r="AC1247" s="3" t="str">
        <f aca="false">Y1247</f>
        <v/>
      </c>
      <c r="AD1247" s="3" t="n">
        <f aca="false">R1247</f>
        <v>0</v>
      </c>
    </row>
    <row r="1248" customFormat="false" ht="15" hidden="false" customHeight="true" outlineLevel="0" collapsed="false">
      <c r="A1248" s="7" t="s">
        <v>76</v>
      </c>
      <c r="B1248" s="7" t="n">
        <v>1974</v>
      </c>
      <c r="C1248" s="7" t="s">
        <v>157</v>
      </c>
      <c r="D1248" s="7" t="n">
        <v>77</v>
      </c>
      <c r="E1248" s="7" t="n">
        <v>85</v>
      </c>
      <c r="F1248" s="3" t="n">
        <f aca="false">COUNTIFS($B$2:$B$2705,B1248,$C$2:$C$2705,C1248)</f>
        <v>1</v>
      </c>
      <c r="G1248" s="3" t="n">
        <f aca="false">MIN(INT((MIN(B1248,2020)-1900)/10)+1,12)</f>
        <v>8</v>
      </c>
      <c r="H1248" s="3" t="n">
        <f aca="false">(MIN(B1248,2020)-1900-10*(G1248-1))/10</f>
        <v>0.4</v>
      </c>
      <c r="I1248" s="20" t="n">
        <f aca="false">EXP(LN(INDEX(Pop_Inputs!$B$2:$N$29,MATCH(C1248,Pop_Inputs!$A$2:$A$29,0),G1248))*(1-H1248)+LN(INDEX(Pop_Inputs!$B$2:$N$29,MATCH(C1248,Pop_Inputs!$A$2:$A$29,0),G1248+1))*H1248)</f>
        <v>482638.91398145</v>
      </c>
      <c r="J1248" s="20" t="n">
        <f aca="false">I1248/F1248</f>
        <v>482638.91398145</v>
      </c>
      <c r="K1248" s="21" t="n">
        <f aca="false">D1248/(D1248+E1248)</f>
        <v>0.475308641975309</v>
      </c>
      <c r="L1248" s="21" t="n">
        <f aca="false">AVERAGEIFS($K$2:$K$2705,$B$2:$B$2705,B1248)</f>
        <v>0.500019250185313</v>
      </c>
      <c r="M1248" s="21" t="n">
        <f aca="false">K1248-L1248</f>
        <v>-0.0247106082100044</v>
      </c>
      <c r="N1248" s="21" t="n">
        <f aca="false">LN(J1248)</f>
        <v>13.0870240629494</v>
      </c>
      <c r="O1248" s="21" t="n">
        <f aca="false">AVERAGEIFS($N$2:$N$2705,$B$2:$B$2705,B1248)</f>
        <v>13.72668901903</v>
      </c>
      <c r="P1248" s="21" t="n">
        <f aca="false">N1248-O1248</f>
        <v>-0.639664956080678</v>
      </c>
      <c r="Q1248" s="7" t="n">
        <v>1</v>
      </c>
      <c r="R1248" s="3" t="n">
        <f aca="false">IF(AND(Q1248=1,B1248-_xlfn.MINIFS($B$2:$B$2705,$A$2:$A$2705,A1248)&lt;10),1,0)</f>
        <v>1</v>
      </c>
      <c r="S1248" s="7" t="n">
        <v>0</v>
      </c>
      <c r="T1248" s="3" t="n">
        <f aca="false">_xlfn.MINIFS($B$2:$B$2705,$A$2:$A$2705,A1248)</f>
        <v>1969</v>
      </c>
      <c r="U1248" s="3" t="n">
        <f aca="false">B1248-T1248</f>
        <v>5</v>
      </c>
      <c r="V1248" s="3" t="str">
        <f aca="false">INDEX(Pop_Inputs!$Q$2:$Q$29,MATCH(C1248,Pop_Inputs!$A$2:$A$29,0))</f>
        <v>Midwest</v>
      </c>
      <c r="W1248" s="30"/>
      <c r="X1248" s="3" t="str">
        <f aca="false">IF(W1248="","",LN(W1248))</f>
        <v/>
      </c>
      <c r="Y1248" s="3" t="str">
        <f aca="false">IF(X1248="","",X1248-AVERAGEIFS($X$2:$X$2705,$B$2:$B$2705,B1248))</f>
        <v/>
      </c>
      <c r="Z1248" s="21" t="n">
        <f aca="false">P1248</f>
        <v>-0.639664956080678</v>
      </c>
      <c r="AA1248" s="3" t="n">
        <f aca="false">R1248</f>
        <v>1</v>
      </c>
      <c r="AB1248" s="21" t="n">
        <f aca="false">P1248</f>
        <v>-0.639664956080678</v>
      </c>
      <c r="AC1248" s="3" t="str">
        <f aca="false">Y1248</f>
        <v/>
      </c>
      <c r="AD1248" s="3" t="n">
        <f aca="false">R1248</f>
        <v>1</v>
      </c>
    </row>
    <row r="1249" customFormat="false" ht="15" hidden="false" customHeight="true" outlineLevel="0" collapsed="false">
      <c r="A1249" s="7" t="s">
        <v>62</v>
      </c>
      <c r="B1249" s="7" t="n">
        <v>1974</v>
      </c>
      <c r="C1249" s="7" t="s">
        <v>148</v>
      </c>
      <c r="D1249" s="7" t="n">
        <v>102</v>
      </c>
      <c r="E1249" s="7" t="n">
        <v>60</v>
      </c>
      <c r="F1249" s="3" t="n">
        <f aca="false">COUNTIFS($B$2:$B$2705,B1249,$C$2:$C$2705,C1249)</f>
        <v>2</v>
      </c>
      <c r="G1249" s="3" t="n">
        <f aca="false">MIN(INT((MIN(B1249,2020)-1900)/10)+1,12)</f>
        <v>8</v>
      </c>
      <c r="H1249" s="3" t="n">
        <f aca="false">(MIN(B1249,2020)-1900-10*(G1249-1))/10</f>
        <v>0.4</v>
      </c>
      <c r="I1249" s="20" t="n">
        <f aca="false">EXP(LN(INDEX(Pop_Inputs!$B$2:$N$29,MATCH(C1249,Pop_Inputs!$A$2:$A$29,0),G1249))*(1-H1249)+LN(INDEX(Pop_Inputs!$B$2:$N$29,MATCH(C1249,Pop_Inputs!$A$2:$A$29,0),G1249+1))*H1249)</f>
        <v>2875434.44334276</v>
      </c>
      <c r="J1249" s="20" t="n">
        <f aca="false">I1249/F1249</f>
        <v>1437717.22167138</v>
      </c>
      <c r="K1249" s="21" t="n">
        <f aca="false">D1249/(D1249+E1249)</f>
        <v>0.62962962962963</v>
      </c>
      <c r="L1249" s="21" t="n">
        <f aca="false">AVERAGEIFS($K$2:$K$2705,$B$2:$B$2705,B1249)</f>
        <v>0.500019250185313</v>
      </c>
      <c r="M1249" s="21" t="n">
        <f aca="false">K1249-L1249</f>
        <v>0.129610379444317</v>
      </c>
      <c r="N1249" s="21" t="n">
        <f aca="false">LN(J1249)</f>
        <v>14.1785671509655</v>
      </c>
      <c r="O1249" s="21" t="n">
        <f aca="false">AVERAGEIFS($N$2:$N$2705,$B$2:$B$2705,B1249)</f>
        <v>13.72668901903</v>
      </c>
      <c r="P1249" s="21" t="n">
        <f aca="false">N1249-O1249</f>
        <v>0.451878131935445</v>
      </c>
      <c r="Q1249" s="7" t="n">
        <v>0</v>
      </c>
      <c r="R1249" s="3" t="n">
        <f aca="false">IF(AND(Q1249=1,B1249-_xlfn.MINIFS($B$2:$B$2705,$A$2:$A$2705,A1249)&lt;10),1,0)</f>
        <v>0</v>
      </c>
      <c r="S1249" s="7" t="n">
        <v>0</v>
      </c>
      <c r="T1249" s="3" t="n">
        <f aca="false">_xlfn.MINIFS($B$2:$B$2705,$A$2:$A$2705,A1249)</f>
        <v>1901</v>
      </c>
      <c r="U1249" s="3" t="n">
        <f aca="false">B1249-T1249</f>
        <v>73</v>
      </c>
      <c r="V1249" s="3" t="str">
        <f aca="false">INDEX(Pop_Inputs!$Q$2:$Q$29,MATCH(C1249,Pop_Inputs!$A$2:$A$29,0))</f>
        <v>West</v>
      </c>
      <c r="W1249" s="30"/>
      <c r="X1249" s="3" t="str">
        <f aca="false">IF(W1249="","",LN(W1249))</f>
        <v/>
      </c>
      <c r="Y1249" s="3" t="str">
        <f aca="false">IF(X1249="","",X1249-AVERAGEIFS($X$2:$X$2705,$B$2:$B$2705,B1249))</f>
        <v/>
      </c>
      <c r="Z1249" s="21" t="n">
        <f aca="false">P1249</f>
        <v>0.451878131935445</v>
      </c>
      <c r="AA1249" s="3" t="n">
        <f aca="false">R1249</f>
        <v>0</v>
      </c>
      <c r="AB1249" s="21" t="n">
        <f aca="false">P1249</f>
        <v>0.451878131935445</v>
      </c>
      <c r="AC1249" s="3" t="str">
        <f aca="false">Y1249</f>
        <v/>
      </c>
      <c r="AD1249" s="3" t="n">
        <f aca="false">R1249</f>
        <v>0</v>
      </c>
    </row>
    <row r="1250" customFormat="false" ht="15" hidden="false" customHeight="true" outlineLevel="0" collapsed="false">
      <c r="A1250" s="7" t="s">
        <v>77</v>
      </c>
      <c r="B1250" s="7" t="n">
        <v>1974</v>
      </c>
      <c r="C1250" s="7" t="s">
        <v>158</v>
      </c>
      <c r="D1250" s="7" t="n">
        <v>76</v>
      </c>
      <c r="E1250" s="7" t="n">
        <v>86</v>
      </c>
      <c r="F1250" s="3" t="n">
        <f aca="false">COUNTIFS($B$2:$B$2705,B1250,$C$2:$C$2705,C1250)</f>
        <v>1</v>
      </c>
      <c r="G1250" s="3" t="n">
        <f aca="false">MIN(INT((MIN(B1250,2020)-1900)/10)+1,12)</f>
        <v>8</v>
      </c>
      <c r="H1250" s="3" t="n">
        <f aca="false">(MIN(B1250,2020)-1900-10*(G1250-1))/10</f>
        <v>0.4</v>
      </c>
      <c r="I1250" s="20" t="n">
        <f aca="false">EXP(LN(INDEX(Pop_Inputs!$B$2:$N$29,MATCH(C1250,Pop_Inputs!$A$2:$A$29,0),G1250))*(1-H1250)+LN(INDEX(Pop_Inputs!$B$2:$N$29,MATCH(C1250,Pop_Inputs!$A$2:$A$29,0),G1250+1))*H1250)</f>
        <v>683578.213358794</v>
      </c>
      <c r="J1250" s="20" t="n">
        <f aca="false">I1250/F1250</f>
        <v>683578.213358794</v>
      </c>
      <c r="K1250" s="21" t="n">
        <f aca="false">D1250/(D1250+E1250)</f>
        <v>0.469135802469136</v>
      </c>
      <c r="L1250" s="21" t="n">
        <f aca="false">AVERAGEIFS($K$2:$K$2705,$B$2:$B$2705,B1250)</f>
        <v>0.500019250185313</v>
      </c>
      <c r="M1250" s="21" t="n">
        <f aca="false">K1250-L1250</f>
        <v>-0.0308834477161772</v>
      </c>
      <c r="N1250" s="21" t="n">
        <f aca="false">LN(J1250)</f>
        <v>13.4350963592634</v>
      </c>
      <c r="O1250" s="21" t="n">
        <f aca="false">AVERAGEIFS($N$2:$N$2705,$B$2:$B$2705,B1250)</f>
        <v>13.72668901903</v>
      </c>
      <c r="P1250" s="21" t="n">
        <f aca="false">N1250-O1250</f>
        <v>-0.291592659766659</v>
      </c>
      <c r="Q1250" s="7" t="n">
        <v>1</v>
      </c>
      <c r="R1250" s="3" t="n">
        <f aca="false">IF(AND(Q1250=1,B1250-_xlfn.MINIFS($B$2:$B$2705,$A$2:$A$2705,A1250)&lt;10),1,0)</f>
        <v>1</v>
      </c>
      <c r="S1250" s="7" t="n">
        <v>0</v>
      </c>
      <c r="T1250" s="3" t="n">
        <f aca="false">_xlfn.MINIFS($B$2:$B$2705,$A$2:$A$2705,A1250)</f>
        <v>1969</v>
      </c>
      <c r="U1250" s="3" t="n">
        <f aca="false">B1250-T1250</f>
        <v>5</v>
      </c>
      <c r="V1250" s="3" t="str">
        <f aca="false">INDEX(Pop_Inputs!$Q$2:$Q$29,MATCH(C1250,Pop_Inputs!$A$2:$A$29,0))</f>
        <v>Midwest</v>
      </c>
      <c r="W1250" s="30"/>
      <c r="X1250" s="3" t="str">
        <f aca="false">IF(W1250="","",LN(W1250))</f>
        <v/>
      </c>
      <c r="Y1250" s="3" t="str">
        <f aca="false">IF(X1250="","",X1250-AVERAGEIFS($X$2:$X$2705,$B$2:$B$2705,B1250))</f>
        <v/>
      </c>
      <c r="Z1250" s="21" t="n">
        <f aca="false">P1250</f>
        <v>-0.291592659766659</v>
      </c>
      <c r="AA1250" s="3" t="n">
        <f aca="false">R1250</f>
        <v>1</v>
      </c>
      <c r="AB1250" s="21" t="n">
        <f aca="false">P1250</f>
        <v>-0.291592659766659</v>
      </c>
      <c r="AC1250" s="3" t="str">
        <f aca="false">Y1250</f>
        <v/>
      </c>
      <c r="AD1250" s="3" t="n">
        <f aca="false">R1250</f>
        <v>1</v>
      </c>
    </row>
    <row r="1251" customFormat="false" ht="15" hidden="false" customHeight="true" outlineLevel="0" collapsed="false">
      <c r="A1251" s="7" t="s">
        <v>68</v>
      </c>
      <c r="B1251" s="7" t="n">
        <v>1974</v>
      </c>
      <c r="C1251" s="7" t="s">
        <v>153</v>
      </c>
      <c r="D1251" s="7" t="n">
        <v>82</v>
      </c>
      <c r="E1251" s="7" t="n">
        <v>80</v>
      </c>
      <c r="F1251" s="3" t="n">
        <f aca="false">COUNTIFS($B$2:$B$2705,B1251,$C$2:$C$2705,C1251)</f>
        <v>1</v>
      </c>
      <c r="G1251" s="3" t="n">
        <f aca="false">MIN(INT((MIN(B1251,2020)-1900)/10)+1,12)</f>
        <v>8</v>
      </c>
      <c r="H1251" s="3" t="n">
        <f aca="false">(MIN(B1251,2020)-1900-10*(G1251-1))/10</f>
        <v>0.4</v>
      </c>
      <c r="I1251" s="20" t="n">
        <f aca="false">EXP(LN(INDEX(Pop_Inputs!$B$2:$N$29,MATCH(C1251,Pop_Inputs!$A$2:$A$29,0),G1251))*(1-H1251)+LN(INDEX(Pop_Inputs!$B$2:$N$29,MATCH(C1251,Pop_Inputs!$A$2:$A$29,0),G1251+1))*H1251)</f>
        <v>407812.476585823</v>
      </c>
      <c r="J1251" s="20" t="n">
        <f aca="false">I1251/F1251</f>
        <v>407812.476585823</v>
      </c>
      <c r="K1251" s="21" t="n">
        <f aca="false">D1251/(D1251+E1251)</f>
        <v>0.506172839506173</v>
      </c>
      <c r="L1251" s="21" t="n">
        <f aca="false">AVERAGEIFS($K$2:$K$2705,$B$2:$B$2705,B1251)</f>
        <v>0.500019250185313</v>
      </c>
      <c r="M1251" s="21" t="n">
        <f aca="false">K1251-L1251</f>
        <v>0.00615358932085985</v>
      </c>
      <c r="N1251" s="21" t="n">
        <f aca="false">LN(J1251)</f>
        <v>12.9185627315192</v>
      </c>
      <c r="O1251" s="21" t="n">
        <f aca="false">AVERAGEIFS($N$2:$N$2705,$B$2:$B$2705,B1251)</f>
        <v>13.72668901903</v>
      </c>
      <c r="P1251" s="21" t="n">
        <f aca="false">N1251-O1251</f>
        <v>-0.808126287510865</v>
      </c>
      <c r="Q1251" s="7" t="n">
        <v>0</v>
      </c>
      <c r="R1251" s="3" t="n">
        <f aca="false">IF(AND(Q1251=1,B1251-_xlfn.MINIFS($B$2:$B$2705,$A$2:$A$2705,A1251)&lt;10),1,0)</f>
        <v>0</v>
      </c>
      <c r="S1251" s="7" t="n">
        <v>0</v>
      </c>
      <c r="T1251" s="3" t="n">
        <f aca="false">_xlfn.MINIFS($B$2:$B$2705,$A$2:$A$2705,A1251)</f>
        <v>1901</v>
      </c>
      <c r="U1251" s="3" t="n">
        <f aca="false">B1251-T1251</f>
        <v>73</v>
      </c>
      <c r="V1251" s="3" t="str">
        <f aca="false">INDEX(Pop_Inputs!$Q$2:$Q$29,MATCH(C1251,Pop_Inputs!$A$2:$A$29,0))</f>
        <v>Midwest</v>
      </c>
      <c r="W1251" s="30"/>
      <c r="X1251" s="3" t="str">
        <f aca="false">IF(W1251="","",LN(W1251))</f>
        <v/>
      </c>
      <c r="Y1251" s="3" t="str">
        <f aca="false">IF(X1251="","",X1251-AVERAGEIFS($X$2:$X$2705,$B$2:$B$2705,B1251))</f>
        <v/>
      </c>
      <c r="Z1251" s="21" t="n">
        <f aca="false">P1251</f>
        <v>-0.808126287510865</v>
      </c>
      <c r="AA1251" s="3" t="n">
        <f aca="false">R1251</f>
        <v>0</v>
      </c>
      <c r="AB1251" s="21" t="n">
        <f aca="false">P1251</f>
        <v>-0.808126287510865</v>
      </c>
      <c r="AC1251" s="3" t="str">
        <f aca="false">Y1251</f>
        <v/>
      </c>
      <c r="AD1251" s="3" t="n">
        <f aca="false">R1251</f>
        <v>0</v>
      </c>
    </row>
    <row r="1252" customFormat="false" ht="15" hidden="false" customHeight="true" outlineLevel="0" collapsed="false">
      <c r="A1252" s="7" t="s">
        <v>75</v>
      </c>
      <c r="B1252" s="7" t="n">
        <v>1974</v>
      </c>
      <c r="C1252" s="7" t="s">
        <v>154</v>
      </c>
      <c r="D1252" s="7" t="n">
        <v>71</v>
      </c>
      <c r="E1252" s="7" t="n">
        <v>91</v>
      </c>
      <c r="F1252" s="3" t="n">
        <f aca="false">COUNTIFS($B$2:$B$2705,B1252,$C$2:$C$2705,C1252)</f>
        <v>2</v>
      </c>
      <c r="G1252" s="3" t="n">
        <f aca="false">MIN(INT((MIN(B1252,2020)-1900)/10)+1,12)</f>
        <v>8</v>
      </c>
      <c r="H1252" s="3" t="n">
        <f aca="false">(MIN(B1252,2020)-1900-10*(G1252-1))/10</f>
        <v>0.4</v>
      </c>
      <c r="I1252" s="20" t="n">
        <f aca="false">EXP(LN(INDEX(Pop_Inputs!$B$2:$N$29,MATCH(C1252,Pop_Inputs!$A$2:$A$29,0),G1252))*(1-H1252)+LN(INDEX(Pop_Inputs!$B$2:$N$29,MATCH(C1252,Pop_Inputs!$A$2:$A$29,0),G1252+1))*H1252)</f>
        <v>7554657.13331283</v>
      </c>
      <c r="J1252" s="20" t="n">
        <f aca="false">I1252/F1252</f>
        <v>3777328.56665642</v>
      </c>
      <c r="K1252" s="21" t="n">
        <f aca="false">D1252/(D1252+E1252)</f>
        <v>0.438271604938272</v>
      </c>
      <c r="L1252" s="21" t="n">
        <f aca="false">AVERAGEIFS($K$2:$K$2705,$B$2:$B$2705,B1252)</f>
        <v>0.500019250185313</v>
      </c>
      <c r="M1252" s="21" t="n">
        <f aca="false">K1252-L1252</f>
        <v>-0.0617476452470414</v>
      </c>
      <c r="N1252" s="21" t="n">
        <f aca="false">LN(J1252)</f>
        <v>15.1445275893478</v>
      </c>
      <c r="O1252" s="21" t="n">
        <f aca="false">AVERAGEIFS($N$2:$N$2705,$B$2:$B$2705,B1252)</f>
        <v>13.72668901903</v>
      </c>
      <c r="P1252" s="21" t="n">
        <f aca="false">N1252-O1252</f>
        <v>1.41783857031772</v>
      </c>
      <c r="Q1252" s="7" t="n">
        <v>1</v>
      </c>
      <c r="R1252" s="3" t="n">
        <f aca="false">IF(AND(Q1252=1,B1252-_xlfn.MINIFS($B$2:$B$2705,$A$2:$A$2705,A1252)&lt;10),1,0)</f>
        <v>0</v>
      </c>
      <c r="S1252" s="7" t="n">
        <v>0</v>
      </c>
      <c r="T1252" s="3" t="n">
        <f aca="false">_xlfn.MINIFS($B$2:$B$2705,$A$2:$A$2705,A1252)</f>
        <v>1962</v>
      </c>
      <c r="U1252" s="3" t="n">
        <f aca="false">B1252-T1252</f>
        <v>12</v>
      </c>
      <c r="V1252" s="3" t="str">
        <f aca="false">INDEX(Pop_Inputs!$Q$2:$Q$29,MATCH(C1252,Pop_Inputs!$A$2:$A$29,0))</f>
        <v>Northeast</v>
      </c>
      <c r="W1252" s="30"/>
      <c r="X1252" s="3" t="str">
        <f aca="false">IF(W1252="","",LN(W1252))</f>
        <v/>
      </c>
      <c r="Y1252" s="3" t="str">
        <f aca="false">IF(X1252="","",X1252-AVERAGEIFS($X$2:$X$2705,$B$2:$B$2705,B1252))</f>
        <v/>
      </c>
      <c r="Z1252" s="21" t="n">
        <f aca="false">P1252</f>
        <v>1.41783857031772</v>
      </c>
      <c r="AA1252" s="3" t="n">
        <f aca="false">R1252</f>
        <v>0</v>
      </c>
      <c r="AB1252" s="21" t="n">
        <f aca="false">P1252</f>
        <v>1.41783857031772</v>
      </c>
      <c r="AC1252" s="3" t="str">
        <f aca="false">Y1252</f>
        <v/>
      </c>
      <c r="AD1252" s="3" t="n">
        <f aca="false">R1252</f>
        <v>0</v>
      </c>
    </row>
    <row r="1253" customFormat="false" ht="15" hidden="false" customHeight="true" outlineLevel="0" collapsed="false">
      <c r="A1253" s="7" t="s">
        <v>70</v>
      </c>
      <c r="B1253" s="7" t="n">
        <v>1974</v>
      </c>
      <c r="C1253" s="7" t="s">
        <v>154</v>
      </c>
      <c r="D1253" s="7" t="n">
        <v>89</v>
      </c>
      <c r="E1253" s="7" t="n">
        <v>73</v>
      </c>
      <c r="F1253" s="3" t="n">
        <f aca="false">COUNTIFS($B$2:$B$2705,B1253,$C$2:$C$2705,C1253)</f>
        <v>2</v>
      </c>
      <c r="G1253" s="3" t="n">
        <f aca="false">MIN(INT((MIN(B1253,2020)-1900)/10)+1,12)</f>
        <v>8</v>
      </c>
      <c r="H1253" s="3" t="n">
        <f aca="false">(MIN(B1253,2020)-1900-10*(G1253-1))/10</f>
        <v>0.4</v>
      </c>
      <c r="I1253" s="20" t="n">
        <f aca="false">EXP(LN(INDEX(Pop_Inputs!$B$2:$N$29,MATCH(C1253,Pop_Inputs!$A$2:$A$29,0),G1253))*(1-H1253)+LN(INDEX(Pop_Inputs!$B$2:$N$29,MATCH(C1253,Pop_Inputs!$A$2:$A$29,0),G1253+1))*H1253)</f>
        <v>7554657.13331283</v>
      </c>
      <c r="J1253" s="20" t="n">
        <f aca="false">I1253/F1253</f>
        <v>3777328.56665642</v>
      </c>
      <c r="K1253" s="21" t="n">
        <f aca="false">D1253/(D1253+E1253)</f>
        <v>0.549382716049383</v>
      </c>
      <c r="L1253" s="21" t="n">
        <f aca="false">AVERAGEIFS($K$2:$K$2705,$B$2:$B$2705,B1253)</f>
        <v>0.500019250185313</v>
      </c>
      <c r="M1253" s="21" t="n">
        <f aca="false">K1253-L1253</f>
        <v>0.0493634658640697</v>
      </c>
      <c r="N1253" s="21" t="n">
        <f aca="false">LN(J1253)</f>
        <v>15.1445275893478</v>
      </c>
      <c r="O1253" s="21" t="n">
        <f aca="false">AVERAGEIFS($N$2:$N$2705,$B$2:$B$2705,B1253)</f>
        <v>13.72668901903</v>
      </c>
      <c r="P1253" s="21" t="n">
        <f aca="false">N1253-O1253</f>
        <v>1.41783857031772</v>
      </c>
      <c r="Q1253" s="7" t="n">
        <v>0</v>
      </c>
      <c r="R1253" s="3" t="n">
        <f aca="false">IF(AND(Q1253=1,B1253-_xlfn.MINIFS($B$2:$B$2705,$A$2:$A$2705,A1253)&lt;10),1,0)</f>
        <v>0</v>
      </c>
      <c r="S1253" s="7" t="n">
        <v>1</v>
      </c>
      <c r="T1253" s="3" t="n">
        <f aca="false">_xlfn.MINIFS($B$2:$B$2705,$A$2:$A$2705,A1253)</f>
        <v>1903</v>
      </c>
      <c r="U1253" s="3" t="n">
        <f aca="false">B1253-T1253</f>
        <v>71</v>
      </c>
      <c r="V1253" s="3" t="str">
        <f aca="false">INDEX(Pop_Inputs!$Q$2:$Q$29,MATCH(C1253,Pop_Inputs!$A$2:$A$29,0))</f>
        <v>Northeast</v>
      </c>
      <c r="W1253" s="30"/>
      <c r="X1253" s="3" t="str">
        <f aca="false">IF(W1253="","",LN(W1253))</f>
        <v/>
      </c>
      <c r="Y1253" s="3" t="str">
        <f aca="false">IF(X1253="","",X1253-AVERAGEIFS($X$2:$X$2705,$B$2:$B$2705,B1253))</f>
        <v/>
      </c>
      <c r="Z1253" s="21" t="n">
        <f aca="false">P1253</f>
        <v>1.41783857031772</v>
      </c>
      <c r="AA1253" s="3" t="n">
        <f aca="false">R1253</f>
        <v>0</v>
      </c>
      <c r="AB1253" s="21" t="n">
        <f aca="false">P1253</f>
        <v>1.41783857031772</v>
      </c>
      <c r="AC1253" s="3" t="str">
        <f aca="false">Y1253</f>
        <v/>
      </c>
      <c r="AD1253" s="3" t="n">
        <f aca="false">R1253</f>
        <v>0</v>
      </c>
    </row>
    <row r="1254" customFormat="false" ht="15" hidden="false" customHeight="true" outlineLevel="0" collapsed="false">
      <c r="A1254" s="7" t="s">
        <v>69</v>
      </c>
      <c r="B1254" s="7" t="n">
        <v>1974</v>
      </c>
      <c r="C1254" s="7" t="s">
        <v>253</v>
      </c>
      <c r="D1254" s="7" t="n">
        <v>90</v>
      </c>
      <c r="E1254" s="7" t="n">
        <v>72</v>
      </c>
      <c r="F1254" s="3" t="n">
        <f aca="false">COUNTIFS($B$2:$B$2705,B1254,$C$2:$C$2705,C1254)</f>
        <v>1</v>
      </c>
      <c r="G1254" s="3" t="n">
        <f aca="false">MIN(INT((MIN(B1254,2020)-1900)/10)+1,12)</f>
        <v>8</v>
      </c>
      <c r="H1254" s="3" t="n">
        <f aca="false">(MIN(B1254,2020)-1900-10*(G1254-1))/10</f>
        <v>0.4</v>
      </c>
      <c r="I1254" s="20" t="n">
        <f aca="false">EXP(LN(INDEX(Pop_Inputs!$B$2:$N$29,MATCH(C1254,Pop_Inputs!$A$2:$A$29,0),G1254))*(1-H1254)+LN(INDEX(Pop_Inputs!$B$2:$N$29,MATCH(C1254,Pop_Inputs!$A$2:$A$29,0),G1254+1))*H1254)</f>
        <v>352501.876902914</v>
      </c>
      <c r="J1254" s="20" t="n">
        <f aca="false">I1254/F1254</f>
        <v>352501.876902914</v>
      </c>
      <c r="K1254" s="21" t="n">
        <f aca="false">D1254/(D1254+E1254)</f>
        <v>0.555555555555556</v>
      </c>
      <c r="L1254" s="21" t="n">
        <f aca="false">AVERAGEIFS($K$2:$K$2705,$B$2:$B$2705,B1254)</f>
        <v>0.500019250185313</v>
      </c>
      <c r="M1254" s="21" t="n">
        <f aca="false">K1254-L1254</f>
        <v>0.0555363053702426</v>
      </c>
      <c r="N1254" s="21" t="n">
        <f aca="false">LN(J1254)</f>
        <v>12.7728112257676</v>
      </c>
      <c r="O1254" s="21" t="n">
        <f aca="false">AVERAGEIFS($N$2:$N$2705,$B$2:$B$2705,B1254)</f>
        <v>13.72668901903</v>
      </c>
      <c r="P1254" s="21" t="n">
        <f aca="false">N1254-O1254</f>
        <v>-0.95387779326248</v>
      </c>
      <c r="Q1254" s="7" t="n">
        <v>0</v>
      </c>
      <c r="R1254" s="3" t="n">
        <f aca="false">IF(AND(Q1254=1,B1254-_xlfn.MINIFS($B$2:$B$2705,$A$2:$A$2705,A1254)&lt;10),1,0)</f>
        <v>0</v>
      </c>
      <c r="S1254" s="7" t="n">
        <v>0</v>
      </c>
      <c r="T1254" s="3" t="n">
        <f aca="false">_xlfn.MINIFS($B$2:$B$2705,$A$2:$A$2705,A1254)</f>
        <v>1901</v>
      </c>
      <c r="U1254" s="3" t="n">
        <f aca="false">B1254-T1254</f>
        <v>73</v>
      </c>
      <c r="V1254" s="3" t="str">
        <f aca="false">INDEX(Pop_Inputs!$Q$2:$Q$29,MATCH(C1254,Pop_Inputs!$A$2:$A$29,0))</f>
        <v>West</v>
      </c>
      <c r="W1254" s="30"/>
      <c r="X1254" s="3" t="str">
        <f aca="false">IF(W1254="","",LN(W1254))</f>
        <v/>
      </c>
      <c r="Y1254" s="3" t="str">
        <f aca="false">IF(X1254="","",X1254-AVERAGEIFS($X$2:$X$2705,$B$2:$B$2705,B1254))</f>
        <v/>
      </c>
      <c r="Z1254" s="21" t="n">
        <f aca="false">P1254</f>
        <v>-0.95387779326248</v>
      </c>
      <c r="AA1254" s="3" t="n">
        <f aca="false">R1254</f>
        <v>0</v>
      </c>
      <c r="AB1254" s="21" t="n">
        <f aca="false">P1254</f>
        <v>-0.95387779326248</v>
      </c>
      <c r="AC1254" s="3" t="str">
        <f aca="false">Y1254</f>
        <v/>
      </c>
      <c r="AD1254" s="3" t="n">
        <f aca="false">R1254</f>
        <v>0</v>
      </c>
    </row>
    <row r="1255" customFormat="false" ht="15" hidden="false" customHeight="true" outlineLevel="0" collapsed="false">
      <c r="A1255" s="7" t="s">
        <v>60</v>
      </c>
      <c r="B1255" s="7" t="n">
        <v>1974</v>
      </c>
      <c r="C1255" s="7" t="s">
        <v>146</v>
      </c>
      <c r="D1255" s="7" t="n">
        <v>80</v>
      </c>
      <c r="E1255" s="7" t="n">
        <v>82</v>
      </c>
      <c r="F1255" s="3" t="n">
        <f aca="false">COUNTIFS($B$2:$B$2705,B1255,$C$2:$C$2705,C1255)</f>
        <v>1</v>
      </c>
      <c r="G1255" s="3" t="n">
        <f aca="false">MIN(INT((MIN(B1255,2020)-1900)/10)+1,12)</f>
        <v>8</v>
      </c>
      <c r="H1255" s="3" t="n">
        <f aca="false">(MIN(B1255,2020)-1900-10*(G1255-1))/10</f>
        <v>0.4</v>
      </c>
      <c r="I1255" s="20" t="n">
        <f aca="false">EXP(LN(INDEX(Pop_Inputs!$B$2:$N$29,MATCH(C1255,Pop_Inputs!$A$2:$A$29,0),G1255))*(1-H1255)+LN(INDEX(Pop_Inputs!$B$2:$N$29,MATCH(C1255,Pop_Inputs!$A$2:$A$29,0),G1255+1))*H1255)</f>
        <v>1839947.40914666</v>
      </c>
      <c r="J1255" s="20" t="n">
        <f aca="false">I1255/F1255</f>
        <v>1839947.40914666</v>
      </c>
      <c r="K1255" s="21" t="n">
        <f aca="false">D1255/(D1255+E1255)</f>
        <v>0.493827160493827</v>
      </c>
      <c r="L1255" s="21" t="n">
        <f aca="false">AVERAGEIFS($K$2:$K$2705,$B$2:$B$2705,B1255)</f>
        <v>0.500019250185313</v>
      </c>
      <c r="M1255" s="21" t="n">
        <f aca="false">K1255-L1255</f>
        <v>-0.00619208969148588</v>
      </c>
      <c r="N1255" s="21" t="n">
        <f aca="false">LN(J1255)</f>
        <v>14.4252475471912</v>
      </c>
      <c r="O1255" s="21" t="n">
        <f aca="false">AVERAGEIFS($N$2:$N$2705,$B$2:$B$2705,B1255)</f>
        <v>13.72668901903</v>
      </c>
      <c r="P1255" s="21" t="n">
        <f aca="false">N1255-O1255</f>
        <v>0.698558528161149</v>
      </c>
      <c r="Q1255" s="7" t="n">
        <v>0</v>
      </c>
      <c r="R1255" s="3" t="n">
        <f aca="false">IF(AND(Q1255=1,B1255-_xlfn.MINIFS($B$2:$B$2705,$A$2:$A$2705,A1255)&lt;10),1,0)</f>
        <v>0</v>
      </c>
      <c r="S1255" s="7" t="n">
        <v>0</v>
      </c>
      <c r="T1255" s="3" t="n">
        <f aca="false">_xlfn.MINIFS($B$2:$B$2705,$A$2:$A$2705,A1255)</f>
        <v>1901</v>
      </c>
      <c r="U1255" s="3" t="n">
        <f aca="false">B1255-T1255</f>
        <v>73</v>
      </c>
      <c r="V1255" s="3" t="str">
        <f aca="false">INDEX(Pop_Inputs!$Q$2:$Q$29,MATCH(C1255,Pop_Inputs!$A$2:$A$29,0))</f>
        <v>Northeast</v>
      </c>
      <c r="W1255" s="30"/>
      <c r="X1255" s="3" t="str">
        <f aca="false">IF(W1255="","",LN(W1255))</f>
        <v/>
      </c>
      <c r="Y1255" s="3" t="str">
        <f aca="false">IF(X1255="","",X1255-AVERAGEIFS($X$2:$X$2705,$B$2:$B$2705,B1255))</f>
        <v/>
      </c>
      <c r="Z1255" s="21" t="n">
        <f aca="false">P1255</f>
        <v>0.698558528161149</v>
      </c>
      <c r="AA1255" s="3" t="n">
        <f aca="false">R1255</f>
        <v>0</v>
      </c>
      <c r="AB1255" s="21" t="n">
        <f aca="false">P1255</f>
        <v>0.698558528161149</v>
      </c>
      <c r="AC1255" s="3" t="str">
        <f aca="false">Y1255</f>
        <v/>
      </c>
      <c r="AD1255" s="3" t="n">
        <f aca="false">R1255</f>
        <v>0</v>
      </c>
    </row>
    <row r="1256" customFormat="false" ht="15" hidden="false" customHeight="true" outlineLevel="0" collapsed="false">
      <c r="A1256" s="7" t="s">
        <v>58</v>
      </c>
      <c r="B1256" s="7" t="n">
        <v>1974</v>
      </c>
      <c r="C1256" s="7" t="s">
        <v>144</v>
      </c>
      <c r="D1256" s="7" t="n">
        <v>88</v>
      </c>
      <c r="E1256" s="7" t="n">
        <v>74</v>
      </c>
      <c r="F1256" s="3" t="n">
        <f aca="false">COUNTIFS($B$2:$B$2705,B1256,$C$2:$C$2705,C1256)</f>
        <v>1</v>
      </c>
      <c r="G1256" s="3" t="n">
        <f aca="false">MIN(INT((MIN(B1256,2020)-1900)/10)+1,12)</f>
        <v>8</v>
      </c>
      <c r="H1256" s="3" t="n">
        <f aca="false">(MIN(B1256,2020)-1900-10*(G1256-1))/10</f>
        <v>0.4</v>
      </c>
      <c r="I1256" s="20" t="n">
        <f aca="false">EXP(LN(INDEX(Pop_Inputs!$B$2:$N$29,MATCH(C1256,Pop_Inputs!$A$2:$A$29,0),G1256))*(1-H1256)+LN(INDEX(Pop_Inputs!$B$2:$N$29,MATCH(C1256,Pop_Inputs!$A$2:$A$29,0),G1256+1))*H1256)</f>
        <v>479271.459898056</v>
      </c>
      <c r="J1256" s="20" t="n">
        <f aca="false">I1256/F1256</f>
        <v>479271.459898056</v>
      </c>
      <c r="K1256" s="21" t="n">
        <f aca="false">D1256/(D1256+E1256)</f>
        <v>0.54320987654321</v>
      </c>
      <c r="L1256" s="21" t="n">
        <f aca="false">AVERAGEIFS($K$2:$K$2705,$B$2:$B$2705,B1256)</f>
        <v>0.500019250185313</v>
      </c>
      <c r="M1256" s="21" t="n">
        <f aca="false">K1256-L1256</f>
        <v>0.0431906263578968</v>
      </c>
      <c r="N1256" s="21" t="n">
        <f aca="false">LN(J1256)</f>
        <v>13.0800224379921</v>
      </c>
      <c r="O1256" s="21" t="n">
        <f aca="false">AVERAGEIFS($N$2:$N$2705,$B$2:$B$2705,B1256)</f>
        <v>13.72668901903</v>
      </c>
      <c r="P1256" s="21" t="n">
        <f aca="false">N1256-O1256</f>
        <v>-0.646666581037945</v>
      </c>
      <c r="Q1256" s="7" t="n">
        <v>0</v>
      </c>
      <c r="R1256" s="3" t="n">
        <f aca="false">IF(AND(Q1256=1,B1256-_xlfn.MINIFS($B$2:$B$2705,$A$2:$A$2705,A1256)&lt;10),1,0)</f>
        <v>0</v>
      </c>
      <c r="S1256" s="7" t="n">
        <v>0</v>
      </c>
      <c r="T1256" s="3" t="n">
        <f aca="false">_xlfn.MINIFS($B$2:$B$2705,$A$2:$A$2705,A1256)</f>
        <v>1901</v>
      </c>
      <c r="U1256" s="3" t="n">
        <f aca="false">B1256-T1256</f>
        <v>73</v>
      </c>
      <c r="V1256" s="3" t="str">
        <f aca="false">INDEX(Pop_Inputs!$Q$2:$Q$29,MATCH(C1256,Pop_Inputs!$A$2:$A$29,0))</f>
        <v>Northeast</v>
      </c>
      <c r="W1256" s="30"/>
      <c r="X1256" s="3" t="str">
        <f aca="false">IF(W1256="","",LN(W1256))</f>
        <v/>
      </c>
      <c r="Y1256" s="3" t="str">
        <f aca="false">IF(X1256="","",X1256-AVERAGEIFS($X$2:$X$2705,$B$2:$B$2705,B1256))</f>
        <v/>
      </c>
      <c r="Z1256" s="21" t="n">
        <f aca="false">P1256</f>
        <v>-0.646666581037945</v>
      </c>
      <c r="AA1256" s="3" t="n">
        <f aca="false">R1256</f>
        <v>0</v>
      </c>
      <c r="AB1256" s="21" t="n">
        <f aca="false">P1256</f>
        <v>-0.646666581037945</v>
      </c>
      <c r="AC1256" s="3" t="str">
        <f aca="false">Y1256</f>
        <v/>
      </c>
      <c r="AD1256" s="3" t="n">
        <f aca="false">R1256</f>
        <v>0</v>
      </c>
    </row>
    <row r="1257" customFormat="false" ht="15" hidden="false" customHeight="true" outlineLevel="0" collapsed="false">
      <c r="A1257" s="7" t="s">
        <v>78</v>
      </c>
      <c r="B1257" s="7" t="n">
        <v>1974</v>
      </c>
      <c r="C1257" s="7" t="s">
        <v>159</v>
      </c>
      <c r="D1257" s="7" t="n">
        <v>60</v>
      </c>
      <c r="E1257" s="7" t="n">
        <v>102</v>
      </c>
      <c r="F1257" s="3" t="n">
        <f aca="false">COUNTIFS($B$2:$B$2705,B1257,$C$2:$C$2705,C1257)</f>
        <v>1</v>
      </c>
      <c r="G1257" s="3" t="n">
        <f aca="false">MIN(INT((MIN(B1257,2020)-1900)/10)+1,12)</f>
        <v>8</v>
      </c>
      <c r="H1257" s="3" t="n">
        <f aca="false">(MIN(B1257,2020)-1900-10*(G1257-1))/10</f>
        <v>0.4</v>
      </c>
      <c r="I1257" s="20" t="n">
        <f aca="false">EXP(LN(INDEX(Pop_Inputs!$B$2:$N$29,MATCH(C1257,Pop_Inputs!$A$2:$A$29,0),G1257))*(1-H1257)+LN(INDEX(Pop_Inputs!$B$2:$N$29,MATCH(C1257,Pop_Inputs!$A$2:$A$29,0),G1257+1))*H1257)</f>
        <v>763419.575951953</v>
      </c>
      <c r="J1257" s="20" t="n">
        <f aca="false">I1257/F1257</f>
        <v>763419.575951953</v>
      </c>
      <c r="K1257" s="21" t="n">
        <f aca="false">D1257/(D1257+E1257)</f>
        <v>0.37037037037037</v>
      </c>
      <c r="L1257" s="21" t="n">
        <f aca="false">AVERAGEIFS($K$2:$K$2705,$B$2:$B$2705,B1257)</f>
        <v>0.500019250185313</v>
      </c>
      <c r="M1257" s="21" t="n">
        <f aca="false">K1257-L1257</f>
        <v>-0.129648879814943</v>
      </c>
      <c r="N1257" s="21" t="n">
        <f aca="false">LN(J1257)</f>
        <v>13.5455630620768</v>
      </c>
      <c r="O1257" s="21" t="n">
        <f aca="false">AVERAGEIFS($N$2:$N$2705,$B$2:$B$2705,B1257)</f>
        <v>13.72668901903</v>
      </c>
      <c r="P1257" s="21" t="n">
        <f aca="false">N1257-O1257</f>
        <v>-0.18112595695322</v>
      </c>
      <c r="Q1257" s="7" t="n">
        <v>1</v>
      </c>
      <c r="R1257" s="3" t="n">
        <f aca="false">IF(AND(Q1257=1,B1257-_xlfn.MINIFS($B$2:$B$2705,$A$2:$A$2705,A1257)&lt;10),1,0)</f>
        <v>1</v>
      </c>
      <c r="S1257" s="7" t="n">
        <v>0</v>
      </c>
      <c r="T1257" s="3" t="n">
        <f aca="false">_xlfn.MINIFS($B$2:$B$2705,$A$2:$A$2705,A1257)</f>
        <v>1969</v>
      </c>
      <c r="U1257" s="3" t="n">
        <f aca="false">B1257-T1257</f>
        <v>5</v>
      </c>
      <c r="V1257" s="3" t="str">
        <f aca="false">INDEX(Pop_Inputs!$Q$2:$Q$29,MATCH(C1257,Pop_Inputs!$A$2:$A$29,0))</f>
        <v>West</v>
      </c>
      <c r="W1257" s="30"/>
      <c r="X1257" s="3" t="str">
        <f aca="false">IF(W1257="","",LN(W1257))</f>
        <v/>
      </c>
      <c r="Y1257" s="3" t="str">
        <f aca="false">IF(X1257="","",X1257-AVERAGEIFS($X$2:$X$2705,$B$2:$B$2705,B1257))</f>
        <v/>
      </c>
      <c r="Z1257" s="21" t="n">
        <f aca="false">P1257</f>
        <v>-0.18112595695322</v>
      </c>
      <c r="AA1257" s="3" t="n">
        <f aca="false">R1257</f>
        <v>1</v>
      </c>
      <c r="AB1257" s="21" t="n">
        <f aca="false">P1257</f>
        <v>-0.18112595695322</v>
      </c>
      <c r="AC1257" s="3" t="str">
        <f aca="false">Y1257</f>
        <v/>
      </c>
      <c r="AD1257" s="3" t="n">
        <f aca="false">R1257</f>
        <v>1</v>
      </c>
    </row>
    <row r="1258" customFormat="false" ht="15" hidden="false" customHeight="true" outlineLevel="0" collapsed="false">
      <c r="A1258" s="7" t="s">
        <v>61</v>
      </c>
      <c r="B1258" s="7" t="n">
        <v>1974</v>
      </c>
      <c r="C1258" s="7" t="s">
        <v>147</v>
      </c>
      <c r="D1258" s="7" t="n">
        <v>72</v>
      </c>
      <c r="E1258" s="7" t="n">
        <v>90</v>
      </c>
      <c r="F1258" s="3" t="n">
        <f aca="false">COUNTIFS($B$2:$B$2705,B1258,$C$2:$C$2705,C1258)</f>
        <v>1</v>
      </c>
      <c r="G1258" s="3" t="n">
        <f aca="false">MIN(INT((MIN(B1258,2020)-1900)/10)+1,12)</f>
        <v>8</v>
      </c>
      <c r="H1258" s="3" t="n">
        <f aca="false">(MIN(B1258,2020)-1900-10*(G1258-1))/10</f>
        <v>0.4</v>
      </c>
      <c r="I1258" s="20" t="n">
        <f aca="false">EXP(LN(INDEX(Pop_Inputs!$B$2:$N$29,MATCH(C1258,Pop_Inputs!$A$2:$A$29,0),G1258))*(1-H1258)+LN(INDEX(Pop_Inputs!$B$2:$N$29,MATCH(C1258,Pop_Inputs!$A$2:$A$29,0),G1258+1))*H1258)</f>
        <v>700761.77105333</v>
      </c>
      <c r="J1258" s="20" t="n">
        <f aca="false">I1258/F1258</f>
        <v>700761.77105333</v>
      </c>
      <c r="K1258" s="21" t="n">
        <f aca="false">D1258/(D1258+E1258)</f>
        <v>0.444444444444444</v>
      </c>
      <c r="L1258" s="21" t="n">
        <f aca="false">AVERAGEIFS($K$2:$K$2705,$B$2:$B$2705,B1258)</f>
        <v>0.500019250185313</v>
      </c>
      <c r="M1258" s="21" t="n">
        <f aca="false">K1258-L1258</f>
        <v>-0.0555748057408686</v>
      </c>
      <c r="N1258" s="21" t="n">
        <f aca="false">LN(J1258)</f>
        <v>13.4599232666788</v>
      </c>
      <c r="O1258" s="21" t="n">
        <f aca="false">AVERAGEIFS($N$2:$N$2705,$B$2:$B$2705,B1258)</f>
        <v>13.72668901903</v>
      </c>
      <c r="P1258" s="21" t="n">
        <f aca="false">N1258-O1258</f>
        <v>-0.266765752351249</v>
      </c>
      <c r="Q1258" s="7" t="n">
        <v>0</v>
      </c>
      <c r="R1258" s="3" t="n">
        <f aca="false">IF(AND(Q1258=1,B1258-_xlfn.MINIFS($B$2:$B$2705,$A$2:$A$2705,A1258)&lt;10),1,0)</f>
        <v>0</v>
      </c>
      <c r="S1258" s="7" t="n">
        <v>0</v>
      </c>
      <c r="T1258" s="3" t="n">
        <f aca="false">_xlfn.MINIFS($B$2:$B$2705,$A$2:$A$2705,A1258)</f>
        <v>1901</v>
      </c>
      <c r="U1258" s="3" t="n">
        <f aca="false">B1258-T1258</f>
        <v>73</v>
      </c>
      <c r="V1258" s="3" t="str">
        <f aca="false">INDEX(Pop_Inputs!$Q$2:$Q$29,MATCH(C1258,Pop_Inputs!$A$2:$A$29,0))</f>
        <v>West</v>
      </c>
      <c r="W1258" s="30"/>
      <c r="X1258" s="3" t="str">
        <f aca="false">IF(W1258="","",LN(W1258))</f>
        <v/>
      </c>
      <c r="Y1258" s="3" t="str">
        <f aca="false">IF(X1258="","",X1258-AVERAGEIFS($X$2:$X$2705,$B$2:$B$2705,B1258))</f>
        <v/>
      </c>
      <c r="Z1258" s="21" t="n">
        <f aca="false">P1258</f>
        <v>-0.266765752351249</v>
      </c>
      <c r="AA1258" s="3" t="n">
        <f aca="false">R1258</f>
        <v>0</v>
      </c>
      <c r="AB1258" s="21" t="n">
        <f aca="false">P1258</f>
        <v>-0.266765752351249</v>
      </c>
      <c r="AC1258" s="3" t="str">
        <f aca="false">Y1258</f>
        <v/>
      </c>
      <c r="AD1258" s="3" t="n">
        <f aca="false">R1258</f>
        <v>0</v>
      </c>
    </row>
    <row r="1259" customFormat="false" ht="15" hidden="false" customHeight="true" outlineLevel="0" collapsed="false">
      <c r="A1259" s="7" t="s">
        <v>59</v>
      </c>
      <c r="B1259" s="7" t="n">
        <v>1974</v>
      </c>
      <c r="C1259" s="7" t="s">
        <v>145</v>
      </c>
      <c r="D1259" s="7" t="n">
        <v>86</v>
      </c>
      <c r="E1259" s="7" t="n">
        <v>75</v>
      </c>
      <c r="F1259" s="3" t="n">
        <f aca="false">COUNTIFS($B$2:$B$2705,B1259,$C$2:$C$2705,C1259)</f>
        <v>1</v>
      </c>
      <c r="G1259" s="3" t="n">
        <f aca="false">MIN(INT((MIN(B1259,2020)-1900)/10)+1,12)</f>
        <v>8</v>
      </c>
      <c r="H1259" s="3" t="n">
        <f aca="false">(MIN(B1259,2020)-1900-10*(G1259-1))/10</f>
        <v>0.4</v>
      </c>
      <c r="I1259" s="20" t="n">
        <f aca="false">EXP(LN(INDEX(Pop_Inputs!$B$2:$N$29,MATCH(C1259,Pop_Inputs!$A$2:$A$29,0),G1259))*(1-H1259)+LN(INDEX(Pop_Inputs!$B$2:$N$29,MATCH(C1259,Pop_Inputs!$A$2:$A$29,0),G1259+1))*H1259)</f>
        <v>548429.479295674</v>
      </c>
      <c r="J1259" s="20" t="n">
        <f aca="false">I1259/F1259</f>
        <v>548429.479295674</v>
      </c>
      <c r="K1259" s="21" t="n">
        <f aca="false">D1259/(D1259+E1259)</f>
        <v>0.53416149068323</v>
      </c>
      <c r="L1259" s="21" t="n">
        <f aca="false">AVERAGEIFS($K$2:$K$2705,$B$2:$B$2705,B1259)</f>
        <v>0.500019250185313</v>
      </c>
      <c r="M1259" s="21" t="n">
        <f aca="false">K1259-L1259</f>
        <v>0.0341422404979168</v>
      </c>
      <c r="N1259" s="21" t="n">
        <f aca="false">LN(J1259)</f>
        <v>13.2148139803234</v>
      </c>
      <c r="O1259" s="21" t="n">
        <f aca="false">AVERAGEIFS($N$2:$N$2705,$B$2:$B$2705,B1259)</f>
        <v>13.72668901903</v>
      </c>
      <c r="P1259" s="21" t="n">
        <f aca="false">N1259-O1259</f>
        <v>-0.511875038706622</v>
      </c>
      <c r="Q1259" s="7" t="n">
        <v>0</v>
      </c>
      <c r="R1259" s="3" t="n">
        <f aca="false">IF(AND(Q1259=1,B1259-_xlfn.MINIFS($B$2:$B$2705,$A$2:$A$2705,A1259)&lt;10),1,0)</f>
        <v>0</v>
      </c>
      <c r="S1259" s="7" t="n">
        <v>0</v>
      </c>
      <c r="T1259" s="3" t="n">
        <f aca="false">_xlfn.MINIFS($B$2:$B$2705,$A$2:$A$2705,A1259)</f>
        <v>1901</v>
      </c>
      <c r="U1259" s="3" t="n">
        <f aca="false">B1259-T1259</f>
        <v>73</v>
      </c>
      <c r="V1259" s="3" t="str">
        <f aca="false">INDEX(Pop_Inputs!$Q$2:$Q$29,MATCH(C1259,Pop_Inputs!$A$2:$A$29,0))</f>
        <v>Midwest</v>
      </c>
      <c r="W1259" s="30"/>
      <c r="X1259" s="3" t="str">
        <f aca="false">IF(W1259="","",LN(W1259))</f>
        <v/>
      </c>
      <c r="Y1259" s="3" t="str">
        <f aca="false">IF(X1259="","",X1259-AVERAGEIFS($X$2:$X$2705,$B$2:$B$2705,B1259))</f>
        <v/>
      </c>
      <c r="Z1259" s="21" t="n">
        <f aca="false">P1259</f>
        <v>-0.511875038706622</v>
      </c>
      <c r="AA1259" s="3" t="n">
        <f aca="false">R1259</f>
        <v>0</v>
      </c>
      <c r="AB1259" s="21" t="n">
        <f aca="false">P1259</f>
        <v>-0.511875038706622</v>
      </c>
      <c r="AC1259" s="3" t="str">
        <f aca="false">Y1259</f>
        <v/>
      </c>
      <c r="AD1259" s="3" t="n">
        <f aca="false">R1259</f>
        <v>0</v>
      </c>
    </row>
    <row r="1260" customFormat="false" ht="15" hidden="false" customHeight="true" outlineLevel="0" collapsed="false">
      <c r="A1260" s="7" t="s">
        <v>73</v>
      </c>
      <c r="B1260" s="7" t="n">
        <v>1974</v>
      </c>
      <c r="C1260" s="7" t="s">
        <v>155</v>
      </c>
      <c r="D1260" s="7" t="n">
        <v>84</v>
      </c>
      <c r="E1260" s="7" t="n">
        <v>76</v>
      </c>
      <c r="F1260" s="3" t="n">
        <f aca="false">COUNTIFS($B$2:$B$2705,B1260,$C$2:$C$2705,C1260)</f>
        <v>1</v>
      </c>
      <c r="G1260" s="3" t="n">
        <f aca="false">MIN(INT((MIN(B1260,2020)-1900)/10)+1,12)</f>
        <v>8</v>
      </c>
      <c r="H1260" s="3" t="n">
        <f aca="false">(MIN(B1260,2020)-1900-10*(G1260-1))/10</f>
        <v>0.4</v>
      </c>
      <c r="I1260" s="20" t="n">
        <f aca="false">EXP(LN(INDEX(Pop_Inputs!$B$2:$N$29,MATCH(C1260,Pop_Inputs!$A$2:$A$29,0),G1260))*(1-H1260)+LN(INDEX(Pop_Inputs!$B$2:$N$29,MATCH(C1260,Pop_Inputs!$A$2:$A$29,0),G1260+1))*H1260)</f>
        <v>867783.930858295</v>
      </c>
      <c r="J1260" s="20" t="n">
        <f aca="false">I1260/F1260</f>
        <v>867783.930858295</v>
      </c>
      <c r="K1260" s="21" t="n">
        <f aca="false">D1260/(D1260+E1260)</f>
        <v>0.525</v>
      </c>
      <c r="L1260" s="21" t="n">
        <f aca="false">AVERAGEIFS($K$2:$K$2705,$B$2:$B$2705,B1260)</f>
        <v>0.500019250185313</v>
      </c>
      <c r="M1260" s="21" t="n">
        <f aca="false">K1260-L1260</f>
        <v>0.024980749814687</v>
      </c>
      <c r="N1260" s="21" t="n">
        <f aca="false">LN(J1260)</f>
        <v>13.6736980350723</v>
      </c>
      <c r="O1260" s="21" t="n">
        <f aca="false">AVERAGEIFS($N$2:$N$2705,$B$2:$B$2705,B1260)</f>
        <v>13.72668901903</v>
      </c>
      <c r="P1260" s="21" t="n">
        <f aca="false">N1260-O1260</f>
        <v>-0.0529909839577734</v>
      </c>
      <c r="Q1260" s="7" t="n">
        <v>1</v>
      </c>
      <c r="R1260" s="3" t="n">
        <f aca="false">IF(AND(Q1260=1,B1260-_xlfn.MINIFS($B$2:$B$2705,$A$2:$A$2705,A1260)&lt;10),1,0)</f>
        <v>0</v>
      </c>
      <c r="S1260" s="7" t="n">
        <v>0</v>
      </c>
      <c r="T1260" s="3" t="n">
        <f aca="false">_xlfn.MINIFS($B$2:$B$2705,$A$2:$A$2705,A1260)</f>
        <v>1961</v>
      </c>
      <c r="U1260" s="3" t="n">
        <f aca="false">B1260-T1260</f>
        <v>13</v>
      </c>
      <c r="V1260" s="3" t="str">
        <f aca="false">INDEX(Pop_Inputs!$Q$2:$Q$29,MATCH(C1260,Pop_Inputs!$A$2:$A$29,0))</f>
        <v>South</v>
      </c>
      <c r="W1260" s="30"/>
      <c r="X1260" s="3" t="str">
        <f aca="false">IF(W1260="","",LN(W1260))</f>
        <v/>
      </c>
      <c r="Y1260" s="3" t="str">
        <f aca="false">IF(X1260="","",X1260-AVERAGEIFS($X$2:$X$2705,$B$2:$B$2705,B1260))</f>
        <v/>
      </c>
      <c r="Z1260" s="21" t="n">
        <f aca="false">P1260</f>
        <v>-0.0529909839577734</v>
      </c>
      <c r="AA1260" s="3" t="n">
        <f aca="false">R1260</f>
        <v>0</v>
      </c>
      <c r="AB1260" s="21" t="n">
        <f aca="false">P1260</f>
        <v>-0.0529909839577734</v>
      </c>
      <c r="AC1260" s="3" t="str">
        <f aca="false">Y1260</f>
        <v/>
      </c>
      <c r="AD1260" s="3" t="n">
        <f aca="false">R1260</f>
        <v>0</v>
      </c>
    </row>
    <row r="1261" customFormat="false" ht="15" hidden="false" customHeight="true" outlineLevel="0" collapsed="false">
      <c r="A1261" s="7" t="s">
        <v>79</v>
      </c>
      <c r="B1261" s="7" t="n">
        <v>1974</v>
      </c>
      <c r="C1261" s="7" t="s">
        <v>254</v>
      </c>
      <c r="D1261" s="7" t="n">
        <v>79</v>
      </c>
      <c r="E1261" s="7" t="n">
        <v>82</v>
      </c>
      <c r="F1261" s="3" t="n">
        <f aca="false">COUNTIFS($B$2:$B$2705,B1261,$C$2:$C$2705,C1261)</f>
        <v>1</v>
      </c>
      <c r="G1261" s="3" t="n">
        <f aca="false">MIN(INT((MIN(B1261,2020)-1900)/10)+1,12)</f>
        <v>8</v>
      </c>
      <c r="H1261" s="3" t="n">
        <f aca="false">(MIN(B1261,2020)-1900-10*(G1261-1))/10</f>
        <v>0.4</v>
      </c>
      <c r="I1261" s="20" t="n">
        <f aca="false">EXP(LN(INDEX(Pop_Inputs!$B$2:$N$29,MATCH(C1261,Pop_Inputs!$A$2:$A$29,0),G1261))*(1-H1261)+LN(INDEX(Pop_Inputs!$B$2:$N$29,MATCH(C1261,Pop_Inputs!$A$2:$A$29,0),G1261+1))*H1261)</f>
        <v>1114704.93933242</v>
      </c>
      <c r="J1261" s="20" t="n">
        <f aca="false">I1261/F1261</f>
        <v>1114704.93933242</v>
      </c>
      <c r="K1261" s="21" t="n">
        <f aca="false">D1261/(D1261+E1261)</f>
        <v>0.490683229813665</v>
      </c>
      <c r="L1261" s="21" t="n">
        <f aca="false">AVERAGEIFS($K$2:$K$2705,$B$2:$B$2705,B1261)</f>
        <v>0.500019250185313</v>
      </c>
      <c r="M1261" s="21" t="n">
        <f aca="false">K1261-L1261</f>
        <v>-0.00933602037164844</v>
      </c>
      <c r="N1261" s="21" t="n">
        <f aca="false">LN(J1261)</f>
        <v>13.9241002994547</v>
      </c>
      <c r="O1261" s="21" t="n">
        <f aca="false">AVERAGEIFS($N$2:$N$2705,$B$2:$B$2705,B1261)</f>
        <v>13.72668901903</v>
      </c>
      <c r="P1261" s="21" t="n">
        <f aca="false">N1261-O1261</f>
        <v>0.197411280424623</v>
      </c>
      <c r="Q1261" s="7" t="n">
        <v>1</v>
      </c>
      <c r="R1261" s="3" t="n">
        <f aca="false">IF(AND(Q1261=1,B1261-_xlfn.MINIFS($B$2:$B$2705,$A$2:$A$2705,A1261)&lt;10),1,0)</f>
        <v>1</v>
      </c>
      <c r="S1261" s="7" t="n">
        <v>0</v>
      </c>
      <c r="T1261" s="3" t="n">
        <f aca="false">_xlfn.MINIFS($B$2:$B$2705,$A$2:$A$2705,A1261)</f>
        <v>1969</v>
      </c>
      <c r="U1261" s="3" t="n">
        <f aca="false">B1261-T1261</f>
        <v>5</v>
      </c>
      <c r="V1261" s="3" t="str">
        <f aca="false">INDEX(Pop_Inputs!$Q$2:$Q$29,MATCH(C1261,Pop_Inputs!$A$2:$A$29,0))</f>
        <v>Canada</v>
      </c>
      <c r="W1261" s="30"/>
      <c r="X1261" s="3" t="str">
        <f aca="false">IF(W1261="","",LN(W1261))</f>
        <v/>
      </c>
      <c r="Y1261" s="3" t="str">
        <f aca="false">IF(X1261="","",X1261-AVERAGEIFS($X$2:$X$2705,$B$2:$B$2705,B1261))</f>
        <v/>
      </c>
      <c r="Z1261" s="21" t="n">
        <f aca="false">P1261</f>
        <v>0.197411280424623</v>
      </c>
      <c r="AA1261" s="3" t="n">
        <f aca="false">R1261</f>
        <v>1</v>
      </c>
      <c r="AB1261" s="21" t="n">
        <f aca="false">P1261</f>
        <v>0.197411280424623</v>
      </c>
      <c r="AC1261" s="3" t="str">
        <f aca="false">Y1261</f>
        <v/>
      </c>
      <c r="AD1261" s="3" t="n">
        <f aca="false">R1261</f>
        <v>1</v>
      </c>
    </row>
    <row r="1262" customFormat="false" ht="15" hidden="false" customHeight="true" outlineLevel="0" collapsed="false">
      <c r="A1262" s="7" t="s">
        <v>71</v>
      </c>
      <c r="B1262" s="7" t="n">
        <v>1975</v>
      </c>
      <c r="C1262" s="7" t="s">
        <v>148</v>
      </c>
      <c r="D1262" s="7" t="n">
        <v>72</v>
      </c>
      <c r="E1262" s="7" t="n">
        <v>89</v>
      </c>
      <c r="F1262" s="3" t="n">
        <f aca="false">COUNTIFS($B$2:$B$2705,B1262,$C$2:$C$2705,C1262)</f>
        <v>2</v>
      </c>
      <c r="G1262" s="3" t="n">
        <f aca="false">MIN(INT((MIN(B1262,2020)-1900)/10)+1,12)</f>
        <v>8</v>
      </c>
      <c r="H1262" s="3" t="n">
        <f aca="false">(MIN(B1262,2020)-1900-10*(G1262-1))/10</f>
        <v>0.5</v>
      </c>
      <c r="I1262" s="20" t="n">
        <f aca="false">EXP(LN(INDEX(Pop_Inputs!$B$2:$N$29,MATCH(C1262,Pop_Inputs!$A$2:$A$29,0),G1262))*(1-H1262)+LN(INDEX(Pop_Inputs!$B$2:$N$29,MATCH(C1262,Pop_Inputs!$A$2:$A$29,0),G1262+1))*H1262)</f>
        <v>2890472.37970717</v>
      </c>
      <c r="J1262" s="20" t="n">
        <f aca="false">I1262/F1262</f>
        <v>1445236.18985358</v>
      </c>
      <c r="K1262" s="21" t="n">
        <f aca="false">D1262/(D1262+E1262)</f>
        <v>0.447204968944099</v>
      </c>
      <c r="L1262" s="21" t="n">
        <f aca="false">AVERAGEIFS($K$2:$K$2705,$B$2:$B$2705,B1262)</f>
        <v>0.499927506240599</v>
      </c>
      <c r="M1262" s="21" t="n">
        <f aca="false">K1262-L1262</f>
        <v>-0.0527225372964993</v>
      </c>
      <c r="N1262" s="21" t="n">
        <f aca="false">LN(J1262)</f>
        <v>14.1837833193575</v>
      </c>
      <c r="O1262" s="21" t="n">
        <f aca="false">AVERAGEIFS($N$2:$N$2705,$B$2:$B$2705,B1262)</f>
        <v>13.7172543332906</v>
      </c>
      <c r="P1262" s="21" t="n">
        <f aca="false">N1262-O1262</f>
        <v>0.466528986066919</v>
      </c>
      <c r="Q1262" s="7" t="n">
        <v>1</v>
      </c>
      <c r="R1262" s="3" t="n">
        <f aca="false">IF(AND(Q1262=1,B1262-_xlfn.MINIFS($B$2:$B$2705,$A$2:$A$2705,A1262)&lt;10),1,0)</f>
        <v>0</v>
      </c>
      <c r="S1262" s="7" t="n">
        <v>0</v>
      </c>
      <c r="T1262" s="3" t="n">
        <f aca="false">_xlfn.MINIFS($B$2:$B$2705,$A$2:$A$2705,A1262)</f>
        <v>1961</v>
      </c>
      <c r="U1262" s="3" t="n">
        <f aca="false">B1262-T1262</f>
        <v>14</v>
      </c>
      <c r="V1262" s="3" t="str">
        <f aca="false">INDEX(Pop_Inputs!$Q$2:$Q$29,MATCH(C1262,Pop_Inputs!$A$2:$A$29,0))</f>
        <v>West</v>
      </c>
      <c r="W1262" s="30"/>
      <c r="X1262" s="3" t="str">
        <f aca="false">IF(W1262="","",LN(W1262))</f>
        <v/>
      </c>
      <c r="Y1262" s="3" t="str">
        <f aca="false">IF(X1262="","",X1262-AVERAGEIFS($X$2:$X$2705,$B$2:$B$2705,B1262))</f>
        <v/>
      </c>
      <c r="Z1262" s="21" t="n">
        <f aca="false">P1262</f>
        <v>0.466528986066919</v>
      </c>
      <c r="AA1262" s="3" t="n">
        <f aca="false">R1262</f>
        <v>0</v>
      </c>
      <c r="AB1262" s="21" t="n">
        <f aca="false">P1262</f>
        <v>0.466528986066919</v>
      </c>
      <c r="AC1262" s="3" t="str">
        <f aca="false">Y1262</f>
        <v/>
      </c>
      <c r="AD1262" s="3" t="n">
        <f aca="false">R1262</f>
        <v>0</v>
      </c>
    </row>
    <row r="1263" customFormat="false" ht="15" hidden="false" customHeight="true" outlineLevel="0" collapsed="false">
      <c r="A1263" s="7" t="s">
        <v>54</v>
      </c>
      <c r="B1263" s="7" t="n">
        <v>1975</v>
      </c>
      <c r="C1263" s="7" t="s">
        <v>141</v>
      </c>
      <c r="D1263" s="7" t="n">
        <v>67</v>
      </c>
      <c r="E1263" s="7" t="n">
        <v>94</v>
      </c>
      <c r="F1263" s="3" t="n">
        <f aca="false">COUNTIFS($B$2:$B$2705,B1263,$C$2:$C$2705,C1263)</f>
        <v>1</v>
      </c>
      <c r="G1263" s="3" t="n">
        <f aca="false">MIN(INT((MIN(B1263,2020)-1900)/10)+1,12)</f>
        <v>8</v>
      </c>
      <c r="H1263" s="3" t="n">
        <f aca="false">(MIN(B1263,2020)-1900-10*(G1263-1))/10</f>
        <v>0.5</v>
      </c>
      <c r="I1263" s="20" t="n">
        <f aca="false">EXP(LN(INDEX(Pop_Inputs!$B$2:$N$29,MATCH(C1263,Pop_Inputs!$A$2:$A$29,0),G1263))*(1-H1263)+LN(INDEX(Pop_Inputs!$B$2:$N$29,MATCH(C1263,Pop_Inputs!$A$2:$A$29,0),G1263+1))*H1263)</f>
        <v>458696.485552266</v>
      </c>
      <c r="J1263" s="20" t="n">
        <f aca="false">I1263/F1263</f>
        <v>458696.485552266</v>
      </c>
      <c r="K1263" s="21" t="n">
        <f aca="false">D1263/(D1263+E1263)</f>
        <v>0.416149068322981</v>
      </c>
      <c r="L1263" s="21" t="n">
        <f aca="false">AVERAGEIFS($K$2:$K$2705,$B$2:$B$2705,B1263)</f>
        <v>0.499927506240599</v>
      </c>
      <c r="M1263" s="21" t="n">
        <f aca="false">K1263-L1263</f>
        <v>-0.0837784379176174</v>
      </c>
      <c r="N1263" s="21" t="n">
        <f aca="false">LN(J1263)</f>
        <v>13.0361440187994</v>
      </c>
      <c r="O1263" s="21" t="n">
        <f aca="false">AVERAGEIFS($N$2:$N$2705,$B$2:$B$2705,B1263)</f>
        <v>13.7172543332906</v>
      </c>
      <c r="P1263" s="21" t="n">
        <f aca="false">N1263-O1263</f>
        <v>-0.681110314491253</v>
      </c>
      <c r="Q1263" s="7" t="n">
        <v>0</v>
      </c>
      <c r="R1263" s="3" t="n">
        <f aca="false">IF(AND(Q1263=1,B1263-_xlfn.MINIFS($B$2:$B$2705,$A$2:$A$2705,A1263)&lt;10),1,0)</f>
        <v>0</v>
      </c>
      <c r="S1263" s="7" t="n">
        <v>0</v>
      </c>
      <c r="T1263" s="3" t="n">
        <f aca="false">_xlfn.MINIFS($B$2:$B$2705,$A$2:$A$2705,A1263)</f>
        <v>1901</v>
      </c>
      <c r="U1263" s="3" t="n">
        <f aca="false">B1263-T1263</f>
        <v>74</v>
      </c>
      <c r="V1263" s="3" t="str">
        <f aca="false">INDEX(Pop_Inputs!$Q$2:$Q$29,MATCH(C1263,Pop_Inputs!$A$2:$A$29,0))</f>
        <v>South</v>
      </c>
      <c r="W1263" s="30"/>
      <c r="X1263" s="3" t="str">
        <f aca="false">IF(W1263="","",LN(W1263))</f>
        <v/>
      </c>
      <c r="Y1263" s="3" t="str">
        <f aca="false">IF(X1263="","",X1263-AVERAGEIFS($X$2:$X$2705,$B$2:$B$2705,B1263))</f>
        <v/>
      </c>
      <c r="Z1263" s="21" t="n">
        <f aca="false">P1263</f>
        <v>-0.681110314491253</v>
      </c>
      <c r="AA1263" s="3" t="n">
        <f aca="false">R1263</f>
        <v>0</v>
      </c>
      <c r="AB1263" s="21" t="n">
        <f aca="false">P1263</f>
        <v>-0.681110314491253</v>
      </c>
      <c r="AC1263" s="3" t="str">
        <f aca="false">Y1263</f>
        <v/>
      </c>
      <c r="AD1263" s="3" t="n">
        <f aca="false">R1263</f>
        <v>0</v>
      </c>
    </row>
    <row r="1264" customFormat="false" ht="15" hidden="false" customHeight="true" outlineLevel="0" collapsed="false">
      <c r="A1264" s="7" t="s">
        <v>63</v>
      </c>
      <c r="B1264" s="7" t="n">
        <v>1975</v>
      </c>
      <c r="C1264" s="7" t="s">
        <v>149</v>
      </c>
      <c r="D1264" s="7" t="n">
        <v>90</v>
      </c>
      <c r="E1264" s="7" t="n">
        <v>69</v>
      </c>
      <c r="F1264" s="3" t="n">
        <f aca="false">COUNTIFS($B$2:$B$2705,B1264,$C$2:$C$2705,C1264)</f>
        <v>1</v>
      </c>
      <c r="G1264" s="3" t="n">
        <f aca="false">MIN(INT((MIN(B1264,2020)-1900)/10)+1,12)</f>
        <v>8</v>
      </c>
      <c r="H1264" s="3" t="n">
        <f aca="false">(MIN(B1264,2020)-1900-10*(G1264-1))/10</f>
        <v>0.5</v>
      </c>
      <c r="I1264" s="20" t="n">
        <f aca="false">EXP(LN(INDEX(Pop_Inputs!$B$2:$N$29,MATCH(C1264,Pop_Inputs!$A$2:$A$29,0),G1264))*(1-H1264)+LN(INDEX(Pop_Inputs!$B$2:$N$29,MATCH(C1264,Pop_Inputs!$A$2:$A$29,0),G1264+1))*H1264)</f>
        <v>844173.286254071</v>
      </c>
      <c r="J1264" s="20" t="n">
        <f aca="false">I1264/F1264</f>
        <v>844173.286254071</v>
      </c>
      <c r="K1264" s="21" t="n">
        <f aca="false">D1264/(D1264+E1264)</f>
        <v>0.566037735849057</v>
      </c>
      <c r="L1264" s="21" t="n">
        <f aca="false">AVERAGEIFS($K$2:$K$2705,$B$2:$B$2705,B1264)</f>
        <v>0.499927506240599</v>
      </c>
      <c r="M1264" s="21" t="n">
        <f aca="false">K1264-L1264</f>
        <v>0.0661102296084579</v>
      </c>
      <c r="N1264" s="21" t="n">
        <f aca="false">LN(J1264)</f>
        <v>13.6461130679707</v>
      </c>
      <c r="O1264" s="21" t="n">
        <f aca="false">AVERAGEIFS($N$2:$N$2705,$B$2:$B$2705,B1264)</f>
        <v>13.7172543332906</v>
      </c>
      <c r="P1264" s="21" t="n">
        <f aca="false">N1264-O1264</f>
        <v>-0.0711412653199375</v>
      </c>
      <c r="Q1264" s="7" t="n">
        <v>0</v>
      </c>
      <c r="R1264" s="3" t="n">
        <f aca="false">IF(AND(Q1264=1,B1264-_xlfn.MINIFS($B$2:$B$2705,$A$2:$A$2705,A1264)&lt;10),1,0)</f>
        <v>0</v>
      </c>
      <c r="S1264" s="7" t="n">
        <v>0</v>
      </c>
      <c r="T1264" s="3" t="n">
        <f aca="false">_xlfn.MINIFS($B$2:$B$2705,$A$2:$A$2705,A1264)</f>
        <v>1901</v>
      </c>
      <c r="U1264" s="3" t="n">
        <f aca="false">B1264-T1264</f>
        <v>74</v>
      </c>
      <c r="V1264" s="3" t="str">
        <f aca="false">INDEX(Pop_Inputs!$Q$2:$Q$29,MATCH(C1264,Pop_Inputs!$A$2:$A$29,0))</f>
        <v>South</v>
      </c>
      <c r="W1264" s="30"/>
      <c r="X1264" s="3" t="str">
        <f aca="false">IF(W1264="","",LN(W1264))</f>
        <v/>
      </c>
      <c r="Y1264" s="3" t="str">
        <f aca="false">IF(X1264="","",X1264-AVERAGEIFS($X$2:$X$2705,$B$2:$B$2705,B1264))</f>
        <v/>
      </c>
      <c r="Z1264" s="21" t="n">
        <f aca="false">P1264</f>
        <v>-0.0711412653199375</v>
      </c>
      <c r="AA1264" s="3" t="n">
        <f aca="false">R1264</f>
        <v>0</v>
      </c>
      <c r="AB1264" s="21" t="n">
        <f aca="false">P1264</f>
        <v>-0.0711412653199375</v>
      </c>
      <c r="AC1264" s="3" t="str">
        <f aca="false">Y1264</f>
        <v/>
      </c>
      <c r="AD1264" s="3" t="n">
        <f aca="false">R1264</f>
        <v>0</v>
      </c>
    </row>
    <row r="1265" customFormat="false" ht="15" hidden="false" customHeight="true" outlineLevel="0" collapsed="false">
      <c r="A1265" s="7" t="s">
        <v>64</v>
      </c>
      <c r="B1265" s="7" t="n">
        <v>1975</v>
      </c>
      <c r="C1265" s="7" t="s">
        <v>150</v>
      </c>
      <c r="D1265" s="7" t="n">
        <v>95</v>
      </c>
      <c r="E1265" s="7" t="n">
        <v>65</v>
      </c>
      <c r="F1265" s="3" t="n">
        <f aca="false">COUNTIFS($B$2:$B$2705,B1265,$C$2:$C$2705,C1265)</f>
        <v>1</v>
      </c>
      <c r="G1265" s="3" t="n">
        <f aca="false">MIN(INT((MIN(B1265,2020)-1900)/10)+1,12)</f>
        <v>8</v>
      </c>
      <c r="H1265" s="3" t="n">
        <f aca="false">(MIN(B1265,2020)-1900-10*(G1265-1))/10</f>
        <v>0.5</v>
      </c>
      <c r="I1265" s="20" t="n">
        <f aca="false">EXP(LN(INDEX(Pop_Inputs!$B$2:$N$29,MATCH(C1265,Pop_Inputs!$A$2:$A$29,0),G1265))*(1-H1265)+LN(INDEX(Pop_Inputs!$B$2:$N$29,MATCH(C1265,Pop_Inputs!$A$2:$A$29,0),G1265+1))*H1265)</f>
        <v>600765.450549546</v>
      </c>
      <c r="J1265" s="20" t="n">
        <f aca="false">I1265/F1265</f>
        <v>600765.450549546</v>
      </c>
      <c r="K1265" s="21" t="n">
        <f aca="false">D1265/(D1265+E1265)</f>
        <v>0.59375</v>
      </c>
      <c r="L1265" s="21" t="n">
        <f aca="false">AVERAGEIFS($K$2:$K$2705,$B$2:$B$2705,B1265)</f>
        <v>0.499927506240599</v>
      </c>
      <c r="M1265" s="21" t="n">
        <f aca="false">K1265-L1265</f>
        <v>0.0938224937594013</v>
      </c>
      <c r="N1265" s="21" t="n">
        <f aca="false">LN(J1265)</f>
        <v>13.3059598720354</v>
      </c>
      <c r="O1265" s="21" t="n">
        <f aca="false">AVERAGEIFS($N$2:$N$2705,$B$2:$B$2705,B1265)</f>
        <v>13.7172543332906</v>
      </c>
      <c r="P1265" s="21" t="n">
        <f aca="false">N1265-O1265</f>
        <v>-0.41129446125516</v>
      </c>
      <c r="Q1265" s="7" t="n">
        <v>0</v>
      </c>
      <c r="R1265" s="3" t="n">
        <f aca="false">IF(AND(Q1265=1,B1265-_xlfn.MINIFS($B$2:$B$2705,$A$2:$A$2705,A1265)&lt;10),1,0)</f>
        <v>0</v>
      </c>
      <c r="S1265" s="7" t="n">
        <v>0</v>
      </c>
      <c r="T1265" s="3" t="n">
        <f aca="false">_xlfn.MINIFS($B$2:$B$2705,$A$2:$A$2705,A1265)</f>
        <v>1901</v>
      </c>
      <c r="U1265" s="3" t="n">
        <f aca="false">B1265-T1265</f>
        <v>74</v>
      </c>
      <c r="V1265" s="3" t="str">
        <f aca="false">INDEX(Pop_Inputs!$Q$2:$Q$29,MATCH(C1265,Pop_Inputs!$A$2:$A$29,0))</f>
        <v>Northeast</v>
      </c>
      <c r="W1265" s="30"/>
      <c r="X1265" s="3" t="str">
        <f aca="false">IF(W1265="","",LN(W1265))</f>
        <v/>
      </c>
      <c r="Y1265" s="3" t="str">
        <f aca="false">IF(X1265="","",X1265-AVERAGEIFS($X$2:$X$2705,$B$2:$B$2705,B1265))</f>
        <v/>
      </c>
      <c r="Z1265" s="21" t="n">
        <f aca="false">P1265</f>
        <v>-0.41129446125516</v>
      </c>
      <c r="AA1265" s="3" t="n">
        <f aca="false">R1265</f>
        <v>0</v>
      </c>
      <c r="AB1265" s="21" t="n">
        <f aca="false">P1265</f>
        <v>-0.41129446125516</v>
      </c>
      <c r="AC1265" s="3" t="str">
        <f aca="false">Y1265</f>
        <v/>
      </c>
      <c r="AD1265" s="3" t="n">
        <f aca="false">R1265</f>
        <v>0</v>
      </c>
    </row>
    <row r="1266" customFormat="false" ht="15" hidden="false" customHeight="true" outlineLevel="0" collapsed="false">
      <c r="A1266" s="7" t="s">
        <v>56</v>
      </c>
      <c r="B1266" s="7" t="n">
        <v>1975</v>
      </c>
      <c r="C1266" s="7" t="s">
        <v>142</v>
      </c>
      <c r="D1266" s="7" t="n">
        <v>75</v>
      </c>
      <c r="E1266" s="7" t="n">
        <v>87</v>
      </c>
      <c r="F1266" s="3" t="n">
        <f aca="false">COUNTIFS($B$2:$B$2705,B1266,$C$2:$C$2705,C1266)</f>
        <v>2</v>
      </c>
      <c r="G1266" s="3" t="n">
        <f aca="false">MIN(INT((MIN(B1266,2020)-1900)/10)+1,12)</f>
        <v>8</v>
      </c>
      <c r="H1266" s="3" t="n">
        <f aca="false">(MIN(B1266,2020)-1900-10*(G1266-1))/10</f>
        <v>0.5</v>
      </c>
      <c r="I1266" s="20" t="n">
        <f aca="false">EXP(LN(INDEX(Pop_Inputs!$B$2:$N$29,MATCH(C1266,Pop_Inputs!$A$2:$A$29,0),G1266))*(1-H1266)+LN(INDEX(Pop_Inputs!$B$2:$N$29,MATCH(C1266,Pop_Inputs!$A$2:$A$29,0),G1266+1))*H1266)</f>
        <v>3180872.23979587</v>
      </c>
      <c r="J1266" s="20" t="n">
        <f aca="false">I1266/F1266</f>
        <v>1590436.11989793</v>
      </c>
      <c r="K1266" s="21" t="n">
        <f aca="false">D1266/(D1266+E1266)</f>
        <v>0.462962962962963</v>
      </c>
      <c r="L1266" s="21" t="n">
        <f aca="false">AVERAGEIFS($K$2:$K$2705,$B$2:$B$2705,B1266)</f>
        <v>0.499927506240599</v>
      </c>
      <c r="M1266" s="21" t="n">
        <f aca="false">K1266-L1266</f>
        <v>-0.0369645432776358</v>
      </c>
      <c r="N1266" s="21" t="n">
        <f aca="false">LN(J1266)</f>
        <v>14.27951882583</v>
      </c>
      <c r="O1266" s="21" t="n">
        <f aca="false">AVERAGEIFS($N$2:$N$2705,$B$2:$B$2705,B1266)</f>
        <v>13.7172543332906</v>
      </c>
      <c r="P1266" s="21" t="n">
        <f aca="false">N1266-O1266</f>
        <v>0.562264492539375</v>
      </c>
      <c r="Q1266" s="7" t="n">
        <v>0</v>
      </c>
      <c r="R1266" s="3" t="n">
        <f aca="false">IF(AND(Q1266=1,B1266-_xlfn.MINIFS($B$2:$B$2705,$A$2:$A$2705,A1266)&lt;10),1,0)</f>
        <v>0</v>
      </c>
      <c r="S1266" s="7" t="n">
        <v>0</v>
      </c>
      <c r="T1266" s="3" t="n">
        <f aca="false">_xlfn.MINIFS($B$2:$B$2705,$A$2:$A$2705,A1266)</f>
        <v>1901</v>
      </c>
      <c r="U1266" s="3" t="n">
        <f aca="false">B1266-T1266</f>
        <v>74</v>
      </c>
      <c r="V1266" s="3" t="str">
        <f aca="false">INDEX(Pop_Inputs!$Q$2:$Q$29,MATCH(C1266,Pop_Inputs!$A$2:$A$29,0))</f>
        <v>Midwest</v>
      </c>
      <c r="W1266" s="30"/>
      <c r="X1266" s="3" t="str">
        <f aca="false">IF(W1266="","",LN(W1266))</f>
        <v/>
      </c>
      <c r="Y1266" s="3" t="str">
        <f aca="false">IF(X1266="","",X1266-AVERAGEIFS($X$2:$X$2705,$B$2:$B$2705,B1266))</f>
        <v/>
      </c>
      <c r="Z1266" s="21" t="n">
        <f aca="false">P1266</f>
        <v>0.562264492539375</v>
      </c>
      <c r="AA1266" s="3" t="n">
        <f aca="false">R1266</f>
        <v>0</v>
      </c>
      <c r="AB1266" s="21" t="n">
        <f aca="false">P1266</f>
        <v>0.562264492539375</v>
      </c>
      <c r="AC1266" s="3" t="str">
        <f aca="false">Y1266</f>
        <v/>
      </c>
      <c r="AD1266" s="3" t="n">
        <f aca="false">R1266</f>
        <v>0</v>
      </c>
    </row>
    <row r="1267" customFormat="false" ht="15" hidden="false" customHeight="true" outlineLevel="0" collapsed="false">
      <c r="A1267" s="7" t="s">
        <v>65</v>
      </c>
      <c r="B1267" s="7" t="n">
        <v>1975</v>
      </c>
      <c r="C1267" s="7" t="s">
        <v>142</v>
      </c>
      <c r="D1267" s="7" t="n">
        <v>75</v>
      </c>
      <c r="E1267" s="7" t="n">
        <v>86</v>
      </c>
      <c r="F1267" s="3" t="n">
        <f aca="false">COUNTIFS($B$2:$B$2705,B1267,$C$2:$C$2705,C1267)</f>
        <v>2</v>
      </c>
      <c r="G1267" s="3" t="n">
        <f aca="false">MIN(INT((MIN(B1267,2020)-1900)/10)+1,12)</f>
        <v>8</v>
      </c>
      <c r="H1267" s="3" t="n">
        <f aca="false">(MIN(B1267,2020)-1900-10*(G1267-1))/10</f>
        <v>0.5</v>
      </c>
      <c r="I1267" s="20" t="n">
        <f aca="false">EXP(LN(INDEX(Pop_Inputs!$B$2:$N$29,MATCH(C1267,Pop_Inputs!$A$2:$A$29,0),G1267))*(1-H1267)+LN(INDEX(Pop_Inputs!$B$2:$N$29,MATCH(C1267,Pop_Inputs!$A$2:$A$29,0),G1267+1))*H1267)</f>
        <v>3180872.23979587</v>
      </c>
      <c r="J1267" s="20" t="n">
        <f aca="false">I1267/F1267</f>
        <v>1590436.11989793</v>
      </c>
      <c r="K1267" s="21" t="n">
        <f aca="false">D1267/(D1267+E1267)</f>
        <v>0.46583850931677</v>
      </c>
      <c r="L1267" s="21" t="n">
        <f aca="false">AVERAGEIFS($K$2:$K$2705,$B$2:$B$2705,B1267)</f>
        <v>0.499927506240599</v>
      </c>
      <c r="M1267" s="21" t="n">
        <f aca="false">K1267-L1267</f>
        <v>-0.0340889969238286</v>
      </c>
      <c r="N1267" s="21" t="n">
        <f aca="false">LN(J1267)</f>
        <v>14.27951882583</v>
      </c>
      <c r="O1267" s="21" t="n">
        <f aca="false">AVERAGEIFS($N$2:$N$2705,$B$2:$B$2705,B1267)</f>
        <v>13.7172543332906</v>
      </c>
      <c r="P1267" s="21" t="n">
        <f aca="false">N1267-O1267</f>
        <v>0.562264492539375</v>
      </c>
      <c r="Q1267" s="7" t="n">
        <v>0</v>
      </c>
      <c r="R1267" s="3" t="n">
        <f aca="false">IF(AND(Q1267=1,B1267-_xlfn.MINIFS($B$2:$B$2705,$A$2:$A$2705,A1267)&lt;10),1,0)</f>
        <v>0</v>
      </c>
      <c r="S1267" s="7" t="n">
        <v>0</v>
      </c>
      <c r="T1267" s="3" t="n">
        <f aca="false">_xlfn.MINIFS($B$2:$B$2705,$A$2:$A$2705,A1267)</f>
        <v>1901</v>
      </c>
      <c r="U1267" s="3" t="n">
        <f aca="false">B1267-T1267</f>
        <v>74</v>
      </c>
      <c r="V1267" s="3" t="str">
        <f aca="false">INDEX(Pop_Inputs!$Q$2:$Q$29,MATCH(C1267,Pop_Inputs!$A$2:$A$29,0))</f>
        <v>Midwest</v>
      </c>
      <c r="W1267" s="30"/>
      <c r="X1267" s="3" t="str">
        <f aca="false">IF(W1267="","",LN(W1267))</f>
        <v/>
      </c>
      <c r="Y1267" s="3" t="str">
        <f aca="false">IF(X1267="","",X1267-AVERAGEIFS($X$2:$X$2705,$B$2:$B$2705,B1267))</f>
        <v/>
      </c>
      <c r="Z1267" s="21" t="n">
        <f aca="false">P1267</f>
        <v>0.562264492539375</v>
      </c>
      <c r="AA1267" s="3" t="n">
        <f aca="false">R1267</f>
        <v>0</v>
      </c>
      <c r="AB1267" s="21" t="n">
        <f aca="false">P1267</f>
        <v>0.562264492539375</v>
      </c>
      <c r="AC1267" s="3" t="str">
        <f aca="false">Y1267</f>
        <v/>
      </c>
      <c r="AD1267" s="3" t="n">
        <f aca="false">R1267</f>
        <v>0</v>
      </c>
    </row>
    <row r="1268" customFormat="false" ht="15" hidden="false" customHeight="true" outlineLevel="0" collapsed="false">
      <c r="A1268" s="7" t="s">
        <v>57</v>
      </c>
      <c r="B1268" s="7" t="n">
        <v>1975</v>
      </c>
      <c r="C1268" s="7" t="s">
        <v>143</v>
      </c>
      <c r="D1268" s="7" t="n">
        <v>108</v>
      </c>
      <c r="E1268" s="7" t="n">
        <v>54</v>
      </c>
      <c r="F1268" s="3" t="n">
        <f aca="false">COUNTIFS($B$2:$B$2705,B1268,$C$2:$C$2705,C1268)</f>
        <v>1</v>
      </c>
      <c r="G1268" s="3" t="n">
        <f aca="false">MIN(INT((MIN(B1268,2020)-1900)/10)+1,12)</f>
        <v>8</v>
      </c>
      <c r="H1268" s="3" t="n">
        <f aca="false">(MIN(B1268,2020)-1900-10*(G1268-1))/10</f>
        <v>0.5</v>
      </c>
      <c r="I1268" s="20" t="n">
        <f aca="false">EXP(LN(INDEX(Pop_Inputs!$B$2:$N$29,MATCH(C1268,Pop_Inputs!$A$2:$A$29,0),G1268))*(1-H1268)+LN(INDEX(Pop_Inputs!$B$2:$N$29,MATCH(C1268,Pop_Inputs!$A$2:$A$29,0),G1268+1))*H1268)</f>
        <v>417648.520289489</v>
      </c>
      <c r="J1268" s="20" t="n">
        <f aca="false">I1268/F1268</f>
        <v>417648.520289489</v>
      </c>
      <c r="K1268" s="21" t="n">
        <f aca="false">D1268/(D1268+E1268)</f>
        <v>0.666666666666667</v>
      </c>
      <c r="L1268" s="21" t="n">
        <f aca="false">AVERAGEIFS($K$2:$K$2705,$B$2:$B$2705,B1268)</f>
        <v>0.499927506240599</v>
      </c>
      <c r="M1268" s="21" t="n">
        <f aca="false">K1268-L1268</f>
        <v>0.166739160426068</v>
      </c>
      <c r="N1268" s="21" t="n">
        <f aca="false">LN(J1268)</f>
        <v>12.9423954972339</v>
      </c>
      <c r="O1268" s="21" t="n">
        <f aca="false">AVERAGEIFS($N$2:$N$2705,$B$2:$B$2705,B1268)</f>
        <v>13.7172543332906</v>
      </c>
      <c r="P1268" s="21" t="n">
        <f aca="false">N1268-O1268</f>
        <v>-0.774858836056707</v>
      </c>
      <c r="Q1268" s="7" t="n">
        <v>0</v>
      </c>
      <c r="R1268" s="3" t="n">
        <f aca="false">IF(AND(Q1268=1,B1268-_xlfn.MINIFS($B$2:$B$2705,$A$2:$A$2705,A1268)&lt;10),1,0)</f>
        <v>0</v>
      </c>
      <c r="S1268" s="7" t="n">
        <v>0</v>
      </c>
      <c r="T1268" s="3" t="n">
        <f aca="false">_xlfn.MINIFS($B$2:$B$2705,$A$2:$A$2705,A1268)</f>
        <v>1901</v>
      </c>
      <c r="U1268" s="3" t="n">
        <f aca="false">B1268-T1268</f>
        <v>74</v>
      </c>
      <c r="V1268" s="3" t="str">
        <f aca="false">INDEX(Pop_Inputs!$Q$2:$Q$29,MATCH(C1268,Pop_Inputs!$A$2:$A$29,0))</f>
        <v>Midwest</v>
      </c>
      <c r="W1268" s="30"/>
      <c r="X1268" s="3" t="str">
        <f aca="false">IF(W1268="","",LN(W1268))</f>
        <v/>
      </c>
      <c r="Y1268" s="3" t="str">
        <f aca="false">IF(X1268="","",X1268-AVERAGEIFS($X$2:$X$2705,$B$2:$B$2705,B1268))</f>
        <v/>
      </c>
      <c r="Z1268" s="21" t="n">
        <f aca="false">P1268</f>
        <v>-0.774858836056707</v>
      </c>
      <c r="AA1268" s="3" t="n">
        <f aca="false">R1268</f>
        <v>0</v>
      </c>
      <c r="AB1268" s="21" t="n">
        <f aca="false">P1268</f>
        <v>-0.774858836056707</v>
      </c>
      <c r="AC1268" s="3" t="str">
        <f aca="false">Y1268</f>
        <v/>
      </c>
      <c r="AD1268" s="3" t="n">
        <f aca="false">R1268</f>
        <v>0</v>
      </c>
    </row>
    <row r="1269" customFormat="false" ht="15" hidden="false" customHeight="true" outlineLevel="0" collapsed="false">
      <c r="A1269" s="7" t="s">
        <v>66</v>
      </c>
      <c r="B1269" s="7" t="n">
        <v>1975</v>
      </c>
      <c r="C1269" s="7" t="s">
        <v>151</v>
      </c>
      <c r="D1269" s="7" t="n">
        <v>79</v>
      </c>
      <c r="E1269" s="7" t="n">
        <v>80</v>
      </c>
      <c r="F1269" s="3" t="n">
        <f aca="false">COUNTIFS($B$2:$B$2705,B1269,$C$2:$C$2705,C1269)</f>
        <v>1</v>
      </c>
      <c r="G1269" s="3" t="n">
        <f aca="false">MIN(INT((MIN(B1269,2020)-1900)/10)+1,12)</f>
        <v>8</v>
      </c>
      <c r="H1269" s="3" t="n">
        <f aca="false">(MIN(B1269,2020)-1900-10*(G1269-1))/10</f>
        <v>0.5</v>
      </c>
      <c r="I1269" s="20" t="n">
        <f aca="false">EXP(LN(INDEX(Pop_Inputs!$B$2:$N$29,MATCH(C1269,Pop_Inputs!$A$2:$A$29,0),G1269))*(1-H1269)+LN(INDEX(Pop_Inputs!$B$2:$N$29,MATCH(C1269,Pop_Inputs!$A$2:$A$29,0),G1269+1))*H1269)</f>
        <v>656418.053732528</v>
      </c>
      <c r="J1269" s="20" t="n">
        <f aca="false">I1269/F1269</f>
        <v>656418.053732528</v>
      </c>
      <c r="K1269" s="21" t="n">
        <f aca="false">D1269/(D1269+E1269)</f>
        <v>0.49685534591195</v>
      </c>
      <c r="L1269" s="21" t="n">
        <f aca="false">AVERAGEIFS($K$2:$K$2705,$B$2:$B$2705,B1269)</f>
        <v>0.499927506240599</v>
      </c>
      <c r="M1269" s="21" t="n">
        <f aca="false">K1269-L1269</f>
        <v>-0.00307216032864904</v>
      </c>
      <c r="N1269" s="21" t="n">
        <f aca="false">LN(J1269)</f>
        <v>13.3945531419827</v>
      </c>
      <c r="O1269" s="21" t="n">
        <f aca="false">AVERAGEIFS($N$2:$N$2705,$B$2:$B$2705,B1269)</f>
        <v>13.7172543332906</v>
      </c>
      <c r="P1269" s="21" t="n">
        <f aca="false">N1269-O1269</f>
        <v>-0.322701191307864</v>
      </c>
      <c r="Q1269" s="7" t="n">
        <v>0</v>
      </c>
      <c r="R1269" s="3" t="n">
        <f aca="false">IF(AND(Q1269=1,B1269-_xlfn.MINIFS($B$2:$B$2705,$A$2:$A$2705,A1269)&lt;10),1,0)</f>
        <v>0</v>
      </c>
      <c r="S1269" s="7" t="n">
        <v>0</v>
      </c>
      <c r="T1269" s="3" t="n">
        <f aca="false">_xlfn.MINIFS($B$2:$B$2705,$A$2:$A$2705,A1269)</f>
        <v>1901</v>
      </c>
      <c r="U1269" s="3" t="n">
        <f aca="false">B1269-T1269</f>
        <v>74</v>
      </c>
      <c r="V1269" s="3" t="str">
        <f aca="false">INDEX(Pop_Inputs!$Q$2:$Q$29,MATCH(C1269,Pop_Inputs!$A$2:$A$29,0))</f>
        <v>Midwest</v>
      </c>
      <c r="W1269" s="30"/>
      <c r="X1269" s="3" t="str">
        <f aca="false">IF(W1269="","",LN(W1269))</f>
        <v/>
      </c>
      <c r="Y1269" s="3" t="str">
        <f aca="false">IF(X1269="","",X1269-AVERAGEIFS($X$2:$X$2705,$B$2:$B$2705,B1269))</f>
        <v/>
      </c>
      <c r="Z1269" s="21" t="n">
        <f aca="false">P1269</f>
        <v>-0.322701191307864</v>
      </c>
      <c r="AA1269" s="3" t="n">
        <f aca="false">R1269</f>
        <v>0</v>
      </c>
      <c r="AB1269" s="21" t="n">
        <f aca="false">P1269</f>
        <v>-0.322701191307864</v>
      </c>
      <c r="AC1269" s="3" t="str">
        <f aca="false">Y1269</f>
        <v/>
      </c>
      <c r="AD1269" s="3" t="n">
        <f aca="false">R1269</f>
        <v>0</v>
      </c>
    </row>
    <row r="1270" customFormat="false" ht="15" hidden="false" customHeight="true" outlineLevel="0" collapsed="false">
      <c r="A1270" s="7" t="s">
        <v>67</v>
      </c>
      <c r="B1270" s="7" t="n">
        <v>1975</v>
      </c>
      <c r="C1270" s="7" t="s">
        <v>152</v>
      </c>
      <c r="D1270" s="7" t="n">
        <v>57</v>
      </c>
      <c r="E1270" s="7" t="n">
        <v>102</v>
      </c>
      <c r="F1270" s="3" t="n">
        <f aca="false">COUNTIFS($B$2:$B$2705,B1270,$C$2:$C$2705,C1270)</f>
        <v>1</v>
      </c>
      <c r="G1270" s="3" t="n">
        <f aca="false">MIN(INT((MIN(B1270,2020)-1900)/10)+1,12)</f>
        <v>8</v>
      </c>
      <c r="H1270" s="3" t="n">
        <f aca="false">(MIN(B1270,2020)-1900-10*(G1270-1))/10</f>
        <v>0.5</v>
      </c>
      <c r="I1270" s="20" t="n">
        <f aca="false">EXP(LN(INDEX(Pop_Inputs!$B$2:$N$29,MATCH(C1270,Pop_Inputs!$A$2:$A$29,0),G1270))*(1-H1270)+LN(INDEX(Pop_Inputs!$B$2:$N$29,MATCH(C1270,Pop_Inputs!$A$2:$A$29,0),G1270+1))*H1270)</f>
        <v>1348654.54115426</v>
      </c>
      <c r="J1270" s="20" t="n">
        <f aca="false">I1270/F1270</f>
        <v>1348654.54115426</v>
      </c>
      <c r="K1270" s="21" t="n">
        <f aca="false">D1270/(D1270+E1270)</f>
        <v>0.358490566037736</v>
      </c>
      <c r="L1270" s="21" t="n">
        <f aca="false">AVERAGEIFS($K$2:$K$2705,$B$2:$B$2705,B1270)</f>
        <v>0.499927506240599</v>
      </c>
      <c r="M1270" s="21" t="n">
        <f aca="false">K1270-L1270</f>
        <v>-0.141436940202863</v>
      </c>
      <c r="N1270" s="21" t="n">
        <f aca="false">LN(J1270)</f>
        <v>14.1146180172605</v>
      </c>
      <c r="O1270" s="21" t="n">
        <f aca="false">AVERAGEIFS($N$2:$N$2705,$B$2:$B$2705,B1270)</f>
        <v>13.7172543332906</v>
      </c>
      <c r="P1270" s="21" t="n">
        <f aca="false">N1270-O1270</f>
        <v>0.397363683969909</v>
      </c>
      <c r="Q1270" s="7" t="n">
        <v>0</v>
      </c>
      <c r="R1270" s="3" t="n">
        <f aca="false">IF(AND(Q1270=1,B1270-_xlfn.MINIFS($B$2:$B$2705,$A$2:$A$2705,A1270)&lt;10),1,0)</f>
        <v>0</v>
      </c>
      <c r="S1270" s="7" t="n">
        <v>0</v>
      </c>
      <c r="T1270" s="3" t="n">
        <f aca="false">_xlfn.MINIFS($B$2:$B$2705,$A$2:$A$2705,A1270)</f>
        <v>1901</v>
      </c>
      <c r="U1270" s="3" t="n">
        <f aca="false">B1270-T1270</f>
        <v>74</v>
      </c>
      <c r="V1270" s="3" t="str">
        <f aca="false">INDEX(Pop_Inputs!$Q$2:$Q$29,MATCH(C1270,Pop_Inputs!$A$2:$A$29,0))</f>
        <v>Midwest</v>
      </c>
      <c r="W1270" s="30"/>
      <c r="X1270" s="3" t="str">
        <f aca="false">IF(W1270="","",LN(W1270))</f>
        <v/>
      </c>
      <c r="Y1270" s="3" t="str">
        <f aca="false">IF(X1270="","",X1270-AVERAGEIFS($X$2:$X$2705,$B$2:$B$2705,B1270))</f>
        <v/>
      </c>
      <c r="Z1270" s="21" t="n">
        <f aca="false">P1270</f>
        <v>0.397363683969909</v>
      </c>
      <c r="AA1270" s="3" t="n">
        <f aca="false">R1270</f>
        <v>0</v>
      </c>
      <c r="AB1270" s="21" t="n">
        <f aca="false">P1270</f>
        <v>0.397363683969909</v>
      </c>
      <c r="AC1270" s="3" t="str">
        <f aca="false">Y1270</f>
        <v/>
      </c>
      <c r="AD1270" s="3" t="n">
        <f aca="false">R1270</f>
        <v>0</v>
      </c>
    </row>
    <row r="1271" customFormat="false" ht="15" hidden="false" customHeight="true" outlineLevel="0" collapsed="false">
      <c r="A1271" s="7" t="s">
        <v>74</v>
      </c>
      <c r="B1271" s="7" t="n">
        <v>1975</v>
      </c>
      <c r="C1271" s="7" t="s">
        <v>156</v>
      </c>
      <c r="D1271" s="7" t="n">
        <v>64</v>
      </c>
      <c r="E1271" s="7" t="n">
        <v>97</v>
      </c>
      <c r="F1271" s="3" t="n">
        <f aca="false">COUNTIFS($B$2:$B$2705,B1271,$C$2:$C$2705,C1271)</f>
        <v>1</v>
      </c>
      <c r="G1271" s="3" t="n">
        <f aca="false">MIN(INT((MIN(B1271,2020)-1900)/10)+1,12)</f>
        <v>8</v>
      </c>
      <c r="H1271" s="3" t="n">
        <f aca="false">(MIN(B1271,2020)-1900-10*(G1271-1))/10</f>
        <v>0.5</v>
      </c>
      <c r="I1271" s="20" t="n">
        <f aca="false">EXP(LN(INDEX(Pop_Inputs!$B$2:$N$29,MATCH(C1271,Pop_Inputs!$A$2:$A$29,0),G1271))*(1-H1271)+LN(INDEX(Pop_Inputs!$B$2:$N$29,MATCH(C1271,Pop_Inputs!$A$2:$A$29,0),G1271+1))*H1271)</f>
        <v>1402315.69793538</v>
      </c>
      <c r="J1271" s="20" t="n">
        <f aca="false">I1271/F1271</f>
        <v>1402315.69793538</v>
      </c>
      <c r="K1271" s="21" t="n">
        <f aca="false">D1271/(D1271+E1271)</f>
        <v>0.397515527950311</v>
      </c>
      <c r="L1271" s="21" t="n">
        <f aca="false">AVERAGEIFS($K$2:$K$2705,$B$2:$B$2705,B1271)</f>
        <v>0.499927506240599</v>
      </c>
      <c r="M1271" s="21" t="n">
        <f aca="false">K1271-L1271</f>
        <v>-0.102411978290288</v>
      </c>
      <c r="N1271" s="21" t="n">
        <f aca="false">LN(J1271)</f>
        <v>14.1536354980722</v>
      </c>
      <c r="O1271" s="21" t="n">
        <f aca="false">AVERAGEIFS($N$2:$N$2705,$B$2:$B$2705,B1271)</f>
        <v>13.7172543332906</v>
      </c>
      <c r="P1271" s="21" t="n">
        <f aca="false">N1271-O1271</f>
        <v>0.436381164781636</v>
      </c>
      <c r="Q1271" s="7" t="n">
        <v>1</v>
      </c>
      <c r="R1271" s="3" t="n">
        <f aca="false">IF(AND(Q1271=1,B1271-_xlfn.MINIFS($B$2:$B$2705,$A$2:$A$2705,A1271)&lt;10),1,0)</f>
        <v>0</v>
      </c>
      <c r="S1271" s="7" t="n">
        <v>0</v>
      </c>
      <c r="T1271" s="3" t="n">
        <f aca="false">_xlfn.MINIFS($B$2:$B$2705,$A$2:$A$2705,A1271)</f>
        <v>1962</v>
      </c>
      <c r="U1271" s="3" t="n">
        <f aca="false">B1271-T1271</f>
        <v>13</v>
      </c>
      <c r="V1271" s="3" t="str">
        <f aca="false">INDEX(Pop_Inputs!$Q$2:$Q$29,MATCH(C1271,Pop_Inputs!$A$2:$A$29,0))</f>
        <v>South</v>
      </c>
      <c r="W1271" s="30"/>
      <c r="X1271" s="3" t="str">
        <f aca="false">IF(W1271="","",LN(W1271))</f>
        <v/>
      </c>
      <c r="Y1271" s="3" t="str">
        <f aca="false">IF(X1271="","",X1271-AVERAGEIFS($X$2:$X$2705,$B$2:$B$2705,B1271))</f>
        <v/>
      </c>
      <c r="Z1271" s="21" t="n">
        <f aca="false">P1271</f>
        <v>0.436381164781636</v>
      </c>
      <c r="AA1271" s="3" t="n">
        <f aca="false">R1271</f>
        <v>0</v>
      </c>
      <c r="AB1271" s="21" t="n">
        <f aca="false">P1271</f>
        <v>0.436381164781636</v>
      </c>
      <c r="AC1271" s="3" t="str">
        <f aca="false">Y1271</f>
        <v/>
      </c>
      <c r="AD1271" s="3" t="n">
        <f aca="false">R1271</f>
        <v>0</v>
      </c>
    </row>
    <row r="1272" customFormat="false" ht="15" hidden="false" customHeight="true" outlineLevel="0" collapsed="false">
      <c r="A1272" s="7" t="s">
        <v>76</v>
      </c>
      <c r="B1272" s="7" t="n">
        <v>1975</v>
      </c>
      <c r="C1272" s="7" t="s">
        <v>157</v>
      </c>
      <c r="D1272" s="7" t="n">
        <v>91</v>
      </c>
      <c r="E1272" s="7" t="n">
        <v>71</v>
      </c>
      <c r="F1272" s="3" t="n">
        <f aca="false">COUNTIFS($B$2:$B$2705,B1272,$C$2:$C$2705,C1272)</f>
        <v>1</v>
      </c>
      <c r="G1272" s="3" t="n">
        <f aca="false">MIN(INT((MIN(B1272,2020)-1900)/10)+1,12)</f>
        <v>8</v>
      </c>
      <c r="H1272" s="3" t="n">
        <f aca="false">(MIN(B1272,2020)-1900-10*(G1272-1))/10</f>
        <v>0.5</v>
      </c>
      <c r="I1272" s="20" t="n">
        <f aca="false">EXP(LN(INDEX(Pop_Inputs!$B$2:$N$29,MATCH(C1272,Pop_Inputs!$A$2:$A$29,0),G1272))*(1-H1272)+LN(INDEX(Pop_Inputs!$B$2:$N$29,MATCH(C1272,Pop_Inputs!$A$2:$A$29,0),G1272+1))*H1272)</f>
        <v>476713.334020563</v>
      </c>
      <c r="J1272" s="20" t="n">
        <f aca="false">I1272/F1272</f>
        <v>476713.334020563</v>
      </c>
      <c r="K1272" s="21" t="n">
        <f aca="false">D1272/(D1272+E1272)</f>
        <v>0.561728395061728</v>
      </c>
      <c r="L1272" s="21" t="n">
        <f aca="false">AVERAGEIFS($K$2:$K$2705,$B$2:$B$2705,B1272)</f>
        <v>0.499927506240599</v>
      </c>
      <c r="M1272" s="21" t="n">
        <f aca="false">K1272-L1272</f>
        <v>0.0618008888211297</v>
      </c>
      <c r="N1272" s="21" t="n">
        <f aca="false">LN(J1272)</f>
        <v>13.0746706123154</v>
      </c>
      <c r="O1272" s="21" t="n">
        <f aca="false">AVERAGEIFS($N$2:$N$2705,$B$2:$B$2705,B1272)</f>
        <v>13.7172543332906</v>
      </c>
      <c r="P1272" s="21" t="n">
        <f aca="false">N1272-O1272</f>
        <v>-0.642583720975221</v>
      </c>
      <c r="Q1272" s="7" t="n">
        <v>1</v>
      </c>
      <c r="R1272" s="3" t="n">
        <f aca="false">IF(AND(Q1272=1,B1272-_xlfn.MINIFS($B$2:$B$2705,$A$2:$A$2705,A1272)&lt;10),1,0)</f>
        <v>1</v>
      </c>
      <c r="S1272" s="7" t="n">
        <v>0</v>
      </c>
      <c r="T1272" s="3" t="n">
        <f aca="false">_xlfn.MINIFS($B$2:$B$2705,$A$2:$A$2705,A1272)</f>
        <v>1969</v>
      </c>
      <c r="U1272" s="3" t="n">
        <f aca="false">B1272-T1272</f>
        <v>6</v>
      </c>
      <c r="V1272" s="3" t="str">
        <f aca="false">INDEX(Pop_Inputs!$Q$2:$Q$29,MATCH(C1272,Pop_Inputs!$A$2:$A$29,0))</f>
        <v>Midwest</v>
      </c>
      <c r="W1272" s="30"/>
      <c r="X1272" s="3" t="str">
        <f aca="false">IF(W1272="","",LN(W1272))</f>
        <v/>
      </c>
      <c r="Y1272" s="3" t="str">
        <f aca="false">IF(X1272="","",X1272-AVERAGEIFS($X$2:$X$2705,$B$2:$B$2705,B1272))</f>
        <v/>
      </c>
      <c r="Z1272" s="21" t="n">
        <f aca="false">P1272</f>
        <v>-0.642583720975221</v>
      </c>
      <c r="AA1272" s="3" t="n">
        <f aca="false">R1272</f>
        <v>1</v>
      </c>
      <c r="AB1272" s="21" t="n">
        <f aca="false">P1272</f>
        <v>-0.642583720975221</v>
      </c>
      <c r="AC1272" s="3" t="str">
        <f aca="false">Y1272</f>
        <v/>
      </c>
      <c r="AD1272" s="3" t="n">
        <f aca="false">R1272</f>
        <v>1</v>
      </c>
    </row>
    <row r="1273" customFormat="false" ht="15" hidden="false" customHeight="true" outlineLevel="0" collapsed="false">
      <c r="A1273" s="7" t="s">
        <v>62</v>
      </c>
      <c r="B1273" s="7" t="n">
        <v>1975</v>
      </c>
      <c r="C1273" s="7" t="s">
        <v>148</v>
      </c>
      <c r="D1273" s="7" t="n">
        <v>88</v>
      </c>
      <c r="E1273" s="7" t="n">
        <v>74</v>
      </c>
      <c r="F1273" s="3" t="n">
        <f aca="false">COUNTIFS($B$2:$B$2705,B1273,$C$2:$C$2705,C1273)</f>
        <v>2</v>
      </c>
      <c r="G1273" s="3" t="n">
        <f aca="false">MIN(INT((MIN(B1273,2020)-1900)/10)+1,12)</f>
        <v>8</v>
      </c>
      <c r="H1273" s="3" t="n">
        <f aca="false">(MIN(B1273,2020)-1900-10*(G1273-1))/10</f>
        <v>0.5</v>
      </c>
      <c r="I1273" s="20" t="n">
        <f aca="false">EXP(LN(INDEX(Pop_Inputs!$B$2:$N$29,MATCH(C1273,Pop_Inputs!$A$2:$A$29,0),G1273))*(1-H1273)+LN(INDEX(Pop_Inputs!$B$2:$N$29,MATCH(C1273,Pop_Inputs!$A$2:$A$29,0),G1273+1))*H1273)</f>
        <v>2890472.37970717</v>
      </c>
      <c r="J1273" s="20" t="n">
        <f aca="false">I1273/F1273</f>
        <v>1445236.18985358</v>
      </c>
      <c r="K1273" s="21" t="n">
        <f aca="false">D1273/(D1273+E1273)</f>
        <v>0.54320987654321</v>
      </c>
      <c r="L1273" s="21" t="n">
        <f aca="false">AVERAGEIFS($K$2:$K$2705,$B$2:$B$2705,B1273)</f>
        <v>0.499927506240599</v>
      </c>
      <c r="M1273" s="21" t="n">
        <f aca="false">K1273-L1273</f>
        <v>0.0432823703026111</v>
      </c>
      <c r="N1273" s="21" t="n">
        <f aca="false">LN(J1273)</f>
        <v>14.1837833193575</v>
      </c>
      <c r="O1273" s="21" t="n">
        <f aca="false">AVERAGEIFS($N$2:$N$2705,$B$2:$B$2705,B1273)</f>
        <v>13.7172543332906</v>
      </c>
      <c r="P1273" s="21" t="n">
        <f aca="false">N1273-O1273</f>
        <v>0.466528986066919</v>
      </c>
      <c r="Q1273" s="7" t="n">
        <v>0</v>
      </c>
      <c r="R1273" s="3" t="n">
        <f aca="false">IF(AND(Q1273=1,B1273-_xlfn.MINIFS($B$2:$B$2705,$A$2:$A$2705,A1273)&lt;10),1,0)</f>
        <v>0</v>
      </c>
      <c r="S1273" s="7" t="n">
        <v>0</v>
      </c>
      <c r="T1273" s="3" t="n">
        <f aca="false">_xlfn.MINIFS($B$2:$B$2705,$A$2:$A$2705,A1273)</f>
        <v>1901</v>
      </c>
      <c r="U1273" s="3" t="n">
        <f aca="false">B1273-T1273</f>
        <v>74</v>
      </c>
      <c r="V1273" s="3" t="str">
        <f aca="false">INDEX(Pop_Inputs!$Q$2:$Q$29,MATCH(C1273,Pop_Inputs!$A$2:$A$29,0))</f>
        <v>West</v>
      </c>
      <c r="W1273" s="30"/>
      <c r="X1273" s="3" t="str">
        <f aca="false">IF(W1273="","",LN(W1273))</f>
        <v/>
      </c>
      <c r="Y1273" s="3" t="str">
        <f aca="false">IF(X1273="","",X1273-AVERAGEIFS($X$2:$X$2705,$B$2:$B$2705,B1273))</f>
        <v/>
      </c>
      <c r="Z1273" s="21" t="n">
        <f aca="false">P1273</f>
        <v>0.466528986066919</v>
      </c>
      <c r="AA1273" s="3" t="n">
        <f aca="false">R1273</f>
        <v>0</v>
      </c>
      <c r="AB1273" s="21" t="n">
        <f aca="false">P1273</f>
        <v>0.466528986066919</v>
      </c>
      <c r="AC1273" s="3" t="str">
        <f aca="false">Y1273</f>
        <v/>
      </c>
      <c r="AD1273" s="3" t="n">
        <f aca="false">R1273</f>
        <v>0</v>
      </c>
    </row>
    <row r="1274" customFormat="false" ht="15" hidden="false" customHeight="true" outlineLevel="0" collapsed="false">
      <c r="A1274" s="7" t="s">
        <v>77</v>
      </c>
      <c r="B1274" s="7" t="n">
        <v>1975</v>
      </c>
      <c r="C1274" s="7" t="s">
        <v>158</v>
      </c>
      <c r="D1274" s="7" t="n">
        <v>68</v>
      </c>
      <c r="E1274" s="7" t="n">
        <v>94</v>
      </c>
      <c r="F1274" s="3" t="n">
        <f aca="false">COUNTIFS($B$2:$B$2705,B1274,$C$2:$C$2705,C1274)</f>
        <v>1</v>
      </c>
      <c r="G1274" s="3" t="n">
        <f aca="false">MIN(INT((MIN(B1274,2020)-1900)/10)+1,12)</f>
        <v>8</v>
      </c>
      <c r="H1274" s="3" t="n">
        <f aca="false">(MIN(B1274,2020)-1900-10*(G1274-1))/10</f>
        <v>0.5</v>
      </c>
      <c r="I1274" s="20" t="n">
        <f aca="false">EXP(LN(INDEX(Pop_Inputs!$B$2:$N$29,MATCH(C1274,Pop_Inputs!$A$2:$A$29,0),G1274))*(1-H1274)+LN(INDEX(Pop_Inputs!$B$2:$N$29,MATCH(C1274,Pop_Inputs!$A$2:$A$29,0),G1274+1))*H1274)</f>
        <v>675445.770575255</v>
      </c>
      <c r="J1274" s="20" t="n">
        <f aca="false">I1274/F1274</f>
        <v>675445.770575255</v>
      </c>
      <c r="K1274" s="21" t="n">
        <f aca="false">D1274/(D1274+E1274)</f>
        <v>0.419753086419753</v>
      </c>
      <c r="L1274" s="21" t="n">
        <f aca="false">AVERAGEIFS($K$2:$K$2705,$B$2:$B$2705,B1274)</f>
        <v>0.499927506240599</v>
      </c>
      <c r="M1274" s="21" t="n">
        <f aca="false">K1274-L1274</f>
        <v>-0.0801744198208457</v>
      </c>
      <c r="N1274" s="21" t="n">
        <f aca="false">LN(J1274)</f>
        <v>13.4231281527382</v>
      </c>
      <c r="O1274" s="21" t="n">
        <f aca="false">AVERAGEIFS($N$2:$N$2705,$B$2:$B$2705,B1274)</f>
        <v>13.7172543332906</v>
      </c>
      <c r="P1274" s="21" t="n">
        <f aca="false">N1274-O1274</f>
        <v>-0.294126180552391</v>
      </c>
      <c r="Q1274" s="7" t="n">
        <v>1</v>
      </c>
      <c r="R1274" s="3" t="n">
        <f aca="false">IF(AND(Q1274=1,B1274-_xlfn.MINIFS($B$2:$B$2705,$A$2:$A$2705,A1274)&lt;10),1,0)</f>
        <v>1</v>
      </c>
      <c r="S1274" s="7" t="n">
        <v>0</v>
      </c>
      <c r="T1274" s="3" t="n">
        <f aca="false">_xlfn.MINIFS($B$2:$B$2705,$A$2:$A$2705,A1274)</f>
        <v>1969</v>
      </c>
      <c r="U1274" s="3" t="n">
        <f aca="false">B1274-T1274</f>
        <v>6</v>
      </c>
      <c r="V1274" s="3" t="str">
        <f aca="false">INDEX(Pop_Inputs!$Q$2:$Q$29,MATCH(C1274,Pop_Inputs!$A$2:$A$29,0))</f>
        <v>Midwest</v>
      </c>
      <c r="W1274" s="30"/>
      <c r="X1274" s="3" t="str">
        <f aca="false">IF(W1274="","",LN(W1274))</f>
        <v/>
      </c>
      <c r="Y1274" s="3" t="str">
        <f aca="false">IF(X1274="","",X1274-AVERAGEIFS($X$2:$X$2705,$B$2:$B$2705,B1274))</f>
        <v/>
      </c>
      <c r="Z1274" s="21" t="n">
        <f aca="false">P1274</f>
        <v>-0.294126180552391</v>
      </c>
      <c r="AA1274" s="3" t="n">
        <f aca="false">R1274</f>
        <v>1</v>
      </c>
      <c r="AB1274" s="21" t="n">
        <f aca="false">P1274</f>
        <v>-0.294126180552391</v>
      </c>
      <c r="AC1274" s="3" t="str">
        <f aca="false">Y1274</f>
        <v/>
      </c>
      <c r="AD1274" s="3" t="n">
        <f aca="false">R1274</f>
        <v>1</v>
      </c>
    </row>
    <row r="1275" customFormat="false" ht="15" hidden="false" customHeight="true" outlineLevel="0" collapsed="false">
      <c r="A1275" s="7" t="s">
        <v>68</v>
      </c>
      <c r="B1275" s="7" t="n">
        <v>1975</v>
      </c>
      <c r="C1275" s="7" t="s">
        <v>153</v>
      </c>
      <c r="D1275" s="7" t="n">
        <v>76</v>
      </c>
      <c r="E1275" s="7" t="n">
        <v>83</v>
      </c>
      <c r="F1275" s="3" t="n">
        <f aca="false">COUNTIFS($B$2:$B$2705,B1275,$C$2:$C$2705,C1275)</f>
        <v>1</v>
      </c>
      <c r="G1275" s="3" t="n">
        <f aca="false">MIN(INT((MIN(B1275,2020)-1900)/10)+1,12)</f>
        <v>8</v>
      </c>
      <c r="H1275" s="3" t="n">
        <f aca="false">(MIN(B1275,2020)-1900-10*(G1275-1))/10</f>
        <v>0.5</v>
      </c>
      <c r="I1275" s="20" t="n">
        <f aca="false">EXP(LN(INDEX(Pop_Inputs!$B$2:$N$29,MATCH(C1275,Pop_Inputs!$A$2:$A$29,0),G1275))*(1-H1275)+LN(INDEX(Pop_Inputs!$B$2:$N$29,MATCH(C1275,Pop_Inputs!$A$2:$A$29,0),G1275+1))*H1275)</f>
        <v>401423.858782708</v>
      </c>
      <c r="J1275" s="20" t="n">
        <f aca="false">I1275/F1275</f>
        <v>401423.858782708</v>
      </c>
      <c r="K1275" s="21" t="n">
        <f aca="false">D1275/(D1275+E1275)</f>
        <v>0.477987421383648</v>
      </c>
      <c r="L1275" s="21" t="n">
        <f aca="false">AVERAGEIFS($K$2:$K$2705,$B$2:$B$2705,B1275)</f>
        <v>0.499927506240599</v>
      </c>
      <c r="M1275" s="21" t="n">
        <f aca="false">K1275-L1275</f>
        <v>-0.0219400848569509</v>
      </c>
      <c r="N1275" s="21" t="n">
        <f aca="false">LN(J1275)</f>
        <v>12.9027731524985</v>
      </c>
      <c r="O1275" s="21" t="n">
        <f aca="false">AVERAGEIFS($N$2:$N$2705,$B$2:$B$2705,B1275)</f>
        <v>13.7172543332906</v>
      </c>
      <c r="P1275" s="21" t="n">
        <f aca="false">N1275-O1275</f>
        <v>-0.814481180792104</v>
      </c>
      <c r="Q1275" s="7" t="n">
        <v>0</v>
      </c>
      <c r="R1275" s="3" t="n">
        <f aca="false">IF(AND(Q1275=1,B1275-_xlfn.MINIFS($B$2:$B$2705,$A$2:$A$2705,A1275)&lt;10),1,0)</f>
        <v>0</v>
      </c>
      <c r="S1275" s="7" t="n">
        <v>0</v>
      </c>
      <c r="T1275" s="3" t="n">
        <f aca="false">_xlfn.MINIFS($B$2:$B$2705,$A$2:$A$2705,A1275)</f>
        <v>1901</v>
      </c>
      <c r="U1275" s="3" t="n">
        <f aca="false">B1275-T1275</f>
        <v>74</v>
      </c>
      <c r="V1275" s="3" t="str">
        <f aca="false">INDEX(Pop_Inputs!$Q$2:$Q$29,MATCH(C1275,Pop_Inputs!$A$2:$A$29,0))</f>
        <v>Midwest</v>
      </c>
      <c r="W1275" s="30"/>
      <c r="X1275" s="3" t="str">
        <f aca="false">IF(W1275="","",LN(W1275))</f>
        <v/>
      </c>
      <c r="Y1275" s="3" t="str">
        <f aca="false">IF(X1275="","",X1275-AVERAGEIFS($X$2:$X$2705,$B$2:$B$2705,B1275))</f>
        <v/>
      </c>
      <c r="Z1275" s="21" t="n">
        <f aca="false">P1275</f>
        <v>-0.814481180792104</v>
      </c>
      <c r="AA1275" s="3" t="n">
        <f aca="false">R1275</f>
        <v>0</v>
      </c>
      <c r="AB1275" s="21" t="n">
        <f aca="false">P1275</f>
        <v>-0.814481180792104</v>
      </c>
      <c r="AC1275" s="3" t="str">
        <f aca="false">Y1275</f>
        <v/>
      </c>
      <c r="AD1275" s="3" t="n">
        <f aca="false">R1275</f>
        <v>0</v>
      </c>
    </row>
    <row r="1276" customFormat="false" ht="15" hidden="false" customHeight="true" outlineLevel="0" collapsed="false">
      <c r="A1276" s="7" t="s">
        <v>75</v>
      </c>
      <c r="B1276" s="7" t="n">
        <v>1975</v>
      </c>
      <c r="C1276" s="7" t="s">
        <v>154</v>
      </c>
      <c r="D1276" s="7" t="n">
        <v>82</v>
      </c>
      <c r="E1276" s="7" t="n">
        <v>80</v>
      </c>
      <c r="F1276" s="3" t="n">
        <f aca="false">COUNTIFS($B$2:$B$2705,B1276,$C$2:$C$2705,C1276)</f>
        <v>2</v>
      </c>
      <c r="G1276" s="3" t="n">
        <f aca="false">MIN(INT((MIN(B1276,2020)-1900)/10)+1,12)</f>
        <v>8</v>
      </c>
      <c r="H1276" s="3" t="n">
        <f aca="false">(MIN(B1276,2020)-1900-10*(G1276-1))/10</f>
        <v>0.5</v>
      </c>
      <c r="I1276" s="20" t="n">
        <f aca="false">EXP(LN(INDEX(Pop_Inputs!$B$2:$N$29,MATCH(C1276,Pop_Inputs!$A$2:$A$29,0),G1276))*(1-H1276)+LN(INDEX(Pop_Inputs!$B$2:$N$29,MATCH(C1276,Pop_Inputs!$A$2:$A$29,0),G1276+1))*H1276)</f>
        <v>7471921.70855785</v>
      </c>
      <c r="J1276" s="20" t="n">
        <f aca="false">I1276/F1276</f>
        <v>3735960.85427892</v>
      </c>
      <c r="K1276" s="21" t="n">
        <f aca="false">D1276/(D1276+E1276)</f>
        <v>0.506172839506173</v>
      </c>
      <c r="L1276" s="21" t="n">
        <f aca="false">AVERAGEIFS($K$2:$K$2705,$B$2:$B$2705,B1276)</f>
        <v>0.499927506240599</v>
      </c>
      <c r="M1276" s="21" t="n">
        <f aca="false">K1276-L1276</f>
        <v>0.00624533326557414</v>
      </c>
      <c r="N1276" s="21" t="n">
        <f aca="false">LN(J1276)</f>
        <v>15.1335156002992</v>
      </c>
      <c r="O1276" s="21" t="n">
        <f aca="false">AVERAGEIFS($N$2:$N$2705,$B$2:$B$2705,B1276)</f>
        <v>13.7172543332906</v>
      </c>
      <c r="P1276" s="21" t="n">
        <f aca="false">N1276-O1276</f>
        <v>1.41626126700864</v>
      </c>
      <c r="Q1276" s="7" t="n">
        <v>1</v>
      </c>
      <c r="R1276" s="3" t="n">
        <f aca="false">IF(AND(Q1276=1,B1276-_xlfn.MINIFS($B$2:$B$2705,$A$2:$A$2705,A1276)&lt;10),1,0)</f>
        <v>0</v>
      </c>
      <c r="S1276" s="7" t="n">
        <v>0</v>
      </c>
      <c r="T1276" s="3" t="n">
        <f aca="false">_xlfn.MINIFS($B$2:$B$2705,$A$2:$A$2705,A1276)</f>
        <v>1962</v>
      </c>
      <c r="U1276" s="3" t="n">
        <f aca="false">B1276-T1276</f>
        <v>13</v>
      </c>
      <c r="V1276" s="3" t="str">
        <f aca="false">INDEX(Pop_Inputs!$Q$2:$Q$29,MATCH(C1276,Pop_Inputs!$A$2:$A$29,0))</f>
        <v>Northeast</v>
      </c>
      <c r="W1276" s="30"/>
      <c r="X1276" s="3" t="str">
        <f aca="false">IF(W1276="","",LN(W1276))</f>
        <v/>
      </c>
      <c r="Y1276" s="3" t="str">
        <f aca="false">IF(X1276="","",X1276-AVERAGEIFS($X$2:$X$2705,$B$2:$B$2705,B1276))</f>
        <v/>
      </c>
      <c r="Z1276" s="21" t="n">
        <f aca="false">P1276</f>
        <v>1.41626126700864</v>
      </c>
      <c r="AA1276" s="3" t="n">
        <f aca="false">R1276</f>
        <v>0</v>
      </c>
      <c r="AB1276" s="21" t="n">
        <f aca="false">P1276</f>
        <v>1.41626126700864</v>
      </c>
      <c r="AC1276" s="3" t="str">
        <f aca="false">Y1276</f>
        <v/>
      </c>
      <c r="AD1276" s="3" t="n">
        <f aca="false">R1276</f>
        <v>0</v>
      </c>
    </row>
    <row r="1277" customFormat="false" ht="15" hidden="false" customHeight="true" outlineLevel="0" collapsed="false">
      <c r="A1277" s="7" t="s">
        <v>70</v>
      </c>
      <c r="B1277" s="7" t="n">
        <v>1975</v>
      </c>
      <c r="C1277" s="7" t="s">
        <v>154</v>
      </c>
      <c r="D1277" s="7" t="n">
        <v>83</v>
      </c>
      <c r="E1277" s="7" t="n">
        <v>77</v>
      </c>
      <c r="F1277" s="3" t="n">
        <f aca="false">COUNTIFS($B$2:$B$2705,B1277,$C$2:$C$2705,C1277)</f>
        <v>2</v>
      </c>
      <c r="G1277" s="3" t="n">
        <f aca="false">MIN(INT((MIN(B1277,2020)-1900)/10)+1,12)</f>
        <v>8</v>
      </c>
      <c r="H1277" s="3" t="n">
        <f aca="false">(MIN(B1277,2020)-1900-10*(G1277-1))/10</f>
        <v>0.5</v>
      </c>
      <c r="I1277" s="20" t="n">
        <f aca="false">EXP(LN(INDEX(Pop_Inputs!$B$2:$N$29,MATCH(C1277,Pop_Inputs!$A$2:$A$29,0),G1277))*(1-H1277)+LN(INDEX(Pop_Inputs!$B$2:$N$29,MATCH(C1277,Pop_Inputs!$A$2:$A$29,0),G1277+1))*H1277)</f>
        <v>7471921.70855785</v>
      </c>
      <c r="J1277" s="20" t="n">
        <f aca="false">I1277/F1277</f>
        <v>3735960.85427892</v>
      </c>
      <c r="K1277" s="21" t="n">
        <f aca="false">D1277/(D1277+E1277)</f>
        <v>0.51875</v>
      </c>
      <c r="L1277" s="21" t="n">
        <f aca="false">AVERAGEIFS($K$2:$K$2705,$B$2:$B$2705,B1277)</f>
        <v>0.499927506240599</v>
      </c>
      <c r="M1277" s="21" t="n">
        <f aca="false">K1277-L1277</f>
        <v>0.0188224937594013</v>
      </c>
      <c r="N1277" s="21" t="n">
        <f aca="false">LN(J1277)</f>
        <v>15.1335156002992</v>
      </c>
      <c r="O1277" s="21" t="n">
        <f aca="false">AVERAGEIFS($N$2:$N$2705,$B$2:$B$2705,B1277)</f>
        <v>13.7172543332906</v>
      </c>
      <c r="P1277" s="21" t="n">
        <f aca="false">N1277-O1277</f>
        <v>1.41626126700864</v>
      </c>
      <c r="Q1277" s="7" t="n">
        <v>0</v>
      </c>
      <c r="R1277" s="3" t="n">
        <f aca="false">IF(AND(Q1277=1,B1277-_xlfn.MINIFS($B$2:$B$2705,$A$2:$A$2705,A1277)&lt;10),1,0)</f>
        <v>0</v>
      </c>
      <c r="S1277" s="7" t="n">
        <v>1</v>
      </c>
      <c r="T1277" s="3" t="n">
        <f aca="false">_xlfn.MINIFS($B$2:$B$2705,$A$2:$A$2705,A1277)</f>
        <v>1903</v>
      </c>
      <c r="U1277" s="3" t="n">
        <f aca="false">B1277-T1277</f>
        <v>72</v>
      </c>
      <c r="V1277" s="3" t="str">
        <f aca="false">INDEX(Pop_Inputs!$Q$2:$Q$29,MATCH(C1277,Pop_Inputs!$A$2:$A$29,0))</f>
        <v>Northeast</v>
      </c>
      <c r="W1277" s="30"/>
      <c r="X1277" s="3" t="str">
        <f aca="false">IF(W1277="","",LN(W1277))</f>
        <v/>
      </c>
      <c r="Y1277" s="3" t="str">
        <f aca="false">IF(X1277="","",X1277-AVERAGEIFS($X$2:$X$2705,$B$2:$B$2705,B1277))</f>
        <v/>
      </c>
      <c r="Z1277" s="21" t="n">
        <f aca="false">P1277</f>
        <v>1.41626126700864</v>
      </c>
      <c r="AA1277" s="3" t="n">
        <f aca="false">R1277</f>
        <v>0</v>
      </c>
      <c r="AB1277" s="21" t="n">
        <f aca="false">P1277</f>
        <v>1.41626126700864</v>
      </c>
      <c r="AC1277" s="3" t="str">
        <f aca="false">Y1277</f>
        <v/>
      </c>
      <c r="AD1277" s="3" t="n">
        <f aca="false">R1277</f>
        <v>0</v>
      </c>
    </row>
    <row r="1278" customFormat="false" ht="15" hidden="false" customHeight="true" outlineLevel="0" collapsed="false">
      <c r="A1278" s="7" t="s">
        <v>69</v>
      </c>
      <c r="B1278" s="7" t="n">
        <v>1975</v>
      </c>
      <c r="C1278" s="7" t="s">
        <v>253</v>
      </c>
      <c r="D1278" s="7" t="n">
        <v>98</v>
      </c>
      <c r="E1278" s="7" t="n">
        <v>64</v>
      </c>
      <c r="F1278" s="3" t="n">
        <f aca="false">COUNTIFS($B$2:$B$2705,B1278,$C$2:$C$2705,C1278)</f>
        <v>1</v>
      </c>
      <c r="G1278" s="3" t="n">
        <f aca="false">MIN(INT((MIN(B1278,2020)-1900)/10)+1,12)</f>
        <v>8</v>
      </c>
      <c r="H1278" s="3" t="n">
        <f aca="false">(MIN(B1278,2020)-1900-10*(G1278-1))/10</f>
        <v>0.5</v>
      </c>
      <c r="I1278" s="20" t="n">
        <f aca="false">EXP(LN(INDEX(Pop_Inputs!$B$2:$N$29,MATCH(C1278,Pop_Inputs!$A$2:$A$29,0),G1278))*(1-H1278)+LN(INDEX(Pop_Inputs!$B$2:$N$29,MATCH(C1278,Pop_Inputs!$A$2:$A$29,0),G1278+1))*H1278)</f>
        <v>350272.786634931</v>
      </c>
      <c r="J1278" s="20" t="n">
        <f aca="false">I1278/F1278</f>
        <v>350272.786634931</v>
      </c>
      <c r="K1278" s="21" t="n">
        <f aca="false">D1278/(D1278+E1278)</f>
        <v>0.604938271604938</v>
      </c>
      <c r="L1278" s="21" t="n">
        <f aca="false">AVERAGEIFS($K$2:$K$2705,$B$2:$B$2705,B1278)</f>
        <v>0.499927506240599</v>
      </c>
      <c r="M1278" s="21" t="n">
        <f aca="false">K1278-L1278</f>
        <v>0.10501076536434</v>
      </c>
      <c r="N1278" s="21" t="n">
        <f aca="false">LN(J1278)</f>
        <v>12.7664675202841</v>
      </c>
      <c r="O1278" s="21" t="n">
        <f aca="false">AVERAGEIFS($N$2:$N$2705,$B$2:$B$2705,B1278)</f>
        <v>13.7172543332906</v>
      </c>
      <c r="P1278" s="21" t="n">
        <f aca="false">N1278-O1278</f>
        <v>-0.950786813006456</v>
      </c>
      <c r="Q1278" s="7" t="n">
        <v>0</v>
      </c>
      <c r="R1278" s="3" t="n">
        <f aca="false">IF(AND(Q1278=1,B1278-_xlfn.MINIFS($B$2:$B$2705,$A$2:$A$2705,A1278)&lt;10),1,0)</f>
        <v>0</v>
      </c>
      <c r="S1278" s="7" t="n">
        <v>0</v>
      </c>
      <c r="T1278" s="3" t="n">
        <f aca="false">_xlfn.MINIFS($B$2:$B$2705,$A$2:$A$2705,A1278)</f>
        <v>1901</v>
      </c>
      <c r="U1278" s="3" t="n">
        <f aca="false">B1278-T1278</f>
        <v>74</v>
      </c>
      <c r="V1278" s="3" t="str">
        <f aca="false">INDEX(Pop_Inputs!$Q$2:$Q$29,MATCH(C1278,Pop_Inputs!$A$2:$A$29,0))</f>
        <v>West</v>
      </c>
      <c r="W1278" s="30"/>
      <c r="X1278" s="3" t="str">
        <f aca="false">IF(W1278="","",LN(W1278))</f>
        <v/>
      </c>
      <c r="Y1278" s="3" t="str">
        <f aca="false">IF(X1278="","",X1278-AVERAGEIFS($X$2:$X$2705,$B$2:$B$2705,B1278))</f>
        <v/>
      </c>
      <c r="Z1278" s="21" t="n">
        <f aca="false">P1278</f>
        <v>-0.950786813006456</v>
      </c>
      <c r="AA1278" s="3" t="n">
        <f aca="false">R1278</f>
        <v>0</v>
      </c>
      <c r="AB1278" s="21" t="n">
        <f aca="false">P1278</f>
        <v>-0.950786813006456</v>
      </c>
      <c r="AC1278" s="3" t="str">
        <f aca="false">Y1278</f>
        <v/>
      </c>
      <c r="AD1278" s="3" t="n">
        <f aca="false">R1278</f>
        <v>0</v>
      </c>
    </row>
    <row r="1279" customFormat="false" ht="15" hidden="false" customHeight="true" outlineLevel="0" collapsed="false">
      <c r="A1279" s="7" t="s">
        <v>60</v>
      </c>
      <c r="B1279" s="7" t="n">
        <v>1975</v>
      </c>
      <c r="C1279" s="7" t="s">
        <v>146</v>
      </c>
      <c r="D1279" s="7" t="n">
        <v>86</v>
      </c>
      <c r="E1279" s="7" t="n">
        <v>76</v>
      </c>
      <c r="F1279" s="3" t="n">
        <f aca="false">COUNTIFS($B$2:$B$2705,B1279,$C$2:$C$2705,C1279)</f>
        <v>1</v>
      </c>
      <c r="G1279" s="3" t="n">
        <f aca="false">MIN(INT((MIN(B1279,2020)-1900)/10)+1,12)</f>
        <v>8</v>
      </c>
      <c r="H1279" s="3" t="n">
        <f aca="false">(MIN(B1279,2020)-1900-10*(G1279-1))/10</f>
        <v>0.5</v>
      </c>
      <c r="I1279" s="20" t="n">
        <f aca="false">EXP(LN(INDEX(Pop_Inputs!$B$2:$N$29,MATCH(C1279,Pop_Inputs!$A$2:$A$29,0),G1279))*(1-H1279)+LN(INDEX(Pop_Inputs!$B$2:$N$29,MATCH(C1279,Pop_Inputs!$A$2:$A$29,0),G1279+1))*H1279)</f>
        <v>1813742.3190437</v>
      </c>
      <c r="J1279" s="20" t="n">
        <f aca="false">I1279/F1279</f>
        <v>1813742.3190437</v>
      </c>
      <c r="K1279" s="21" t="n">
        <f aca="false">D1279/(D1279+E1279)</f>
        <v>0.530864197530864</v>
      </c>
      <c r="L1279" s="21" t="n">
        <f aca="false">AVERAGEIFS($K$2:$K$2705,$B$2:$B$2705,B1279)</f>
        <v>0.499927506240599</v>
      </c>
      <c r="M1279" s="21" t="n">
        <f aca="false">K1279-L1279</f>
        <v>0.0309366912902655</v>
      </c>
      <c r="N1279" s="21" t="n">
        <f aca="false">LN(J1279)</f>
        <v>14.4109028483232</v>
      </c>
      <c r="O1279" s="21" t="n">
        <f aca="false">AVERAGEIFS($N$2:$N$2705,$B$2:$B$2705,B1279)</f>
        <v>13.7172543332906</v>
      </c>
      <c r="P1279" s="21" t="n">
        <f aca="false">N1279-O1279</f>
        <v>0.693648515032553</v>
      </c>
      <c r="Q1279" s="7" t="n">
        <v>0</v>
      </c>
      <c r="R1279" s="3" t="n">
        <f aca="false">IF(AND(Q1279=1,B1279-_xlfn.MINIFS($B$2:$B$2705,$A$2:$A$2705,A1279)&lt;10),1,0)</f>
        <v>0</v>
      </c>
      <c r="S1279" s="7" t="n">
        <v>0</v>
      </c>
      <c r="T1279" s="3" t="n">
        <f aca="false">_xlfn.MINIFS($B$2:$B$2705,$A$2:$A$2705,A1279)</f>
        <v>1901</v>
      </c>
      <c r="U1279" s="3" t="n">
        <f aca="false">B1279-T1279</f>
        <v>74</v>
      </c>
      <c r="V1279" s="3" t="str">
        <f aca="false">INDEX(Pop_Inputs!$Q$2:$Q$29,MATCH(C1279,Pop_Inputs!$A$2:$A$29,0))</f>
        <v>Northeast</v>
      </c>
      <c r="W1279" s="30"/>
      <c r="X1279" s="3" t="str">
        <f aca="false">IF(W1279="","",LN(W1279))</f>
        <v/>
      </c>
      <c r="Y1279" s="3" t="str">
        <f aca="false">IF(X1279="","",X1279-AVERAGEIFS($X$2:$X$2705,$B$2:$B$2705,B1279))</f>
        <v/>
      </c>
      <c r="Z1279" s="21" t="n">
        <f aca="false">P1279</f>
        <v>0.693648515032553</v>
      </c>
      <c r="AA1279" s="3" t="n">
        <f aca="false">R1279</f>
        <v>0</v>
      </c>
      <c r="AB1279" s="21" t="n">
        <f aca="false">P1279</f>
        <v>0.693648515032553</v>
      </c>
      <c r="AC1279" s="3" t="str">
        <f aca="false">Y1279</f>
        <v/>
      </c>
      <c r="AD1279" s="3" t="n">
        <f aca="false">R1279</f>
        <v>0</v>
      </c>
    </row>
    <row r="1280" customFormat="false" ht="15" hidden="false" customHeight="true" outlineLevel="0" collapsed="false">
      <c r="A1280" s="7" t="s">
        <v>58</v>
      </c>
      <c r="B1280" s="7" t="n">
        <v>1975</v>
      </c>
      <c r="C1280" s="7" t="s">
        <v>144</v>
      </c>
      <c r="D1280" s="7" t="n">
        <v>92</v>
      </c>
      <c r="E1280" s="7" t="n">
        <v>69</v>
      </c>
      <c r="F1280" s="3" t="n">
        <f aca="false">COUNTIFS($B$2:$B$2705,B1280,$C$2:$C$2705,C1280)</f>
        <v>1</v>
      </c>
      <c r="G1280" s="3" t="n">
        <f aca="false">MIN(INT((MIN(B1280,2020)-1900)/10)+1,12)</f>
        <v>8</v>
      </c>
      <c r="H1280" s="3" t="n">
        <f aca="false">(MIN(B1280,2020)-1900-10*(G1280-1))/10</f>
        <v>0.5</v>
      </c>
      <c r="I1280" s="20" t="n">
        <f aca="false">EXP(LN(INDEX(Pop_Inputs!$B$2:$N$29,MATCH(C1280,Pop_Inputs!$A$2:$A$29,0),G1280))*(1-H1280)+LN(INDEX(Pop_Inputs!$B$2:$N$29,MATCH(C1280,Pop_Inputs!$A$2:$A$29,0),G1280+1))*H1280)</f>
        <v>469571.465003997</v>
      </c>
      <c r="J1280" s="20" t="n">
        <f aca="false">I1280/F1280</f>
        <v>469571.465003997</v>
      </c>
      <c r="K1280" s="21" t="n">
        <f aca="false">D1280/(D1280+E1280)</f>
        <v>0.571428571428571</v>
      </c>
      <c r="L1280" s="21" t="n">
        <f aca="false">AVERAGEIFS($K$2:$K$2705,$B$2:$B$2705,B1280)</f>
        <v>0.499927506240599</v>
      </c>
      <c r="M1280" s="21" t="n">
        <f aca="false">K1280-L1280</f>
        <v>0.0715010651879727</v>
      </c>
      <c r="N1280" s="21" t="n">
        <f aca="false">LN(J1280)</f>
        <v>13.0595757811779</v>
      </c>
      <c r="O1280" s="21" t="n">
        <f aca="false">AVERAGEIFS($N$2:$N$2705,$B$2:$B$2705,B1280)</f>
        <v>13.7172543332906</v>
      </c>
      <c r="P1280" s="21" t="n">
        <f aca="false">N1280-O1280</f>
        <v>-0.657678552112714</v>
      </c>
      <c r="Q1280" s="7" t="n">
        <v>0</v>
      </c>
      <c r="R1280" s="3" t="n">
        <f aca="false">IF(AND(Q1280=1,B1280-_xlfn.MINIFS($B$2:$B$2705,$A$2:$A$2705,A1280)&lt;10),1,0)</f>
        <v>0</v>
      </c>
      <c r="S1280" s="7" t="n">
        <v>0</v>
      </c>
      <c r="T1280" s="3" t="n">
        <f aca="false">_xlfn.MINIFS($B$2:$B$2705,$A$2:$A$2705,A1280)</f>
        <v>1901</v>
      </c>
      <c r="U1280" s="3" t="n">
        <f aca="false">B1280-T1280</f>
        <v>74</v>
      </c>
      <c r="V1280" s="3" t="str">
        <f aca="false">INDEX(Pop_Inputs!$Q$2:$Q$29,MATCH(C1280,Pop_Inputs!$A$2:$A$29,0))</f>
        <v>Northeast</v>
      </c>
      <c r="W1280" s="30"/>
      <c r="X1280" s="3" t="str">
        <f aca="false">IF(W1280="","",LN(W1280))</f>
        <v/>
      </c>
      <c r="Y1280" s="3" t="str">
        <f aca="false">IF(X1280="","",X1280-AVERAGEIFS($X$2:$X$2705,$B$2:$B$2705,B1280))</f>
        <v/>
      </c>
      <c r="Z1280" s="21" t="n">
        <f aca="false">P1280</f>
        <v>-0.657678552112714</v>
      </c>
      <c r="AA1280" s="3" t="n">
        <f aca="false">R1280</f>
        <v>0</v>
      </c>
      <c r="AB1280" s="21" t="n">
        <f aca="false">P1280</f>
        <v>-0.657678552112714</v>
      </c>
      <c r="AC1280" s="3" t="str">
        <f aca="false">Y1280</f>
        <v/>
      </c>
      <c r="AD1280" s="3" t="n">
        <f aca="false">R1280</f>
        <v>0</v>
      </c>
    </row>
    <row r="1281" customFormat="false" ht="15" hidden="false" customHeight="true" outlineLevel="0" collapsed="false">
      <c r="A1281" s="7" t="s">
        <v>78</v>
      </c>
      <c r="B1281" s="7" t="n">
        <v>1975</v>
      </c>
      <c r="C1281" s="7" t="s">
        <v>159</v>
      </c>
      <c r="D1281" s="7" t="n">
        <v>71</v>
      </c>
      <c r="E1281" s="7" t="n">
        <v>91</v>
      </c>
      <c r="F1281" s="3" t="n">
        <f aca="false">COUNTIFS($B$2:$B$2705,B1281,$C$2:$C$2705,C1281)</f>
        <v>1</v>
      </c>
      <c r="G1281" s="3" t="n">
        <f aca="false">MIN(INT((MIN(B1281,2020)-1900)/10)+1,12)</f>
        <v>8</v>
      </c>
      <c r="H1281" s="3" t="n">
        <f aca="false">(MIN(B1281,2020)-1900-10*(G1281-1))/10</f>
        <v>0.5</v>
      </c>
      <c r="I1281" s="20" t="n">
        <f aca="false">EXP(LN(INDEX(Pop_Inputs!$B$2:$N$29,MATCH(C1281,Pop_Inputs!$A$2:$A$29,0),G1281))*(1-H1281)+LN(INDEX(Pop_Inputs!$B$2:$N$29,MATCH(C1281,Pop_Inputs!$A$2:$A$29,0),G1281+1))*H1281)</f>
        <v>781055.527297516</v>
      </c>
      <c r="J1281" s="20" t="n">
        <f aca="false">I1281/F1281</f>
        <v>781055.527297516</v>
      </c>
      <c r="K1281" s="21" t="n">
        <f aca="false">D1281/(D1281+E1281)</f>
        <v>0.438271604938272</v>
      </c>
      <c r="L1281" s="21" t="n">
        <f aca="false">AVERAGEIFS($K$2:$K$2705,$B$2:$B$2705,B1281)</f>
        <v>0.499927506240599</v>
      </c>
      <c r="M1281" s="21" t="n">
        <f aca="false">K1281-L1281</f>
        <v>-0.0616559013023271</v>
      </c>
      <c r="N1281" s="21" t="n">
        <f aca="false">LN(J1281)</f>
        <v>13.5684015239866</v>
      </c>
      <c r="O1281" s="21" t="n">
        <f aca="false">AVERAGEIFS($N$2:$N$2705,$B$2:$B$2705,B1281)</f>
        <v>13.7172543332906</v>
      </c>
      <c r="P1281" s="21" t="n">
        <f aca="false">N1281-O1281</f>
        <v>-0.148852809304021</v>
      </c>
      <c r="Q1281" s="7" t="n">
        <v>1</v>
      </c>
      <c r="R1281" s="3" t="n">
        <f aca="false">IF(AND(Q1281=1,B1281-_xlfn.MINIFS($B$2:$B$2705,$A$2:$A$2705,A1281)&lt;10),1,0)</f>
        <v>1</v>
      </c>
      <c r="S1281" s="7" t="n">
        <v>0</v>
      </c>
      <c r="T1281" s="3" t="n">
        <f aca="false">_xlfn.MINIFS($B$2:$B$2705,$A$2:$A$2705,A1281)</f>
        <v>1969</v>
      </c>
      <c r="U1281" s="3" t="n">
        <f aca="false">B1281-T1281</f>
        <v>6</v>
      </c>
      <c r="V1281" s="3" t="str">
        <f aca="false">INDEX(Pop_Inputs!$Q$2:$Q$29,MATCH(C1281,Pop_Inputs!$A$2:$A$29,0))</f>
        <v>West</v>
      </c>
      <c r="W1281" s="30"/>
      <c r="X1281" s="3" t="str">
        <f aca="false">IF(W1281="","",LN(W1281))</f>
        <v/>
      </c>
      <c r="Y1281" s="3" t="str">
        <f aca="false">IF(X1281="","",X1281-AVERAGEIFS($X$2:$X$2705,$B$2:$B$2705,B1281))</f>
        <v/>
      </c>
      <c r="Z1281" s="21" t="n">
        <f aca="false">P1281</f>
        <v>-0.148852809304021</v>
      </c>
      <c r="AA1281" s="3" t="n">
        <f aca="false">R1281</f>
        <v>1</v>
      </c>
      <c r="AB1281" s="21" t="n">
        <f aca="false">P1281</f>
        <v>-0.148852809304021</v>
      </c>
      <c r="AC1281" s="3" t="str">
        <f aca="false">Y1281</f>
        <v/>
      </c>
      <c r="AD1281" s="3" t="n">
        <f aca="false">R1281</f>
        <v>1</v>
      </c>
    </row>
    <row r="1282" customFormat="false" ht="15" hidden="false" customHeight="true" outlineLevel="0" collapsed="false">
      <c r="A1282" s="7" t="s">
        <v>61</v>
      </c>
      <c r="B1282" s="7" t="n">
        <v>1975</v>
      </c>
      <c r="C1282" s="7" t="s">
        <v>147</v>
      </c>
      <c r="D1282" s="7" t="n">
        <v>80</v>
      </c>
      <c r="E1282" s="7" t="n">
        <v>81</v>
      </c>
      <c r="F1282" s="3" t="n">
        <f aca="false">COUNTIFS($B$2:$B$2705,B1282,$C$2:$C$2705,C1282)</f>
        <v>1</v>
      </c>
      <c r="G1282" s="3" t="n">
        <f aca="false">MIN(INT((MIN(B1282,2020)-1900)/10)+1,12)</f>
        <v>8</v>
      </c>
      <c r="H1282" s="3" t="n">
        <f aca="false">(MIN(B1282,2020)-1900-10*(G1282-1))/10</f>
        <v>0.5</v>
      </c>
      <c r="I1282" s="20" t="n">
        <f aca="false">EXP(LN(INDEX(Pop_Inputs!$B$2:$N$29,MATCH(C1282,Pop_Inputs!$A$2:$A$29,0),G1282))*(1-H1282)+LN(INDEX(Pop_Inputs!$B$2:$N$29,MATCH(C1282,Pop_Inputs!$A$2:$A$29,0),G1282+1))*H1282)</f>
        <v>697082.519129551</v>
      </c>
      <c r="J1282" s="20" t="n">
        <f aca="false">I1282/F1282</f>
        <v>697082.519129551</v>
      </c>
      <c r="K1282" s="21" t="n">
        <f aca="false">D1282/(D1282+E1282)</f>
        <v>0.496894409937888</v>
      </c>
      <c r="L1282" s="21" t="n">
        <f aca="false">AVERAGEIFS($K$2:$K$2705,$B$2:$B$2705,B1282)</f>
        <v>0.499927506240599</v>
      </c>
      <c r="M1282" s="21" t="n">
        <f aca="false">K1282-L1282</f>
        <v>-0.00303309630271054</v>
      </c>
      <c r="N1282" s="21" t="n">
        <f aca="false">LN(J1282)</f>
        <v>13.4546590745994</v>
      </c>
      <c r="O1282" s="21" t="n">
        <f aca="false">AVERAGEIFS($N$2:$N$2705,$B$2:$B$2705,B1282)</f>
        <v>13.7172543332906</v>
      </c>
      <c r="P1282" s="21" t="n">
        <f aca="false">N1282-O1282</f>
        <v>-0.262595258691215</v>
      </c>
      <c r="Q1282" s="7" t="n">
        <v>0</v>
      </c>
      <c r="R1282" s="3" t="n">
        <f aca="false">IF(AND(Q1282=1,B1282-_xlfn.MINIFS($B$2:$B$2705,$A$2:$A$2705,A1282)&lt;10),1,0)</f>
        <v>0</v>
      </c>
      <c r="S1282" s="7" t="n">
        <v>0</v>
      </c>
      <c r="T1282" s="3" t="n">
        <f aca="false">_xlfn.MINIFS($B$2:$B$2705,$A$2:$A$2705,A1282)</f>
        <v>1901</v>
      </c>
      <c r="U1282" s="3" t="n">
        <f aca="false">B1282-T1282</f>
        <v>74</v>
      </c>
      <c r="V1282" s="3" t="str">
        <f aca="false">INDEX(Pop_Inputs!$Q$2:$Q$29,MATCH(C1282,Pop_Inputs!$A$2:$A$29,0))</f>
        <v>West</v>
      </c>
      <c r="W1282" s="30"/>
      <c r="X1282" s="3" t="str">
        <f aca="false">IF(W1282="","",LN(W1282))</f>
        <v/>
      </c>
      <c r="Y1282" s="3" t="str">
        <f aca="false">IF(X1282="","",X1282-AVERAGEIFS($X$2:$X$2705,$B$2:$B$2705,B1282))</f>
        <v/>
      </c>
      <c r="Z1282" s="21" t="n">
        <f aca="false">P1282</f>
        <v>-0.262595258691215</v>
      </c>
      <c r="AA1282" s="3" t="n">
        <f aca="false">R1282</f>
        <v>0</v>
      </c>
      <c r="AB1282" s="21" t="n">
        <f aca="false">P1282</f>
        <v>-0.262595258691215</v>
      </c>
      <c r="AC1282" s="3" t="str">
        <f aca="false">Y1282</f>
        <v/>
      </c>
      <c r="AD1282" s="3" t="n">
        <f aca="false">R1282</f>
        <v>0</v>
      </c>
    </row>
    <row r="1283" customFormat="false" ht="15" hidden="false" customHeight="true" outlineLevel="0" collapsed="false">
      <c r="A1283" s="7" t="s">
        <v>59</v>
      </c>
      <c r="B1283" s="7" t="n">
        <v>1975</v>
      </c>
      <c r="C1283" s="7" t="s">
        <v>145</v>
      </c>
      <c r="D1283" s="7" t="n">
        <v>82</v>
      </c>
      <c r="E1283" s="7" t="n">
        <v>80</v>
      </c>
      <c r="F1283" s="3" t="n">
        <f aca="false">COUNTIFS($B$2:$B$2705,B1283,$C$2:$C$2705,C1283)</f>
        <v>1</v>
      </c>
      <c r="G1283" s="3" t="n">
        <f aca="false">MIN(INT((MIN(B1283,2020)-1900)/10)+1,12)</f>
        <v>8</v>
      </c>
      <c r="H1283" s="3" t="n">
        <f aca="false">(MIN(B1283,2020)-1900-10*(G1283-1))/10</f>
        <v>0.5</v>
      </c>
      <c r="I1283" s="20" t="n">
        <f aca="false">EXP(LN(INDEX(Pop_Inputs!$B$2:$N$29,MATCH(C1283,Pop_Inputs!$A$2:$A$29,0),G1283))*(1-H1283)+LN(INDEX(Pop_Inputs!$B$2:$N$29,MATCH(C1283,Pop_Inputs!$A$2:$A$29,0),G1283+1))*H1283)</f>
        <v>531388.565910107</v>
      </c>
      <c r="J1283" s="20" t="n">
        <f aca="false">I1283/F1283</f>
        <v>531388.565910107</v>
      </c>
      <c r="K1283" s="21" t="n">
        <f aca="false">D1283/(D1283+E1283)</f>
        <v>0.506172839506173</v>
      </c>
      <c r="L1283" s="21" t="n">
        <f aca="false">AVERAGEIFS($K$2:$K$2705,$B$2:$B$2705,B1283)</f>
        <v>0.499927506240599</v>
      </c>
      <c r="M1283" s="21" t="n">
        <f aca="false">K1283-L1283</f>
        <v>0.00624533326557414</v>
      </c>
      <c r="N1283" s="21" t="n">
        <f aca="false">LN(J1283)</f>
        <v>13.183248795159</v>
      </c>
      <c r="O1283" s="21" t="n">
        <f aca="false">AVERAGEIFS($N$2:$N$2705,$B$2:$B$2705,B1283)</f>
        <v>13.7172543332906</v>
      </c>
      <c r="P1283" s="21" t="n">
        <f aca="false">N1283-O1283</f>
        <v>-0.534005538131622</v>
      </c>
      <c r="Q1283" s="7" t="n">
        <v>0</v>
      </c>
      <c r="R1283" s="3" t="n">
        <f aca="false">IF(AND(Q1283=1,B1283-_xlfn.MINIFS($B$2:$B$2705,$A$2:$A$2705,A1283)&lt;10),1,0)</f>
        <v>0</v>
      </c>
      <c r="S1283" s="7" t="n">
        <v>0</v>
      </c>
      <c r="T1283" s="3" t="n">
        <f aca="false">_xlfn.MINIFS($B$2:$B$2705,$A$2:$A$2705,A1283)</f>
        <v>1901</v>
      </c>
      <c r="U1283" s="3" t="n">
        <f aca="false">B1283-T1283</f>
        <v>74</v>
      </c>
      <c r="V1283" s="3" t="str">
        <f aca="false">INDEX(Pop_Inputs!$Q$2:$Q$29,MATCH(C1283,Pop_Inputs!$A$2:$A$29,0))</f>
        <v>Midwest</v>
      </c>
      <c r="W1283" s="30"/>
      <c r="X1283" s="3" t="str">
        <f aca="false">IF(W1283="","",LN(W1283))</f>
        <v/>
      </c>
      <c r="Y1283" s="3" t="str">
        <f aca="false">IF(X1283="","",X1283-AVERAGEIFS($X$2:$X$2705,$B$2:$B$2705,B1283))</f>
        <v/>
      </c>
      <c r="Z1283" s="21" t="n">
        <f aca="false">P1283</f>
        <v>-0.534005538131622</v>
      </c>
      <c r="AA1283" s="3" t="n">
        <f aca="false">R1283</f>
        <v>0</v>
      </c>
      <c r="AB1283" s="21" t="n">
        <f aca="false">P1283</f>
        <v>-0.534005538131622</v>
      </c>
      <c r="AC1283" s="3" t="str">
        <f aca="false">Y1283</f>
        <v/>
      </c>
      <c r="AD1283" s="3" t="n">
        <f aca="false">R1283</f>
        <v>0</v>
      </c>
    </row>
    <row r="1284" customFormat="false" ht="15" hidden="false" customHeight="true" outlineLevel="0" collapsed="false">
      <c r="A1284" s="7" t="s">
        <v>73</v>
      </c>
      <c r="B1284" s="7" t="n">
        <v>1975</v>
      </c>
      <c r="C1284" s="7" t="s">
        <v>155</v>
      </c>
      <c r="D1284" s="7" t="n">
        <v>79</v>
      </c>
      <c r="E1284" s="7" t="n">
        <v>83</v>
      </c>
      <c r="F1284" s="3" t="n">
        <f aca="false">COUNTIFS($B$2:$B$2705,B1284,$C$2:$C$2705,C1284)</f>
        <v>1</v>
      </c>
      <c r="G1284" s="3" t="n">
        <f aca="false">MIN(INT((MIN(B1284,2020)-1900)/10)+1,12)</f>
        <v>8</v>
      </c>
      <c r="H1284" s="3" t="n">
        <f aca="false">(MIN(B1284,2020)-1900-10*(G1284-1))/10</f>
        <v>0.5</v>
      </c>
      <c r="I1284" s="20" t="n">
        <f aca="false">EXP(LN(INDEX(Pop_Inputs!$B$2:$N$29,MATCH(C1284,Pop_Inputs!$A$2:$A$29,0),G1284))*(1-H1284)+LN(INDEX(Pop_Inputs!$B$2:$N$29,MATCH(C1284,Pop_Inputs!$A$2:$A$29,0),G1284+1))*H1284)</f>
        <v>873730.145570131</v>
      </c>
      <c r="J1284" s="20" t="n">
        <f aca="false">I1284/F1284</f>
        <v>873730.145570131</v>
      </c>
      <c r="K1284" s="21" t="n">
        <f aca="false">D1284/(D1284+E1284)</f>
        <v>0.487654320987654</v>
      </c>
      <c r="L1284" s="21" t="n">
        <f aca="false">AVERAGEIFS($K$2:$K$2705,$B$2:$B$2705,B1284)</f>
        <v>0.499927506240599</v>
      </c>
      <c r="M1284" s="21" t="n">
        <f aca="false">K1284-L1284</f>
        <v>-0.0122731852529444</v>
      </c>
      <c r="N1284" s="21" t="n">
        <f aca="false">LN(J1284)</f>
        <v>13.6805268490332</v>
      </c>
      <c r="O1284" s="21" t="n">
        <f aca="false">AVERAGEIFS($N$2:$N$2705,$B$2:$B$2705,B1284)</f>
        <v>13.7172543332906</v>
      </c>
      <c r="P1284" s="21" t="n">
        <f aca="false">N1284-O1284</f>
        <v>-0.036727484257387</v>
      </c>
      <c r="Q1284" s="7" t="n">
        <v>1</v>
      </c>
      <c r="R1284" s="3" t="n">
        <f aca="false">IF(AND(Q1284=1,B1284-_xlfn.MINIFS($B$2:$B$2705,$A$2:$A$2705,A1284)&lt;10),1,0)</f>
        <v>0</v>
      </c>
      <c r="S1284" s="7" t="n">
        <v>0</v>
      </c>
      <c r="T1284" s="3" t="n">
        <f aca="false">_xlfn.MINIFS($B$2:$B$2705,$A$2:$A$2705,A1284)</f>
        <v>1961</v>
      </c>
      <c r="U1284" s="3" t="n">
        <f aca="false">B1284-T1284</f>
        <v>14</v>
      </c>
      <c r="V1284" s="3" t="str">
        <f aca="false">INDEX(Pop_Inputs!$Q$2:$Q$29,MATCH(C1284,Pop_Inputs!$A$2:$A$29,0))</f>
        <v>South</v>
      </c>
      <c r="W1284" s="30"/>
      <c r="X1284" s="3" t="str">
        <f aca="false">IF(W1284="","",LN(W1284))</f>
        <v/>
      </c>
      <c r="Y1284" s="3" t="str">
        <f aca="false">IF(X1284="","",X1284-AVERAGEIFS($X$2:$X$2705,$B$2:$B$2705,B1284))</f>
        <v/>
      </c>
      <c r="Z1284" s="21" t="n">
        <f aca="false">P1284</f>
        <v>-0.036727484257387</v>
      </c>
      <c r="AA1284" s="3" t="n">
        <f aca="false">R1284</f>
        <v>0</v>
      </c>
      <c r="AB1284" s="21" t="n">
        <f aca="false">P1284</f>
        <v>-0.036727484257387</v>
      </c>
      <c r="AC1284" s="3" t="str">
        <f aca="false">Y1284</f>
        <v/>
      </c>
      <c r="AD1284" s="3" t="n">
        <f aca="false">R1284</f>
        <v>0</v>
      </c>
    </row>
    <row r="1285" customFormat="false" ht="15" hidden="false" customHeight="true" outlineLevel="0" collapsed="false">
      <c r="A1285" s="7" t="s">
        <v>79</v>
      </c>
      <c r="B1285" s="7" t="n">
        <v>1975</v>
      </c>
      <c r="C1285" s="7" t="s">
        <v>254</v>
      </c>
      <c r="D1285" s="7" t="n">
        <v>75</v>
      </c>
      <c r="E1285" s="7" t="n">
        <v>87</v>
      </c>
      <c r="F1285" s="3" t="n">
        <f aca="false">COUNTIFS($B$2:$B$2705,B1285,$C$2:$C$2705,C1285)</f>
        <v>1</v>
      </c>
      <c r="G1285" s="3" t="n">
        <f aca="false">MIN(INT((MIN(B1285,2020)-1900)/10)+1,12)</f>
        <v>8</v>
      </c>
      <c r="H1285" s="3" t="n">
        <f aca="false">(MIN(B1285,2020)-1900-10*(G1285-1))/10</f>
        <v>0.5</v>
      </c>
      <c r="I1285" s="20" t="n">
        <f aca="false">EXP(LN(INDEX(Pop_Inputs!$B$2:$N$29,MATCH(C1285,Pop_Inputs!$A$2:$A$29,0),G1285))*(1-H1285)+LN(INDEX(Pop_Inputs!$B$2:$N$29,MATCH(C1285,Pop_Inputs!$A$2:$A$29,0),G1285+1))*H1285)</f>
        <v>1091097.99771056</v>
      </c>
      <c r="J1285" s="20" t="n">
        <f aca="false">I1285/F1285</f>
        <v>1091097.99771056</v>
      </c>
      <c r="K1285" s="21" t="n">
        <f aca="false">D1285/(D1285+E1285)</f>
        <v>0.462962962962963</v>
      </c>
      <c r="L1285" s="21" t="n">
        <f aca="false">AVERAGEIFS($K$2:$K$2705,$B$2:$B$2705,B1285)</f>
        <v>0.499927506240599</v>
      </c>
      <c r="M1285" s="21" t="n">
        <f aca="false">K1285-L1285</f>
        <v>-0.0369645432776358</v>
      </c>
      <c r="N1285" s="21" t="n">
        <f aca="false">LN(J1285)</f>
        <v>13.9026950845307</v>
      </c>
      <c r="O1285" s="21" t="n">
        <f aca="false">AVERAGEIFS($N$2:$N$2705,$B$2:$B$2705,B1285)</f>
        <v>13.7172543332906</v>
      </c>
      <c r="P1285" s="21" t="n">
        <f aca="false">N1285-O1285</f>
        <v>0.185440751240062</v>
      </c>
      <c r="Q1285" s="7" t="n">
        <v>1</v>
      </c>
      <c r="R1285" s="3" t="n">
        <f aca="false">IF(AND(Q1285=1,B1285-_xlfn.MINIFS($B$2:$B$2705,$A$2:$A$2705,A1285)&lt;10),1,0)</f>
        <v>1</v>
      </c>
      <c r="S1285" s="7" t="n">
        <v>0</v>
      </c>
      <c r="T1285" s="3" t="n">
        <f aca="false">_xlfn.MINIFS($B$2:$B$2705,$A$2:$A$2705,A1285)</f>
        <v>1969</v>
      </c>
      <c r="U1285" s="3" t="n">
        <f aca="false">B1285-T1285</f>
        <v>6</v>
      </c>
      <c r="V1285" s="3" t="str">
        <f aca="false">INDEX(Pop_Inputs!$Q$2:$Q$29,MATCH(C1285,Pop_Inputs!$A$2:$A$29,0))</f>
        <v>Canada</v>
      </c>
      <c r="W1285" s="30"/>
      <c r="X1285" s="3" t="str">
        <f aca="false">IF(W1285="","",LN(W1285))</f>
        <v/>
      </c>
      <c r="Y1285" s="3" t="str">
        <f aca="false">IF(X1285="","",X1285-AVERAGEIFS($X$2:$X$2705,$B$2:$B$2705,B1285))</f>
        <v/>
      </c>
      <c r="Z1285" s="21" t="n">
        <f aca="false">P1285</f>
        <v>0.185440751240062</v>
      </c>
      <c r="AA1285" s="3" t="n">
        <f aca="false">R1285</f>
        <v>1</v>
      </c>
      <c r="AB1285" s="21" t="n">
        <f aca="false">P1285</f>
        <v>0.185440751240062</v>
      </c>
      <c r="AC1285" s="3" t="str">
        <f aca="false">Y1285</f>
        <v/>
      </c>
      <c r="AD1285" s="3" t="n">
        <f aca="false">R1285</f>
        <v>1</v>
      </c>
    </row>
    <row r="1286" customFormat="false" ht="15" hidden="false" customHeight="true" outlineLevel="0" collapsed="false">
      <c r="A1286" s="7" t="s">
        <v>71</v>
      </c>
      <c r="B1286" s="7" t="n">
        <v>1976</v>
      </c>
      <c r="C1286" s="7" t="s">
        <v>148</v>
      </c>
      <c r="D1286" s="7" t="n">
        <v>76</v>
      </c>
      <c r="E1286" s="7" t="n">
        <v>86</v>
      </c>
      <c r="F1286" s="3" t="n">
        <f aca="false">COUNTIFS($B$2:$B$2705,B1286,$C$2:$C$2705,C1286)</f>
        <v>2</v>
      </c>
      <c r="G1286" s="3" t="n">
        <f aca="false">MIN(INT((MIN(B1286,2020)-1900)/10)+1,12)</f>
        <v>8</v>
      </c>
      <c r="H1286" s="3" t="n">
        <f aca="false">(MIN(B1286,2020)-1900-10*(G1286-1))/10</f>
        <v>0.6</v>
      </c>
      <c r="I1286" s="20" t="n">
        <f aca="false">EXP(LN(INDEX(Pop_Inputs!$B$2:$N$29,MATCH(C1286,Pop_Inputs!$A$2:$A$29,0),G1286))*(1-H1286)+LN(INDEX(Pop_Inputs!$B$2:$N$29,MATCH(C1286,Pop_Inputs!$A$2:$A$29,0),G1286+1))*H1286)</f>
        <v>2905588.96141527</v>
      </c>
      <c r="J1286" s="20" t="n">
        <f aca="false">I1286/F1286</f>
        <v>1452794.48070764</v>
      </c>
      <c r="K1286" s="21" t="n">
        <f aca="false">D1286/(D1286+E1286)</f>
        <v>0.469135802469136</v>
      </c>
      <c r="L1286" s="21" t="n">
        <f aca="false">AVERAGEIFS($K$2:$K$2705,$B$2:$B$2705,B1286)</f>
        <v>0.500042681065377</v>
      </c>
      <c r="M1286" s="21" t="n">
        <f aca="false">K1286-L1286</f>
        <v>-0.0309068785962414</v>
      </c>
      <c r="N1286" s="21" t="n">
        <f aca="false">LN(J1286)</f>
        <v>14.1889994877496</v>
      </c>
      <c r="O1286" s="21" t="n">
        <f aca="false">AVERAGEIFS($N$2:$N$2705,$B$2:$B$2705,B1286)</f>
        <v>13.7078196475512</v>
      </c>
      <c r="P1286" s="21" t="n">
        <f aca="false">N1286-O1286</f>
        <v>0.481179840198392</v>
      </c>
      <c r="Q1286" s="7" t="n">
        <v>1</v>
      </c>
      <c r="R1286" s="3" t="n">
        <f aca="false">IF(AND(Q1286=1,B1286-_xlfn.MINIFS($B$2:$B$2705,$A$2:$A$2705,A1286)&lt;10),1,0)</f>
        <v>0</v>
      </c>
      <c r="S1286" s="7" t="n">
        <v>0</v>
      </c>
      <c r="T1286" s="3" t="n">
        <f aca="false">_xlfn.MINIFS($B$2:$B$2705,$A$2:$A$2705,A1286)</f>
        <v>1961</v>
      </c>
      <c r="U1286" s="3" t="n">
        <f aca="false">B1286-T1286</f>
        <v>15</v>
      </c>
      <c r="V1286" s="3" t="str">
        <f aca="false">INDEX(Pop_Inputs!$Q$2:$Q$29,MATCH(C1286,Pop_Inputs!$A$2:$A$29,0))</f>
        <v>West</v>
      </c>
      <c r="W1286" s="30"/>
      <c r="X1286" s="3" t="str">
        <f aca="false">IF(W1286="","",LN(W1286))</f>
        <v/>
      </c>
      <c r="Y1286" s="3" t="str">
        <f aca="false">IF(X1286="","",X1286-AVERAGEIFS($X$2:$X$2705,$B$2:$B$2705,B1286))</f>
        <v/>
      </c>
      <c r="Z1286" s="21" t="n">
        <f aca="false">P1286</f>
        <v>0.481179840198392</v>
      </c>
      <c r="AA1286" s="3" t="n">
        <f aca="false">R1286</f>
        <v>0</v>
      </c>
      <c r="AB1286" s="21" t="n">
        <f aca="false">P1286</f>
        <v>0.481179840198392</v>
      </c>
      <c r="AC1286" s="3" t="str">
        <f aca="false">Y1286</f>
        <v/>
      </c>
      <c r="AD1286" s="3" t="n">
        <f aca="false">R1286</f>
        <v>0</v>
      </c>
    </row>
    <row r="1287" customFormat="false" ht="15" hidden="false" customHeight="true" outlineLevel="0" collapsed="false">
      <c r="A1287" s="7" t="s">
        <v>54</v>
      </c>
      <c r="B1287" s="7" t="n">
        <v>1976</v>
      </c>
      <c r="C1287" s="7" t="s">
        <v>141</v>
      </c>
      <c r="D1287" s="7" t="n">
        <v>70</v>
      </c>
      <c r="E1287" s="7" t="n">
        <v>92</v>
      </c>
      <c r="F1287" s="3" t="n">
        <f aca="false">COUNTIFS($B$2:$B$2705,B1287,$C$2:$C$2705,C1287)</f>
        <v>1</v>
      </c>
      <c r="G1287" s="3" t="n">
        <f aca="false">MIN(INT((MIN(B1287,2020)-1900)/10)+1,12)</f>
        <v>8</v>
      </c>
      <c r="H1287" s="3" t="n">
        <f aca="false">(MIN(B1287,2020)-1900-10*(G1287-1))/10</f>
        <v>0.6</v>
      </c>
      <c r="I1287" s="20" t="n">
        <f aca="false">EXP(LN(INDEX(Pop_Inputs!$B$2:$N$29,MATCH(C1287,Pop_Inputs!$A$2:$A$29,0),G1287))*(1-H1287)+LN(INDEX(Pop_Inputs!$B$2:$N$29,MATCH(C1287,Pop_Inputs!$A$2:$A$29,0),G1287+1))*H1287)</f>
        <v>451754.62993699</v>
      </c>
      <c r="J1287" s="20" t="n">
        <f aca="false">I1287/F1287</f>
        <v>451754.62993699</v>
      </c>
      <c r="K1287" s="21" t="n">
        <f aca="false">D1287/(D1287+E1287)</f>
        <v>0.432098765432099</v>
      </c>
      <c r="L1287" s="21" t="n">
        <f aca="false">AVERAGEIFS($K$2:$K$2705,$B$2:$B$2705,B1287)</f>
        <v>0.500042681065377</v>
      </c>
      <c r="M1287" s="21" t="n">
        <f aca="false">K1287-L1287</f>
        <v>-0.0679439156332785</v>
      </c>
      <c r="N1287" s="21" t="n">
        <f aca="false">LN(J1287)</f>
        <v>13.020894457294</v>
      </c>
      <c r="O1287" s="21" t="n">
        <f aca="false">AVERAGEIFS($N$2:$N$2705,$B$2:$B$2705,B1287)</f>
        <v>13.7078196475512</v>
      </c>
      <c r="P1287" s="21" t="n">
        <f aca="false">N1287-O1287</f>
        <v>-0.686925190257151</v>
      </c>
      <c r="Q1287" s="7" t="n">
        <v>0</v>
      </c>
      <c r="R1287" s="3" t="n">
        <f aca="false">IF(AND(Q1287=1,B1287-_xlfn.MINIFS($B$2:$B$2705,$A$2:$A$2705,A1287)&lt;10),1,0)</f>
        <v>0</v>
      </c>
      <c r="S1287" s="7" t="n">
        <v>0</v>
      </c>
      <c r="T1287" s="3" t="n">
        <f aca="false">_xlfn.MINIFS($B$2:$B$2705,$A$2:$A$2705,A1287)</f>
        <v>1901</v>
      </c>
      <c r="U1287" s="3" t="n">
        <f aca="false">B1287-T1287</f>
        <v>75</v>
      </c>
      <c r="V1287" s="3" t="str">
        <f aca="false">INDEX(Pop_Inputs!$Q$2:$Q$29,MATCH(C1287,Pop_Inputs!$A$2:$A$29,0))</f>
        <v>South</v>
      </c>
      <c r="W1287" s="30"/>
      <c r="X1287" s="3" t="str">
        <f aca="false">IF(W1287="","",LN(W1287))</f>
        <v/>
      </c>
      <c r="Y1287" s="3" t="str">
        <f aca="false">IF(X1287="","",X1287-AVERAGEIFS($X$2:$X$2705,$B$2:$B$2705,B1287))</f>
        <v/>
      </c>
      <c r="Z1287" s="21" t="n">
        <f aca="false">P1287</f>
        <v>-0.686925190257151</v>
      </c>
      <c r="AA1287" s="3" t="n">
        <f aca="false">R1287</f>
        <v>0</v>
      </c>
      <c r="AB1287" s="21" t="n">
        <f aca="false">P1287</f>
        <v>-0.686925190257151</v>
      </c>
      <c r="AC1287" s="3" t="str">
        <f aca="false">Y1287</f>
        <v/>
      </c>
      <c r="AD1287" s="3" t="n">
        <f aca="false">R1287</f>
        <v>0</v>
      </c>
    </row>
    <row r="1288" customFormat="false" ht="15" hidden="false" customHeight="true" outlineLevel="0" collapsed="false">
      <c r="A1288" s="7" t="s">
        <v>63</v>
      </c>
      <c r="B1288" s="7" t="n">
        <v>1976</v>
      </c>
      <c r="C1288" s="7" t="s">
        <v>149</v>
      </c>
      <c r="D1288" s="7" t="n">
        <v>88</v>
      </c>
      <c r="E1288" s="7" t="n">
        <v>74</v>
      </c>
      <c r="F1288" s="3" t="n">
        <f aca="false">COUNTIFS($B$2:$B$2705,B1288,$C$2:$C$2705,C1288)</f>
        <v>1</v>
      </c>
      <c r="G1288" s="3" t="n">
        <f aca="false">MIN(INT((MIN(B1288,2020)-1900)/10)+1,12)</f>
        <v>8</v>
      </c>
      <c r="H1288" s="3" t="n">
        <f aca="false">(MIN(B1288,2020)-1900-10*(G1288-1))/10</f>
        <v>0.6</v>
      </c>
      <c r="I1288" s="20" t="n">
        <f aca="false">EXP(LN(INDEX(Pop_Inputs!$B$2:$N$29,MATCH(C1288,Pop_Inputs!$A$2:$A$29,0),G1288))*(1-H1288)+LN(INDEX(Pop_Inputs!$B$2:$N$29,MATCH(C1288,Pop_Inputs!$A$2:$A$29,0),G1288+1))*H1288)</f>
        <v>832368.03563653</v>
      </c>
      <c r="J1288" s="20" t="n">
        <f aca="false">I1288/F1288</f>
        <v>832368.03563653</v>
      </c>
      <c r="K1288" s="21" t="n">
        <f aca="false">D1288/(D1288+E1288)</f>
        <v>0.54320987654321</v>
      </c>
      <c r="L1288" s="21" t="n">
        <f aca="false">AVERAGEIFS($K$2:$K$2705,$B$2:$B$2705,B1288)</f>
        <v>0.500042681065377</v>
      </c>
      <c r="M1288" s="21" t="n">
        <f aca="false">K1288-L1288</f>
        <v>0.0431671954778327</v>
      </c>
      <c r="N1288" s="21" t="n">
        <f aca="false">LN(J1288)</f>
        <v>13.6320299725199</v>
      </c>
      <c r="O1288" s="21" t="n">
        <f aca="false">AVERAGEIFS($N$2:$N$2705,$B$2:$B$2705,B1288)</f>
        <v>13.7078196475512</v>
      </c>
      <c r="P1288" s="21" t="n">
        <f aca="false">N1288-O1288</f>
        <v>-0.0757896750313005</v>
      </c>
      <c r="Q1288" s="7" t="n">
        <v>0</v>
      </c>
      <c r="R1288" s="3" t="n">
        <f aca="false">IF(AND(Q1288=1,B1288-_xlfn.MINIFS($B$2:$B$2705,$A$2:$A$2705,A1288)&lt;10),1,0)</f>
        <v>0</v>
      </c>
      <c r="S1288" s="7" t="n">
        <v>0</v>
      </c>
      <c r="T1288" s="3" t="n">
        <f aca="false">_xlfn.MINIFS($B$2:$B$2705,$A$2:$A$2705,A1288)</f>
        <v>1901</v>
      </c>
      <c r="U1288" s="3" t="n">
        <f aca="false">B1288-T1288</f>
        <v>75</v>
      </c>
      <c r="V1288" s="3" t="str">
        <f aca="false">INDEX(Pop_Inputs!$Q$2:$Q$29,MATCH(C1288,Pop_Inputs!$A$2:$A$29,0))</f>
        <v>South</v>
      </c>
      <c r="W1288" s="30"/>
      <c r="X1288" s="3" t="str">
        <f aca="false">IF(W1288="","",LN(W1288))</f>
        <v/>
      </c>
      <c r="Y1288" s="3" t="str">
        <f aca="false">IF(X1288="","",X1288-AVERAGEIFS($X$2:$X$2705,$B$2:$B$2705,B1288))</f>
        <v/>
      </c>
      <c r="Z1288" s="21" t="n">
        <f aca="false">P1288</f>
        <v>-0.0757896750313005</v>
      </c>
      <c r="AA1288" s="3" t="n">
        <f aca="false">R1288</f>
        <v>0</v>
      </c>
      <c r="AB1288" s="21" t="n">
        <f aca="false">P1288</f>
        <v>-0.0757896750313005</v>
      </c>
      <c r="AC1288" s="3" t="str">
        <f aca="false">Y1288</f>
        <v/>
      </c>
      <c r="AD1288" s="3" t="n">
        <f aca="false">R1288</f>
        <v>0</v>
      </c>
    </row>
    <row r="1289" customFormat="false" ht="15" hidden="false" customHeight="true" outlineLevel="0" collapsed="false">
      <c r="A1289" s="7" t="s">
        <v>64</v>
      </c>
      <c r="B1289" s="7" t="n">
        <v>1976</v>
      </c>
      <c r="C1289" s="7" t="s">
        <v>150</v>
      </c>
      <c r="D1289" s="7" t="n">
        <v>83</v>
      </c>
      <c r="E1289" s="7" t="n">
        <v>79</v>
      </c>
      <c r="F1289" s="3" t="n">
        <f aca="false">COUNTIFS($B$2:$B$2705,B1289,$C$2:$C$2705,C1289)</f>
        <v>1</v>
      </c>
      <c r="G1289" s="3" t="n">
        <f aca="false">MIN(INT((MIN(B1289,2020)-1900)/10)+1,12)</f>
        <v>8</v>
      </c>
      <c r="H1289" s="3" t="n">
        <f aca="false">(MIN(B1289,2020)-1900-10*(G1289-1))/10</f>
        <v>0.6</v>
      </c>
      <c r="I1289" s="20" t="n">
        <f aca="false">EXP(LN(INDEX(Pop_Inputs!$B$2:$N$29,MATCH(C1289,Pop_Inputs!$A$2:$A$29,0),G1289))*(1-H1289)+LN(INDEX(Pop_Inputs!$B$2:$N$29,MATCH(C1289,Pop_Inputs!$A$2:$A$29,0),G1289+1))*H1289)</f>
        <v>593013.68044411</v>
      </c>
      <c r="J1289" s="20" t="n">
        <f aca="false">I1289/F1289</f>
        <v>593013.68044411</v>
      </c>
      <c r="K1289" s="21" t="n">
        <f aca="false">D1289/(D1289+E1289)</f>
        <v>0.512345679012346</v>
      </c>
      <c r="L1289" s="21" t="n">
        <f aca="false">AVERAGEIFS($K$2:$K$2705,$B$2:$B$2705,B1289)</f>
        <v>0.500042681065377</v>
      </c>
      <c r="M1289" s="21" t="n">
        <f aca="false">K1289-L1289</f>
        <v>0.0123029979469685</v>
      </c>
      <c r="N1289" s="21" t="n">
        <f aca="false">LN(J1289)</f>
        <v>13.2929727476026</v>
      </c>
      <c r="O1289" s="21" t="n">
        <f aca="false">AVERAGEIFS($N$2:$N$2705,$B$2:$B$2705,B1289)</f>
        <v>13.7078196475512</v>
      </c>
      <c r="P1289" s="21" t="n">
        <f aca="false">N1289-O1289</f>
        <v>-0.414846899948527</v>
      </c>
      <c r="Q1289" s="7" t="n">
        <v>0</v>
      </c>
      <c r="R1289" s="3" t="n">
        <f aca="false">IF(AND(Q1289=1,B1289-_xlfn.MINIFS($B$2:$B$2705,$A$2:$A$2705,A1289)&lt;10),1,0)</f>
        <v>0</v>
      </c>
      <c r="S1289" s="7" t="n">
        <v>0</v>
      </c>
      <c r="T1289" s="3" t="n">
        <f aca="false">_xlfn.MINIFS($B$2:$B$2705,$A$2:$A$2705,A1289)</f>
        <v>1901</v>
      </c>
      <c r="U1289" s="3" t="n">
        <f aca="false">B1289-T1289</f>
        <v>75</v>
      </c>
      <c r="V1289" s="3" t="str">
        <f aca="false">INDEX(Pop_Inputs!$Q$2:$Q$29,MATCH(C1289,Pop_Inputs!$A$2:$A$29,0))</f>
        <v>Northeast</v>
      </c>
      <c r="W1289" s="30"/>
      <c r="X1289" s="3" t="str">
        <f aca="false">IF(W1289="","",LN(W1289))</f>
        <v/>
      </c>
      <c r="Y1289" s="3" t="str">
        <f aca="false">IF(X1289="","",X1289-AVERAGEIFS($X$2:$X$2705,$B$2:$B$2705,B1289))</f>
        <v/>
      </c>
      <c r="Z1289" s="21" t="n">
        <f aca="false">P1289</f>
        <v>-0.414846899948527</v>
      </c>
      <c r="AA1289" s="3" t="n">
        <f aca="false">R1289</f>
        <v>0</v>
      </c>
      <c r="AB1289" s="21" t="n">
        <f aca="false">P1289</f>
        <v>-0.414846899948527</v>
      </c>
      <c r="AC1289" s="3" t="str">
        <f aca="false">Y1289</f>
        <v/>
      </c>
      <c r="AD1289" s="3" t="n">
        <f aca="false">R1289</f>
        <v>0</v>
      </c>
    </row>
    <row r="1290" customFormat="false" ht="15" hidden="false" customHeight="true" outlineLevel="0" collapsed="false">
      <c r="A1290" s="7" t="s">
        <v>56</v>
      </c>
      <c r="B1290" s="7" t="n">
        <v>1976</v>
      </c>
      <c r="C1290" s="7" t="s">
        <v>142</v>
      </c>
      <c r="D1290" s="7" t="n">
        <v>75</v>
      </c>
      <c r="E1290" s="7" t="n">
        <v>87</v>
      </c>
      <c r="F1290" s="3" t="n">
        <f aca="false">COUNTIFS($B$2:$B$2705,B1290,$C$2:$C$2705,C1290)</f>
        <v>2</v>
      </c>
      <c r="G1290" s="3" t="n">
        <f aca="false">MIN(INT((MIN(B1290,2020)-1900)/10)+1,12)</f>
        <v>8</v>
      </c>
      <c r="H1290" s="3" t="n">
        <f aca="false">(MIN(B1290,2020)-1900-10*(G1290-1))/10</f>
        <v>0.6</v>
      </c>
      <c r="I1290" s="20" t="n">
        <f aca="false">EXP(LN(INDEX(Pop_Inputs!$B$2:$N$29,MATCH(C1290,Pop_Inputs!$A$2:$A$29,0),G1290))*(1-H1290)+LN(INDEX(Pop_Inputs!$B$2:$N$29,MATCH(C1290,Pop_Inputs!$A$2:$A$29,0),G1290+1))*H1290)</f>
        <v>3144908.08601802</v>
      </c>
      <c r="J1290" s="20" t="n">
        <f aca="false">I1290/F1290</f>
        <v>1572454.04300901</v>
      </c>
      <c r="K1290" s="21" t="n">
        <f aca="false">D1290/(D1290+E1290)</f>
        <v>0.462962962962963</v>
      </c>
      <c r="L1290" s="21" t="n">
        <f aca="false">AVERAGEIFS($K$2:$K$2705,$B$2:$B$2705,B1290)</f>
        <v>0.500042681065377</v>
      </c>
      <c r="M1290" s="21" t="n">
        <f aca="false">K1290-L1290</f>
        <v>-0.0370797181024142</v>
      </c>
      <c r="N1290" s="21" t="n">
        <f aca="false">LN(J1290)</f>
        <v>14.2681480416982</v>
      </c>
      <c r="O1290" s="21" t="n">
        <f aca="false">AVERAGEIFS($N$2:$N$2705,$B$2:$B$2705,B1290)</f>
        <v>13.7078196475512</v>
      </c>
      <c r="P1290" s="21" t="n">
        <f aca="false">N1290-O1290</f>
        <v>0.560328394147017</v>
      </c>
      <c r="Q1290" s="7" t="n">
        <v>0</v>
      </c>
      <c r="R1290" s="3" t="n">
        <f aca="false">IF(AND(Q1290=1,B1290-_xlfn.MINIFS($B$2:$B$2705,$A$2:$A$2705,A1290)&lt;10),1,0)</f>
        <v>0</v>
      </c>
      <c r="S1290" s="7" t="n">
        <v>0</v>
      </c>
      <c r="T1290" s="3" t="n">
        <f aca="false">_xlfn.MINIFS($B$2:$B$2705,$A$2:$A$2705,A1290)</f>
        <v>1901</v>
      </c>
      <c r="U1290" s="3" t="n">
        <f aca="false">B1290-T1290</f>
        <v>75</v>
      </c>
      <c r="V1290" s="3" t="str">
        <f aca="false">INDEX(Pop_Inputs!$Q$2:$Q$29,MATCH(C1290,Pop_Inputs!$A$2:$A$29,0))</f>
        <v>Midwest</v>
      </c>
      <c r="W1290" s="30"/>
      <c r="X1290" s="3" t="str">
        <f aca="false">IF(W1290="","",LN(W1290))</f>
        <v/>
      </c>
      <c r="Y1290" s="3" t="str">
        <f aca="false">IF(X1290="","",X1290-AVERAGEIFS($X$2:$X$2705,$B$2:$B$2705,B1290))</f>
        <v/>
      </c>
      <c r="Z1290" s="21" t="n">
        <f aca="false">P1290</f>
        <v>0.560328394147017</v>
      </c>
      <c r="AA1290" s="3" t="n">
        <f aca="false">R1290</f>
        <v>0</v>
      </c>
      <c r="AB1290" s="21" t="n">
        <f aca="false">P1290</f>
        <v>0.560328394147017</v>
      </c>
      <c r="AC1290" s="3" t="str">
        <f aca="false">Y1290</f>
        <v/>
      </c>
      <c r="AD1290" s="3" t="n">
        <f aca="false">R1290</f>
        <v>0</v>
      </c>
    </row>
    <row r="1291" customFormat="false" ht="15" hidden="false" customHeight="true" outlineLevel="0" collapsed="false">
      <c r="A1291" s="7" t="s">
        <v>65</v>
      </c>
      <c r="B1291" s="7" t="n">
        <v>1976</v>
      </c>
      <c r="C1291" s="7" t="s">
        <v>142</v>
      </c>
      <c r="D1291" s="7" t="n">
        <v>64</v>
      </c>
      <c r="E1291" s="7" t="n">
        <v>97</v>
      </c>
      <c r="F1291" s="3" t="n">
        <f aca="false">COUNTIFS($B$2:$B$2705,B1291,$C$2:$C$2705,C1291)</f>
        <v>2</v>
      </c>
      <c r="G1291" s="3" t="n">
        <f aca="false">MIN(INT((MIN(B1291,2020)-1900)/10)+1,12)</f>
        <v>8</v>
      </c>
      <c r="H1291" s="3" t="n">
        <f aca="false">(MIN(B1291,2020)-1900-10*(G1291-1))/10</f>
        <v>0.6</v>
      </c>
      <c r="I1291" s="20" t="n">
        <f aca="false">EXP(LN(INDEX(Pop_Inputs!$B$2:$N$29,MATCH(C1291,Pop_Inputs!$A$2:$A$29,0),G1291))*(1-H1291)+LN(INDEX(Pop_Inputs!$B$2:$N$29,MATCH(C1291,Pop_Inputs!$A$2:$A$29,0),G1291+1))*H1291)</f>
        <v>3144908.08601802</v>
      </c>
      <c r="J1291" s="20" t="n">
        <f aca="false">I1291/F1291</f>
        <v>1572454.04300901</v>
      </c>
      <c r="K1291" s="21" t="n">
        <f aca="false">D1291/(D1291+E1291)</f>
        <v>0.397515527950311</v>
      </c>
      <c r="L1291" s="21" t="n">
        <f aca="false">AVERAGEIFS($K$2:$K$2705,$B$2:$B$2705,B1291)</f>
        <v>0.500042681065377</v>
      </c>
      <c r="M1291" s="21" t="n">
        <f aca="false">K1291-L1291</f>
        <v>-0.102527153115067</v>
      </c>
      <c r="N1291" s="21" t="n">
        <f aca="false">LN(J1291)</f>
        <v>14.2681480416982</v>
      </c>
      <c r="O1291" s="21" t="n">
        <f aca="false">AVERAGEIFS($N$2:$N$2705,$B$2:$B$2705,B1291)</f>
        <v>13.7078196475512</v>
      </c>
      <c r="P1291" s="21" t="n">
        <f aca="false">N1291-O1291</f>
        <v>0.560328394147017</v>
      </c>
      <c r="Q1291" s="7" t="n">
        <v>0</v>
      </c>
      <c r="R1291" s="3" t="n">
        <f aca="false">IF(AND(Q1291=1,B1291-_xlfn.MINIFS($B$2:$B$2705,$A$2:$A$2705,A1291)&lt;10),1,0)</f>
        <v>0</v>
      </c>
      <c r="S1291" s="7" t="n">
        <v>0</v>
      </c>
      <c r="T1291" s="3" t="n">
        <f aca="false">_xlfn.MINIFS($B$2:$B$2705,$A$2:$A$2705,A1291)</f>
        <v>1901</v>
      </c>
      <c r="U1291" s="3" t="n">
        <f aca="false">B1291-T1291</f>
        <v>75</v>
      </c>
      <c r="V1291" s="3" t="str">
        <f aca="false">INDEX(Pop_Inputs!$Q$2:$Q$29,MATCH(C1291,Pop_Inputs!$A$2:$A$29,0))</f>
        <v>Midwest</v>
      </c>
      <c r="W1291" s="30"/>
      <c r="X1291" s="3" t="str">
        <f aca="false">IF(W1291="","",LN(W1291))</f>
        <v/>
      </c>
      <c r="Y1291" s="3" t="str">
        <f aca="false">IF(X1291="","",X1291-AVERAGEIFS($X$2:$X$2705,$B$2:$B$2705,B1291))</f>
        <v/>
      </c>
      <c r="Z1291" s="21" t="n">
        <f aca="false">P1291</f>
        <v>0.560328394147017</v>
      </c>
      <c r="AA1291" s="3" t="n">
        <f aca="false">R1291</f>
        <v>0</v>
      </c>
      <c r="AB1291" s="21" t="n">
        <f aca="false">P1291</f>
        <v>0.560328394147017</v>
      </c>
      <c r="AC1291" s="3" t="str">
        <f aca="false">Y1291</f>
        <v/>
      </c>
      <c r="AD1291" s="3" t="n">
        <f aca="false">R1291</f>
        <v>0</v>
      </c>
    </row>
    <row r="1292" customFormat="false" ht="15" hidden="false" customHeight="true" outlineLevel="0" collapsed="false">
      <c r="A1292" s="7" t="s">
        <v>57</v>
      </c>
      <c r="B1292" s="7" t="n">
        <v>1976</v>
      </c>
      <c r="C1292" s="7" t="s">
        <v>143</v>
      </c>
      <c r="D1292" s="7" t="n">
        <v>102</v>
      </c>
      <c r="E1292" s="7" t="n">
        <v>60</v>
      </c>
      <c r="F1292" s="3" t="n">
        <f aca="false">COUNTIFS($B$2:$B$2705,B1292,$C$2:$C$2705,C1292)</f>
        <v>1</v>
      </c>
      <c r="G1292" s="3" t="n">
        <f aca="false">MIN(INT((MIN(B1292,2020)-1900)/10)+1,12)</f>
        <v>8</v>
      </c>
      <c r="H1292" s="3" t="n">
        <f aca="false">(MIN(B1292,2020)-1900-10*(G1292-1))/10</f>
        <v>0.6</v>
      </c>
      <c r="I1292" s="20" t="n">
        <f aca="false">EXP(LN(INDEX(Pop_Inputs!$B$2:$N$29,MATCH(C1292,Pop_Inputs!$A$2:$A$29,0),G1292))*(1-H1292)+LN(INDEX(Pop_Inputs!$B$2:$N$29,MATCH(C1292,Pop_Inputs!$A$2:$A$29,0),G1292+1))*H1292)</f>
        <v>411002.649051232</v>
      </c>
      <c r="J1292" s="20" t="n">
        <f aca="false">I1292/F1292</f>
        <v>411002.649051232</v>
      </c>
      <c r="K1292" s="21" t="n">
        <f aca="false">D1292/(D1292+E1292)</f>
        <v>0.62962962962963</v>
      </c>
      <c r="L1292" s="21" t="n">
        <f aca="false">AVERAGEIFS($K$2:$K$2705,$B$2:$B$2705,B1292)</f>
        <v>0.500042681065377</v>
      </c>
      <c r="M1292" s="21" t="n">
        <f aca="false">K1292-L1292</f>
        <v>0.129586948564252</v>
      </c>
      <c r="N1292" s="21" t="n">
        <f aca="false">LN(J1292)</f>
        <v>12.9263549388377</v>
      </c>
      <c r="O1292" s="21" t="n">
        <f aca="false">AVERAGEIFS($N$2:$N$2705,$B$2:$B$2705,B1292)</f>
        <v>13.7078196475512</v>
      </c>
      <c r="P1292" s="21" t="n">
        <f aca="false">N1292-O1292</f>
        <v>-0.781464708713445</v>
      </c>
      <c r="Q1292" s="7" t="n">
        <v>0</v>
      </c>
      <c r="R1292" s="3" t="n">
        <f aca="false">IF(AND(Q1292=1,B1292-_xlfn.MINIFS($B$2:$B$2705,$A$2:$A$2705,A1292)&lt;10),1,0)</f>
        <v>0</v>
      </c>
      <c r="S1292" s="7" t="n">
        <v>0</v>
      </c>
      <c r="T1292" s="3" t="n">
        <f aca="false">_xlfn.MINIFS($B$2:$B$2705,$A$2:$A$2705,A1292)</f>
        <v>1901</v>
      </c>
      <c r="U1292" s="3" t="n">
        <f aca="false">B1292-T1292</f>
        <v>75</v>
      </c>
      <c r="V1292" s="3" t="str">
        <f aca="false">INDEX(Pop_Inputs!$Q$2:$Q$29,MATCH(C1292,Pop_Inputs!$A$2:$A$29,0))</f>
        <v>Midwest</v>
      </c>
      <c r="W1292" s="30"/>
      <c r="X1292" s="3" t="str">
        <f aca="false">IF(W1292="","",LN(W1292))</f>
        <v/>
      </c>
      <c r="Y1292" s="3" t="str">
        <f aca="false">IF(X1292="","",X1292-AVERAGEIFS($X$2:$X$2705,$B$2:$B$2705,B1292))</f>
        <v/>
      </c>
      <c r="Z1292" s="21" t="n">
        <f aca="false">P1292</f>
        <v>-0.781464708713445</v>
      </c>
      <c r="AA1292" s="3" t="n">
        <f aca="false">R1292</f>
        <v>0</v>
      </c>
      <c r="AB1292" s="21" t="n">
        <f aca="false">P1292</f>
        <v>-0.781464708713445</v>
      </c>
      <c r="AC1292" s="3" t="str">
        <f aca="false">Y1292</f>
        <v/>
      </c>
      <c r="AD1292" s="3" t="n">
        <f aca="false">R1292</f>
        <v>0</v>
      </c>
    </row>
    <row r="1293" customFormat="false" ht="15" hidden="false" customHeight="true" outlineLevel="0" collapsed="false">
      <c r="A1293" s="7" t="s">
        <v>66</v>
      </c>
      <c r="B1293" s="7" t="n">
        <v>1976</v>
      </c>
      <c r="C1293" s="7" t="s">
        <v>151</v>
      </c>
      <c r="D1293" s="7" t="n">
        <v>81</v>
      </c>
      <c r="E1293" s="7" t="n">
        <v>78</v>
      </c>
      <c r="F1293" s="3" t="n">
        <f aca="false">COUNTIFS($B$2:$B$2705,B1293,$C$2:$C$2705,C1293)</f>
        <v>1</v>
      </c>
      <c r="G1293" s="3" t="n">
        <f aca="false">MIN(INT((MIN(B1293,2020)-1900)/10)+1,12)</f>
        <v>8</v>
      </c>
      <c r="H1293" s="3" t="n">
        <f aca="false">(MIN(B1293,2020)-1900-10*(G1293-1))/10</f>
        <v>0.6</v>
      </c>
      <c r="I1293" s="20" t="n">
        <f aca="false">EXP(LN(INDEX(Pop_Inputs!$B$2:$N$29,MATCH(C1293,Pop_Inputs!$A$2:$A$29,0),G1293))*(1-H1293)+LN(INDEX(Pop_Inputs!$B$2:$N$29,MATCH(C1293,Pop_Inputs!$A$2:$A$29,0),G1293+1))*H1293)</f>
        <v>638998.520564929</v>
      </c>
      <c r="J1293" s="20" t="n">
        <f aca="false">I1293/F1293</f>
        <v>638998.520564929</v>
      </c>
      <c r="K1293" s="21" t="n">
        <f aca="false">D1293/(D1293+E1293)</f>
        <v>0.509433962264151</v>
      </c>
      <c r="L1293" s="21" t="n">
        <f aca="false">AVERAGEIFS($K$2:$K$2705,$B$2:$B$2705,B1293)</f>
        <v>0.500042681065377</v>
      </c>
      <c r="M1293" s="21" t="n">
        <f aca="false">K1293-L1293</f>
        <v>0.00939128119877375</v>
      </c>
      <c r="N1293" s="21" t="n">
        <f aca="false">LN(J1293)</f>
        <v>13.3676574181221</v>
      </c>
      <c r="O1293" s="21" t="n">
        <f aca="false">AVERAGEIFS($N$2:$N$2705,$B$2:$B$2705,B1293)</f>
        <v>13.7078196475512</v>
      </c>
      <c r="P1293" s="21" t="n">
        <f aca="false">N1293-O1293</f>
        <v>-0.340162229429032</v>
      </c>
      <c r="Q1293" s="7" t="n">
        <v>0</v>
      </c>
      <c r="R1293" s="3" t="n">
        <f aca="false">IF(AND(Q1293=1,B1293-_xlfn.MINIFS($B$2:$B$2705,$A$2:$A$2705,A1293)&lt;10),1,0)</f>
        <v>0</v>
      </c>
      <c r="S1293" s="7" t="n">
        <v>0</v>
      </c>
      <c r="T1293" s="3" t="n">
        <f aca="false">_xlfn.MINIFS($B$2:$B$2705,$A$2:$A$2705,A1293)</f>
        <v>1901</v>
      </c>
      <c r="U1293" s="3" t="n">
        <f aca="false">B1293-T1293</f>
        <v>75</v>
      </c>
      <c r="V1293" s="3" t="str">
        <f aca="false">INDEX(Pop_Inputs!$Q$2:$Q$29,MATCH(C1293,Pop_Inputs!$A$2:$A$29,0))</f>
        <v>Midwest</v>
      </c>
      <c r="W1293" s="30"/>
      <c r="X1293" s="3" t="str">
        <f aca="false">IF(W1293="","",LN(W1293))</f>
        <v/>
      </c>
      <c r="Y1293" s="3" t="str">
        <f aca="false">IF(X1293="","",X1293-AVERAGEIFS($X$2:$X$2705,$B$2:$B$2705,B1293))</f>
        <v/>
      </c>
      <c r="Z1293" s="21" t="n">
        <f aca="false">P1293</f>
        <v>-0.340162229429032</v>
      </c>
      <c r="AA1293" s="3" t="n">
        <f aca="false">R1293</f>
        <v>0</v>
      </c>
      <c r="AB1293" s="21" t="n">
        <f aca="false">P1293</f>
        <v>-0.340162229429032</v>
      </c>
      <c r="AC1293" s="3" t="str">
        <f aca="false">Y1293</f>
        <v/>
      </c>
      <c r="AD1293" s="3" t="n">
        <f aca="false">R1293</f>
        <v>0</v>
      </c>
    </row>
    <row r="1294" customFormat="false" ht="15" hidden="false" customHeight="true" outlineLevel="0" collapsed="false">
      <c r="A1294" s="7" t="s">
        <v>67</v>
      </c>
      <c r="B1294" s="7" t="n">
        <v>1976</v>
      </c>
      <c r="C1294" s="7" t="s">
        <v>152</v>
      </c>
      <c r="D1294" s="7" t="n">
        <v>74</v>
      </c>
      <c r="E1294" s="7" t="n">
        <v>87</v>
      </c>
      <c r="F1294" s="3" t="n">
        <f aca="false">COUNTIFS($B$2:$B$2705,B1294,$C$2:$C$2705,C1294)</f>
        <v>1</v>
      </c>
      <c r="G1294" s="3" t="n">
        <f aca="false">MIN(INT((MIN(B1294,2020)-1900)/10)+1,12)</f>
        <v>8</v>
      </c>
      <c r="H1294" s="3" t="n">
        <f aca="false">(MIN(B1294,2020)-1900-10*(G1294-1))/10</f>
        <v>0.6</v>
      </c>
      <c r="I1294" s="20" t="n">
        <f aca="false">EXP(LN(INDEX(Pop_Inputs!$B$2:$N$29,MATCH(C1294,Pop_Inputs!$A$2:$A$29,0),G1294))*(1-H1294)+LN(INDEX(Pop_Inputs!$B$2:$N$29,MATCH(C1294,Pop_Inputs!$A$2:$A$29,0),G1294+1))*H1294)</f>
        <v>1318257.5488929</v>
      </c>
      <c r="J1294" s="20" t="n">
        <f aca="false">I1294/F1294</f>
        <v>1318257.5488929</v>
      </c>
      <c r="K1294" s="21" t="n">
        <f aca="false">D1294/(D1294+E1294)</f>
        <v>0.459627329192547</v>
      </c>
      <c r="L1294" s="21" t="n">
        <f aca="false">AVERAGEIFS($K$2:$K$2705,$B$2:$B$2705,B1294)</f>
        <v>0.500042681065377</v>
      </c>
      <c r="M1294" s="21" t="n">
        <f aca="false">K1294-L1294</f>
        <v>-0.0404153518728306</v>
      </c>
      <c r="N1294" s="21" t="n">
        <f aca="false">LN(J1294)</f>
        <v>14.0918213838265</v>
      </c>
      <c r="O1294" s="21" t="n">
        <f aca="false">AVERAGEIFS($N$2:$N$2705,$B$2:$B$2705,B1294)</f>
        <v>13.7078196475512</v>
      </c>
      <c r="P1294" s="21" t="n">
        <f aca="false">N1294-O1294</f>
        <v>0.384001736275291</v>
      </c>
      <c r="Q1294" s="7" t="n">
        <v>0</v>
      </c>
      <c r="R1294" s="3" t="n">
        <f aca="false">IF(AND(Q1294=1,B1294-_xlfn.MINIFS($B$2:$B$2705,$A$2:$A$2705,A1294)&lt;10),1,0)</f>
        <v>0</v>
      </c>
      <c r="S1294" s="7" t="n">
        <v>0</v>
      </c>
      <c r="T1294" s="3" t="n">
        <f aca="false">_xlfn.MINIFS($B$2:$B$2705,$A$2:$A$2705,A1294)</f>
        <v>1901</v>
      </c>
      <c r="U1294" s="3" t="n">
        <f aca="false">B1294-T1294</f>
        <v>75</v>
      </c>
      <c r="V1294" s="3" t="str">
        <f aca="false">INDEX(Pop_Inputs!$Q$2:$Q$29,MATCH(C1294,Pop_Inputs!$A$2:$A$29,0))</f>
        <v>Midwest</v>
      </c>
      <c r="W1294" s="30"/>
      <c r="X1294" s="3" t="str">
        <f aca="false">IF(W1294="","",LN(W1294))</f>
        <v/>
      </c>
      <c r="Y1294" s="3" t="str">
        <f aca="false">IF(X1294="","",X1294-AVERAGEIFS($X$2:$X$2705,$B$2:$B$2705,B1294))</f>
        <v/>
      </c>
      <c r="Z1294" s="21" t="n">
        <f aca="false">P1294</f>
        <v>0.384001736275291</v>
      </c>
      <c r="AA1294" s="3" t="n">
        <f aca="false">R1294</f>
        <v>0</v>
      </c>
      <c r="AB1294" s="21" t="n">
        <f aca="false">P1294</f>
        <v>0.384001736275291</v>
      </c>
      <c r="AC1294" s="3" t="str">
        <f aca="false">Y1294</f>
        <v/>
      </c>
      <c r="AD1294" s="3" t="n">
        <f aca="false">R1294</f>
        <v>0</v>
      </c>
    </row>
    <row r="1295" customFormat="false" ht="15" hidden="false" customHeight="true" outlineLevel="0" collapsed="false">
      <c r="A1295" s="7" t="s">
        <v>74</v>
      </c>
      <c r="B1295" s="7" t="n">
        <v>1976</v>
      </c>
      <c r="C1295" s="7" t="s">
        <v>156</v>
      </c>
      <c r="D1295" s="7" t="n">
        <v>80</v>
      </c>
      <c r="E1295" s="7" t="n">
        <v>82</v>
      </c>
      <c r="F1295" s="3" t="n">
        <f aca="false">COUNTIFS($B$2:$B$2705,B1295,$C$2:$C$2705,C1295)</f>
        <v>1</v>
      </c>
      <c r="G1295" s="3" t="n">
        <f aca="false">MIN(INT((MIN(B1295,2020)-1900)/10)+1,12)</f>
        <v>8</v>
      </c>
      <c r="H1295" s="3" t="n">
        <f aca="false">(MIN(B1295,2020)-1900-10*(G1295-1))/10</f>
        <v>0.6</v>
      </c>
      <c r="I1295" s="20" t="n">
        <f aca="false">EXP(LN(INDEX(Pop_Inputs!$B$2:$N$29,MATCH(C1295,Pop_Inputs!$A$2:$A$29,0),G1295))*(1-H1295)+LN(INDEX(Pop_Inputs!$B$2:$N$29,MATCH(C1295,Pop_Inputs!$A$2:$A$29,0),G1295+1))*H1295)</f>
        <v>1438918.80636345</v>
      </c>
      <c r="J1295" s="20" t="n">
        <f aca="false">I1295/F1295</f>
        <v>1438918.80636345</v>
      </c>
      <c r="K1295" s="21" t="n">
        <f aca="false">D1295/(D1295+E1295)</f>
        <v>0.493827160493827</v>
      </c>
      <c r="L1295" s="21" t="n">
        <f aca="false">AVERAGEIFS($K$2:$K$2705,$B$2:$B$2705,B1295)</f>
        <v>0.500042681065377</v>
      </c>
      <c r="M1295" s="21" t="n">
        <f aca="false">K1295-L1295</f>
        <v>-0.00621552057155006</v>
      </c>
      <c r="N1295" s="21" t="n">
        <f aca="false">LN(J1295)</f>
        <v>14.1794025606247</v>
      </c>
      <c r="O1295" s="21" t="n">
        <f aca="false">AVERAGEIFS($N$2:$N$2705,$B$2:$B$2705,B1295)</f>
        <v>13.7078196475512</v>
      </c>
      <c r="P1295" s="21" t="n">
        <f aca="false">N1295-O1295</f>
        <v>0.471582913073538</v>
      </c>
      <c r="Q1295" s="7" t="n">
        <v>1</v>
      </c>
      <c r="R1295" s="3" t="n">
        <f aca="false">IF(AND(Q1295=1,B1295-_xlfn.MINIFS($B$2:$B$2705,$A$2:$A$2705,A1295)&lt;10),1,0)</f>
        <v>0</v>
      </c>
      <c r="S1295" s="7" t="n">
        <v>0</v>
      </c>
      <c r="T1295" s="3" t="n">
        <f aca="false">_xlfn.MINIFS($B$2:$B$2705,$A$2:$A$2705,A1295)</f>
        <v>1962</v>
      </c>
      <c r="U1295" s="3" t="n">
        <f aca="false">B1295-T1295</f>
        <v>14</v>
      </c>
      <c r="V1295" s="3" t="str">
        <f aca="false">INDEX(Pop_Inputs!$Q$2:$Q$29,MATCH(C1295,Pop_Inputs!$A$2:$A$29,0))</f>
        <v>South</v>
      </c>
      <c r="W1295" s="30"/>
      <c r="X1295" s="3" t="str">
        <f aca="false">IF(W1295="","",LN(W1295))</f>
        <v/>
      </c>
      <c r="Y1295" s="3" t="str">
        <f aca="false">IF(X1295="","",X1295-AVERAGEIFS($X$2:$X$2705,$B$2:$B$2705,B1295))</f>
        <v/>
      </c>
      <c r="Z1295" s="21" t="n">
        <f aca="false">P1295</f>
        <v>0.471582913073538</v>
      </c>
      <c r="AA1295" s="3" t="n">
        <f aca="false">R1295</f>
        <v>0</v>
      </c>
      <c r="AB1295" s="21" t="n">
        <f aca="false">P1295</f>
        <v>0.471582913073538</v>
      </c>
      <c r="AC1295" s="3" t="str">
        <f aca="false">Y1295</f>
        <v/>
      </c>
      <c r="AD1295" s="3" t="n">
        <f aca="false">R1295</f>
        <v>0</v>
      </c>
    </row>
    <row r="1296" customFormat="false" ht="15" hidden="false" customHeight="true" outlineLevel="0" collapsed="false">
      <c r="A1296" s="7" t="s">
        <v>76</v>
      </c>
      <c r="B1296" s="7" t="n">
        <v>1976</v>
      </c>
      <c r="C1296" s="7" t="s">
        <v>157</v>
      </c>
      <c r="D1296" s="7" t="n">
        <v>90</v>
      </c>
      <c r="E1296" s="7" t="n">
        <v>72</v>
      </c>
      <c r="F1296" s="3" t="n">
        <f aca="false">COUNTIFS($B$2:$B$2705,B1296,$C$2:$C$2705,C1296)</f>
        <v>1</v>
      </c>
      <c r="G1296" s="3" t="n">
        <f aca="false">MIN(INT((MIN(B1296,2020)-1900)/10)+1,12)</f>
        <v>8</v>
      </c>
      <c r="H1296" s="3" t="n">
        <f aca="false">(MIN(B1296,2020)-1900-10*(G1296-1))/10</f>
        <v>0.6</v>
      </c>
      <c r="I1296" s="20" t="n">
        <f aca="false">EXP(LN(INDEX(Pop_Inputs!$B$2:$N$29,MATCH(C1296,Pop_Inputs!$A$2:$A$29,0),G1296))*(1-H1296)+LN(INDEX(Pop_Inputs!$B$2:$N$29,MATCH(C1296,Pop_Inputs!$A$2:$A$29,0),G1296+1))*H1296)</f>
        <v>470860.505130623</v>
      </c>
      <c r="J1296" s="20" t="n">
        <f aca="false">I1296/F1296</f>
        <v>470860.505130623</v>
      </c>
      <c r="K1296" s="21" t="n">
        <f aca="false">D1296/(D1296+E1296)</f>
        <v>0.555555555555556</v>
      </c>
      <c r="L1296" s="21" t="n">
        <f aca="false">AVERAGEIFS($K$2:$K$2705,$B$2:$B$2705,B1296)</f>
        <v>0.500042681065377</v>
      </c>
      <c r="M1296" s="21" t="n">
        <f aca="false">K1296-L1296</f>
        <v>0.0555128744901784</v>
      </c>
      <c r="N1296" s="21" t="n">
        <f aca="false">LN(J1296)</f>
        <v>13.0623171616814</v>
      </c>
      <c r="O1296" s="21" t="n">
        <f aca="false">AVERAGEIFS($N$2:$N$2705,$B$2:$B$2705,B1296)</f>
        <v>13.7078196475512</v>
      </c>
      <c r="P1296" s="21" t="n">
        <f aca="false">N1296-O1296</f>
        <v>-0.645502485869764</v>
      </c>
      <c r="Q1296" s="7" t="n">
        <v>1</v>
      </c>
      <c r="R1296" s="3" t="n">
        <f aca="false">IF(AND(Q1296=1,B1296-_xlfn.MINIFS($B$2:$B$2705,$A$2:$A$2705,A1296)&lt;10),1,0)</f>
        <v>1</v>
      </c>
      <c r="S1296" s="7" t="n">
        <v>0</v>
      </c>
      <c r="T1296" s="3" t="n">
        <f aca="false">_xlfn.MINIFS($B$2:$B$2705,$A$2:$A$2705,A1296)</f>
        <v>1969</v>
      </c>
      <c r="U1296" s="3" t="n">
        <f aca="false">B1296-T1296</f>
        <v>7</v>
      </c>
      <c r="V1296" s="3" t="str">
        <f aca="false">INDEX(Pop_Inputs!$Q$2:$Q$29,MATCH(C1296,Pop_Inputs!$A$2:$A$29,0))</f>
        <v>Midwest</v>
      </c>
      <c r="W1296" s="30"/>
      <c r="X1296" s="3" t="str">
        <f aca="false">IF(W1296="","",LN(W1296))</f>
        <v/>
      </c>
      <c r="Y1296" s="3" t="str">
        <f aca="false">IF(X1296="","",X1296-AVERAGEIFS($X$2:$X$2705,$B$2:$B$2705,B1296))</f>
        <v/>
      </c>
      <c r="Z1296" s="21" t="n">
        <f aca="false">P1296</f>
        <v>-0.645502485869764</v>
      </c>
      <c r="AA1296" s="3" t="n">
        <f aca="false">R1296</f>
        <v>1</v>
      </c>
      <c r="AB1296" s="21" t="n">
        <f aca="false">P1296</f>
        <v>-0.645502485869764</v>
      </c>
      <c r="AC1296" s="3" t="str">
        <f aca="false">Y1296</f>
        <v/>
      </c>
      <c r="AD1296" s="3" t="n">
        <f aca="false">R1296</f>
        <v>1</v>
      </c>
    </row>
    <row r="1297" customFormat="false" ht="15" hidden="false" customHeight="true" outlineLevel="0" collapsed="false">
      <c r="A1297" s="7" t="s">
        <v>62</v>
      </c>
      <c r="B1297" s="7" t="n">
        <v>1976</v>
      </c>
      <c r="C1297" s="7" t="s">
        <v>148</v>
      </c>
      <c r="D1297" s="7" t="n">
        <v>92</v>
      </c>
      <c r="E1297" s="7" t="n">
        <v>70</v>
      </c>
      <c r="F1297" s="3" t="n">
        <f aca="false">COUNTIFS($B$2:$B$2705,B1297,$C$2:$C$2705,C1297)</f>
        <v>2</v>
      </c>
      <c r="G1297" s="3" t="n">
        <f aca="false">MIN(INT((MIN(B1297,2020)-1900)/10)+1,12)</f>
        <v>8</v>
      </c>
      <c r="H1297" s="3" t="n">
        <f aca="false">(MIN(B1297,2020)-1900-10*(G1297-1))/10</f>
        <v>0.6</v>
      </c>
      <c r="I1297" s="20" t="n">
        <f aca="false">EXP(LN(INDEX(Pop_Inputs!$B$2:$N$29,MATCH(C1297,Pop_Inputs!$A$2:$A$29,0),G1297))*(1-H1297)+LN(INDEX(Pop_Inputs!$B$2:$N$29,MATCH(C1297,Pop_Inputs!$A$2:$A$29,0),G1297+1))*H1297)</f>
        <v>2905588.96141527</v>
      </c>
      <c r="J1297" s="20" t="n">
        <f aca="false">I1297/F1297</f>
        <v>1452794.48070764</v>
      </c>
      <c r="K1297" s="21" t="n">
        <f aca="false">D1297/(D1297+E1297)</f>
        <v>0.567901234567901</v>
      </c>
      <c r="L1297" s="21" t="n">
        <f aca="false">AVERAGEIFS($K$2:$K$2705,$B$2:$B$2705,B1297)</f>
        <v>0.500042681065377</v>
      </c>
      <c r="M1297" s="21" t="n">
        <f aca="false">K1297-L1297</f>
        <v>0.067858553502524</v>
      </c>
      <c r="N1297" s="21" t="n">
        <f aca="false">LN(J1297)</f>
        <v>14.1889994877496</v>
      </c>
      <c r="O1297" s="21" t="n">
        <f aca="false">AVERAGEIFS($N$2:$N$2705,$B$2:$B$2705,B1297)</f>
        <v>13.7078196475512</v>
      </c>
      <c r="P1297" s="21" t="n">
        <f aca="false">N1297-O1297</f>
        <v>0.481179840198392</v>
      </c>
      <c r="Q1297" s="7" t="n">
        <v>0</v>
      </c>
      <c r="R1297" s="3" t="n">
        <f aca="false">IF(AND(Q1297=1,B1297-_xlfn.MINIFS($B$2:$B$2705,$A$2:$A$2705,A1297)&lt;10),1,0)</f>
        <v>0</v>
      </c>
      <c r="S1297" s="7" t="n">
        <v>0</v>
      </c>
      <c r="T1297" s="3" t="n">
        <f aca="false">_xlfn.MINIFS($B$2:$B$2705,$A$2:$A$2705,A1297)</f>
        <v>1901</v>
      </c>
      <c r="U1297" s="3" t="n">
        <f aca="false">B1297-T1297</f>
        <v>75</v>
      </c>
      <c r="V1297" s="3" t="str">
        <f aca="false">INDEX(Pop_Inputs!$Q$2:$Q$29,MATCH(C1297,Pop_Inputs!$A$2:$A$29,0))</f>
        <v>West</v>
      </c>
      <c r="W1297" s="30"/>
      <c r="X1297" s="3" t="str">
        <f aca="false">IF(W1297="","",LN(W1297))</f>
        <v/>
      </c>
      <c r="Y1297" s="3" t="str">
        <f aca="false">IF(X1297="","",X1297-AVERAGEIFS($X$2:$X$2705,$B$2:$B$2705,B1297))</f>
        <v/>
      </c>
      <c r="Z1297" s="21" t="n">
        <f aca="false">P1297</f>
        <v>0.481179840198392</v>
      </c>
      <c r="AA1297" s="3" t="n">
        <f aca="false">R1297</f>
        <v>0</v>
      </c>
      <c r="AB1297" s="21" t="n">
        <f aca="false">P1297</f>
        <v>0.481179840198392</v>
      </c>
      <c r="AC1297" s="3" t="str">
        <f aca="false">Y1297</f>
        <v/>
      </c>
      <c r="AD1297" s="3" t="n">
        <f aca="false">R1297</f>
        <v>0</v>
      </c>
    </row>
    <row r="1298" customFormat="false" ht="15" hidden="false" customHeight="true" outlineLevel="0" collapsed="false">
      <c r="A1298" s="7" t="s">
        <v>77</v>
      </c>
      <c r="B1298" s="7" t="n">
        <v>1976</v>
      </c>
      <c r="C1298" s="7" t="s">
        <v>158</v>
      </c>
      <c r="D1298" s="7" t="n">
        <v>66</v>
      </c>
      <c r="E1298" s="7" t="n">
        <v>95</v>
      </c>
      <c r="F1298" s="3" t="n">
        <f aca="false">COUNTIFS($B$2:$B$2705,B1298,$C$2:$C$2705,C1298)</f>
        <v>1</v>
      </c>
      <c r="G1298" s="3" t="n">
        <f aca="false">MIN(INT((MIN(B1298,2020)-1900)/10)+1,12)</f>
        <v>8</v>
      </c>
      <c r="H1298" s="3" t="n">
        <f aca="false">(MIN(B1298,2020)-1900-10*(G1298-1))/10</f>
        <v>0.6</v>
      </c>
      <c r="I1298" s="20" t="n">
        <f aca="false">EXP(LN(INDEX(Pop_Inputs!$B$2:$N$29,MATCH(C1298,Pop_Inputs!$A$2:$A$29,0),G1298))*(1-H1298)+LN(INDEX(Pop_Inputs!$B$2:$N$29,MATCH(C1298,Pop_Inputs!$A$2:$A$29,0),G1298+1))*H1298)</f>
        <v>667410.078425858</v>
      </c>
      <c r="J1298" s="20" t="n">
        <f aca="false">I1298/F1298</f>
        <v>667410.078425858</v>
      </c>
      <c r="K1298" s="21" t="n">
        <f aca="false">D1298/(D1298+E1298)</f>
        <v>0.409937888198758</v>
      </c>
      <c r="L1298" s="21" t="n">
        <f aca="false">AVERAGEIFS($K$2:$K$2705,$B$2:$B$2705,B1298)</f>
        <v>0.500042681065377</v>
      </c>
      <c r="M1298" s="21" t="n">
        <f aca="false">K1298-L1298</f>
        <v>-0.0901047928666194</v>
      </c>
      <c r="N1298" s="21" t="n">
        <f aca="false">LN(J1298)</f>
        <v>13.411159946213</v>
      </c>
      <c r="O1298" s="21" t="n">
        <f aca="false">AVERAGEIFS($N$2:$N$2705,$B$2:$B$2705,B1298)</f>
        <v>13.7078196475512</v>
      </c>
      <c r="P1298" s="21" t="n">
        <f aca="false">N1298-O1298</f>
        <v>-0.296659701338124</v>
      </c>
      <c r="Q1298" s="7" t="n">
        <v>1</v>
      </c>
      <c r="R1298" s="3" t="n">
        <f aca="false">IF(AND(Q1298=1,B1298-_xlfn.MINIFS($B$2:$B$2705,$A$2:$A$2705,A1298)&lt;10),1,0)</f>
        <v>1</v>
      </c>
      <c r="S1298" s="7" t="n">
        <v>0</v>
      </c>
      <c r="T1298" s="3" t="n">
        <f aca="false">_xlfn.MINIFS($B$2:$B$2705,$A$2:$A$2705,A1298)</f>
        <v>1969</v>
      </c>
      <c r="U1298" s="3" t="n">
        <f aca="false">B1298-T1298</f>
        <v>7</v>
      </c>
      <c r="V1298" s="3" t="str">
        <f aca="false">INDEX(Pop_Inputs!$Q$2:$Q$29,MATCH(C1298,Pop_Inputs!$A$2:$A$29,0))</f>
        <v>Midwest</v>
      </c>
      <c r="W1298" s="30"/>
      <c r="X1298" s="3" t="str">
        <f aca="false">IF(W1298="","",LN(W1298))</f>
        <v/>
      </c>
      <c r="Y1298" s="3" t="str">
        <f aca="false">IF(X1298="","",X1298-AVERAGEIFS($X$2:$X$2705,$B$2:$B$2705,B1298))</f>
        <v/>
      </c>
      <c r="Z1298" s="21" t="n">
        <f aca="false">P1298</f>
        <v>-0.296659701338124</v>
      </c>
      <c r="AA1298" s="3" t="n">
        <f aca="false">R1298</f>
        <v>1</v>
      </c>
      <c r="AB1298" s="21" t="n">
        <f aca="false">P1298</f>
        <v>-0.296659701338124</v>
      </c>
      <c r="AC1298" s="3" t="str">
        <f aca="false">Y1298</f>
        <v/>
      </c>
      <c r="AD1298" s="3" t="n">
        <f aca="false">R1298</f>
        <v>1</v>
      </c>
    </row>
    <row r="1299" customFormat="false" ht="15" hidden="false" customHeight="true" outlineLevel="0" collapsed="false">
      <c r="A1299" s="7" t="s">
        <v>68</v>
      </c>
      <c r="B1299" s="7" t="n">
        <v>1976</v>
      </c>
      <c r="C1299" s="7" t="s">
        <v>153</v>
      </c>
      <c r="D1299" s="7" t="n">
        <v>85</v>
      </c>
      <c r="E1299" s="7" t="n">
        <v>77</v>
      </c>
      <c r="F1299" s="3" t="n">
        <f aca="false">COUNTIFS($B$2:$B$2705,B1299,$C$2:$C$2705,C1299)</f>
        <v>1</v>
      </c>
      <c r="G1299" s="3" t="n">
        <f aca="false">MIN(INT((MIN(B1299,2020)-1900)/10)+1,12)</f>
        <v>8</v>
      </c>
      <c r="H1299" s="3" t="n">
        <f aca="false">(MIN(B1299,2020)-1900-10*(G1299-1))/10</f>
        <v>0.6</v>
      </c>
      <c r="I1299" s="20" t="n">
        <f aca="false">EXP(LN(INDEX(Pop_Inputs!$B$2:$N$29,MATCH(C1299,Pop_Inputs!$A$2:$A$29,0),G1299))*(1-H1299)+LN(INDEX(Pop_Inputs!$B$2:$N$29,MATCH(C1299,Pop_Inputs!$A$2:$A$29,0),G1299+1))*H1299)</f>
        <v>395135.32236449</v>
      </c>
      <c r="J1299" s="20" t="n">
        <f aca="false">I1299/F1299</f>
        <v>395135.32236449</v>
      </c>
      <c r="K1299" s="21" t="n">
        <f aca="false">D1299/(D1299+E1299)</f>
        <v>0.524691358024691</v>
      </c>
      <c r="L1299" s="21" t="n">
        <f aca="false">AVERAGEIFS($K$2:$K$2705,$B$2:$B$2705,B1299)</f>
        <v>0.500042681065377</v>
      </c>
      <c r="M1299" s="21" t="n">
        <f aca="false">K1299-L1299</f>
        <v>0.0246486769593142</v>
      </c>
      <c r="N1299" s="21" t="n">
        <f aca="false">LN(J1299)</f>
        <v>12.8869835734778</v>
      </c>
      <c r="O1299" s="21" t="n">
        <f aca="false">AVERAGEIFS($N$2:$N$2705,$B$2:$B$2705,B1299)</f>
        <v>13.7078196475512</v>
      </c>
      <c r="P1299" s="21" t="n">
        <f aca="false">N1299-O1299</f>
        <v>-0.820836074073341</v>
      </c>
      <c r="Q1299" s="7" t="n">
        <v>0</v>
      </c>
      <c r="R1299" s="3" t="n">
        <f aca="false">IF(AND(Q1299=1,B1299-_xlfn.MINIFS($B$2:$B$2705,$A$2:$A$2705,A1299)&lt;10),1,0)</f>
        <v>0</v>
      </c>
      <c r="S1299" s="7" t="n">
        <v>0</v>
      </c>
      <c r="T1299" s="3" t="n">
        <f aca="false">_xlfn.MINIFS($B$2:$B$2705,$A$2:$A$2705,A1299)</f>
        <v>1901</v>
      </c>
      <c r="U1299" s="3" t="n">
        <f aca="false">B1299-T1299</f>
        <v>75</v>
      </c>
      <c r="V1299" s="3" t="str">
        <f aca="false">INDEX(Pop_Inputs!$Q$2:$Q$29,MATCH(C1299,Pop_Inputs!$A$2:$A$29,0))</f>
        <v>Midwest</v>
      </c>
      <c r="W1299" s="30"/>
      <c r="X1299" s="3" t="str">
        <f aca="false">IF(W1299="","",LN(W1299))</f>
        <v/>
      </c>
      <c r="Y1299" s="3" t="str">
        <f aca="false">IF(X1299="","",X1299-AVERAGEIFS($X$2:$X$2705,$B$2:$B$2705,B1299))</f>
        <v/>
      </c>
      <c r="Z1299" s="21" t="n">
        <f aca="false">P1299</f>
        <v>-0.820836074073341</v>
      </c>
      <c r="AA1299" s="3" t="n">
        <f aca="false">R1299</f>
        <v>0</v>
      </c>
      <c r="AB1299" s="21" t="n">
        <f aca="false">P1299</f>
        <v>-0.820836074073341</v>
      </c>
      <c r="AC1299" s="3" t="str">
        <f aca="false">Y1299</f>
        <v/>
      </c>
      <c r="AD1299" s="3" t="n">
        <f aca="false">R1299</f>
        <v>0</v>
      </c>
    </row>
    <row r="1300" customFormat="false" ht="15" hidden="false" customHeight="true" outlineLevel="0" collapsed="false">
      <c r="A1300" s="7" t="s">
        <v>75</v>
      </c>
      <c r="B1300" s="7" t="n">
        <v>1976</v>
      </c>
      <c r="C1300" s="7" t="s">
        <v>154</v>
      </c>
      <c r="D1300" s="7" t="n">
        <v>86</v>
      </c>
      <c r="E1300" s="7" t="n">
        <v>76</v>
      </c>
      <c r="F1300" s="3" t="n">
        <f aca="false">COUNTIFS($B$2:$B$2705,B1300,$C$2:$C$2705,C1300)</f>
        <v>2</v>
      </c>
      <c r="G1300" s="3" t="n">
        <f aca="false">MIN(INT((MIN(B1300,2020)-1900)/10)+1,12)</f>
        <v>8</v>
      </c>
      <c r="H1300" s="3" t="n">
        <f aca="false">(MIN(B1300,2020)-1900-10*(G1300-1))/10</f>
        <v>0.6</v>
      </c>
      <c r="I1300" s="20" t="n">
        <f aca="false">EXP(LN(INDEX(Pop_Inputs!$B$2:$N$29,MATCH(C1300,Pop_Inputs!$A$2:$A$29,0),G1300))*(1-H1300)+LN(INDEX(Pop_Inputs!$B$2:$N$29,MATCH(C1300,Pop_Inputs!$A$2:$A$29,0),G1300+1))*H1300)</f>
        <v>7390092.36734691</v>
      </c>
      <c r="J1300" s="20" t="n">
        <f aca="false">I1300/F1300</f>
        <v>3695046.18367345</v>
      </c>
      <c r="K1300" s="21" t="n">
        <f aca="false">D1300/(D1300+E1300)</f>
        <v>0.530864197530864</v>
      </c>
      <c r="L1300" s="21" t="n">
        <f aca="false">AVERAGEIFS($K$2:$K$2705,$B$2:$B$2705,B1300)</f>
        <v>0.500042681065377</v>
      </c>
      <c r="M1300" s="21" t="n">
        <f aca="false">K1300-L1300</f>
        <v>0.030821516465487</v>
      </c>
      <c r="N1300" s="21" t="n">
        <f aca="false">LN(J1300)</f>
        <v>15.1225036112507</v>
      </c>
      <c r="O1300" s="21" t="n">
        <f aca="false">AVERAGEIFS($N$2:$N$2705,$B$2:$B$2705,B1300)</f>
        <v>13.7078196475512</v>
      </c>
      <c r="P1300" s="21" t="n">
        <f aca="false">N1300-O1300</f>
        <v>1.41468396369956</v>
      </c>
      <c r="Q1300" s="7" t="n">
        <v>1</v>
      </c>
      <c r="R1300" s="3" t="n">
        <f aca="false">IF(AND(Q1300=1,B1300-_xlfn.MINIFS($B$2:$B$2705,$A$2:$A$2705,A1300)&lt;10),1,0)</f>
        <v>0</v>
      </c>
      <c r="S1300" s="7" t="n">
        <v>0</v>
      </c>
      <c r="T1300" s="3" t="n">
        <f aca="false">_xlfn.MINIFS($B$2:$B$2705,$A$2:$A$2705,A1300)</f>
        <v>1962</v>
      </c>
      <c r="U1300" s="3" t="n">
        <f aca="false">B1300-T1300</f>
        <v>14</v>
      </c>
      <c r="V1300" s="3" t="str">
        <f aca="false">INDEX(Pop_Inputs!$Q$2:$Q$29,MATCH(C1300,Pop_Inputs!$A$2:$A$29,0))</f>
        <v>Northeast</v>
      </c>
      <c r="W1300" s="30"/>
      <c r="X1300" s="3" t="str">
        <f aca="false">IF(W1300="","",LN(W1300))</f>
        <v/>
      </c>
      <c r="Y1300" s="3" t="str">
        <f aca="false">IF(X1300="","",X1300-AVERAGEIFS($X$2:$X$2705,$B$2:$B$2705,B1300))</f>
        <v/>
      </c>
      <c r="Z1300" s="21" t="n">
        <f aca="false">P1300</f>
        <v>1.41468396369956</v>
      </c>
      <c r="AA1300" s="3" t="n">
        <f aca="false">R1300</f>
        <v>0</v>
      </c>
      <c r="AB1300" s="21" t="n">
        <f aca="false">P1300</f>
        <v>1.41468396369956</v>
      </c>
      <c r="AC1300" s="3" t="str">
        <f aca="false">Y1300</f>
        <v/>
      </c>
      <c r="AD1300" s="3" t="n">
        <f aca="false">R1300</f>
        <v>0</v>
      </c>
    </row>
    <row r="1301" customFormat="false" ht="15" hidden="false" customHeight="true" outlineLevel="0" collapsed="false">
      <c r="A1301" s="7" t="s">
        <v>70</v>
      </c>
      <c r="B1301" s="7" t="n">
        <v>1976</v>
      </c>
      <c r="C1301" s="7" t="s">
        <v>154</v>
      </c>
      <c r="D1301" s="7" t="n">
        <v>97</v>
      </c>
      <c r="E1301" s="7" t="n">
        <v>62</v>
      </c>
      <c r="F1301" s="3" t="n">
        <f aca="false">COUNTIFS($B$2:$B$2705,B1301,$C$2:$C$2705,C1301)</f>
        <v>2</v>
      </c>
      <c r="G1301" s="3" t="n">
        <f aca="false">MIN(INT((MIN(B1301,2020)-1900)/10)+1,12)</f>
        <v>8</v>
      </c>
      <c r="H1301" s="3" t="n">
        <f aca="false">(MIN(B1301,2020)-1900-10*(G1301-1))/10</f>
        <v>0.6</v>
      </c>
      <c r="I1301" s="20" t="n">
        <f aca="false">EXP(LN(INDEX(Pop_Inputs!$B$2:$N$29,MATCH(C1301,Pop_Inputs!$A$2:$A$29,0),G1301))*(1-H1301)+LN(INDEX(Pop_Inputs!$B$2:$N$29,MATCH(C1301,Pop_Inputs!$A$2:$A$29,0),G1301+1))*H1301)</f>
        <v>7390092.36734691</v>
      </c>
      <c r="J1301" s="20" t="n">
        <f aca="false">I1301/F1301</f>
        <v>3695046.18367345</v>
      </c>
      <c r="K1301" s="21" t="n">
        <f aca="false">D1301/(D1301+E1301)</f>
        <v>0.610062893081761</v>
      </c>
      <c r="L1301" s="21" t="n">
        <f aca="false">AVERAGEIFS($K$2:$K$2705,$B$2:$B$2705,B1301)</f>
        <v>0.500042681065377</v>
      </c>
      <c r="M1301" s="21" t="n">
        <f aca="false">K1301-L1301</f>
        <v>0.110020212016384</v>
      </c>
      <c r="N1301" s="21" t="n">
        <f aca="false">LN(J1301)</f>
        <v>15.1225036112507</v>
      </c>
      <c r="O1301" s="21" t="n">
        <f aca="false">AVERAGEIFS($N$2:$N$2705,$B$2:$B$2705,B1301)</f>
        <v>13.7078196475512</v>
      </c>
      <c r="P1301" s="21" t="n">
        <f aca="false">N1301-O1301</f>
        <v>1.41468396369956</v>
      </c>
      <c r="Q1301" s="7" t="n">
        <v>0</v>
      </c>
      <c r="R1301" s="3" t="n">
        <f aca="false">IF(AND(Q1301=1,B1301-_xlfn.MINIFS($B$2:$B$2705,$A$2:$A$2705,A1301)&lt;10),1,0)</f>
        <v>0</v>
      </c>
      <c r="S1301" s="7" t="n">
        <v>1</v>
      </c>
      <c r="T1301" s="3" t="n">
        <f aca="false">_xlfn.MINIFS($B$2:$B$2705,$A$2:$A$2705,A1301)</f>
        <v>1903</v>
      </c>
      <c r="U1301" s="3" t="n">
        <f aca="false">B1301-T1301</f>
        <v>73</v>
      </c>
      <c r="V1301" s="3" t="str">
        <f aca="false">INDEX(Pop_Inputs!$Q$2:$Q$29,MATCH(C1301,Pop_Inputs!$A$2:$A$29,0))</f>
        <v>Northeast</v>
      </c>
      <c r="W1301" s="30"/>
      <c r="X1301" s="3" t="str">
        <f aca="false">IF(W1301="","",LN(W1301))</f>
        <v/>
      </c>
      <c r="Y1301" s="3" t="str">
        <f aca="false">IF(X1301="","",X1301-AVERAGEIFS($X$2:$X$2705,$B$2:$B$2705,B1301))</f>
        <v/>
      </c>
      <c r="Z1301" s="21" t="n">
        <f aca="false">P1301</f>
        <v>1.41468396369956</v>
      </c>
      <c r="AA1301" s="3" t="n">
        <f aca="false">R1301</f>
        <v>0</v>
      </c>
      <c r="AB1301" s="21" t="n">
        <f aca="false">P1301</f>
        <v>1.41468396369956</v>
      </c>
      <c r="AC1301" s="3" t="str">
        <f aca="false">Y1301</f>
        <v/>
      </c>
      <c r="AD1301" s="3" t="n">
        <f aca="false">R1301</f>
        <v>0</v>
      </c>
    </row>
    <row r="1302" customFormat="false" ht="15" hidden="false" customHeight="true" outlineLevel="0" collapsed="false">
      <c r="A1302" s="7" t="s">
        <v>69</v>
      </c>
      <c r="B1302" s="7" t="n">
        <v>1976</v>
      </c>
      <c r="C1302" s="7" t="s">
        <v>253</v>
      </c>
      <c r="D1302" s="7" t="n">
        <v>87</v>
      </c>
      <c r="E1302" s="7" t="n">
        <v>74</v>
      </c>
      <c r="F1302" s="3" t="n">
        <f aca="false">COUNTIFS($B$2:$B$2705,B1302,$C$2:$C$2705,C1302)</f>
        <v>1</v>
      </c>
      <c r="G1302" s="3" t="n">
        <f aca="false">MIN(INT((MIN(B1302,2020)-1900)/10)+1,12)</f>
        <v>8</v>
      </c>
      <c r="H1302" s="3" t="n">
        <f aca="false">(MIN(B1302,2020)-1900-10*(G1302-1))/10</f>
        <v>0.6</v>
      </c>
      <c r="I1302" s="20" t="n">
        <f aca="false">EXP(LN(INDEX(Pop_Inputs!$B$2:$N$29,MATCH(C1302,Pop_Inputs!$A$2:$A$29,0),G1302))*(1-H1302)+LN(INDEX(Pop_Inputs!$B$2:$N$29,MATCH(C1302,Pop_Inputs!$A$2:$A$29,0),G1302+1))*H1302)</f>
        <v>348057.792301604</v>
      </c>
      <c r="J1302" s="20" t="n">
        <f aca="false">I1302/F1302</f>
        <v>348057.792301604</v>
      </c>
      <c r="K1302" s="21" t="n">
        <f aca="false">D1302/(D1302+E1302)</f>
        <v>0.540372670807453</v>
      </c>
      <c r="L1302" s="21" t="n">
        <f aca="false">AVERAGEIFS($K$2:$K$2705,$B$2:$B$2705,B1302)</f>
        <v>0.500042681065377</v>
      </c>
      <c r="M1302" s="21" t="n">
        <f aca="false">K1302-L1302</f>
        <v>0.0403299897420762</v>
      </c>
      <c r="N1302" s="21" t="n">
        <f aca="false">LN(J1302)</f>
        <v>12.7601238148007</v>
      </c>
      <c r="O1302" s="21" t="n">
        <f aca="false">AVERAGEIFS($N$2:$N$2705,$B$2:$B$2705,B1302)</f>
        <v>13.7078196475512</v>
      </c>
      <c r="P1302" s="21" t="n">
        <f aca="false">N1302-O1302</f>
        <v>-0.947695832750432</v>
      </c>
      <c r="Q1302" s="7" t="n">
        <v>0</v>
      </c>
      <c r="R1302" s="3" t="n">
        <f aca="false">IF(AND(Q1302=1,B1302-_xlfn.MINIFS($B$2:$B$2705,$A$2:$A$2705,A1302)&lt;10),1,0)</f>
        <v>0</v>
      </c>
      <c r="S1302" s="7" t="n">
        <v>0</v>
      </c>
      <c r="T1302" s="3" t="n">
        <f aca="false">_xlfn.MINIFS($B$2:$B$2705,$A$2:$A$2705,A1302)</f>
        <v>1901</v>
      </c>
      <c r="U1302" s="3" t="n">
        <f aca="false">B1302-T1302</f>
        <v>75</v>
      </c>
      <c r="V1302" s="3" t="str">
        <f aca="false">INDEX(Pop_Inputs!$Q$2:$Q$29,MATCH(C1302,Pop_Inputs!$A$2:$A$29,0))</f>
        <v>West</v>
      </c>
      <c r="W1302" s="30"/>
      <c r="X1302" s="3" t="str">
        <f aca="false">IF(W1302="","",LN(W1302))</f>
        <v/>
      </c>
      <c r="Y1302" s="3" t="str">
        <f aca="false">IF(X1302="","",X1302-AVERAGEIFS($X$2:$X$2705,$B$2:$B$2705,B1302))</f>
        <v/>
      </c>
      <c r="Z1302" s="21" t="n">
        <f aca="false">P1302</f>
        <v>-0.947695832750432</v>
      </c>
      <c r="AA1302" s="3" t="n">
        <f aca="false">R1302</f>
        <v>0</v>
      </c>
      <c r="AB1302" s="21" t="n">
        <f aca="false">P1302</f>
        <v>-0.947695832750432</v>
      </c>
      <c r="AC1302" s="3" t="str">
        <f aca="false">Y1302</f>
        <v/>
      </c>
      <c r="AD1302" s="3" t="n">
        <f aca="false">R1302</f>
        <v>0</v>
      </c>
    </row>
    <row r="1303" customFormat="false" ht="15" hidden="false" customHeight="true" outlineLevel="0" collapsed="false">
      <c r="A1303" s="7" t="s">
        <v>60</v>
      </c>
      <c r="B1303" s="7" t="n">
        <v>1976</v>
      </c>
      <c r="C1303" s="7" t="s">
        <v>146</v>
      </c>
      <c r="D1303" s="7" t="n">
        <v>101</v>
      </c>
      <c r="E1303" s="7" t="n">
        <v>61</v>
      </c>
      <c r="F1303" s="3" t="n">
        <f aca="false">COUNTIFS($B$2:$B$2705,B1303,$C$2:$C$2705,C1303)</f>
        <v>1</v>
      </c>
      <c r="G1303" s="3" t="n">
        <f aca="false">MIN(INT((MIN(B1303,2020)-1900)/10)+1,12)</f>
        <v>8</v>
      </c>
      <c r="H1303" s="3" t="n">
        <f aca="false">(MIN(B1303,2020)-1900-10*(G1303-1))/10</f>
        <v>0.6</v>
      </c>
      <c r="I1303" s="20" t="n">
        <f aca="false">EXP(LN(INDEX(Pop_Inputs!$B$2:$N$29,MATCH(C1303,Pop_Inputs!$A$2:$A$29,0),G1303))*(1-H1303)+LN(INDEX(Pop_Inputs!$B$2:$N$29,MATCH(C1303,Pop_Inputs!$A$2:$A$29,0),G1303+1))*H1303)</f>
        <v>1787910.44979687</v>
      </c>
      <c r="J1303" s="20" t="n">
        <f aca="false">I1303/F1303</f>
        <v>1787910.44979687</v>
      </c>
      <c r="K1303" s="21" t="n">
        <f aca="false">D1303/(D1303+E1303)</f>
        <v>0.623456790123457</v>
      </c>
      <c r="L1303" s="21" t="n">
        <f aca="false">AVERAGEIFS($K$2:$K$2705,$B$2:$B$2705,B1303)</f>
        <v>0.500042681065377</v>
      </c>
      <c r="M1303" s="21" t="n">
        <f aca="false">K1303-L1303</f>
        <v>0.12341410905808</v>
      </c>
      <c r="N1303" s="21" t="n">
        <f aca="false">LN(J1303)</f>
        <v>14.3965581494551</v>
      </c>
      <c r="O1303" s="21" t="n">
        <f aca="false">AVERAGEIFS($N$2:$N$2705,$B$2:$B$2705,B1303)</f>
        <v>13.7078196475512</v>
      </c>
      <c r="P1303" s="21" t="n">
        <f aca="false">N1303-O1303</f>
        <v>0.688738501903954</v>
      </c>
      <c r="Q1303" s="7" t="n">
        <v>0</v>
      </c>
      <c r="R1303" s="3" t="n">
        <f aca="false">IF(AND(Q1303=1,B1303-_xlfn.MINIFS($B$2:$B$2705,$A$2:$A$2705,A1303)&lt;10),1,0)</f>
        <v>0</v>
      </c>
      <c r="S1303" s="7" t="n">
        <v>0</v>
      </c>
      <c r="T1303" s="3" t="n">
        <f aca="false">_xlfn.MINIFS($B$2:$B$2705,$A$2:$A$2705,A1303)</f>
        <v>1901</v>
      </c>
      <c r="U1303" s="3" t="n">
        <f aca="false">B1303-T1303</f>
        <v>75</v>
      </c>
      <c r="V1303" s="3" t="str">
        <f aca="false">INDEX(Pop_Inputs!$Q$2:$Q$29,MATCH(C1303,Pop_Inputs!$A$2:$A$29,0))</f>
        <v>Northeast</v>
      </c>
      <c r="W1303" s="30"/>
      <c r="X1303" s="3" t="str">
        <f aca="false">IF(W1303="","",LN(W1303))</f>
        <v/>
      </c>
      <c r="Y1303" s="3" t="str">
        <f aca="false">IF(X1303="","",X1303-AVERAGEIFS($X$2:$X$2705,$B$2:$B$2705,B1303))</f>
        <v/>
      </c>
      <c r="Z1303" s="21" t="n">
        <f aca="false">P1303</f>
        <v>0.688738501903954</v>
      </c>
      <c r="AA1303" s="3" t="n">
        <f aca="false">R1303</f>
        <v>0</v>
      </c>
      <c r="AB1303" s="21" t="n">
        <f aca="false">P1303</f>
        <v>0.688738501903954</v>
      </c>
      <c r="AC1303" s="3" t="str">
        <f aca="false">Y1303</f>
        <v/>
      </c>
      <c r="AD1303" s="3" t="n">
        <f aca="false">R1303</f>
        <v>0</v>
      </c>
    </row>
    <row r="1304" customFormat="false" ht="15" hidden="false" customHeight="true" outlineLevel="0" collapsed="false">
      <c r="A1304" s="7" t="s">
        <v>58</v>
      </c>
      <c r="B1304" s="7" t="n">
        <v>1976</v>
      </c>
      <c r="C1304" s="7" t="s">
        <v>144</v>
      </c>
      <c r="D1304" s="7" t="n">
        <v>92</v>
      </c>
      <c r="E1304" s="7" t="n">
        <v>70</v>
      </c>
      <c r="F1304" s="3" t="n">
        <f aca="false">COUNTIFS($B$2:$B$2705,B1304,$C$2:$C$2705,C1304)</f>
        <v>1</v>
      </c>
      <c r="G1304" s="3" t="n">
        <f aca="false">MIN(INT((MIN(B1304,2020)-1900)/10)+1,12)</f>
        <v>8</v>
      </c>
      <c r="H1304" s="3" t="n">
        <f aca="false">(MIN(B1304,2020)-1900-10*(G1304-1))/10</f>
        <v>0.6</v>
      </c>
      <c r="I1304" s="20" t="n">
        <f aca="false">EXP(LN(INDEX(Pop_Inputs!$B$2:$N$29,MATCH(C1304,Pop_Inputs!$A$2:$A$29,0),G1304))*(1-H1304)+LN(INDEX(Pop_Inputs!$B$2:$N$29,MATCH(C1304,Pop_Inputs!$A$2:$A$29,0),G1304+1))*H1304)</f>
        <v>460067.788707679</v>
      </c>
      <c r="J1304" s="20" t="n">
        <f aca="false">I1304/F1304</f>
        <v>460067.788707679</v>
      </c>
      <c r="K1304" s="21" t="n">
        <f aca="false">D1304/(D1304+E1304)</f>
        <v>0.567901234567901</v>
      </c>
      <c r="L1304" s="21" t="n">
        <f aca="false">AVERAGEIFS($K$2:$K$2705,$B$2:$B$2705,B1304)</f>
        <v>0.500042681065377</v>
      </c>
      <c r="M1304" s="21" t="n">
        <f aca="false">K1304-L1304</f>
        <v>0.067858553502524</v>
      </c>
      <c r="N1304" s="21" t="n">
        <f aca="false">LN(J1304)</f>
        <v>13.0391291243637</v>
      </c>
      <c r="O1304" s="21" t="n">
        <f aca="false">AVERAGEIFS($N$2:$N$2705,$B$2:$B$2705,B1304)</f>
        <v>13.7078196475512</v>
      </c>
      <c r="P1304" s="21" t="n">
        <f aca="false">N1304-O1304</f>
        <v>-0.668690523187483</v>
      </c>
      <c r="Q1304" s="7" t="n">
        <v>0</v>
      </c>
      <c r="R1304" s="3" t="n">
        <f aca="false">IF(AND(Q1304=1,B1304-_xlfn.MINIFS($B$2:$B$2705,$A$2:$A$2705,A1304)&lt;10),1,0)</f>
        <v>0</v>
      </c>
      <c r="S1304" s="7" t="n">
        <v>0</v>
      </c>
      <c r="T1304" s="3" t="n">
        <f aca="false">_xlfn.MINIFS($B$2:$B$2705,$A$2:$A$2705,A1304)</f>
        <v>1901</v>
      </c>
      <c r="U1304" s="3" t="n">
        <f aca="false">B1304-T1304</f>
        <v>75</v>
      </c>
      <c r="V1304" s="3" t="str">
        <f aca="false">INDEX(Pop_Inputs!$Q$2:$Q$29,MATCH(C1304,Pop_Inputs!$A$2:$A$29,0))</f>
        <v>Northeast</v>
      </c>
      <c r="W1304" s="30"/>
      <c r="X1304" s="3" t="str">
        <f aca="false">IF(W1304="","",LN(W1304))</f>
        <v/>
      </c>
      <c r="Y1304" s="3" t="str">
        <f aca="false">IF(X1304="","",X1304-AVERAGEIFS($X$2:$X$2705,$B$2:$B$2705,B1304))</f>
        <v/>
      </c>
      <c r="Z1304" s="21" t="n">
        <f aca="false">P1304</f>
        <v>-0.668690523187483</v>
      </c>
      <c r="AA1304" s="3" t="n">
        <f aca="false">R1304</f>
        <v>0</v>
      </c>
      <c r="AB1304" s="21" t="n">
        <f aca="false">P1304</f>
        <v>-0.668690523187483</v>
      </c>
      <c r="AC1304" s="3" t="str">
        <f aca="false">Y1304</f>
        <v/>
      </c>
      <c r="AD1304" s="3" t="n">
        <f aca="false">R1304</f>
        <v>0</v>
      </c>
    </row>
    <row r="1305" customFormat="false" ht="15" hidden="false" customHeight="true" outlineLevel="0" collapsed="false">
      <c r="A1305" s="7" t="s">
        <v>78</v>
      </c>
      <c r="B1305" s="7" t="n">
        <v>1976</v>
      </c>
      <c r="C1305" s="7" t="s">
        <v>159</v>
      </c>
      <c r="D1305" s="7" t="n">
        <v>73</v>
      </c>
      <c r="E1305" s="7" t="n">
        <v>89</v>
      </c>
      <c r="F1305" s="3" t="n">
        <f aca="false">COUNTIFS($B$2:$B$2705,B1305,$C$2:$C$2705,C1305)</f>
        <v>1</v>
      </c>
      <c r="G1305" s="3" t="n">
        <f aca="false">MIN(INT((MIN(B1305,2020)-1900)/10)+1,12)</f>
        <v>8</v>
      </c>
      <c r="H1305" s="3" t="n">
        <f aca="false">(MIN(B1305,2020)-1900-10*(G1305-1))/10</f>
        <v>0.6</v>
      </c>
      <c r="I1305" s="20" t="n">
        <f aca="false">EXP(LN(INDEX(Pop_Inputs!$B$2:$N$29,MATCH(C1305,Pop_Inputs!$A$2:$A$29,0),G1305))*(1-H1305)+LN(INDEX(Pop_Inputs!$B$2:$N$29,MATCH(C1305,Pop_Inputs!$A$2:$A$29,0),G1305+1))*H1305)</f>
        <v>799098.891276524</v>
      </c>
      <c r="J1305" s="20" t="n">
        <f aca="false">I1305/F1305</f>
        <v>799098.891276524</v>
      </c>
      <c r="K1305" s="21" t="n">
        <f aca="false">D1305/(D1305+E1305)</f>
        <v>0.450617283950617</v>
      </c>
      <c r="L1305" s="21" t="n">
        <f aca="false">AVERAGEIFS($K$2:$K$2705,$B$2:$B$2705,B1305)</f>
        <v>0.500042681065377</v>
      </c>
      <c r="M1305" s="21" t="n">
        <f aca="false">K1305-L1305</f>
        <v>-0.0494253971147599</v>
      </c>
      <c r="N1305" s="21" t="n">
        <f aca="false">LN(J1305)</f>
        <v>13.5912399858963</v>
      </c>
      <c r="O1305" s="21" t="n">
        <f aca="false">AVERAGEIFS($N$2:$N$2705,$B$2:$B$2705,B1305)</f>
        <v>13.7078196475512</v>
      </c>
      <c r="P1305" s="21" t="n">
        <f aca="false">N1305-O1305</f>
        <v>-0.116579661654823</v>
      </c>
      <c r="Q1305" s="7" t="n">
        <v>1</v>
      </c>
      <c r="R1305" s="3" t="n">
        <f aca="false">IF(AND(Q1305=1,B1305-_xlfn.MINIFS($B$2:$B$2705,$A$2:$A$2705,A1305)&lt;10),1,0)</f>
        <v>1</v>
      </c>
      <c r="S1305" s="7" t="n">
        <v>0</v>
      </c>
      <c r="T1305" s="3" t="n">
        <f aca="false">_xlfn.MINIFS($B$2:$B$2705,$A$2:$A$2705,A1305)</f>
        <v>1969</v>
      </c>
      <c r="U1305" s="3" t="n">
        <f aca="false">B1305-T1305</f>
        <v>7</v>
      </c>
      <c r="V1305" s="3" t="str">
        <f aca="false">INDEX(Pop_Inputs!$Q$2:$Q$29,MATCH(C1305,Pop_Inputs!$A$2:$A$29,0))</f>
        <v>West</v>
      </c>
      <c r="W1305" s="30"/>
      <c r="X1305" s="3" t="str">
        <f aca="false">IF(W1305="","",LN(W1305))</f>
        <v/>
      </c>
      <c r="Y1305" s="3" t="str">
        <f aca="false">IF(X1305="","",X1305-AVERAGEIFS($X$2:$X$2705,$B$2:$B$2705,B1305))</f>
        <v/>
      </c>
      <c r="Z1305" s="21" t="n">
        <f aca="false">P1305</f>
        <v>-0.116579661654823</v>
      </c>
      <c r="AA1305" s="3" t="n">
        <f aca="false">R1305</f>
        <v>1</v>
      </c>
      <c r="AB1305" s="21" t="n">
        <f aca="false">P1305</f>
        <v>-0.116579661654823</v>
      </c>
      <c r="AC1305" s="3" t="str">
        <f aca="false">Y1305</f>
        <v/>
      </c>
      <c r="AD1305" s="3" t="n">
        <f aca="false">R1305</f>
        <v>1</v>
      </c>
    </row>
    <row r="1306" customFormat="false" ht="15" hidden="false" customHeight="true" outlineLevel="0" collapsed="false">
      <c r="A1306" s="7" t="s">
        <v>61</v>
      </c>
      <c r="B1306" s="7" t="n">
        <v>1976</v>
      </c>
      <c r="C1306" s="7" t="s">
        <v>147</v>
      </c>
      <c r="D1306" s="7" t="n">
        <v>74</v>
      </c>
      <c r="E1306" s="7" t="n">
        <v>88</v>
      </c>
      <c r="F1306" s="3" t="n">
        <f aca="false">COUNTIFS($B$2:$B$2705,B1306,$C$2:$C$2705,C1306)</f>
        <v>1</v>
      </c>
      <c r="G1306" s="3" t="n">
        <f aca="false">MIN(INT((MIN(B1306,2020)-1900)/10)+1,12)</f>
        <v>8</v>
      </c>
      <c r="H1306" s="3" t="n">
        <f aca="false">(MIN(B1306,2020)-1900-10*(G1306-1))/10</f>
        <v>0.6</v>
      </c>
      <c r="I1306" s="20" t="n">
        <f aca="false">EXP(LN(INDEX(Pop_Inputs!$B$2:$N$29,MATCH(C1306,Pop_Inputs!$A$2:$A$29,0),G1306))*(1-H1306)+LN(INDEX(Pop_Inputs!$B$2:$N$29,MATCH(C1306,Pop_Inputs!$A$2:$A$29,0),G1306+1))*H1306)</f>
        <v>693422.584604748</v>
      </c>
      <c r="J1306" s="20" t="n">
        <f aca="false">I1306/F1306</f>
        <v>693422.584604748</v>
      </c>
      <c r="K1306" s="21" t="n">
        <f aca="false">D1306/(D1306+E1306)</f>
        <v>0.45679012345679</v>
      </c>
      <c r="L1306" s="21" t="n">
        <f aca="false">AVERAGEIFS($K$2:$K$2705,$B$2:$B$2705,B1306)</f>
        <v>0.500042681065377</v>
      </c>
      <c r="M1306" s="21" t="n">
        <f aca="false">K1306-L1306</f>
        <v>-0.0432525576085871</v>
      </c>
      <c r="N1306" s="21" t="n">
        <f aca="false">LN(J1306)</f>
        <v>13.44939488252</v>
      </c>
      <c r="O1306" s="21" t="n">
        <f aca="false">AVERAGEIFS($N$2:$N$2705,$B$2:$B$2705,B1306)</f>
        <v>13.7078196475512</v>
      </c>
      <c r="P1306" s="21" t="n">
        <f aca="false">N1306-O1306</f>
        <v>-0.258424765031181</v>
      </c>
      <c r="Q1306" s="7" t="n">
        <v>0</v>
      </c>
      <c r="R1306" s="3" t="n">
        <f aca="false">IF(AND(Q1306=1,B1306-_xlfn.MINIFS($B$2:$B$2705,$A$2:$A$2705,A1306)&lt;10),1,0)</f>
        <v>0</v>
      </c>
      <c r="S1306" s="7" t="n">
        <v>0</v>
      </c>
      <c r="T1306" s="3" t="n">
        <f aca="false">_xlfn.MINIFS($B$2:$B$2705,$A$2:$A$2705,A1306)</f>
        <v>1901</v>
      </c>
      <c r="U1306" s="3" t="n">
        <f aca="false">B1306-T1306</f>
        <v>75</v>
      </c>
      <c r="V1306" s="3" t="str">
        <f aca="false">INDEX(Pop_Inputs!$Q$2:$Q$29,MATCH(C1306,Pop_Inputs!$A$2:$A$29,0))</f>
        <v>West</v>
      </c>
      <c r="W1306" s="30"/>
      <c r="X1306" s="3" t="str">
        <f aca="false">IF(W1306="","",LN(W1306))</f>
        <v/>
      </c>
      <c r="Y1306" s="3" t="str">
        <f aca="false">IF(X1306="","",X1306-AVERAGEIFS($X$2:$X$2705,$B$2:$B$2705,B1306))</f>
        <v/>
      </c>
      <c r="Z1306" s="21" t="n">
        <f aca="false">P1306</f>
        <v>-0.258424765031181</v>
      </c>
      <c r="AA1306" s="3" t="n">
        <f aca="false">R1306</f>
        <v>0</v>
      </c>
      <c r="AB1306" s="21" t="n">
        <f aca="false">P1306</f>
        <v>-0.258424765031181</v>
      </c>
      <c r="AC1306" s="3" t="str">
        <f aca="false">Y1306</f>
        <v/>
      </c>
      <c r="AD1306" s="3" t="n">
        <f aca="false">R1306</f>
        <v>0</v>
      </c>
    </row>
    <row r="1307" customFormat="false" ht="15" hidden="false" customHeight="true" outlineLevel="0" collapsed="false">
      <c r="A1307" s="7" t="s">
        <v>59</v>
      </c>
      <c r="B1307" s="7" t="n">
        <v>1976</v>
      </c>
      <c r="C1307" s="7" t="s">
        <v>145</v>
      </c>
      <c r="D1307" s="7" t="n">
        <v>72</v>
      </c>
      <c r="E1307" s="7" t="n">
        <v>90</v>
      </c>
      <c r="F1307" s="3" t="n">
        <f aca="false">COUNTIFS($B$2:$B$2705,B1307,$C$2:$C$2705,C1307)</f>
        <v>1</v>
      </c>
      <c r="G1307" s="3" t="n">
        <f aca="false">MIN(INT((MIN(B1307,2020)-1900)/10)+1,12)</f>
        <v>8</v>
      </c>
      <c r="H1307" s="3" t="n">
        <f aca="false">(MIN(B1307,2020)-1900-10*(G1307-1))/10</f>
        <v>0.6</v>
      </c>
      <c r="I1307" s="20" t="n">
        <f aca="false">EXP(LN(INDEX(Pop_Inputs!$B$2:$N$29,MATCH(C1307,Pop_Inputs!$A$2:$A$29,0),G1307))*(1-H1307)+LN(INDEX(Pop_Inputs!$B$2:$N$29,MATCH(C1307,Pop_Inputs!$A$2:$A$29,0),G1307+1))*H1307)</f>
        <v>514877.151284139</v>
      </c>
      <c r="J1307" s="20" t="n">
        <f aca="false">I1307/F1307</f>
        <v>514877.151284139</v>
      </c>
      <c r="K1307" s="21" t="n">
        <f aca="false">D1307/(D1307+E1307)</f>
        <v>0.444444444444444</v>
      </c>
      <c r="L1307" s="21" t="n">
        <f aca="false">AVERAGEIFS($K$2:$K$2705,$B$2:$B$2705,B1307)</f>
        <v>0.500042681065377</v>
      </c>
      <c r="M1307" s="21" t="n">
        <f aca="false">K1307-L1307</f>
        <v>-0.0555982366209328</v>
      </c>
      <c r="N1307" s="21" t="n">
        <f aca="false">LN(J1307)</f>
        <v>13.1516836099946</v>
      </c>
      <c r="O1307" s="21" t="n">
        <f aca="false">AVERAGEIFS($N$2:$N$2705,$B$2:$B$2705,B1307)</f>
        <v>13.7078196475512</v>
      </c>
      <c r="P1307" s="21" t="n">
        <f aca="false">N1307-O1307</f>
        <v>-0.556136037556621</v>
      </c>
      <c r="Q1307" s="7" t="n">
        <v>0</v>
      </c>
      <c r="R1307" s="3" t="n">
        <f aca="false">IF(AND(Q1307=1,B1307-_xlfn.MINIFS($B$2:$B$2705,$A$2:$A$2705,A1307)&lt;10),1,0)</f>
        <v>0</v>
      </c>
      <c r="S1307" s="7" t="n">
        <v>0</v>
      </c>
      <c r="T1307" s="3" t="n">
        <f aca="false">_xlfn.MINIFS($B$2:$B$2705,$A$2:$A$2705,A1307)</f>
        <v>1901</v>
      </c>
      <c r="U1307" s="3" t="n">
        <f aca="false">B1307-T1307</f>
        <v>75</v>
      </c>
      <c r="V1307" s="3" t="str">
        <f aca="false">INDEX(Pop_Inputs!$Q$2:$Q$29,MATCH(C1307,Pop_Inputs!$A$2:$A$29,0))</f>
        <v>Midwest</v>
      </c>
      <c r="W1307" s="30"/>
      <c r="X1307" s="3" t="str">
        <f aca="false">IF(W1307="","",LN(W1307))</f>
        <v/>
      </c>
      <c r="Y1307" s="3" t="str">
        <f aca="false">IF(X1307="","",X1307-AVERAGEIFS($X$2:$X$2705,$B$2:$B$2705,B1307))</f>
        <v/>
      </c>
      <c r="Z1307" s="21" t="n">
        <f aca="false">P1307</f>
        <v>-0.556136037556621</v>
      </c>
      <c r="AA1307" s="3" t="n">
        <f aca="false">R1307</f>
        <v>0</v>
      </c>
      <c r="AB1307" s="21" t="n">
        <f aca="false">P1307</f>
        <v>-0.556136037556621</v>
      </c>
      <c r="AC1307" s="3" t="str">
        <f aca="false">Y1307</f>
        <v/>
      </c>
      <c r="AD1307" s="3" t="n">
        <f aca="false">R1307</f>
        <v>0</v>
      </c>
    </row>
    <row r="1308" customFormat="false" ht="15" hidden="false" customHeight="true" outlineLevel="0" collapsed="false">
      <c r="A1308" s="7" t="s">
        <v>73</v>
      </c>
      <c r="B1308" s="7" t="n">
        <v>1976</v>
      </c>
      <c r="C1308" s="7" t="s">
        <v>155</v>
      </c>
      <c r="D1308" s="7" t="n">
        <v>76</v>
      </c>
      <c r="E1308" s="7" t="n">
        <v>86</v>
      </c>
      <c r="F1308" s="3" t="n">
        <f aca="false">COUNTIFS($B$2:$B$2705,B1308,$C$2:$C$2705,C1308)</f>
        <v>1</v>
      </c>
      <c r="G1308" s="3" t="n">
        <f aca="false">MIN(INT((MIN(B1308,2020)-1900)/10)+1,12)</f>
        <v>8</v>
      </c>
      <c r="H1308" s="3" t="n">
        <f aca="false">(MIN(B1308,2020)-1900-10*(G1308-1))/10</f>
        <v>0.6</v>
      </c>
      <c r="I1308" s="20" t="n">
        <f aca="false">EXP(LN(INDEX(Pop_Inputs!$B$2:$N$29,MATCH(C1308,Pop_Inputs!$A$2:$A$29,0),G1308))*(1-H1308)+LN(INDEX(Pop_Inputs!$B$2:$N$29,MATCH(C1308,Pop_Inputs!$A$2:$A$29,0),G1308+1))*H1308)</f>
        <v>879717.104836159</v>
      </c>
      <c r="J1308" s="20" t="n">
        <f aca="false">I1308/F1308</f>
        <v>879717.104836159</v>
      </c>
      <c r="K1308" s="21" t="n">
        <f aca="false">D1308/(D1308+E1308)</f>
        <v>0.469135802469136</v>
      </c>
      <c r="L1308" s="21" t="n">
        <f aca="false">AVERAGEIFS($K$2:$K$2705,$B$2:$B$2705,B1308)</f>
        <v>0.500042681065377</v>
      </c>
      <c r="M1308" s="21" t="n">
        <f aca="false">K1308-L1308</f>
        <v>-0.0309068785962414</v>
      </c>
      <c r="N1308" s="21" t="n">
        <f aca="false">LN(J1308)</f>
        <v>13.6873556629942</v>
      </c>
      <c r="O1308" s="21" t="n">
        <f aca="false">AVERAGEIFS($N$2:$N$2705,$B$2:$B$2705,B1308)</f>
        <v>13.7078196475512</v>
      </c>
      <c r="P1308" s="21" t="n">
        <f aca="false">N1308-O1308</f>
        <v>-0.0204639845570025</v>
      </c>
      <c r="Q1308" s="7" t="n">
        <v>1</v>
      </c>
      <c r="R1308" s="3" t="n">
        <f aca="false">IF(AND(Q1308=1,B1308-_xlfn.MINIFS($B$2:$B$2705,$A$2:$A$2705,A1308)&lt;10),1,0)</f>
        <v>0</v>
      </c>
      <c r="S1308" s="7" t="n">
        <v>0</v>
      </c>
      <c r="T1308" s="3" t="n">
        <f aca="false">_xlfn.MINIFS($B$2:$B$2705,$A$2:$A$2705,A1308)</f>
        <v>1961</v>
      </c>
      <c r="U1308" s="3" t="n">
        <f aca="false">B1308-T1308</f>
        <v>15</v>
      </c>
      <c r="V1308" s="3" t="str">
        <f aca="false">INDEX(Pop_Inputs!$Q$2:$Q$29,MATCH(C1308,Pop_Inputs!$A$2:$A$29,0))</f>
        <v>South</v>
      </c>
      <c r="W1308" s="30"/>
      <c r="X1308" s="3" t="str">
        <f aca="false">IF(W1308="","",LN(W1308))</f>
        <v/>
      </c>
      <c r="Y1308" s="3" t="str">
        <f aca="false">IF(X1308="","",X1308-AVERAGEIFS($X$2:$X$2705,$B$2:$B$2705,B1308))</f>
        <v/>
      </c>
      <c r="Z1308" s="21" t="n">
        <f aca="false">P1308</f>
        <v>-0.0204639845570025</v>
      </c>
      <c r="AA1308" s="3" t="n">
        <f aca="false">R1308</f>
        <v>0</v>
      </c>
      <c r="AB1308" s="21" t="n">
        <f aca="false">P1308</f>
        <v>-0.0204639845570025</v>
      </c>
      <c r="AC1308" s="3" t="str">
        <f aca="false">Y1308</f>
        <v/>
      </c>
      <c r="AD1308" s="3" t="n">
        <f aca="false">R1308</f>
        <v>0</v>
      </c>
    </row>
    <row r="1309" customFormat="false" ht="15" hidden="false" customHeight="true" outlineLevel="0" collapsed="false">
      <c r="A1309" s="7" t="s">
        <v>79</v>
      </c>
      <c r="B1309" s="7" t="n">
        <v>1976</v>
      </c>
      <c r="C1309" s="7" t="s">
        <v>254</v>
      </c>
      <c r="D1309" s="7" t="n">
        <v>55</v>
      </c>
      <c r="E1309" s="7" t="n">
        <v>107</v>
      </c>
      <c r="F1309" s="3" t="n">
        <f aca="false">COUNTIFS($B$2:$B$2705,B1309,$C$2:$C$2705,C1309)</f>
        <v>1</v>
      </c>
      <c r="G1309" s="3" t="n">
        <f aca="false">MIN(INT((MIN(B1309,2020)-1900)/10)+1,12)</f>
        <v>8</v>
      </c>
      <c r="H1309" s="3" t="n">
        <f aca="false">(MIN(B1309,2020)-1900-10*(G1309-1))/10</f>
        <v>0.6</v>
      </c>
      <c r="I1309" s="20" t="n">
        <f aca="false">EXP(LN(INDEX(Pop_Inputs!$B$2:$N$29,MATCH(C1309,Pop_Inputs!$A$2:$A$29,0),G1309))*(1-H1309)+LN(INDEX(Pop_Inputs!$B$2:$N$29,MATCH(C1309,Pop_Inputs!$A$2:$A$29,0),G1309+1))*H1309)</f>
        <v>1067990.99797743</v>
      </c>
      <c r="J1309" s="20" t="n">
        <f aca="false">I1309/F1309</f>
        <v>1067990.99797743</v>
      </c>
      <c r="K1309" s="21" t="n">
        <f aca="false">D1309/(D1309+E1309)</f>
        <v>0.339506172839506</v>
      </c>
      <c r="L1309" s="21" t="n">
        <f aca="false">AVERAGEIFS($K$2:$K$2705,$B$2:$B$2705,B1309)</f>
        <v>0.500042681065377</v>
      </c>
      <c r="M1309" s="21" t="n">
        <f aca="false">K1309-L1309</f>
        <v>-0.160536508225871</v>
      </c>
      <c r="N1309" s="21" t="n">
        <f aca="false">LN(J1309)</f>
        <v>13.8812898696067</v>
      </c>
      <c r="O1309" s="21" t="n">
        <f aca="false">AVERAGEIFS($N$2:$N$2705,$B$2:$B$2705,B1309)</f>
        <v>13.7078196475512</v>
      </c>
      <c r="P1309" s="21" t="n">
        <f aca="false">N1309-O1309</f>
        <v>0.173470222055501</v>
      </c>
      <c r="Q1309" s="7" t="n">
        <v>1</v>
      </c>
      <c r="R1309" s="3" t="n">
        <f aca="false">IF(AND(Q1309=1,B1309-_xlfn.MINIFS($B$2:$B$2705,$A$2:$A$2705,A1309)&lt;10),1,0)</f>
        <v>1</v>
      </c>
      <c r="S1309" s="7" t="n">
        <v>0</v>
      </c>
      <c r="T1309" s="3" t="n">
        <f aca="false">_xlfn.MINIFS($B$2:$B$2705,$A$2:$A$2705,A1309)</f>
        <v>1969</v>
      </c>
      <c r="U1309" s="3" t="n">
        <f aca="false">B1309-T1309</f>
        <v>7</v>
      </c>
      <c r="V1309" s="3" t="str">
        <f aca="false">INDEX(Pop_Inputs!$Q$2:$Q$29,MATCH(C1309,Pop_Inputs!$A$2:$A$29,0))</f>
        <v>Canada</v>
      </c>
      <c r="W1309" s="30"/>
      <c r="X1309" s="3" t="str">
        <f aca="false">IF(W1309="","",LN(W1309))</f>
        <v/>
      </c>
      <c r="Y1309" s="3" t="str">
        <f aca="false">IF(X1309="","",X1309-AVERAGEIFS($X$2:$X$2705,$B$2:$B$2705,B1309))</f>
        <v/>
      </c>
      <c r="Z1309" s="21" t="n">
        <f aca="false">P1309</f>
        <v>0.173470222055501</v>
      </c>
      <c r="AA1309" s="3" t="n">
        <f aca="false">R1309</f>
        <v>1</v>
      </c>
      <c r="AB1309" s="21" t="n">
        <f aca="false">P1309</f>
        <v>0.173470222055501</v>
      </c>
      <c r="AC1309" s="3" t="str">
        <f aca="false">Y1309</f>
        <v/>
      </c>
      <c r="AD1309" s="3" t="n">
        <f aca="false">R1309</f>
        <v>1</v>
      </c>
    </row>
    <row r="1310" customFormat="false" ht="15" hidden="false" customHeight="true" outlineLevel="0" collapsed="false">
      <c r="A1310" s="7" t="s">
        <v>71</v>
      </c>
      <c r="B1310" s="7" t="n">
        <v>1977</v>
      </c>
      <c r="C1310" s="7" t="s">
        <v>148</v>
      </c>
      <c r="D1310" s="7" t="n">
        <v>74</v>
      </c>
      <c r="E1310" s="7" t="n">
        <v>88</v>
      </c>
      <c r="F1310" s="3" t="n">
        <f aca="false">COUNTIFS($B$2:$B$2705,B1310,$C$2:$C$2705,C1310)</f>
        <v>2</v>
      </c>
      <c r="G1310" s="3" t="n">
        <f aca="false">MIN(INT((MIN(B1310,2020)-1900)/10)+1,12)</f>
        <v>8</v>
      </c>
      <c r="H1310" s="3" t="n">
        <f aca="false">(MIN(B1310,2020)-1900-10*(G1310-1))/10</f>
        <v>0.7</v>
      </c>
      <c r="I1310" s="20" t="n">
        <f aca="false">EXP(LN(INDEX(Pop_Inputs!$B$2:$N$29,MATCH(C1310,Pop_Inputs!$A$2:$A$29,0),G1310))*(1-H1310)+LN(INDEX(Pop_Inputs!$B$2:$N$29,MATCH(C1310,Pop_Inputs!$A$2:$A$29,0),G1310+1))*H1310)</f>
        <v>2920784.59976622</v>
      </c>
      <c r="J1310" s="20" t="n">
        <f aca="false">I1310/F1310</f>
        <v>1460392.29988311</v>
      </c>
      <c r="K1310" s="21" t="n">
        <f aca="false">D1310/(D1310+E1310)</f>
        <v>0.45679012345679</v>
      </c>
      <c r="L1310" s="21" t="n">
        <f aca="false">AVERAGEIFS($K$2:$K$2705,$B$2:$B$2705,B1310)</f>
        <v>0.499974931134351</v>
      </c>
      <c r="M1310" s="21" t="n">
        <f aca="false">K1310-L1310</f>
        <v>-0.0431848076775613</v>
      </c>
      <c r="N1310" s="21" t="n">
        <f aca="false">LN(J1310)</f>
        <v>14.1942156561416</v>
      </c>
      <c r="O1310" s="21" t="n">
        <f aca="false">AVERAGEIFS($N$2:$N$2705,$B$2:$B$2705,B1310)</f>
        <v>13.6633973228611</v>
      </c>
      <c r="P1310" s="21" t="n">
        <f aca="false">N1310-O1310</f>
        <v>0.530818333280484</v>
      </c>
      <c r="Q1310" s="7" t="n">
        <v>1</v>
      </c>
      <c r="R1310" s="3" t="n">
        <f aca="false">IF(AND(Q1310=1,B1310-_xlfn.MINIFS($B$2:$B$2705,$A$2:$A$2705,A1310)&lt;10),1,0)</f>
        <v>0</v>
      </c>
      <c r="S1310" s="7" t="n">
        <v>0</v>
      </c>
      <c r="T1310" s="3" t="n">
        <f aca="false">_xlfn.MINIFS($B$2:$B$2705,$A$2:$A$2705,A1310)</f>
        <v>1961</v>
      </c>
      <c r="U1310" s="3" t="n">
        <f aca="false">B1310-T1310</f>
        <v>16</v>
      </c>
      <c r="V1310" s="3" t="str">
        <f aca="false">INDEX(Pop_Inputs!$Q$2:$Q$29,MATCH(C1310,Pop_Inputs!$A$2:$A$29,0))</f>
        <v>West</v>
      </c>
      <c r="W1310" s="30"/>
      <c r="X1310" s="3" t="str">
        <f aca="false">IF(W1310="","",LN(W1310))</f>
        <v/>
      </c>
      <c r="Y1310" s="3" t="str">
        <f aca="false">IF(X1310="","",X1310-AVERAGEIFS($X$2:$X$2705,$B$2:$B$2705,B1310))</f>
        <v/>
      </c>
      <c r="Z1310" s="21" t="n">
        <f aca="false">P1310</f>
        <v>0.530818333280484</v>
      </c>
      <c r="AA1310" s="3" t="n">
        <f aca="false">R1310</f>
        <v>0</v>
      </c>
      <c r="AB1310" s="21" t="n">
        <f aca="false">P1310</f>
        <v>0.530818333280484</v>
      </c>
      <c r="AC1310" s="3" t="str">
        <f aca="false">Y1310</f>
        <v/>
      </c>
      <c r="AD1310" s="3" t="n">
        <f aca="false">R1310</f>
        <v>0</v>
      </c>
    </row>
    <row r="1311" customFormat="false" ht="15" hidden="false" customHeight="true" outlineLevel="0" collapsed="false">
      <c r="A1311" s="7" t="s">
        <v>54</v>
      </c>
      <c r="B1311" s="7" t="n">
        <v>1977</v>
      </c>
      <c r="C1311" s="7" t="s">
        <v>141</v>
      </c>
      <c r="D1311" s="7" t="n">
        <v>61</v>
      </c>
      <c r="E1311" s="7" t="n">
        <v>101</v>
      </c>
      <c r="F1311" s="3" t="n">
        <f aca="false">COUNTIFS($B$2:$B$2705,B1311,$C$2:$C$2705,C1311)</f>
        <v>1</v>
      </c>
      <c r="G1311" s="3" t="n">
        <f aca="false">MIN(INT((MIN(B1311,2020)-1900)/10)+1,12)</f>
        <v>8</v>
      </c>
      <c r="H1311" s="3" t="n">
        <f aca="false">(MIN(B1311,2020)-1900-10*(G1311-1))/10</f>
        <v>0.7</v>
      </c>
      <c r="I1311" s="20" t="n">
        <f aca="false">EXP(LN(INDEX(Pop_Inputs!$B$2:$N$29,MATCH(C1311,Pop_Inputs!$A$2:$A$29,0),G1311))*(1-H1311)+LN(INDEX(Pop_Inputs!$B$2:$N$29,MATCH(C1311,Pop_Inputs!$A$2:$A$29,0),G1311+1))*H1311)</f>
        <v>444917.831502009</v>
      </c>
      <c r="J1311" s="20" t="n">
        <f aca="false">I1311/F1311</f>
        <v>444917.831502009</v>
      </c>
      <c r="K1311" s="21" t="n">
        <f aca="false">D1311/(D1311+E1311)</f>
        <v>0.376543209876543</v>
      </c>
      <c r="L1311" s="21" t="n">
        <f aca="false">AVERAGEIFS($K$2:$K$2705,$B$2:$B$2705,B1311)</f>
        <v>0.499974931134351</v>
      </c>
      <c r="M1311" s="21" t="n">
        <f aca="false">K1311-L1311</f>
        <v>-0.123431721257808</v>
      </c>
      <c r="N1311" s="21" t="n">
        <f aca="false">LN(J1311)</f>
        <v>13.0056448957887</v>
      </c>
      <c r="O1311" s="21" t="n">
        <f aca="false">AVERAGEIFS($N$2:$N$2705,$B$2:$B$2705,B1311)</f>
        <v>13.6633973228611</v>
      </c>
      <c r="P1311" s="21" t="n">
        <f aca="false">N1311-O1311</f>
        <v>-0.657752427072431</v>
      </c>
      <c r="Q1311" s="7" t="n">
        <v>0</v>
      </c>
      <c r="R1311" s="3" t="n">
        <f aca="false">IF(AND(Q1311=1,B1311-_xlfn.MINIFS($B$2:$B$2705,$A$2:$A$2705,A1311)&lt;10),1,0)</f>
        <v>0</v>
      </c>
      <c r="S1311" s="7" t="n">
        <v>0</v>
      </c>
      <c r="T1311" s="3" t="n">
        <f aca="false">_xlfn.MINIFS($B$2:$B$2705,$A$2:$A$2705,A1311)</f>
        <v>1901</v>
      </c>
      <c r="U1311" s="3" t="n">
        <f aca="false">B1311-T1311</f>
        <v>76</v>
      </c>
      <c r="V1311" s="3" t="str">
        <f aca="false">INDEX(Pop_Inputs!$Q$2:$Q$29,MATCH(C1311,Pop_Inputs!$A$2:$A$29,0))</f>
        <v>South</v>
      </c>
      <c r="W1311" s="30"/>
      <c r="X1311" s="3" t="str">
        <f aca="false">IF(W1311="","",LN(W1311))</f>
        <v/>
      </c>
      <c r="Y1311" s="3" t="str">
        <f aca="false">IF(X1311="","",X1311-AVERAGEIFS($X$2:$X$2705,$B$2:$B$2705,B1311))</f>
        <v/>
      </c>
      <c r="Z1311" s="21" t="n">
        <f aca="false">P1311</f>
        <v>-0.657752427072431</v>
      </c>
      <c r="AA1311" s="3" t="n">
        <f aca="false">R1311</f>
        <v>0</v>
      </c>
      <c r="AB1311" s="21" t="n">
        <f aca="false">P1311</f>
        <v>-0.657752427072431</v>
      </c>
      <c r="AC1311" s="3" t="str">
        <f aca="false">Y1311</f>
        <v/>
      </c>
      <c r="AD1311" s="3" t="n">
        <f aca="false">R1311</f>
        <v>0</v>
      </c>
    </row>
    <row r="1312" customFormat="false" ht="15" hidden="false" customHeight="true" outlineLevel="0" collapsed="false">
      <c r="A1312" s="7" t="s">
        <v>63</v>
      </c>
      <c r="B1312" s="7" t="n">
        <v>1977</v>
      </c>
      <c r="C1312" s="7" t="s">
        <v>149</v>
      </c>
      <c r="D1312" s="7" t="n">
        <v>97</v>
      </c>
      <c r="E1312" s="7" t="n">
        <v>64</v>
      </c>
      <c r="F1312" s="3" t="n">
        <f aca="false">COUNTIFS($B$2:$B$2705,B1312,$C$2:$C$2705,C1312)</f>
        <v>1</v>
      </c>
      <c r="G1312" s="3" t="n">
        <f aca="false">MIN(INT((MIN(B1312,2020)-1900)/10)+1,12)</f>
        <v>8</v>
      </c>
      <c r="H1312" s="3" t="n">
        <f aca="false">(MIN(B1312,2020)-1900-10*(G1312-1))/10</f>
        <v>0.7</v>
      </c>
      <c r="I1312" s="20" t="n">
        <f aca="false">EXP(LN(INDEX(Pop_Inputs!$B$2:$N$29,MATCH(C1312,Pop_Inputs!$A$2:$A$29,0),G1312))*(1-H1312)+LN(INDEX(Pop_Inputs!$B$2:$N$29,MATCH(C1312,Pop_Inputs!$A$2:$A$29,0),G1312+1))*H1312)</f>
        <v>820727.874277808</v>
      </c>
      <c r="J1312" s="20" t="n">
        <f aca="false">I1312/F1312</f>
        <v>820727.874277808</v>
      </c>
      <c r="K1312" s="21" t="n">
        <f aca="false">D1312/(D1312+E1312)</f>
        <v>0.60248447204969</v>
      </c>
      <c r="L1312" s="21" t="n">
        <f aca="false">AVERAGEIFS($K$2:$K$2705,$B$2:$B$2705,B1312)</f>
        <v>0.499974931134351</v>
      </c>
      <c r="M1312" s="21" t="n">
        <f aca="false">K1312-L1312</f>
        <v>0.102509540915338</v>
      </c>
      <c r="N1312" s="21" t="n">
        <f aca="false">LN(J1312)</f>
        <v>13.6179468770691</v>
      </c>
      <c r="O1312" s="21" t="n">
        <f aca="false">AVERAGEIFS($N$2:$N$2705,$B$2:$B$2705,B1312)</f>
        <v>13.6633973228611</v>
      </c>
      <c r="P1312" s="21" t="n">
        <f aca="false">N1312-O1312</f>
        <v>-0.0454504457920457</v>
      </c>
      <c r="Q1312" s="7" t="n">
        <v>0</v>
      </c>
      <c r="R1312" s="3" t="n">
        <f aca="false">IF(AND(Q1312=1,B1312-_xlfn.MINIFS($B$2:$B$2705,$A$2:$A$2705,A1312)&lt;10),1,0)</f>
        <v>0</v>
      </c>
      <c r="S1312" s="7" t="n">
        <v>0</v>
      </c>
      <c r="T1312" s="3" t="n">
        <f aca="false">_xlfn.MINIFS($B$2:$B$2705,$A$2:$A$2705,A1312)</f>
        <v>1901</v>
      </c>
      <c r="U1312" s="3" t="n">
        <f aca="false">B1312-T1312</f>
        <v>76</v>
      </c>
      <c r="V1312" s="3" t="str">
        <f aca="false">INDEX(Pop_Inputs!$Q$2:$Q$29,MATCH(C1312,Pop_Inputs!$A$2:$A$29,0))</f>
        <v>South</v>
      </c>
      <c r="W1312" s="30"/>
      <c r="X1312" s="3" t="str">
        <f aca="false">IF(W1312="","",LN(W1312))</f>
        <v/>
      </c>
      <c r="Y1312" s="3" t="str">
        <f aca="false">IF(X1312="","",X1312-AVERAGEIFS($X$2:$X$2705,$B$2:$B$2705,B1312))</f>
        <v/>
      </c>
      <c r="Z1312" s="21" t="n">
        <f aca="false">P1312</f>
        <v>-0.0454504457920457</v>
      </c>
      <c r="AA1312" s="3" t="n">
        <f aca="false">R1312</f>
        <v>0</v>
      </c>
      <c r="AB1312" s="21" t="n">
        <f aca="false">P1312</f>
        <v>-0.0454504457920457</v>
      </c>
      <c r="AC1312" s="3" t="str">
        <f aca="false">Y1312</f>
        <v/>
      </c>
      <c r="AD1312" s="3" t="n">
        <f aca="false">R1312</f>
        <v>0</v>
      </c>
    </row>
    <row r="1313" customFormat="false" ht="15" hidden="false" customHeight="true" outlineLevel="0" collapsed="false">
      <c r="A1313" s="7" t="s">
        <v>64</v>
      </c>
      <c r="B1313" s="7" t="n">
        <v>1977</v>
      </c>
      <c r="C1313" s="7" t="s">
        <v>150</v>
      </c>
      <c r="D1313" s="7" t="n">
        <v>97</v>
      </c>
      <c r="E1313" s="7" t="n">
        <v>64</v>
      </c>
      <c r="F1313" s="3" t="n">
        <f aca="false">COUNTIFS($B$2:$B$2705,B1313,$C$2:$C$2705,C1313)</f>
        <v>1</v>
      </c>
      <c r="G1313" s="3" t="n">
        <f aca="false">MIN(INT((MIN(B1313,2020)-1900)/10)+1,12)</f>
        <v>8</v>
      </c>
      <c r="H1313" s="3" t="n">
        <f aca="false">(MIN(B1313,2020)-1900-10*(G1313-1))/10</f>
        <v>0.7</v>
      </c>
      <c r="I1313" s="20" t="n">
        <f aca="false">EXP(LN(INDEX(Pop_Inputs!$B$2:$N$29,MATCH(C1313,Pop_Inputs!$A$2:$A$29,0),G1313))*(1-H1313)+LN(INDEX(Pop_Inputs!$B$2:$N$29,MATCH(C1313,Pop_Inputs!$A$2:$A$29,0),G1313+1))*H1313)</f>
        <v>585361.932634749</v>
      </c>
      <c r="J1313" s="20" t="n">
        <f aca="false">I1313/F1313</f>
        <v>585361.932634749</v>
      </c>
      <c r="K1313" s="21" t="n">
        <f aca="false">D1313/(D1313+E1313)</f>
        <v>0.60248447204969</v>
      </c>
      <c r="L1313" s="21" t="n">
        <f aca="false">AVERAGEIFS($K$2:$K$2705,$B$2:$B$2705,B1313)</f>
        <v>0.499974931134351</v>
      </c>
      <c r="M1313" s="21" t="n">
        <f aca="false">K1313-L1313</f>
        <v>0.102509540915338</v>
      </c>
      <c r="N1313" s="21" t="n">
        <f aca="false">LN(J1313)</f>
        <v>13.2799856231698</v>
      </c>
      <c r="O1313" s="21" t="n">
        <f aca="false">AVERAGEIFS($N$2:$N$2705,$B$2:$B$2705,B1313)</f>
        <v>13.6633973228611</v>
      </c>
      <c r="P1313" s="21" t="n">
        <f aca="false">N1313-O1313</f>
        <v>-0.383411699691278</v>
      </c>
      <c r="Q1313" s="7" t="n">
        <v>0</v>
      </c>
      <c r="R1313" s="3" t="n">
        <f aca="false">IF(AND(Q1313=1,B1313-_xlfn.MINIFS($B$2:$B$2705,$A$2:$A$2705,A1313)&lt;10),1,0)</f>
        <v>0</v>
      </c>
      <c r="S1313" s="7" t="n">
        <v>0</v>
      </c>
      <c r="T1313" s="3" t="n">
        <f aca="false">_xlfn.MINIFS($B$2:$B$2705,$A$2:$A$2705,A1313)</f>
        <v>1901</v>
      </c>
      <c r="U1313" s="3" t="n">
        <f aca="false">B1313-T1313</f>
        <v>76</v>
      </c>
      <c r="V1313" s="3" t="str">
        <f aca="false">INDEX(Pop_Inputs!$Q$2:$Q$29,MATCH(C1313,Pop_Inputs!$A$2:$A$29,0))</f>
        <v>Northeast</v>
      </c>
      <c r="W1313" s="30"/>
      <c r="X1313" s="3" t="str">
        <f aca="false">IF(W1313="","",LN(W1313))</f>
        <v/>
      </c>
      <c r="Y1313" s="3" t="str">
        <f aca="false">IF(X1313="","",X1313-AVERAGEIFS($X$2:$X$2705,$B$2:$B$2705,B1313))</f>
        <v/>
      </c>
      <c r="Z1313" s="21" t="n">
        <f aca="false">P1313</f>
        <v>-0.383411699691278</v>
      </c>
      <c r="AA1313" s="3" t="n">
        <f aca="false">R1313</f>
        <v>0</v>
      </c>
      <c r="AB1313" s="21" t="n">
        <f aca="false">P1313</f>
        <v>-0.383411699691278</v>
      </c>
      <c r="AC1313" s="3" t="str">
        <f aca="false">Y1313</f>
        <v/>
      </c>
      <c r="AD1313" s="3" t="n">
        <f aca="false">R1313</f>
        <v>0</v>
      </c>
    </row>
    <row r="1314" customFormat="false" ht="15" hidden="false" customHeight="true" outlineLevel="0" collapsed="false">
      <c r="A1314" s="7" t="s">
        <v>56</v>
      </c>
      <c r="B1314" s="7" t="n">
        <v>1977</v>
      </c>
      <c r="C1314" s="7" t="s">
        <v>142</v>
      </c>
      <c r="D1314" s="7" t="n">
        <v>81</v>
      </c>
      <c r="E1314" s="7" t="n">
        <v>81</v>
      </c>
      <c r="F1314" s="3" t="n">
        <f aca="false">COUNTIFS($B$2:$B$2705,B1314,$C$2:$C$2705,C1314)</f>
        <v>2</v>
      </c>
      <c r="G1314" s="3" t="n">
        <f aca="false">MIN(INT((MIN(B1314,2020)-1900)/10)+1,12)</f>
        <v>8</v>
      </c>
      <c r="H1314" s="3" t="n">
        <f aca="false">(MIN(B1314,2020)-1900-10*(G1314-1))/10</f>
        <v>0.7</v>
      </c>
      <c r="I1314" s="20" t="n">
        <f aca="false">EXP(LN(INDEX(Pop_Inputs!$B$2:$N$29,MATCH(C1314,Pop_Inputs!$A$2:$A$29,0),G1314))*(1-H1314)+LN(INDEX(Pop_Inputs!$B$2:$N$29,MATCH(C1314,Pop_Inputs!$A$2:$A$29,0),G1314+1))*H1314)</f>
        <v>3109350.55666877</v>
      </c>
      <c r="J1314" s="20" t="n">
        <f aca="false">I1314/F1314</f>
        <v>1554675.27833438</v>
      </c>
      <c r="K1314" s="21" t="n">
        <f aca="false">D1314/(D1314+E1314)</f>
        <v>0.5</v>
      </c>
      <c r="L1314" s="21" t="n">
        <f aca="false">AVERAGEIFS($K$2:$K$2705,$B$2:$B$2705,B1314)</f>
        <v>0.499974931134351</v>
      </c>
      <c r="M1314" s="21" t="n">
        <f aca="false">K1314-L1314</f>
        <v>2.50688656485698E-005</v>
      </c>
      <c r="N1314" s="21" t="n">
        <f aca="false">LN(J1314)</f>
        <v>14.2567772575664</v>
      </c>
      <c r="O1314" s="21" t="n">
        <f aca="false">AVERAGEIFS($N$2:$N$2705,$B$2:$B$2705,B1314)</f>
        <v>13.6633973228611</v>
      </c>
      <c r="P1314" s="21" t="n">
        <f aca="false">N1314-O1314</f>
        <v>0.593379934705277</v>
      </c>
      <c r="Q1314" s="7" t="n">
        <v>0</v>
      </c>
      <c r="R1314" s="3" t="n">
        <f aca="false">IF(AND(Q1314=1,B1314-_xlfn.MINIFS($B$2:$B$2705,$A$2:$A$2705,A1314)&lt;10),1,0)</f>
        <v>0</v>
      </c>
      <c r="S1314" s="7" t="n">
        <v>0</v>
      </c>
      <c r="T1314" s="3" t="n">
        <f aca="false">_xlfn.MINIFS($B$2:$B$2705,$A$2:$A$2705,A1314)</f>
        <v>1901</v>
      </c>
      <c r="U1314" s="3" t="n">
        <f aca="false">B1314-T1314</f>
        <v>76</v>
      </c>
      <c r="V1314" s="3" t="str">
        <f aca="false">INDEX(Pop_Inputs!$Q$2:$Q$29,MATCH(C1314,Pop_Inputs!$A$2:$A$29,0))</f>
        <v>Midwest</v>
      </c>
      <c r="W1314" s="30"/>
      <c r="X1314" s="3" t="str">
        <f aca="false">IF(W1314="","",LN(W1314))</f>
        <v/>
      </c>
      <c r="Y1314" s="3" t="str">
        <f aca="false">IF(X1314="","",X1314-AVERAGEIFS($X$2:$X$2705,$B$2:$B$2705,B1314))</f>
        <v/>
      </c>
      <c r="Z1314" s="21" t="n">
        <f aca="false">P1314</f>
        <v>0.593379934705277</v>
      </c>
      <c r="AA1314" s="3" t="n">
        <f aca="false">R1314</f>
        <v>0</v>
      </c>
      <c r="AB1314" s="21" t="n">
        <f aca="false">P1314</f>
        <v>0.593379934705277</v>
      </c>
      <c r="AC1314" s="3" t="str">
        <f aca="false">Y1314</f>
        <v/>
      </c>
      <c r="AD1314" s="3" t="n">
        <f aca="false">R1314</f>
        <v>0</v>
      </c>
    </row>
    <row r="1315" customFormat="false" ht="15" hidden="false" customHeight="true" outlineLevel="0" collapsed="false">
      <c r="A1315" s="7" t="s">
        <v>65</v>
      </c>
      <c r="B1315" s="7" t="n">
        <v>1977</v>
      </c>
      <c r="C1315" s="7" t="s">
        <v>142</v>
      </c>
      <c r="D1315" s="7" t="n">
        <v>90</v>
      </c>
      <c r="E1315" s="7" t="n">
        <v>72</v>
      </c>
      <c r="F1315" s="3" t="n">
        <f aca="false">COUNTIFS($B$2:$B$2705,B1315,$C$2:$C$2705,C1315)</f>
        <v>2</v>
      </c>
      <c r="G1315" s="3" t="n">
        <f aca="false">MIN(INT((MIN(B1315,2020)-1900)/10)+1,12)</f>
        <v>8</v>
      </c>
      <c r="H1315" s="3" t="n">
        <f aca="false">(MIN(B1315,2020)-1900-10*(G1315-1))/10</f>
        <v>0.7</v>
      </c>
      <c r="I1315" s="20" t="n">
        <f aca="false">EXP(LN(INDEX(Pop_Inputs!$B$2:$N$29,MATCH(C1315,Pop_Inputs!$A$2:$A$29,0),G1315))*(1-H1315)+LN(INDEX(Pop_Inputs!$B$2:$N$29,MATCH(C1315,Pop_Inputs!$A$2:$A$29,0),G1315+1))*H1315)</f>
        <v>3109350.55666877</v>
      </c>
      <c r="J1315" s="20" t="n">
        <f aca="false">I1315/F1315</f>
        <v>1554675.27833438</v>
      </c>
      <c r="K1315" s="21" t="n">
        <f aca="false">D1315/(D1315+E1315)</f>
        <v>0.555555555555556</v>
      </c>
      <c r="L1315" s="21" t="n">
        <f aca="false">AVERAGEIFS($K$2:$K$2705,$B$2:$B$2705,B1315)</f>
        <v>0.499974931134351</v>
      </c>
      <c r="M1315" s="21" t="n">
        <f aca="false">K1315-L1315</f>
        <v>0.0555806244212042</v>
      </c>
      <c r="N1315" s="21" t="n">
        <f aca="false">LN(J1315)</f>
        <v>14.2567772575664</v>
      </c>
      <c r="O1315" s="21" t="n">
        <f aca="false">AVERAGEIFS($N$2:$N$2705,$B$2:$B$2705,B1315)</f>
        <v>13.6633973228611</v>
      </c>
      <c r="P1315" s="21" t="n">
        <f aca="false">N1315-O1315</f>
        <v>0.593379934705277</v>
      </c>
      <c r="Q1315" s="7" t="n">
        <v>0</v>
      </c>
      <c r="R1315" s="3" t="n">
        <f aca="false">IF(AND(Q1315=1,B1315-_xlfn.MINIFS($B$2:$B$2705,$A$2:$A$2705,A1315)&lt;10),1,0)</f>
        <v>0</v>
      </c>
      <c r="S1315" s="7" t="n">
        <v>0</v>
      </c>
      <c r="T1315" s="3" t="n">
        <f aca="false">_xlfn.MINIFS($B$2:$B$2705,$A$2:$A$2705,A1315)</f>
        <v>1901</v>
      </c>
      <c r="U1315" s="3" t="n">
        <f aca="false">B1315-T1315</f>
        <v>76</v>
      </c>
      <c r="V1315" s="3" t="str">
        <f aca="false">INDEX(Pop_Inputs!$Q$2:$Q$29,MATCH(C1315,Pop_Inputs!$A$2:$A$29,0))</f>
        <v>Midwest</v>
      </c>
      <c r="W1315" s="30"/>
      <c r="X1315" s="3" t="str">
        <f aca="false">IF(W1315="","",LN(W1315))</f>
        <v/>
      </c>
      <c r="Y1315" s="3" t="str">
        <f aca="false">IF(X1315="","",X1315-AVERAGEIFS($X$2:$X$2705,$B$2:$B$2705,B1315))</f>
        <v/>
      </c>
      <c r="Z1315" s="21" t="n">
        <f aca="false">P1315</f>
        <v>0.593379934705277</v>
      </c>
      <c r="AA1315" s="3" t="n">
        <f aca="false">R1315</f>
        <v>0</v>
      </c>
      <c r="AB1315" s="21" t="n">
        <f aca="false">P1315</f>
        <v>0.593379934705277</v>
      </c>
      <c r="AC1315" s="3" t="str">
        <f aca="false">Y1315</f>
        <v/>
      </c>
      <c r="AD1315" s="3" t="n">
        <f aca="false">R1315</f>
        <v>0</v>
      </c>
    </row>
    <row r="1316" customFormat="false" ht="15" hidden="false" customHeight="true" outlineLevel="0" collapsed="false">
      <c r="A1316" s="7" t="s">
        <v>57</v>
      </c>
      <c r="B1316" s="7" t="n">
        <v>1977</v>
      </c>
      <c r="C1316" s="7" t="s">
        <v>143</v>
      </c>
      <c r="D1316" s="7" t="n">
        <v>88</v>
      </c>
      <c r="E1316" s="7" t="n">
        <v>74</v>
      </c>
      <c r="F1316" s="3" t="n">
        <f aca="false">COUNTIFS($B$2:$B$2705,B1316,$C$2:$C$2705,C1316)</f>
        <v>1</v>
      </c>
      <c r="G1316" s="3" t="n">
        <f aca="false">MIN(INT((MIN(B1316,2020)-1900)/10)+1,12)</f>
        <v>8</v>
      </c>
      <c r="H1316" s="3" t="n">
        <f aca="false">(MIN(B1316,2020)-1900-10*(G1316-1))/10</f>
        <v>0.7</v>
      </c>
      <c r="I1316" s="20" t="n">
        <f aca="false">EXP(LN(INDEX(Pop_Inputs!$B$2:$N$29,MATCH(C1316,Pop_Inputs!$A$2:$A$29,0),G1316))*(1-H1316)+LN(INDEX(Pop_Inputs!$B$2:$N$29,MATCH(C1316,Pop_Inputs!$A$2:$A$29,0),G1316+1))*H1316)</f>
        <v>404462.530862177</v>
      </c>
      <c r="J1316" s="20" t="n">
        <f aca="false">I1316/F1316</f>
        <v>404462.530862177</v>
      </c>
      <c r="K1316" s="21" t="n">
        <f aca="false">D1316/(D1316+E1316)</f>
        <v>0.54320987654321</v>
      </c>
      <c r="L1316" s="21" t="n">
        <f aca="false">AVERAGEIFS($K$2:$K$2705,$B$2:$B$2705,B1316)</f>
        <v>0.499974931134351</v>
      </c>
      <c r="M1316" s="21" t="n">
        <f aca="false">K1316-L1316</f>
        <v>0.0432349454088584</v>
      </c>
      <c r="N1316" s="21" t="n">
        <f aca="false">LN(J1316)</f>
        <v>12.9103143804416</v>
      </c>
      <c r="O1316" s="21" t="n">
        <f aca="false">AVERAGEIFS($N$2:$N$2705,$B$2:$B$2705,B1316)</f>
        <v>13.6633973228611</v>
      </c>
      <c r="P1316" s="21" t="n">
        <f aca="false">N1316-O1316</f>
        <v>-0.753082942419564</v>
      </c>
      <c r="Q1316" s="7" t="n">
        <v>0</v>
      </c>
      <c r="R1316" s="3" t="n">
        <f aca="false">IF(AND(Q1316=1,B1316-_xlfn.MINIFS($B$2:$B$2705,$A$2:$A$2705,A1316)&lt;10),1,0)</f>
        <v>0</v>
      </c>
      <c r="S1316" s="7" t="n">
        <v>0</v>
      </c>
      <c r="T1316" s="3" t="n">
        <f aca="false">_xlfn.MINIFS($B$2:$B$2705,$A$2:$A$2705,A1316)</f>
        <v>1901</v>
      </c>
      <c r="U1316" s="3" t="n">
        <f aca="false">B1316-T1316</f>
        <v>76</v>
      </c>
      <c r="V1316" s="3" t="str">
        <f aca="false">INDEX(Pop_Inputs!$Q$2:$Q$29,MATCH(C1316,Pop_Inputs!$A$2:$A$29,0))</f>
        <v>Midwest</v>
      </c>
      <c r="W1316" s="30"/>
      <c r="X1316" s="3" t="str">
        <f aca="false">IF(W1316="","",LN(W1316))</f>
        <v/>
      </c>
      <c r="Y1316" s="3" t="str">
        <f aca="false">IF(X1316="","",X1316-AVERAGEIFS($X$2:$X$2705,$B$2:$B$2705,B1316))</f>
        <v/>
      </c>
      <c r="Z1316" s="21" t="n">
        <f aca="false">P1316</f>
        <v>-0.753082942419564</v>
      </c>
      <c r="AA1316" s="3" t="n">
        <f aca="false">R1316</f>
        <v>0</v>
      </c>
      <c r="AB1316" s="21" t="n">
        <f aca="false">P1316</f>
        <v>-0.753082942419564</v>
      </c>
      <c r="AC1316" s="3" t="str">
        <f aca="false">Y1316</f>
        <v/>
      </c>
      <c r="AD1316" s="3" t="n">
        <f aca="false">R1316</f>
        <v>0</v>
      </c>
    </row>
    <row r="1317" customFormat="false" ht="15" hidden="false" customHeight="true" outlineLevel="0" collapsed="false">
      <c r="A1317" s="7" t="s">
        <v>66</v>
      </c>
      <c r="B1317" s="7" t="n">
        <v>1977</v>
      </c>
      <c r="C1317" s="7" t="s">
        <v>151</v>
      </c>
      <c r="D1317" s="7" t="n">
        <v>71</v>
      </c>
      <c r="E1317" s="7" t="n">
        <v>90</v>
      </c>
      <c r="F1317" s="3" t="n">
        <f aca="false">COUNTIFS($B$2:$B$2705,B1317,$C$2:$C$2705,C1317)</f>
        <v>1</v>
      </c>
      <c r="G1317" s="3" t="n">
        <f aca="false">MIN(INT((MIN(B1317,2020)-1900)/10)+1,12)</f>
        <v>8</v>
      </c>
      <c r="H1317" s="3" t="n">
        <f aca="false">(MIN(B1317,2020)-1900-10*(G1317-1))/10</f>
        <v>0.7</v>
      </c>
      <c r="I1317" s="20" t="n">
        <f aca="false">EXP(LN(INDEX(Pop_Inputs!$B$2:$N$29,MATCH(C1317,Pop_Inputs!$A$2:$A$29,0),G1317))*(1-H1317)+LN(INDEX(Pop_Inputs!$B$2:$N$29,MATCH(C1317,Pop_Inputs!$A$2:$A$29,0),G1317+1))*H1317)</f>
        <v>622041.253988037</v>
      </c>
      <c r="J1317" s="20" t="n">
        <f aca="false">I1317/F1317</f>
        <v>622041.253988037</v>
      </c>
      <c r="K1317" s="21" t="n">
        <f aca="false">D1317/(D1317+E1317)</f>
        <v>0.440993788819876</v>
      </c>
      <c r="L1317" s="21" t="n">
        <f aca="false">AVERAGEIFS($K$2:$K$2705,$B$2:$B$2705,B1317)</f>
        <v>0.499974931134351</v>
      </c>
      <c r="M1317" s="21" t="n">
        <f aca="false">K1317-L1317</f>
        <v>-0.0589811423144757</v>
      </c>
      <c r="N1317" s="21" t="n">
        <f aca="false">LN(J1317)</f>
        <v>13.3407616942615</v>
      </c>
      <c r="O1317" s="21" t="n">
        <f aca="false">AVERAGEIFS($N$2:$N$2705,$B$2:$B$2705,B1317)</f>
        <v>13.6633973228611</v>
      </c>
      <c r="P1317" s="21" t="n">
        <f aca="false">N1317-O1317</f>
        <v>-0.322635628599581</v>
      </c>
      <c r="Q1317" s="7" t="n">
        <v>0</v>
      </c>
      <c r="R1317" s="3" t="n">
        <f aca="false">IF(AND(Q1317=1,B1317-_xlfn.MINIFS($B$2:$B$2705,$A$2:$A$2705,A1317)&lt;10),1,0)</f>
        <v>0</v>
      </c>
      <c r="S1317" s="7" t="n">
        <v>0</v>
      </c>
      <c r="T1317" s="3" t="n">
        <f aca="false">_xlfn.MINIFS($B$2:$B$2705,$A$2:$A$2705,A1317)</f>
        <v>1901</v>
      </c>
      <c r="U1317" s="3" t="n">
        <f aca="false">B1317-T1317</f>
        <v>76</v>
      </c>
      <c r="V1317" s="3" t="str">
        <f aca="false">INDEX(Pop_Inputs!$Q$2:$Q$29,MATCH(C1317,Pop_Inputs!$A$2:$A$29,0))</f>
        <v>Midwest</v>
      </c>
      <c r="W1317" s="30"/>
      <c r="X1317" s="3" t="str">
        <f aca="false">IF(W1317="","",LN(W1317))</f>
        <v/>
      </c>
      <c r="Y1317" s="3" t="str">
        <f aca="false">IF(X1317="","",X1317-AVERAGEIFS($X$2:$X$2705,$B$2:$B$2705,B1317))</f>
        <v/>
      </c>
      <c r="Z1317" s="21" t="n">
        <f aca="false">P1317</f>
        <v>-0.322635628599581</v>
      </c>
      <c r="AA1317" s="3" t="n">
        <f aca="false">R1317</f>
        <v>0</v>
      </c>
      <c r="AB1317" s="21" t="n">
        <f aca="false">P1317</f>
        <v>-0.322635628599581</v>
      </c>
      <c r="AC1317" s="3" t="str">
        <f aca="false">Y1317</f>
        <v/>
      </c>
      <c r="AD1317" s="3" t="n">
        <f aca="false">R1317</f>
        <v>0</v>
      </c>
    </row>
    <row r="1318" customFormat="false" ht="15" hidden="false" customHeight="true" outlineLevel="0" collapsed="false">
      <c r="A1318" s="7" t="s">
        <v>67</v>
      </c>
      <c r="B1318" s="7" t="n">
        <v>1977</v>
      </c>
      <c r="C1318" s="7" t="s">
        <v>152</v>
      </c>
      <c r="D1318" s="7" t="n">
        <v>74</v>
      </c>
      <c r="E1318" s="7" t="n">
        <v>88</v>
      </c>
      <c r="F1318" s="3" t="n">
        <f aca="false">COUNTIFS($B$2:$B$2705,B1318,$C$2:$C$2705,C1318)</f>
        <v>1</v>
      </c>
      <c r="G1318" s="3" t="n">
        <f aca="false">MIN(INT((MIN(B1318,2020)-1900)/10)+1,12)</f>
        <v>8</v>
      </c>
      <c r="H1318" s="3" t="n">
        <f aca="false">(MIN(B1318,2020)-1900-10*(G1318-1))/10</f>
        <v>0.7</v>
      </c>
      <c r="I1318" s="20" t="n">
        <f aca="false">EXP(LN(INDEX(Pop_Inputs!$B$2:$N$29,MATCH(C1318,Pop_Inputs!$A$2:$A$29,0),G1318))*(1-H1318)+LN(INDEX(Pop_Inputs!$B$2:$N$29,MATCH(C1318,Pop_Inputs!$A$2:$A$29,0),G1318+1))*H1318)</f>
        <v>1288545.6669473</v>
      </c>
      <c r="J1318" s="20" t="n">
        <f aca="false">I1318/F1318</f>
        <v>1288545.6669473</v>
      </c>
      <c r="K1318" s="21" t="n">
        <f aca="false">D1318/(D1318+E1318)</f>
        <v>0.45679012345679</v>
      </c>
      <c r="L1318" s="21" t="n">
        <f aca="false">AVERAGEIFS($K$2:$K$2705,$B$2:$B$2705,B1318)</f>
        <v>0.499974931134351</v>
      </c>
      <c r="M1318" s="21" t="n">
        <f aca="false">K1318-L1318</f>
        <v>-0.0431848076775613</v>
      </c>
      <c r="N1318" s="21" t="n">
        <f aca="false">LN(J1318)</f>
        <v>14.0690247503924</v>
      </c>
      <c r="O1318" s="21" t="n">
        <f aca="false">AVERAGEIFS($N$2:$N$2705,$B$2:$B$2705,B1318)</f>
        <v>13.6633973228611</v>
      </c>
      <c r="P1318" s="21" t="n">
        <f aca="false">N1318-O1318</f>
        <v>0.405627427531289</v>
      </c>
      <c r="Q1318" s="7" t="n">
        <v>0</v>
      </c>
      <c r="R1318" s="3" t="n">
        <f aca="false">IF(AND(Q1318=1,B1318-_xlfn.MINIFS($B$2:$B$2705,$A$2:$A$2705,A1318)&lt;10),1,0)</f>
        <v>0</v>
      </c>
      <c r="S1318" s="7" t="n">
        <v>0</v>
      </c>
      <c r="T1318" s="3" t="n">
        <f aca="false">_xlfn.MINIFS($B$2:$B$2705,$A$2:$A$2705,A1318)</f>
        <v>1901</v>
      </c>
      <c r="U1318" s="3" t="n">
        <f aca="false">B1318-T1318</f>
        <v>76</v>
      </c>
      <c r="V1318" s="3" t="str">
        <f aca="false">INDEX(Pop_Inputs!$Q$2:$Q$29,MATCH(C1318,Pop_Inputs!$A$2:$A$29,0))</f>
        <v>Midwest</v>
      </c>
      <c r="W1318" s="30"/>
      <c r="X1318" s="3" t="str">
        <f aca="false">IF(W1318="","",LN(W1318))</f>
        <v/>
      </c>
      <c r="Y1318" s="3" t="str">
        <f aca="false">IF(X1318="","",X1318-AVERAGEIFS($X$2:$X$2705,$B$2:$B$2705,B1318))</f>
        <v/>
      </c>
      <c r="Z1318" s="21" t="n">
        <f aca="false">P1318</f>
        <v>0.405627427531289</v>
      </c>
      <c r="AA1318" s="3" t="n">
        <f aca="false">R1318</f>
        <v>0</v>
      </c>
      <c r="AB1318" s="21" t="n">
        <f aca="false">P1318</f>
        <v>0.405627427531289</v>
      </c>
      <c r="AC1318" s="3" t="str">
        <f aca="false">Y1318</f>
        <v/>
      </c>
      <c r="AD1318" s="3" t="n">
        <f aca="false">R1318</f>
        <v>0</v>
      </c>
    </row>
    <row r="1319" customFormat="false" ht="15" hidden="false" customHeight="true" outlineLevel="0" collapsed="false">
      <c r="A1319" s="7" t="s">
        <v>74</v>
      </c>
      <c r="B1319" s="7" t="n">
        <v>1977</v>
      </c>
      <c r="C1319" s="7" t="s">
        <v>156</v>
      </c>
      <c r="D1319" s="7" t="n">
        <v>81</v>
      </c>
      <c r="E1319" s="7" t="n">
        <v>81</v>
      </c>
      <c r="F1319" s="3" t="n">
        <f aca="false">COUNTIFS($B$2:$B$2705,B1319,$C$2:$C$2705,C1319)</f>
        <v>1</v>
      </c>
      <c r="G1319" s="3" t="n">
        <f aca="false">MIN(INT((MIN(B1319,2020)-1900)/10)+1,12)</f>
        <v>8</v>
      </c>
      <c r="H1319" s="3" t="n">
        <f aca="false">(MIN(B1319,2020)-1900-10*(G1319-1))/10</f>
        <v>0.7</v>
      </c>
      <c r="I1319" s="20" t="n">
        <f aca="false">EXP(LN(INDEX(Pop_Inputs!$B$2:$N$29,MATCH(C1319,Pop_Inputs!$A$2:$A$29,0),G1319))*(1-H1319)+LN(INDEX(Pop_Inputs!$B$2:$N$29,MATCH(C1319,Pop_Inputs!$A$2:$A$29,0),G1319+1))*H1319)</f>
        <v>1476477.32557994</v>
      </c>
      <c r="J1319" s="20" t="n">
        <f aca="false">I1319/F1319</f>
        <v>1476477.32557994</v>
      </c>
      <c r="K1319" s="21" t="n">
        <f aca="false">D1319/(D1319+E1319)</f>
        <v>0.5</v>
      </c>
      <c r="L1319" s="21" t="n">
        <f aca="false">AVERAGEIFS($K$2:$K$2705,$B$2:$B$2705,B1319)</f>
        <v>0.499974931134351</v>
      </c>
      <c r="M1319" s="21" t="n">
        <f aca="false">K1319-L1319</f>
        <v>2.50688656485698E-005</v>
      </c>
      <c r="N1319" s="21" t="n">
        <f aca="false">LN(J1319)</f>
        <v>14.2051696231772</v>
      </c>
      <c r="O1319" s="21" t="n">
        <f aca="false">AVERAGEIFS($N$2:$N$2705,$B$2:$B$2705,B1319)</f>
        <v>13.6633973228611</v>
      </c>
      <c r="P1319" s="21" t="n">
        <f aca="false">N1319-O1319</f>
        <v>0.541772300316058</v>
      </c>
      <c r="Q1319" s="7" t="n">
        <v>1</v>
      </c>
      <c r="R1319" s="3" t="n">
        <f aca="false">IF(AND(Q1319=1,B1319-_xlfn.MINIFS($B$2:$B$2705,$A$2:$A$2705,A1319)&lt;10),1,0)</f>
        <v>0</v>
      </c>
      <c r="S1319" s="7" t="n">
        <v>0</v>
      </c>
      <c r="T1319" s="3" t="n">
        <f aca="false">_xlfn.MINIFS($B$2:$B$2705,$A$2:$A$2705,A1319)</f>
        <v>1962</v>
      </c>
      <c r="U1319" s="3" t="n">
        <f aca="false">B1319-T1319</f>
        <v>15</v>
      </c>
      <c r="V1319" s="3" t="str">
        <f aca="false">INDEX(Pop_Inputs!$Q$2:$Q$29,MATCH(C1319,Pop_Inputs!$A$2:$A$29,0))</f>
        <v>South</v>
      </c>
      <c r="W1319" s="30"/>
      <c r="X1319" s="3" t="str">
        <f aca="false">IF(W1319="","",LN(W1319))</f>
        <v/>
      </c>
      <c r="Y1319" s="3" t="str">
        <f aca="false">IF(X1319="","",X1319-AVERAGEIFS($X$2:$X$2705,$B$2:$B$2705,B1319))</f>
        <v/>
      </c>
      <c r="Z1319" s="21" t="n">
        <f aca="false">P1319</f>
        <v>0.541772300316058</v>
      </c>
      <c r="AA1319" s="3" t="n">
        <f aca="false">R1319</f>
        <v>0</v>
      </c>
      <c r="AB1319" s="21" t="n">
        <f aca="false">P1319</f>
        <v>0.541772300316058</v>
      </c>
      <c r="AC1319" s="3" t="str">
        <f aca="false">Y1319</f>
        <v/>
      </c>
      <c r="AD1319" s="3" t="n">
        <f aca="false">R1319</f>
        <v>0</v>
      </c>
    </row>
    <row r="1320" customFormat="false" ht="15" hidden="false" customHeight="true" outlineLevel="0" collapsed="false">
      <c r="A1320" s="7" t="s">
        <v>76</v>
      </c>
      <c r="B1320" s="7" t="n">
        <v>1977</v>
      </c>
      <c r="C1320" s="7" t="s">
        <v>157</v>
      </c>
      <c r="D1320" s="7" t="n">
        <v>102</v>
      </c>
      <c r="E1320" s="7" t="n">
        <v>60</v>
      </c>
      <c r="F1320" s="3" t="n">
        <f aca="false">COUNTIFS($B$2:$B$2705,B1320,$C$2:$C$2705,C1320)</f>
        <v>1</v>
      </c>
      <c r="G1320" s="3" t="n">
        <f aca="false">MIN(INT((MIN(B1320,2020)-1900)/10)+1,12)</f>
        <v>8</v>
      </c>
      <c r="H1320" s="3" t="n">
        <f aca="false">(MIN(B1320,2020)-1900-10*(G1320-1))/10</f>
        <v>0.7</v>
      </c>
      <c r="I1320" s="20" t="n">
        <f aca="false">EXP(LN(INDEX(Pop_Inputs!$B$2:$N$29,MATCH(C1320,Pop_Inputs!$A$2:$A$29,0),G1320))*(1-H1320)+LN(INDEX(Pop_Inputs!$B$2:$N$29,MATCH(C1320,Pop_Inputs!$A$2:$A$29,0),G1320+1))*H1320)</f>
        <v>465079.534113266</v>
      </c>
      <c r="J1320" s="20" t="n">
        <f aca="false">I1320/F1320</f>
        <v>465079.534113266</v>
      </c>
      <c r="K1320" s="21" t="n">
        <f aca="false">D1320/(D1320+E1320)</f>
        <v>0.62962962962963</v>
      </c>
      <c r="L1320" s="21" t="n">
        <f aca="false">AVERAGEIFS($K$2:$K$2705,$B$2:$B$2705,B1320)</f>
        <v>0.499974931134351</v>
      </c>
      <c r="M1320" s="21" t="n">
        <f aca="false">K1320-L1320</f>
        <v>0.129654698495278</v>
      </c>
      <c r="N1320" s="21" t="n">
        <f aca="false">LN(J1320)</f>
        <v>13.0499637110474</v>
      </c>
      <c r="O1320" s="21" t="n">
        <f aca="false">AVERAGEIFS($N$2:$N$2705,$B$2:$B$2705,B1320)</f>
        <v>13.6633973228611</v>
      </c>
      <c r="P1320" s="21" t="n">
        <f aca="false">N1320-O1320</f>
        <v>-0.61343361181369</v>
      </c>
      <c r="Q1320" s="7" t="n">
        <v>1</v>
      </c>
      <c r="R1320" s="3" t="n">
        <f aca="false">IF(AND(Q1320=1,B1320-_xlfn.MINIFS($B$2:$B$2705,$A$2:$A$2705,A1320)&lt;10),1,0)</f>
        <v>1</v>
      </c>
      <c r="S1320" s="7" t="n">
        <v>0</v>
      </c>
      <c r="T1320" s="3" t="n">
        <f aca="false">_xlfn.MINIFS($B$2:$B$2705,$A$2:$A$2705,A1320)</f>
        <v>1969</v>
      </c>
      <c r="U1320" s="3" t="n">
        <f aca="false">B1320-T1320</f>
        <v>8</v>
      </c>
      <c r="V1320" s="3" t="str">
        <f aca="false">INDEX(Pop_Inputs!$Q$2:$Q$29,MATCH(C1320,Pop_Inputs!$A$2:$A$29,0))</f>
        <v>Midwest</v>
      </c>
      <c r="W1320" s="30"/>
      <c r="X1320" s="3" t="str">
        <f aca="false">IF(W1320="","",LN(W1320))</f>
        <v/>
      </c>
      <c r="Y1320" s="3" t="str">
        <f aca="false">IF(X1320="","",X1320-AVERAGEIFS($X$2:$X$2705,$B$2:$B$2705,B1320))</f>
        <v/>
      </c>
      <c r="Z1320" s="21" t="n">
        <f aca="false">P1320</f>
        <v>-0.61343361181369</v>
      </c>
      <c r="AA1320" s="3" t="n">
        <f aca="false">R1320</f>
        <v>1</v>
      </c>
      <c r="AB1320" s="21" t="n">
        <f aca="false">P1320</f>
        <v>-0.61343361181369</v>
      </c>
      <c r="AC1320" s="3" t="str">
        <f aca="false">Y1320</f>
        <v/>
      </c>
      <c r="AD1320" s="3" t="n">
        <f aca="false">R1320</f>
        <v>1</v>
      </c>
    </row>
    <row r="1321" customFormat="false" ht="15" hidden="false" customHeight="true" outlineLevel="0" collapsed="false">
      <c r="A1321" s="7" t="s">
        <v>62</v>
      </c>
      <c r="B1321" s="7" t="n">
        <v>1977</v>
      </c>
      <c r="C1321" s="7" t="s">
        <v>148</v>
      </c>
      <c r="D1321" s="7" t="n">
        <v>98</v>
      </c>
      <c r="E1321" s="7" t="n">
        <v>64</v>
      </c>
      <c r="F1321" s="3" t="n">
        <f aca="false">COUNTIFS($B$2:$B$2705,B1321,$C$2:$C$2705,C1321)</f>
        <v>2</v>
      </c>
      <c r="G1321" s="3" t="n">
        <f aca="false">MIN(INT((MIN(B1321,2020)-1900)/10)+1,12)</f>
        <v>8</v>
      </c>
      <c r="H1321" s="3" t="n">
        <f aca="false">(MIN(B1321,2020)-1900-10*(G1321-1))/10</f>
        <v>0.7</v>
      </c>
      <c r="I1321" s="20" t="n">
        <f aca="false">EXP(LN(INDEX(Pop_Inputs!$B$2:$N$29,MATCH(C1321,Pop_Inputs!$A$2:$A$29,0),G1321))*(1-H1321)+LN(INDEX(Pop_Inputs!$B$2:$N$29,MATCH(C1321,Pop_Inputs!$A$2:$A$29,0),G1321+1))*H1321)</f>
        <v>2920784.59976622</v>
      </c>
      <c r="J1321" s="20" t="n">
        <f aca="false">I1321/F1321</f>
        <v>1460392.29988311</v>
      </c>
      <c r="K1321" s="21" t="n">
        <f aca="false">D1321/(D1321+E1321)</f>
        <v>0.604938271604938</v>
      </c>
      <c r="L1321" s="21" t="n">
        <f aca="false">AVERAGEIFS($K$2:$K$2705,$B$2:$B$2705,B1321)</f>
        <v>0.499974931134351</v>
      </c>
      <c r="M1321" s="21" t="n">
        <f aca="false">K1321-L1321</f>
        <v>0.104963340470587</v>
      </c>
      <c r="N1321" s="21" t="n">
        <f aca="false">LN(J1321)</f>
        <v>14.1942156561416</v>
      </c>
      <c r="O1321" s="21" t="n">
        <f aca="false">AVERAGEIFS($N$2:$N$2705,$B$2:$B$2705,B1321)</f>
        <v>13.6633973228611</v>
      </c>
      <c r="P1321" s="21" t="n">
        <f aca="false">N1321-O1321</f>
        <v>0.530818333280484</v>
      </c>
      <c r="Q1321" s="7" t="n">
        <v>0</v>
      </c>
      <c r="R1321" s="3" t="n">
        <f aca="false">IF(AND(Q1321=1,B1321-_xlfn.MINIFS($B$2:$B$2705,$A$2:$A$2705,A1321)&lt;10),1,0)</f>
        <v>0</v>
      </c>
      <c r="S1321" s="7" t="n">
        <v>0</v>
      </c>
      <c r="T1321" s="3" t="n">
        <f aca="false">_xlfn.MINIFS($B$2:$B$2705,$A$2:$A$2705,A1321)</f>
        <v>1901</v>
      </c>
      <c r="U1321" s="3" t="n">
        <f aca="false">B1321-T1321</f>
        <v>76</v>
      </c>
      <c r="V1321" s="3" t="str">
        <f aca="false">INDEX(Pop_Inputs!$Q$2:$Q$29,MATCH(C1321,Pop_Inputs!$A$2:$A$29,0))</f>
        <v>West</v>
      </c>
      <c r="W1321" s="30"/>
      <c r="X1321" s="3" t="str">
        <f aca="false">IF(W1321="","",LN(W1321))</f>
        <v/>
      </c>
      <c r="Y1321" s="3" t="str">
        <f aca="false">IF(X1321="","",X1321-AVERAGEIFS($X$2:$X$2705,$B$2:$B$2705,B1321))</f>
        <v/>
      </c>
      <c r="Z1321" s="21" t="n">
        <f aca="false">P1321</f>
        <v>0.530818333280484</v>
      </c>
      <c r="AA1321" s="3" t="n">
        <f aca="false">R1321</f>
        <v>0</v>
      </c>
      <c r="AB1321" s="21" t="n">
        <f aca="false">P1321</f>
        <v>0.530818333280484</v>
      </c>
      <c r="AC1321" s="3" t="str">
        <f aca="false">Y1321</f>
        <v/>
      </c>
      <c r="AD1321" s="3" t="n">
        <f aca="false">R1321</f>
        <v>0</v>
      </c>
    </row>
    <row r="1322" customFormat="false" ht="15" hidden="false" customHeight="true" outlineLevel="0" collapsed="false">
      <c r="A1322" s="7" t="s">
        <v>77</v>
      </c>
      <c r="B1322" s="7" t="n">
        <v>1977</v>
      </c>
      <c r="C1322" s="7" t="s">
        <v>158</v>
      </c>
      <c r="D1322" s="7" t="n">
        <v>67</v>
      </c>
      <c r="E1322" s="7" t="n">
        <v>95</v>
      </c>
      <c r="F1322" s="3" t="n">
        <f aca="false">COUNTIFS($B$2:$B$2705,B1322,$C$2:$C$2705,C1322)</f>
        <v>1</v>
      </c>
      <c r="G1322" s="3" t="n">
        <f aca="false">MIN(INT((MIN(B1322,2020)-1900)/10)+1,12)</f>
        <v>8</v>
      </c>
      <c r="H1322" s="3" t="n">
        <f aca="false">(MIN(B1322,2020)-1900-10*(G1322-1))/10</f>
        <v>0.7</v>
      </c>
      <c r="I1322" s="20" t="n">
        <f aca="false">EXP(LN(INDEX(Pop_Inputs!$B$2:$N$29,MATCH(C1322,Pop_Inputs!$A$2:$A$29,0),G1322))*(1-H1322)+LN(INDEX(Pop_Inputs!$B$2:$N$29,MATCH(C1322,Pop_Inputs!$A$2:$A$29,0),G1322+1))*H1322)</f>
        <v>659469.985880651</v>
      </c>
      <c r="J1322" s="20" t="n">
        <f aca="false">I1322/F1322</f>
        <v>659469.985880651</v>
      </c>
      <c r="K1322" s="21" t="n">
        <f aca="false">D1322/(D1322+E1322)</f>
        <v>0.41358024691358</v>
      </c>
      <c r="L1322" s="21" t="n">
        <f aca="false">AVERAGEIFS($K$2:$K$2705,$B$2:$B$2705,B1322)</f>
        <v>0.499974931134351</v>
      </c>
      <c r="M1322" s="21" t="n">
        <f aca="false">K1322-L1322</f>
        <v>-0.0863946842207712</v>
      </c>
      <c r="N1322" s="21" t="n">
        <f aca="false">LN(J1322)</f>
        <v>13.3991917396879</v>
      </c>
      <c r="O1322" s="21" t="n">
        <f aca="false">AVERAGEIFS($N$2:$N$2705,$B$2:$B$2705,B1322)</f>
        <v>13.6633973228611</v>
      </c>
      <c r="P1322" s="21" t="n">
        <f aca="false">N1322-O1322</f>
        <v>-0.264205583173238</v>
      </c>
      <c r="Q1322" s="7" t="n">
        <v>1</v>
      </c>
      <c r="R1322" s="3" t="n">
        <f aca="false">IF(AND(Q1322=1,B1322-_xlfn.MINIFS($B$2:$B$2705,$A$2:$A$2705,A1322)&lt;10),1,0)</f>
        <v>1</v>
      </c>
      <c r="S1322" s="7" t="n">
        <v>0</v>
      </c>
      <c r="T1322" s="3" t="n">
        <f aca="false">_xlfn.MINIFS($B$2:$B$2705,$A$2:$A$2705,A1322)</f>
        <v>1969</v>
      </c>
      <c r="U1322" s="3" t="n">
        <f aca="false">B1322-T1322</f>
        <v>8</v>
      </c>
      <c r="V1322" s="3" t="str">
        <f aca="false">INDEX(Pop_Inputs!$Q$2:$Q$29,MATCH(C1322,Pop_Inputs!$A$2:$A$29,0))</f>
        <v>Midwest</v>
      </c>
      <c r="W1322" s="30"/>
      <c r="X1322" s="3" t="str">
        <f aca="false">IF(W1322="","",LN(W1322))</f>
        <v/>
      </c>
      <c r="Y1322" s="3" t="str">
        <f aca="false">IF(X1322="","",X1322-AVERAGEIFS($X$2:$X$2705,$B$2:$B$2705,B1322))</f>
        <v/>
      </c>
      <c r="Z1322" s="21" t="n">
        <f aca="false">P1322</f>
        <v>-0.264205583173238</v>
      </c>
      <c r="AA1322" s="3" t="n">
        <f aca="false">R1322</f>
        <v>1</v>
      </c>
      <c r="AB1322" s="21" t="n">
        <f aca="false">P1322</f>
        <v>-0.264205583173238</v>
      </c>
      <c r="AC1322" s="3" t="str">
        <f aca="false">Y1322</f>
        <v/>
      </c>
      <c r="AD1322" s="3" t="n">
        <f aca="false">R1322</f>
        <v>1</v>
      </c>
    </row>
    <row r="1323" customFormat="false" ht="15" hidden="false" customHeight="true" outlineLevel="0" collapsed="false">
      <c r="A1323" s="7" t="s">
        <v>68</v>
      </c>
      <c r="B1323" s="7" t="n">
        <v>1977</v>
      </c>
      <c r="C1323" s="7" t="s">
        <v>153</v>
      </c>
      <c r="D1323" s="7" t="n">
        <v>84</v>
      </c>
      <c r="E1323" s="7" t="n">
        <v>77</v>
      </c>
      <c r="F1323" s="3" t="n">
        <f aca="false">COUNTIFS($B$2:$B$2705,B1323,$C$2:$C$2705,C1323)</f>
        <v>1</v>
      </c>
      <c r="G1323" s="3" t="n">
        <f aca="false">MIN(INT((MIN(B1323,2020)-1900)/10)+1,12)</f>
        <v>8</v>
      </c>
      <c r="H1323" s="3" t="n">
        <f aca="false">(MIN(B1323,2020)-1900-10*(G1323-1))/10</f>
        <v>0.7</v>
      </c>
      <c r="I1323" s="20" t="n">
        <f aca="false">EXP(LN(INDEX(Pop_Inputs!$B$2:$N$29,MATCH(C1323,Pop_Inputs!$A$2:$A$29,0),G1323))*(1-H1323)+LN(INDEX(Pop_Inputs!$B$2:$N$29,MATCH(C1323,Pop_Inputs!$A$2:$A$29,0),G1323+1))*H1323)</f>
        <v>388945.299498513</v>
      </c>
      <c r="J1323" s="20" t="n">
        <f aca="false">I1323/F1323</f>
        <v>388945.299498513</v>
      </c>
      <c r="K1323" s="21" t="n">
        <f aca="false">D1323/(D1323+E1323)</f>
        <v>0.521739130434783</v>
      </c>
      <c r="L1323" s="21" t="n">
        <f aca="false">AVERAGEIFS($K$2:$K$2705,$B$2:$B$2705,B1323)</f>
        <v>0.499974931134351</v>
      </c>
      <c r="M1323" s="21" t="n">
        <f aca="false">K1323-L1323</f>
        <v>0.0217641993004312</v>
      </c>
      <c r="N1323" s="21" t="n">
        <f aca="false">LN(J1323)</f>
        <v>12.8711939944572</v>
      </c>
      <c r="O1323" s="21" t="n">
        <f aca="false">AVERAGEIFS($N$2:$N$2705,$B$2:$B$2705,B1323)</f>
        <v>13.6633973228611</v>
      </c>
      <c r="P1323" s="21" t="n">
        <f aca="false">N1323-O1323</f>
        <v>-0.792203328403961</v>
      </c>
      <c r="Q1323" s="7" t="n">
        <v>0</v>
      </c>
      <c r="R1323" s="3" t="n">
        <f aca="false">IF(AND(Q1323=1,B1323-_xlfn.MINIFS($B$2:$B$2705,$A$2:$A$2705,A1323)&lt;10),1,0)</f>
        <v>0</v>
      </c>
      <c r="S1323" s="7" t="n">
        <v>0</v>
      </c>
      <c r="T1323" s="3" t="n">
        <f aca="false">_xlfn.MINIFS($B$2:$B$2705,$A$2:$A$2705,A1323)</f>
        <v>1901</v>
      </c>
      <c r="U1323" s="3" t="n">
        <f aca="false">B1323-T1323</f>
        <v>76</v>
      </c>
      <c r="V1323" s="3" t="str">
        <f aca="false">INDEX(Pop_Inputs!$Q$2:$Q$29,MATCH(C1323,Pop_Inputs!$A$2:$A$29,0))</f>
        <v>Midwest</v>
      </c>
      <c r="W1323" s="30"/>
      <c r="X1323" s="3" t="str">
        <f aca="false">IF(W1323="","",LN(W1323))</f>
        <v/>
      </c>
      <c r="Y1323" s="3" t="str">
        <f aca="false">IF(X1323="","",X1323-AVERAGEIFS($X$2:$X$2705,$B$2:$B$2705,B1323))</f>
        <v/>
      </c>
      <c r="Z1323" s="21" t="n">
        <f aca="false">P1323</f>
        <v>-0.792203328403961</v>
      </c>
      <c r="AA1323" s="3" t="n">
        <f aca="false">R1323</f>
        <v>0</v>
      </c>
      <c r="AB1323" s="21" t="n">
        <f aca="false">P1323</f>
        <v>-0.792203328403961</v>
      </c>
      <c r="AC1323" s="3" t="str">
        <f aca="false">Y1323</f>
        <v/>
      </c>
      <c r="AD1323" s="3" t="n">
        <f aca="false">R1323</f>
        <v>0</v>
      </c>
    </row>
    <row r="1324" customFormat="false" ht="15" hidden="false" customHeight="true" outlineLevel="0" collapsed="false">
      <c r="A1324" s="7" t="s">
        <v>75</v>
      </c>
      <c r="B1324" s="7" t="n">
        <v>1977</v>
      </c>
      <c r="C1324" s="7" t="s">
        <v>154</v>
      </c>
      <c r="D1324" s="7" t="n">
        <v>64</v>
      </c>
      <c r="E1324" s="7" t="n">
        <v>98</v>
      </c>
      <c r="F1324" s="3" t="n">
        <f aca="false">COUNTIFS($B$2:$B$2705,B1324,$C$2:$C$2705,C1324)</f>
        <v>2</v>
      </c>
      <c r="G1324" s="3" t="n">
        <f aca="false">MIN(INT((MIN(B1324,2020)-1900)/10)+1,12)</f>
        <v>8</v>
      </c>
      <c r="H1324" s="3" t="n">
        <f aca="false">(MIN(B1324,2020)-1900-10*(G1324-1))/10</f>
        <v>0.7</v>
      </c>
      <c r="I1324" s="20" t="n">
        <f aca="false">EXP(LN(INDEX(Pop_Inputs!$B$2:$N$29,MATCH(C1324,Pop_Inputs!$A$2:$A$29,0),G1324))*(1-H1324)+LN(INDEX(Pop_Inputs!$B$2:$N$29,MATCH(C1324,Pop_Inputs!$A$2:$A$29,0),G1324+1))*H1324)</f>
        <v>7309159.18663448</v>
      </c>
      <c r="J1324" s="20" t="n">
        <f aca="false">I1324/F1324</f>
        <v>3654579.59331724</v>
      </c>
      <c r="K1324" s="21" t="n">
        <f aca="false">D1324/(D1324+E1324)</f>
        <v>0.395061728395062</v>
      </c>
      <c r="L1324" s="21" t="n">
        <f aca="false">AVERAGEIFS($K$2:$K$2705,$B$2:$B$2705,B1324)</f>
        <v>0.499974931134351</v>
      </c>
      <c r="M1324" s="21" t="n">
        <f aca="false">K1324-L1324</f>
        <v>-0.10491320273929</v>
      </c>
      <c r="N1324" s="21" t="n">
        <f aca="false">LN(J1324)</f>
        <v>15.1114916222022</v>
      </c>
      <c r="O1324" s="21" t="n">
        <f aca="false">AVERAGEIFS($N$2:$N$2705,$B$2:$B$2705,B1324)</f>
        <v>13.6633973228611</v>
      </c>
      <c r="P1324" s="21" t="n">
        <f aca="false">N1324-O1324</f>
        <v>1.4480942993411</v>
      </c>
      <c r="Q1324" s="7" t="n">
        <v>1</v>
      </c>
      <c r="R1324" s="3" t="n">
        <f aca="false">IF(AND(Q1324=1,B1324-_xlfn.MINIFS($B$2:$B$2705,$A$2:$A$2705,A1324)&lt;10),1,0)</f>
        <v>0</v>
      </c>
      <c r="S1324" s="7" t="n">
        <v>0</v>
      </c>
      <c r="T1324" s="3" t="n">
        <f aca="false">_xlfn.MINIFS($B$2:$B$2705,$A$2:$A$2705,A1324)</f>
        <v>1962</v>
      </c>
      <c r="U1324" s="3" t="n">
        <f aca="false">B1324-T1324</f>
        <v>15</v>
      </c>
      <c r="V1324" s="3" t="str">
        <f aca="false">INDEX(Pop_Inputs!$Q$2:$Q$29,MATCH(C1324,Pop_Inputs!$A$2:$A$29,0))</f>
        <v>Northeast</v>
      </c>
      <c r="W1324" s="30"/>
      <c r="X1324" s="3" t="str">
        <f aca="false">IF(W1324="","",LN(W1324))</f>
        <v/>
      </c>
      <c r="Y1324" s="3" t="str">
        <f aca="false">IF(X1324="","",X1324-AVERAGEIFS($X$2:$X$2705,$B$2:$B$2705,B1324))</f>
        <v/>
      </c>
      <c r="Z1324" s="21" t="n">
        <f aca="false">P1324</f>
        <v>1.4480942993411</v>
      </c>
      <c r="AA1324" s="3" t="n">
        <f aca="false">R1324</f>
        <v>0</v>
      </c>
      <c r="AB1324" s="21" t="n">
        <f aca="false">P1324</f>
        <v>1.4480942993411</v>
      </c>
      <c r="AC1324" s="3" t="str">
        <f aca="false">Y1324</f>
        <v/>
      </c>
      <c r="AD1324" s="3" t="n">
        <f aca="false">R1324</f>
        <v>0</v>
      </c>
    </row>
    <row r="1325" customFormat="false" ht="15" hidden="false" customHeight="true" outlineLevel="0" collapsed="false">
      <c r="A1325" s="7" t="s">
        <v>70</v>
      </c>
      <c r="B1325" s="7" t="n">
        <v>1977</v>
      </c>
      <c r="C1325" s="7" t="s">
        <v>154</v>
      </c>
      <c r="D1325" s="7" t="n">
        <v>100</v>
      </c>
      <c r="E1325" s="7" t="n">
        <v>62</v>
      </c>
      <c r="F1325" s="3" t="n">
        <f aca="false">COUNTIFS($B$2:$B$2705,B1325,$C$2:$C$2705,C1325)</f>
        <v>2</v>
      </c>
      <c r="G1325" s="3" t="n">
        <f aca="false">MIN(INT((MIN(B1325,2020)-1900)/10)+1,12)</f>
        <v>8</v>
      </c>
      <c r="H1325" s="3" t="n">
        <f aca="false">(MIN(B1325,2020)-1900-10*(G1325-1))/10</f>
        <v>0.7</v>
      </c>
      <c r="I1325" s="20" t="n">
        <f aca="false">EXP(LN(INDEX(Pop_Inputs!$B$2:$N$29,MATCH(C1325,Pop_Inputs!$A$2:$A$29,0),G1325))*(1-H1325)+LN(INDEX(Pop_Inputs!$B$2:$N$29,MATCH(C1325,Pop_Inputs!$A$2:$A$29,0),G1325+1))*H1325)</f>
        <v>7309159.18663448</v>
      </c>
      <c r="J1325" s="20" t="n">
        <f aca="false">I1325/F1325</f>
        <v>3654579.59331724</v>
      </c>
      <c r="K1325" s="21" t="n">
        <f aca="false">D1325/(D1325+E1325)</f>
        <v>0.617283950617284</v>
      </c>
      <c r="L1325" s="21" t="n">
        <f aca="false">AVERAGEIFS($K$2:$K$2705,$B$2:$B$2705,B1325)</f>
        <v>0.499974931134351</v>
      </c>
      <c r="M1325" s="21" t="n">
        <f aca="false">K1325-L1325</f>
        <v>0.117309019482932</v>
      </c>
      <c r="N1325" s="21" t="n">
        <f aca="false">LN(J1325)</f>
        <v>15.1114916222022</v>
      </c>
      <c r="O1325" s="21" t="n">
        <f aca="false">AVERAGEIFS($N$2:$N$2705,$B$2:$B$2705,B1325)</f>
        <v>13.6633973228611</v>
      </c>
      <c r="P1325" s="21" t="n">
        <f aca="false">N1325-O1325</f>
        <v>1.4480942993411</v>
      </c>
      <c r="Q1325" s="7" t="n">
        <v>0</v>
      </c>
      <c r="R1325" s="3" t="n">
        <f aca="false">IF(AND(Q1325=1,B1325-_xlfn.MINIFS($B$2:$B$2705,$A$2:$A$2705,A1325)&lt;10),1,0)</f>
        <v>0</v>
      </c>
      <c r="S1325" s="7" t="n">
        <v>1</v>
      </c>
      <c r="T1325" s="3" t="n">
        <f aca="false">_xlfn.MINIFS($B$2:$B$2705,$A$2:$A$2705,A1325)</f>
        <v>1903</v>
      </c>
      <c r="U1325" s="3" t="n">
        <f aca="false">B1325-T1325</f>
        <v>74</v>
      </c>
      <c r="V1325" s="3" t="str">
        <f aca="false">INDEX(Pop_Inputs!$Q$2:$Q$29,MATCH(C1325,Pop_Inputs!$A$2:$A$29,0))</f>
        <v>Northeast</v>
      </c>
      <c r="W1325" s="30"/>
      <c r="X1325" s="3" t="str">
        <f aca="false">IF(W1325="","",LN(W1325))</f>
        <v/>
      </c>
      <c r="Y1325" s="3" t="str">
        <f aca="false">IF(X1325="","",X1325-AVERAGEIFS($X$2:$X$2705,$B$2:$B$2705,B1325))</f>
        <v/>
      </c>
      <c r="Z1325" s="21" t="n">
        <f aca="false">P1325</f>
        <v>1.4480942993411</v>
      </c>
      <c r="AA1325" s="3" t="n">
        <f aca="false">R1325</f>
        <v>0</v>
      </c>
      <c r="AB1325" s="21" t="n">
        <f aca="false">P1325</f>
        <v>1.4480942993411</v>
      </c>
      <c r="AC1325" s="3" t="str">
        <f aca="false">Y1325</f>
        <v/>
      </c>
      <c r="AD1325" s="3" t="n">
        <f aca="false">R1325</f>
        <v>0</v>
      </c>
    </row>
    <row r="1326" customFormat="false" ht="15" hidden="false" customHeight="true" outlineLevel="0" collapsed="false">
      <c r="A1326" s="7" t="s">
        <v>69</v>
      </c>
      <c r="B1326" s="7" t="n">
        <v>1977</v>
      </c>
      <c r="C1326" s="7" t="s">
        <v>253</v>
      </c>
      <c r="D1326" s="7" t="n">
        <v>63</v>
      </c>
      <c r="E1326" s="7" t="n">
        <v>98</v>
      </c>
      <c r="F1326" s="3" t="n">
        <f aca="false">COUNTIFS($B$2:$B$2705,B1326,$C$2:$C$2705,C1326)</f>
        <v>1</v>
      </c>
      <c r="G1326" s="3" t="n">
        <f aca="false">MIN(INT((MIN(B1326,2020)-1900)/10)+1,12)</f>
        <v>8</v>
      </c>
      <c r="H1326" s="3" t="n">
        <f aca="false">(MIN(B1326,2020)-1900-10*(G1326-1))/10</f>
        <v>0.7</v>
      </c>
      <c r="I1326" s="20" t="n">
        <f aca="false">EXP(LN(INDEX(Pop_Inputs!$B$2:$N$29,MATCH(C1326,Pop_Inputs!$A$2:$A$29,0),G1326))*(1-H1326)+LN(INDEX(Pop_Inputs!$B$2:$N$29,MATCH(C1326,Pop_Inputs!$A$2:$A$29,0),G1326+1))*H1326)</f>
        <v>345856.804765504</v>
      </c>
      <c r="J1326" s="20" t="n">
        <f aca="false">I1326/F1326</f>
        <v>345856.804765504</v>
      </c>
      <c r="K1326" s="21" t="n">
        <f aca="false">D1326/(D1326+E1326)</f>
        <v>0.391304347826087</v>
      </c>
      <c r="L1326" s="21" t="n">
        <f aca="false">AVERAGEIFS($K$2:$K$2705,$B$2:$B$2705,B1326)</f>
        <v>0.499974931134351</v>
      </c>
      <c r="M1326" s="21" t="n">
        <f aca="false">K1326-L1326</f>
        <v>-0.108670583308264</v>
      </c>
      <c r="N1326" s="21" t="n">
        <f aca="false">LN(J1326)</f>
        <v>12.7537801093173</v>
      </c>
      <c r="O1326" s="21" t="n">
        <f aca="false">AVERAGEIFS($N$2:$N$2705,$B$2:$B$2705,B1326)</f>
        <v>13.6633973228611</v>
      </c>
      <c r="P1326" s="21" t="n">
        <f aca="false">N1326-O1326</f>
        <v>-0.90961721354379</v>
      </c>
      <c r="Q1326" s="7" t="n">
        <v>0</v>
      </c>
      <c r="R1326" s="3" t="n">
        <f aca="false">IF(AND(Q1326=1,B1326-_xlfn.MINIFS($B$2:$B$2705,$A$2:$A$2705,A1326)&lt;10),1,0)</f>
        <v>0</v>
      </c>
      <c r="S1326" s="7" t="n">
        <v>0</v>
      </c>
      <c r="T1326" s="3" t="n">
        <f aca="false">_xlfn.MINIFS($B$2:$B$2705,$A$2:$A$2705,A1326)</f>
        <v>1901</v>
      </c>
      <c r="U1326" s="3" t="n">
        <f aca="false">B1326-T1326</f>
        <v>76</v>
      </c>
      <c r="V1326" s="3" t="str">
        <f aca="false">INDEX(Pop_Inputs!$Q$2:$Q$29,MATCH(C1326,Pop_Inputs!$A$2:$A$29,0))</f>
        <v>West</v>
      </c>
      <c r="W1326" s="30"/>
      <c r="X1326" s="3" t="str">
        <f aca="false">IF(W1326="","",LN(W1326))</f>
        <v/>
      </c>
      <c r="Y1326" s="3" t="str">
        <f aca="false">IF(X1326="","",X1326-AVERAGEIFS($X$2:$X$2705,$B$2:$B$2705,B1326))</f>
        <v/>
      </c>
      <c r="Z1326" s="21" t="n">
        <f aca="false">P1326</f>
        <v>-0.90961721354379</v>
      </c>
      <c r="AA1326" s="3" t="n">
        <f aca="false">R1326</f>
        <v>0</v>
      </c>
      <c r="AB1326" s="21" t="n">
        <f aca="false">P1326</f>
        <v>-0.90961721354379</v>
      </c>
      <c r="AC1326" s="3" t="str">
        <f aca="false">Y1326</f>
        <v/>
      </c>
      <c r="AD1326" s="3" t="n">
        <f aca="false">R1326</f>
        <v>0</v>
      </c>
    </row>
    <row r="1327" customFormat="false" ht="15" hidden="false" customHeight="true" outlineLevel="0" collapsed="false">
      <c r="A1327" s="7" t="s">
        <v>60</v>
      </c>
      <c r="B1327" s="7" t="n">
        <v>1977</v>
      </c>
      <c r="C1327" s="7" t="s">
        <v>146</v>
      </c>
      <c r="D1327" s="7" t="n">
        <v>101</v>
      </c>
      <c r="E1327" s="7" t="n">
        <v>61</v>
      </c>
      <c r="F1327" s="3" t="n">
        <f aca="false">COUNTIFS($B$2:$B$2705,B1327,$C$2:$C$2705,C1327)</f>
        <v>1</v>
      </c>
      <c r="G1327" s="3" t="n">
        <f aca="false">MIN(INT((MIN(B1327,2020)-1900)/10)+1,12)</f>
        <v>8</v>
      </c>
      <c r="H1327" s="3" t="n">
        <f aca="false">(MIN(B1327,2020)-1900-10*(G1327-1))/10</f>
        <v>0.7</v>
      </c>
      <c r="I1327" s="20" t="n">
        <f aca="false">EXP(LN(INDEX(Pop_Inputs!$B$2:$N$29,MATCH(C1327,Pop_Inputs!$A$2:$A$29,0),G1327))*(1-H1327)+LN(INDEX(Pop_Inputs!$B$2:$N$29,MATCH(C1327,Pop_Inputs!$A$2:$A$29,0),G1327+1))*H1327)</f>
        <v>1762446.48588134</v>
      </c>
      <c r="J1327" s="20" t="n">
        <f aca="false">I1327/F1327</f>
        <v>1762446.48588134</v>
      </c>
      <c r="K1327" s="21" t="n">
        <f aca="false">D1327/(D1327+E1327)</f>
        <v>0.623456790123457</v>
      </c>
      <c r="L1327" s="21" t="n">
        <f aca="false">AVERAGEIFS($K$2:$K$2705,$B$2:$B$2705,B1327)</f>
        <v>0.499974931134351</v>
      </c>
      <c r="M1327" s="21" t="n">
        <f aca="false">K1327-L1327</f>
        <v>0.123481858989105</v>
      </c>
      <c r="N1327" s="21" t="n">
        <f aca="false">LN(J1327)</f>
        <v>14.3822134505871</v>
      </c>
      <c r="O1327" s="21" t="n">
        <f aca="false">AVERAGEIFS($N$2:$N$2705,$B$2:$B$2705,B1327)</f>
        <v>13.6633973228611</v>
      </c>
      <c r="P1327" s="21" t="n">
        <f aca="false">N1327-O1327</f>
        <v>0.718816127725972</v>
      </c>
      <c r="Q1327" s="7" t="n">
        <v>0</v>
      </c>
      <c r="R1327" s="3" t="n">
        <f aca="false">IF(AND(Q1327=1,B1327-_xlfn.MINIFS($B$2:$B$2705,$A$2:$A$2705,A1327)&lt;10),1,0)</f>
        <v>0</v>
      </c>
      <c r="S1327" s="7" t="n">
        <v>0</v>
      </c>
      <c r="T1327" s="3" t="n">
        <f aca="false">_xlfn.MINIFS($B$2:$B$2705,$A$2:$A$2705,A1327)</f>
        <v>1901</v>
      </c>
      <c r="U1327" s="3" t="n">
        <f aca="false">B1327-T1327</f>
        <v>76</v>
      </c>
      <c r="V1327" s="3" t="str">
        <f aca="false">INDEX(Pop_Inputs!$Q$2:$Q$29,MATCH(C1327,Pop_Inputs!$A$2:$A$29,0))</f>
        <v>Northeast</v>
      </c>
      <c r="W1327" s="30"/>
      <c r="X1327" s="3" t="str">
        <f aca="false">IF(W1327="","",LN(W1327))</f>
        <v/>
      </c>
      <c r="Y1327" s="3" t="str">
        <f aca="false">IF(X1327="","",X1327-AVERAGEIFS($X$2:$X$2705,$B$2:$B$2705,B1327))</f>
        <v/>
      </c>
      <c r="Z1327" s="21" t="n">
        <f aca="false">P1327</f>
        <v>0.718816127725972</v>
      </c>
      <c r="AA1327" s="3" t="n">
        <f aca="false">R1327</f>
        <v>0</v>
      </c>
      <c r="AB1327" s="21" t="n">
        <f aca="false">P1327</f>
        <v>0.718816127725972</v>
      </c>
      <c r="AC1327" s="3" t="str">
        <f aca="false">Y1327</f>
        <v/>
      </c>
      <c r="AD1327" s="3" t="n">
        <f aca="false">R1327</f>
        <v>0</v>
      </c>
    </row>
    <row r="1328" customFormat="false" ht="15" hidden="false" customHeight="true" outlineLevel="0" collapsed="false">
      <c r="A1328" s="7" t="s">
        <v>58</v>
      </c>
      <c r="B1328" s="7" t="n">
        <v>1977</v>
      </c>
      <c r="C1328" s="7" t="s">
        <v>144</v>
      </c>
      <c r="D1328" s="7" t="n">
        <v>96</v>
      </c>
      <c r="E1328" s="7" t="n">
        <v>66</v>
      </c>
      <c r="F1328" s="3" t="n">
        <f aca="false">COUNTIFS($B$2:$B$2705,B1328,$C$2:$C$2705,C1328)</f>
        <v>1</v>
      </c>
      <c r="G1328" s="3" t="n">
        <f aca="false">MIN(INT((MIN(B1328,2020)-1900)/10)+1,12)</f>
        <v>8</v>
      </c>
      <c r="H1328" s="3" t="n">
        <f aca="false">(MIN(B1328,2020)-1900-10*(G1328-1))/10</f>
        <v>0.7</v>
      </c>
      <c r="I1328" s="20" t="n">
        <f aca="false">EXP(LN(INDEX(Pop_Inputs!$B$2:$N$29,MATCH(C1328,Pop_Inputs!$A$2:$A$29,0),G1328))*(1-H1328)+LN(INDEX(Pop_Inputs!$B$2:$N$29,MATCH(C1328,Pop_Inputs!$A$2:$A$29,0),G1328+1))*H1328)</f>
        <v>450756.457708886</v>
      </c>
      <c r="J1328" s="20" t="n">
        <f aca="false">I1328/F1328</f>
        <v>450756.457708886</v>
      </c>
      <c r="K1328" s="21" t="n">
        <f aca="false">D1328/(D1328+E1328)</f>
        <v>0.592592592592593</v>
      </c>
      <c r="L1328" s="21" t="n">
        <f aca="false">AVERAGEIFS($K$2:$K$2705,$B$2:$B$2705,B1328)</f>
        <v>0.499974931134351</v>
      </c>
      <c r="M1328" s="21" t="n">
        <f aca="false">K1328-L1328</f>
        <v>0.0926176614582411</v>
      </c>
      <c r="N1328" s="21" t="n">
        <f aca="false">LN(J1328)</f>
        <v>13.0186824675495</v>
      </c>
      <c r="O1328" s="21" t="n">
        <f aca="false">AVERAGEIFS($N$2:$N$2705,$B$2:$B$2705,B1328)</f>
        <v>13.6633973228611</v>
      </c>
      <c r="P1328" s="21" t="n">
        <f aca="false">N1328-O1328</f>
        <v>-0.644714855311634</v>
      </c>
      <c r="Q1328" s="7" t="n">
        <v>0</v>
      </c>
      <c r="R1328" s="3" t="n">
        <f aca="false">IF(AND(Q1328=1,B1328-_xlfn.MINIFS($B$2:$B$2705,$A$2:$A$2705,A1328)&lt;10),1,0)</f>
        <v>0</v>
      </c>
      <c r="S1328" s="7" t="n">
        <v>0</v>
      </c>
      <c r="T1328" s="3" t="n">
        <f aca="false">_xlfn.MINIFS($B$2:$B$2705,$A$2:$A$2705,A1328)</f>
        <v>1901</v>
      </c>
      <c r="U1328" s="3" t="n">
        <f aca="false">B1328-T1328</f>
        <v>76</v>
      </c>
      <c r="V1328" s="3" t="str">
        <f aca="false">INDEX(Pop_Inputs!$Q$2:$Q$29,MATCH(C1328,Pop_Inputs!$A$2:$A$29,0))</f>
        <v>Northeast</v>
      </c>
      <c r="W1328" s="30"/>
      <c r="X1328" s="3" t="str">
        <f aca="false">IF(W1328="","",LN(W1328))</f>
        <v/>
      </c>
      <c r="Y1328" s="3" t="str">
        <f aca="false">IF(X1328="","",X1328-AVERAGEIFS($X$2:$X$2705,$B$2:$B$2705,B1328))</f>
        <v/>
      </c>
      <c r="Z1328" s="21" t="n">
        <f aca="false">P1328</f>
        <v>-0.644714855311634</v>
      </c>
      <c r="AA1328" s="3" t="n">
        <f aca="false">R1328</f>
        <v>0</v>
      </c>
      <c r="AB1328" s="21" t="n">
        <f aca="false">P1328</f>
        <v>-0.644714855311634</v>
      </c>
      <c r="AC1328" s="3" t="str">
        <f aca="false">Y1328</f>
        <v/>
      </c>
      <c r="AD1328" s="3" t="n">
        <f aca="false">R1328</f>
        <v>0</v>
      </c>
    </row>
    <row r="1329" customFormat="false" ht="15" hidden="false" customHeight="true" outlineLevel="0" collapsed="false">
      <c r="A1329" s="7" t="s">
        <v>78</v>
      </c>
      <c r="B1329" s="7" t="n">
        <v>1977</v>
      </c>
      <c r="C1329" s="7" t="s">
        <v>159</v>
      </c>
      <c r="D1329" s="7" t="n">
        <v>69</v>
      </c>
      <c r="E1329" s="7" t="n">
        <v>93</v>
      </c>
      <c r="F1329" s="3" t="n">
        <f aca="false">COUNTIFS($B$2:$B$2705,B1329,$C$2:$C$2705,C1329)</f>
        <v>1</v>
      </c>
      <c r="G1329" s="3" t="n">
        <f aca="false">MIN(INT((MIN(B1329,2020)-1900)/10)+1,12)</f>
        <v>8</v>
      </c>
      <c r="H1329" s="3" t="n">
        <f aca="false">(MIN(B1329,2020)-1900-10*(G1329-1))/10</f>
        <v>0.7</v>
      </c>
      <c r="I1329" s="20" t="n">
        <f aca="false">EXP(LN(INDEX(Pop_Inputs!$B$2:$N$29,MATCH(C1329,Pop_Inputs!$A$2:$A$29,0),G1329))*(1-H1329)+LN(INDEX(Pop_Inputs!$B$2:$N$29,MATCH(C1329,Pop_Inputs!$A$2:$A$29,0),G1329+1))*H1329)</f>
        <v>817559.079632671</v>
      </c>
      <c r="J1329" s="20" t="n">
        <f aca="false">I1329/F1329</f>
        <v>817559.079632671</v>
      </c>
      <c r="K1329" s="21" t="n">
        <f aca="false">D1329/(D1329+E1329)</f>
        <v>0.425925925925926</v>
      </c>
      <c r="L1329" s="21" t="n">
        <f aca="false">AVERAGEIFS($K$2:$K$2705,$B$2:$B$2705,B1329)</f>
        <v>0.499974931134351</v>
      </c>
      <c r="M1329" s="21" t="n">
        <f aca="false">K1329-L1329</f>
        <v>-0.0740490052084255</v>
      </c>
      <c r="N1329" s="21" t="n">
        <f aca="false">LN(J1329)</f>
        <v>13.6140784478061</v>
      </c>
      <c r="O1329" s="21" t="n">
        <f aca="false">AVERAGEIFS($N$2:$N$2705,$B$2:$B$2705,B1329)</f>
        <v>13.6633973228611</v>
      </c>
      <c r="P1329" s="21" t="n">
        <f aca="false">N1329-O1329</f>
        <v>-0.0493188750550093</v>
      </c>
      <c r="Q1329" s="7" t="n">
        <v>1</v>
      </c>
      <c r="R1329" s="3" t="n">
        <f aca="false">IF(AND(Q1329=1,B1329-_xlfn.MINIFS($B$2:$B$2705,$A$2:$A$2705,A1329)&lt;10),1,0)</f>
        <v>1</v>
      </c>
      <c r="S1329" s="7" t="n">
        <v>0</v>
      </c>
      <c r="T1329" s="3" t="n">
        <f aca="false">_xlfn.MINIFS($B$2:$B$2705,$A$2:$A$2705,A1329)</f>
        <v>1969</v>
      </c>
      <c r="U1329" s="3" t="n">
        <f aca="false">B1329-T1329</f>
        <v>8</v>
      </c>
      <c r="V1329" s="3" t="str">
        <f aca="false">INDEX(Pop_Inputs!$Q$2:$Q$29,MATCH(C1329,Pop_Inputs!$A$2:$A$29,0))</f>
        <v>West</v>
      </c>
      <c r="W1329" s="30"/>
      <c r="X1329" s="3" t="str">
        <f aca="false">IF(W1329="","",LN(W1329))</f>
        <v/>
      </c>
      <c r="Y1329" s="3" t="str">
        <f aca="false">IF(X1329="","",X1329-AVERAGEIFS($X$2:$X$2705,$B$2:$B$2705,B1329))</f>
        <v/>
      </c>
      <c r="Z1329" s="21" t="n">
        <f aca="false">P1329</f>
        <v>-0.0493188750550093</v>
      </c>
      <c r="AA1329" s="3" t="n">
        <f aca="false">R1329</f>
        <v>1</v>
      </c>
      <c r="AB1329" s="21" t="n">
        <f aca="false">P1329</f>
        <v>-0.0493188750550093</v>
      </c>
      <c r="AC1329" s="3" t="str">
        <f aca="false">Y1329</f>
        <v/>
      </c>
      <c r="AD1329" s="3" t="n">
        <f aca="false">R1329</f>
        <v>1</v>
      </c>
    </row>
    <row r="1330" customFormat="false" ht="15" hidden="false" customHeight="true" outlineLevel="0" collapsed="false">
      <c r="A1330" s="7" t="s">
        <v>80</v>
      </c>
      <c r="B1330" s="7" t="n">
        <v>1977</v>
      </c>
      <c r="C1330" s="7" t="s">
        <v>161</v>
      </c>
      <c r="D1330" s="7" t="n">
        <v>64</v>
      </c>
      <c r="E1330" s="7" t="n">
        <v>98</v>
      </c>
      <c r="F1330" s="3" t="n">
        <f aca="false">COUNTIFS($B$2:$B$2705,B1330,$C$2:$C$2705,C1330)</f>
        <v>1</v>
      </c>
      <c r="G1330" s="3" t="n">
        <f aca="false">MIN(INT((MIN(B1330,2020)-1900)/10)+1,12)</f>
        <v>8</v>
      </c>
      <c r="H1330" s="3" t="n">
        <f aca="false">(MIN(B1330,2020)-1900-10*(G1330-1))/10</f>
        <v>0.7</v>
      </c>
      <c r="I1330" s="20" t="n">
        <f aca="false">EXP(LN(INDEX(Pop_Inputs!$B$2:$N$29,MATCH(C1330,Pop_Inputs!$A$2:$A$29,0),G1330))*(1-H1330)+LN(INDEX(Pop_Inputs!$B$2:$N$29,MATCH(C1330,Pop_Inputs!$A$2:$A$29,0),G1330+1))*H1330)</f>
        <v>504662.414871504</v>
      </c>
      <c r="J1330" s="20" t="n">
        <f aca="false">I1330/F1330</f>
        <v>504662.414871504</v>
      </c>
      <c r="K1330" s="21" t="n">
        <f aca="false">D1330/(D1330+E1330)</f>
        <v>0.395061728395062</v>
      </c>
      <c r="L1330" s="21" t="n">
        <f aca="false">AVERAGEIFS($K$2:$K$2705,$B$2:$B$2705,B1330)</f>
        <v>0.499974931134351</v>
      </c>
      <c r="M1330" s="21" t="n">
        <f aca="false">K1330-L1330</f>
        <v>-0.10491320273929</v>
      </c>
      <c r="N1330" s="21" t="n">
        <f aca="false">LN(J1330)</f>
        <v>13.1316449993185</v>
      </c>
      <c r="O1330" s="21" t="n">
        <f aca="false">AVERAGEIFS($N$2:$N$2705,$B$2:$B$2705,B1330)</f>
        <v>13.6633973228611</v>
      </c>
      <c r="P1330" s="21" t="n">
        <f aca="false">N1330-O1330</f>
        <v>-0.531752323542577</v>
      </c>
      <c r="Q1330" s="7" t="n">
        <v>1</v>
      </c>
      <c r="R1330" s="3" t="n">
        <f aca="false">IF(AND(Q1330=1,B1330-_xlfn.MINIFS($B$2:$B$2705,$A$2:$A$2705,A1330)&lt;10),1,0)</f>
        <v>1</v>
      </c>
      <c r="S1330" s="7" t="n">
        <v>0</v>
      </c>
      <c r="T1330" s="3" t="n">
        <f aca="false">_xlfn.MINIFS($B$2:$B$2705,$A$2:$A$2705,A1330)</f>
        <v>1977</v>
      </c>
      <c r="U1330" s="3" t="n">
        <f aca="false">B1330-T1330</f>
        <v>0</v>
      </c>
      <c r="V1330" s="3" t="str">
        <f aca="false">INDEX(Pop_Inputs!$Q$2:$Q$29,MATCH(C1330,Pop_Inputs!$A$2:$A$29,0))</f>
        <v>West</v>
      </c>
      <c r="W1330" s="30"/>
      <c r="X1330" s="3" t="str">
        <f aca="false">IF(W1330="","",LN(W1330))</f>
        <v/>
      </c>
      <c r="Y1330" s="3" t="str">
        <f aca="false">IF(X1330="","",X1330-AVERAGEIFS($X$2:$X$2705,$B$2:$B$2705,B1330))</f>
        <v/>
      </c>
      <c r="Z1330" s="21" t="n">
        <f aca="false">P1330</f>
        <v>-0.531752323542577</v>
      </c>
      <c r="AA1330" s="3" t="n">
        <f aca="false">R1330</f>
        <v>1</v>
      </c>
      <c r="AB1330" s="21" t="n">
        <f aca="false">P1330</f>
        <v>-0.531752323542577</v>
      </c>
      <c r="AC1330" s="3" t="str">
        <f aca="false">Y1330</f>
        <v/>
      </c>
      <c r="AD1330" s="3" t="n">
        <f aca="false">R1330</f>
        <v>1</v>
      </c>
    </row>
    <row r="1331" customFormat="false" ht="15" hidden="false" customHeight="true" outlineLevel="0" collapsed="false">
      <c r="A1331" s="7" t="s">
        <v>61</v>
      </c>
      <c r="B1331" s="7" t="n">
        <v>1977</v>
      </c>
      <c r="C1331" s="7" t="s">
        <v>147</v>
      </c>
      <c r="D1331" s="7" t="n">
        <v>75</v>
      </c>
      <c r="E1331" s="7" t="n">
        <v>87</v>
      </c>
      <c r="F1331" s="3" t="n">
        <f aca="false">COUNTIFS($B$2:$B$2705,B1331,$C$2:$C$2705,C1331)</f>
        <v>1</v>
      </c>
      <c r="G1331" s="3" t="n">
        <f aca="false">MIN(INT((MIN(B1331,2020)-1900)/10)+1,12)</f>
        <v>8</v>
      </c>
      <c r="H1331" s="3" t="n">
        <f aca="false">(MIN(B1331,2020)-1900-10*(G1331-1))/10</f>
        <v>0.7</v>
      </c>
      <c r="I1331" s="20" t="n">
        <f aca="false">EXP(LN(INDEX(Pop_Inputs!$B$2:$N$29,MATCH(C1331,Pop_Inputs!$A$2:$A$29,0),G1331))*(1-H1331)+LN(INDEX(Pop_Inputs!$B$2:$N$29,MATCH(C1331,Pop_Inputs!$A$2:$A$29,0),G1331+1))*H1331)</f>
        <v>689781.866055612</v>
      </c>
      <c r="J1331" s="20" t="n">
        <f aca="false">I1331/F1331</f>
        <v>689781.866055612</v>
      </c>
      <c r="K1331" s="21" t="n">
        <f aca="false">D1331/(D1331+E1331)</f>
        <v>0.462962962962963</v>
      </c>
      <c r="L1331" s="21" t="n">
        <f aca="false">AVERAGEIFS($K$2:$K$2705,$B$2:$B$2705,B1331)</f>
        <v>0.499974931134351</v>
      </c>
      <c r="M1331" s="21" t="n">
        <f aca="false">K1331-L1331</f>
        <v>-0.0370119681713885</v>
      </c>
      <c r="N1331" s="21" t="n">
        <f aca="false">LN(J1331)</f>
        <v>13.4441306904406</v>
      </c>
      <c r="O1331" s="21" t="n">
        <f aca="false">AVERAGEIFS($N$2:$N$2705,$B$2:$B$2705,B1331)</f>
        <v>13.6633973228611</v>
      </c>
      <c r="P1331" s="21" t="n">
        <f aca="false">N1331-O1331</f>
        <v>-0.219266632420531</v>
      </c>
      <c r="Q1331" s="7" t="n">
        <v>0</v>
      </c>
      <c r="R1331" s="3" t="n">
        <f aca="false">IF(AND(Q1331=1,B1331-_xlfn.MINIFS($B$2:$B$2705,$A$2:$A$2705,A1331)&lt;10),1,0)</f>
        <v>0</v>
      </c>
      <c r="S1331" s="7" t="n">
        <v>0</v>
      </c>
      <c r="T1331" s="3" t="n">
        <f aca="false">_xlfn.MINIFS($B$2:$B$2705,$A$2:$A$2705,A1331)</f>
        <v>1901</v>
      </c>
      <c r="U1331" s="3" t="n">
        <f aca="false">B1331-T1331</f>
        <v>76</v>
      </c>
      <c r="V1331" s="3" t="str">
        <f aca="false">INDEX(Pop_Inputs!$Q$2:$Q$29,MATCH(C1331,Pop_Inputs!$A$2:$A$29,0))</f>
        <v>West</v>
      </c>
      <c r="W1331" s="30"/>
      <c r="X1331" s="3" t="str">
        <f aca="false">IF(W1331="","",LN(W1331))</f>
        <v/>
      </c>
      <c r="Y1331" s="3" t="str">
        <f aca="false">IF(X1331="","",X1331-AVERAGEIFS($X$2:$X$2705,$B$2:$B$2705,B1331))</f>
        <v/>
      </c>
      <c r="Z1331" s="21" t="n">
        <f aca="false">P1331</f>
        <v>-0.219266632420531</v>
      </c>
      <c r="AA1331" s="3" t="n">
        <f aca="false">R1331</f>
        <v>0</v>
      </c>
      <c r="AB1331" s="21" t="n">
        <f aca="false">P1331</f>
        <v>-0.219266632420531</v>
      </c>
      <c r="AC1331" s="3" t="str">
        <f aca="false">Y1331</f>
        <v/>
      </c>
      <c r="AD1331" s="3" t="n">
        <f aca="false">R1331</f>
        <v>0</v>
      </c>
    </row>
    <row r="1332" customFormat="false" ht="15" hidden="false" customHeight="true" outlineLevel="0" collapsed="false">
      <c r="A1332" s="7" t="s">
        <v>59</v>
      </c>
      <c r="B1332" s="7" t="n">
        <v>1977</v>
      </c>
      <c r="C1332" s="7" t="s">
        <v>145</v>
      </c>
      <c r="D1332" s="7" t="n">
        <v>83</v>
      </c>
      <c r="E1332" s="7" t="n">
        <v>79</v>
      </c>
      <c r="F1332" s="3" t="n">
        <f aca="false">COUNTIFS($B$2:$B$2705,B1332,$C$2:$C$2705,C1332)</f>
        <v>1</v>
      </c>
      <c r="G1332" s="3" t="n">
        <f aca="false">MIN(INT((MIN(B1332,2020)-1900)/10)+1,12)</f>
        <v>8</v>
      </c>
      <c r="H1332" s="3" t="n">
        <f aca="false">(MIN(B1332,2020)-1900-10*(G1332-1))/10</f>
        <v>0.7</v>
      </c>
      <c r="I1332" s="20" t="n">
        <f aca="false">EXP(LN(INDEX(Pop_Inputs!$B$2:$N$29,MATCH(C1332,Pop_Inputs!$A$2:$A$29,0),G1332))*(1-H1332)+LN(INDEX(Pop_Inputs!$B$2:$N$29,MATCH(C1332,Pop_Inputs!$A$2:$A$29,0),G1332+1))*H1332)</f>
        <v>498878.782723593</v>
      </c>
      <c r="J1332" s="20" t="n">
        <f aca="false">I1332/F1332</f>
        <v>498878.782723593</v>
      </c>
      <c r="K1332" s="21" t="n">
        <f aca="false">D1332/(D1332+E1332)</f>
        <v>0.512345679012346</v>
      </c>
      <c r="L1332" s="21" t="n">
        <f aca="false">AVERAGEIFS($K$2:$K$2705,$B$2:$B$2705,B1332)</f>
        <v>0.499974931134351</v>
      </c>
      <c r="M1332" s="21" t="n">
        <f aca="false">K1332-L1332</f>
        <v>0.0123707478779943</v>
      </c>
      <c r="N1332" s="21" t="n">
        <f aca="false">LN(J1332)</f>
        <v>13.1201184248301</v>
      </c>
      <c r="O1332" s="21" t="n">
        <f aca="false">AVERAGEIFS($N$2:$N$2705,$B$2:$B$2705,B1332)</f>
        <v>13.6633973228611</v>
      </c>
      <c r="P1332" s="21" t="n">
        <f aca="false">N1332-O1332</f>
        <v>-0.543278898031003</v>
      </c>
      <c r="Q1332" s="7" t="n">
        <v>0</v>
      </c>
      <c r="R1332" s="3" t="n">
        <f aca="false">IF(AND(Q1332=1,B1332-_xlfn.MINIFS($B$2:$B$2705,$A$2:$A$2705,A1332)&lt;10),1,0)</f>
        <v>0</v>
      </c>
      <c r="S1332" s="7" t="n">
        <v>0</v>
      </c>
      <c r="T1332" s="3" t="n">
        <f aca="false">_xlfn.MINIFS($B$2:$B$2705,$A$2:$A$2705,A1332)</f>
        <v>1901</v>
      </c>
      <c r="U1332" s="3" t="n">
        <f aca="false">B1332-T1332</f>
        <v>76</v>
      </c>
      <c r="V1332" s="3" t="str">
        <f aca="false">INDEX(Pop_Inputs!$Q$2:$Q$29,MATCH(C1332,Pop_Inputs!$A$2:$A$29,0))</f>
        <v>Midwest</v>
      </c>
      <c r="W1332" s="30"/>
      <c r="X1332" s="3" t="str">
        <f aca="false">IF(W1332="","",LN(W1332))</f>
        <v/>
      </c>
      <c r="Y1332" s="3" t="str">
        <f aca="false">IF(X1332="","",X1332-AVERAGEIFS($X$2:$X$2705,$B$2:$B$2705,B1332))</f>
        <v/>
      </c>
      <c r="Z1332" s="21" t="n">
        <f aca="false">P1332</f>
        <v>-0.543278898031003</v>
      </c>
      <c r="AA1332" s="3" t="n">
        <f aca="false">R1332</f>
        <v>0</v>
      </c>
      <c r="AB1332" s="21" t="n">
        <f aca="false">P1332</f>
        <v>-0.543278898031003</v>
      </c>
      <c r="AC1332" s="3" t="str">
        <f aca="false">Y1332</f>
        <v/>
      </c>
      <c r="AD1332" s="3" t="n">
        <f aca="false">R1332</f>
        <v>0</v>
      </c>
    </row>
    <row r="1333" customFormat="false" ht="15" hidden="false" customHeight="true" outlineLevel="0" collapsed="false">
      <c r="A1333" s="7" t="s">
        <v>73</v>
      </c>
      <c r="B1333" s="7" t="n">
        <v>1977</v>
      </c>
      <c r="C1333" s="7" t="s">
        <v>155</v>
      </c>
      <c r="D1333" s="7" t="n">
        <v>94</v>
      </c>
      <c r="E1333" s="7" t="n">
        <v>68</v>
      </c>
      <c r="F1333" s="3" t="n">
        <f aca="false">COUNTIFS($B$2:$B$2705,B1333,$C$2:$C$2705,C1333)</f>
        <v>1</v>
      </c>
      <c r="G1333" s="3" t="n">
        <f aca="false">MIN(INT((MIN(B1333,2020)-1900)/10)+1,12)</f>
        <v>8</v>
      </c>
      <c r="H1333" s="3" t="n">
        <f aca="false">(MIN(B1333,2020)-1900-10*(G1333-1))/10</f>
        <v>0.7</v>
      </c>
      <c r="I1333" s="20" t="n">
        <f aca="false">EXP(LN(INDEX(Pop_Inputs!$B$2:$N$29,MATCH(C1333,Pop_Inputs!$A$2:$A$29,0),G1333))*(1-H1333)+LN(INDEX(Pop_Inputs!$B$2:$N$29,MATCH(C1333,Pop_Inputs!$A$2:$A$29,0),G1333+1))*H1333)</f>
        <v>885745.087845542</v>
      </c>
      <c r="J1333" s="20" t="n">
        <f aca="false">I1333/F1333</f>
        <v>885745.087845542</v>
      </c>
      <c r="K1333" s="21" t="n">
        <f aca="false">D1333/(D1333+E1333)</f>
        <v>0.580246913580247</v>
      </c>
      <c r="L1333" s="21" t="n">
        <f aca="false">AVERAGEIFS($K$2:$K$2705,$B$2:$B$2705,B1333)</f>
        <v>0.499974931134351</v>
      </c>
      <c r="M1333" s="21" t="n">
        <f aca="false">K1333-L1333</f>
        <v>0.0802719824458955</v>
      </c>
      <c r="N1333" s="21" t="n">
        <f aca="false">LN(J1333)</f>
        <v>13.6941844769551</v>
      </c>
      <c r="O1333" s="21" t="n">
        <f aca="false">AVERAGEIFS($N$2:$N$2705,$B$2:$B$2705,B1333)</f>
        <v>13.6633973228611</v>
      </c>
      <c r="P1333" s="21" t="n">
        <f aca="false">N1333-O1333</f>
        <v>0.0307871540940017</v>
      </c>
      <c r="Q1333" s="7" t="n">
        <v>1</v>
      </c>
      <c r="R1333" s="3" t="n">
        <f aca="false">IF(AND(Q1333=1,B1333-_xlfn.MINIFS($B$2:$B$2705,$A$2:$A$2705,A1333)&lt;10),1,0)</f>
        <v>0</v>
      </c>
      <c r="S1333" s="7" t="n">
        <v>0</v>
      </c>
      <c r="T1333" s="3" t="n">
        <f aca="false">_xlfn.MINIFS($B$2:$B$2705,$A$2:$A$2705,A1333)</f>
        <v>1961</v>
      </c>
      <c r="U1333" s="3" t="n">
        <f aca="false">B1333-T1333</f>
        <v>16</v>
      </c>
      <c r="V1333" s="3" t="str">
        <f aca="false">INDEX(Pop_Inputs!$Q$2:$Q$29,MATCH(C1333,Pop_Inputs!$A$2:$A$29,0))</f>
        <v>South</v>
      </c>
      <c r="W1333" s="30"/>
      <c r="X1333" s="3" t="str">
        <f aca="false">IF(W1333="","",LN(W1333))</f>
        <v/>
      </c>
      <c r="Y1333" s="3" t="str">
        <f aca="false">IF(X1333="","",X1333-AVERAGEIFS($X$2:$X$2705,$B$2:$B$2705,B1333))</f>
        <v/>
      </c>
      <c r="Z1333" s="21" t="n">
        <f aca="false">P1333</f>
        <v>0.0307871540940017</v>
      </c>
      <c r="AA1333" s="3" t="n">
        <f aca="false">R1333</f>
        <v>0</v>
      </c>
      <c r="AB1333" s="21" t="n">
        <f aca="false">P1333</f>
        <v>0.0307871540940017</v>
      </c>
      <c r="AC1333" s="3" t="str">
        <f aca="false">Y1333</f>
        <v/>
      </c>
      <c r="AD1333" s="3" t="n">
        <f aca="false">R1333</f>
        <v>0</v>
      </c>
    </row>
    <row r="1334" customFormat="false" ht="15" hidden="false" customHeight="true" outlineLevel="0" collapsed="false">
      <c r="A1334" s="7" t="s">
        <v>81</v>
      </c>
      <c r="B1334" s="7" t="n">
        <v>1977</v>
      </c>
      <c r="C1334" s="7" t="s">
        <v>162</v>
      </c>
      <c r="D1334" s="7" t="n">
        <v>54</v>
      </c>
      <c r="E1334" s="7" t="n">
        <v>107</v>
      </c>
      <c r="F1334" s="3" t="n">
        <f aca="false">COUNTIFS($B$2:$B$2705,B1334,$C$2:$C$2705,C1334)</f>
        <v>1</v>
      </c>
      <c r="G1334" s="3" t="n">
        <f aca="false">MIN(INT((MIN(B1334,2020)-1900)/10)+1,12)</f>
        <v>8</v>
      </c>
      <c r="H1334" s="3" t="n">
        <f aca="false">(MIN(B1334,2020)-1900-10*(G1334-1))/10</f>
        <v>0.7</v>
      </c>
      <c r="I1334" s="20" t="n">
        <f aca="false">EXP(LN(INDEX(Pop_Inputs!$B$2:$N$29,MATCH(C1334,Pop_Inputs!$A$2:$A$29,0),G1334))*(1-H1334)+LN(INDEX(Pop_Inputs!$B$2:$N$29,MATCH(C1334,Pop_Inputs!$A$2:$A$29,0),G1334+1))*H1334)</f>
        <v>631243.089123642</v>
      </c>
      <c r="J1334" s="20" t="n">
        <f aca="false">I1334/F1334</f>
        <v>631243.089123642</v>
      </c>
      <c r="K1334" s="21" t="n">
        <f aca="false">D1334/(D1334+E1334)</f>
        <v>0.335403726708075</v>
      </c>
      <c r="L1334" s="21" t="n">
        <f aca="false">AVERAGEIFS($K$2:$K$2705,$B$2:$B$2705,B1334)</f>
        <v>0.499974931134351</v>
      </c>
      <c r="M1334" s="21" t="n">
        <f aca="false">K1334-L1334</f>
        <v>-0.164571204426277</v>
      </c>
      <c r="N1334" s="21" t="n">
        <f aca="false">LN(J1334)</f>
        <v>13.3554463115888</v>
      </c>
      <c r="O1334" s="21" t="n">
        <f aca="false">AVERAGEIFS($N$2:$N$2705,$B$2:$B$2705,B1334)</f>
        <v>13.6633973228611</v>
      </c>
      <c r="P1334" s="21" t="n">
        <f aca="false">N1334-O1334</f>
        <v>-0.307951011272285</v>
      </c>
      <c r="Q1334" s="7" t="n">
        <v>1</v>
      </c>
      <c r="R1334" s="3" t="n">
        <f aca="false">IF(AND(Q1334=1,B1334-_xlfn.MINIFS($B$2:$B$2705,$A$2:$A$2705,A1334)&lt;10),1,0)</f>
        <v>1</v>
      </c>
      <c r="S1334" s="7" t="n">
        <v>0</v>
      </c>
      <c r="T1334" s="3" t="n">
        <f aca="false">_xlfn.MINIFS($B$2:$B$2705,$A$2:$A$2705,A1334)</f>
        <v>1977</v>
      </c>
      <c r="U1334" s="3" t="n">
        <f aca="false">B1334-T1334</f>
        <v>0</v>
      </c>
      <c r="V1334" s="3" t="str">
        <f aca="false">INDEX(Pop_Inputs!$Q$2:$Q$29,MATCH(C1334,Pop_Inputs!$A$2:$A$29,0))</f>
        <v>Canada</v>
      </c>
      <c r="W1334" s="30"/>
      <c r="X1334" s="3" t="str">
        <f aca="false">IF(W1334="","",LN(W1334))</f>
        <v/>
      </c>
      <c r="Y1334" s="3" t="str">
        <f aca="false">IF(X1334="","",X1334-AVERAGEIFS($X$2:$X$2705,$B$2:$B$2705,B1334))</f>
        <v/>
      </c>
      <c r="Z1334" s="21" t="n">
        <f aca="false">P1334</f>
        <v>-0.307951011272285</v>
      </c>
      <c r="AA1334" s="3" t="n">
        <f aca="false">R1334</f>
        <v>1</v>
      </c>
      <c r="AB1334" s="21" t="n">
        <f aca="false">P1334</f>
        <v>-0.307951011272285</v>
      </c>
      <c r="AC1334" s="3" t="str">
        <f aca="false">Y1334</f>
        <v/>
      </c>
      <c r="AD1334" s="3" t="n">
        <f aca="false">R1334</f>
        <v>1</v>
      </c>
    </row>
    <row r="1335" customFormat="false" ht="15" hidden="false" customHeight="true" outlineLevel="0" collapsed="false">
      <c r="A1335" s="7" t="s">
        <v>79</v>
      </c>
      <c r="B1335" s="7" t="n">
        <v>1977</v>
      </c>
      <c r="C1335" s="7" t="s">
        <v>254</v>
      </c>
      <c r="D1335" s="7" t="n">
        <v>75</v>
      </c>
      <c r="E1335" s="7" t="n">
        <v>87</v>
      </c>
      <c r="F1335" s="3" t="n">
        <f aca="false">COUNTIFS($B$2:$B$2705,B1335,$C$2:$C$2705,C1335)</f>
        <v>1</v>
      </c>
      <c r="G1335" s="3" t="n">
        <f aca="false">MIN(INT((MIN(B1335,2020)-1900)/10)+1,12)</f>
        <v>8</v>
      </c>
      <c r="H1335" s="3" t="n">
        <f aca="false">(MIN(B1335,2020)-1900-10*(G1335-1))/10</f>
        <v>0.7</v>
      </c>
      <c r="I1335" s="20" t="n">
        <f aca="false">EXP(LN(INDEX(Pop_Inputs!$B$2:$N$29,MATCH(C1335,Pop_Inputs!$A$2:$A$29,0),G1335))*(1-H1335)+LN(INDEX(Pop_Inputs!$B$2:$N$29,MATCH(C1335,Pop_Inputs!$A$2:$A$29,0),G1335+1))*H1335)</f>
        <v>1045373.3524891</v>
      </c>
      <c r="J1335" s="20" t="n">
        <f aca="false">I1335/F1335</f>
        <v>1045373.3524891</v>
      </c>
      <c r="K1335" s="21" t="n">
        <f aca="false">D1335/(D1335+E1335)</f>
        <v>0.462962962962963</v>
      </c>
      <c r="L1335" s="21" t="n">
        <f aca="false">AVERAGEIFS($K$2:$K$2705,$B$2:$B$2705,B1335)</f>
        <v>0.499974931134351</v>
      </c>
      <c r="M1335" s="21" t="n">
        <f aca="false">K1335-L1335</f>
        <v>-0.0370119681713885</v>
      </c>
      <c r="N1335" s="21" t="n">
        <f aca="false">LN(J1335)</f>
        <v>13.8598846546827</v>
      </c>
      <c r="O1335" s="21" t="n">
        <f aca="false">AVERAGEIFS($N$2:$N$2705,$B$2:$B$2705,B1335)</f>
        <v>13.6633973228611</v>
      </c>
      <c r="P1335" s="21" t="n">
        <f aca="false">N1335-O1335</f>
        <v>0.196487331821558</v>
      </c>
      <c r="Q1335" s="7" t="n">
        <v>1</v>
      </c>
      <c r="R1335" s="3" t="n">
        <f aca="false">IF(AND(Q1335=1,B1335-_xlfn.MINIFS($B$2:$B$2705,$A$2:$A$2705,A1335)&lt;10),1,0)</f>
        <v>1</v>
      </c>
      <c r="S1335" s="7" t="n">
        <v>0</v>
      </c>
      <c r="T1335" s="3" t="n">
        <f aca="false">_xlfn.MINIFS($B$2:$B$2705,$A$2:$A$2705,A1335)</f>
        <v>1969</v>
      </c>
      <c r="U1335" s="3" t="n">
        <f aca="false">B1335-T1335</f>
        <v>8</v>
      </c>
      <c r="V1335" s="3" t="str">
        <f aca="false">INDEX(Pop_Inputs!$Q$2:$Q$29,MATCH(C1335,Pop_Inputs!$A$2:$A$29,0))</f>
        <v>Canada</v>
      </c>
      <c r="W1335" s="30"/>
      <c r="X1335" s="3" t="str">
        <f aca="false">IF(W1335="","",LN(W1335))</f>
        <v/>
      </c>
      <c r="Y1335" s="3" t="str">
        <f aca="false">IF(X1335="","",X1335-AVERAGEIFS($X$2:$X$2705,$B$2:$B$2705,B1335))</f>
        <v/>
      </c>
      <c r="Z1335" s="21" t="n">
        <f aca="false">P1335</f>
        <v>0.196487331821558</v>
      </c>
      <c r="AA1335" s="3" t="n">
        <f aca="false">R1335</f>
        <v>1</v>
      </c>
      <c r="AB1335" s="21" t="n">
        <f aca="false">P1335</f>
        <v>0.196487331821558</v>
      </c>
      <c r="AC1335" s="3" t="str">
        <f aca="false">Y1335</f>
        <v/>
      </c>
      <c r="AD1335" s="3" t="n">
        <f aca="false">R1335</f>
        <v>1</v>
      </c>
    </row>
    <row r="1336" customFormat="false" ht="15" hidden="false" customHeight="true" outlineLevel="0" collapsed="false">
      <c r="A1336" s="7" t="s">
        <v>71</v>
      </c>
      <c r="B1336" s="7" t="n">
        <v>1978</v>
      </c>
      <c r="C1336" s="7" t="s">
        <v>148</v>
      </c>
      <c r="D1336" s="7" t="n">
        <v>87</v>
      </c>
      <c r="E1336" s="7" t="n">
        <v>75</v>
      </c>
      <c r="F1336" s="3" t="n">
        <f aca="false">COUNTIFS($B$2:$B$2705,B1336,$C$2:$C$2705,C1336)</f>
        <v>2</v>
      </c>
      <c r="G1336" s="3" t="n">
        <f aca="false">MIN(INT((MIN(B1336,2020)-1900)/10)+1,12)</f>
        <v>8</v>
      </c>
      <c r="H1336" s="3" t="n">
        <f aca="false">(MIN(B1336,2020)-1900-10*(G1336-1))/10</f>
        <v>0.8</v>
      </c>
      <c r="I1336" s="20" t="n">
        <f aca="false">EXP(LN(INDEX(Pop_Inputs!$B$2:$N$29,MATCH(C1336,Pop_Inputs!$A$2:$A$29,0),G1336))*(1-H1336)+LN(INDEX(Pop_Inputs!$B$2:$N$29,MATCH(C1336,Pop_Inputs!$A$2:$A$29,0),G1336+1))*H1336)</f>
        <v>2936059.70821012</v>
      </c>
      <c r="J1336" s="20" t="n">
        <f aca="false">I1336/F1336</f>
        <v>1468029.85410506</v>
      </c>
      <c r="K1336" s="21" t="n">
        <f aca="false">D1336/(D1336+E1336)</f>
        <v>0.537037037037037</v>
      </c>
      <c r="L1336" s="21" t="n">
        <f aca="false">AVERAGEIFS($K$2:$K$2705,$B$2:$B$2705,B1336)</f>
        <v>0.499825617271234</v>
      </c>
      <c r="M1336" s="21" t="n">
        <f aca="false">K1336-L1336</f>
        <v>0.0372114197658033</v>
      </c>
      <c r="N1336" s="21" t="n">
        <f aca="false">LN(J1336)</f>
        <v>14.1994318245336</v>
      </c>
      <c r="O1336" s="21" t="n">
        <f aca="false">AVERAGEIFS($N$2:$N$2705,$B$2:$B$2705,B1336)</f>
        <v>13.653743084457</v>
      </c>
      <c r="P1336" s="21" t="n">
        <f aca="false">N1336-O1336</f>
        <v>0.545688740076681</v>
      </c>
      <c r="Q1336" s="7" t="n">
        <v>1</v>
      </c>
      <c r="R1336" s="3" t="n">
        <f aca="false">IF(AND(Q1336=1,B1336-_xlfn.MINIFS($B$2:$B$2705,$A$2:$A$2705,A1336)&lt;10),1,0)</f>
        <v>0</v>
      </c>
      <c r="S1336" s="7" t="n">
        <v>0</v>
      </c>
      <c r="T1336" s="3" t="n">
        <f aca="false">_xlfn.MINIFS($B$2:$B$2705,$A$2:$A$2705,A1336)</f>
        <v>1961</v>
      </c>
      <c r="U1336" s="3" t="n">
        <f aca="false">B1336-T1336</f>
        <v>17</v>
      </c>
      <c r="V1336" s="3" t="str">
        <f aca="false">INDEX(Pop_Inputs!$Q$2:$Q$29,MATCH(C1336,Pop_Inputs!$A$2:$A$29,0))</f>
        <v>West</v>
      </c>
      <c r="W1336" s="30"/>
      <c r="X1336" s="3" t="str">
        <f aca="false">IF(W1336="","",LN(W1336))</f>
        <v/>
      </c>
      <c r="Y1336" s="3" t="str">
        <f aca="false">IF(X1336="","",X1336-AVERAGEIFS($X$2:$X$2705,$B$2:$B$2705,B1336))</f>
        <v/>
      </c>
      <c r="Z1336" s="21" t="n">
        <f aca="false">P1336</f>
        <v>0.545688740076681</v>
      </c>
      <c r="AA1336" s="3" t="n">
        <f aca="false">R1336</f>
        <v>0</v>
      </c>
      <c r="AB1336" s="21" t="n">
        <f aca="false">P1336</f>
        <v>0.545688740076681</v>
      </c>
      <c r="AC1336" s="3" t="str">
        <f aca="false">Y1336</f>
        <v/>
      </c>
      <c r="AD1336" s="3" t="n">
        <f aca="false">R1336</f>
        <v>0</v>
      </c>
    </row>
    <row r="1337" customFormat="false" ht="15" hidden="false" customHeight="true" outlineLevel="0" collapsed="false">
      <c r="A1337" s="7" t="s">
        <v>54</v>
      </c>
      <c r="B1337" s="7" t="n">
        <v>1978</v>
      </c>
      <c r="C1337" s="7" t="s">
        <v>141</v>
      </c>
      <c r="D1337" s="7" t="n">
        <v>69</v>
      </c>
      <c r="E1337" s="7" t="n">
        <v>93</v>
      </c>
      <c r="F1337" s="3" t="n">
        <f aca="false">COUNTIFS($B$2:$B$2705,B1337,$C$2:$C$2705,C1337)</f>
        <v>1</v>
      </c>
      <c r="G1337" s="3" t="n">
        <f aca="false">MIN(INT((MIN(B1337,2020)-1900)/10)+1,12)</f>
        <v>8</v>
      </c>
      <c r="H1337" s="3" t="n">
        <f aca="false">(MIN(B1337,2020)-1900-10*(G1337-1))/10</f>
        <v>0.8</v>
      </c>
      <c r="I1337" s="20" t="n">
        <f aca="false">EXP(LN(INDEX(Pop_Inputs!$B$2:$N$29,MATCH(C1337,Pop_Inputs!$A$2:$A$29,0),G1337))*(1-H1337)+LN(INDEX(Pop_Inputs!$B$2:$N$29,MATCH(C1337,Pop_Inputs!$A$2:$A$29,0),G1337+1))*H1337)</f>
        <v>438184.500325011</v>
      </c>
      <c r="J1337" s="20" t="n">
        <f aca="false">I1337/F1337</f>
        <v>438184.500325011</v>
      </c>
      <c r="K1337" s="21" t="n">
        <f aca="false">D1337/(D1337+E1337)</f>
        <v>0.425925925925926</v>
      </c>
      <c r="L1337" s="21" t="n">
        <f aca="false">AVERAGEIFS($K$2:$K$2705,$B$2:$B$2705,B1337)</f>
        <v>0.499825617271234</v>
      </c>
      <c r="M1337" s="21" t="n">
        <f aca="false">K1337-L1337</f>
        <v>-0.0738996913453078</v>
      </c>
      <c r="N1337" s="21" t="n">
        <f aca="false">LN(J1337)</f>
        <v>12.9903953342834</v>
      </c>
      <c r="O1337" s="21" t="n">
        <f aca="false">AVERAGEIFS($N$2:$N$2705,$B$2:$B$2705,B1337)</f>
        <v>13.653743084457</v>
      </c>
      <c r="P1337" s="21" t="n">
        <f aca="false">N1337-O1337</f>
        <v>-0.663347750173605</v>
      </c>
      <c r="Q1337" s="7" t="n">
        <v>0</v>
      </c>
      <c r="R1337" s="3" t="n">
        <f aca="false">IF(AND(Q1337=1,B1337-_xlfn.MINIFS($B$2:$B$2705,$A$2:$A$2705,A1337)&lt;10),1,0)</f>
        <v>0</v>
      </c>
      <c r="S1337" s="7" t="n">
        <v>0</v>
      </c>
      <c r="T1337" s="3" t="n">
        <f aca="false">_xlfn.MINIFS($B$2:$B$2705,$A$2:$A$2705,A1337)</f>
        <v>1901</v>
      </c>
      <c r="U1337" s="3" t="n">
        <f aca="false">B1337-T1337</f>
        <v>77</v>
      </c>
      <c r="V1337" s="3" t="str">
        <f aca="false">INDEX(Pop_Inputs!$Q$2:$Q$29,MATCH(C1337,Pop_Inputs!$A$2:$A$29,0))</f>
        <v>South</v>
      </c>
      <c r="W1337" s="30"/>
      <c r="X1337" s="3" t="str">
        <f aca="false">IF(W1337="","",LN(W1337))</f>
        <v/>
      </c>
      <c r="Y1337" s="3" t="str">
        <f aca="false">IF(X1337="","",X1337-AVERAGEIFS($X$2:$X$2705,$B$2:$B$2705,B1337))</f>
        <v/>
      </c>
      <c r="Z1337" s="21" t="n">
        <f aca="false">P1337</f>
        <v>-0.663347750173605</v>
      </c>
      <c r="AA1337" s="3" t="n">
        <f aca="false">R1337</f>
        <v>0</v>
      </c>
      <c r="AB1337" s="21" t="n">
        <f aca="false">P1337</f>
        <v>-0.663347750173605</v>
      </c>
      <c r="AC1337" s="3" t="str">
        <f aca="false">Y1337</f>
        <v/>
      </c>
      <c r="AD1337" s="3" t="n">
        <f aca="false">R1337</f>
        <v>0</v>
      </c>
    </row>
    <row r="1338" customFormat="false" ht="15" hidden="false" customHeight="true" outlineLevel="0" collapsed="false">
      <c r="A1338" s="7" t="s">
        <v>63</v>
      </c>
      <c r="B1338" s="7" t="n">
        <v>1978</v>
      </c>
      <c r="C1338" s="7" t="s">
        <v>149</v>
      </c>
      <c r="D1338" s="7" t="n">
        <v>90</v>
      </c>
      <c r="E1338" s="7" t="n">
        <v>71</v>
      </c>
      <c r="F1338" s="3" t="n">
        <f aca="false">COUNTIFS($B$2:$B$2705,B1338,$C$2:$C$2705,C1338)</f>
        <v>1</v>
      </c>
      <c r="G1338" s="3" t="n">
        <f aca="false">MIN(INT((MIN(B1338,2020)-1900)/10)+1,12)</f>
        <v>8</v>
      </c>
      <c r="H1338" s="3" t="n">
        <f aca="false">(MIN(B1338,2020)-1900-10*(G1338-1))/10</f>
        <v>0.8</v>
      </c>
      <c r="I1338" s="20" t="n">
        <f aca="false">EXP(LN(INDEX(Pop_Inputs!$B$2:$N$29,MATCH(C1338,Pop_Inputs!$A$2:$A$29,0),G1338))*(1-H1338)+LN(INDEX(Pop_Inputs!$B$2:$N$29,MATCH(C1338,Pop_Inputs!$A$2:$A$29,0),G1338+1))*H1338)</f>
        <v>809250.493504904</v>
      </c>
      <c r="J1338" s="20" t="n">
        <f aca="false">I1338/F1338</f>
        <v>809250.493504904</v>
      </c>
      <c r="K1338" s="21" t="n">
        <f aca="false">D1338/(D1338+E1338)</f>
        <v>0.559006211180124</v>
      </c>
      <c r="L1338" s="21" t="n">
        <f aca="false">AVERAGEIFS($K$2:$K$2705,$B$2:$B$2705,B1338)</f>
        <v>0.499825617271234</v>
      </c>
      <c r="M1338" s="21" t="n">
        <f aca="false">K1338-L1338</f>
        <v>0.0591805939088904</v>
      </c>
      <c r="N1338" s="21" t="n">
        <f aca="false">LN(J1338)</f>
        <v>13.6038637816183</v>
      </c>
      <c r="O1338" s="21" t="n">
        <f aca="false">AVERAGEIFS($N$2:$N$2705,$B$2:$B$2705,B1338)</f>
        <v>13.653743084457</v>
      </c>
      <c r="P1338" s="21" t="n">
        <f aca="false">N1338-O1338</f>
        <v>-0.0498793028386846</v>
      </c>
      <c r="Q1338" s="7" t="n">
        <v>0</v>
      </c>
      <c r="R1338" s="3" t="n">
        <f aca="false">IF(AND(Q1338=1,B1338-_xlfn.MINIFS($B$2:$B$2705,$A$2:$A$2705,A1338)&lt;10),1,0)</f>
        <v>0</v>
      </c>
      <c r="S1338" s="7" t="n">
        <v>0</v>
      </c>
      <c r="T1338" s="3" t="n">
        <f aca="false">_xlfn.MINIFS($B$2:$B$2705,$A$2:$A$2705,A1338)</f>
        <v>1901</v>
      </c>
      <c r="U1338" s="3" t="n">
        <f aca="false">B1338-T1338</f>
        <v>77</v>
      </c>
      <c r="V1338" s="3" t="str">
        <f aca="false">INDEX(Pop_Inputs!$Q$2:$Q$29,MATCH(C1338,Pop_Inputs!$A$2:$A$29,0))</f>
        <v>South</v>
      </c>
      <c r="W1338" s="30"/>
      <c r="X1338" s="3" t="str">
        <f aca="false">IF(W1338="","",LN(W1338))</f>
        <v/>
      </c>
      <c r="Y1338" s="3" t="str">
        <f aca="false">IF(X1338="","",X1338-AVERAGEIFS($X$2:$X$2705,$B$2:$B$2705,B1338))</f>
        <v/>
      </c>
      <c r="Z1338" s="21" t="n">
        <f aca="false">P1338</f>
        <v>-0.0498793028386846</v>
      </c>
      <c r="AA1338" s="3" t="n">
        <f aca="false">R1338</f>
        <v>0</v>
      </c>
      <c r="AB1338" s="21" t="n">
        <f aca="false">P1338</f>
        <v>-0.0498793028386846</v>
      </c>
      <c r="AC1338" s="3" t="str">
        <f aca="false">Y1338</f>
        <v/>
      </c>
      <c r="AD1338" s="3" t="n">
        <f aca="false">R1338</f>
        <v>0</v>
      </c>
    </row>
    <row r="1339" customFormat="false" ht="15" hidden="false" customHeight="true" outlineLevel="0" collapsed="false">
      <c r="A1339" s="7" t="s">
        <v>64</v>
      </c>
      <c r="B1339" s="7" t="n">
        <v>1978</v>
      </c>
      <c r="C1339" s="7" t="s">
        <v>150</v>
      </c>
      <c r="D1339" s="7" t="n">
        <v>99</v>
      </c>
      <c r="E1339" s="7" t="n">
        <v>64</v>
      </c>
      <c r="F1339" s="3" t="n">
        <f aca="false">COUNTIFS($B$2:$B$2705,B1339,$C$2:$C$2705,C1339)</f>
        <v>1</v>
      </c>
      <c r="G1339" s="3" t="n">
        <f aca="false">MIN(INT((MIN(B1339,2020)-1900)/10)+1,12)</f>
        <v>8</v>
      </c>
      <c r="H1339" s="3" t="n">
        <f aca="false">(MIN(B1339,2020)-1900-10*(G1339-1))/10</f>
        <v>0.8</v>
      </c>
      <c r="I1339" s="20" t="n">
        <f aca="false">EXP(LN(INDEX(Pop_Inputs!$B$2:$N$29,MATCH(C1339,Pop_Inputs!$A$2:$A$29,0),G1339))*(1-H1339)+LN(INDEX(Pop_Inputs!$B$2:$N$29,MATCH(C1339,Pop_Inputs!$A$2:$A$29,0),G1339+1))*H1339)</f>
        <v>577808.916518213</v>
      </c>
      <c r="J1339" s="20" t="n">
        <f aca="false">I1339/F1339</f>
        <v>577808.916518213</v>
      </c>
      <c r="K1339" s="21" t="n">
        <f aca="false">D1339/(D1339+E1339)</f>
        <v>0.607361963190184</v>
      </c>
      <c r="L1339" s="21" t="n">
        <f aca="false">AVERAGEIFS($K$2:$K$2705,$B$2:$B$2705,B1339)</f>
        <v>0.499825617271234</v>
      </c>
      <c r="M1339" s="21" t="n">
        <f aca="false">K1339-L1339</f>
        <v>0.10753634591895</v>
      </c>
      <c r="N1339" s="21" t="n">
        <f aca="false">LN(J1339)</f>
        <v>13.266998498737</v>
      </c>
      <c r="O1339" s="21" t="n">
        <f aca="false">AVERAGEIFS($N$2:$N$2705,$B$2:$B$2705,B1339)</f>
        <v>13.653743084457</v>
      </c>
      <c r="P1339" s="21" t="n">
        <f aca="false">N1339-O1339</f>
        <v>-0.386744585719923</v>
      </c>
      <c r="Q1339" s="7" t="n">
        <v>0</v>
      </c>
      <c r="R1339" s="3" t="n">
        <f aca="false">IF(AND(Q1339=1,B1339-_xlfn.MINIFS($B$2:$B$2705,$A$2:$A$2705,A1339)&lt;10),1,0)</f>
        <v>0</v>
      </c>
      <c r="S1339" s="7" t="n">
        <v>0</v>
      </c>
      <c r="T1339" s="3" t="n">
        <f aca="false">_xlfn.MINIFS($B$2:$B$2705,$A$2:$A$2705,A1339)</f>
        <v>1901</v>
      </c>
      <c r="U1339" s="3" t="n">
        <f aca="false">B1339-T1339</f>
        <v>77</v>
      </c>
      <c r="V1339" s="3" t="str">
        <f aca="false">INDEX(Pop_Inputs!$Q$2:$Q$29,MATCH(C1339,Pop_Inputs!$A$2:$A$29,0))</f>
        <v>Northeast</v>
      </c>
      <c r="W1339" s="30"/>
      <c r="X1339" s="3" t="str">
        <f aca="false">IF(W1339="","",LN(W1339))</f>
        <v/>
      </c>
      <c r="Y1339" s="3" t="str">
        <f aca="false">IF(X1339="","",X1339-AVERAGEIFS($X$2:$X$2705,$B$2:$B$2705,B1339))</f>
        <v/>
      </c>
      <c r="Z1339" s="21" t="n">
        <f aca="false">P1339</f>
        <v>-0.386744585719923</v>
      </c>
      <c r="AA1339" s="3" t="n">
        <f aca="false">R1339</f>
        <v>0</v>
      </c>
      <c r="AB1339" s="21" t="n">
        <f aca="false">P1339</f>
        <v>-0.386744585719923</v>
      </c>
      <c r="AC1339" s="3" t="str">
        <f aca="false">Y1339</f>
        <v/>
      </c>
      <c r="AD1339" s="3" t="n">
        <f aca="false">R1339</f>
        <v>0</v>
      </c>
    </row>
    <row r="1340" customFormat="false" ht="15" hidden="false" customHeight="true" outlineLevel="0" collapsed="false">
      <c r="A1340" s="7" t="s">
        <v>56</v>
      </c>
      <c r="B1340" s="7" t="n">
        <v>1978</v>
      </c>
      <c r="C1340" s="7" t="s">
        <v>142</v>
      </c>
      <c r="D1340" s="7" t="n">
        <v>79</v>
      </c>
      <c r="E1340" s="7" t="n">
        <v>83</v>
      </c>
      <c r="F1340" s="3" t="n">
        <f aca="false">COUNTIFS($B$2:$B$2705,B1340,$C$2:$C$2705,C1340)</f>
        <v>2</v>
      </c>
      <c r="G1340" s="3" t="n">
        <f aca="false">MIN(INT((MIN(B1340,2020)-1900)/10)+1,12)</f>
        <v>8</v>
      </c>
      <c r="H1340" s="3" t="n">
        <f aca="false">(MIN(B1340,2020)-1900-10*(G1340-1))/10</f>
        <v>0.8</v>
      </c>
      <c r="I1340" s="20" t="n">
        <f aca="false">EXP(LN(INDEX(Pop_Inputs!$B$2:$N$29,MATCH(C1340,Pop_Inputs!$A$2:$A$29,0),G1340))*(1-H1340)+LN(INDEX(Pop_Inputs!$B$2:$N$29,MATCH(C1340,Pop_Inputs!$A$2:$A$29,0),G1340+1))*H1340)</f>
        <v>3074195.05429736</v>
      </c>
      <c r="J1340" s="20" t="n">
        <f aca="false">I1340/F1340</f>
        <v>1537097.52714868</v>
      </c>
      <c r="K1340" s="21" t="n">
        <f aca="false">D1340/(D1340+E1340)</f>
        <v>0.487654320987654</v>
      </c>
      <c r="L1340" s="21" t="n">
        <f aca="false">AVERAGEIFS($K$2:$K$2705,$B$2:$B$2705,B1340)</f>
        <v>0.499825617271234</v>
      </c>
      <c r="M1340" s="21" t="n">
        <f aca="false">K1340-L1340</f>
        <v>-0.0121712962835794</v>
      </c>
      <c r="N1340" s="21" t="n">
        <f aca="false">LN(J1340)</f>
        <v>14.2454064734346</v>
      </c>
      <c r="O1340" s="21" t="n">
        <f aca="false">AVERAGEIFS($N$2:$N$2705,$B$2:$B$2705,B1340)</f>
        <v>13.653743084457</v>
      </c>
      <c r="P1340" s="21" t="n">
        <f aca="false">N1340-O1340</f>
        <v>0.591663388977642</v>
      </c>
      <c r="Q1340" s="7" t="n">
        <v>0</v>
      </c>
      <c r="R1340" s="3" t="n">
        <f aca="false">IF(AND(Q1340=1,B1340-_xlfn.MINIFS($B$2:$B$2705,$A$2:$A$2705,A1340)&lt;10),1,0)</f>
        <v>0</v>
      </c>
      <c r="S1340" s="7" t="n">
        <v>0</v>
      </c>
      <c r="T1340" s="3" t="n">
        <f aca="false">_xlfn.MINIFS($B$2:$B$2705,$A$2:$A$2705,A1340)</f>
        <v>1901</v>
      </c>
      <c r="U1340" s="3" t="n">
        <f aca="false">B1340-T1340</f>
        <v>77</v>
      </c>
      <c r="V1340" s="3" t="str">
        <f aca="false">INDEX(Pop_Inputs!$Q$2:$Q$29,MATCH(C1340,Pop_Inputs!$A$2:$A$29,0))</f>
        <v>Midwest</v>
      </c>
      <c r="W1340" s="30"/>
      <c r="X1340" s="3" t="str">
        <f aca="false">IF(W1340="","",LN(W1340))</f>
        <v/>
      </c>
      <c r="Y1340" s="3" t="str">
        <f aca="false">IF(X1340="","",X1340-AVERAGEIFS($X$2:$X$2705,$B$2:$B$2705,B1340))</f>
        <v/>
      </c>
      <c r="Z1340" s="21" t="n">
        <f aca="false">P1340</f>
        <v>0.591663388977642</v>
      </c>
      <c r="AA1340" s="3" t="n">
        <f aca="false">R1340</f>
        <v>0</v>
      </c>
      <c r="AB1340" s="21" t="n">
        <f aca="false">P1340</f>
        <v>0.591663388977642</v>
      </c>
      <c r="AC1340" s="3" t="str">
        <f aca="false">Y1340</f>
        <v/>
      </c>
      <c r="AD1340" s="3" t="n">
        <f aca="false">R1340</f>
        <v>0</v>
      </c>
    </row>
    <row r="1341" customFormat="false" ht="15" hidden="false" customHeight="true" outlineLevel="0" collapsed="false">
      <c r="A1341" s="7" t="s">
        <v>65</v>
      </c>
      <c r="B1341" s="7" t="n">
        <v>1978</v>
      </c>
      <c r="C1341" s="7" t="s">
        <v>142</v>
      </c>
      <c r="D1341" s="7" t="n">
        <v>71</v>
      </c>
      <c r="E1341" s="7" t="n">
        <v>90</v>
      </c>
      <c r="F1341" s="3" t="n">
        <f aca="false">COUNTIFS($B$2:$B$2705,B1341,$C$2:$C$2705,C1341)</f>
        <v>2</v>
      </c>
      <c r="G1341" s="3" t="n">
        <f aca="false">MIN(INT((MIN(B1341,2020)-1900)/10)+1,12)</f>
        <v>8</v>
      </c>
      <c r="H1341" s="3" t="n">
        <f aca="false">(MIN(B1341,2020)-1900-10*(G1341-1))/10</f>
        <v>0.8</v>
      </c>
      <c r="I1341" s="20" t="n">
        <f aca="false">EXP(LN(INDEX(Pop_Inputs!$B$2:$N$29,MATCH(C1341,Pop_Inputs!$A$2:$A$29,0),G1341))*(1-H1341)+LN(INDEX(Pop_Inputs!$B$2:$N$29,MATCH(C1341,Pop_Inputs!$A$2:$A$29,0),G1341+1))*H1341)</f>
        <v>3074195.05429736</v>
      </c>
      <c r="J1341" s="20" t="n">
        <f aca="false">I1341/F1341</f>
        <v>1537097.52714868</v>
      </c>
      <c r="K1341" s="21" t="n">
        <f aca="false">D1341/(D1341+E1341)</f>
        <v>0.440993788819876</v>
      </c>
      <c r="L1341" s="21" t="n">
        <f aca="false">AVERAGEIFS($K$2:$K$2705,$B$2:$B$2705,B1341)</f>
        <v>0.499825617271234</v>
      </c>
      <c r="M1341" s="21" t="n">
        <f aca="false">K1341-L1341</f>
        <v>-0.058831828451358</v>
      </c>
      <c r="N1341" s="21" t="n">
        <f aca="false">LN(J1341)</f>
        <v>14.2454064734346</v>
      </c>
      <c r="O1341" s="21" t="n">
        <f aca="false">AVERAGEIFS($N$2:$N$2705,$B$2:$B$2705,B1341)</f>
        <v>13.653743084457</v>
      </c>
      <c r="P1341" s="21" t="n">
        <f aca="false">N1341-O1341</f>
        <v>0.591663388977642</v>
      </c>
      <c r="Q1341" s="7" t="n">
        <v>0</v>
      </c>
      <c r="R1341" s="3" t="n">
        <f aca="false">IF(AND(Q1341=1,B1341-_xlfn.MINIFS($B$2:$B$2705,$A$2:$A$2705,A1341)&lt;10),1,0)</f>
        <v>0</v>
      </c>
      <c r="S1341" s="7" t="n">
        <v>0</v>
      </c>
      <c r="T1341" s="3" t="n">
        <f aca="false">_xlfn.MINIFS($B$2:$B$2705,$A$2:$A$2705,A1341)</f>
        <v>1901</v>
      </c>
      <c r="U1341" s="3" t="n">
        <f aca="false">B1341-T1341</f>
        <v>77</v>
      </c>
      <c r="V1341" s="3" t="str">
        <f aca="false">INDEX(Pop_Inputs!$Q$2:$Q$29,MATCH(C1341,Pop_Inputs!$A$2:$A$29,0))</f>
        <v>Midwest</v>
      </c>
      <c r="W1341" s="30"/>
      <c r="X1341" s="3" t="str">
        <f aca="false">IF(W1341="","",LN(W1341))</f>
        <v/>
      </c>
      <c r="Y1341" s="3" t="str">
        <f aca="false">IF(X1341="","",X1341-AVERAGEIFS($X$2:$X$2705,$B$2:$B$2705,B1341))</f>
        <v/>
      </c>
      <c r="Z1341" s="21" t="n">
        <f aca="false">P1341</f>
        <v>0.591663388977642</v>
      </c>
      <c r="AA1341" s="3" t="n">
        <f aca="false">R1341</f>
        <v>0</v>
      </c>
      <c r="AB1341" s="21" t="n">
        <f aca="false">P1341</f>
        <v>0.591663388977642</v>
      </c>
      <c r="AC1341" s="3" t="str">
        <f aca="false">Y1341</f>
        <v/>
      </c>
      <c r="AD1341" s="3" t="n">
        <f aca="false">R1341</f>
        <v>0</v>
      </c>
    </row>
    <row r="1342" customFormat="false" ht="15" hidden="false" customHeight="true" outlineLevel="0" collapsed="false">
      <c r="A1342" s="7" t="s">
        <v>57</v>
      </c>
      <c r="B1342" s="7" t="n">
        <v>1978</v>
      </c>
      <c r="C1342" s="7" t="s">
        <v>143</v>
      </c>
      <c r="D1342" s="7" t="n">
        <v>92</v>
      </c>
      <c r="E1342" s="7" t="n">
        <v>69</v>
      </c>
      <c r="F1342" s="3" t="n">
        <f aca="false">COUNTIFS($B$2:$B$2705,B1342,$C$2:$C$2705,C1342)</f>
        <v>1</v>
      </c>
      <c r="G1342" s="3" t="n">
        <f aca="false">MIN(INT((MIN(B1342,2020)-1900)/10)+1,12)</f>
        <v>8</v>
      </c>
      <c r="H1342" s="3" t="n">
        <f aca="false">(MIN(B1342,2020)-1900-10*(G1342-1))/10</f>
        <v>0.8</v>
      </c>
      <c r="I1342" s="20" t="n">
        <f aca="false">EXP(LN(INDEX(Pop_Inputs!$B$2:$N$29,MATCH(C1342,Pop_Inputs!$A$2:$A$29,0),G1342))*(1-H1342)+LN(INDEX(Pop_Inputs!$B$2:$N$29,MATCH(C1342,Pop_Inputs!$A$2:$A$29,0),G1342+1))*H1342)</f>
        <v>398026.482917014</v>
      </c>
      <c r="J1342" s="20" t="n">
        <f aca="false">I1342/F1342</f>
        <v>398026.482917014</v>
      </c>
      <c r="K1342" s="21" t="n">
        <f aca="false">D1342/(D1342+E1342)</f>
        <v>0.571428571428571</v>
      </c>
      <c r="L1342" s="21" t="n">
        <f aca="false">AVERAGEIFS($K$2:$K$2705,$B$2:$B$2705,B1342)</f>
        <v>0.499825617271234</v>
      </c>
      <c r="M1342" s="21" t="n">
        <f aca="false">K1342-L1342</f>
        <v>0.0716029541573376</v>
      </c>
      <c r="N1342" s="21" t="n">
        <f aca="false">LN(J1342)</f>
        <v>12.8942738220454</v>
      </c>
      <c r="O1342" s="21" t="n">
        <f aca="false">AVERAGEIFS($N$2:$N$2705,$B$2:$B$2705,B1342)</f>
        <v>13.653743084457</v>
      </c>
      <c r="P1342" s="21" t="n">
        <f aca="false">N1342-O1342</f>
        <v>-0.759469262411576</v>
      </c>
      <c r="Q1342" s="7" t="n">
        <v>0</v>
      </c>
      <c r="R1342" s="3" t="n">
        <f aca="false">IF(AND(Q1342=1,B1342-_xlfn.MINIFS($B$2:$B$2705,$A$2:$A$2705,A1342)&lt;10),1,0)</f>
        <v>0</v>
      </c>
      <c r="S1342" s="7" t="n">
        <v>0</v>
      </c>
      <c r="T1342" s="3" t="n">
        <f aca="false">_xlfn.MINIFS($B$2:$B$2705,$A$2:$A$2705,A1342)</f>
        <v>1901</v>
      </c>
      <c r="U1342" s="3" t="n">
        <f aca="false">B1342-T1342</f>
        <v>77</v>
      </c>
      <c r="V1342" s="3" t="str">
        <f aca="false">INDEX(Pop_Inputs!$Q$2:$Q$29,MATCH(C1342,Pop_Inputs!$A$2:$A$29,0))</f>
        <v>Midwest</v>
      </c>
      <c r="W1342" s="30"/>
      <c r="X1342" s="3" t="str">
        <f aca="false">IF(W1342="","",LN(W1342))</f>
        <v/>
      </c>
      <c r="Y1342" s="3" t="str">
        <f aca="false">IF(X1342="","",X1342-AVERAGEIFS($X$2:$X$2705,$B$2:$B$2705,B1342))</f>
        <v/>
      </c>
      <c r="Z1342" s="21" t="n">
        <f aca="false">P1342</f>
        <v>-0.759469262411576</v>
      </c>
      <c r="AA1342" s="3" t="n">
        <f aca="false">R1342</f>
        <v>0</v>
      </c>
      <c r="AB1342" s="21" t="n">
        <f aca="false">P1342</f>
        <v>-0.759469262411576</v>
      </c>
      <c r="AC1342" s="3" t="str">
        <f aca="false">Y1342</f>
        <v/>
      </c>
      <c r="AD1342" s="3" t="n">
        <f aca="false">R1342</f>
        <v>0</v>
      </c>
    </row>
    <row r="1343" customFormat="false" ht="15" hidden="false" customHeight="true" outlineLevel="0" collapsed="false">
      <c r="A1343" s="7" t="s">
        <v>66</v>
      </c>
      <c r="B1343" s="7" t="n">
        <v>1978</v>
      </c>
      <c r="C1343" s="7" t="s">
        <v>151</v>
      </c>
      <c r="D1343" s="7" t="n">
        <v>69</v>
      </c>
      <c r="E1343" s="7" t="n">
        <v>90</v>
      </c>
      <c r="F1343" s="3" t="n">
        <f aca="false">COUNTIFS($B$2:$B$2705,B1343,$C$2:$C$2705,C1343)</f>
        <v>1</v>
      </c>
      <c r="G1343" s="3" t="n">
        <f aca="false">MIN(INT((MIN(B1343,2020)-1900)/10)+1,12)</f>
        <v>8</v>
      </c>
      <c r="H1343" s="3" t="n">
        <f aca="false">(MIN(B1343,2020)-1900-10*(G1343-1))/10</f>
        <v>0.8</v>
      </c>
      <c r="I1343" s="20" t="n">
        <f aca="false">EXP(LN(INDEX(Pop_Inputs!$B$2:$N$29,MATCH(C1343,Pop_Inputs!$A$2:$A$29,0),G1343))*(1-H1343)+LN(INDEX(Pop_Inputs!$B$2:$N$29,MATCH(C1343,Pop_Inputs!$A$2:$A$29,0),G1343+1))*H1343)</f>
        <v>605533.986715534</v>
      </c>
      <c r="J1343" s="20" t="n">
        <f aca="false">I1343/F1343</f>
        <v>605533.986715534</v>
      </c>
      <c r="K1343" s="21" t="n">
        <f aca="false">D1343/(D1343+E1343)</f>
        <v>0.433962264150943</v>
      </c>
      <c r="L1343" s="21" t="n">
        <f aca="false">AVERAGEIFS($K$2:$K$2705,$B$2:$B$2705,B1343)</f>
        <v>0.499825617271234</v>
      </c>
      <c r="M1343" s="21" t="n">
        <f aca="false">K1343-L1343</f>
        <v>-0.0658633531202904</v>
      </c>
      <c r="N1343" s="21" t="n">
        <f aca="false">LN(J1343)</f>
        <v>13.3138659704009</v>
      </c>
      <c r="O1343" s="21" t="n">
        <f aca="false">AVERAGEIFS($N$2:$N$2705,$B$2:$B$2705,B1343)</f>
        <v>13.653743084457</v>
      </c>
      <c r="P1343" s="21" t="n">
        <f aca="false">N1343-O1343</f>
        <v>-0.339877114056025</v>
      </c>
      <c r="Q1343" s="7" t="n">
        <v>0</v>
      </c>
      <c r="R1343" s="3" t="n">
        <f aca="false">IF(AND(Q1343=1,B1343-_xlfn.MINIFS($B$2:$B$2705,$A$2:$A$2705,A1343)&lt;10),1,0)</f>
        <v>0</v>
      </c>
      <c r="S1343" s="7" t="n">
        <v>0</v>
      </c>
      <c r="T1343" s="3" t="n">
        <f aca="false">_xlfn.MINIFS($B$2:$B$2705,$A$2:$A$2705,A1343)</f>
        <v>1901</v>
      </c>
      <c r="U1343" s="3" t="n">
        <f aca="false">B1343-T1343</f>
        <v>77</v>
      </c>
      <c r="V1343" s="3" t="str">
        <f aca="false">INDEX(Pop_Inputs!$Q$2:$Q$29,MATCH(C1343,Pop_Inputs!$A$2:$A$29,0))</f>
        <v>Midwest</v>
      </c>
      <c r="W1343" s="30"/>
      <c r="X1343" s="3" t="str">
        <f aca="false">IF(W1343="","",LN(W1343))</f>
        <v/>
      </c>
      <c r="Y1343" s="3" t="str">
        <f aca="false">IF(X1343="","",X1343-AVERAGEIFS($X$2:$X$2705,$B$2:$B$2705,B1343))</f>
        <v/>
      </c>
      <c r="Z1343" s="21" t="n">
        <f aca="false">P1343</f>
        <v>-0.339877114056025</v>
      </c>
      <c r="AA1343" s="3" t="n">
        <f aca="false">R1343</f>
        <v>0</v>
      </c>
      <c r="AB1343" s="21" t="n">
        <f aca="false">P1343</f>
        <v>-0.339877114056025</v>
      </c>
      <c r="AC1343" s="3" t="str">
        <f aca="false">Y1343</f>
        <v/>
      </c>
      <c r="AD1343" s="3" t="n">
        <f aca="false">R1343</f>
        <v>0</v>
      </c>
    </row>
    <row r="1344" customFormat="false" ht="15" hidden="false" customHeight="true" outlineLevel="0" collapsed="false">
      <c r="A1344" s="7" t="s">
        <v>67</v>
      </c>
      <c r="B1344" s="7" t="n">
        <v>1978</v>
      </c>
      <c r="C1344" s="7" t="s">
        <v>152</v>
      </c>
      <c r="D1344" s="7" t="n">
        <v>86</v>
      </c>
      <c r="E1344" s="7" t="n">
        <v>76</v>
      </c>
      <c r="F1344" s="3" t="n">
        <f aca="false">COUNTIFS($B$2:$B$2705,B1344,$C$2:$C$2705,C1344)</f>
        <v>1</v>
      </c>
      <c r="G1344" s="3" t="n">
        <f aca="false">MIN(INT((MIN(B1344,2020)-1900)/10)+1,12)</f>
        <v>8</v>
      </c>
      <c r="H1344" s="3" t="n">
        <f aca="false">(MIN(B1344,2020)-1900-10*(G1344-1))/10</f>
        <v>0.8</v>
      </c>
      <c r="I1344" s="20" t="n">
        <f aca="false">EXP(LN(INDEX(Pop_Inputs!$B$2:$N$29,MATCH(C1344,Pop_Inputs!$A$2:$A$29,0),G1344))*(1-H1344)+LN(INDEX(Pop_Inputs!$B$2:$N$29,MATCH(C1344,Pop_Inputs!$A$2:$A$29,0),G1344+1))*H1344)</f>
        <v>1259503.45378492</v>
      </c>
      <c r="J1344" s="20" t="n">
        <f aca="false">I1344/F1344</f>
        <v>1259503.45378492</v>
      </c>
      <c r="K1344" s="21" t="n">
        <f aca="false">D1344/(D1344+E1344)</f>
        <v>0.530864197530864</v>
      </c>
      <c r="L1344" s="21" t="n">
        <f aca="false">AVERAGEIFS($K$2:$K$2705,$B$2:$B$2705,B1344)</f>
        <v>0.499825617271234</v>
      </c>
      <c r="M1344" s="21" t="n">
        <f aca="false">K1344-L1344</f>
        <v>0.0310385802596305</v>
      </c>
      <c r="N1344" s="21" t="n">
        <f aca="false">LN(J1344)</f>
        <v>14.0462281169584</v>
      </c>
      <c r="O1344" s="21" t="n">
        <f aca="false">AVERAGEIFS($N$2:$N$2705,$B$2:$B$2705,B1344)</f>
        <v>13.653743084457</v>
      </c>
      <c r="P1344" s="21" t="n">
        <f aca="false">N1344-O1344</f>
        <v>0.392485032501396</v>
      </c>
      <c r="Q1344" s="7" t="n">
        <v>0</v>
      </c>
      <c r="R1344" s="3" t="n">
        <f aca="false">IF(AND(Q1344=1,B1344-_xlfn.MINIFS($B$2:$B$2705,$A$2:$A$2705,A1344)&lt;10),1,0)</f>
        <v>0</v>
      </c>
      <c r="S1344" s="7" t="n">
        <v>0</v>
      </c>
      <c r="T1344" s="3" t="n">
        <f aca="false">_xlfn.MINIFS($B$2:$B$2705,$A$2:$A$2705,A1344)</f>
        <v>1901</v>
      </c>
      <c r="U1344" s="3" t="n">
        <f aca="false">B1344-T1344</f>
        <v>77</v>
      </c>
      <c r="V1344" s="3" t="str">
        <f aca="false">INDEX(Pop_Inputs!$Q$2:$Q$29,MATCH(C1344,Pop_Inputs!$A$2:$A$29,0))</f>
        <v>Midwest</v>
      </c>
      <c r="W1344" s="30"/>
      <c r="X1344" s="3" t="str">
        <f aca="false">IF(W1344="","",LN(W1344))</f>
        <v/>
      </c>
      <c r="Y1344" s="3" t="str">
        <f aca="false">IF(X1344="","",X1344-AVERAGEIFS($X$2:$X$2705,$B$2:$B$2705,B1344))</f>
        <v/>
      </c>
      <c r="Z1344" s="21" t="n">
        <f aca="false">P1344</f>
        <v>0.392485032501396</v>
      </c>
      <c r="AA1344" s="3" t="n">
        <f aca="false">R1344</f>
        <v>0</v>
      </c>
      <c r="AB1344" s="21" t="n">
        <f aca="false">P1344</f>
        <v>0.392485032501396</v>
      </c>
      <c r="AC1344" s="3" t="str">
        <f aca="false">Y1344</f>
        <v/>
      </c>
      <c r="AD1344" s="3" t="n">
        <f aca="false">R1344</f>
        <v>0</v>
      </c>
    </row>
    <row r="1345" customFormat="false" ht="15" hidden="false" customHeight="true" outlineLevel="0" collapsed="false">
      <c r="A1345" s="7" t="s">
        <v>74</v>
      </c>
      <c r="B1345" s="7" t="n">
        <v>1978</v>
      </c>
      <c r="C1345" s="7" t="s">
        <v>156</v>
      </c>
      <c r="D1345" s="7" t="n">
        <v>74</v>
      </c>
      <c r="E1345" s="7" t="n">
        <v>88</v>
      </c>
      <c r="F1345" s="3" t="n">
        <f aca="false">COUNTIFS($B$2:$B$2705,B1345,$C$2:$C$2705,C1345)</f>
        <v>1</v>
      </c>
      <c r="G1345" s="3" t="n">
        <f aca="false">MIN(INT((MIN(B1345,2020)-1900)/10)+1,12)</f>
        <v>8</v>
      </c>
      <c r="H1345" s="3" t="n">
        <f aca="false">(MIN(B1345,2020)-1900-10*(G1345-1))/10</f>
        <v>0.8</v>
      </c>
      <c r="I1345" s="20" t="n">
        <f aca="false">EXP(LN(INDEX(Pop_Inputs!$B$2:$N$29,MATCH(C1345,Pop_Inputs!$A$2:$A$29,0),G1345))*(1-H1345)+LN(INDEX(Pop_Inputs!$B$2:$N$29,MATCH(C1345,Pop_Inputs!$A$2:$A$29,0),G1345+1))*H1345)</f>
        <v>1515016.19362467</v>
      </c>
      <c r="J1345" s="20" t="n">
        <f aca="false">I1345/F1345</f>
        <v>1515016.19362467</v>
      </c>
      <c r="K1345" s="21" t="n">
        <f aca="false">D1345/(D1345+E1345)</f>
        <v>0.45679012345679</v>
      </c>
      <c r="L1345" s="21" t="n">
        <f aca="false">AVERAGEIFS($K$2:$K$2705,$B$2:$B$2705,B1345)</f>
        <v>0.499825617271234</v>
      </c>
      <c r="M1345" s="21" t="n">
        <f aca="false">K1345-L1345</f>
        <v>-0.0430354938144437</v>
      </c>
      <c r="N1345" s="21" t="n">
        <f aca="false">LN(J1345)</f>
        <v>14.2309366857296</v>
      </c>
      <c r="O1345" s="21" t="n">
        <f aca="false">AVERAGEIFS($N$2:$N$2705,$B$2:$B$2705,B1345)</f>
        <v>13.653743084457</v>
      </c>
      <c r="P1345" s="21" t="n">
        <f aca="false">N1345-O1345</f>
        <v>0.577193601272686</v>
      </c>
      <c r="Q1345" s="7" t="n">
        <v>1</v>
      </c>
      <c r="R1345" s="3" t="n">
        <f aca="false">IF(AND(Q1345=1,B1345-_xlfn.MINIFS($B$2:$B$2705,$A$2:$A$2705,A1345)&lt;10),1,0)</f>
        <v>0</v>
      </c>
      <c r="S1345" s="7" t="n">
        <v>0</v>
      </c>
      <c r="T1345" s="3" t="n">
        <f aca="false">_xlfn.MINIFS($B$2:$B$2705,$A$2:$A$2705,A1345)</f>
        <v>1962</v>
      </c>
      <c r="U1345" s="3" t="n">
        <f aca="false">B1345-T1345</f>
        <v>16</v>
      </c>
      <c r="V1345" s="3" t="str">
        <f aca="false">INDEX(Pop_Inputs!$Q$2:$Q$29,MATCH(C1345,Pop_Inputs!$A$2:$A$29,0))</f>
        <v>South</v>
      </c>
      <c r="W1345" s="30"/>
      <c r="X1345" s="3" t="str">
        <f aca="false">IF(W1345="","",LN(W1345))</f>
        <v/>
      </c>
      <c r="Y1345" s="3" t="str">
        <f aca="false">IF(X1345="","",X1345-AVERAGEIFS($X$2:$X$2705,$B$2:$B$2705,B1345))</f>
        <v/>
      </c>
      <c r="Z1345" s="21" t="n">
        <f aca="false">P1345</f>
        <v>0.577193601272686</v>
      </c>
      <c r="AA1345" s="3" t="n">
        <f aca="false">R1345</f>
        <v>0</v>
      </c>
      <c r="AB1345" s="21" t="n">
        <f aca="false">P1345</f>
        <v>0.577193601272686</v>
      </c>
      <c r="AC1345" s="3" t="str">
        <f aca="false">Y1345</f>
        <v/>
      </c>
      <c r="AD1345" s="3" t="n">
        <f aca="false">R1345</f>
        <v>0</v>
      </c>
    </row>
    <row r="1346" customFormat="false" ht="15" hidden="false" customHeight="true" outlineLevel="0" collapsed="false">
      <c r="A1346" s="7" t="s">
        <v>76</v>
      </c>
      <c r="B1346" s="7" t="n">
        <v>1978</v>
      </c>
      <c r="C1346" s="7" t="s">
        <v>157</v>
      </c>
      <c r="D1346" s="7" t="n">
        <v>92</v>
      </c>
      <c r="E1346" s="7" t="n">
        <v>70</v>
      </c>
      <c r="F1346" s="3" t="n">
        <f aca="false">COUNTIFS($B$2:$B$2705,B1346,$C$2:$C$2705,C1346)</f>
        <v>1</v>
      </c>
      <c r="G1346" s="3" t="n">
        <f aca="false">MIN(INT((MIN(B1346,2020)-1900)/10)+1,12)</f>
        <v>8</v>
      </c>
      <c r="H1346" s="3" t="n">
        <f aca="false">(MIN(B1346,2020)-1900-10*(G1346-1))/10</f>
        <v>0.8</v>
      </c>
      <c r="I1346" s="20" t="n">
        <f aca="false">EXP(LN(INDEX(Pop_Inputs!$B$2:$N$29,MATCH(C1346,Pop_Inputs!$A$2:$A$29,0),G1346))*(1-H1346)+LN(INDEX(Pop_Inputs!$B$2:$N$29,MATCH(C1346,Pop_Inputs!$A$2:$A$29,0),G1346+1))*H1346)</f>
        <v>459369.538736337</v>
      </c>
      <c r="J1346" s="20" t="n">
        <f aca="false">I1346/F1346</f>
        <v>459369.538736337</v>
      </c>
      <c r="K1346" s="21" t="n">
        <f aca="false">D1346/(D1346+E1346)</f>
        <v>0.567901234567901</v>
      </c>
      <c r="L1346" s="21" t="n">
        <f aca="false">AVERAGEIFS($K$2:$K$2705,$B$2:$B$2705,B1346)</f>
        <v>0.499825617271234</v>
      </c>
      <c r="M1346" s="21" t="n">
        <f aca="false">K1346-L1346</f>
        <v>0.0680756172966675</v>
      </c>
      <c r="N1346" s="21" t="n">
        <f aca="false">LN(J1346)</f>
        <v>13.0376102604135</v>
      </c>
      <c r="O1346" s="21" t="n">
        <f aca="false">AVERAGEIFS($N$2:$N$2705,$B$2:$B$2705,B1346)</f>
        <v>13.653743084457</v>
      </c>
      <c r="P1346" s="21" t="n">
        <f aca="false">N1346-O1346</f>
        <v>-0.616132824043508</v>
      </c>
      <c r="Q1346" s="7" t="n">
        <v>1</v>
      </c>
      <c r="R1346" s="3" t="n">
        <f aca="false">IF(AND(Q1346=1,B1346-_xlfn.MINIFS($B$2:$B$2705,$A$2:$A$2705,A1346)&lt;10),1,0)</f>
        <v>1</v>
      </c>
      <c r="S1346" s="7" t="n">
        <v>0</v>
      </c>
      <c r="T1346" s="3" t="n">
        <f aca="false">_xlfn.MINIFS($B$2:$B$2705,$A$2:$A$2705,A1346)</f>
        <v>1969</v>
      </c>
      <c r="U1346" s="3" t="n">
        <f aca="false">B1346-T1346</f>
        <v>9</v>
      </c>
      <c r="V1346" s="3" t="str">
        <f aca="false">INDEX(Pop_Inputs!$Q$2:$Q$29,MATCH(C1346,Pop_Inputs!$A$2:$A$29,0))</f>
        <v>Midwest</v>
      </c>
      <c r="W1346" s="30"/>
      <c r="X1346" s="3" t="str">
        <f aca="false">IF(W1346="","",LN(W1346))</f>
        <v/>
      </c>
      <c r="Y1346" s="3" t="str">
        <f aca="false">IF(X1346="","",X1346-AVERAGEIFS($X$2:$X$2705,$B$2:$B$2705,B1346))</f>
        <v/>
      </c>
      <c r="Z1346" s="21" t="n">
        <f aca="false">P1346</f>
        <v>-0.616132824043508</v>
      </c>
      <c r="AA1346" s="3" t="n">
        <f aca="false">R1346</f>
        <v>1</v>
      </c>
      <c r="AB1346" s="21" t="n">
        <f aca="false">P1346</f>
        <v>-0.616132824043508</v>
      </c>
      <c r="AC1346" s="3" t="str">
        <f aca="false">Y1346</f>
        <v/>
      </c>
      <c r="AD1346" s="3" t="n">
        <f aca="false">R1346</f>
        <v>1</v>
      </c>
    </row>
    <row r="1347" customFormat="false" ht="15" hidden="false" customHeight="true" outlineLevel="0" collapsed="false">
      <c r="A1347" s="7" t="s">
        <v>62</v>
      </c>
      <c r="B1347" s="7" t="n">
        <v>1978</v>
      </c>
      <c r="C1347" s="7" t="s">
        <v>148</v>
      </c>
      <c r="D1347" s="7" t="n">
        <v>95</v>
      </c>
      <c r="E1347" s="7" t="n">
        <v>67</v>
      </c>
      <c r="F1347" s="3" t="n">
        <f aca="false">COUNTIFS($B$2:$B$2705,B1347,$C$2:$C$2705,C1347)</f>
        <v>2</v>
      </c>
      <c r="G1347" s="3" t="n">
        <f aca="false">MIN(INT((MIN(B1347,2020)-1900)/10)+1,12)</f>
        <v>8</v>
      </c>
      <c r="H1347" s="3" t="n">
        <f aca="false">(MIN(B1347,2020)-1900-10*(G1347-1))/10</f>
        <v>0.8</v>
      </c>
      <c r="I1347" s="20" t="n">
        <f aca="false">EXP(LN(INDEX(Pop_Inputs!$B$2:$N$29,MATCH(C1347,Pop_Inputs!$A$2:$A$29,0),G1347))*(1-H1347)+LN(INDEX(Pop_Inputs!$B$2:$N$29,MATCH(C1347,Pop_Inputs!$A$2:$A$29,0),G1347+1))*H1347)</f>
        <v>2936059.70821012</v>
      </c>
      <c r="J1347" s="20" t="n">
        <f aca="false">I1347/F1347</f>
        <v>1468029.85410506</v>
      </c>
      <c r="K1347" s="21" t="n">
        <f aca="false">D1347/(D1347+E1347)</f>
        <v>0.58641975308642</v>
      </c>
      <c r="L1347" s="21" t="n">
        <f aca="false">AVERAGEIFS($K$2:$K$2705,$B$2:$B$2705,B1347)</f>
        <v>0.499825617271234</v>
      </c>
      <c r="M1347" s="21" t="n">
        <f aca="false">K1347-L1347</f>
        <v>0.0865941358151861</v>
      </c>
      <c r="N1347" s="21" t="n">
        <f aca="false">LN(J1347)</f>
        <v>14.1994318245336</v>
      </c>
      <c r="O1347" s="21" t="n">
        <f aca="false">AVERAGEIFS($N$2:$N$2705,$B$2:$B$2705,B1347)</f>
        <v>13.653743084457</v>
      </c>
      <c r="P1347" s="21" t="n">
        <f aca="false">N1347-O1347</f>
        <v>0.545688740076681</v>
      </c>
      <c r="Q1347" s="7" t="n">
        <v>0</v>
      </c>
      <c r="R1347" s="3" t="n">
        <f aca="false">IF(AND(Q1347=1,B1347-_xlfn.MINIFS($B$2:$B$2705,$A$2:$A$2705,A1347)&lt;10),1,0)</f>
        <v>0</v>
      </c>
      <c r="S1347" s="7" t="n">
        <v>0</v>
      </c>
      <c r="T1347" s="3" t="n">
        <f aca="false">_xlfn.MINIFS($B$2:$B$2705,$A$2:$A$2705,A1347)</f>
        <v>1901</v>
      </c>
      <c r="U1347" s="3" t="n">
        <f aca="false">B1347-T1347</f>
        <v>77</v>
      </c>
      <c r="V1347" s="3" t="str">
        <f aca="false">INDEX(Pop_Inputs!$Q$2:$Q$29,MATCH(C1347,Pop_Inputs!$A$2:$A$29,0))</f>
        <v>West</v>
      </c>
      <c r="W1347" s="30"/>
      <c r="X1347" s="3" t="str">
        <f aca="false">IF(W1347="","",LN(W1347))</f>
        <v/>
      </c>
      <c r="Y1347" s="3" t="str">
        <f aca="false">IF(X1347="","",X1347-AVERAGEIFS($X$2:$X$2705,$B$2:$B$2705,B1347))</f>
        <v/>
      </c>
      <c r="Z1347" s="21" t="n">
        <f aca="false">P1347</f>
        <v>0.545688740076681</v>
      </c>
      <c r="AA1347" s="3" t="n">
        <f aca="false">R1347</f>
        <v>0</v>
      </c>
      <c r="AB1347" s="21" t="n">
        <f aca="false">P1347</f>
        <v>0.545688740076681</v>
      </c>
      <c r="AC1347" s="3" t="str">
        <f aca="false">Y1347</f>
        <v/>
      </c>
      <c r="AD1347" s="3" t="n">
        <f aca="false">R1347</f>
        <v>0</v>
      </c>
    </row>
    <row r="1348" customFormat="false" ht="15" hidden="false" customHeight="true" outlineLevel="0" collapsed="false">
      <c r="A1348" s="7" t="s">
        <v>77</v>
      </c>
      <c r="B1348" s="7" t="n">
        <v>1978</v>
      </c>
      <c r="C1348" s="7" t="s">
        <v>158</v>
      </c>
      <c r="D1348" s="7" t="n">
        <v>93</v>
      </c>
      <c r="E1348" s="7" t="n">
        <v>69</v>
      </c>
      <c r="F1348" s="3" t="n">
        <f aca="false">COUNTIFS($B$2:$B$2705,B1348,$C$2:$C$2705,C1348)</f>
        <v>1</v>
      </c>
      <c r="G1348" s="3" t="n">
        <f aca="false">MIN(INT((MIN(B1348,2020)-1900)/10)+1,12)</f>
        <v>8</v>
      </c>
      <c r="H1348" s="3" t="n">
        <f aca="false">(MIN(B1348,2020)-1900-10*(G1348-1))/10</f>
        <v>0.8</v>
      </c>
      <c r="I1348" s="20" t="n">
        <f aca="false">EXP(LN(INDEX(Pop_Inputs!$B$2:$N$29,MATCH(C1348,Pop_Inputs!$A$2:$A$29,0),G1348))*(1-H1348)+LN(INDEX(Pop_Inputs!$B$2:$N$29,MATCH(C1348,Pop_Inputs!$A$2:$A$29,0),G1348+1))*H1348)</f>
        <v>651624.355603344</v>
      </c>
      <c r="J1348" s="20" t="n">
        <f aca="false">I1348/F1348</f>
        <v>651624.355603344</v>
      </c>
      <c r="K1348" s="21" t="n">
        <f aca="false">D1348/(D1348+E1348)</f>
        <v>0.574074074074074</v>
      </c>
      <c r="L1348" s="21" t="n">
        <f aca="false">AVERAGEIFS($K$2:$K$2705,$B$2:$B$2705,B1348)</f>
        <v>0.499825617271234</v>
      </c>
      <c r="M1348" s="21" t="n">
        <f aca="false">K1348-L1348</f>
        <v>0.0742484568028403</v>
      </c>
      <c r="N1348" s="21" t="n">
        <f aca="false">LN(J1348)</f>
        <v>13.3872235331627</v>
      </c>
      <c r="O1348" s="21" t="n">
        <f aca="false">AVERAGEIFS($N$2:$N$2705,$B$2:$B$2705,B1348)</f>
        <v>13.653743084457</v>
      </c>
      <c r="P1348" s="21" t="n">
        <f aca="false">N1348-O1348</f>
        <v>-0.266519551294246</v>
      </c>
      <c r="Q1348" s="7" t="n">
        <v>1</v>
      </c>
      <c r="R1348" s="3" t="n">
        <f aca="false">IF(AND(Q1348=1,B1348-_xlfn.MINIFS($B$2:$B$2705,$A$2:$A$2705,A1348)&lt;10),1,0)</f>
        <v>1</v>
      </c>
      <c r="S1348" s="7" t="n">
        <v>0</v>
      </c>
      <c r="T1348" s="3" t="n">
        <f aca="false">_xlfn.MINIFS($B$2:$B$2705,$A$2:$A$2705,A1348)</f>
        <v>1969</v>
      </c>
      <c r="U1348" s="3" t="n">
        <f aca="false">B1348-T1348</f>
        <v>9</v>
      </c>
      <c r="V1348" s="3" t="str">
        <f aca="false">INDEX(Pop_Inputs!$Q$2:$Q$29,MATCH(C1348,Pop_Inputs!$A$2:$A$29,0))</f>
        <v>Midwest</v>
      </c>
      <c r="W1348" s="30"/>
      <c r="X1348" s="3" t="str">
        <f aca="false">IF(W1348="","",LN(W1348))</f>
        <v/>
      </c>
      <c r="Y1348" s="3" t="str">
        <f aca="false">IF(X1348="","",X1348-AVERAGEIFS($X$2:$X$2705,$B$2:$B$2705,B1348))</f>
        <v/>
      </c>
      <c r="Z1348" s="21" t="n">
        <f aca="false">P1348</f>
        <v>-0.266519551294246</v>
      </c>
      <c r="AA1348" s="3" t="n">
        <f aca="false">R1348</f>
        <v>1</v>
      </c>
      <c r="AB1348" s="21" t="n">
        <f aca="false">P1348</f>
        <v>-0.266519551294246</v>
      </c>
      <c r="AC1348" s="3" t="str">
        <f aca="false">Y1348</f>
        <v/>
      </c>
      <c r="AD1348" s="3" t="n">
        <f aca="false">R1348</f>
        <v>1</v>
      </c>
    </row>
    <row r="1349" customFormat="false" ht="15" hidden="false" customHeight="true" outlineLevel="0" collapsed="false">
      <c r="A1349" s="7" t="s">
        <v>68</v>
      </c>
      <c r="B1349" s="7" t="n">
        <v>1978</v>
      </c>
      <c r="C1349" s="7" t="s">
        <v>153</v>
      </c>
      <c r="D1349" s="7" t="n">
        <v>73</v>
      </c>
      <c r="E1349" s="7" t="n">
        <v>89</v>
      </c>
      <c r="F1349" s="3" t="n">
        <f aca="false">COUNTIFS($B$2:$B$2705,B1349,$C$2:$C$2705,C1349)</f>
        <v>1</v>
      </c>
      <c r="G1349" s="3" t="n">
        <f aca="false">MIN(INT((MIN(B1349,2020)-1900)/10)+1,12)</f>
        <v>8</v>
      </c>
      <c r="H1349" s="3" t="n">
        <f aca="false">(MIN(B1349,2020)-1900-10*(G1349-1))/10</f>
        <v>0.8</v>
      </c>
      <c r="I1349" s="20" t="n">
        <f aca="false">EXP(LN(INDEX(Pop_Inputs!$B$2:$N$29,MATCH(C1349,Pop_Inputs!$A$2:$A$29,0),G1349))*(1-H1349)+LN(INDEX(Pop_Inputs!$B$2:$N$29,MATCH(C1349,Pop_Inputs!$A$2:$A$29,0),G1349+1))*H1349)</f>
        <v>382852.246913127</v>
      </c>
      <c r="J1349" s="20" t="n">
        <f aca="false">I1349/F1349</f>
        <v>382852.246913127</v>
      </c>
      <c r="K1349" s="21" t="n">
        <f aca="false">D1349/(D1349+E1349)</f>
        <v>0.450617283950617</v>
      </c>
      <c r="L1349" s="21" t="n">
        <f aca="false">AVERAGEIFS($K$2:$K$2705,$B$2:$B$2705,B1349)</f>
        <v>0.499825617271234</v>
      </c>
      <c r="M1349" s="21" t="n">
        <f aca="false">K1349-L1349</f>
        <v>-0.0492083333206165</v>
      </c>
      <c r="N1349" s="21" t="n">
        <f aca="false">LN(J1349)</f>
        <v>12.8554044154365</v>
      </c>
      <c r="O1349" s="21" t="n">
        <f aca="false">AVERAGEIFS($N$2:$N$2705,$B$2:$B$2705,B1349)</f>
        <v>13.653743084457</v>
      </c>
      <c r="P1349" s="21" t="n">
        <f aca="false">N1349-O1349</f>
        <v>-0.798338669020476</v>
      </c>
      <c r="Q1349" s="7" t="n">
        <v>0</v>
      </c>
      <c r="R1349" s="3" t="n">
        <f aca="false">IF(AND(Q1349=1,B1349-_xlfn.MINIFS($B$2:$B$2705,$A$2:$A$2705,A1349)&lt;10),1,0)</f>
        <v>0</v>
      </c>
      <c r="S1349" s="7" t="n">
        <v>0</v>
      </c>
      <c r="T1349" s="3" t="n">
        <f aca="false">_xlfn.MINIFS($B$2:$B$2705,$A$2:$A$2705,A1349)</f>
        <v>1901</v>
      </c>
      <c r="U1349" s="3" t="n">
        <f aca="false">B1349-T1349</f>
        <v>77</v>
      </c>
      <c r="V1349" s="3" t="str">
        <f aca="false">INDEX(Pop_Inputs!$Q$2:$Q$29,MATCH(C1349,Pop_Inputs!$A$2:$A$29,0))</f>
        <v>Midwest</v>
      </c>
      <c r="W1349" s="30"/>
      <c r="X1349" s="3" t="str">
        <f aca="false">IF(W1349="","",LN(W1349))</f>
        <v/>
      </c>
      <c r="Y1349" s="3" t="str">
        <f aca="false">IF(X1349="","",X1349-AVERAGEIFS($X$2:$X$2705,$B$2:$B$2705,B1349))</f>
        <v/>
      </c>
      <c r="Z1349" s="21" t="n">
        <f aca="false">P1349</f>
        <v>-0.798338669020476</v>
      </c>
      <c r="AA1349" s="3" t="n">
        <f aca="false">R1349</f>
        <v>0</v>
      </c>
      <c r="AB1349" s="21" t="n">
        <f aca="false">P1349</f>
        <v>-0.798338669020476</v>
      </c>
      <c r="AC1349" s="3" t="str">
        <f aca="false">Y1349</f>
        <v/>
      </c>
      <c r="AD1349" s="3" t="n">
        <f aca="false">R1349</f>
        <v>0</v>
      </c>
    </row>
    <row r="1350" customFormat="false" ht="15" hidden="false" customHeight="true" outlineLevel="0" collapsed="false">
      <c r="A1350" s="7" t="s">
        <v>75</v>
      </c>
      <c r="B1350" s="7" t="n">
        <v>1978</v>
      </c>
      <c r="C1350" s="7" t="s">
        <v>154</v>
      </c>
      <c r="D1350" s="7" t="n">
        <v>66</v>
      </c>
      <c r="E1350" s="7" t="n">
        <v>96</v>
      </c>
      <c r="F1350" s="3" t="n">
        <f aca="false">COUNTIFS($B$2:$B$2705,B1350,$C$2:$C$2705,C1350)</f>
        <v>2</v>
      </c>
      <c r="G1350" s="3" t="n">
        <f aca="false">MIN(INT((MIN(B1350,2020)-1900)/10)+1,12)</f>
        <v>8</v>
      </c>
      <c r="H1350" s="3" t="n">
        <f aca="false">(MIN(B1350,2020)-1900-10*(G1350-1))/10</f>
        <v>0.8</v>
      </c>
      <c r="I1350" s="20" t="n">
        <f aca="false">EXP(LN(INDEX(Pop_Inputs!$B$2:$N$29,MATCH(C1350,Pop_Inputs!$A$2:$A$29,0),G1350))*(1-H1350)+LN(INDEX(Pop_Inputs!$B$2:$N$29,MATCH(C1350,Pop_Inputs!$A$2:$A$29,0),G1350+1))*H1350)</f>
        <v>7229112.35204798</v>
      </c>
      <c r="J1350" s="20" t="n">
        <f aca="false">I1350/F1350</f>
        <v>3614556.17602399</v>
      </c>
      <c r="K1350" s="21" t="n">
        <f aca="false">D1350/(D1350+E1350)</f>
        <v>0.407407407407407</v>
      </c>
      <c r="L1350" s="21" t="n">
        <f aca="false">AVERAGEIFS($K$2:$K$2705,$B$2:$B$2705,B1350)</f>
        <v>0.499825617271234</v>
      </c>
      <c r="M1350" s="21" t="n">
        <f aca="false">K1350-L1350</f>
        <v>-0.0924182098638264</v>
      </c>
      <c r="N1350" s="21" t="n">
        <f aca="false">LN(J1350)</f>
        <v>15.1004796331537</v>
      </c>
      <c r="O1350" s="21" t="n">
        <f aca="false">AVERAGEIFS($N$2:$N$2705,$B$2:$B$2705,B1350)</f>
        <v>13.653743084457</v>
      </c>
      <c r="P1350" s="21" t="n">
        <f aca="false">N1350-O1350</f>
        <v>1.44673654869674</v>
      </c>
      <c r="Q1350" s="7" t="n">
        <v>1</v>
      </c>
      <c r="R1350" s="3" t="n">
        <f aca="false">IF(AND(Q1350=1,B1350-_xlfn.MINIFS($B$2:$B$2705,$A$2:$A$2705,A1350)&lt;10),1,0)</f>
        <v>0</v>
      </c>
      <c r="S1350" s="7" t="n">
        <v>0</v>
      </c>
      <c r="T1350" s="3" t="n">
        <f aca="false">_xlfn.MINIFS($B$2:$B$2705,$A$2:$A$2705,A1350)</f>
        <v>1962</v>
      </c>
      <c r="U1350" s="3" t="n">
        <f aca="false">B1350-T1350</f>
        <v>16</v>
      </c>
      <c r="V1350" s="3" t="str">
        <f aca="false">INDEX(Pop_Inputs!$Q$2:$Q$29,MATCH(C1350,Pop_Inputs!$A$2:$A$29,0))</f>
        <v>Northeast</v>
      </c>
      <c r="W1350" s="30"/>
      <c r="X1350" s="3" t="str">
        <f aca="false">IF(W1350="","",LN(W1350))</f>
        <v/>
      </c>
      <c r="Y1350" s="3" t="str">
        <f aca="false">IF(X1350="","",X1350-AVERAGEIFS($X$2:$X$2705,$B$2:$B$2705,B1350))</f>
        <v/>
      </c>
      <c r="Z1350" s="21" t="n">
        <f aca="false">P1350</f>
        <v>1.44673654869674</v>
      </c>
      <c r="AA1350" s="3" t="n">
        <f aca="false">R1350</f>
        <v>0</v>
      </c>
      <c r="AB1350" s="21" t="n">
        <f aca="false">P1350</f>
        <v>1.44673654869674</v>
      </c>
      <c r="AC1350" s="3" t="str">
        <f aca="false">Y1350</f>
        <v/>
      </c>
      <c r="AD1350" s="3" t="n">
        <f aca="false">R1350</f>
        <v>0</v>
      </c>
    </row>
    <row r="1351" customFormat="false" ht="15" hidden="false" customHeight="true" outlineLevel="0" collapsed="false">
      <c r="A1351" s="7" t="s">
        <v>70</v>
      </c>
      <c r="B1351" s="7" t="n">
        <v>1978</v>
      </c>
      <c r="C1351" s="7" t="s">
        <v>154</v>
      </c>
      <c r="D1351" s="7" t="n">
        <v>100</v>
      </c>
      <c r="E1351" s="7" t="n">
        <v>63</v>
      </c>
      <c r="F1351" s="3" t="n">
        <f aca="false">COUNTIFS($B$2:$B$2705,B1351,$C$2:$C$2705,C1351)</f>
        <v>2</v>
      </c>
      <c r="G1351" s="3" t="n">
        <f aca="false">MIN(INT((MIN(B1351,2020)-1900)/10)+1,12)</f>
        <v>8</v>
      </c>
      <c r="H1351" s="3" t="n">
        <f aca="false">(MIN(B1351,2020)-1900-10*(G1351-1))/10</f>
        <v>0.8</v>
      </c>
      <c r="I1351" s="20" t="n">
        <f aca="false">EXP(LN(INDEX(Pop_Inputs!$B$2:$N$29,MATCH(C1351,Pop_Inputs!$A$2:$A$29,0),G1351))*(1-H1351)+LN(INDEX(Pop_Inputs!$B$2:$N$29,MATCH(C1351,Pop_Inputs!$A$2:$A$29,0),G1351+1))*H1351)</f>
        <v>7229112.35204798</v>
      </c>
      <c r="J1351" s="20" t="n">
        <f aca="false">I1351/F1351</f>
        <v>3614556.17602399</v>
      </c>
      <c r="K1351" s="21" t="n">
        <f aca="false">D1351/(D1351+E1351)</f>
        <v>0.613496932515337</v>
      </c>
      <c r="L1351" s="21" t="n">
        <f aca="false">AVERAGEIFS($K$2:$K$2705,$B$2:$B$2705,B1351)</f>
        <v>0.499825617271234</v>
      </c>
      <c r="M1351" s="21" t="n">
        <f aca="false">K1351-L1351</f>
        <v>0.113671315244104</v>
      </c>
      <c r="N1351" s="21" t="n">
        <f aca="false">LN(J1351)</f>
        <v>15.1004796331537</v>
      </c>
      <c r="O1351" s="21" t="n">
        <f aca="false">AVERAGEIFS($N$2:$N$2705,$B$2:$B$2705,B1351)</f>
        <v>13.653743084457</v>
      </c>
      <c r="P1351" s="21" t="n">
        <f aca="false">N1351-O1351</f>
        <v>1.44673654869674</v>
      </c>
      <c r="Q1351" s="7" t="n">
        <v>0</v>
      </c>
      <c r="R1351" s="3" t="n">
        <f aca="false">IF(AND(Q1351=1,B1351-_xlfn.MINIFS($B$2:$B$2705,$A$2:$A$2705,A1351)&lt;10),1,0)</f>
        <v>0</v>
      </c>
      <c r="S1351" s="7" t="n">
        <v>1</v>
      </c>
      <c r="T1351" s="3" t="n">
        <f aca="false">_xlfn.MINIFS($B$2:$B$2705,$A$2:$A$2705,A1351)</f>
        <v>1903</v>
      </c>
      <c r="U1351" s="3" t="n">
        <f aca="false">B1351-T1351</f>
        <v>75</v>
      </c>
      <c r="V1351" s="3" t="str">
        <f aca="false">INDEX(Pop_Inputs!$Q$2:$Q$29,MATCH(C1351,Pop_Inputs!$A$2:$A$29,0))</f>
        <v>Northeast</v>
      </c>
      <c r="W1351" s="30"/>
      <c r="X1351" s="3" t="str">
        <f aca="false">IF(W1351="","",LN(W1351))</f>
        <v/>
      </c>
      <c r="Y1351" s="3" t="str">
        <f aca="false">IF(X1351="","",X1351-AVERAGEIFS($X$2:$X$2705,$B$2:$B$2705,B1351))</f>
        <v/>
      </c>
      <c r="Z1351" s="21" t="n">
        <f aca="false">P1351</f>
        <v>1.44673654869674</v>
      </c>
      <c r="AA1351" s="3" t="n">
        <f aca="false">R1351</f>
        <v>0</v>
      </c>
      <c r="AB1351" s="21" t="n">
        <f aca="false">P1351</f>
        <v>1.44673654869674</v>
      </c>
      <c r="AC1351" s="3" t="str">
        <f aca="false">Y1351</f>
        <v/>
      </c>
      <c r="AD1351" s="3" t="n">
        <f aca="false">R1351</f>
        <v>0</v>
      </c>
    </row>
    <row r="1352" customFormat="false" ht="15" hidden="false" customHeight="true" outlineLevel="0" collapsed="false">
      <c r="A1352" s="7" t="s">
        <v>69</v>
      </c>
      <c r="B1352" s="7" t="n">
        <v>1978</v>
      </c>
      <c r="C1352" s="7" t="s">
        <v>253</v>
      </c>
      <c r="D1352" s="7" t="n">
        <v>69</v>
      </c>
      <c r="E1352" s="7" t="n">
        <v>93</v>
      </c>
      <c r="F1352" s="3" t="n">
        <f aca="false">COUNTIFS($B$2:$B$2705,B1352,$C$2:$C$2705,C1352)</f>
        <v>1</v>
      </c>
      <c r="G1352" s="3" t="n">
        <f aca="false">MIN(INT((MIN(B1352,2020)-1900)/10)+1,12)</f>
        <v>8</v>
      </c>
      <c r="H1352" s="3" t="n">
        <f aca="false">(MIN(B1352,2020)-1900-10*(G1352-1))/10</f>
        <v>0.8</v>
      </c>
      <c r="I1352" s="20" t="n">
        <f aca="false">EXP(LN(INDEX(Pop_Inputs!$B$2:$N$29,MATCH(C1352,Pop_Inputs!$A$2:$A$29,0),G1352))*(1-H1352)+LN(INDEX(Pop_Inputs!$B$2:$N$29,MATCH(C1352,Pop_Inputs!$A$2:$A$29,0),G1352+1))*H1352)</f>
        <v>343669.735452876</v>
      </c>
      <c r="J1352" s="20" t="n">
        <f aca="false">I1352/F1352</f>
        <v>343669.735452876</v>
      </c>
      <c r="K1352" s="21" t="n">
        <f aca="false">D1352/(D1352+E1352)</f>
        <v>0.425925925925926</v>
      </c>
      <c r="L1352" s="21" t="n">
        <f aca="false">AVERAGEIFS($K$2:$K$2705,$B$2:$B$2705,B1352)</f>
        <v>0.499825617271234</v>
      </c>
      <c r="M1352" s="21" t="n">
        <f aca="false">K1352-L1352</f>
        <v>-0.0738996913453078</v>
      </c>
      <c r="N1352" s="21" t="n">
        <f aca="false">LN(J1352)</f>
        <v>12.7474364038339</v>
      </c>
      <c r="O1352" s="21" t="n">
        <f aca="false">AVERAGEIFS($N$2:$N$2705,$B$2:$B$2705,B1352)</f>
        <v>13.653743084457</v>
      </c>
      <c r="P1352" s="21" t="n">
        <f aca="false">N1352-O1352</f>
        <v>-0.906306680623041</v>
      </c>
      <c r="Q1352" s="7" t="n">
        <v>0</v>
      </c>
      <c r="R1352" s="3" t="n">
        <f aca="false">IF(AND(Q1352=1,B1352-_xlfn.MINIFS($B$2:$B$2705,$A$2:$A$2705,A1352)&lt;10),1,0)</f>
        <v>0</v>
      </c>
      <c r="S1352" s="7" t="n">
        <v>0</v>
      </c>
      <c r="T1352" s="3" t="n">
        <f aca="false">_xlfn.MINIFS($B$2:$B$2705,$A$2:$A$2705,A1352)</f>
        <v>1901</v>
      </c>
      <c r="U1352" s="3" t="n">
        <f aca="false">B1352-T1352</f>
        <v>77</v>
      </c>
      <c r="V1352" s="3" t="str">
        <f aca="false">INDEX(Pop_Inputs!$Q$2:$Q$29,MATCH(C1352,Pop_Inputs!$A$2:$A$29,0))</f>
        <v>West</v>
      </c>
      <c r="W1352" s="30"/>
      <c r="X1352" s="3" t="str">
        <f aca="false">IF(W1352="","",LN(W1352))</f>
        <v/>
      </c>
      <c r="Y1352" s="3" t="str">
        <f aca="false">IF(X1352="","",X1352-AVERAGEIFS($X$2:$X$2705,$B$2:$B$2705,B1352))</f>
        <v/>
      </c>
      <c r="Z1352" s="21" t="n">
        <f aca="false">P1352</f>
        <v>-0.906306680623041</v>
      </c>
      <c r="AA1352" s="3" t="n">
        <f aca="false">R1352</f>
        <v>0</v>
      </c>
      <c r="AB1352" s="21" t="n">
        <f aca="false">P1352</f>
        <v>-0.906306680623041</v>
      </c>
      <c r="AC1352" s="3" t="str">
        <f aca="false">Y1352</f>
        <v/>
      </c>
      <c r="AD1352" s="3" t="n">
        <f aca="false">R1352</f>
        <v>0</v>
      </c>
    </row>
    <row r="1353" customFormat="false" ht="15" hidden="false" customHeight="true" outlineLevel="0" collapsed="false">
      <c r="A1353" s="7" t="s">
        <v>60</v>
      </c>
      <c r="B1353" s="7" t="n">
        <v>1978</v>
      </c>
      <c r="C1353" s="7" t="s">
        <v>146</v>
      </c>
      <c r="D1353" s="7" t="n">
        <v>90</v>
      </c>
      <c r="E1353" s="7" t="n">
        <v>72</v>
      </c>
      <c r="F1353" s="3" t="n">
        <f aca="false">COUNTIFS($B$2:$B$2705,B1353,$C$2:$C$2705,C1353)</f>
        <v>1</v>
      </c>
      <c r="G1353" s="3" t="n">
        <f aca="false">MIN(INT((MIN(B1353,2020)-1900)/10)+1,12)</f>
        <v>8</v>
      </c>
      <c r="H1353" s="3" t="n">
        <f aca="false">(MIN(B1353,2020)-1900-10*(G1353-1))/10</f>
        <v>0.8</v>
      </c>
      <c r="I1353" s="20" t="n">
        <f aca="false">EXP(LN(INDEX(Pop_Inputs!$B$2:$N$29,MATCH(C1353,Pop_Inputs!$A$2:$A$29,0),G1353))*(1-H1353)+LN(INDEX(Pop_Inputs!$B$2:$N$29,MATCH(C1353,Pop_Inputs!$A$2:$A$29,0),G1353+1))*H1353)</f>
        <v>1737345.1874776</v>
      </c>
      <c r="J1353" s="20" t="n">
        <f aca="false">I1353/F1353</f>
        <v>1737345.1874776</v>
      </c>
      <c r="K1353" s="21" t="n">
        <f aca="false">D1353/(D1353+E1353)</f>
        <v>0.555555555555556</v>
      </c>
      <c r="L1353" s="21" t="n">
        <f aca="false">AVERAGEIFS($K$2:$K$2705,$B$2:$B$2705,B1353)</f>
        <v>0.499825617271234</v>
      </c>
      <c r="M1353" s="21" t="n">
        <f aca="false">K1353-L1353</f>
        <v>0.0557299382843218</v>
      </c>
      <c r="N1353" s="21" t="n">
        <f aca="false">LN(J1353)</f>
        <v>14.3678687517191</v>
      </c>
      <c r="O1353" s="21" t="n">
        <f aca="false">AVERAGEIFS($N$2:$N$2705,$B$2:$B$2705,B1353)</f>
        <v>13.653743084457</v>
      </c>
      <c r="P1353" s="21" t="n">
        <f aca="false">N1353-O1353</f>
        <v>0.714125667262099</v>
      </c>
      <c r="Q1353" s="7" t="n">
        <v>0</v>
      </c>
      <c r="R1353" s="3" t="n">
        <f aca="false">IF(AND(Q1353=1,B1353-_xlfn.MINIFS($B$2:$B$2705,$A$2:$A$2705,A1353)&lt;10),1,0)</f>
        <v>0</v>
      </c>
      <c r="S1353" s="7" t="n">
        <v>0</v>
      </c>
      <c r="T1353" s="3" t="n">
        <f aca="false">_xlfn.MINIFS($B$2:$B$2705,$A$2:$A$2705,A1353)</f>
        <v>1901</v>
      </c>
      <c r="U1353" s="3" t="n">
        <f aca="false">B1353-T1353</f>
        <v>77</v>
      </c>
      <c r="V1353" s="3" t="str">
        <f aca="false">INDEX(Pop_Inputs!$Q$2:$Q$29,MATCH(C1353,Pop_Inputs!$A$2:$A$29,0))</f>
        <v>Northeast</v>
      </c>
      <c r="W1353" s="30"/>
      <c r="X1353" s="3" t="str">
        <f aca="false">IF(W1353="","",LN(W1353))</f>
        <v/>
      </c>
      <c r="Y1353" s="3" t="str">
        <f aca="false">IF(X1353="","",X1353-AVERAGEIFS($X$2:$X$2705,$B$2:$B$2705,B1353))</f>
        <v/>
      </c>
      <c r="Z1353" s="21" t="n">
        <f aca="false">P1353</f>
        <v>0.714125667262099</v>
      </c>
      <c r="AA1353" s="3" t="n">
        <f aca="false">R1353</f>
        <v>0</v>
      </c>
      <c r="AB1353" s="21" t="n">
        <f aca="false">P1353</f>
        <v>0.714125667262099</v>
      </c>
      <c r="AC1353" s="3" t="str">
        <f aca="false">Y1353</f>
        <v/>
      </c>
      <c r="AD1353" s="3" t="n">
        <f aca="false">R1353</f>
        <v>0</v>
      </c>
    </row>
    <row r="1354" customFormat="false" ht="15" hidden="false" customHeight="true" outlineLevel="0" collapsed="false">
      <c r="A1354" s="7" t="s">
        <v>58</v>
      </c>
      <c r="B1354" s="7" t="n">
        <v>1978</v>
      </c>
      <c r="C1354" s="7" t="s">
        <v>144</v>
      </c>
      <c r="D1354" s="7" t="n">
        <v>88</v>
      </c>
      <c r="E1354" s="7" t="n">
        <v>73</v>
      </c>
      <c r="F1354" s="3" t="n">
        <f aca="false">COUNTIFS($B$2:$B$2705,B1354,$C$2:$C$2705,C1354)</f>
        <v>1</v>
      </c>
      <c r="G1354" s="3" t="n">
        <f aca="false">MIN(INT((MIN(B1354,2020)-1900)/10)+1,12)</f>
        <v>8</v>
      </c>
      <c r="H1354" s="3" t="n">
        <f aca="false">(MIN(B1354,2020)-1900-10*(G1354-1))/10</f>
        <v>0.8</v>
      </c>
      <c r="I1354" s="20" t="n">
        <f aca="false">EXP(LN(INDEX(Pop_Inputs!$B$2:$N$29,MATCH(C1354,Pop_Inputs!$A$2:$A$29,0),G1354))*(1-H1354)+LN(INDEX(Pop_Inputs!$B$2:$N$29,MATCH(C1354,Pop_Inputs!$A$2:$A$29,0),G1354+1))*H1354)</f>
        <v>441633.579123186</v>
      </c>
      <c r="J1354" s="20" t="n">
        <f aca="false">I1354/F1354</f>
        <v>441633.579123186</v>
      </c>
      <c r="K1354" s="21" t="n">
        <f aca="false">D1354/(D1354+E1354)</f>
        <v>0.546583850931677</v>
      </c>
      <c r="L1354" s="21" t="n">
        <f aca="false">AVERAGEIFS($K$2:$K$2705,$B$2:$B$2705,B1354)</f>
        <v>0.499825617271234</v>
      </c>
      <c r="M1354" s="21" t="n">
        <f aca="false">K1354-L1354</f>
        <v>0.0467582336604433</v>
      </c>
      <c r="N1354" s="21" t="n">
        <f aca="false">LN(J1354)</f>
        <v>12.9982358107353</v>
      </c>
      <c r="O1354" s="21" t="n">
        <f aca="false">AVERAGEIFS($N$2:$N$2705,$B$2:$B$2705,B1354)</f>
        <v>13.653743084457</v>
      </c>
      <c r="P1354" s="21" t="n">
        <f aca="false">N1354-O1354</f>
        <v>-0.65550727372168</v>
      </c>
      <c r="Q1354" s="7" t="n">
        <v>0</v>
      </c>
      <c r="R1354" s="3" t="n">
        <f aca="false">IF(AND(Q1354=1,B1354-_xlfn.MINIFS($B$2:$B$2705,$A$2:$A$2705,A1354)&lt;10),1,0)</f>
        <v>0</v>
      </c>
      <c r="S1354" s="7" t="n">
        <v>0</v>
      </c>
      <c r="T1354" s="3" t="n">
        <f aca="false">_xlfn.MINIFS($B$2:$B$2705,$A$2:$A$2705,A1354)</f>
        <v>1901</v>
      </c>
      <c r="U1354" s="3" t="n">
        <f aca="false">B1354-T1354</f>
        <v>77</v>
      </c>
      <c r="V1354" s="3" t="str">
        <f aca="false">INDEX(Pop_Inputs!$Q$2:$Q$29,MATCH(C1354,Pop_Inputs!$A$2:$A$29,0))</f>
        <v>Northeast</v>
      </c>
      <c r="W1354" s="30"/>
      <c r="X1354" s="3" t="str">
        <f aca="false">IF(W1354="","",LN(W1354))</f>
        <v/>
      </c>
      <c r="Y1354" s="3" t="str">
        <f aca="false">IF(X1354="","",X1354-AVERAGEIFS($X$2:$X$2705,$B$2:$B$2705,B1354))</f>
        <v/>
      </c>
      <c r="Z1354" s="21" t="n">
        <f aca="false">P1354</f>
        <v>-0.65550727372168</v>
      </c>
      <c r="AA1354" s="3" t="n">
        <f aca="false">R1354</f>
        <v>0</v>
      </c>
      <c r="AB1354" s="21" t="n">
        <f aca="false">P1354</f>
        <v>-0.65550727372168</v>
      </c>
      <c r="AC1354" s="3" t="str">
        <f aca="false">Y1354</f>
        <v/>
      </c>
      <c r="AD1354" s="3" t="n">
        <f aca="false">R1354</f>
        <v>0</v>
      </c>
    </row>
    <row r="1355" customFormat="false" ht="15" hidden="false" customHeight="true" outlineLevel="0" collapsed="false">
      <c r="A1355" s="7" t="s">
        <v>78</v>
      </c>
      <c r="B1355" s="7" t="n">
        <v>1978</v>
      </c>
      <c r="C1355" s="7" t="s">
        <v>159</v>
      </c>
      <c r="D1355" s="7" t="n">
        <v>84</v>
      </c>
      <c r="E1355" s="7" t="n">
        <v>78</v>
      </c>
      <c r="F1355" s="3" t="n">
        <f aca="false">COUNTIFS($B$2:$B$2705,B1355,$C$2:$C$2705,C1355)</f>
        <v>1</v>
      </c>
      <c r="G1355" s="3" t="n">
        <f aca="false">MIN(INT((MIN(B1355,2020)-1900)/10)+1,12)</f>
        <v>8</v>
      </c>
      <c r="H1355" s="3" t="n">
        <f aca="false">(MIN(B1355,2020)-1900-10*(G1355-1))/10</f>
        <v>0.8</v>
      </c>
      <c r="I1355" s="20" t="n">
        <f aca="false">EXP(LN(INDEX(Pop_Inputs!$B$2:$N$29,MATCH(C1355,Pop_Inputs!$A$2:$A$29,0),G1355))*(1-H1355)+LN(INDEX(Pop_Inputs!$B$2:$N$29,MATCH(C1355,Pop_Inputs!$A$2:$A$29,0),G1355+1))*H1355)</f>
        <v>836445.721532762</v>
      </c>
      <c r="J1355" s="20" t="n">
        <f aca="false">I1355/F1355</f>
        <v>836445.721532762</v>
      </c>
      <c r="K1355" s="21" t="n">
        <f aca="false">D1355/(D1355+E1355)</f>
        <v>0.518518518518519</v>
      </c>
      <c r="L1355" s="21" t="n">
        <f aca="false">AVERAGEIFS($K$2:$K$2705,$B$2:$B$2705,B1355)</f>
        <v>0.499825617271234</v>
      </c>
      <c r="M1355" s="21" t="n">
        <f aca="false">K1355-L1355</f>
        <v>0.0186929012472847</v>
      </c>
      <c r="N1355" s="21" t="n">
        <f aca="false">LN(J1355)</f>
        <v>13.6369169097159</v>
      </c>
      <c r="O1355" s="21" t="n">
        <f aca="false">AVERAGEIFS($N$2:$N$2705,$B$2:$B$2705,B1355)</f>
        <v>13.653743084457</v>
      </c>
      <c r="P1355" s="21" t="n">
        <f aca="false">N1355-O1355</f>
        <v>-0.0168261747410874</v>
      </c>
      <c r="Q1355" s="7" t="n">
        <v>1</v>
      </c>
      <c r="R1355" s="3" t="n">
        <f aca="false">IF(AND(Q1355=1,B1355-_xlfn.MINIFS($B$2:$B$2705,$A$2:$A$2705,A1355)&lt;10),1,0)</f>
        <v>1</v>
      </c>
      <c r="S1355" s="7" t="n">
        <v>0</v>
      </c>
      <c r="T1355" s="3" t="n">
        <f aca="false">_xlfn.MINIFS($B$2:$B$2705,$A$2:$A$2705,A1355)</f>
        <v>1969</v>
      </c>
      <c r="U1355" s="3" t="n">
        <f aca="false">B1355-T1355</f>
        <v>9</v>
      </c>
      <c r="V1355" s="3" t="str">
        <f aca="false">INDEX(Pop_Inputs!$Q$2:$Q$29,MATCH(C1355,Pop_Inputs!$A$2:$A$29,0))</f>
        <v>West</v>
      </c>
      <c r="W1355" s="30"/>
      <c r="X1355" s="3" t="str">
        <f aca="false">IF(W1355="","",LN(W1355))</f>
        <v/>
      </c>
      <c r="Y1355" s="3" t="str">
        <f aca="false">IF(X1355="","",X1355-AVERAGEIFS($X$2:$X$2705,$B$2:$B$2705,B1355))</f>
        <v/>
      </c>
      <c r="Z1355" s="21" t="n">
        <f aca="false">P1355</f>
        <v>-0.0168261747410874</v>
      </c>
      <c r="AA1355" s="3" t="n">
        <f aca="false">R1355</f>
        <v>1</v>
      </c>
      <c r="AB1355" s="21" t="n">
        <f aca="false">P1355</f>
        <v>-0.0168261747410874</v>
      </c>
      <c r="AC1355" s="3" t="str">
        <f aca="false">Y1355</f>
        <v/>
      </c>
      <c r="AD1355" s="3" t="n">
        <f aca="false">R1355</f>
        <v>1</v>
      </c>
    </row>
    <row r="1356" customFormat="false" ht="15" hidden="false" customHeight="true" outlineLevel="0" collapsed="false">
      <c r="A1356" s="7" t="s">
        <v>80</v>
      </c>
      <c r="B1356" s="7" t="n">
        <v>1978</v>
      </c>
      <c r="C1356" s="7" t="s">
        <v>161</v>
      </c>
      <c r="D1356" s="7" t="n">
        <v>56</v>
      </c>
      <c r="E1356" s="7" t="n">
        <v>104</v>
      </c>
      <c r="F1356" s="3" t="n">
        <f aca="false">COUNTIFS($B$2:$B$2705,B1356,$C$2:$C$2705,C1356)</f>
        <v>1</v>
      </c>
      <c r="G1356" s="3" t="n">
        <f aca="false">MIN(INT((MIN(B1356,2020)-1900)/10)+1,12)</f>
        <v>8</v>
      </c>
      <c r="H1356" s="3" t="n">
        <f aca="false">(MIN(B1356,2020)-1900-10*(G1356-1))/10</f>
        <v>0.8</v>
      </c>
      <c r="I1356" s="20" t="n">
        <f aca="false">EXP(LN(INDEX(Pop_Inputs!$B$2:$N$29,MATCH(C1356,Pop_Inputs!$A$2:$A$29,0),G1356))*(1-H1356)+LN(INDEX(Pop_Inputs!$B$2:$N$29,MATCH(C1356,Pop_Inputs!$A$2:$A$29,0),G1356+1))*H1356)</f>
        <v>501030.873425292</v>
      </c>
      <c r="J1356" s="20" t="n">
        <f aca="false">I1356/F1356</f>
        <v>501030.873425292</v>
      </c>
      <c r="K1356" s="21" t="n">
        <f aca="false">D1356/(D1356+E1356)</f>
        <v>0.35</v>
      </c>
      <c r="L1356" s="21" t="n">
        <f aca="false">AVERAGEIFS($K$2:$K$2705,$B$2:$B$2705,B1356)</f>
        <v>0.499825617271234</v>
      </c>
      <c r="M1356" s="21" t="n">
        <f aca="false">K1356-L1356</f>
        <v>-0.149825617271234</v>
      </c>
      <c r="N1356" s="21" t="n">
        <f aca="false">LN(J1356)</f>
        <v>13.1244230017717</v>
      </c>
      <c r="O1356" s="21" t="n">
        <f aca="false">AVERAGEIFS($N$2:$N$2705,$B$2:$B$2705,B1356)</f>
        <v>13.653743084457</v>
      </c>
      <c r="P1356" s="21" t="n">
        <f aca="false">N1356-O1356</f>
        <v>-0.529320082685238</v>
      </c>
      <c r="Q1356" s="7" t="n">
        <v>1</v>
      </c>
      <c r="R1356" s="3" t="n">
        <f aca="false">IF(AND(Q1356=1,B1356-_xlfn.MINIFS($B$2:$B$2705,$A$2:$A$2705,A1356)&lt;10),1,0)</f>
        <v>1</v>
      </c>
      <c r="S1356" s="7" t="n">
        <v>0</v>
      </c>
      <c r="T1356" s="3" t="n">
        <f aca="false">_xlfn.MINIFS($B$2:$B$2705,$A$2:$A$2705,A1356)</f>
        <v>1977</v>
      </c>
      <c r="U1356" s="3" t="n">
        <f aca="false">B1356-T1356</f>
        <v>1</v>
      </c>
      <c r="V1356" s="3" t="str">
        <f aca="false">INDEX(Pop_Inputs!$Q$2:$Q$29,MATCH(C1356,Pop_Inputs!$A$2:$A$29,0))</f>
        <v>West</v>
      </c>
      <c r="W1356" s="30"/>
      <c r="X1356" s="3" t="str">
        <f aca="false">IF(W1356="","",LN(W1356))</f>
        <v/>
      </c>
      <c r="Y1356" s="3" t="str">
        <f aca="false">IF(X1356="","",X1356-AVERAGEIFS($X$2:$X$2705,$B$2:$B$2705,B1356))</f>
        <v/>
      </c>
      <c r="Z1356" s="21" t="n">
        <f aca="false">P1356</f>
        <v>-0.529320082685238</v>
      </c>
      <c r="AA1356" s="3" t="n">
        <f aca="false">R1356</f>
        <v>1</v>
      </c>
      <c r="AB1356" s="21" t="n">
        <f aca="false">P1356</f>
        <v>-0.529320082685238</v>
      </c>
      <c r="AC1356" s="3" t="str">
        <f aca="false">Y1356</f>
        <v/>
      </c>
      <c r="AD1356" s="3" t="n">
        <f aca="false">R1356</f>
        <v>1</v>
      </c>
    </row>
    <row r="1357" customFormat="false" ht="15" hidden="false" customHeight="true" outlineLevel="0" collapsed="false">
      <c r="A1357" s="7" t="s">
        <v>61</v>
      </c>
      <c r="B1357" s="7" t="n">
        <v>1978</v>
      </c>
      <c r="C1357" s="7" t="s">
        <v>147</v>
      </c>
      <c r="D1357" s="7" t="n">
        <v>89</v>
      </c>
      <c r="E1357" s="7" t="n">
        <v>73</v>
      </c>
      <c r="F1357" s="3" t="n">
        <f aca="false">COUNTIFS($B$2:$B$2705,B1357,$C$2:$C$2705,C1357)</f>
        <v>1</v>
      </c>
      <c r="G1357" s="3" t="n">
        <f aca="false">MIN(INT((MIN(B1357,2020)-1900)/10)+1,12)</f>
        <v>8</v>
      </c>
      <c r="H1357" s="3" t="n">
        <f aca="false">(MIN(B1357,2020)-1900-10*(G1357-1))/10</f>
        <v>0.8</v>
      </c>
      <c r="I1357" s="20" t="n">
        <f aca="false">EXP(LN(INDEX(Pop_Inputs!$B$2:$N$29,MATCH(C1357,Pop_Inputs!$A$2:$A$29,0),G1357))*(1-H1357)+LN(INDEX(Pop_Inputs!$B$2:$N$29,MATCH(C1357,Pop_Inputs!$A$2:$A$29,0),G1357+1))*H1357)</f>
        <v>686160.262591346</v>
      </c>
      <c r="J1357" s="20" t="n">
        <f aca="false">I1357/F1357</f>
        <v>686160.262591346</v>
      </c>
      <c r="K1357" s="21" t="n">
        <f aca="false">D1357/(D1357+E1357)</f>
        <v>0.549382716049383</v>
      </c>
      <c r="L1357" s="21" t="n">
        <f aca="false">AVERAGEIFS($K$2:$K$2705,$B$2:$B$2705,B1357)</f>
        <v>0.499825617271234</v>
      </c>
      <c r="M1357" s="21" t="n">
        <f aca="false">K1357-L1357</f>
        <v>0.049557098778149</v>
      </c>
      <c r="N1357" s="21" t="n">
        <f aca="false">LN(J1357)</f>
        <v>13.4388664983612</v>
      </c>
      <c r="O1357" s="21" t="n">
        <f aca="false">AVERAGEIFS($N$2:$N$2705,$B$2:$B$2705,B1357)</f>
        <v>13.653743084457</v>
      </c>
      <c r="P1357" s="21" t="n">
        <f aca="false">N1357-O1357</f>
        <v>-0.214876586095771</v>
      </c>
      <c r="Q1357" s="7" t="n">
        <v>0</v>
      </c>
      <c r="R1357" s="3" t="n">
        <f aca="false">IF(AND(Q1357=1,B1357-_xlfn.MINIFS($B$2:$B$2705,$A$2:$A$2705,A1357)&lt;10),1,0)</f>
        <v>0</v>
      </c>
      <c r="S1357" s="7" t="n">
        <v>0</v>
      </c>
      <c r="T1357" s="3" t="n">
        <f aca="false">_xlfn.MINIFS($B$2:$B$2705,$A$2:$A$2705,A1357)</f>
        <v>1901</v>
      </c>
      <c r="U1357" s="3" t="n">
        <f aca="false">B1357-T1357</f>
        <v>77</v>
      </c>
      <c r="V1357" s="3" t="str">
        <f aca="false">INDEX(Pop_Inputs!$Q$2:$Q$29,MATCH(C1357,Pop_Inputs!$A$2:$A$29,0))</f>
        <v>West</v>
      </c>
      <c r="W1357" s="30"/>
      <c r="X1357" s="3" t="str">
        <f aca="false">IF(W1357="","",LN(W1357))</f>
        <v/>
      </c>
      <c r="Y1357" s="3" t="str">
        <f aca="false">IF(X1357="","",X1357-AVERAGEIFS($X$2:$X$2705,$B$2:$B$2705,B1357))</f>
        <v/>
      </c>
      <c r="Z1357" s="21" t="n">
        <f aca="false">P1357</f>
        <v>-0.214876586095771</v>
      </c>
      <c r="AA1357" s="3" t="n">
        <f aca="false">R1357</f>
        <v>0</v>
      </c>
      <c r="AB1357" s="21" t="n">
        <f aca="false">P1357</f>
        <v>-0.214876586095771</v>
      </c>
      <c r="AC1357" s="3" t="str">
        <f aca="false">Y1357</f>
        <v/>
      </c>
      <c r="AD1357" s="3" t="n">
        <f aca="false">R1357</f>
        <v>0</v>
      </c>
    </row>
    <row r="1358" customFormat="false" ht="15" hidden="false" customHeight="true" outlineLevel="0" collapsed="false">
      <c r="A1358" s="7" t="s">
        <v>59</v>
      </c>
      <c r="B1358" s="7" t="n">
        <v>1978</v>
      </c>
      <c r="C1358" s="7" t="s">
        <v>145</v>
      </c>
      <c r="D1358" s="7" t="n">
        <v>69</v>
      </c>
      <c r="E1358" s="7" t="n">
        <v>93</v>
      </c>
      <c r="F1358" s="3" t="n">
        <f aca="false">COUNTIFS($B$2:$B$2705,B1358,$C$2:$C$2705,C1358)</f>
        <v>1</v>
      </c>
      <c r="G1358" s="3" t="n">
        <f aca="false">MIN(INT((MIN(B1358,2020)-1900)/10)+1,12)</f>
        <v>8</v>
      </c>
      <c r="H1358" s="3" t="n">
        <f aca="false">(MIN(B1358,2020)-1900-10*(G1358-1))/10</f>
        <v>0.8</v>
      </c>
      <c r="I1358" s="20" t="n">
        <f aca="false">EXP(LN(INDEX(Pop_Inputs!$B$2:$N$29,MATCH(C1358,Pop_Inputs!$A$2:$A$29,0),G1358))*(1-H1358)+LN(INDEX(Pop_Inputs!$B$2:$N$29,MATCH(C1358,Pop_Inputs!$A$2:$A$29,0),G1358+1))*H1358)</f>
        <v>483377.518755784</v>
      </c>
      <c r="J1358" s="20" t="n">
        <f aca="false">I1358/F1358</f>
        <v>483377.518755784</v>
      </c>
      <c r="K1358" s="21" t="n">
        <f aca="false">D1358/(D1358+E1358)</f>
        <v>0.425925925925926</v>
      </c>
      <c r="L1358" s="21" t="n">
        <f aca="false">AVERAGEIFS($K$2:$K$2705,$B$2:$B$2705,B1358)</f>
        <v>0.499825617271234</v>
      </c>
      <c r="M1358" s="21" t="n">
        <f aca="false">K1358-L1358</f>
        <v>-0.0738996913453078</v>
      </c>
      <c r="N1358" s="21" t="n">
        <f aca="false">LN(J1358)</f>
        <v>13.0885532396657</v>
      </c>
      <c r="O1358" s="21" t="n">
        <f aca="false">AVERAGEIFS($N$2:$N$2705,$B$2:$B$2705,B1358)</f>
        <v>13.653743084457</v>
      </c>
      <c r="P1358" s="21" t="n">
        <f aca="false">N1358-O1358</f>
        <v>-0.565189844791279</v>
      </c>
      <c r="Q1358" s="7" t="n">
        <v>0</v>
      </c>
      <c r="R1358" s="3" t="n">
        <f aca="false">IF(AND(Q1358=1,B1358-_xlfn.MINIFS($B$2:$B$2705,$A$2:$A$2705,A1358)&lt;10),1,0)</f>
        <v>0</v>
      </c>
      <c r="S1358" s="7" t="n">
        <v>0</v>
      </c>
      <c r="T1358" s="3" t="n">
        <f aca="false">_xlfn.MINIFS($B$2:$B$2705,$A$2:$A$2705,A1358)</f>
        <v>1901</v>
      </c>
      <c r="U1358" s="3" t="n">
        <f aca="false">B1358-T1358</f>
        <v>77</v>
      </c>
      <c r="V1358" s="3" t="str">
        <f aca="false">INDEX(Pop_Inputs!$Q$2:$Q$29,MATCH(C1358,Pop_Inputs!$A$2:$A$29,0))</f>
        <v>Midwest</v>
      </c>
      <c r="W1358" s="30"/>
      <c r="X1358" s="3" t="str">
        <f aca="false">IF(W1358="","",LN(W1358))</f>
        <v/>
      </c>
      <c r="Y1358" s="3" t="str">
        <f aca="false">IF(X1358="","",X1358-AVERAGEIFS($X$2:$X$2705,$B$2:$B$2705,B1358))</f>
        <v/>
      </c>
      <c r="Z1358" s="21" t="n">
        <f aca="false">P1358</f>
        <v>-0.565189844791279</v>
      </c>
      <c r="AA1358" s="3" t="n">
        <f aca="false">R1358</f>
        <v>0</v>
      </c>
      <c r="AB1358" s="21" t="n">
        <f aca="false">P1358</f>
        <v>-0.565189844791279</v>
      </c>
      <c r="AC1358" s="3" t="str">
        <f aca="false">Y1358</f>
        <v/>
      </c>
      <c r="AD1358" s="3" t="n">
        <f aca="false">R1358</f>
        <v>0</v>
      </c>
    </row>
    <row r="1359" customFormat="false" ht="15" hidden="false" customHeight="true" outlineLevel="0" collapsed="false">
      <c r="A1359" s="7" t="s">
        <v>73</v>
      </c>
      <c r="B1359" s="7" t="n">
        <v>1978</v>
      </c>
      <c r="C1359" s="7" t="s">
        <v>155</v>
      </c>
      <c r="D1359" s="7" t="n">
        <v>87</v>
      </c>
      <c r="E1359" s="7" t="n">
        <v>75</v>
      </c>
      <c r="F1359" s="3" t="n">
        <f aca="false">COUNTIFS($B$2:$B$2705,B1359,$C$2:$C$2705,C1359)</f>
        <v>1</v>
      </c>
      <c r="G1359" s="3" t="n">
        <f aca="false">MIN(INT((MIN(B1359,2020)-1900)/10)+1,12)</f>
        <v>8</v>
      </c>
      <c r="H1359" s="3" t="n">
        <f aca="false">(MIN(B1359,2020)-1900-10*(G1359-1))/10</f>
        <v>0.8</v>
      </c>
      <c r="I1359" s="20" t="n">
        <f aca="false">EXP(LN(INDEX(Pop_Inputs!$B$2:$N$29,MATCH(C1359,Pop_Inputs!$A$2:$A$29,0),G1359))*(1-H1359)+LN(INDEX(Pop_Inputs!$B$2:$N$29,MATCH(C1359,Pop_Inputs!$A$2:$A$29,0),G1359+1))*H1359)</f>
        <v>891814.375700496</v>
      </c>
      <c r="J1359" s="20" t="n">
        <f aca="false">I1359/F1359</f>
        <v>891814.375700496</v>
      </c>
      <c r="K1359" s="21" t="n">
        <f aca="false">D1359/(D1359+E1359)</f>
        <v>0.537037037037037</v>
      </c>
      <c r="L1359" s="21" t="n">
        <f aca="false">AVERAGEIFS($K$2:$K$2705,$B$2:$B$2705,B1359)</f>
        <v>0.499825617271234</v>
      </c>
      <c r="M1359" s="21" t="n">
        <f aca="false">K1359-L1359</f>
        <v>0.0372114197658033</v>
      </c>
      <c r="N1359" s="21" t="n">
        <f aca="false">LN(J1359)</f>
        <v>13.7010132909161</v>
      </c>
      <c r="O1359" s="21" t="n">
        <f aca="false">AVERAGEIFS($N$2:$N$2705,$B$2:$B$2705,B1359)</f>
        <v>13.653743084457</v>
      </c>
      <c r="P1359" s="21" t="n">
        <f aca="false">N1359-O1359</f>
        <v>0.0472702064591104</v>
      </c>
      <c r="Q1359" s="7" t="n">
        <v>1</v>
      </c>
      <c r="R1359" s="3" t="n">
        <f aca="false">IF(AND(Q1359=1,B1359-_xlfn.MINIFS($B$2:$B$2705,$A$2:$A$2705,A1359)&lt;10),1,0)</f>
        <v>0</v>
      </c>
      <c r="S1359" s="7" t="n">
        <v>0</v>
      </c>
      <c r="T1359" s="3" t="n">
        <f aca="false">_xlfn.MINIFS($B$2:$B$2705,$A$2:$A$2705,A1359)</f>
        <v>1961</v>
      </c>
      <c r="U1359" s="3" t="n">
        <f aca="false">B1359-T1359</f>
        <v>17</v>
      </c>
      <c r="V1359" s="3" t="str">
        <f aca="false">INDEX(Pop_Inputs!$Q$2:$Q$29,MATCH(C1359,Pop_Inputs!$A$2:$A$29,0))</f>
        <v>South</v>
      </c>
      <c r="W1359" s="30"/>
      <c r="X1359" s="3" t="str">
        <f aca="false">IF(W1359="","",LN(W1359))</f>
        <v/>
      </c>
      <c r="Y1359" s="3" t="str">
        <f aca="false">IF(X1359="","",X1359-AVERAGEIFS($X$2:$X$2705,$B$2:$B$2705,B1359))</f>
        <v/>
      </c>
      <c r="Z1359" s="21" t="n">
        <f aca="false">P1359</f>
        <v>0.0472702064591104</v>
      </c>
      <c r="AA1359" s="3" t="n">
        <f aca="false">R1359</f>
        <v>0</v>
      </c>
      <c r="AB1359" s="21" t="n">
        <f aca="false">P1359</f>
        <v>0.0472702064591104</v>
      </c>
      <c r="AC1359" s="3" t="str">
        <f aca="false">Y1359</f>
        <v/>
      </c>
      <c r="AD1359" s="3" t="n">
        <f aca="false">R1359</f>
        <v>0</v>
      </c>
    </row>
    <row r="1360" customFormat="false" ht="15" hidden="false" customHeight="true" outlineLevel="0" collapsed="false">
      <c r="A1360" s="7" t="s">
        <v>81</v>
      </c>
      <c r="B1360" s="7" t="n">
        <v>1978</v>
      </c>
      <c r="C1360" s="7" t="s">
        <v>162</v>
      </c>
      <c r="D1360" s="7" t="n">
        <v>59</v>
      </c>
      <c r="E1360" s="7" t="n">
        <v>102</v>
      </c>
      <c r="F1360" s="3" t="n">
        <f aca="false">COUNTIFS($B$2:$B$2705,B1360,$C$2:$C$2705,C1360)</f>
        <v>1</v>
      </c>
      <c r="G1360" s="3" t="n">
        <f aca="false">MIN(INT((MIN(B1360,2020)-1900)/10)+1,12)</f>
        <v>8</v>
      </c>
      <c r="H1360" s="3" t="n">
        <f aca="false">(MIN(B1360,2020)-1900-10*(G1360-1))/10</f>
        <v>0.8</v>
      </c>
      <c r="I1360" s="20" t="n">
        <f aca="false">EXP(LN(INDEX(Pop_Inputs!$B$2:$N$29,MATCH(C1360,Pop_Inputs!$A$2:$A$29,0),G1360))*(1-H1360)+LN(INDEX(Pop_Inputs!$B$2:$N$29,MATCH(C1360,Pop_Inputs!$A$2:$A$29,0),G1360+1))*H1360)</f>
        <v>620381.920622129</v>
      </c>
      <c r="J1360" s="20" t="n">
        <f aca="false">I1360/F1360</f>
        <v>620381.920622129</v>
      </c>
      <c r="K1360" s="21" t="n">
        <f aca="false">D1360/(D1360+E1360)</f>
        <v>0.366459627329193</v>
      </c>
      <c r="L1360" s="21" t="n">
        <f aca="false">AVERAGEIFS($K$2:$K$2705,$B$2:$B$2705,B1360)</f>
        <v>0.499825617271234</v>
      </c>
      <c r="M1360" s="21" t="n">
        <f aca="false">K1360-L1360</f>
        <v>-0.133365989942041</v>
      </c>
      <c r="N1360" s="21" t="n">
        <f aca="false">LN(J1360)</f>
        <v>13.338090568374</v>
      </c>
      <c r="O1360" s="21" t="n">
        <f aca="false">AVERAGEIFS($N$2:$N$2705,$B$2:$B$2705,B1360)</f>
        <v>13.653743084457</v>
      </c>
      <c r="P1360" s="21" t="n">
        <f aca="false">N1360-O1360</f>
        <v>-0.315652516082992</v>
      </c>
      <c r="Q1360" s="7" t="n">
        <v>1</v>
      </c>
      <c r="R1360" s="3" t="n">
        <f aca="false">IF(AND(Q1360=1,B1360-_xlfn.MINIFS($B$2:$B$2705,$A$2:$A$2705,A1360)&lt;10),1,0)</f>
        <v>1</v>
      </c>
      <c r="S1360" s="7" t="n">
        <v>0</v>
      </c>
      <c r="T1360" s="3" t="n">
        <f aca="false">_xlfn.MINIFS($B$2:$B$2705,$A$2:$A$2705,A1360)</f>
        <v>1977</v>
      </c>
      <c r="U1360" s="3" t="n">
        <f aca="false">B1360-T1360</f>
        <v>1</v>
      </c>
      <c r="V1360" s="3" t="str">
        <f aca="false">INDEX(Pop_Inputs!$Q$2:$Q$29,MATCH(C1360,Pop_Inputs!$A$2:$A$29,0))</f>
        <v>Canada</v>
      </c>
      <c r="W1360" s="30"/>
      <c r="X1360" s="3" t="str">
        <f aca="false">IF(W1360="","",LN(W1360))</f>
        <v/>
      </c>
      <c r="Y1360" s="3" t="str">
        <f aca="false">IF(X1360="","",X1360-AVERAGEIFS($X$2:$X$2705,$B$2:$B$2705,B1360))</f>
        <v/>
      </c>
      <c r="Z1360" s="21" t="n">
        <f aca="false">P1360</f>
        <v>-0.315652516082992</v>
      </c>
      <c r="AA1360" s="3" t="n">
        <f aca="false">R1360</f>
        <v>1</v>
      </c>
      <c r="AB1360" s="21" t="n">
        <f aca="false">P1360</f>
        <v>-0.315652516082992</v>
      </c>
      <c r="AC1360" s="3" t="str">
        <f aca="false">Y1360</f>
        <v/>
      </c>
      <c r="AD1360" s="3" t="n">
        <f aca="false">R1360</f>
        <v>1</v>
      </c>
    </row>
    <row r="1361" customFormat="false" ht="15" hidden="false" customHeight="true" outlineLevel="0" collapsed="false">
      <c r="A1361" s="7" t="s">
        <v>79</v>
      </c>
      <c r="B1361" s="7" t="n">
        <v>1978</v>
      </c>
      <c r="C1361" s="7" t="s">
        <v>254</v>
      </c>
      <c r="D1361" s="7" t="n">
        <v>76</v>
      </c>
      <c r="E1361" s="7" t="n">
        <v>86</v>
      </c>
      <c r="F1361" s="3" t="n">
        <f aca="false">COUNTIFS($B$2:$B$2705,B1361,$C$2:$C$2705,C1361)</f>
        <v>1</v>
      </c>
      <c r="G1361" s="3" t="n">
        <f aca="false">MIN(INT((MIN(B1361,2020)-1900)/10)+1,12)</f>
        <v>8</v>
      </c>
      <c r="H1361" s="3" t="n">
        <f aca="false">(MIN(B1361,2020)-1900-10*(G1361-1))/10</f>
        <v>0.8</v>
      </c>
      <c r="I1361" s="20" t="n">
        <f aca="false">EXP(LN(INDEX(Pop_Inputs!$B$2:$N$29,MATCH(C1361,Pop_Inputs!$A$2:$A$29,0),G1361))*(1-H1361)+LN(INDEX(Pop_Inputs!$B$2:$N$29,MATCH(C1361,Pop_Inputs!$A$2:$A$29,0),G1361+1))*H1361)</f>
        <v>1023234.69782409</v>
      </c>
      <c r="J1361" s="20" t="n">
        <f aca="false">I1361/F1361</f>
        <v>1023234.69782409</v>
      </c>
      <c r="K1361" s="21" t="n">
        <f aca="false">D1361/(D1361+E1361)</f>
        <v>0.469135802469136</v>
      </c>
      <c r="L1361" s="21" t="n">
        <f aca="false">AVERAGEIFS($K$2:$K$2705,$B$2:$B$2705,B1361)</f>
        <v>0.499825617271234</v>
      </c>
      <c r="M1361" s="21" t="n">
        <f aca="false">K1361-L1361</f>
        <v>-0.030689814802098</v>
      </c>
      <c r="N1361" s="21" t="n">
        <f aca="false">LN(J1361)</f>
        <v>13.8384794397587</v>
      </c>
      <c r="O1361" s="21" t="n">
        <f aca="false">AVERAGEIFS($N$2:$N$2705,$B$2:$B$2705,B1361)</f>
        <v>13.653743084457</v>
      </c>
      <c r="P1361" s="21" t="n">
        <f aca="false">N1361-O1361</f>
        <v>0.18473635530172</v>
      </c>
      <c r="Q1361" s="7" t="n">
        <v>1</v>
      </c>
      <c r="R1361" s="3" t="n">
        <f aca="false">IF(AND(Q1361=1,B1361-_xlfn.MINIFS($B$2:$B$2705,$A$2:$A$2705,A1361)&lt;10),1,0)</f>
        <v>1</v>
      </c>
      <c r="S1361" s="7" t="n">
        <v>0</v>
      </c>
      <c r="T1361" s="3" t="n">
        <f aca="false">_xlfn.MINIFS($B$2:$B$2705,$A$2:$A$2705,A1361)</f>
        <v>1969</v>
      </c>
      <c r="U1361" s="3" t="n">
        <f aca="false">B1361-T1361</f>
        <v>9</v>
      </c>
      <c r="V1361" s="3" t="str">
        <f aca="false">INDEX(Pop_Inputs!$Q$2:$Q$29,MATCH(C1361,Pop_Inputs!$A$2:$A$29,0))</f>
        <v>Canada</v>
      </c>
      <c r="W1361" s="30"/>
      <c r="X1361" s="3" t="str">
        <f aca="false">IF(W1361="","",LN(W1361))</f>
        <v/>
      </c>
      <c r="Y1361" s="3" t="str">
        <f aca="false">IF(X1361="","",X1361-AVERAGEIFS($X$2:$X$2705,$B$2:$B$2705,B1361))</f>
        <v/>
      </c>
      <c r="Z1361" s="21" t="n">
        <f aca="false">P1361</f>
        <v>0.18473635530172</v>
      </c>
      <c r="AA1361" s="3" t="n">
        <f aca="false">R1361</f>
        <v>1</v>
      </c>
      <c r="AB1361" s="21" t="n">
        <f aca="false">P1361</f>
        <v>0.18473635530172</v>
      </c>
      <c r="AC1361" s="3" t="str">
        <f aca="false">Y1361</f>
        <v/>
      </c>
      <c r="AD1361" s="3" t="n">
        <f aca="false">R1361</f>
        <v>1</v>
      </c>
    </row>
    <row r="1362" customFormat="false" ht="15" hidden="false" customHeight="true" outlineLevel="0" collapsed="false">
      <c r="A1362" s="7" t="s">
        <v>71</v>
      </c>
      <c r="B1362" s="7" t="n">
        <v>1979</v>
      </c>
      <c r="C1362" s="7" t="s">
        <v>148</v>
      </c>
      <c r="D1362" s="7" t="n">
        <v>88</v>
      </c>
      <c r="E1362" s="7" t="n">
        <v>74</v>
      </c>
      <c r="F1362" s="3" t="n">
        <f aca="false">COUNTIFS($B$2:$B$2705,B1362,$C$2:$C$2705,C1362)</f>
        <v>2</v>
      </c>
      <c r="G1362" s="3" t="n">
        <f aca="false">MIN(INT((MIN(B1362,2020)-1900)/10)+1,12)</f>
        <v>8</v>
      </c>
      <c r="H1362" s="3" t="n">
        <f aca="false">(MIN(B1362,2020)-1900-10*(G1362-1))/10</f>
        <v>0.9</v>
      </c>
      <c r="I1362" s="20" t="n">
        <f aca="false">EXP(LN(INDEX(Pop_Inputs!$B$2:$N$29,MATCH(C1362,Pop_Inputs!$A$2:$A$29,0),G1362))*(1-H1362)+LN(INDEX(Pop_Inputs!$B$2:$N$29,MATCH(C1362,Pop_Inputs!$A$2:$A$29,0),G1362+1))*H1362)</f>
        <v>2951414.7023594</v>
      </c>
      <c r="J1362" s="20" t="n">
        <f aca="false">I1362/F1362</f>
        <v>1475707.3511797</v>
      </c>
      <c r="K1362" s="21" t="n">
        <f aca="false">D1362/(D1362+E1362)</f>
        <v>0.54320987654321</v>
      </c>
      <c r="L1362" s="21" t="n">
        <f aca="false">AVERAGEIFS($K$2:$K$2705,$B$2:$B$2705,B1362)</f>
        <v>0.500166669699415</v>
      </c>
      <c r="M1362" s="21" t="n">
        <f aca="false">K1362-L1362</f>
        <v>0.0430432068437947</v>
      </c>
      <c r="N1362" s="21" t="n">
        <f aca="false">LN(J1362)</f>
        <v>14.2046479929257</v>
      </c>
      <c r="O1362" s="21" t="n">
        <f aca="false">AVERAGEIFS($N$2:$N$2705,$B$2:$B$2705,B1362)</f>
        <v>13.6440888460528</v>
      </c>
      <c r="P1362" s="21" t="n">
        <f aca="false">N1362-O1362</f>
        <v>0.560559146872876</v>
      </c>
      <c r="Q1362" s="7" t="n">
        <v>1</v>
      </c>
      <c r="R1362" s="3" t="n">
        <f aca="false">IF(AND(Q1362=1,B1362-_xlfn.MINIFS($B$2:$B$2705,$A$2:$A$2705,A1362)&lt;10),1,0)</f>
        <v>0</v>
      </c>
      <c r="S1362" s="7" t="n">
        <v>0</v>
      </c>
      <c r="T1362" s="3" t="n">
        <f aca="false">_xlfn.MINIFS($B$2:$B$2705,$A$2:$A$2705,A1362)</f>
        <v>1961</v>
      </c>
      <c r="U1362" s="3" t="n">
        <f aca="false">B1362-T1362</f>
        <v>18</v>
      </c>
      <c r="V1362" s="3" t="str">
        <f aca="false">INDEX(Pop_Inputs!$Q$2:$Q$29,MATCH(C1362,Pop_Inputs!$A$2:$A$29,0))</f>
        <v>West</v>
      </c>
      <c r="W1362" s="30"/>
      <c r="X1362" s="3" t="str">
        <f aca="false">IF(W1362="","",LN(W1362))</f>
        <v/>
      </c>
      <c r="Y1362" s="3" t="str">
        <f aca="false">IF(X1362="","",X1362-AVERAGEIFS($X$2:$X$2705,$B$2:$B$2705,B1362))</f>
        <v/>
      </c>
      <c r="Z1362" s="21" t="n">
        <f aca="false">P1362</f>
        <v>0.560559146872876</v>
      </c>
      <c r="AA1362" s="3" t="n">
        <f aca="false">R1362</f>
        <v>0</v>
      </c>
      <c r="AB1362" s="21" t="n">
        <f aca="false">P1362</f>
        <v>0.560559146872876</v>
      </c>
      <c r="AC1362" s="3" t="str">
        <f aca="false">Y1362</f>
        <v/>
      </c>
      <c r="AD1362" s="3" t="n">
        <f aca="false">R1362</f>
        <v>0</v>
      </c>
    </row>
    <row r="1363" customFormat="false" ht="15" hidden="false" customHeight="true" outlineLevel="0" collapsed="false">
      <c r="A1363" s="7" t="s">
        <v>54</v>
      </c>
      <c r="B1363" s="7" t="n">
        <v>1979</v>
      </c>
      <c r="C1363" s="7" t="s">
        <v>141</v>
      </c>
      <c r="D1363" s="7" t="n">
        <v>66</v>
      </c>
      <c r="E1363" s="7" t="n">
        <v>94</v>
      </c>
      <c r="F1363" s="3" t="n">
        <f aca="false">COUNTIFS($B$2:$B$2705,B1363,$C$2:$C$2705,C1363)</f>
        <v>1</v>
      </c>
      <c r="G1363" s="3" t="n">
        <f aca="false">MIN(INT((MIN(B1363,2020)-1900)/10)+1,12)</f>
        <v>8</v>
      </c>
      <c r="H1363" s="3" t="n">
        <f aca="false">(MIN(B1363,2020)-1900-10*(G1363-1))/10</f>
        <v>0.9</v>
      </c>
      <c r="I1363" s="20" t="n">
        <f aca="false">EXP(LN(INDEX(Pop_Inputs!$B$2:$N$29,MATCH(C1363,Pop_Inputs!$A$2:$A$29,0),G1363))*(1-H1363)+LN(INDEX(Pop_Inputs!$B$2:$N$29,MATCH(C1363,Pop_Inputs!$A$2:$A$29,0),G1363+1))*H1363)</f>
        <v>431553.07054537</v>
      </c>
      <c r="J1363" s="20" t="n">
        <f aca="false">I1363/F1363</f>
        <v>431553.07054537</v>
      </c>
      <c r="K1363" s="21" t="n">
        <f aca="false">D1363/(D1363+E1363)</f>
        <v>0.4125</v>
      </c>
      <c r="L1363" s="21" t="n">
        <f aca="false">AVERAGEIFS($K$2:$K$2705,$B$2:$B$2705,B1363)</f>
        <v>0.500166669699415</v>
      </c>
      <c r="M1363" s="21" t="n">
        <f aca="false">K1363-L1363</f>
        <v>-0.0876666696994152</v>
      </c>
      <c r="N1363" s="21" t="n">
        <f aca="false">LN(J1363)</f>
        <v>12.975145772778</v>
      </c>
      <c r="O1363" s="21" t="n">
        <f aca="false">AVERAGEIFS($N$2:$N$2705,$B$2:$B$2705,B1363)</f>
        <v>13.6440888460528</v>
      </c>
      <c r="P1363" s="21" t="n">
        <f aca="false">N1363-O1363</f>
        <v>-0.668943073274782</v>
      </c>
      <c r="Q1363" s="7" t="n">
        <v>0</v>
      </c>
      <c r="R1363" s="3" t="n">
        <f aca="false">IF(AND(Q1363=1,B1363-_xlfn.MINIFS($B$2:$B$2705,$A$2:$A$2705,A1363)&lt;10),1,0)</f>
        <v>0</v>
      </c>
      <c r="S1363" s="7" t="n">
        <v>0</v>
      </c>
      <c r="T1363" s="3" t="n">
        <f aca="false">_xlfn.MINIFS($B$2:$B$2705,$A$2:$A$2705,A1363)</f>
        <v>1901</v>
      </c>
      <c r="U1363" s="3" t="n">
        <f aca="false">B1363-T1363</f>
        <v>78</v>
      </c>
      <c r="V1363" s="3" t="str">
        <f aca="false">INDEX(Pop_Inputs!$Q$2:$Q$29,MATCH(C1363,Pop_Inputs!$A$2:$A$29,0))</f>
        <v>South</v>
      </c>
      <c r="W1363" s="30"/>
      <c r="X1363" s="3" t="str">
        <f aca="false">IF(W1363="","",LN(W1363))</f>
        <v/>
      </c>
      <c r="Y1363" s="3" t="str">
        <f aca="false">IF(X1363="","",X1363-AVERAGEIFS($X$2:$X$2705,$B$2:$B$2705,B1363))</f>
        <v/>
      </c>
      <c r="Z1363" s="21" t="n">
        <f aca="false">P1363</f>
        <v>-0.668943073274782</v>
      </c>
      <c r="AA1363" s="3" t="n">
        <f aca="false">R1363</f>
        <v>0</v>
      </c>
      <c r="AB1363" s="21" t="n">
        <f aca="false">P1363</f>
        <v>-0.668943073274782</v>
      </c>
      <c r="AC1363" s="3" t="str">
        <f aca="false">Y1363</f>
        <v/>
      </c>
      <c r="AD1363" s="3" t="n">
        <f aca="false">R1363</f>
        <v>0</v>
      </c>
    </row>
    <row r="1364" customFormat="false" ht="15" hidden="false" customHeight="true" outlineLevel="0" collapsed="false">
      <c r="A1364" s="7" t="s">
        <v>63</v>
      </c>
      <c r="B1364" s="7" t="n">
        <v>1979</v>
      </c>
      <c r="C1364" s="7" t="s">
        <v>149</v>
      </c>
      <c r="D1364" s="7" t="n">
        <v>102</v>
      </c>
      <c r="E1364" s="7" t="n">
        <v>57</v>
      </c>
      <c r="F1364" s="3" t="n">
        <f aca="false">COUNTIFS($B$2:$B$2705,B1364,$C$2:$C$2705,C1364)</f>
        <v>1</v>
      </c>
      <c r="G1364" s="3" t="n">
        <f aca="false">MIN(INT((MIN(B1364,2020)-1900)/10)+1,12)</f>
        <v>8</v>
      </c>
      <c r="H1364" s="3" t="n">
        <f aca="false">(MIN(B1364,2020)-1900-10*(G1364-1))/10</f>
        <v>0.9</v>
      </c>
      <c r="I1364" s="20" t="n">
        <f aca="false">EXP(LN(INDEX(Pop_Inputs!$B$2:$N$29,MATCH(C1364,Pop_Inputs!$A$2:$A$29,0),G1364))*(1-H1364)+LN(INDEX(Pop_Inputs!$B$2:$N$29,MATCH(C1364,Pop_Inputs!$A$2:$A$29,0),G1364+1))*H1364)</f>
        <v>797933.616930205</v>
      </c>
      <c r="J1364" s="20" t="n">
        <f aca="false">I1364/F1364</f>
        <v>797933.616930205</v>
      </c>
      <c r="K1364" s="21" t="n">
        <f aca="false">D1364/(D1364+E1364)</f>
        <v>0.641509433962264</v>
      </c>
      <c r="L1364" s="21" t="n">
        <f aca="false">AVERAGEIFS($K$2:$K$2705,$B$2:$B$2705,B1364)</f>
        <v>0.500166669699415</v>
      </c>
      <c r="M1364" s="21" t="n">
        <f aca="false">K1364-L1364</f>
        <v>0.141342764262849</v>
      </c>
      <c r="N1364" s="21" t="n">
        <f aca="false">LN(J1364)</f>
        <v>13.5897806861675</v>
      </c>
      <c r="O1364" s="21" t="n">
        <f aca="false">AVERAGEIFS($N$2:$N$2705,$B$2:$B$2705,B1364)</f>
        <v>13.6440888460528</v>
      </c>
      <c r="P1364" s="21" t="n">
        <f aca="false">N1364-O1364</f>
        <v>-0.054308159885327</v>
      </c>
      <c r="Q1364" s="7" t="n">
        <v>0</v>
      </c>
      <c r="R1364" s="3" t="n">
        <f aca="false">IF(AND(Q1364=1,B1364-_xlfn.MINIFS($B$2:$B$2705,$A$2:$A$2705,A1364)&lt;10),1,0)</f>
        <v>0</v>
      </c>
      <c r="S1364" s="7" t="n">
        <v>0</v>
      </c>
      <c r="T1364" s="3" t="n">
        <f aca="false">_xlfn.MINIFS($B$2:$B$2705,$A$2:$A$2705,A1364)</f>
        <v>1901</v>
      </c>
      <c r="U1364" s="3" t="n">
        <f aca="false">B1364-T1364</f>
        <v>78</v>
      </c>
      <c r="V1364" s="3" t="str">
        <f aca="false">INDEX(Pop_Inputs!$Q$2:$Q$29,MATCH(C1364,Pop_Inputs!$A$2:$A$29,0))</f>
        <v>South</v>
      </c>
      <c r="W1364" s="30"/>
      <c r="X1364" s="3" t="str">
        <f aca="false">IF(W1364="","",LN(W1364))</f>
        <v/>
      </c>
      <c r="Y1364" s="3" t="str">
        <f aca="false">IF(X1364="","",X1364-AVERAGEIFS($X$2:$X$2705,$B$2:$B$2705,B1364))</f>
        <v/>
      </c>
      <c r="Z1364" s="21" t="n">
        <f aca="false">P1364</f>
        <v>-0.054308159885327</v>
      </c>
      <c r="AA1364" s="3" t="n">
        <f aca="false">R1364</f>
        <v>0</v>
      </c>
      <c r="AB1364" s="21" t="n">
        <f aca="false">P1364</f>
        <v>-0.054308159885327</v>
      </c>
      <c r="AC1364" s="3" t="str">
        <f aca="false">Y1364</f>
        <v/>
      </c>
      <c r="AD1364" s="3" t="n">
        <f aca="false">R1364</f>
        <v>0</v>
      </c>
    </row>
    <row r="1365" customFormat="false" ht="15" hidden="false" customHeight="true" outlineLevel="0" collapsed="false">
      <c r="A1365" s="7" t="s">
        <v>64</v>
      </c>
      <c r="B1365" s="7" t="n">
        <v>1979</v>
      </c>
      <c r="C1365" s="7" t="s">
        <v>150</v>
      </c>
      <c r="D1365" s="7" t="n">
        <v>91</v>
      </c>
      <c r="E1365" s="7" t="n">
        <v>69</v>
      </c>
      <c r="F1365" s="3" t="n">
        <f aca="false">COUNTIFS($B$2:$B$2705,B1365,$C$2:$C$2705,C1365)</f>
        <v>1</v>
      </c>
      <c r="G1365" s="3" t="n">
        <f aca="false">MIN(INT((MIN(B1365,2020)-1900)/10)+1,12)</f>
        <v>8</v>
      </c>
      <c r="H1365" s="3" t="n">
        <f aca="false">(MIN(B1365,2020)-1900-10*(G1365-1))/10</f>
        <v>0.9</v>
      </c>
      <c r="I1365" s="20" t="n">
        <f aca="false">EXP(LN(INDEX(Pop_Inputs!$B$2:$N$29,MATCH(C1365,Pop_Inputs!$A$2:$A$29,0),G1365))*(1-H1365)+LN(INDEX(Pop_Inputs!$B$2:$N$29,MATCH(C1365,Pop_Inputs!$A$2:$A$29,0),G1365+1))*H1365)</f>
        <v>570353.358144102</v>
      </c>
      <c r="J1365" s="20" t="n">
        <f aca="false">I1365/F1365</f>
        <v>570353.358144102</v>
      </c>
      <c r="K1365" s="21" t="n">
        <f aca="false">D1365/(D1365+E1365)</f>
        <v>0.56875</v>
      </c>
      <c r="L1365" s="21" t="n">
        <f aca="false">AVERAGEIFS($K$2:$K$2705,$B$2:$B$2705,B1365)</f>
        <v>0.500166669699415</v>
      </c>
      <c r="M1365" s="21" t="n">
        <f aca="false">K1365-L1365</f>
        <v>0.0685833303005848</v>
      </c>
      <c r="N1365" s="21" t="n">
        <f aca="false">LN(J1365)</f>
        <v>13.2540113743042</v>
      </c>
      <c r="O1365" s="21" t="n">
        <f aca="false">AVERAGEIFS($N$2:$N$2705,$B$2:$B$2705,B1365)</f>
        <v>13.6440888460528</v>
      </c>
      <c r="P1365" s="21" t="n">
        <f aca="false">N1365-O1365</f>
        <v>-0.390077471748569</v>
      </c>
      <c r="Q1365" s="7" t="n">
        <v>0</v>
      </c>
      <c r="R1365" s="3" t="n">
        <f aca="false">IF(AND(Q1365=1,B1365-_xlfn.MINIFS($B$2:$B$2705,$A$2:$A$2705,A1365)&lt;10),1,0)</f>
        <v>0</v>
      </c>
      <c r="S1365" s="7" t="n">
        <v>0</v>
      </c>
      <c r="T1365" s="3" t="n">
        <f aca="false">_xlfn.MINIFS($B$2:$B$2705,$A$2:$A$2705,A1365)</f>
        <v>1901</v>
      </c>
      <c r="U1365" s="3" t="n">
        <f aca="false">B1365-T1365</f>
        <v>78</v>
      </c>
      <c r="V1365" s="3" t="str">
        <f aca="false">INDEX(Pop_Inputs!$Q$2:$Q$29,MATCH(C1365,Pop_Inputs!$A$2:$A$29,0))</f>
        <v>Northeast</v>
      </c>
      <c r="W1365" s="30"/>
      <c r="X1365" s="3" t="str">
        <f aca="false">IF(W1365="","",LN(W1365))</f>
        <v/>
      </c>
      <c r="Y1365" s="3" t="str">
        <f aca="false">IF(X1365="","",X1365-AVERAGEIFS($X$2:$X$2705,$B$2:$B$2705,B1365))</f>
        <v/>
      </c>
      <c r="Z1365" s="21" t="n">
        <f aca="false">P1365</f>
        <v>-0.390077471748569</v>
      </c>
      <c r="AA1365" s="3" t="n">
        <f aca="false">R1365</f>
        <v>0</v>
      </c>
      <c r="AB1365" s="21" t="n">
        <f aca="false">P1365</f>
        <v>-0.390077471748569</v>
      </c>
      <c r="AC1365" s="3" t="str">
        <f aca="false">Y1365</f>
        <v/>
      </c>
      <c r="AD1365" s="3" t="n">
        <f aca="false">R1365</f>
        <v>0</v>
      </c>
    </row>
    <row r="1366" customFormat="false" ht="15" hidden="false" customHeight="true" outlineLevel="0" collapsed="false">
      <c r="A1366" s="7" t="s">
        <v>56</v>
      </c>
      <c r="B1366" s="7" t="n">
        <v>1979</v>
      </c>
      <c r="C1366" s="7" t="s">
        <v>142</v>
      </c>
      <c r="D1366" s="7" t="n">
        <v>80</v>
      </c>
      <c r="E1366" s="7" t="n">
        <v>82</v>
      </c>
      <c r="F1366" s="3" t="n">
        <f aca="false">COUNTIFS($B$2:$B$2705,B1366,$C$2:$C$2705,C1366)</f>
        <v>2</v>
      </c>
      <c r="G1366" s="3" t="n">
        <f aca="false">MIN(INT((MIN(B1366,2020)-1900)/10)+1,12)</f>
        <v>8</v>
      </c>
      <c r="H1366" s="3" t="n">
        <f aca="false">(MIN(B1366,2020)-1900-10*(G1366-1))/10</f>
        <v>0.9</v>
      </c>
      <c r="I1366" s="20" t="n">
        <f aca="false">EXP(LN(INDEX(Pop_Inputs!$B$2:$N$29,MATCH(C1366,Pop_Inputs!$A$2:$A$29,0),G1366))*(1-H1366)+LN(INDEX(Pop_Inputs!$B$2:$N$29,MATCH(C1366,Pop_Inputs!$A$2:$A$29,0),G1366+1))*H1366)</f>
        <v>3039437.03343357</v>
      </c>
      <c r="J1366" s="20" t="n">
        <f aca="false">I1366/F1366</f>
        <v>1519718.51671678</v>
      </c>
      <c r="K1366" s="21" t="n">
        <f aca="false">D1366/(D1366+E1366)</f>
        <v>0.493827160493827</v>
      </c>
      <c r="L1366" s="21" t="n">
        <f aca="false">AVERAGEIFS($K$2:$K$2705,$B$2:$B$2705,B1366)</f>
        <v>0.500166669699415</v>
      </c>
      <c r="M1366" s="21" t="n">
        <f aca="false">K1366-L1366</f>
        <v>-0.00633950920558801</v>
      </c>
      <c r="N1366" s="21" t="n">
        <f aca="false">LN(J1366)</f>
        <v>14.2340356893028</v>
      </c>
      <c r="O1366" s="21" t="n">
        <f aca="false">AVERAGEIFS($N$2:$N$2705,$B$2:$B$2705,B1366)</f>
        <v>13.6440888460528</v>
      </c>
      <c r="P1366" s="21" t="n">
        <f aca="false">N1366-O1366</f>
        <v>0.589946843250004</v>
      </c>
      <c r="Q1366" s="7" t="n">
        <v>0</v>
      </c>
      <c r="R1366" s="3" t="n">
        <f aca="false">IF(AND(Q1366=1,B1366-_xlfn.MINIFS($B$2:$B$2705,$A$2:$A$2705,A1366)&lt;10),1,0)</f>
        <v>0</v>
      </c>
      <c r="S1366" s="7" t="n">
        <v>0</v>
      </c>
      <c r="T1366" s="3" t="n">
        <f aca="false">_xlfn.MINIFS($B$2:$B$2705,$A$2:$A$2705,A1366)</f>
        <v>1901</v>
      </c>
      <c r="U1366" s="3" t="n">
        <f aca="false">B1366-T1366</f>
        <v>78</v>
      </c>
      <c r="V1366" s="3" t="str">
        <f aca="false">INDEX(Pop_Inputs!$Q$2:$Q$29,MATCH(C1366,Pop_Inputs!$A$2:$A$29,0))</f>
        <v>Midwest</v>
      </c>
      <c r="W1366" s="30"/>
      <c r="X1366" s="3" t="str">
        <f aca="false">IF(W1366="","",LN(W1366))</f>
        <v/>
      </c>
      <c r="Y1366" s="3" t="str">
        <f aca="false">IF(X1366="","",X1366-AVERAGEIFS($X$2:$X$2705,$B$2:$B$2705,B1366))</f>
        <v/>
      </c>
      <c r="Z1366" s="21" t="n">
        <f aca="false">P1366</f>
        <v>0.589946843250004</v>
      </c>
      <c r="AA1366" s="3" t="n">
        <f aca="false">R1366</f>
        <v>0</v>
      </c>
      <c r="AB1366" s="21" t="n">
        <f aca="false">P1366</f>
        <v>0.589946843250004</v>
      </c>
      <c r="AC1366" s="3" t="str">
        <f aca="false">Y1366</f>
        <v/>
      </c>
      <c r="AD1366" s="3" t="n">
        <f aca="false">R1366</f>
        <v>0</v>
      </c>
    </row>
    <row r="1367" customFormat="false" ht="15" hidden="false" customHeight="true" outlineLevel="0" collapsed="false">
      <c r="A1367" s="7" t="s">
        <v>65</v>
      </c>
      <c r="B1367" s="7" t="n">
        <v>1979</v>
      </c>
      <c r="C1367" s="7" t="s">
        <v>142</v>
      </c>
      <c r="D1367" s="7" t="n">
        <v>73</v>
      </c>
      <c r="E1367" s="7" t="n">
        <v>87</v>
      </c>
      <c r="F1367" s="3" t="n">
        <f aca="false">COUNTIFS($B$2:$B$2705,B1367,$C$2:$C$2705,C1367)</f>
        <v>2</v>
      </c>
      <c r="G1367" s="3" t="n">
        <f aca="false">MIN(INT((MIN(B1367,2020)-1900)/10)+1,12)</f>
        <v>8</v>
      </c>
      <c r="H1367" s="3" t="n">
        <f aca="false">(MIN(B1367,2020)-1900-10*(G1367-1))/10</f>
        <v>0.9</v>
      </c>
      <c r="I1367" s="20" t="n">
        <f aca="false">EXP(LN(INDEX(Pop_Inputs!$B$2:$N$29,MATCH(C1367,Pop_Inputs!$A$2:$A$29,0),G1367))*(1-H1367)+LN(INDEX(Pop_Inputs!$B$2:$N$29,MATCH(C1367,Pop_Inputs!$A$2:$A$29,0),G1367+1))*H1367)</f>
        <v>3039437.03343357</v>
      </c>
      <c r="J1367" s="20" t="n">
        <f aca="false">I1367/F1367</f>
        <v>1519718.51671678</v>
      </c>
      <c r="K1367" s="21" t="n">
        <f aca="false">D1367/(D1367+E1367)</f>
        <v>0.45625</v>
      </c>
      <c r="L1367" s="21" t="n">
        <f aca="false">AVERAGEIFS($K$2:$K$2705,$B$2:$B$2705,B1367)</f>
        <v>0.500166669699415</v>
      </c>
      <c r="M1367" s="21" t="n">
        <f aca="false">K1367-L1367</f>
        <v>-0.0439166696994152</v>
      </c>
      <c r="N1367" s="21" t="n">
        <f aca="false">LN(J1367)</f>
        <v>14.2340356893028</v>
      </c>
      <c r="O1367" s="21" t="n">
        <f aca="false">AVERAGEIFS($N$2:$N$2705,$B$2:$B$2705,B1367)</f>
        <v>13.6440888460528</v>
      </c>
      <c r="P1367" s="21" t="n">
        <f aca="false">N1367-O1367</f>
        <v>0.589946843250004</v>
      </c>
      <c r="Q1367" s="7" t="n">
        <v>0</v>
      </c>
      <c r="R1367" s="3" t="n">
        <f aca="false">IF(AND(Q1367=1,B1367-_xlfn.MINIFS($B$2:$B$2705,$A$2:$A$2705,A1367)&lt;10),1,0)</f>
        <v>0</v>
      </c>
      <c r="S1367" s="7" t="n">
        <v>0</v>
      </c>
      <c r="T1367" s="3" t="n">
        <f aca="false">_xlfn.MINIFS($B$2:$B$2705,$A$2:$A$2705,A1367)</f>
        <v>1901</v>
      </c>
      <c r="U1367" s="3" t="n">
        <f aca="false">B1367-T1367</f>
        <v>78</v>
      </c>
      <c r="V1367" s="3" t="str">
        <f aca="false">INDEX(Pop_Inputs!$Q$2:$Q$29,MATCH(C1367,Pop_Inputs!$A$2:$A$29,0))</f>
        <v>Midwest</v>
      </c>
      <c r="W1367" s="30"/>
      <c r="X1367" s="3" t="str">
        <f aca="false">IF(W1367="","",LN(W1367))</f>
        <v/>
      </c>
      <c r="Y1367" s="3" t="str">
        <f aca="false">IF(X1367="","",X1367-AVERAGEIFS($X$2:$X$2705,$B$2:$B$2705,B1367))</f>
        <v/>
      </c>
      <c r="Z1367" s="21" t="n">
        <f aca="false">P1367</f>
        <v>0.589946843250004</v>
      </c>
      <c r="AA1367" s="3" t="n">
        <f aca="false">R1367</f>
        <v>0</v>
      </c>
      <c r="AB1367" s="21" t="n">
        <f aca="false">P1367</f>
        <v>0.589946843250004</v>
      </c>
      <c r="AC1367" s="3" t="str">
        <f aca="false">Y1367</f>
        <v/>
      </c>
      <c r="AD1367" s="3" t="n">
        <f aca="false">R1367</f>
        <v>0</v>
      </c>
    </row>
    <row r="1368" customFormat="false" ht="15" hidden="false" customHeight="true" outlineLevel="0" collapsed="false">
      <c r="A1368" s="7" t="s">
        <v>57</v>
      </c>
      <c r="B1368" s="7" t="n">
        <v>1979</v>
      </c>
      <c r="C1368" s="7" t="s">
        <v>143</v>
      </c>
      <c r="D1368" s="7" t="n">
        <v>90</v>
      </c>
      <c r="E1368" s="7" t="n">
        <v>71</v>
      </c>
      <c r="F1368" s="3" t="n">
        <f aca="false">COUNTIFS($B$2:$B$2705,B1368,$C$2:$C$2705,C1368)</f>
        <v>1</v>
      </c>
      <c r="G1368" s="3" t="n">
        <f aca="false">MIN(INT((MIN(B1368,2020)-1900)/10)+1,12)</f>
        <v>8</v>
      </c>
      <c r="H1368" s="3" t="n">
        <f aca="false">(MIN(B1368,2020)-1900-10*(G1368-1))/10</f>
        <v>0.9</v>
      </c>
      <c r="I1368" s="20" t="n">
        <f aca="false">EXP(LN(INDEX(Pop_Inputs!$B$2:$N$29,MATCH(C1368,Pop_Inputs!$A$2:$A$29,0),G1368))*(1-H1368)+LN(INDEX(Pop_Inputs!$B$2:$N$29,MATCH(C1368,Pop_Inputs!$A$2:$A$29,0),G1368+1))*H1368)</f>
        <v>391692.849188228</v>
      </c>
      <c r="J1368" s="20" t="n">
        <f aca="false">I1368/F1368</f>
        <v>391692.849188228</v>
      </c>
      <c r="K1368" s="21" t="n">
        <f aca="false">D1368/(D1368+E1368)</f>
        <v>0.559006211180124</v>
      </c>
      <c r="L1368" s="21" t="n">
        <f aca="false">AVERAGEIFS($K$2:$K$2705,$B$2:$B$2705,B1368)</f>
        <v>0.500166669699415</v>
      </c>
      <c r="M1368" s="21" t="n">
        <f aca="false">K1368-L1368</f>
        <v>0.058839541480709</v>
      </c>
      <c r="N1368" s="21" t="n">
        <f aca="false">LN(J1368)</f>
        <v>12.8782332636492</v>
      </c>
      <c r="O1368" s="21" t="n">
        <f aca="false">AVERAGEIFS($N$2:$N$2705,$B$2:$B$2705,B1368)</f>
        <v>13.6440888460528</v>
      </c>
      <c r="P1368" s="21" t="n">
        <f aca="false">N1368-O1368</f>
        <v>-0.765855582403592</v>
      </c>
      <c r="Q1368" s="7" t="n">
        <v>0</v>
      </c>
      <c r="R1368" s="3" t="n">
        <f aca="false">IF(AND(Q1368=1,B1368-_xlfn.MINIFS($B$2:$B$2705,$A$2:$A$2705,A1368)&lt;10),1,0)</f>
        <v>0</v>
      </c>
      <c r="S1368" s="7" t="n">
        <v>0</v>
      </c>
      <c r="T1368" s="3" t="n">
        <f aca="false">_xlfn.MINIFS($B$2:$B$2705,$A$2:$A$2705,A1368)</f>
        <v>1901</v>
      </c>
      <c r="U1368" s="3" t="n">
        <f aca="false">B1368-T1368</f>
        <v>78</v>
      </c>
      <c r="V1368" s="3" t="str">
        <f aca="false">INDEX(Pop_Inputs!$Q$2:$Q$29,MATCH(C1368,Pop_Inputs!$A$2:$A$29,0))</f>
        <v>Midwest</v>
      </c>
      <c r="W1368" s="30"/>
      <c r="X1368" s="3" t="str">
        <f aca="false">IF(W1368="","",LN(W1368))</f>
        <v/>
      </c>
      <c r="Y1368" s="3" t="str">
        <f aca="false">IF(X1368="","",X1368-AVERAGEIFS($X$2:$X$2705,$B$2:$B$2705,B1368))</f>
        <v/>
      </c>
      <c r="Z1368" s="21" t="n">
        <f aca="false">P1368</f>
        <v>-0.765855582403592</v>
      </c>
      <c r="AA1368" s="3" t="n">
        <f aca="false">R1368</f>
        <v>0</v>
      </c>
      <c r="AB1368" s="21" t="n">
        <f aca="false">P1368</f>
        <v>-0.765855582403592</v>
      </c>
      <c r="AC1368" s="3" t="str">
        <f aca="false">Y1368</f>
        <v/>
      </c>
      <c r="AD1368" s="3" t="n">
        <f aca="false">R1368</f>
        <v>0</v>
      </c>
    </row>
    <row r="1369" customFormat="false" ht="15" hidden="false" customHeight="true" outlineLevel="0" collapsed="false">
      <c r="A1369" s="7" t="s">
        <v>66</v>
      </c>
      <c r="B1369" s="7" t="n">
        <v>1979</v>
      </c>
      <c r="C1369" s="7" t="s">
        <v>151</v>
      </c>
      <c r="D1369" s="7" t="n">
        <v>81</v>
      </c>
      <c r="E1369" s="7" t="n">
        <v>80</v>
      </c>
      <c r="F1369" s="3" t="n">
        <f aca="false">COUNTIFS($B$2:$B$2705,B1369,$C$2:$C$2705,C1369)</f>
        <v>1</v>
      </c>
      <c r="G1369" s="3" t="n">
        <f aca="false">MIN(INT((MIN(B1369,2020)-1900)/10)+1,12)</f>
        <v>8</v>
      </c>
      <c r="H1369" s="3" t="n">
        <f aca="false">(MIN(B1369,2020)-1900-10*(G1369-1))/10</f>
        <v>0.9</v>
      </c>
      <c r="I1369" s="20" t="n">
        <f aca="false">EXP(LN(INDEX(Pop_Inputs!$B$2:$N$29,MATCH(C1369,Pop_Inputs!$A$2:$A$29,0),G1369))*(1-H1369)+LN(INDEX(Pop_Inputs!$B$2:$N$29,MATCH(C1369,Pop_Inputs!$A$2:$A$29,0),G1369+1))*H1369)</f>
        <v>589464.777001206</v>
      </c>
      <c r="J1369" s="20" t="n">
        <f aca="false">I1369/F1369</f>
        <v>589464.777001206</v>
      </c>
      <c r="K1369" s="21" t="n">
        <f aca="false">D1369/(D1369+E1369)</f>
        <v>0.503105590062112</v>
      </c>
      <c r="L1369" s="21" t="n">
        <f aca="false">AVERAGEIFS($K$2:$K$2705,$B$2:$B$2705,B1369)</f>
        <v>0.500166669699415</v>
      </c>
      <c r="M1369" s="21" t="n">
        <f aca="false">K1369-L1369</f>
        <v>0.00293892036269661</v>
      </c>
      <c r="N1369" s="21" t="n">
        <f aca="false">LN(J1369)</f>
        <v>13.2869702465403</v>
      </c>
      <c r="O1369" s="21" t="n">
        <f aca="false">AVERAGEIFS($N$2:$N$2705,$B$2:$B$2705,B1369)</f>
        <v>13.6440888460528</v>
      </c>
      <c r="P1369" s="21" t="n">
        <f aca="false">N1369-O1369</f>
        <v>-0.35711859951247</v>
      </c>
      <c r="Q1369" s="7" t="n">
        <v>0</v>
      </c>
      <c r="R1369" s="3" t="n">
        <f aca="false">IF(AND(Q1369=1,B1369-_xlfn.MINIFS($B$2:$B$2705,$A$2:$A$2705,A1369)&lt;10),1,0)</f>
        <v>0</v>
      </c>
      <c r="S1369" s="7" t="n">
        <v>0</v>
      </c>
      <c r="T1369" s="3" t="n">
        <f aca="false">_xlfn.MINIFS($B$2:$B$2705,$A$2:$A$2705,A1369)</f>
        <v>1901</v>
      </c>
      <c r="U1369" s="3" t="n">
        <f aca="false">B1369-T1369</f>
        <v>78</v>
      </c>
      <c r="V1369" s="3" t="str">
        <f aca="false">INDEX(Pop_Inputs!$Q$2:$Q$29,MATCH(C1369,Pop_Inputs!$A$2:$A$29,0))</f>
        <v>Midwest</v>
      </c>
      <c r="W1369" s="30"/>
      <c r="X1369" s="3" t="str">
        <f aca="false">IF(W1369="","",LN(W1369))</f>
        <v/>
      </c>
      <c r="Y1369" s="3" t="str">
        <f aca="false">IF(X1369="","",X1369-AVERAGEIFS($X$2:$X$2705,$B$2:$B$2705,B1369))</f>
        <v/>
      </c>
      <c r="Z1369" s="21" t="n">
        <f aca="false">P1369</f>
        <v>-0.35711859951247</v>
      </c>
      <c r="AA1369" s="3" t="n">
        <f aca="false">R1369</f>
        <v>0</v>
      </c>
      <c r="AB1369" s="21" t="n">
        <f aca="false">P1369</f>
        <v>-0.35711859951247</v>
      </c>
      <c r="AC1369" s="3" t="str">
        <f aca="false">Y1369</f>
        <v/>
      </c>
      <c r="AD1369" s="3" t="n">
        <f aca="false">R1369</f>
        <v>0</v>
      </c>
    </row>
    <row r="1370" customFormat="false" ht="15" hidden="false" customHeight="true" outlineLevel="0" collapsed="false">
      <c r="A1370" s="7" t="s">
        <v>67</v>
      </c>
      <c r="B1370" s="7" t="n">
        <v>1979</v>
      </c>
      <c r="C1370" s="7" t="s">
        <v>152</v>
      </c>
      <c r="D1370" s="7" t="n">
        <v>85</v>
      </c>
      <c r="E1370" s="7" t="n">
        <v>76</v>
      </c>
      <c r="F1370" s="3" t="n">
        <f aca="false">COUNTIFS($B$2:$B$2705,B1370,$C$2:$C$2705,C1370)</f>
        <v>1</v>
      </c>
      <c r="G1370" s="3" t="n">
        <f aca="false">MIN(INT((MIN(B1370,2020)-1900)/10)+1,12)</f>
        <v>8</v>
      </c>
      <c r="H1370" s="3" t="n">
        <f aca="false">(MIN(B1370,2020)-1900-10*(G1370-1))/10</f>
        <v>0.9</v>
      </c>
      <c r="I1370" s="20" t="n">
        <f aca="false">EXP(LN(INDEX(Pop_Inputs!$B$2:$N$29,MATCH(C1370,Pop_Inputs!$A$2:$A$29,0),G1370))*(1-H1370)+LN(INDEX(Pop_Inputs!$B$2:$N$29,MATCH(C1370,Pop_Inputs!$A$2:$A$29,0),G1370+1))*H1370)</f>
        <v>1231115.81590615</v>
      </c>
      <c r="J1370" s="20" t="n">
        <f aca="false">I1370/F1370</f>
        <v>1231115.81590615</v>
      </c>
      <c r="K1370" s="21" t="n">
        <f aca="false">D1370/(D1370+E1370)</f>
        <v>0.527950310559006</v>
      </c>
      <c r="L1370" s="21" t="n">
        <f aca="false">AVERAGEIFS($K$2:$K$2705,$B$2:$B$2705,B1370)</f>
        <v>0.500166669699415</v>
      </c>
      <c r="M1370" s="21" t="n">
        <f aca="false">K1370-L1370</f>
        <v>0.0277836408595911</v>
      </c>
      <c r="N1370" s="21" t="n">
        <f aca="false">LN(J1370)</f>
        <v>14.0234314835243</v>
      </c>
      <c r="O1370" s="21" t="n">
        <f aca="false">AVERAGEIFS($N$2:$N$2705,$B$2:$B$2705,B1370)</f>
        <v>13.6440888460528</v>
      </c>
      <c r="P1370" s="21" t="n">
        <f aca="false">N1370-O1370</f>
        <v>0.379342637471501</v>
      </c>
      <c r="Q1370" s="7" t="n">
        <v>0</v>
      </c>
      <c r="R1370" s="3" t="n">
        <f aca="false">IF(AND(Q1370=1,B1370-_xlfn.MINIFS($B$2:$B$2705,$A$2:$A$2705,A1370)&lt;10),1,0)</f>
        <v>0</v>
      </c>
      <c r="S1370" s="7" t="n">
        <v>0</v>
      </c>
      <c r="T1370" s="3" t="n">
        <f aca="false">_xlfn.MINIFS($B$2:$B$2705,$A$2:$A$2705,A1370)</f>
        <v>1901</v>
      </c>
      <c r="U1370" s="3" t="n">
        <f aca="false">B1370-T1370</f>
        <v>78</v>
      </c>
      <c r="V1370" s="3" t="str">
        <f aca="false">INDEX(Pop_Inputs!$Q$2:$Q$29,MATCH(C1370,Pop_Inputs!$A$2:$A$29,0))</f>
        <v>Midwest</v>
      </c>
      <c r="W1370" s="30"/>
      <c r="X1370" s="3" t="str">
        <f aca="false">IF(W1370="","",LN(W1370))</f>
        <v/>
      </c>
      <c r="Y1370" s="3" t="str">
        <f aca="false">IF(X1370="","",X1370-AVERAGEIFS($X$2:$X$2705,$B$2:$B$2705,B1370))</f>
        <v/>
      </c>
      <c r="Z1370" s="21" t="n">
        <f aca="false">P1370</f>
        <v>0.379342637471501</v>
      </c>
      <c r="AA1370" s="3" t="n">
        <f aca="false">R1370</f>
        <v>0</v>
      </c>
      <c r="AB1370" s="21" t="n">
        <f aca="false">P1370</f>
        <v>0.379342637471501</v>
      </c>
      <c r="AC1370" s="3" t="str">
        <f aca="false">Y1370</f>
        <v/>
      </c>
      <c r="AD1370" s="3" t="n">
        <f aca="false">R1370</f>
        <v>0</v>
      </c>
    </row>
    <row r="1371" customFormat="false" ht="15" hidden="false" customHeight="true" outlineLevel="0" collapsed="false">
      <c r="A1371" s="7" t="s">
        <v>74</v>
      </c>
      <c r="B1371" s="7" t="n">
        <v>1979</v>
      </c>
      <c r="C1371" s="7" t="s">
        <v>156</v>
      </c>
      <c r="D1371" s="7" t="n">
        <v>89</v>
      </c>
      <c r="E1371" s="7" t="n">
        <v>73</v>
      </c>
      <c r="F1371" s="3" t="n">
        <f aca="false">COUNTIFS($B$2:$B$2705,B1371,$C$2:$C$2705,C1371)</f>
        <v>1</v>
      </c>
      <c r="G1371" s="3" t="n">
        <f aca="false">MIN(INT((MIN(B1371,2020)-1900)/10)+1,12)</f>
        <v>8</v>
      </c>
      <c r="H1371" s="3" t="n">
        <f aca="false">(MIN(B1371,2020)-1900-10*(G1371-1))/10</f>
        <v>0.9</v>
      </c>
      <c r="I1371" s="20" t="n">
        <f aca="false">EXP(LN(INDEX(Pop_Inputs!$B$2:$N$29,MATCH(C1371,Pop_Inputs!$A$2:$A$29,0),G1371))*(1-H1371)+LN(INDEX(Pop_Inputs!$B$2:$N$29,MATCH(C1371,Pop_Inputs!$A$2:$A$29,0),G1371+1))*H1371)</f>
        <v>1554560.99946771</v>
      </c>
      <c r="J1371" s="20" t="n">
        <f aca="false">I1371/F1371</f>
        <v>1554560.99946771</v>
      </c>
      <c r="K1371" s="21" t="n">
        <f aca="false">D1371/(D1371+E1371)</f>
        <v>0.549382716049383</v>
      </c>
      <c r="L1371" s="21" t="n">
        <f aca="false">AVERAGEIFS($K$2:$K$2705,$B$2:$B$2705,B1371)</f>
        <v>0.500166669699415</v>
      </c>
      <c r="M1371" s="21" t="n">
        <f aca="false">K1371-L1371</f>
        <v>0.0492160463499676</v>
      </c>
      <c r="N1371" s="21" t="n">
        <f aca="false">LN(J1371)</f>
        <v>14.2567037482821</v>
      </c>
      <c r="O1371" s="21" t="n">
        <f aca="false">AVERAGEIFS($N$2:$N$2705,$B$2:$B$2705,B1371)</f>
        <v>13.6440888460528</v>
      </c>
      <c r="P1371" s="21" t="n">
        <f aca="false">N1371-O1371</f>
        <v>0.612614902229311</v>
      </c>
      <c r="Q1371" s="7" t="n">
        <v>1</v>
      </c>
      <c r="R1371" s="3" t="n">
        <f aca="false">IF(AND(Q1371=1,B1371-_xlfn.MINIFS($B$2:$B$2705,$A$2:$A$2705,A1371)&lt;10),1,0)</f>
        <v>0</v>
      </c>
      <c r="S1371" s="7" t="n">
        <v>0</v>
      </c>
      <c r="T1371" s="3" t="n">
        <f aca="false">_xlfn.MINIFS($B$2:$B$2705,$A$2:$A$2705,A1371)</f>
        <v>1962</v>
      </c>
      <c r="U1371" s="3" t="n">
        <f aca="false">B1371-T1371</f>
        <v>17</v>
      </c>
      <c r="V1371" s="3" t="str">
        <f aca="false">INDEX(Pop_Inputs!$Q$2:$Q$29,MATCH(C1371,Pop_Inputs!$A$2:$A$29,0))</f>
        <v>South</v>
      </c>
      <c r="W1371" s="30"/>
      <c r="X1371" s="3" t="str">
        <f aca="false">IF(W1371="","",LN(W1371))</f>
        <v/>
      </c>
      <c r="Y1371" s="3" t="str">
        <f aca="false">IF(X1371="","",X1371-AVERAGEIFS($X$2:$X$2705,$B$2:$B$2705,B1371))</f>
        <v/>
      </c>
      <c r="Z1371" s="21" t="n">
        <f aca="false">P1371</f>
        <v>0.612614902229311</v>
      </c>
      <c r="AA1371" s="3" t="n">
        <f aca="false">R1371</f>
        <v>0</v>
      </c>
      <c r="AB1371" s="21" t="n">
        <f aca="false">P1371</f>
        <v>0.612614902229311</v>
      </c>
      <c r="AC1371" s="3" t="str">
        <f aca="false">Y1371</f>
        <v/>
      </c>
      <c r="AD1371" s="3" t="n">
        <f aca="false">R1371</f>
        <v>0</v>
      </c>
    </row>
    <row r="1372" customFormat="false" ht="15" hidden="false" customHeight="true" outlineLevel="0" collapsed="false">
      <c r="A1372" s="7" t="s">
        <v>76</v>
      </c>
      <c r="B1372" s="7" t="n">
        <v>1979</v>
      </c>
      <c r="C1372" s="7" t="s">
        <v>157</v>
      </c>
      <c r="D1372" s="7" t="n">
        <v>85</v>
      </c>
      <c r="E1372" s="7" t="n">
        <v>77</v>
      </c>
      <c r="F1372" s="3" t="n">
        <f aca="false">COUNTIFS($B$2:$B$2705,B1372,$C$2:$C$2705,C1372)</f>
        <v>1</v>
      </c>
      <c r="G1372" s="3" t="n">
        <f aca="false">MIN(INT((MIN(B1372,2020)-1900)/10)+1,12)</f>
        <v>8</v>
      </c>
      <c r="H1372" s="3" t="n">
        <f aca="false">(MIN(B1372,2020)-1900-10*(G1372-1))/10</f>
        <v>0.9</v>
      </c>
      <c r="I1372" s="20" t="n">
        <f aca="false">EXP(LN(INDEX(Pop_Inputs!$B$2:$N$29,MATCH(C1372,Pop_Inputs!$A$2:$A$29,0),G1372))*(1-H1372)+LN(INDEX(Pop_Inputs!$B$2:$N$29,MATCH(C1372,Pop_Inputs!$A$2:$A$29,0),G1372+1))*H1372)</f>
        <v>453729.647599249</v>
      </c>
      <c r="J1372" s="20" t="n">
        <f aca="false">I1372/F1372</f>
        <v>453729.647599249</v>
      </c>
      <c r="K1372" s="21" t="n">
        <f aca="false">D1372/(D1372+E1372)</f>
        <v>0.524691358024691</v>
      </c>
      <c r="L1372" s="21" t="n">
        <f aca="false">AVERAGEIFS($K$2:$K$2705,$B$2:$B$2705,B1372)</f>
        <v>0.500166669699415</v>
      </c>
      <c r="M1372" s="21" t="n">
        <f aca="false">K1372-L1372</f>
        <v>0.0245246883252762</v>
      </c>
      <c r="N1372" s="21" t="n">
        <f aca="false">LN(J1372)</f>
        <v>13.0252568097795</v>
      </c>
      <c r="O1372" s="21" t="n">
        <f aca="false">AVERAGEIFS($N$2:$N$2705,$B$2:$B$2705,B1372)</f>
        <v>13.6440888460528</v>
      </c>
      <c r="P1372" s="21" t="n">
        <f aca="false">N1372-O1372</f>
        <v>-0.618832036273329</v>
      </c>
      <c r="Q1372" s="7" t="n">
        <v>1</v>
      </c>
      <c r="R1372" s="3" t="n">
        <f aca="false">IF(AND(Q1372=1,B1372-_xlfn.MINIFS($B$2:$B$2705,$A$2:$A$2705,A1372)&lt;10),1,0)</f>
        <v>0</v>
      </c>
      <c r="S1372" s="7" t="n">
        <v>0</v>
      </c>
      <c r="T1372" s="3" t="n">
        <f aca="false">_xlfn.MINIFS($B$2:$B$2705,$A$2:$A$2705,A1372)</f>
        <v>1969</v>
      </c>
      <c r="U1372" s="3" t="n">
        <f aca="false">B1372-T1372</f>
        <v>10</v>
      </c>
      <c r="V1372" s="3" t="str">
        <f aca="false">INDEX(Pop_Inputs!$Q$2:$Q$29,MATCH(C1372,Pop_Inputs!$A$2:$A$29,0))</f>
        <v>Midwest</v>
      </c>
      <c r="W1372" s="30"/>
      <c r="X1372" s="3" t="str">
        <f aca="false">IF(W1372="","",LN(W1372))</f>
        <v/>
      </c>
      <c r="Y1372" s="3" t="str">
        <f aca="false">IF(X1372="","",X1372-AVERAGEIFS($X$2:$X$2705,$B$2:$B$2705,B1372))</f>
        <v/>
      </c>
      <c r="Z1372" s="21" t="n">
        <f aca="false">P1372</f>
        <v>-0.618832036273329</v>
      </c>
      <c r="AA1372" s="3" t="n">
        <f aca="false">R1372</f>
        <v>0</v>
      </c>
      <c r="AB1372" s="21" t="n">
        <f aca="false">P1372</f>
        <v>-0.618832036273329</v>
      </c>
      <c r="AC1372" s="3" t="str">
        <f aca="false">Y1372</f>
        <v/>
      </c>
      <c r="AD1372" s="3" t="n">
        <f aca="false">R1372</f>
        <v>0</v>
      </c>
    </row>
    <row r="1373" customFormat="false" ht="15" hidden="false" customHeight="true" outlineLevel="0" collapsed="false">
      <c r="A1373" s="7" t="s">
        <v>62</v>
      </c>
      <c r="B1373" s="7" t="n">
        <v>1979</v>
      </c>
      <c r="C1373" s="7" t="s">
        <v>148</v>
      </c>
      <c r="D1373" s="7" t="n">
        <v>79</v>
      </c>
      <c r="E1373" s="7" t="n">
        <v>83</v>
      </c>
      <c r="F1373" s="3" t="n">
        <f aca="false">COUNTIFS($B$2:$B$2705,B1373,$C$2:$C$2705,C1373)</f>
        <v>2</v>
      </c>
      <c r="G1373" s="3" t="n">
        <f aca="false">MIN(INT((MIN(B1373,2020)-1900)/10)+1,12)</f>
        <v>8</v>
      </c>
      <c r="H1373" s="3" t="n">
        <f aca="false">(MIN(B1373,2020)-1900-10*(G1373-1))/10</f>
        <v>0.9</v>
      </c>
      <c r="I1373" s="20" t="n">
        <f aca="false">EXP(LN(INDEX(Pop_Inputs!$B$2:$N$29,MATCH(C1373,Pop_Inputs!$A$2:$A$29,0),G1373))*(1-H1373)+LN(INDEX(Pop_Inputs!$B$2:$N$29,MATCH(C1373,Pop_Inputs!$A$2:$A$29,0),G1373+1))*H1373)</f>
        <v>2951414.7023594</v>
      </c>
      <c r="J1373" s="20" t="n">
        <f aca="false">I1373/F1373</f>
        <v>1475707.3511797</v>
      </c>
      <c r="K1373" s="21" t="n">
        <f aca="false">D1373/(D1373+E1373)</f>
        <v>0.487654320987654</v>
      </c>
      <c r="L1373" s="21" t="n">
        <f aca="false">AVERAGEIFS($K$2:$K$2705,$B$2:$B$2705,B1373)</f>
        <v>0.500166669699415</v>
      </c>
      <c r="M1373" s="21" t="n">
        <f aca="false">K1373-L1373</f>
        <v>-0.0125123487117608</v>
      </c>
      <c r="N1373" s="21" t="n">
        <f aca="false">LN(J1373)</f>
        <v>14.2046479929257</v>
      </c>
      <c r="O1373" s="21" t="n">
        <f aca="false">AVERAGEIFS($N$2:$N$2705,$B$2:$B$2705,B1373)</f>
        <v>13.6440888460528</v>
      </c>
      <c r="P1373" s="21" t="n">
        <f aca="false">N1373-O1373</f>
        <v>0.560559146872876</v>
      </c>
      <c r="Q1373" s="7" t="n">
        <v>0</v>
      </c>
      <c r="R1373" s="3" t="n">
        <f aca="false">IF(AND(Q1373=1,B1373-_xlfn.MINIFS($B$2:$B$2705,$A$2:$A$2705,A1373)&lt;10),1,0)</f>
        <v>0</v>
      </c>
      <c r="S1373" s="7" t="n">
        <v>0</v>
      </c>
      <c r="T1373" s="3" t="n">
        <f aca="false">_xlfn.MINIFS($B$2:$B$2705,$A$2:$A$2705,A1373)</f>
        <v>1901</v>
      </c>
      <c r="U1373" s="3" t="n">
        <f aca="false">B1373-T1373</f>
        <v>78</v>
      </c>
      <c r="V1373" s="3" t="str">
        <f aca="false">INDEX(Pop_Inputs!$Q$2:$Q$29,MATCH(C1373,Pop_Inputs!$A$2:$A$29,0))</f>
        <v>West</v>
      </c>
      <c r="W1373" s="30"/>
      <c r="X1373" s="3" t="str">
        <f aca="false">IF(W1373="","",LN(W1373))</f>
        <v/>
      </c>
      <c r="Y1373" s="3" t="str">
        <f aca="false">IF(X1373="","",X1373-AVERAGEIFS($X$2:$X$2705,$B$2:$B$2705,B1373))</f>
        <v/>
      </c>
      <c r="Z1373" s="21" t="n">
        <f aca="false">P1373</f>
        <v>0.560559146872876</v>
      </c>
      <c r="AA1373" s="3" t="n">
        <f aca="false">R1373</f>
        <v>0</v>
      </c>
      <c r="AB1373" s="21" t="n">
        <f aca="false">P1373</f>
        <v>0.560559146872876</v>
      </c>
      <c r="AC1373" s="3" t="str">
        <f aca="false">Y1373</f>
        <v/>
      </c>
      <c r="AD1373" s="3" t="n">
        <f aca="false">R1373</f>
        <v>0</v>
      </c>
    </row>
    <row r="1374" customFormat="false" ht="15" hidden="false" customHeight="true" outlineLevel="0" collapsed="false">
      <c r="A1374" s="7" t="s">
        <v>77</v>
      </c>
      <c r="B1374" s="7" t="n">
        <v>1979</v>
      </c>
      <c r="C1374" s="7" t="s">
        <v>158</v>
      </c>
      <c r="D1374" s="7" t="n">
        <v>95</v>
      </c>
      <c r="E1374" s="7" t="n">
        <v>66</v>
      </c>
      <c r="F1374" s="3" t="n">
        <f aca="false">COUNTIFS($B$2:$B$2705,B1374,$C$2:$C$2705,C1374)</f>
        <v>1</v>
      </c>
      <c r="G1374" s="3" t="n">
        <f aca="false">MIN(INT((MIN(B1374,2020)-1900)/10)+1,12)</f>
        <v>8</v>
      </c>
      <c r="H1374" s="3" t="n">
        <f aca="false">(MIN(B1374,2020)-1900-10*(G1374-1))/10</f>
        <v>0.9</v>
      </c>
      <c r="I1374" s="20" t="n">
        <f aca="false">EXP(LN(INDEX(Pop_Inputs!$B$2:$N$29,MATCH(C1374,Pop_Inputs!$A$2:$A$29,0),G1374))*(1-H1374)+LN(INDEX(Pop_Inputs!$B$2:$N$29,MATCH(C1374,Pop_Inputs!$A$2:$A$29,0),G1374+1))*H1374)</f>
        <v>643872.063788385</v>
      </c>
      <c r="J1374" s="20" t="n">
        <f aca="false">I1374/F1374</f>
        <v>643872.063788385</v>
      </c>
      <c r="K1374" s="21" t="n">
        <f aca="false">D1374/(D1374+E1374)</f>
        <v>0.590062111801242</v>
      </c>
      <c r="L1374" s="21" t="n">
        <f aca="false">AVERAGEIFS($K$2:$K$2705,$B$2:$B$2705,B1374)</f>
        <v>0.500166669699415</v>
      </c>
      <c r="M1374" s="21" t="n">
        <f aca="false">K1374-L1374</f>
        <v>0.0898954421018271</v>
      </c>
      <c r="N1374" s="21" t="n">
        <f aca="false">LN(J1374)</f>
        <v>13.3752553266375</v>
      </c>
      <c r="O1374" s="21" t="n">
        <f aca="false">AVERAGEIFS($N$2:$N$2705,$B$2:$B$2705,B1374)</f>
        <v>13.6440888460528</v>
      </c>
      <c r="P1374" s="21" t="n">
        <f aca="false">N1374-O1374</f>
        <v>-0.268833519415258</v>
      </c>
      <c r="Q1374" s="7" t="n">
        <v>1</v>
      </c>
      <c r="R1374" s="3" t="n">
        <f aca="false">IF(AND(Q1374=1,B1374-_xlfn.MINIFS($B$2:$B$2705,$A$2:$A$2705,A1374)&lt;10),1,0)</f>
        <v>0</v>
      </c>
      <c r="S1374" s="7" t="n">
        <v>0</v>
      </c>
      <c r="T1374" s="3" t="n">
        <f aca="false">_xlfn.MINIFS($B$2:$B$2705,$A$2:$A$2705,A1374)</f>
        <v>1969</v>
      </c>
      <c r="U1374" s="3" t="n">
        <f aca="false">B1374-T1374</f>
        <v>10</v>
      </c>
      <c r="V1374" s="3" t="str">
        <f aca="false">INDEX(Pop_Inputs!$Q$2:$Q$29,MATCH(C1374,Pop_Inputs!$A$2:$A$29,0))</f>
        <v>Midwest</v>
      </c>
      <c r="W1374" s="30"/>
      <c r="X1374" s="3" t="str">
        <f aca="false">IF(W1374="","",LN(W1374))</f>
        <v/>
      </c>
      <c r="Y1374" s="3" t="str">
        <f aca="false">IF(X1374="","",X1374-AVERAGEIFS($X$2:$X$2705,$B$2:$B$2705,B1374))</f>
        <v/>
      </c>
      <c r="Z1374" s="21" t="n">
        <f aca="false">P1374</f>
        <v>-0.268833519415258</v>
      </c>
      <c r="AA1374" s="3" t="n">
        <f aca="false">R1374</f>
        <v>0</v>
      </c>
      <c r="AB1374" s="21" t="n">
        <f aca="false">P1374</f>
        <v>-0.268833519415258</v>
      </c>
      <c r="AC1374" s="3" t="str">
        <f aca="false">Y1374</f>
        <v/>
      </c>
      <c r="AD1374" s="3" t="n">
        <f aca="false">R1374</f>
        <v>0</v>
      </c>
    </row>
    <row r="1375" customFormat="false" ht="15" hidden="false" customHeight="true" outlineLevel="0" collapsed="false">
      <c r="A1375" s="7" t="s">
        <v>68</v>
      </c>
      <c r="B1375" s="7" t="n">
        <v>1979</v>
      </c>
      <c r="C1375" s="7" t="s">
        <v>153</v>
      </c>
      <c r="D1375" s="7" t="n">
        <v>82</v>
      </c>
      <c r="E1375" s="7" t="n">
        <v>80</v>
      </c>
      <c r="F1375" s="3" t="n">
        <f aca="false">COUNTIFS($B$2:$B$2705,B1375,$C$2:$C$2705,C1375)</f>
        <v>1</v>
      </c>
      <c r="G1375" s="3" t="n">
        <f aca="false">MIN(INT((MIN(B1375,2020)-1900)/10)+1,12)</f>
        <v>8</v>
      </c>
      <c r="H1375" s="3" t="n">
        <f aca="false">(MIN(B1375,2020)-1900-10*(G1375-1))/10</f>
        <v>0.9</v>
      </c>
      <c r="I1375" s="20" t="n">
        <f aca="false">EXP(LN(INDEX(Pop_Inputs!$B$2:$N$29,MATCH(C1375,Pop_Inputs!$A$2:$A$29,0),G1375))*(1-H1375)+LN(INDEX(Pop_Inputs!$B$2:$N$29,MATCH(C1375,Pop_Inputs!$A$2:$A$29,0),G1375+1))*H1375)</f>
        <v>376854.645512923</v>
      </c>
      <c r="J1375" s="20" t="n">
        <f aca="false">I1375/F1375</f>
        <v>376854.645512923</v>
      </c>
      <c r="K1375" s="21" t="n">
        <f aca="false">D1375/(D1375+E1375)</f>
        <v>0.506172839506173</v>
      </c>
      <c r="L1375" s="21" t="n">
        <f aca="false">AVERAGEIFS($K$2:$K$2705,$B$2:$B$2705,B1375)</f>
        <v>0.500166669699415</v>
      </c>
      <c r="M1375" s="21" t="n">
        <f aca="false">K1375-L1375</f>
        <v>0.00600616980675772</v>
      </c>
      <c r="N1375" s="21" t="n">
        <f aca="false">LN(J1375)</f>
        <v>12.8396148364158</v>
      </c>
      <c r="O1375" s="21" t="n">
        <f aca="false">AVERAGEIFS($N$2:$N$2705,$B$2:$B$2705,B1375)</f>
        <v>13.6440888460528</v>
      </c>
      <c r="P1375" s="21" t="n">
        <f aca="false">N1375-O1375</f>
        <v>-0.804474009636992</v>
      </c>
      <c r="Q1375" s="7" t="n">
        <v>0</v>
      </c>
      <c r="R1375" s="3" t="n">
        <f aca="false">IF(AND(Q1375=1,B1375-_xlfn.MINIFS($B$2:$B$2705,$A$2:$A$2705,A1375)&lt;10),1,0)</f>
        <v>0</v>
      </c>
      <c r="S1375" s="7" t="n">
        <v>0</v>
      </c>
      <c r="T1375" s="3" t="n">
        <f aca="false">_xlfn.MINIFS($B$2:$B$2705,$A$2:$A$2705,A1375)</f>
        <v>1901</v>
      </c>
      <c r="U1375" s="3" t="n">
        <f aca="false">B1375-T1375</f>
        <v>78</v>
      </c>
      <c r="V1375" s="3" t="str">
        <f aca="false">INDEX(Pop_Inputs!$Q$2:$Q$29,MATCH(C1375,Pop_Inputs!$A$2:$A$29,0))</f>
        <v>Midwest</v>
      </c>
      <c r="W1375" s="30"/>
      <c r="X1375" s="3" t="str">
        <f aca="false">IF(W1375="","",LN(W1375))</f>
        <v/>
      </c>
      <c r="Y1375" s="3" t="str">
        <f aca="false">IF(X1375="","",X1375-AVERAGEIFS($X$2:$X$2705,$B$2:$B$2705,B1375))</f>
        <v/>
      </c>
      <c r="Z1375" s="21" t="n">
        <f aca="false">P1375</f>
        <v>-0.804474009636992</v>
      </c>
      <c r="AA1375" s="3" t="n">
        <f aca="false">R1375</f>
        <v>0</v>
      </c>
      <c r="AB1375" s="21" t="n">
        <f aca="false">P1375</f>
        <v>-0.804474009636992</v>
      </c>
      <c r="AC1375" s="3" t="str">
        <f aca="false">Y1375</f>
        <v/>
      </c>
      <c r="AD1375" s="3" t="n">
        <f aca="false">R1375</f>
        <v>0</v>
      </c>
    </row>
    <row r="1376" customFormat="false" ht="15" hidden="false" customHeight="true" outlineLevel="0" collapsed="false">
      <c r="A1376" s="7" t="s">
        <v>75</v>
      </c>
      <c r="B1376" s="7" t="n">
        <v>1979</v>
      </c>
      <c r="C1376" s="7" t="s">
        <v>154</v>
      </c>
      <c r="D1376" s="7" t="n">
        <v>63</v>
      </c>
      <c r="E1376" s="7" t="n">
        <v>99</v>
      </c>
      <c r="F1376" s="3" t="n">
        <f aca="false">COUNTIFS($B$2:$B$2705,B1376,$C$2:$C$2705,C1376)</f>
        <v>2</v>
      </c>
      <c r="G1376" s="3" t="n">
        <f aca="false">MIN(INT((MIN(B1376,2020)-1900)/10)+1,12)</f>
        <v>8</v>
      </c>
      <c r="H1376" s="3" t="n">
        <f aca="false">(MIN(B1376,2020)-1900-10*(G1376-1))/10</f>
        <v>0.9</v>
      </c>
      <c r="I1376" s="20" t="n">
        <f aca="false">EXP(LN(INDEX(Pop_Inputs!$B$2:$N$29,MATCH(C1376,Pop_Inputs!$A$2:$A$29,0),G1376))*(1-H1376)+LN(INDEX(Pop_Inputs!$B$2:$N$29,MATCH(C1376,Pop_Inputs!$A$2:$A$29,0),G1376+1))*H1376)</f>
        <v>7149942.15669781</v>
      </c>
      <c r="J1376" s="20" t="n">
        <f aca="false">I1376/F1376</f>
        <v>3574971.0783489</v>
      </c>
      <c r="K1376" s="21" t="n">
        <f aca="false">D1376/(D1376+E1376)</f>
        <v>0.388888888888889</v>
      </c>
      <c r="L1376" s="21" t="n">
        <f aca="false">AVERAGEIFS($K$2:$K$2705,$B$2:$B$2705,B1376)</f>
        <v>0.500166669699415</v>
      </c>
      <c r="M1376" s="21" t="n">
        <f aca="false">K1376-L1376</f>
        <v>-0.111277780810526</v>
      </c>
      <c r="N1376" s="21" t="n">
        <f aca="false">LN(J1376)</f>
        <v>15.0894676441052</v>
      </c>
      <c r="O1376" s="21" t="n">
        <f aca="false">AVERAGEIFS($N$2:$N$2705,$B$2:$B$2705,B1376)</f>
        <v>13.6440888460528</v>
      </c>
      <c r="P1376" s="21" t="n">
        <f aca="false">N1376-O1376</f>
        <v>1.44537879805238</v>
      </c>
      <c r="Q1376" s="7" t="n">
        <v>1</v>
      </c>
      <c r="R1376" s="3" t="n">
        <f aca="false">IF(AND(Q1376=1,B1376-_xlfn.MINIFS($B$2:$B$2705,$A$2:$A$2705,A1376)&lt;10),1,0)</f>
        <v>0</v>
      </c>
      <c r="S1376" s="7" t="n">
        <v>0</v>
      </c>
      <c r="T1376" s="3" t="n">
        <f aca="false">_xlfn.MINIFS($B$2:$B$2705,$A$2:$A$2705,A1376)</f>
        <v>1962</v>
      </c>
      <c r="U1376" s="3" t="n">
        <f aca="false">B1376-T1376</f>
        <v>17</v>
      </c>
      <c r="V1376" s="3" t="str">
        <f aca="false">INDEX(Pop_Inputs!$Q$2:$Q$29,MATCH(C1376,Pop_Inputs!$A$2:$A$29,0))</f>
        <v>Northeast</v>
      </c>
      <c r="W1376" s="30"/>
      <c r="X1376" s="3" t="str">
        <f aca="false">IF(W1376="","",LN(W1376))</f>
        <v/>
      </c>
      <c r="Y1376" s="3" t="str">
        <f aca="false">IF(X1376="","",X1376-AVERAGEIFS($X$2:$X$2705,$B$2:$B$2705,B1376))</f>
        <v/>
      </c>
      <c r="Z1376" s="21" t="n">
        <f aca="false">P1376</f>
        <v>1.44537879805238</v>
      </c>
      <c r="AA1376" s="3" t="n">
        <f aca="false">R1376</f>
        <v>0</v>
      </c>
      <c r="AB1376" s="21" t="n">
        <f aca="false">P1376</f>
        <v>1.44537879805238</v>
      </c>
      <c r="AC1376" s="3" t="str">
        <f aca="false">Y1376</f>
        <v/>
      </c>
      <c r="AD1376" s="3" t="n">
        <f aca="false">R1376</f>
        <v>0</v>
      </c>
    </row>
    <row r="1377" customFormat="false" ht="15" hidden="false" customHeight="true" outlineLevel="0" collapsed="false">
      <c r="A1377" s="7" t="s">
        <v>70</v>
      </c>
      <c r="B1377" s="7" t="n">
        <v>1979</v>
      </c>
      <c r="C1377" s="7" t="s">
        <v>154</v>
      </c>
      <c r="D1377" s="7" t="n">
        <v>89</v>
      </c>
      <c r="E1377" s="7" t="n">
        <v>71</v>
      </c>
      <c r="F1377" s="3" t="n">
        <f aca="false">COUNTIFS($B$2:$B$2705,B1377,$C$2:$C$2705,C1377)</f>
        <v>2</v>
      </c>
      <c r="G1377" s="3" t="n">
        <f aca="false">MIN(INT((MIN(B1377,2020)-1900)/10)+1,12)</f>
        <v>8</v>
      </c>
      <c r="H1377" s="3" t="n">
        <f aca="false">(MIN(B1377,2020)-1900-10*(G1377-1))/10</f>
        <v>0.9</v>
      </c>
      <c r="I1377" s="20" t="n">
        <f aca="false">EXP(LN(INDEX(Pop_Inputs!$B$2:$N$29,MATCH(C1377,Pop_Inputs!$A$2:$A$29,0),G1377))*(1-H1377)+LN(INDEX(Pop_Inputs!$B$2:$N$29,MATCH(C1377,Pop_Inputs!$A$2:$A$29,0),G1377+1))*H1377)</f>
        <v>7149942.15669781</v>
      </c>
      <c r="J1377" s="20" t="n">
        <f aca="false">I1377/F1377</f>
        <v>3574971.0783489</v>
      </c>
      <c r="K1377" s="21" t="n">
        <f aca="false">D1377/(D1377+E1377)</f>
        <v>0.55625</v>
      </c>
      <c r="L1377" s="21" t="n">
        <f aca="false">AVERAGEIFS($K$2:$K$2705,$B$2:$B$2705,B1377)</f>
        <v>0.500166669699415</v>
      </c>
      <c r="M1377" s="21" t="n">
        <f aca="false">K1377-L1377</f>
        <v>0.0560833303005849</v>
      </c>
      <c r="N1377" s="21" t="n">
        <f aca="false">LN(J1377)</f>
        <v>15.0894676441052</v>
      </c>
      <c r="O1377" s="21" t="n">
        <f aca="false">AVERAGEIFS($N$2:$N$2705,$B$2:$B$2705,B1377)</f>
        <v>13.6440888460528</v>
      </c>
      <c r="P1377" s="21" t="n">
        <f aca="false">N1377-O1377</f>
        <v>1.44537879805238</v>
      </c>
      <c r="Q1377" s="7" t="n">
        <v>0</v>
      </c>
      <c r="R1377" s="3" t="n">
        <f aca="false">IF(AND(Q1377=1,B1377-_xlfn.MINIFS($B$2:$B$2705,$A$2:$A$2705,A1377)&lt;10),1,0)</f>
        <v>0</v>
      </c>
      <c r="S1377" s="7" t="n">
        <v>1</v>
      </c>
      <c r="T1377" s="3" t="n">
        <f aca="false">_xlfn.MINIFS($B$2:$B$2705,$A$2:$A$2705,A1377)</f>
        <v>1903</v>
      </c>
      <c r="U1377" s="3" t="n">
        <f aca="false">B1377-T1377</f>
        <v>76</v>
      </c>
      <c r="V1377" s="3" t="str">
        <f aca="false">INDEX(Pop_Inputs!$Q$2:$Q$29,MATCH(C1377,Pop_Inputs!$A$2:$A$29,0))</f>
        <v>Northeast</v>
      </c>
      <c r="W1377" s="30"/>
      <c r="X1377" s="3" t="str">
        <f aca="false">IF(W1377="","",LN(W1377))</f>
        <v/>
      </c>
      <c r="Y1377" s="3" t="str">
        <f aca="false">IF(X1377="","",X1377-AVERAGEIFS($X$2:$X$2705,$B$2:$B$2705,B1377))</f>
        <v/>
      </c>
      <c r="Z1377" s="21" t="n">
        <f aca="false">P1377</f>
        <v>1.44537879805238</v>
      </c>
      <c r="AA1377" s="3" t="n">
        <f aca="false">R1377</f>
        <v>0</v>
      </c>
      <c r="AB1377" s="21" t="n">
        <f aca="false">P1377</f>
        <v>1.44537879805238</v>
      </c>
      <c r="AC1377" s="3" t="str">
        <f aca="false">Y1377</f>
        <v/>
      </c>
      <c r="AD1377" s="3" t="n">
        <f aca="false">R1377</f>
        <v>0</v>
      </c>
    </row>
    <row r="1378" customFormat="false" ht="15" hidden="false" customHeight="true" outlineLevel="0" collapsed="false">
      <c r="A1378" s="7" t="s">
        <v>69</v>
      </c>
      <c r="B1378" s="7" t="n">
        <v>1979</v>
      </c>
      <c r="C1378" s="7" t="s">
        <v>253</v>
      </c>
      <c r="D1378" s="7" t="n">
        <v>54</v>
      </c>
      <c r="E1378" s="7" t="n">
        <v>108</v>
      </c>
      <c r="F1378" s="3" t="n">
        <f aca="false">COUNTIFS($B$2:$B$2705,B1378,$C$2:$C$2705,C1378)</f>
        <v>1</v>
      </c>
      <c r="G1378" s="3" t="n">
        <f aca="false">MIN(INT((MIN(B1378,2020)-1900)/10)+1,12)</f>
        <v>8</v>
      </c>
      <c r="H1378" s="3" t="n">
        <f aca="false">(MIN(B1378,2020)-1900-10*(G1378-1))/10</f>
        <v>0.9</v>
      </c>
      <c r="I1378" s="20" t="n">
        <f aca="false">EXP(LN(INDEX(Pop_Inputs!$B$2:$N$29,MATCH(C1378,Pop_Inputs!$A$2:$A$29,0),G1378))*(1-H1378)+LN(INDEX(Pop_Inputs!$B$2:$N$29,MATCH(C1378,Pop_Inputs!$A$2:$A$29,0),G1378+1))*H1378)</f>
        <v>341496.496350068</v>
      </c>
      <c r="J1378" s="20" t="n">
        <f aca="false">I1378/F1378</f>
        <v>341496.496350068</v>
      </c>
      <c r="K1378" s="21" t="n">
        <f aca="false">D1378/(D1378+E1378)</f>
        <v>0.333333333333333</v>
      </c>
      <c r="L1378" s="21" t="n">
        <f aca="false">AVERAGEIFS($K$2:$K$2705,$B$2:$B$2705,B1378)</f>
        <v>0.500166669699415</v>
      </c>
      <c r="M1378" s="21" t="n">
        <f aca="false">K1378-L1378</f>
        <v>-0.166833336366082</v>
      </c>
      <c r="N1378" s="21" t="n">
        <f aca="false">LN(J1378)</f>
        <v>12.7410926983505</v>
      </c>
      <c r="O1378" s="21" t="n">
        <f aca="false">AVERAGEIFS($N$2:$N$2705,$B$2:$B$2705,B1378)</f>
        <v>13.6440888460528</v>
      </c>
      <c r="P1378" s="21" t="n">
        <f aca="false">N1378-O1378</f>
        <v>-0.902996147702297</v>
      </c>
      <c r="Q1378" s="7" t="n">
        <v>0</v>
      </c>
      <c r="R1378" s="3" t="n">
        <f aca="false">IF(AND(Q1378=1,B1378-_xlfn.MINIFS($B$2:$B$2705,$A$2:$A$2705,A1378)&lt;10),1,0)</f>
        <v>0</v>
      </c>
      <c r="S1378" s="7" t="n">
        <v>0</v>
      </c>
      <c r="T1378" s="3" t="n">
        <f aca="false">_xlfn.MINIFS($B$2:$B$2705,$A$2:$A$2705,A1378)</f>
        <v>1901</v>
      </c>
      <c r="U1378" s="3" t="n">
        <f aca="false">B1378-T1378</f>
        <v>78</v>
      </c>
      <c r="V1378" s="3" t="str">
        <f aca="false">INDEX(Pop_Inputs!$Q$2:$Q$29,MATCH(C1378,Pop_Inputs!$A$2:$A$29,0))</f>
        <v>West</v>
      </c>
      <c r="W1378" s="30"/>
      <c r="X1378" s="3" t="str">
        <f aca="false">IF(W1378="","",LN(W1378))</f>
        <v/>
      </c>
      <c r="Y1378" s="3" t="str">
        <f aca="false">IF(X1378="","",X1378-AVERAGEIFS($X$2:$X$2705,$B$2:$B$2705,B1378))</f>
        <v/>
      </c>
      <c r="Z1378" s="21" t="n">
        <f aca="false">P1378</f>
        <v>-0.902996147702297</v>
      </c>
      <c r="AA1378" s="3" t="n">
        <f aca="false">R1378</f>
        <v>0</v>
      </c>
      <c r="AB1378" s="21" t="n">
        <f aca="false">P1378</f>
        <v>-0.902996147702297</v>
      </c>
      <c r="AC1378" s="3" t="str">
        <f aca="false">Y1378</f>
        <v/>
      </c>
      <c r="AD1378" s="3" t="n">
        <f aca="false">R1378</f>
        <v>0</v>
      </c>
    </row>
    <row r="1379" customFormat="false" ht="15" hidden="false" customHeight="true" outlineLevel="0" collapsed="false">
      <c r="A1379" s="7" t="s">
        <v>60</v>
      </c>
      <c r="B1379" s="7" t="n">
        <v>1979</v>
      </c>
      <c r="C1379" s="7" t="s">
        <v>146</v>
      </c>
      <c r="D1379" s="7" t="n">
        <v>84</v>
      </c>
      <c r="E1379" s="7" t="n">
        <v>78</v>
      </c>
      <c r="F1379" s="3" t="n">
        <f aca="false">COUNTIFS($B$2:$B$2705,B1379,$C$2:$C$2705,C1379)</f>
        <v>1</v>
      </c>
      <c r="G1379" s="3" t="n">
        <f aca="false">MIN(INT((MIN(B1379,2020)-1900)/10)+1,12)</f>
        <v>8</v>
      </c>
      <c r="H1379" s="3" t="n">
        <f aca="false">(MIN(B1379,2020)-1900-10*(G1379-1))/10</f>
        <v>0.9</v>
      </c>
      <c r="I1379" s="20" t="n">
        <f aca="false">EXP(LN(INDEX(Pop_Inputs!$B$2:$N$29,MATCH(C1379,Pop_Inputs!$A$2:$A$29,0),G1379))*(1-H1379)+LN(INDEX(Pop_Inputs!$B$2:$N$29,MATCH(C1379,Pop_Inputs!$A$2:$A$29,0),G1379+1))*H1379)</f>
        <v>1712601.38939321</v>
      </c>
      <c r="J1379" s="20" t="n">
        <f aca="false">I1379/F1379</f>
        <v>1712601.38939321</v>
      </c>
      <c r="K1379" s="21" t="n">
        <f aca="false">D1379/(D1379+E1379)</f>
        <v>0.518518518518519</v>
      </c>
      <c r="L1379" s="21" t="n">
        <f aca="false">AVERAGEIFS($K$2:$K$2705,$B$2:$B$2705,B1379)</f>
        <v>0.500166669699415</v>
      </c>
      <c r="M1379" s="21" t="n">
        <f aca="false">K1379-L1379</f>
        <v>0.0183518488191033</v>
      </c>
      <c r="N1379" s="21" t="n">
        <f aca="false">LN(J1379)</f>
        <v>14.353524052851</v>
      </c>
      <c r="O1379" s="21" t="n">
        <f aca="false">AVERAGEIFS($N$2:$N$2705,$B$2:$B$2705,B1379)</f>
        <v>13.6440888460528</v>
      </c>
      <c r="P1379" s="21" t="n">
        <f aca="false">N1379-O1379</f>
        <v>0.709435206798224</v>
      </c>
      <c r="Q1379" s="7" t="n">
        <v>0</v>
      </c>
      <c r="R1379" s="3" t="n">
        <f aca="false">IF(AND(Q1379=1,B1379-_xlfn.MINIFS($B$2:$B$2705,$A$2:$A$2705,A1379)&lt;10),1,0)</f>
        <v>0</v>
      </c>
      <c r="S1379" s="7" t="n">
        <v>0</v>
      </c>
      <c r="T1379" s="3" t="n">
        <f aca="false">_xlfn.MINIFS($B$2:$B$2705,$A$2:$A$2705,A1379)</f>
        <v>1901</v>
      </c>
      <c r="U1379" s="3" t="n">
        <f aca="false">B1379-T1379</f>
        <v>78</v>
      </c>
      <c r="V1379" s="3" t="str">
        <f aca="false">INDEX(Pop_Inputs!$Q$2:$Q$29,MATCH(C1379,Pop_Inputs!$A$2:$A$29,0))</f>
        <v>Northeast</v>
      </c>
      <c r="W1379" s="30"/>
      <c r="X1379" s="3" t="str">
        <f aca="false">IF(W1379="","",LN(W1379))</f>
        <v/>
      </c>
      <c r="Y1379" s="3" t="str">
        <f aca="false">IF(X1379="","",X1379-AVERAGEIFS($X$2:$X$2705,$B$2:$B$2705,B1379))</f>
        <v/>
      </c>
      <c r="Z1379" s="21" t="n">
        <f aca="false">P1379</f>
        <v>0.709435206798224</v>
      </c>
      <c r="AA1379" s="3" t="n">
        <f aca="false">R1379</f>
        <v>0</v>
      </c>
      <c r="AB1379" s="21" t="n">
        <f aca="false">P1379</f>
        <v>0.709435206798224</v>
      </c>
      <c r="AC1379" s="3" t="str">
        <f aca="false">Y1379</f>
        <v/>
      </c>
      <c r="AD1379" s="3" t="n">
        <f aca="false">R1379</f>
        <v>0</v>
      </c>
    </row>
    <row r="1380" customFormat="false" ht="15" hidden="false" customHeight="true" outlineLevel="0" collapsed="false">
      <c r="A1380" s="7" t="s">
        <v>58</v>
      </c>
      <c r="B1380" s="7" t="n">
        <v>1979</v>
      </c>
      <c r="C1380" s="7" t="s">
        <v>144</v>
      </c>
      <c r="D1380" s="7" t="n">
        <v>98</v>
      </c>
      <c r="E1380" s="7" t="n">
        <v>64</v>
      </c>
      <c r="F1380" s="3" t="n">
        <f aca="false">COUNTIFS($B$2:$B$2705,B1380,$C$2:$C$2705,C1380)</f>
        <v>1</v>
      </c>
      <c r="G1380" s="3" t="n">
        <f aca="false">MIN(INT((MIN(B1380,2020)-1900)/10)+1,12)</f>
        <v>8</v>
      </c>
      <c r="H1380" s="3" t="n">
        <f aca="false">(MIN(B1380,2020)-1900-10*(G1380-1))/10</f>
        <v>0.9</v>
      </c>
      <c r="I1380" s="20" t="n">
        <f aca="false">EXP(LN(INDEX(Pop_Inputs!$B$2:$N$29,MATCH(C1380,Pop_Inputs!$A$2:$A$29,0),G1380))*(1-H1380)+LN(INDEX(Pop_Inputs!$B$2:$N$29,MATCH(C1380,Pop_Inputs!$A$2:$A$29,0),G1380+1))*H1380)</f>
        <v>432695.338854401</v>
      </c>
      <c r="J1380" s="20" t="n">
        <f aca="false">I1380/F1380</f>
        <v>432695.338854401</v>
      </c>
      <c r="K1380" s="21" t="n">
        <f aca="false">D1380/(D1380+E1380)</f>
        <v>0.604938271604938</v>
      </c>
      <c r="L1380" s="21" t="n">
        <f aca="false">AVERAGEIFS($K$2:$K$2705,$B$2:$B$2705,B1380)</f>
        <v>0.500166669699415</v>
      </c>
      <c r="M1380" s="21" t="n">
        <f aca="false">K1380-L1380</f>
        <v>0.104771601905523</v>
      </c>
      <c r="N1380" s="21" t="n">
        <f aca="false">LN(J1380)</f>
        <v>12.9777891539211</v>
      </c>
      <c r="O1380" s="21" t="n">
        <f aca="false">AVERAGEIFS($N$2:$N$2705,$B$2:$B$2705,B1380)</f>
        <v>13.6440888460528</v>
      </c>
      <c r="P1380" s="21" t="n">
        <f aca="false">N1380-O1380</f>
        <v>-0.666299692131727</v>
      </c>
      <c r="Q1380" s="7" t="n">
        <v>0</v>
      </c>
      <c r="R1380" s="3" t="n">
        <f aca="false">IF(AND(Q1380=1,B1380-_xlfn.MINIFS($B$2:$B$2705,$A$2:$A$2705,A1380)&lt;10),1,0)</f>
        <v>0</v>
      </c>
      <c r="S1380" s="7" t="n">
        <v>0</v>
      </c>
      <c r="T1380" s="3" t="n">
        <f aca="false">_xlfn.MINIFS($B$2:$B$2705,$A$2:$A$2705,A1380)</f>
        <v>1901</v>
      </c>
      <c r="U1380" s="3" t="n">
        <f aca="false">B1380-T1380</f>
        <v>78</v>
      </c>
      <c r="V1380" s="3" t="str">
        <f aca="false">INDEX(Pop_Inputs!$Q$2:$Q$29,MATCH(C1380,Pop_Inputs!$A$2:$A$29,0))</f>
        <v>Northeast</v>
      </c>
      <c r="W1380" s="30"/>
      <c r="X1380" s="3" t="str">
        <f aca="false">IF(W1380="","",LN(W1380))</f>
        <v/>
      </c>
      <c r="Y1380" s="3" t="str">
        <f aca="false">IF(X1380="","",X1380-AVERAGEIFS($X$2:$X$2705,$B$2:$B$2705,B1380))</f>
        <v/>
      </c>
      <c r="Z1380" s="21" t="n">
        <f aca="false">P1380</f>
        <v>-0.666299692131727</v>
      </c>
      <c r="AA1380" s="3" t="n">
        <f aca="false">R1380</f>
        <v>0</v>
      </c>
      <c r="AB1380" s="21" t="n">
        <f aca="false">P1380</f>
        <v>-0.666299692131727</v>
      </c>
      <c r="AC1380" s="3" t="str">
        <f aca="false">Y1380</f>
        <v/>
      </c>
      <c r="AD1380" s="3" t="n">
        <f aca="false">R1380</f>
        <v>0</v>
      </c>
    </row>
    <row r="1381" customFormat="false" ht="15" hidden="false" customHeight="true" outlineLevel="0" collapsed="false">
      <c r="A1381" s="7" t="s">
        <v>78</v>
      </c>
      <c r="B1381" s="7" t="n">
        <v>1979</v>
      </c>
      <c r="C1381" s="7" t="s">
        <v>159</v>
      </c>
      <c r="D1381" s="7" t="n">
        <v>68</v>
      </c>
      <c r="E1381" s="7" t="n">
        <v>93</v>
      </c>
      <c r="F1381" s="3" t="n">
        <f aca="false">COUNTIFS($B$2:$B$2705,B1381,$C$2:$C$2705,C1381)</f>
        <v>1</v>
      </c>
      <c r="G1381" s="3" t="n">
        <f aca="false">MIN(INT((MIN(B1381,2020)-1900)/10)+1,12)</f>
        <v>8</v>
      </c>
      <c r="H1381" s="3" t="n">
        <f aca="false">(MIN(B1381,2020)-1900-10*(G1381-1))/10</f>
        <v>0.9</v>
      </c>
      <c r="I1381" s="20" t="n">
        <f aca="false">EXP(LN(INDEX(Pop_Inputs!$B$2:$N$29,MATCH(C1381,Pop_Inputs!$A$2:$A$29,0),G1381))*(1-H1381)+LN(INDEX(Pop_Inputs!$B$2:$N$29,MATCH(C1381,Pop_Inputs!$A$2:$A$29,0),G1381+1))*H1381)</f>
        <v>855768.668589445</v>
      </c>
      <c r="J1381" s="20" t="n">
        <f aca="false">I1381/F1381</f>
        <v>855768.668589445</v>
      </c>
      <c r="K1381" s="21" t="n">
        <f aca="false">D1381/(D1381+E1381)</f>
        <v>0.422360248447205</v>
      </c>
      <c r="L1381" s="21" t="n">
        <f aca="false">AVERAGEIFS($K$2:$K$2705,$B$2:$B$2705,B1381)</f>
        <v>0.500166669699415</v>
      </c>
      <c r="M1381" s="21" t="n">
        <f aca="false">K1381-L1381</f>
        <v>-0.0778064212522102</v>
      </c>
      <c r="N1381" s="21" t="n">
        <f aca="false">LN(J1381)</f>
        <v>13.6597553716256</v>
      </c>
      <c r="O1381" s="21" t="n">
        <f aca="false">AVERAGEIFS($N$2:$N$2705,$B$2:$B$2705,B1381)</f>
        <v>13.6440888460528</v>
      </c>
      <c r="P1381" s="21" t="n">
        <f aca="false">N1381-O1381</f>
        <v>0.0156665255728328</v>
      </c>
      <c r="Q1381" s="7" t="n">
        <v>1</v>
      </c>
      <c r="R1381" s="3" t="n">
        <f aca="false">IF(AND(Q1381=1,B1381-_xlfn.MINIFS($B$2:$B$2705,$A$2:$A$2705,A1381)&lt;10),1,0)</f>
        <v>0</v>
      </c>
      <c r="S1381" s="7" t="n">
        <v>0</v>
      </c>
      <c r="T1381" s="3" t="n">
        <f aca="false">_xlfn.MINIFS($B$2:$B$2705,$A$2:$A$2705,A1381)</f>
        <v>1969</v>
      </c>
      <c r="U1381" s="3" t="n">
        <f aca="false">B1381-T1381</f>
        <v>10</v>
      </c>
      <c r="V1381" s="3" t="str">
        <f aca="false">INDEX(Pop_Inputs!$Q$2:$Q$29,MATCH(C1381,Pop_Inputs!$A$2:$A$29,0))</f>
        <v>West</v>
      </c>
      <c r="W1381" s="30"/>
      <c r="X1381" s="3" t="str">
        <f aca="false">IF(W1381="","",LN(W1381))</f>
        <v/>
      </c>
      <c r="Y1381" s="3" t="str">
        <f aca="false">IF(X1381="","",X1381-AVERAGEIFS($X$2:$X$2705,$B$2:$B$2705,B1381))</f>
        <v/>
      </c>
      <c r="Z1381" s="21" t="n">
        <f aca="false">P1381</f>
        <v>0.0156665255728328</v>
      </c>
      <c r="AA1381" s="3" t="n">
        <f aca="false">R1381</f>
        <v>0</v>
      </c>
      <c r="AB1381" s="21" t="n">
        <f aca="false">P1381</f>
        <v>0.0156665255728328</v>
      </c>
      <c r="AC1381" s="3" t="str">
        <f aca="false">Y1381</f>
        <v/>
      </c>
      <c r="AD1381" s="3" t="n">
        <f aca="false">R1381</f>
        <v>0</v>
      </c>
    </row>
    <row r="1382" customFormat="false" ht="15" hidden="false" customHeight="true" outlineLevel="0" collapsed="false">
      <c r="A1382" s="7" t="s">
        <v>80</v>
      </c>
      <c r="B1382" s="7" t="n">
        <v>1979</v>
      </c>
      <c r="C1382" s="7" t="s">
        <v>161</v>
      </c>
      <c r="D1382" s="7" t="n">
        <v>67</v>
      </c>
      <c r="E1382" s="7" t="n">
        <v>95</v>
      </c>
      <c r="F1382" s="3" t="n">
        <f aca="false">COUNTIFS($B$2:$B$2705,B1382,$C$2:$C$2705,C1382)</f>
        <v>1</v>
      </c>
      <c r="G1382" s="3" t="n">
        <f aca="false">MIN(INT((MIN(B1382,2020)-1900)/10)+1,12)</f>
        <v>8</v>
      </c>
      <c r="H1382" s="3" t="n">
        <f aca="false">(MIN(B1382,2020)-1900-10*(G1382-1))/10</f>
        <v>0.9</v>
      </c>
      <c r="I1382" s="20" t="n">
        <f aca="false">EXP(LN(INDEX(Pop_Inputs!$B$2:$N$29,MATCH(C1382,Pop_Inputs!$A$2:$A$29,0),G1382))*(1-H1382)+LN(INDEX(Pop_Inputs!$B$2:$N$29,MATCH(C1382,Pop_Inputs!$A$2:$A$29,0),G1382+1))*H1382)</f>
        <v>497425.464484466</v>
      </c>
      <c r="J1382" s="20" t="n">
        <f aca="false">I1382/F1382</f>
        <v>497425.464484466</v>
      </c>
      <c r="K1382" s="21" t="n">
        <f aca="false">D1382/(D1382+E1382)</f>
        <v>0.41358024691358</v>
      </c>
      <c r="L1382" s="21" t="n">
        <f aca="false">AVERAGEIFS($K$2:$K$2705,$B$2:$B$2705,B1382)</f>
        <v>0.500166669699415</v>
      </c>
      <c r="M1382" s="21" t="n">
        <f aca="false">K1382-L1382</f>
        <v>-0.0865864227858349</v>
      </c>
      <c r="N1382" s="21" t="n">
        <f aca="false">LN(J1382)</f>
        <v>13.1172010042249</v>
      </c>
      <c r="O1382" s="21" t="n">
        <f aca="false">AVERAGEIFS($N$2:$N$2705,$B$2:$B$2705,B1382)</f>
        <v>13.6440888460528</v>
      </c>
      <c r="P1382" s="21" t="n">
        <f aca="false">N1382-O1382</f>
        <v>-0.526887841827904</v>
      </c>
      <c r="Q1382" s="7" t="n">
        <v>1</v>
      </c>
      <c r="R1382" s="3" t="n">
        <f aca="false">IF(AND(Q1382=1,B1382-_xlfn.MINIFS($B$2:$B$2705,$A$2:$A$2705,A1382)&lt;10),1,0)</f>
        <v>1</v>
      </c>
      <c r="S1382" s="7" t="n">
        <v>0</v>
      </c>
      <c r="T1382" s="3" t="n">
        <f aca="false">_xlfn.MINIFS($B$2:$B$2705,$A$2:$A$2705,A1382)</f>
        <v>1977</v>
      </c>
      <c r="U1382" s="3" t="n">
        <f aca="false">B1382-T1382</f>
        <v>2</v>
      </c>
      <c r="V1382" s="3" t="str">
        <f aca="false">INDEX(Pop_Inputs!$Q$2:$Q$29,MATCH(C1382,Pop_Inputs!$A$2:$A$29,0))</f>
        <v>West</v>
      </c>
      <c r="W1382" s="30"/>
      <c r="X1382" s="3" t="str">
        <f aca="false">IF(W1382="","",LN(W1382))</f>
        <v/>
      </c>
      <c r="Y1382" s="3" t="str">
        <f aca="false">IF(X1382="","",X1382-AVERAGEIFS($X$2:$X$2705,$B$2:$B$2705,B1382))</f>
        <v/>
      </c>
      <c r="Z1382" s="21" t="n">
        <f aca="false">P1382</f>
        <v>-0.526887841827904</v>
      </c>
      <c r="AA1382" s="3" t="n">
        <f aca="false">R1382</f>
        <v>1</v>
      </c>
      <c r="AB1382" s="21" t="n">
        <f aca="false">P1382</f>
        <v>-0.526887841827904</v>
      </c>
      <c r="AC1382" s="3" t="str">
        <f aca="false">Y1382</f>
        <v/>
      </c>
      <c r="AD1382" s="3" t="n">
        <f aca="false">R1382</f>
        <v>1</v>
      </c>
    </row>
    <row r="1383" customFormat="false" ht="15" hidden="false" customHeight="true" outlineLevel="0" collapsed="false">
      <c r="A1383" s="7" t="s">
        <v>61</v>
      </c>
      <c r="B1383" s="7" t="n">
        <v>1979</v>
      </c>
      <c r="C1383" s="7" t="s">
        <v>147</v>
      </c>
      <c r="D1383" s="7" t="n">
        <v>71</v>
      </c>
      <c r="E1383" s="7" t="n">
        <v>91</v>
      </c>
      <c r="F1383" s="3" t="n">
        <f aca="false">COUNTIFS($B$2:$B$2705,B1383,$C$2:$C$2705,C1383)</f>
        <v>1</v>
      </c>
      <c r="G1383" s="3" t="n">
        <f aca="false">MIN(INT((MIN(B1383,2020)-1900)/10)+1,12)</f>
        <v>8</v>
      </c>
      <c r="H1383" s="3" t="n">
        <f aca="false">(MIN(B1383,2020)-1900-10*(G1383-1))/10</f>
        <v>0.9</v>
      </c>
      <c r="I1383" s="20" t="n">
        <f aca="false">EXP(LN(INDEX(Pop_Inputs!$B$2:$N$29,MATCH(C1383,Pop_Inputs!$A$2:$A$29,0),G1383))*(1-H1383)+LN(INDEX(Pop_Inputs!$B$2:$N$29,MATCH(C1383,Pop_Inputs!$A$2:$A$29,0),G1383+1))*H1383)</f>
        <v>682557.67385086</v>
      </c>
      <c r="J1383" s="20" t="n">
        <f aca="false">I1383/F1383</f>
        <v>682557.67385086</v>
      </c>
      <c r="K1383" s="21" t="n">
        <f aca="false">D1383/(D1383+E1383)</f>
        <v>0.438271604938272</v>
      </c>
      <c r="L1383" s="21" t="n">
        <f aca="false">AVERAGEIFS($K$2:$K$2705,$B$2:$B$2705,B1383)</f>
        <v>0.500166669699415</v>
      </c>
      <c r="M1383" s="21" t="n">
        <f aca="false">K1383-L1383</f>
        <v>-0.0618950647611435</v>
      </c>
      <c r="N1383" s="21" t="n">
        <f aca="false">LN(J1383)</f>
        <v>13.4336023062818</v>
      </c>
      <c r="O1383" s="21" t="n">
        <f aca="false">AVERAGEIFS($N$2:$N$2705,$B$2:$B$2705,B1383)</f>
        <v>13.6440888460528</v>
      </c>
      <c r="P1383" s="21" t="n">
        <f aca="false">N1383-O1383</f>
        <v>-0.210486539771015</v>
      </c>
      <c r="Q1383" s="7" t="n">
        <v>0</v>
      </c>
      <c r="R1383" s="3" t="n">
        <f aca="false">IF(AND(Q1383=1,B1383-_xlfn.MINIFS($B$2:$B$2705,$A$2:$A$2705,A1383)&lt;10),1,0)</f>
        <v>0</v>
      </c>
      <c r="S1383" s="7" t="n">
        <v>0</v>
      </c>
      <c r="T1383" s="3" t="n">
        <f aca="false">_xlfn.MINIFS($B$2:$B$2705,$A$2:$A$2705,A1383)</f>
        <v>1901</v>
      </c>
      <c r="U1383" s="3" t="n">
        <f aca="false">B1383-T1383</f>
        <v>78</v>
      </c>
      <c r="V1383" s="3" t="str">
        <f aca="false">INDEX(Pop_Inputs!$Q$2:$Q$29,MATCH(C1383,Pop_Inputs!$A$2:$A$29,0))</f>
        <v>West</v>
      </c>
      <c r="W1383" s="30"/>
      <c r="X1383" s="3" t="str">
        <f aca="false">IF(W1383="","",LN(W1383))</f>
        <v/>
      </c>
      <c r="Y1383" s="3" t="str">
        <f aca="false">IF(X1383="","",X1383-AVERAGEIFS($X$2:$X$2705,$B$2:$B$2705,B1383))</f>
        <v/>
      </c>
      <c r="Z1383" s="21" t="n">
        <f aca="false">P1383</f>
        <v>-0.210486539771015</v>
      </c>
      <c r="AA1383" s="3" t="n">
        <f aca="false">R1383</f>
        <v>0</v>
      </c>
      <c r="AB1383" s="21" t="n">
        <f aca="false">P1383</f>
        <v>-0.210486539771015</v>
      </c>
      <c r="AC1383" s="3" t="str">
        <f aca="false">Y1383</f>
        <v/>
      </c>
      <c r="AD1383" s="3" t="n">
        <f aca="false">R1383</f>
        <v>0</v>
      </c>
    </row>
    <row r="1384" customFormat="false" ht="15" hidden="false" customHeight="true" outlineLevel="0" collapsed="false">
      <c r="A1384" s="7" t="s">
        <v>59</v>
      </c>
      <c r="B1384" s="7" t="n">
        <v>1979</v>
      </c>
      <c r="C1384" s="7" t="s">
        <v>145</v>
      </c>
      <c r="D1384" s="7" t="n">
        <v>86</v>
      </c>
      <c r="E1384" s="7" t="n">
        <v>76</v>
      </c>
      <c r="F1384" s="3" t="n">
        <f aca="false">COUNTIFS($B$2:$B$2705,B1384,$C$2:$C$2705,C1384)</f>
        <v>1</v>
      </c>
      <c r="G1384" s="3" t="n">
        <f aca="false">MIN(INT((MIN(B1384,2020)-1900)/10)+1,12)</f>
        <v>8</v>
      </c>
      <c r="H1384" s="3" t="n">
        <f aca="false">(MIN(B1384,2020)-1900-10*(G1384-1))/10</f>
        <v>0.9</v>
      </c>
      <c r="I1384" s="20" t="n">
        <f aca="false">EXP(LN(INDEX(Pop_Inputs!$B$2:$N$29,MATCH(C1384,Pop_Inputs!$A$2:$A$29,0),G1384))*(1-H1384)+LN(INDEX(Pop_Inputs!$B$2:$N$29,MATCH(C1384,Pop_Inputs!$A$2:$A$29,0),G1384+1))*H1384)</f>
        <v>468357.913244742</v>
      </c>
      <c r="J1384" s="20" t="n">
        <f aca="false">I1384/F1384</f>
        <v>468357.913244742</v>
      </c>
      <c r="K1384" s="21" t="n">
        <f aca="false">D1384/(D1384+E1384)</f>
        <v>0.530864197530864</v>
      </c>
      <c r="L1384" s="21" t="n">
        <f aca="false">AVERAGEIFS($K$2:$K$2705,$B$2:$B$2705,B1384)</f>
        <v>0.500166669699415</v>
      </c>
      <c r="M1384" s="21" t="n">
        <f aca="false">K1384-L1384</f>
        <v>0.0306975278314491</v>
      </c>
      <c r="N1384" s="21" t="n">
        <f aca="false">LN(J1384)</f>
        <v>13.0569880545012</v>
      </c>
      <c r="O1384" s="21" t="n">
        <f aca="false">AVERAGEIFS($N$2:$N$2705,$B$2:$B$2705,B1384)</f>
        <v>13.6440888460528</v>
      </c>
      <c r="P1384" s="21" t="n">
        <f aca="false">N1384-O1384</f>
        <v>-0.587100791551556</v>
      </c>
      <c r="Q1384" s="7" t="n">
        <v>0</v>
      </c>
      <c r="R1384" s="3" t="n">
        <f aca="false">IF(AND(Q1384=1,B1384-_xlfn.MINIFS($B$2:$B$2705,$A$2:$A$2705,A1384)&lt;10),1,0)</f>
        <v>0</v>
      </c>
      <c r="S1384" s="7" t="n">
        <v>0</v>
      </c>
      <c r="T1384" s="3" t="n">
        <f aca="false">_xlfn.MINIFS($B$2:$B$2705,$A$2:$A$2705,A1384)</f>
        <v>1901</v>
      </c>
      <c r="U1384" s="3" t="n">
        <f aca="false">B1384-T1384</f>
        <v>78</v>
      </c>
      <c r="V1384" s="3" t="str">
        <f aca="false">INDEX(Pop_Inputs!$Q$2:$Q$29,MATCH(C1384,Pop_Inputs!$A$2:$A$29,0))</f>
        <v>Midwest</v>
      </c>
      <c r="W1384" s="30"/>
      <c r="X1384" s="3" t="str">
        <f aca="false">IF(W1384="","",LN(W1384))</f>
        <v/>
      </c>
      <c r="Y1384" s="3" t="str">
        <f aca="false">IF(X1384="","",X1384-AVERAGEIFS($X$2:$X$2705,$B$2:$B$2705,B1384))</f>
        <v/>
      </c>
      <c r="Z1384" s="21" t="n">
        <f aca="false">P1384</f>
        <v>-0.587100791551556</v>
      </c>
      <c r="AA1384" s="3" t="n">
        <f aca="false">R1384</f>
        <v>0</v>
      </c>
      <c r="AB1384" s="21" t="n">
        <f aca="false">P1384</f>
        <v>-0.587100791551556</v>
      </c>
      <c r="AC1384" s="3" t="str">
        <f aca="false">Y1384</f>
        <v/>
      </c>
      <c r="AD1384" s="3" t="n">
        <f aca="false">R1384</f>
        <v>0</v>
      </c>
    </row>
    <row r="1385" customFormat="false" ht="15" hidden="false" customHeight="true" outlineLevel="0" collapsed="false">
      <c r="A1385" s="7" t="s">
        <v>73</v>
      </c>
      <c r="B1385" s="7" t="n">
        <v>1979</v>
      </c>
      <c r="C1385" s="7" t="s">
        <v>155</v>
      </c>
      <c r="D1385" s="7" t="n">
        <v>83</v>
      </c>
      <c r="E1385" s="7" t="n">
        <v>79</v>
      </c>
      <c r="F1385" s="3" t="n">
        <f aca="false">COUNTIFS($B$2:$B$2705,B1385,$C$2:$C$2705,C1385)</f>
        <v>1</v>
      </c>
      <c r="G1385" s="3" t="n">
        <f aca="false">MIN(INT((MIN(B1385,2020)-1900)/10)+1,12)</f>
        <v>8</v>
      </c>
      <c r="H1385" s="3" t="n">
        <f aca="false">(MIN(B1385,2020)-1900-10*(G1385-1))/10</f>
        <v>0.9</v>
      </c>
      <c r="I1385" s="20" t="n">
        <f aca="false">EXP(LN(INDEX(Pop_Inputs!$B$2:$N$29,MATCH(C1385,Pop_Inputs!$A$2:$A$29,0),G1385))*(1-H1385)+LN(INDEX(Pop_Inputs!$B$2:$N$29,MATCH(C1385,Pop_Inputs!$A$2:$A$29,0),G1385+1))*H1385)</f>
        <v>897925.2514294</v>
      </c>
      <c r="J1385" s="20" t="n">
        <f aca="false">I1385/F1385</f>
        <v>897925.2514294</v>
      </c>
      <c r="K1385" s="21" t="n">
        <f aca="false">D1385/(D1385+E1385)</f>
        <v>0.512345679012346</v>
      </c>
      <c r="L1385" s="21" t="n">
        <f aca="false">AVERAGEIFS($K$2:$K$2705,$B$2:$B$2705,B1385)</f>
        <v>0.500166669699415</v>
      </c>
      <c r="M1385" s="21" t="n">
        <f aca="false">K1385-L1385</f>
        <v>0.0121790093129306</v>
      </c>
      <c r="N1385" s="21" t="n">
        <f aca="false">LN(J1385)</f>
        <v>13.707842104877</v>
      </c>
      <c r="O1385" s="21" t="n">
        <f aca="false">AVERAGEIFS($N$2:$N$2705,$B$2:$B$2705,B1385)</f>
        <v>13.6440888460528</v>
      </c>
      <c r="P1385" s="21" t="n">
        <f aca="false">N1385-O1385</f>
        <v>0.0637532588242173</v>
      </c>
      <c r="Q1385" s="7" t="n">
        <v>1</v>
      </c>
      <c r="R1385" s="3" t="n">
        <f aca="false">IF(AND(Q1385=1,B1385-_xlfn.MINIFS($B$2:$B$2705,$A$2:$A$2705,A1385)&lt;10),1,0)</f>
        <v>0</v>
      </c>
      <c r="S1385" s="7" t="n">
        <v>0</v>
      </c>
      <c r="T1385" s="3" t="n">
        <f aca="false">_xlfn.MINIFS($B$2:$B$2705,$A$2:$A$2705,A1385)</f>
        <v>1961</v>
      </c>
      <c r="U1385" s="3" t="n">
        <f aca="false">B1385-T1385</f>
        <v>18</v>
      </c>
      <c r="V1385" s="3" t="str">
        <f aca="false">INDEX(Pop_Inputs!$Q$2:$Q$29,MATCH(C1385,Pop_Inputs!$A$2:$A$29,0))</f>
        <v>South</v>
      </c>
      <c r="W1385" s="30"/>
      <c r="X1385" s="3" t="str">
        <f aca="false">IF(W1385="","",LN(W1385))</f>
        <v/>
      </c>
      <c r="Y1385" s="3" t="str">
        <f aca="false">IF(X1385="","",X1385-AVERAGEIFS($X$2:$X$2705,$B$2:$B$2705,B1385))</f>
        <v/>
      </c>
      <c r="Z1385" s="21" t="n">
        <f aca="false">P1385</f>
        <v>0.0637532588242173</v>
      </c>
      <c r="AA1385" s="3" t="n">
        <f aca="false">R1385</f>
        <v>0</v>
      </c>
      <c r="AB1385" s="21" t="n">
        <f aca="false">P1385</f>
        <v>0.0637532588242173</v>
      </c>
      <c r="AC1385" s="3" t="str">
        <f aca="false">Y1385</f>
        <v/>
      </c>
      <c r="AD1385" s="3" t="n">
        <f aca="false">R1385</f>
        <v>0</v>
      </c>
    </row>
    <row r="1386" customFormat="false" ht="15" hidden="false" customHeight="true" outlineLevel="0" collapsed="false">
      <c r="A1386" s="7" t="s">
        <v>81</v>
      </c>
      <c r="B1386" s="7" t="n">
        <v>1979</v>
      </c>
      <c r="C1386" s="7" t="s">
        <v>162</v>
      </c>
      <c r="D1386" s="7" t="n">
        <v>53</v>
      </c>
      <c r="E1386" s="7" t="n">
        <v>109</v>
      </c>
      <c r="F1386" s="3" t="n">
        <f aca="false">COUNTIFS($B$2:$B$2705,B1386,$C$2:$C$2705,C1386)</f>
        <v>1</v>
      </c>
      <c r="G1386" s="3" t="n">
        <f aca="false">MIN(INT((MIN(B1386,2020)-1900)/10)+1,12)</f>
        <v>8</v>
      </c>
      <c r="H1386" s="3" t="n">
        <f aca="false">(MIN(B1386,2020)-1900-10*(G1386-1))/10</f>
        <v>0.9</v>
      </c>
      <c r="I1386" s="20" t="n">
        <f aca="false">EXP(LN(INDEX(Pop_Inputs!$B$2:$N$29,MATCH(C1386,Pop_Inputs!$A$2:$A$29,0),G1386))*(1-H1386)+LN(INDEX(Pop_Inputs!$B$2:$N$29,MATCH(C1386,Pop_Inputs!$A$2:$A$29,0),G1386+1))*H1386)</f>
        <v>609707.629384305</v>
      </c>
      <c r="J1386" s="20" t="n">
        <f aca="false">I1386/F1386</f>
        <v>609707.629384305</v>
      </c>
      <c r="K1386" s="21" t="n">
        <f aca="false">D1386/(D1386+E1386)</f>
        <v>0.327160493827161</v>
      </c>
      <c r="L1386" s="21" t="n">
        <f aca="false">AVERAGEIFS($K$2:$K$2705,$B$2:$B$2705,B1386)</f>
        <v>0.500166669699415</v>
      </c>
      <c r="M1386" s="21" t="n">
        <f aca="false">K1386-L1386</f>
        <v>-0.173006175872255</v>
      </c>
      <c r="N1386" s="21" t="n">
        <f aca="false">LN(J1386)</f>
        <v>13.3207348251591</v>
      </c>
      <c r="O1386" s="21" t="n">
        <f aca="false">AVERAGEIFS($N$2:$N$2705,$B$2:$B$2705,B1386)</f>
        <v>13.6440888460528</v>
      </c>
      <c r="P1386" s="21" t="n">
        <f aca="false">N1386-O1386</f>
        <v>-0.323354020893701</v>
      </c>
      <c r="Q1386" s="7" t="n">
        <v>1</v>
      </c>
      <c r="R1386" s="3" t="n">
        <f aca="false">IF(AND(Q1386=1,B1386-_xlfn.MINIFS($B$2:$B$2705,$A$2:$A$2705,A1386)&lt;10),1,0)</f>
        <v>1</v>
      </c>
      <c r="S1386" s="7" t="n">
        <v>0</v>
      </c>
      <c r="T1386" s="3" t="n">
        <f aca="false">_xlfn.MINIFS($B$2:$B$2705,$A$2:$A$2705,A1386)</f>
        <v>1977</v>
      </c>
      <c r="U1386" s="3" t="n">
        <f aca="false">B1386-T1386</f>
        <v>2</v>
      </c>
      <c r="V1386" s="3" t="str">
        <f aca="false">INDEX(Pop_Inputs!$Q$2:$Q$29,MATCH(C1386,Pop_Inputs!$A$2:$A$29,0))</f>
        <v>Canada</v>
      </c>
      <c r="W1386" s="30"/>
      <c r="X1386" s="3" t="str">
        <f aca="false">IF(W1386="","",LN(W1386))</f>
        <v/>
      </c>
      <c r="Y1386" s="3" t="str">
        <f aca="false">IF(X1386="","",X1386-AVERAGEIFS($X$2:$X$2705,$B$2:$B$2705,B1386))</f>
        <v/>
      </c>
      <c r="Z1386" s="21" t="n">
        <f aca="false">P1386</f>
        <v>-0.323354020893701</v>
      </c>
      <c r="AA1386" s="3" t="n">
        <f aca="false">R1386</f>
        <v>1</v>
      </c>
      <c r="AB1386" s="21" t="n">
        <f aca="false">P1386</f>
        <v>-0.323354020893701</v>
      </c>
      <c r="AC1386" s="3" t="str">
        <f aca="false">Y1386</f>
        <v/>
      </c>
      <c r="AD1386" s="3" t="n">
        <f aca="false">R1386</f>
        <v>1</v>
      </c>
    </row>
    <row r="1387" customFormat="false" ht="15" hidden="false" customHeight="true" outlineLevel="0" collapsed="false">
      <c r="A1387" s="7" t="s">
        <v>79</v>
      </c>
      <c r="B1387" s="7" t="n">
        <v>1979</v>
      </c>
      <c r="C1387" s="7" t="s">
        <v>254</v>
      </c>
      <c r="D1387" s="7" t="n">
        <v>95</v>
      </c>
      <c r="E1387" s="7" t="n">
        <v>65</v>
      </c>
      <c r="F1387" s="3" t="n">
        <f aca="false">COUNTIFS($B$2:$B$2705,B1387,$C$2:$C$2705,C1387)</f>
        <v>1</v>
      </c>
      <c r="G1387" s="3" t="n">
        <f aca="false">MIN(INT((MIN(B1387,2020)-1900)/10)+1,12)</f>
        <v>8</v>
      </c>
      <c r="H1387" s="3" t="n">
        <f aca="false">(MIN(B1387,2020)-1900-10*(G1387-1))/10</f>
        <v>0.9</v>
      </c>
      <c r="I1387" s="20" t="n">
        <f aca="false">EXP(LN(INDEX(Pop_Inputs!$B$2:$N$29,MATCH(C1387,Pop_Inputs!$A$2:$A$29,0),G1387))*(1-H1387)+LN(INDEX(Pop_Inputs!$B$2:$N$29,MATCH(C1387,Pop_Inputs!$A$2:$A$29,0),G1387+1))*H1387)</f>
        <v>1001564.89003491</v>
      </c>
      <c r="J1387" s="20" t="n">
        <f aca="false">I1387/F1387</f>
        <v>1001564.89003491</v>
      </c>
      <c r="K1387" s="21" t="n">
        <f aca="false">D1387/(D1387+E1387)</f>
        <v>0.59375</v>
      </c>
      <c r="L1387" s="21" t="n">
        <f aca="false">AVERAGEIFS($K$2:$K$2705,$B$2:$B$2705,B1387)</f>
        <v>0.500166669699415</v>
      </c>
      <c r="M1387" s="21" t="n">
        <f aca="false">K1387-L1387</f>
        <v>0.0935833303005849</v>
      </c>
      <c r="N1387" s="21" t="n">
        <f aca="false">LN(J1387)</f>
        <v>13.8170742248347</v>
      </c>
      <c r="O1387" s="21" t="n">
        <f aca="false">AVERAGEIFS($N$2:$N$2705,$B$2:$B$2705,B1387)</f>
        <v>13.6440888460528</v>
      </c>
      <c r="P1387" s="21" t="n">
        <f aca="false">N1387-O1387</f>
        <v>0.172985378781881</v>
      </c>
      <c r="Q1387" s="7" t="n">
        <v>1</v>
      </c>
      <c r="R1387" s="3" t="n">
        <f aca="false">IF(AND(Q1387=1,B1387-_xlfn.MINIFS($B$2:$B$2705,$A$2:$A$2705,A1387)&lt;10),1,0)</f>
        <v>0</v>
      </c>
      <c r="S1387" s="7" t="n">
        <v>0</v>
      </c>
      <c r="T1387" s="3" t="n">
        <f aca="false">_xlfn.MINIFS($B$2:$B$2705,$A$2:$A$2705,A1387)</f>
        <v>1969</v>
      </c>
      <c r="U1387" s="3" t="n">
        <f aca="false">B1387-T1387</f>
        <v>10</v>
      </c>
      <c r="V1387" s="3" t="str">
        <f aca="false">INDEX(Pop_Inputs!$Q$2:$Q$29,MATCH(C1387,Pop_Inputs!$A$2:$A$29,0))</f>
        <v>Canada</v>
      </c>
      <c r="W1387" s="30"/>
      <c r="X1387" s="3" t="str">
        <f aca="false">IF(W1387="","",LN(W1387))</f>
        <v/>
      </c>
      <c r="Y1387" s="3" t="str">
        <f aca="false">IF(X1387="","",X1387-AVERAGEIFS($X$2:$X$2705,$B$2:$B$2705,B1387))</f>
        <v/>
      </c>
      <c r="Z1387" s="21" t="n">
        <f aca="false">P1387</f>
        <v>0.172985378781881</v>
      </c>
      <c r="AA1387" s="3" t="n">
        <f aca="false">R1387</f>
        <v>0</v>
      </c>
      <c r="AB1387" s="21" t="n">
        <f aca="false">P1387</f>
        <v>0.172985378781881</v>
      </c>
      <c r="AC1387" s="3" t="str">
        <f aca="false">Y1387</f>
        <v/>
      </c>
      <c r="AD1387" s="3" t="n">
        <f aca="false">R1387</f>
        <v>0</v>
      </c>
    </row>
    <row r="1388" customFormat="false" ht="15" hidden="false" customHeight="true" outlineLevel="0" collapsed="false">
      <c r="A1388" s="7" t="s">
        <v>71</v>
      </c>
      <c r="B1388" s="7" t="n">
        <v>1980</v>
      </c>
      <c r="C1388" s="7" t="s">
        <v>148</v>
      </c>
      <c r="D1388" s="7" t="n">
        <v>65</v>
      </c>
      <c r="E1388" s="7" t="n">
        <v>95</v>
      </c>
      <c r="F1388" s="3" t="n">
        <f aca="false">COUNTIFS($B$2:$B$2705,B1388,$C$2:$C$2705,C1388)</f>
        <v>2</v>
      </c>
      <c r="G1388" s="3" t="n">
        <f aca="false">MIN(INT((MIN(B1388,2020)-1900)/10)+1,12)</f>
        <v>9</v>
      </c>
      <c r="H1388" s="3" t="n">
        <f aca="false">(MIN(B1388,2020)-1900-10*(G1388-1))/10</f>
        <v>0</v>
      </c>
      <c r="I1388" s="20" t="n">
        <f aca="false">EXP(LN(INDEX(Pop_Inputs!$B$2:$N$29,MATCH(C1388,Pop_Inputs!$A$2:$A$29,0),G1388))*(1-H1388)+LN(INDEX(Pop_Inputs!$B$2:$N$29,MATCH(C1388,Pop_Inputs!$A$2:$A$29,0),G1388+1))*H1388)</f>
        <v>2966850</v>
      </c>
      <c r="J1388" s="20" t="n">
        <f aca="false">I1388/F1388</f>
        <v>1483425</v>
      </c>
      <c r="K1388" s="21" t="n">
        <f aca="false">D1388/(D1388+E1388)</f>
        <v>0.40625</v>
      </c>
      <c r="L1388" s="21" t="n">
        <f aca="false">AVERAGEIFS($K$2:$K$2705,$B$2:$B$2705,B1388)</f>
        <v>0.499880528331726</v>
      </c>
      <c r="M1388" s="21" t="n">
        <f aca="false">K1388-L1388</f>
        <v>-0.0936305283317264</v>
      </c>
      <c r="N1388" s="21" t="n">
        <f aca="false">LN(J1388)</f>
        <v>14.2098641613177</v>
      </c>
      <c r="O1388" s="21" t="n">
        <f aca="false">AVERAGEIFS($N$2:$N$2705,$B$2:$B$2705,B1388)</f>
        <v>13.6344346076486</v>
      </c>
      <c r="P1388" s="21" t="n">
        <f aca="false">N1388-O1388</f>
        <v>0.575429553669073</v>
      </c>
      <c r="Q1388" s="7" t="n">
        <v>1</v>
      </c>
      <c r="R1388" s="3" t="n">
        <f aca="false">IF(AND(Q1388=1,B1388-_xlfn.MINIFS($B$2:$B$2705,$A$2:$A$2705,A1388)&lt;10),1,0)</f>
        <v>0</v>
      </c>
      <c r="S1388" s="7" t="n">
        <v>0</v>
      </c>
      <c r="T1388" s="3" t="n">
        <f aca="false">_xlfn.MINIFS($B$2:$B$2705,$A$2:$A$2705,A1388)</f>
        <v>1961</v>
      </c>
      <c r="U1388" s="3" t="n">
        <f aca="false">B1388-T1388</f>
        <v>19</v>
      </c>
      <c r="V1388" s="3" t="str">
        <f aca="false">INDEX(Pop_Inputs!$Q$2:$Q$29,MATCH(C1388,Pop_Inputs!$A$2:$A$29,0))</f>
        <v>West</v>
      </c>
      <c r="W1388" s="30"/>
      <c r="X1388" s="3" t="str">
        <f aca="false">IF(W1388="","",LN(W1388))</f>
        <v/>
      </c>
      <c r="Y1388" s="3" t="str">
        <f aca="false">IF(X1388="","",X1388-AVERAGEIFS($X$2:$X$2705,$B$2:$B$2705,B1388))</f>
        <v/>
      </c>
      <c r="Z1388" s="21" t="n">
        <f aca="false">P1388</f>
        <v>0.575429553669073</v>
      </c>
      <c r="AA1388" s="3" t="n">
        <f aca="false">R1388</f>
        <v>0</v>
      </c>
      <c r="AB1388" s="21" t="n">
        <f aca="false">P1388</f>
        <v>0.575429553669073</v>
      </c>
      <c r="AC1388" s="3" t="str">
        <f aca="false">Y1388</f>
        <v/>
      </c>
      <c r="AD1388" s="3" t="n">
        <f aca="false">R1388</f>
        <v>0</v>
      </c>
    </row>
    <row r="1389" customFormat="false" ht="15" hidden="false" customHeight="true" outlineLevel="0" collapsed="false">
      <c r="A1389" s="7" t="s">
        <v>54</v>
      </c>
      <c r="B1389" s="7" t="n">
        <v>1980</v>
      </c>
      <c r="C1389" s="7" t="s">
        <v>141</v>
      </c>
      <c r="D1389" s="7" t="n">
        <v>81</v>
      </c>
      <c r="E1389" s="7" t="n">
        <v>80</v>
      </c>
      <c r="F1389" s="3" t="n">
        <f aca="false">COUNTIFS($B$2:$B$2705,B1389,$C$2:$C$2705,C1389)</f>
        <v>1</v>
      </c>
      <c r="G1389" s="3" t="n">
        <f aca="false">MIN(INT((MIN(B1389,2020)-1900)/10)+1,12)</f>
        <v>9</v>
      </c>
      <c r="H1389" s="3" t="n">
        <f aca="false">(MIN(B1389,2020)-1900-10*(G1389-1))/10</f>
        <v>0</v>
      </c>
      <c r="I1389" s="20" t="n">
        <f aca="false">EXP(LN(INDEX(Pop_Inputs!$B$2:$N$29,MATCH(C1389,Pop_Inputs!$A$2:$A$29,0),G1389))*(1-H1389)+LN(INDEX(Pop_Inputs!$B$2:$N$29,MATCH(C1389,Pop_Inputs!$A$2:$A$29,0),G1389+1))*H1389)</f>
        <v>425022</v>
      </c>
      <c r="J1389" s="20" t="n">
        <f aca="false">I1389/F1389</f>
        <v>425022</v>
      </c>
      <c r="K1389" s="21" t="n">
        <f aca="false">D1389/(D1389+E1389)</f>
        <v>0.503105590062112</v>
      </c>
      <c r="L1389" s="21" t="n">
        <f aca="false">AVERAGEIFS($K$2:$K$2705,$B$2:$B$2705,B1389)</f>
        <v>0.499880528331726</v>
      </c>
      <c r="M1389" s="21" t="n">
        <f aca="false">K1389-L1389</f>
        <v>0.00322506173038534</v>
      </c>
      <c r="N1389" s="21" t="n">
        <f aca="false">LN(J1389)</f>
        <v>12.9598962112727</v>
      </c>
      <c r="O1389" s="21" t="n">
        <f aca="false">AVERAGEIFS($N$2:$N$2705,$B$2:$B$2705,B1389)</f>
        <v>13.6344346076486</v>
      </c>
      <c r="P1389" s="21" t="n">
        <f aca="false">N1389-O1389</f>
        <v>-0.674538396375956</v>
      </c>
      <c r="Q1389" s="7" t="n">
        <v>0</v>
      </c>
      <c r="R1389" s="3" t="n">
        <f aca="false">IF(AND(Q1389=1,B1389-_xlfn.MINIFS($B$2:$B$2705,$A$2:$A$2705,A1389)&lt;10),1,0)</f>
        <v>0</v>
      </c>
      <c r="S1389" s="7" t="n">
        <v>0</v>
      </c>
      <c r="T1389" s="3" t="n">
        <f aca="false">_xlfn.MINIFS($B$2:$B$2705,$A$2:$A$2705,A1389)</f>
        <v>1901</v>
      </c>
      <c r="U1389" s="3" t="n">
        <f aca="false">B1389-T1389</f>
        <v>79</v>
      </c>
      <c r="V1389" s="3" t="str">
        <f aca="false">INDEX(Pop_Inputs!$Q$2:$Q$29,MATCH(C1389,Pop_Inputs!$A$2:$A$29,0))</f>
        <v>South</v>
      </c>
      <c r="W1389" s="30"/>
      <c r="X1389" s="3" t="str">
        <f aca="false">IF(W1389="","",LN(W1389))</f>
        <v/>
      </c>
      <c r="Y1389" s="3" t="str">
        <f aca="false">IF(X1389="","",X1389-AVERAGEIFS($X$2:$X$2705,$B$2:$B$2705,B1389))</f>
        <v/>
      </c>
      <c r="Z1389" s="21" t="n">
        <f aca="false">P1389</f>
        <v>-0.674538396375956</v>
      </c>
      <c r="AA1389" s="3" t="n">
        <f aca="false">R1389</f>
        <v>0</v>
      </c>
      <c r="AB1389" s="21" t="n">
        <f aca="false">P1389</f>
        <v>-0.674538396375956</v>
      </c>
      <c r="AC1389" s="3" t="str">
        <f aca="false">Y1389</f>
        <v/>
      </c>
      <c r="AD1389" s="3" t="n">
        <f aca="false">R1389</f>
        <v>0</v>
      </c>
    </row>
    <row r="1390" customFormat="false" ht="15" hidden="false" customHeight="true" outlineLevel="0" collapsed="false">
      <c r="A1390" s="7" t="s">
        <v>63</v>
      </c>
      <c r="B1390" s="7" t="n">
        <v>1980</v>
      </c>
      <c r="C1390" s="7" t="s">
        <v>149</v>
      </c>
      <c r="D1390" s="7" t="n">
        <v>100</v>
      </c>
      <c r="E1390" s="7" t="n">
        <v>62</v>
      </c>
      <c r="F1390" s="3" t="n">
        <f aca="false">COUNTIFS($B$2:$B$2705,B1390,$C$2:$C$2705,C1390)</f>
        <v>1</v>
      </c>
      <c r="G1390" s="3" t="n">
        <f aca="false">MIN(INT((MIN(B1390,2020)-1900)/10)+1,12)</f>
        <v>9</v>
      </c>
      <c r="H1390" s="3" t="n">
        <f aca="false">(MIN(B1390,2020)-1900-10*(G1390-1))/10</f>
        <v>0</v>
      </c>
      <c r="I1390" s="20" t="n">
        <f aca="false">EXP(LN(INDEX(Pop_Inputs!$B$2:$N$29,MATCH(C1390,Pop_Inputs!$A$2:$A$29,0),G1390))*(1-H1390)+LN(INDEX(Pop_Inputs!$B$2:$N$29,MATCH(C1390,Pop_Inputs!$A$2:$A$29,0),G1390+1))*H1390)</f>
        <v>786774.999999999</v>
      </c>
      <c r="J1390" s="20" t="n">
        <f aca="false">I1390/F1390</f>
        <v>786774.999999999</v>
      </c>
      <c r="K1390" s="21" t="n">
        <f aca="false">D1390/(D1390+E1390)</f>
        <v>0.617283950617284</v>
      </c>
      <c r="L1390" s="21" t="n">
        <f aca="false">AVERAGEIFS($K$2:$K$2705,$B$2:$B$2705,B1390)</f>
        <v>0.499880528331726</v>
      </c>
      <c r="M1390" s="21" t="n">
        <f aca="false">K1390-L1390</f>
        <v>0.117403422285558</v>
      </c>
      <c r="N1390" s="21" t="n">
        <f aca="false">LN(J1390)</f>
        <v>13.5756975907167</v>
      </c>
      <c r="O1390" s="21" t="n">
        <f aca="false">AVERAGEIFS($N$2:$N$2705,$B$2:$B$2705,B1390)</f>
        <v>13.6344346076486</v>
      </c>
      <c r="P1390" s="21" t="n">
        <f aca="false">N1390-O1390</f>
        <v>-0.0587370169319659</v>
      </c>
      <c r="Q1390" s="7" t="n">
        <v>0</v>
      </c>
      <c r="R1390" s="3" t="n">
        <f aca="false">IF(AND(Q1390=1,B1390-_xlfn.MINIFS($B$2:$B$2705,$A$2:$A$2705,A1390)&lt;10),1,0)</f>
        <v>0</v>
      </c>
      <c r="S1390" s="7" t="n">
        <v>0</v>
      </c>
      <c r="T1390" s="3" t="n">
        <f aca="false">_xlfn.MINIFS($B$2:$B$2705,$A$2:$A$2705,A1390)</f>
        <v>1901</v>
      </c>
      <c r="U1390" s="3" t="n">
        <f aca="false">B1390-T1390</f>
        <v>79</v>
      </c>
      <c r="V1390" s="3" t="str">
        <f aca="false">INDEX(Pop_Inputs!$Q$2:$Q$29,MATCH(C1390,Pop_Inputs!$A$2:$A$29,0))</f>
        <v>South</v>
      </c>
      <c r="W1390" s="30"/>
      <c r="X1390" s="3" t="str">
        <f aca="false">IF(W1390="","",LN(W1390))</f>
        <v/>
      </c>
      <c r="Y1390" s="3" t="str">
        <f aca="false">IF(X1390="","",X1390-AVERAGEIFS($X$2:$X$2705,$B$2:$B$2705,B1390))</f>
        <v/>
      </c>
      <c r="Z1390" s="21" t="n">
        <f aca="false">P1390</f>
        <v>-0.0587370169319659</v>
      </c>
      <c r="AA1390" s="3" t="n">
        <f aca="false">R1390</f>
        <v>0</v>
      </c>
      <c r="AB1390" s="21" t="n">
        <f aca="false">P1390</f>
        <v>-0.0587370169319659</v>
      </c>
      <c r="AC1390" s="3" t="str">
        <f aca="false">Y1390</f>
        <v/>
      </c>
      <c r="AD1390" s="3" t="n">
        <f aca="false">R1390</f>
        <v>0</v>
      </c>
    </row>
    <row r="1391" customFormat="false" ht="15" hidden="false" customHeight="true" outlineLevel="0" collapsed="false">
      <c r="A1391" s="7" t="s">
        <v>64</v>
      </c>
      <c r="B1391" s="7" t="n">
        <v>1980</v>
      </c>
      <c r="C1391" s="7" t="s">
        <v>150</v>
      </c>
      <c r="D1391" s="7" t="n">
        <v>83</v>
      </c>
      <c r="E1391" s="7" t="n">
        <v>77</v>
      </c>
      <c r="F1391" s="3" t="n">
        <f aca="false">COUNTIFS($B$2:$B$2705,B1391,$C$2:$C$2705,C1391)</f>
        <v>1</v>
      </c>
      <c r="G1391" s="3" t="n">
        <f aca="false">MIN(INT((MIN(B1391,2020)-1900)/10)+1,12)</f>
        <v>9</v>
      </c>
      <c r="H1391" s="3" t="n">
        <f aca="false">(MIN(B1391,2020)-1900-10*(G1391-1))/10</f>
        <v>0</v>
      </c>
      <c r="I1391" s="20" t="n">
        <f aca="false">EXP(LN(INDEX(Pop_Inputs!$B$2:$N$29,MATCH(C1391,Pop_Inputs!$A$2:$A$29,0),G1391))*(1-H1391)+LN(INDEX(Pop_Inputs!$B$2:$N$29,MATCH(C1391,Pop_Inputs!$A$2:$A$29,0),G1391+1))*H1391)</f>
        <v>562994</v>
      </c>
      <c r="J1391" s="20" t="n">
        <f aca="false">I1391/F1391</f>
        <v>562994</v>
      </c>
      <c r="K1391" s="21" t="n">
        <f aca="false">D1391/(D1391+E1391)</f>
        <v>0.51875</v>
      </c>
      <c r="L1391" s="21" t="n">
        <f aca="false">AVERAGEIFS($K$2:$K$2705,$B$2:$B$2705,B1391)</f>
        <v>0.499880528331726</v>
      </c>
      <c r="M1391" s="21" t="n">
        <f aca="false">K1391-L1391</f>
        <v>0.0188694716682736</v>
      </c>
      <c r="N1391" s="21" t="n">
        <f aca="false">LN(J1391)</f>
        <v>13.2410242498714</v>
      </c>
      <c r="O1391" s="21" t="n">
        <f aca="false">AVERAGEIFS($N$2:$N$2705,$B$2:$B$2705,B1391)</f>
        <v>13.6344346076486</v>
      </c>
      <c r="P1391" s="21" t="n">
        <f aca="false">N1391-O1391</f>
        <v>-0.393410357777213</v>
      </c>
      <c r="Q1391" s="7" t="n">
        <v>0</v>
      </c>
      <c r="R1391" s="3" t="n">
        <f aca="false">IF(AND(Q1391=1,B1391-_xlfn.MINIFS($B$2:$B$2705,$A$2:$A$2705,A1391)&lt;10),1,0)</f>
        <v>0</v>
      </c>
      <c r="S1391" s="7" t="n">
        <v>0</v>
      </c>
      <c r="T1391" s="3" t="n">
        <f aca="false">_xlfn.MINIFS($B$2:$B$2705,$A$2:$A$2705,A1391)</f>
        <v>1901</v>
      </c>
      <c r="U1391" s="3" t="n">
        <f aca="false">B1391-T1391</f>
        <v>79</v>
      </c>
      <c r="V1391" s="3" t="str">
        <f aca="false">INDEX(Pop_Inputs!$Q$2:$Q$29,MATCH(C1391,Pop_Inputs!$A$2:$A$29,0))</f>
        <v>Northeast</v>
      </c>
      <c r="W1391" s="30"/>
      <c r="X1391" s="3" t="str">
        <f aca="false">IF(W1391="","",LN(W1391))</f>
        <v/>
      </c>
      <c r="Y1391" s="3" t="str">
        <f aca="false">IF(X1391="","",X1391-AVERAGEIFS($X$2:$X$2705,$B$2:$B$2705,B1391))</f>
        <v/>
      </c>
      <c r="Z1391" s="21" t="n">
        <f aca="false">P1391</f>
        <v>-0.393410357777213</v>
      </c>
      <c r="AA1391" s="3" t="n">
        <f aca="false">R1391</f>
        <v>0</v>
      </c>
      <c r="AB1391" s="21" t="n">
        <f aca="false">P1391</f>
        <v>-0.393410357777213</v>
      </c>
      <c r="AC1391" s="3" t="str">
        <f aca="false">Y1391</f>
        <v/>
      </c>
      <c r="AD1391" s="3" t="n">
        <f aca="false">R1391</f>
        <v>0</v>
      </c>
    </row>
    <row r="1392" customFormat="false" ht="15" hidden="false" customHeight="true" outlineLevel="0" collapsed="false">
      <c r="A1392" s="7" t="s">
        <v>56</v>
      </c>
      <c r="B1392" s="7" t="n">
        <v>1980</v>
      </c>
      <c r="C1392" s="7" t="s">
        <v>142</v>
      </c>
      <c r="D1392" s="7" t="n">
        <v>64</v>
      </c>
      <c r="E1392" s="7" t="n">
        <v>98</v>
      </c>
      <c r="F1392" s="3" t="n">
        <f aca="false">COUNTIFS($B$2:$B$2705,B1392,$C$2:$C$2705,C1392)</f>
        <v>2</v>
      </c>
      <c r="G1392" s="3" t="n">
        <f aca="false">MIN(INT((MIN(B1392,2020)-1900)/10)+1,12)</f>
        <v>9</v>
      </c>
      <c r="H1392" s="3" t="n">
        <f aca="false">(MIN(B1392,2020)-1900-10*(G1392-1))/10</f>
        <v>0</v>
      </c>
      <c r="I1392" s="20" t="n">
        <f aca="false">EXP(LN(INDEX(Pop_Inputs!$B$2:$N$29,MATCH(C1392,Pop_Inputs!$A$2:$A$29,0),G1392))*(1-H1392)+LN(INDEX(Pop_Inputs!$B$2:$N$29,MATCH(C1392,Pop_Inputs!$A$2:$A$29,0),G1392+1))*H1392)</f>
        <v>3005072</v>
      </c>
      <c r="J1392" s="20" t="n">
        <f aca="false">I1392/F1392</f>
        <v>1502536</v>
      </c>
      <c r="K1392" s="21" t="n">
        <f aca="false">D1392/(D1392+E1392)</f>
        <v>0.395061728395062</v>
      </c>
      <c r="L1392" s="21" t="n">
        <f aca="false">AVERAGEIFS($K$2:$K$2705,$B$2:$B$2705,B1392)</f>
        <v>0.499880528331726</v>
      </c>
      <c r="M1392" s="21" t="n">
        <f aca="false">K1392-L1392</f>
        <v>-0.104818799936665</v>
      </c>
      <c r="N1392" s="21" t="n">
        <f aca="false">LN(J1392)</f>
        <v>14.222664905171</v>
      </c>
      <c r="O1392" s="21" t="n">
        <f aca="false">AVERAGEIFS($N$2:$N$2705,$B$2:$B$2705,B1392)</f>
        <v>13.6344346076486</v>
      </c>
      <c r="P1392" s="21" t="n">
        <f aca="false">N1392-O1392</f>
        <v>0.588230297522371</v>
      </c>
      <c r="Q1392" s="7" t="n">
        <v>0</v>
      </c>
      <c r="R1392" s="3" t="n">
        <f aca="false">IF(AND(Q1392=1,B1392-_xlfn.MINIFS($B$2:$B$2705,$A$2:$A$2705,A1392)&lt;10),1,0)</f>
        <v>0</v>
      </c>
      <c r="S1392" s="7" t="n">
        <v>0</v>
      </c>
      <c r="T1392" s="3" t="n">
        <f aca="false">_xlfn.MINIFS($B$2:$B$2705,$A$2:$A$2705,A1392)</f>
        <v>1901</v>
      </c>
      <c r="U1392" s="3" t="n">
        <f aca="false">B1392-T1392</f>
        <v>79</v>
      </c>
      <c r="V1392" s="3" t="str">
        <f aca="false">INDEX(Pop_Inputs!$Q$2:$Q$29,MATCH(C1392,Pop_Inputs!$A$2:$A$29,0))</f>
        <v>Midwest</v>
      </c>
      <c r="W1392" s="30"/>
      <c r="X1392" s="3" t="str">
        <f aca="false">IF(W1392="","",LN(W1392))</f>
        <v/>
      </c>
      <c r="Y1392" s="3" t="str">
        <f aca="false">IF(X1392="","",X1392-AVERAGEIFS($X$2:$X$2705,$B$2:$B$2705,B1392))</f>
        <v/>
      </c>
      <c r="Z1392" s="21" t="n">
        <f aca="false">P1392</f>
        <v>0.588230297522371</v>
      </c>
      <c r="AA1392" s="3" t="n">
        <f aca="false">R1392</f>
        <v>0</v>
      </c>
      <c r="AB1392" s="21" t="n">
        <f aca="false">P1392</f>
        <v>0.588230297522371</v>
      </c>
      <c r="AC1392" s="3" t="str">
        <f aca="false">Y1392</f>
        <v/>
      </c>
      <c r="AD1392" s="3" t="n">
        <f aca="false">R1392</f>
        <v>0</v>
      </c>
    </row>
    <row r="1393" customFormat="false" ht="15" hidden="false" customHeight="true" outlineLevel="0" collapsed="false">
      <c r="A1393" s="7" t="s">
        <v>65</v>
      </c>
      <c r="B1393" s="7" t="n">
        <v>1980</v>
      </c>
      <c r="C1393" s="7" t="s">
        <v>142</v>
      </c>
      <c r="D1393" s="7" t="n">
        <v>70</v>
      </c>
      <c r="E1393" s="7" t="n">
        <v>90</v>
      </c>
      <c r="F1393" s="3" t="n">
        <f aca="false">COUNTIFS($B$2:$B$2705,B1393,$C$2:$C$2705,C1393)</f>
        <v>2</v>
      </c>
      <c r="G1393" s="3" t="n">
        <f aca="false">MIN(INT((MIN(B1393,2020)-1900)/10)+1,12)</f>
        <v>9</v>
      </c>
      <c r="H1393" s="3" t="n">
        <f aca="false">(MIN(B1393,2020)-1900-10*(G1393-1))/10</f>
        <v>0</v>
      </c>
      <c r="I1393" s="20" t="n">
        <f aca="false">EXP(LN(INDEX(Pop_Inputs!$B$2:$N$29,MATCH(C1393,Pop_Inputs!$A$2:$A$29,0),G1393))*(1-H1393)+LN(INDEX(Pop_Inputs!$B$2:$N$29,MATCH(C1393,Pop_Inputs!$A$2:$A$29,0),G1393+1))*H1393)</f>
        <v>3005072</v>
      </c>
      <c r="J1393" s="20" t="n">
        <f aca="false">I1393/F1393</f>
        <v>1502536</v>
      </c>
      <c r="K1393" s="21" t="n">
        <f aca="false">D1393/(D1393+E1393)</f>
        <v>0.4375</v>
      </c>
      <c r="L1393" s="21" t="n">
        <f aca="false">AVERAGEIFS($K$2:$K$2705,$B$2:$B$2705,B1393)</f>
        <v>0.499880528331726</v>
      </c>
      <c r="M1393" s="21" t="n">
        <f aca="false">K1393-L1393</f>
        <v>-0.0623805283317264</v>
      </c>
      <c r="N1393" s="21" t="n">
        <f aca="false">LN(J1393)</f>
        <v>14.222664905171</v>
      </c>
      <c r="O1393" s="21" t="n">
        <f aca="false">AVERAGEIFS($N$2:$N$2705,$B$2:$B$2705,B1393)</f>
        <v>13.6344346076486</v>
      </c>
      <c r="P1393" s="21" t="n">
        <f aca="false">N1393-O1393</f>
        <v>0.588230297522371</v>
      </c>
      <c r="Q1393" s="7" t="n">
        <v>0</v>
      </c>
      <c r="R1393" s="3" t="n">
        <f aca="false">IF(AND(Q1393=1,B1393-_xlfn.MINIFS($B$2:$B$2705,$A$2:$A$2705,A1393)&lt;10),1,0)</f>
        <v>0</v>
      </c>
      <c r="S1393" s="7" t="n">
        <v>0</v>
      </c>
      <c r="T1393" s="3" t="n">
        <f aca="false">_xlfn.MINIFS($B$2:$B$2705,$A$2:$A$2705,A1393)</f>
        <v>1901</v>
      </c>
      <c r="U1393" s="3" t="n">
        <f aca="false">B1393-T1393</f>
        <v>79</v>
      </c>
      <c r="V1393" s="3" t="str">
        <f aca="false">INDEX(Pop_Inputs!$Q$2:$Q$29,MATCH(C1393,Pop_Inputs!$A$2:$A$29,0))</f>
        <v>Midwest</v>
      </c>
      <c r="W1393" s="30"/>
      <c r="X1393" s="3" t="str">
        <f aca="false">IF(W1393="","",LN(W1393))</f>
        <v/>
      </c>
      <c r="Y1393" s="3" t="str">
        <f aca="false">IF(X1393="","",X1393-AVERAGEIFS($X$2:$X$2705,$B$2:$B$2705,B1393))</f>
        <v/>
      </c>
      <c r="Z1393" s="21" t="n">
        <f aca="false">P1393</f>
        <v>0.588230297522371</v>
      </c>
      <c r="AA1393" s="3" t="n">
        <f aca="false">R1393</f>
        <v>0</v>
      </c>
      <c r="AB1393" s="21" t="n">
        <f aca="false">P1393</f>
        <v>0.588230297522371</v>
      </c>
      <c r="AC1393" s="3" t="str">
        <f aca="false">Y1393</f>
        <v/>
      </c>
      <c r="AD1393" s="3" t="n">
        <f aca="false">R1393</f>
        <v>0</v>
      </c>
    </row>
    <row r="1394" customFormat="false" ht="15" hidden="false" customHeight="true" outlineLevel="0" collapsed="false">
      <c r="A1394" s="7" t="s">
        <v>57</v>
      </c>
      <c r="B1394" s="7" t="n">
        <v>1980</v>
      </c>
      <c r="C1394" s="7" t="s">
        <v>143</v>
      </c>
      <c r="D1394" s="7" t="n">
        <v>89</v>
      </c>
      <c r="E1394" s="7" t="n">
        <v>73</v>
      </c>
      <c r="F1394" s="3" t="n">
        <f aca="false">COUNTIFS($B$2:$B$2705,B1394,$C$2:$C$2705,C1394)</f>
        <v>1</v>
      </c>
      <c r="G1394" s="3" t="n">
        <f aca="false">MIN(INT((MIN(B1394,2020)-1900)/10)+1,12)</f>
        <v>9</v>
      </c>
      <c r="H1394" s="3" t="n">
        <f aca="false">(MIN(B1394,2020)-1900-10*(G1394-1))/10</f>
        <v>0</v>
      </c>
      <c r="I1394" s="20" t="n">
        <f aca="false">EXP(LN(INDEX(Pop_Inputs!$B$2:$N$29,MATCH(C1394,Pop_Inputs!$A$2:$A$29,0),G1394))*(1-H1394)+LN(INDEX(Pop_Inputs!$B$2:$N$29,MATCH(C1394,Pop_Inputs!$A$2:$A$29,0),G1394+1))*H1394)</f>
        <v>385460</v>
      </c>
      <c r="J1394" s="20" t="n">
        <f aca="false">I1394/F1394</f>
        <v>385460</v>
      </c>
      <c r="K1394" s="21" t="n">
        <f aca="false">D1394/(D1394+E1394)</f>
        <v>0.549382716049383</v>
      </c>
      <c r="L1394" s="21" t="n">
        <f aca="false">AVERAGEIFS($K$2:$K$2705,$B$2:$B$2705,B1394)</f>
        <v>0.499880528331726</v>
      </c>
      <c r="M1394" s="21" t="n">
        <f aca="false">K1394-L1394</f>
        <v>0.0495021877176563</v>
      </c>
      <c r="N1394" s="21" t="n">
        <f aca="false">LN(J1394)</f>
        <v>12.862192705253</v>
      </c>
      <c r="O1394" s="21" t="n">
        <f aca="false">AVERAGEIFS($N$2:$N$2705,$B$2:$B$2705,B1394)</f>
        <v>13.6344346076486</v>
      </c>
      <c r="P1394" s="21" t="n">
        <f aca="false">N1394-O1394</f>
        <v>-0.772241902395605</v>
      </c>
      <c r="Q1394" s="7" t="n">
        <v>0</v>
      </c>
      <c r="R1394" s="3" t="n">
        <f aca="false">IF(AND(Q1394=1,B1394-_xlfn.MINIFS($B$2:$B$2705,$A$2:$A$2705,A1394)&lt;10),1,0)</f>
        <v>0</v>
      </c>
      <c r="S1394" s="7" t="n">
        <v>0</v>
      </c>
      <c r="T1394" s="3" t="n">
        <f aca="false">_xlfn.MINIFS($B$2:$B$2705,$A$2:$A$2705,A1394)</f>
        <v>1901</v>
      </c>
      <c r="U1394" s="3" t="n">
        <f aca="false">B1394-T1394</f>
        <v>79</v>
      </c>
      <c r="V1394" s="3" t="str">
        <f aca="false">INDEX(Pop_Inputs!$Q$2:$Q$29,MATCH(C1394,Pop_Inputs!$A$2:$A$29,0))</f>
        <v>Midwest</v>
      </c>
      <c r="W1394" s="30"/>
      <c r="X1394" s="3" t="str">
        <f aca="false">IF(W1394="","",LN(W1394))</f>
        <v/>
      </c>
      <c r="Y1394" s="3" t="str">
        <f aca="false">IF(X1394="","",X1394-AVERAGEIFS($X$2:$X$2705,$B$2:$B$2705,B1394))</f>
        <v/>
      </c>
      <c r="Z1394" s="21" t="n">
        <f aca="false">P1394</f>
        <v>-0.772241902395605</v>
      </c>
      <c r="AA1394" s="3" t="n">
        <f aca="false">R1394</f>
        <v>0</v>
      </c>
      <c r="AB1394" s="21" t="n">
        <f aca="false">P1394</f>
        <v>-0.772241902395605</v>
      </c>
      <c r="AC1394" s="3" t="str">
        <f aca="false">Y1394</f>
        <v/>
      </c>
      <c r="AD1394" s="3" t="n">
        <f aca="false">R1394</f>
        <v>0</v>
      </c>
    </row>
    <row r="1395" customFormat="false" ht="15" hidden="false" customHeight="true" outlineLevel="0" collapsed="false">
      <c r="A1395" s="7" t="s">
        <v>66</v>
      </c>
      <c r="B1395" s="7" t="n">
        <v>1980</v>
      </c>
      <c r="C1395" s="7" t="s">
        <v>151</v>
      </c>
      <c r="D1395" s="7" t="n">
        <v>79</v>
      </c>
      <c r="E1395" s="7" t="n">
        <v>81</v>
      </c>
      <c r="F1395" s="3" t="n">
        <f aca="false">COUNTIFS($B$2:$B$2705,B1395,$C$2:$C$2705,C1395)</f>
        <v>1</v>
      </c>
      <c r="G1395" s="3" t="n">
        <f aca="false">MIN(INT((MIN(B1395,2020)-1900)/10)+1,12)</f>
        <v>9</v>
      </c>
      <c r="H1395" s="3" t="n">
        <f aca="false">(MIN(B1395,2020)-1900-10*(G1395-1))/10</f>
        <v>0</v>
      </c>
      <c r="I1395" s="20" t="n">
        <f aca="false">EXP(LN(INDEX(Pop_Inputs!$B$2:$N$29,MATCH(C1395,Pop_Inputs!$A$2:$A$29,0),G1395))*(1-H1395)+LN(INDEX(Pop_Inputs!$B$2:$N$29,MATCH(C1395,Pop_Inputs!$A$2:$A$29,0),G1395+1))*H1395)</f>
        <v>573822</v>
      </c>
      <c r="J1395" s="20" t="n">
        <f aca="false">I1395/F1395</f>
        <v>573822</v>
      </c>
      <c r="K1395" s="21" t="n">
        <f aca="false">D1395/(D1395+E1395)</f>
        <v>0.49375</v>
      </c>
      <c r="L1395" s="21" t="n">
        <f aca="false">AVERAGEIFS($K$2:$K$2705,$B$2:$B$2705,B1395)</f>
        <v>0.499880528331726</v>
      </c>
      <c r="M1395" s="21" t="n">
        <f aca="false">K1395-L1395</f>
        <v>-0.00613052833172639</v>
      </c>
      <c r="N1395" s="21" t="n">
        <f aca="false">LN(J1395)</f>
        <v>13.2600745226797</v>
      </c>
      <c r="O1395" s="21" t="n">
        <f aca="false">AVERAGEIFS($N$2:$N$2705,$B$2:$B$2705,B1395)</f>
        <v>13.6344346076486</v>
      </c>
      <c r="P1395" s="21" t="n">
        <f aca="false">N1395-O1395</f>
        <v>-0.374360084968913</v>
      </c>
      <c r="Q1395" s="7" t="n">
        <v>0</v>
      </c>
      <c r="R1395" s="3" t="n">
        <f aca="false">IF(AND(Q1395=1,B1395-_xlfn.MINIFS($B$2:$B$2705,$A$2:$A$2705,A1395)&lt;10),1,0)</f>
        <v>0</v>
      </c>
      <c r="S1395" s="7" t="n">
        <v>0</v>
      </c>
      <c r="T1395" s="3" t="n">
        <f aca="false">_xlfn.MINIFS($B$2:$B$2705,$A$2:$A$2705,A1395)</f>
        <v>1901</v>
      </c>
      <c r="U1395" s="3" t="n">
        <f aca="false">B1395-T1395</f>
        <v>79</v>
      </c>
      <c r="V1395" s="3" t="str">
        <f aca="false">INDEX(Pop_Inputs!$Q$2:$Q$29,MATCH(C1395,Pop_Inputs!$A$2:$A$29,0))</f>
        <v>Midwest</v>
      </c>
      <c r="W1395" s="30"/>
      <c r="X1395" s="3" t="str">
        <f aca="false">IF(W1395="","",LN(W1395))</f>
        <v/>
      </c>
      <c r="Y1395" s="3" t="str">
        <f aca="false">IF(X1395="","",X1395-AVERAGEIFS($X$2:$X$2705,$B$2:$B$2705,B1395))</f>
        <v/>
      </c>
      <c r="Z1395" s="21" t="n">
        <f aca="false">P1395</f>
        <v>-0.374360084968913</v>
      </c>
      <c r="AA1395" s="3" t="n">
        <f aca="false">R1395</f>
        <v>0</v>
      </c>
      <c r="AB1395" s="21" t="n">
        <f aca="false">P1395</f>
        <v>-0.374360084968913</v>
      </c>
      <c r="AC1395" s="3" t="str">
        <f aca="false">Y1395</f>
        <v/>
      </c>
      <c r="AD1395" s="3" t="n">
        <f aca="false">R1395</f>
        <v>0</v>
      </c>
    </row>
    <row r="1396" customFormat="false" ht="15" hidden="false" customHeight="true" outlineLevel="0" collapsed="false">
      <c r="A1396" s="7" t="s">
        <v>67</v>
      </c>
      <c r="B1396" s="7" t="n">
        <v>1980</v>
      </c>
      <c r="C1396" s="7" t="s">
        <v>152</v>
      </c>
      <c r="D1396" s="7" t="n">
        <v>84</v>
      </c>
      <c r="E1396" s="7" t="n">
        <v>78</v>
      </c>
      <c r="F1396" s="3" t="n">
        <f aca="false">COUNTIFS($B$2:$B$2705,B1396,$C$2:$C$2705,C1396)</f>
        <v>1</v>
      </c>
      <c r="G1396" s="3" t="n">
        <f aca="false">MIN(INT((MIN(B1396,2020)-1900)/10)+1,12)</f>
        <v>9</v>
      </c>
      <c r="H1396" s="3" t="n">
        <f aca="false">(MIN(B1396,2020)-1900-10*(G1396-1))/10</f>
        <v>0</v>
      </c>
      <c r="I1396" s="20" t="n">
        <f aca="false">EXP(LN(INDEX(Pop_Inputs!$B$2:$N$29,MATCH(C1396,Pop_Inputs!$A$2:$A$29,0),G1396))*(1-H1396)+LN(INDEX(Pop_Inputs!$B$2:$N$29,MATCH(C1396,Pop_Inputs!$A$2:$A$29,0),G1396+1))*H1396)</f>
        <v>1203368</v>
      </c>
      <c r="J1396" s="20" t="n">
        <f aca="false">I1396/F1396</f>
        <v>1203368</v>
      </c>
      <c r="K1396" s="21" t="n">
        <f aca="false">D1396/(D1396+E1396)</f>
        <v>0.518518518518519</v>
      </c>
      <c r="L1396" s="21" t="n">
        <f aca="false">AVERAGEIFS($K$2:$K$2705,$B$2:$B$2705,B1396)</f>
        <v>0.499880528331726</v>
      </c>
      <c r="M1396" s="21" t="n">
        <f aca="false">K1396-L1396</f>
        <v>0.0186379901867921</v>
      </c>
      <c r="N1396" s="21" t="n">
        <f aca="false">LN(J1396)</f>
        <v>14.0006348500903</v>
      </c>
      <c r="O1396" s="21" t="n">
        <f aca="false">AVERAGEIFS($N$2:$N$2705,$B$2:$B$2705,B1396)</f>
        <v>13.6344346076486</v>
      </c>
      <c r="P1396" s="21" t="n">
        <f aca="false">N1396-O1396</f>
        <v>0.366200242441606</v>
      </c>
      <c r="Q1396" s="7" t="n">
        <v>0</v>
      </c>
      <c r="R1396" s="3" t="n">
        <f aca="false">IF(AND(Q1396=1,B1396-_xlfn.MINIFS($B$2:$B$2705,$A$2:$A$2705,A1396)&lt;10),1,0)</f>
        <v>0</v>
      </c>
      <c r="S1396" s="7" t="n">
        <v>0</v>
      </c>
      <c r="T1396" s="3" t="n">
        <f aca="false">_xlfn.MINIFS($B$2:$B$2705,$A$2:$A$2705,A1396)</f>
        <v>1901</v>
      </c>
      <c r="U1396" s="3" t="n">
        <f aca="false">B1396-T1396</f>
        <v>79</v>
      </c>
      <c r="V1396" s="3" t="str">
        <f aca="false">INDEX(Pop_Inputs!$Q$2:$Q$29,MATCH(C1396,Pop_Inputs!$A$2:$A$29,0))</f>
        <v>Midwest</v>
      </c>
      <c r="W1396" s="30"/>
      <c r="X1396" s="3" t="str">
        <f aca="false">IF(W1396="","",LN(W1396))</f>
        <v/>
      </c>
      <c r="Y1396" s="3" t="str">
        <f aca="false">IF(X1396="","",X1396-AVERAGEIFS($X$2:$X$2705,$B$2:$B$2705,B1396))</f>
        <v/>
      </c>
      <c r="Z1396" s="21" t="n">
        <f aca="false">P1396</f>
        <v>0.366200242441606</v>
      </c>
      <c r="AA1396" s="3" t="n">
        <f aca="false">R1396</f>
        <v>0</v>
      </c>
      <c r="AB1396" s="21" t="n">
        <f aca="false">P1396</f>
        <v>0.366200242441606</v>
      </c>
      <c r="AC1396" s="3" t="str">
        <f aca="false">Y1396</f>
        <v/>
      </c>
      <c r="AD1396" s="3" t="n">
        <f aca="false">R1396</f>
        <v>0</v>
      </c>
    </row>
    <row r="1397" customFormat="false" ht="15" hidden="false" customHeight="true" outlineLevel="0" collapsed="false">
      <c r="A1397" s="7" t="s">
        <v>74</v>
      </c>
      <c r="B1397" s="7" t="n">
        <v>1980</v>
      </c>
      <c r="C1397" s="7" t="s">
        <v>156</v>
      </c>
      <c r="D1397" s="7" t="n">
        <v>93</v>
      </c>
      <c r="E1397" s="7" t="n">
        <v>70</v>
      </c>
      <c r="F1397" s="3" t="n">
        <f aca="false">COUNTIFS($B$2:$B$2705,B1397,$C$2:$C$2705,C1397)</f>
        <v>1</v>
      </c>
      <c r="G1397" s="3" t="n">
        <f aca="false">MIN(INT((MIN(B1397,2020)-1900)/10)+1,12)</f>
        <v>9</v>
      </c>
      <c r="H1397" s="3" t="n">
        <f aca="false">(MIN(B1397,2020)-1900-10*(G1397-1))/10</f>
        <v>0</v>
      </c>
      <c r="I1397" s="20" t="n">
        <f aca="false">EXP(LN(INDEX(Pop_Inputs!$B$2:$N$29,MATCH(C1397,Pop_Inputs!$A$2:$A$29,0),G1397))*(1-H1397)+LN(INDEX(Pop_Inputs!$B$2:$N$29,MATCH(C1397,Pop_Inputs!$A$2:$A$29,0),G1397+1))*H1397)</f>
        <v>1595138</v>
      </c>
      <c r="J1397" s="20" t="n">
        <f aca="false">I1397/F1397</f>
        <v>1595138</v>
      </c>
      <c r="K1397" s="21" t="n">
        <f aca="false">D1397/(D1397+E1397)</f>
        <v>0.570552147239264</v>
      </c>
      <c r="L1397" s="21" t="n">
        <f aca="false">AVERAGEIFS($K$2:$K$2705,$B$2:$B$2705,B1397)</f>
        <v>0.499880528331726</v>
      </c>
      <c r="M1397" s="21" t="n">
        <f aca="false">K1397-L1397</f>
        <v>0.0706716189075374</v>
      </c>
      <c r="N1397" s="21" t="n">
        <f aca="false">LN(J1397)</f>
        <v>14.2824708108346</v>
      </c>
      <c r="O1397" s="21" t="n">
        <f aca="false">AVERAGEIFS($N$2:$N$2705,$B$2:$B$2705,B1397)</f>
        <v>13.6344346076486</v>
      </c>
      <c r="P1397" s="21" t="n">
        <f aca="false">N1397-O1397</f>
        <v>0.648036203185939</v>
      </c>
      <c r="Q1397" s="7" t="n">
        <v>1</v>
      </c>
      <c r="R1397" s="3" t="n">
        <f aca="false">IF(AND(Q1397=1,B1397-_xlfn.MINIFS($B$2:$B$2705,$A$2:$A$2705,A1397)&lt;10),1,0)</f>
        <v>0</v>
      </c>
      <c r="S1397" s="7" t="n">
        <v>0</v>
      </c>
      <c r="T1397" s="3" t="n">
        <f aca="false">_xlfn.MINIFS($B$2:$B$2705,$A$2:$A$2705,A1397)</f>
        <v>1962</v>
      </c>
      <c r="U1397" s="3" t="n">
        <f aca="false">B1397-T1397</f>
        <v>18</v>
      </c>
      <c r="V1397" s="3" t="str">
        <f aca="false">INDEX(Pop_Inputs!$Q$2:$Q$29,MATCH(C1397,Pop_Inputs!$A$2:$A$29,0))</f>
        <v>South</v>
      </c>
      <c r="W1397" s="30"/>
      <c r="X1397" s="3" t="str">
        <f aca="false">IF(W1397="","",LN(W1397))</f>
        <v/>
      </c>
      <c r="Y1397" s="3" t="str">
        <f aca="false">IF(X1397="","",X1397-AVERAGEIFS($X$2:$X$2705,$B$2:$B$2705,B1397))</f>
        <v/>
      </c>
      <c r="Z1397" s="21" t="n">
        <f aca="false">P1397</f>
        <v>0.648036203185939</v>
      </c>
      <c r="AA1397" s="3" t="n">
        <f aca="false">R1397</f>
        <v>0</v>
      </c>
      <c r="AB1397" s="21" t="n">
        <f aca="false">P1397</f>
        <v>0.648036203185939</v>
      </c>
      <c r="AC1397" s="3" t="str">
        <f aca="false">Y1397</f>
        <v/>
      </c>
      <c r="AD1397" s="3" t="n">
        <f aca="false">R1397</f>
        <v>0</v>
      </c>
    </row>
    <row r="1398" customFormat="false" ht="15" hidden="false" customHeight="true" outlineLevel="0" collapsed="false">
      <c r="A1398" s="7" t="s">
        <v>76</v>
      </c>
      <c r="B1398" s="7" t="n">
        <v>1980</v>
      </c>
      <c r="C1398" s="7" t="s">
        <v>157</v>
      </c>
      <c r="D1398" s="7" t="n">
        <v>97</v>
      </c>
      <c r="E1398" s="7" t="n">
        <v>65</v>
      </c>
      <c r="F1398" s="3" t="n">
        <f aca="false">COUNTIFS($B$2:$B$2705,B1398,$C$2:$C$2705,C1398)</f>
        <v>1</v>
      </c>
      <c r="G1398" s="3" t="n">
        <f aca="false">MIN(INT((MIN(B1398,2020)-1900)/10)+1,12)</f>
        <v>9</v>
      </c>
      <c r="H1398" s="3" t="n">
        <f aca="false">(MIN(B1398,2020)-1900-10*(G1398-1))/10</f>
        <v>0</v>
      </c>
      <c r="I1398" s="20" t="n">
        <f aca="false">EXP(LN(INDEX(Pop_Inputs!$B$2:$N$29,MATCH(C1398,Pop_Inputs!$A$2:$A$29,0),G1398))*(1-H1398)+LN(INDEX(Pop_Inputs!$B$2:$N$29,MATCH(C1398,Pop_Inputs!$A$2:$A$29,0),G1398+1))*H1398)</f>
        <v>448159</v>
      </c>
      <c r="J1398" s="20" t="n">
        <f aca="false">I1398/F1398</f>
        <v>448159</v>
      </c>
      <c r="K1398" s="21" t="n">
        <f aca="false">D1398/(D1398+E1398)</f>
        <v>0.598765432098765</v>
      </c>
      <c r="L1398" s="21" t="n">
        <f aca="false">AVERAGEIFS($K$2:$K$2705,$B$2:$B$2705,B1398)</f>
        <v>0.499880528331726</v>
      </c>
      <c r="M1398" s="21" t="n">
        <f aca="false">K1398-L1398</f>
        <v>0.098884903767039</v>
      </c>
      <c r="N1398" s="21" t="n">
        <f aca="false">LN(J1398)</f>
        <v>13.0129033591455</v>
      </c>
      <c r="O1398" s="21" t="n">
        <f aca="false">AVERAGEIFS($N$2:$N$2705,$B$2:$B$2705,B1398)</f>
        <v>13.6344346076486</v>
      </c>
      <c r="P1398" s="21" t="n">
        <f aca="false">N1398-O1398</f>
        <v>-0.621531248503148</v>
      </c>
      <c r="Q1398" s="7" t="n">
        <v>1</v>
      </c>
      <c r="R1398" s="3" t="n">
        <f aca="false">IF(AND(Q1398=1,B1398-_xlfn.MINIFS($B$2:$B$2705,$A$2:$A$2705,A1398)&lt;10),1,0)</f>
        <v>0</v>
      </c>
      <c r="S1398" s="7" t="n">
        <v>0</v>
      </c>
      <c r="T1398" s="3" t="n">
        <f aca="false">_xlfn.MINIFS($B$2:$B$2705,$A$2:$A$2705,A1398)</f>
        <v>1969</v>
      </c>
      <c r="U1398" s="3" t="n">
        <f aca="false">B1398-T1398</f>
        <v>11</v>
      </c>
      <c r="V1398" s="3" t="str">
        <f aca="false">INDEX(Pop_Inputs!$Q$2:$Q$29,MATCH(C1398,Pop_Inputs!$A$2:$A$29,0))</f>
        <v>Midwest</v>
      </c>
      <c r="W1398" s="30"/>
      <c r="X1398" s="3" t="str">
        <f aca="false">IF(W1398="","",LN(W1398))</f>
        <v/>
      </c>
      <c r="Y1398" s="3" t="str">
        <f aca="false">IF(X1398="","",X1398-AVERAGEIFS($X$2:$X$2705,$B$2:$B$2705,B1398))</f>
        <v/>
      </c>
      <c r="Z1398" s="21" t="n">
        <f aca="false">P1398</f>
        <v>-0.621531248503148</v>
      </c>
      <c r="AA1398" s="3" t="n">
        <f aca="false">R1398</f>
        <v>0</v>
      </c>
      <c r="AB1398" s="21" t="n">
        <f aca="false">P1398</f>
        <v>-0.621531248503148</v>
      </c>
      <c r="AC1398" s="3" t="str">
        <f aca="false">Y1398</f>
        <v/>
      </c>
      <c r="AD1398" s="3" t="n">
        <f aca="false">R1398</f>
        <v>0</v>
      </c>
    </row>
    <row r="1399" customFormat="false" ht="15" hidden="false" customHeight="true" outlineLevel="0" collapsed="false">
      <c r="A1399" s="7" t="s">
        <v>62</v>
      </c>
      <c r="B1399" s="7" t="n">
        <v>1980</v>
      </c>
      <c r="C1399" s="7" t="s">
        <v>148</v>
      </c>
      <c r="D1399" s="7" t="n">
        <v>92</v>
      </c>
      <c r="E1399" s="7" t="n">
        <v>71</v>
      </c>
      <c r="F1399" s="3" t="n">
        <f aca="false">COUNTIFS($B$2:$B$2705,B1399,$C$2:$C$2705,C1399)</f>
        <v>2</v>
      </c>
      <c r="G1399" s="3" t="n">
        <f aca="false">MIN(INT((MIN(B1399,2020)-1900)/10)+1,12)</f>
        <v>9</v>
      </c>
      <c r="H1399" s="3" t="n">
        <f aca="false">(MIN(B1399,2020)-1900-10*(G1399-1))/10</f>
        <v>0</v>
      </c>
      <c r="I1399" s="20" t="n">
        <f aca="false">EXP(LN(INDEX(Pop_Inputs!$B$2:$N$29,MATCH(C1399,Pop_Inputs!$A$2:$A$29,0),G1399))*(1-H1399)+LN(INDEX(Pop_Inputs!$B$2:$N$29,MATCH(C1399,Pop_Inputs!$A$2:$A$29,0),G1399+1))*H1399)</f>
        <v>2966850</v>
      </c>
      <c r="J1399" s="20" t="n">
        <f aca="false">I1399/F1399</f>
        <v>1483425</v>
      </c>
      <c r="K1399" s="21" t="n">
        <f aca="false">D1399/(D1399+E1399)</f>
        <v>0.56441717791411</v>
      </c>
      <c r="L1399" s="21" t="n">
        <f aca="false">AVERAGEIFS($K$2:$K$2705,$B$2:$B$2705,B1399)</f>
        <v>0.499880528331726</v>
      </c>
      <c r="M1399" s="21" t="n">
        <f aca="false">K1399-L1399</f>
        <v>0.064536649582384</v>
      </c>
      <c r="N1399" s="21" t="n">
        <f aca="false">LN(J1399)</f>
        <v>14.2098641613177</v>
      </c>
      <c r="O1399" s="21" t="n">
        <f aca="false">AVERAGEIFS($N$2:$N$2705,$B$2:$B$2705,B1399)</f>
        <v>13.6344346076486</v>
      </c>
      <c r="P1399" s="21" t="n">
        <f aca="false">N1399-O1399</f>
        <v>0.575429553669073</v>
      </c>
      <c r="Q1399" s="7" t="n">
        <v>0</v>
      </c>
      <c r="R1399" s="3" t="n">
        <f aca="false">IF(AND(Q1399=1,B1399-_xlfn.MINIFS($B$2:$B$2705,$A$2:$A$2705,A1399)&lt;10),1,0)</f>
        <v>0</v>
      </c>
      <c r="S1399" s="7" t="n">
        <v>0</v>
      </c>
      <c r="T1399" s="3" t="n">
        <f aca="false">_xlfn.MINIFS($B$2:$B$2705,$A$2:$A$2705,A1399)</f>
        <v>1901</v>
      </c>
      <c r="U1399" s="3" t="n">
        <f aca="false">B1399-T1399</f>
        <v>79</v>
      </c>
      <c r="V1399" s="3" t="str">
        <f aca="false">INDEX(Pop_Inputs!$Q$2:$Q$29,MATCH(C1399,Pop_Inputs!$A$2:$A$29,0))</f>
        <v>West</v>
      </c>
      <c r="W1399" s="30"/>
      <c r="X1399" s="3" t="str">
        <f aca="false">IF(W1399="","",LN(W1399))</f>
        <v/>
      </c>
      <c r="Y1399" s="3" t="str">
        <f aca="false">IF(X1399="","",X1399-AVERAGEIFS($X$2:$X$2705,$B$2:$B$2705,B1399))</f>
        <v/>
      </c>
      <c r="Z1399" s="21" t="n">
        <f aca="false">P1399</f>
        <v>0.575429553669073</v>
      </c>
      <c r="AA1399" s="3" t="n">
        <f aca="false">R1399</f>
        <v>0</v>
      </c>
      <c r="AB1399" s="21" t="n">
        <f aca="false">P1399</f>
        <v>0.575429553669073</v>
      </c>
      <c r="AC1399" s="3" t="str">
        <f aca="false">Y1399</f>
        <v/>
      </c>
      <c r="AD1399" s="3" t="n">
        <f aca="false">R1399</f>
        <v>0</v>
      </c>
    </row>
    <row r="1400" customFormat="false" ht="15" hidden="false" customHeight="true" outlineLevel="0" collapsed="false">
      <c r="A1400" s="7" t="s">
        <v>77</v>
      </c>
      <c r="B1400" s="7" t="n">
        <v>1980</v>
      </c>
      <c r="C1400" s="7" t="s">
        <v>158</v>
      </c>
      <c r="D1400" s="7" t="n">
        <v>86</v>
      </c>
      <c r="E1400" s="7" t="n">
        <v>76</v>
      </c>
      <c r="F1400" s="3" t="n">
        <f aca="false">COUNTIFS($B$2:$B$2705,B1400,$C$2:$C$2705,C1400)</f>
        <v>1</v>
      </c>
      <c r="G1400" s="3" t="n">
        <f aca="false">MIN(INT((MIN(B1400,2020)-1900)/10)+1,12)</f>
        <v>9</v>
      </c>
      <c r="H1400" s="3" t="n">
        <f aca="false">(MIN(B1400,2020)-1900-10*(G1400-1))/10</f>
        <v>0</v>
      </c>
      <c r="I1400" s="20" t="n">
        <f aca="false">EXP(LN(INDEX(Pop_Inputs!$B$2:$N$29,MATCH(C1400,Pop_Inputs!$A$2:$A$29,0),G1400))*(1-H1400)+LN(INDEX(Pop_Inputs!$B$2:$N$29,MATCH(C1400,Pop_Inputs!$A$2:$A$29,0),G1400+1))*H1400)</f>
        <v>636212</v>
      </c>
      <c r="J1400" s="20" t="n">
        <f aca="false">I1400/F1400</f>
        <v>636212</v>
      </c>
      <c r="K1400" s="21" t="n">
        <f aca="false">D1400/(D1400+E1400)</f>
        <v>0.530864197530864</v>
      </c>
      <c r="L1400" s="21" t="n">
        <f aca="false">AVERAGEIFS($K$2:$K$2705,$B$2:$B$2705,B1400)</f>
        <v>0.499880528331726</v>
      </c>
      <c r="M1400" s="21" t="n">
        <f aca="false">K1400-L1400</f>
        <v>0.0309836691991378</v>
      </c>
      <c r="N1400" s="21" t="n">
        <f aca="false">LN(J1400)</f>
        <v>13.3632871201124</v>
      </c>
      <c r="O1400" s="21" t="n">
        <f aca="false">AVERAGEIFS($N$2:$N$2705,$B$2:$B$2705,B1400)</f>
        <v>13.6344346076486</v>
      </c>
      <c r="P1400" s="21" t="n">
        <f aca="false">N1400-O1400</f>
        <v>-0.271147487536267</v>
      </c>
      <c r="Q1400" s="7" t="n">
        <v>1</v>
      </c>
      <c r="R1400" s="3" t="n">
        <f aca="false">IF(AND(Q1400=1,B1400-_xlfn.MINIFS($B$2:$B$2705,$A$2:$A$2705,A1400)&lt;10),1,0)</f>
        <v>0</v>
      </c>
      <c r="S1400" s="7" t="n">
        <v>0</v>
      </c>
      <c r="T1400" s="3" t="n">
        <f aca="false">_xlfn.MINIFS($B$2:$B$2705,$A$2:$A$2705,A1400)</f>
        <v>1969</v>
      </c>
      <c r="U1400" s="3" t="n">
        <f aca="false">B1400-T1400</f>
        <v>11</v>
      </c>
      <c r="V1400" s="3" t="str">
        <f aca="false">INDEX(Pop_Inputs!$Q$2:$Q$29,MATCH(C1400,Pop_Inputs!$A$2:$A$29,0))</f>
        <v>Midwest</v>
      </c>
      <c r="W1400" s="30"/>
      <c r="X1400" s="3" t="str">
        <f aca="false">IF(W1400="","",LN(W1400))</f>
        <v/>
      </c>
      <c r="Y1400" s="3" t="str">
        <f aca="false">IF(X1400="","",X1400-AVERAGEIFS($X$2:$X$2705,$B$2:$B$2705,B1400))</f>
        <v/>
      </c>
      <c r="Z1400" s="21" t="n">
        <f aca="false">P1400</f>
        <v>-0.271147487536267</v>
      </c>
      <c r="AA1400" s="3" t="n">
        <f aca="false">R1400</f>
        <v>0</v>
      </c>
      <c r="AB1400" s="21" t="n">
        <f aca="false">P1400</f>
        <v>-0.271147487536267</v>
      </c>
      <c r="AC1400" s="3" t="str">
        <f aca="false">Y1400</f>
        <v/>
      </c>
      <c r="AD1400" s="3" t="n">
        <f aca="false">R1400</f>
        <v>0</v>
      </c>
    </row>
    <row r="1401" customFormat="false" ht="15" hidden="false" customHeight="true" outlineLevel="0" collapsed="false">
      <c r="A1401" s="7" t="s">
        <v>68</v>
      </c>
      <c r="B1401" s="7" t="n">
        <v>1980</v>
      </c>
      <c r="C1401" s="7" t="s">
        <v>153</v>
      </c>
      <c r="D1401" s="7" t="n">
        <v>77</v>
      </c>
      <c r="E1401" s="7" t="n">
        <v>84</v>
      </c>
      <c r="F1401" s="3" t="n">
        <f aca="false">COUNTIFS($B$2:$B$2705,B1401,$C$2:$C$2705,C1401)</f>
        <v>1</v>
      </c>
      <c r="G1401" s="3" t="n">
        <f aca="false">MIN(INT((MIN(B1401,2020)-1900)/10)+1,12)</f>
        <v>9</v>
      </c>
      <c r="H1401" s="3" t="n">
        <f aca="false">(MIN(B1401,2020)-1900-10*(G1401-1))/10</f>
        <v>0</v>
      </c>
      <c r="I1401" s="20" t="n">
        <f aca="false">EXP(LN(INDEX(Pop_Inputs!$B$2:$N$29,MATCH(C1401,Pop_Inputs!$A$2:$A$29,0),G1401))*(1-H1401)+LN(INDEX(Pop_Inputs!$B$2:$N$29,MATCH(C1401,Pop_Inputs!$A$2:$A$29,0),G1401+1))*H1401)</f>
        <v>370951</v>
      </c>
      <c r="J1401" s="20" t="n">
        <f aca="false">I1401/F1401</f>
        <v>370951</v>
      </c>
      <c r="K1401" s="21" t="n">
        <f aca="false">D1401/(D1401+E1401)</f>
        <v>0.478260869565217</v>
      </c>
      <c r="L1401" s="21" t="n">
        <f aca="false">AVERAGEIFS($K$2:$K$2705,$B$2:$B$2705,B1401)</f>
        <v>0.499880528331726</v>
      </c>
      <c r="M1401" s="21" t="n">
        <f aca="false">K1401-L1401</f>
        <v>-0.021619658766509</v>
      </c>
      <c r="N1401" s="21" t="n">
        <f aca="false">LN(J1401)</f>
        <v>12.8238252573951</v>
      </c>
      <c r="O1401" s="21" t="n">
        <f aca="false">AVERAGEIFS($N$2:$N$2705,$B$2:$B$2705,B1401)</f>
        <v>13.6344346076486</v>
      </c>
      <c r="P1401" s="21" t="n">
        <f aca="false">N1401-O1401</f>
        <v>-0.810609350253506</v>
      </c>
      <c r="Q1401" s="7" t="n">
        <v>0</v>
      </c>
      <c r="R1401" s="3" t="n">
        <f aca="false">IF(AND(Q1401=1,B1401-_xlfn.MINIFS($B$2:$B$2705,$A$2:$A$2705,A1401)&lt;10),1,0)</f>
        <v>0</v>
      </c>
      <c r="S1401" s="7" t="n">
        <v>0</v>
      </c>
      <c r="T1401" s="3" t="n">
        <f aca="false">_xlfn.MINIFS($B$2:$B$2705,$A$2:$A$2705,A1401)</f>
        <v>1901</v>
      </c>
      <c r="U1401" s="3" t="n">
        <f aca="false">B1401-T1401</f>
        <v>79</v>
      </c>
      <c r="V1401" s="3" t="str">
        <f aca="false">INDEX(Pop_Inputs!$Q$2:$Q$29,MATCH(C1401,Pop_Inputs!$A$2:$A$29,0))</f>
        <v>Midwest</v>
      </c>
      <c r="W1401" s="30"/>
      <c r="X1401" s="3" t="str">
        <f aca="false">IF(W1401="","",LN(W1401))</f>
        <v/>
      </c>
      <c r="Y1401" s="3" t="str">
        <f aca="false">IF(X1401="","",X1401-AVERAGEIFS($X$2:$X$2705,$B$2:$B$2705,B1401))</f>
        <v/>
      </c>
      <c r="Z1401" s="21" t="n">
        <f aca="false">P1401</f>
        <v>-0.810609350253506</v>
      </c>
      <c r="AA1401" s="3" t="n">
        <f aca="false">R1401</f>
        <v>0</v>
      </c>
      <c r="AB1401" s="21" t="n">
        <f aca="false">P1401</f>
        <v>-0.810609350253506</v>
      </c>
      <c r="AC1401" s="3" t="str">
        <f aca="false">Y1401</f>
        <v/>
      </c>
      <c r="AD1401" s="3" t="n">
        <f aca="false">R1401</f>
        <v>0</v>
      </c>
    </row>
    <row r="1402" customFormat="false" ht="15" hidden="false" customHeight="true" outlineLevel="0" collapsed="false">
      <c r="A1402" s="7" t="s">
        <v>75</v>
      </c>
      <c r="B1402" s="7" t="n">
        <v>1980</v>
      </c>
      <c r="C1402" s="7" t="s">
        <v>154</v>
      </c>
      <c r="D1402" s="7" t="n">
        <v>67</v>
      </c>
      <c r="E1402" s="7" t="n">
        <v>95</v>
      </c>
      <c r="F1402" s="3" t="n">
        <f aca="false">COUNTIFS($B$2:$B$2705,B1402,$C$2:$C$2705,C1402)</f>
        <v>2</v>
      </c>
      <c r="G1402" s="3" t="n">
        <f aca="false">MIN(INT((MIN(B1402,2020)-1900)/10)+1,12)</f>
        <v>9</v>
      </c>
      <c r="H1402" s="3" t="n">
        <f aca="false">(MIN(B1402,2020)-1900-10*(G1402-1))/10</f>
        <v>0</v>
      </c>
      <c r="I1402" s="20" t="n">
        <f aca="false">EXP(LN(INDEX(Pop_Inputs!$B$2:$N$29,MATCH(C1402,Pop_Inputs!$A$2:$A$29,0),G1402))*(1-H1402)+LN(INDEX(Pop_Inputs!$B$2:$N$29,MATCH(C1402,Pop_Inputs!$A$2:$A$29,0),G1402+1))*H1402)</f>
        <v>7071639</v>
      </c>
      <c r="J1402" s="20" t="n">
        <f aca="false">I1402/F1402</f>
        <v>3535819.5</v>
      </c>
      <c r="K1402" s="21" t="n">
        <f aca="false">D1402/(D1402+E1402)</f>
        <v>0.41358024691358</v>
      </c>
      <c r="L1402" s="21" t="n">
        <f aca="false">AVERAGEIFS($K$2:$K$2705,$B$2:$B$2705,B1402)</f>
        <v>0.499880528331726</v>
      </c>
      <c r="M1402" s="21" t="n">
        <f aca="false">K1402-L1402</f>
        <v>-0.0863002814181462</v>
      </c>
      <c r="N1402" s="21" t="n">
        <f aca="false">LN(J1402)</f>
        <v>15.0784556550567</v>
      </c>
      <c r="O1402" s="21" t="n">
        <f aca="false">AVERAGEIFS($N$2:$N$2705,$B$2:$B$2705,B1402)</f>
        <v>13.6344346076486</v>
      </c>
      <c r="P1402" s="21" t="n">
        <f aca="false">N1402-O1402</f>
        <v>1.44402104740802</v>
      </c>
      <c r="Q1402" s="7" t="n">
        <v>1</v>
      </c>
      <c r="R1402" s="3" t="n">
        <f aca="false">IF(AND(Q1402=1,B1402-_xlfn.MINIFS($B$2:$B$2705,$A$2:$A$2705,A1402)&lt;10),1,0)</f>
        <v>0</v>
      </c>
      <c r="S1402" s="7" t="n">
        <v>0</v>
      </c>
      <c r="T1402" s="3" t="n">
        <f aca="false">_xlfn.MINIFS($B$2:$B$2705,$A$2:$A$2705,A1402)</f>
        <v>1962</v>
      </c>
      <c r="U1402" s="3" t="n">
        <f aca="false">B1402-T1402</f>
        <v>18</v>
      </c>
      <c r="V1402" s="3" t="str">
        <f aca="false">INDEX(Pop_Inputs!$Q$2:$Q$29,MATCH(C1402,Pop_Inputs!$A$2:$A$29,0))</f>
        <v>Northeast</v>
      </c>
      <c r="W1402" s="30"/>
      <c r="X1402" s="3" t="str">
        <f aca="false">IF(W1402="","",LN(W1402))</f>
        <v/>
      </c>
      <c r="Y1402" s="3" t="str">
        <f aca="false">IF(X1402="","",X1402-AVERAGEIFS($X$2:$X$2705,$B$2:$B$2705,B1402))</f>
        <v/>
      </c>
      <c r="Z1402" s="21" t="n">
        <f aca="false">P1402</f>
        <v>1.44402104740802</v>
      </c>
      <c r="AA1402" s="3" t="n">
        <f aca="false">R1402</f>
        <v>0</v>
      </c>
      <c r="AB1402" s="21" t="n">
        <f aca="false">P1402</f>
        <v>1.44402104740802</v>
      </c>
      <c r="AC1402" s="3" t="str">
        <f aca="false">Y1402</f>
        <v/>
      </c>
      <c r="AD1402" s="3" t="n">
        <f aca="false">R1402</f>
        <v>0</v>
      </c>
    </row>
    <row r="1403" customFormat="false" ht="15" hidden="false" customHeight="true" outlineLevel="0" collapsed="false">
      <c r="A1403" s="7" t="s">
        <v>70</v>
      </c>
      <c r="B1403" s="7" t="n">
        <v>1980</v>
      </c>
      <c r="C1403" s="7" t="s">
        <v>154</v>
      </c>
      <c r="D1403" s="7" t="n">
        <v>103</v>
      </c>
      <c r="E1403" s="7" t="n">
        <v>59</v>
      </c>
      <c r="F1403" s="3" t="n">
        <f aca="false">COUNTIFS($B$2:$B$2705,B1403,$C$2:$C$2705,C1403)</f>
        <v>2</v>
      </c>
      <c r="G1403" s="3" t="n">
        <f aca="false">MIN(INT((MIN(B1403,2020)-1900)/10)+1,12)</f>
        <v>9</v>
      </c>
      <c r="H1403" s="3" t="n">
        <f aca="false">(MIN(B1403,2020)-1900-10*(G1403-1))/10</f>
        <v>0</v>
      </c>
      <c r="I1403" s="20" t="n">
        <f aca="false">EXP(LN(INDEX(Pop_Inputs!$B$2:$N$29,MATCH(C1403,Pop_Inputs!$A$2:$A$29,0),G1403))*(1-H1403)+LN(INDEX(Pop_Inputs!$B$2:$N$29,MATCH(C1403,Pop_Inputs!$A$2:$A$29,0),G1403+1))*H1403)</f>
        <v>7071639</v>
      </c>
      <c r="J1403" s="20" t="n">
        <f aca="false">I1403/F1403</f>
        <v>3535819.5</v>
      </c>
      <c r="K1403" s="21" t="n">
        <f aca="false">D1403/(D1403+E1403)</f>
        <v>0.635802469135803</v>
      </c>
      <c r="L1403" s="21" t="n">
        <f aca="false">AVERAGEIFS($K$2:$K$2705,$B$2:$B$2705,B1403)</f>
        <v>0.499880528331726</v>
      </c>
      <c r="M1403" s="21" t="n">
        <f aca="false">K1403-L1403</f>
        <v>0.135921940804076</v>
      </c>
      <c r="N1403" s="21" t="n">
        <f aca="false">LN(J1403)</f>
        <v>15.0784556550567</v>
      </c>
      <c r="O1403" s="21" t="n">
        <f aca="false">AVERAGEIFS($N$2:$N$2705,$B$2:$B$2705,B1403)</f>
        <v>13.6344346076486</v>
      </c>
      <c r="P1403" s="21" t="n">
        <f aca="false">N1403-O1403</f>
        <v>1.44402104740802</v>
      </c>
      <c r="Q1403" s="7" t="n">
        <v>0</v>
      </c>
      <c r="R1403" s="3" t="n">
        <f aca="false">IF(AND(Q1403=1,B1403-_xlfn.MINIFS($B$2:$B$2705,$A$2:$A$2705,A1403)&lt;10),1,0)</f>
        <v>0</v>
      </c>
      <c r="S1403" s="7" t="n">
        <v>1</v>
      </c>
      <c r="T1403" s="3" t="n">
        <f aca="false">_xlfn.MINIFS($B$2:$B$2705,$A$2:$A$2705,A1403)</f>
        <v>1903</v>
      </c>
      <c r="U1403" s="3" t="n">
        <f aca="false">B1403-T1403</f>
        <v>77</v>
      </c>
      <c r="V1403" s="3" t="str">
        <f aca="false">INDEX(Pop_Inputs!$Q$2:$Q$29,MATCH(C1403,Pop_Inputs!$A$2:$A$29,0))</f>
        <v>Northeast</v>
      </c>
      <c r="W1403" s="30"/>
      <c r="X1403" s="3" t="str">
        <f aca="false">IF(W1403="","",LN(W1403))</f>
        <v/>
      </c>
      <c r="Y1403" s="3" t="str">
        <f aca="false">IF(X1403="","",X1403-AVERAGEIFS($X$2:$X$2705,$B$2:$B$2705,B1403))</f>
        <v/>
      </c>
      <c r="Z1403" s="21" t="n">
        <f aca="false">P1403</f>
        <v>1.44402104740802</v>
      </c>
      <c r="AA1403" s="3" t="n">
        <f aca="false">R1403</f>
        <v>0</v>
      </c>
      <c r="AB1403" s="21" t="n">
        <f aca="false">P1403</f>
        <v>1.44402104740802</v>
      </c>
      <c r="AC1403" s="3" t="str">
        <f aca="false">Y1403</f>
        <v/>
      </c>
      <c r="AD1403" s="3" t="n">
        <f aca="false">R1403</f>
        <v>0</v>
      </c>
    </row>
    <row r="1404" customFormat="false" ht="15" hidden="false" customHeight="true" outlineLevel="0" collapsed="false">
      <c r="A1404" s="7" t="s">
        <v>69</v>
      </c>
      <c r="B1404" s="7" t="n">
        <v>1980</v>
      </c>
      <c r="C1404" s="7" t="s">
        <v>253</v>
      </c>
      <c r="D1404" s="7" t="n">
        <v>83</v>
      </c>
      <c r="E1404" s="7" t="n">
        <v>79</v>
      </c>
      <c r="F1404" s="3" t="n">
        <f aca="false">COUNTIFS($B$2:$B$2705,B1404,$C$2:$C$2705,C1404)</f>
        <v>1</v>
      </c>
      <c r="G1404" s="3" t="n">
        <f aca="false">MIN(INT((MIN(B1404,2020)-1900)/10)+1,12)</f>
        <v>9</v>
      </c>
      <c r="H1404" s="3" t="n">
        <f aca="false">(MIN(B1404,2020)-1900-10*(G1404-1))/10</f>
        <v>0</v>
      </c>
      <c r="I1404" s="20" t="n">
        <f aca="false">EXP(LN(INDEX(Pop_Inputs!$B$2:$N$29,MATCH(C1404,Pop_Inputs!$A$2:$A$29,0),G1404))*(1-H1404)+LN(INDEX(Pop_Inputs!$B$2:$N$29,MATCH(C1404,Pop_Inputs!$A$2:$A$29,0),G1404+1))*H1404)</f>
        <v>339337</v>
      </c>
      <c r="J1404" s="20" t="n">
        <f aca="false">I1404/F1404</f>
        <v>339337</v>
      </c>
      <c r="K1404" s="21" t="n">
        <f aca="false">D1404/(D1404+E1404)</f>
        <v>0.512345679012346</v>
      </c>
      <c r="L1404" s="21" t="n">
        <f aca="false">AVERAGEIFS($K$2:$K$2705,$B$2:$B$2705,B1404)</f>
        <v>0.499880528331726</v>
      </c>
      <c r="M1404" s="21" t="n">
        <f aca="false">K1404-L1404</f>
        <v>0.0124651506806193</v>
      </c>
      <c r="N1404" s="21" t="n">
        <f aca="false">LN(J1404)</f>
        <v>12.7347489928671</v>
      </c>
      <c r="O1404" s="21" t="n">
        <f aca="false">AVERAGEIFS($N$2:$N$2705,$B$2:$B$2705,B1404)</f>
        <v>13.6344346076486</v>
      </c>
      <c r="P1404" s="21" t="n">
        <f aca="false">N1404-O1404</f>
        <v>-0.899685614781548</v>
      </c>
      <c r="Q1404" s="7" t="n">
        <v>0</v>
      </c>
      <c r="R1404" s="3" t="n">
        <f aca="false">IF(AND(Q1404=1,B1404-_xlfn.MINIFS($B$2:$B$2705,$A$2:$A$2705,A1404)&lt;10),1,0)</f>
        <v>0</v>
      </c>
      <c r="S1404" s="7" t="n">
        <v>0</v>
      </c>
      <c r="T1404" s="3" t="n">
        <f aca="false">_xlfn.MINIFS($B$2:$B$2705,$A$2:$A$2705,A1404)</f>
        <v>1901</v>
      </c>
      <c r="U1404" s="3" t="n">
        <f aca="false">B1404-T1404</f>
        <v>79</v>
      </c>
      <c r="V1404" s="3" t="str">
        <f aca="false">INDEX(Pop_Inputs!$Q$2:$Q$29,MATCH(C1404,Pop_Inputs!$A$2:$A$29,0))</f>
        <v>West</v>
      </c>
      <c r="W1404" s="30"/>
      <c r="X1404" s="3" t="str">
        <f aca="false">IF(W1404="","",LN(W1404))</f>
        <v/>
      </c>
      <c r="Y1404" s="3" t="str">
        <f aca="false">IF(X1404="","",X1404-AVERAGEIFS($X$2:$X$2705,$B$2:$B$2705,B1404))</f>
        <v/>
      </c>
      <c r="Z1404" s="21" t="n">
        <f aca="false">P1404</f>
        <v>-0.899685614781548</v>
      </c>
      <c r="AA1404" s="3" t="n">
        <f aca="false">R1404</f>
        <v>0</v>
      </c>
      <c r="AB1404" s="21" t="n">
        <f aca="false">P1404</f>
        <v>-0.899685614781548</v>
      </c>
      <c r="AC1404" s="3" t="str">
        <f aca="false">Y1404</f>
        <v/>
      </c>
      <c r="AD1404" s="3" t="n">
        <f aca="false">R1404</f>
        <v>0</v>
      </c>
    </row>
    <row r="1405" customFormat="false" ht="15" hidden="false" customHeight="true" outlineLevel="0" collapsed="false">
      <c r="A1405" s="7" t="s">
        <v>60</v>
      </c>
      <c r="B1405" s="7" t="n">
        <v>1980</v>
      </c>
      <c r="C1405" s="7" t="s">
        <v>146</v>
      </c>
      <c r="D1405" s="7" t="n">
        <v>91</v>
      </c>
      <c r="E1405" s="7" t="n">
        <v>71</v>
      </c>
      <c r="F1405" s="3" t="n">
        <f aca="false">COUNTIFS($B$2:$B$2705,B1405,$C$2:$C$2705,C1405)</f>
        <v>1</v>
      </c>
      <c r="G1405" s="3" t="n">
        <f aca="false">MIN(INT((MIN(B1405,2020)-1900)/10)+1,12)</f>
        <v>9</v>
      </c>
      <c r="H1405" s="3" t="n">
        <f aca="false">(MIN(B1405,2020)-1900-10*(G1405-1))/10</f>
        <v>0</v>
      </c>
      <c r="I1405" s="20" t="n">
        <f aca="false">EXP(LN(INDEX(Pop_Inputs!$B$2:$N$29,MATCH(C1405,Pop_Inputs!$A$2:$A$29,0),G1405))*(1-H1405)+LN(INDEX(Pop_Inputs!$B$2:$N$29,MATCH(C1405,Pop_Inputs!$A$2:$A$29,0),G1405+1))*H1405)</f>
        <v>1688210</v>
      </c>
      <c r="J1405" s="20" t="n">
        <f aca="false">I1405/F1405</f>
        <v>1688210</v>
      </c>
      <c r="K1405" s="21" t="n">
        <f aca="false">D1405/(D1405+E1405)</f>
        <v>0.561728395061728</v>
      </c>
      <c r="L1405" s="21" t="n">
        <f aca="false">AVERAGEIFS($K$2:$K$2705,$B$2:$B$2705,B1405)</f>
        <v>0.499880528331726</v>
      </c>
      <c r="M1405" s="21" t="n">
        <f aca="false">K1405-L1405</f>
        <v>0.061847866730002</v>
      </c>
      <c r="N1405" s="21" t="n">
        <f aca="false">LN(J1405)</f>
        <v>14.339179353983</v>
      </c>
      <c r="O1405" s="21" t="n">
        <f aca="false">AVERAGEIFS($N$2:$N$2705,$B$2:$B$2705,B1405)</f>
        <v>13.6344346076486</v>
      </c>
      <c r="P1405" s="21" t="n">
        <f aca="false">N1405-O1405</f>
        <v>0.704744746334349</v>
      </c>
      <c r="Q1405" s="7" t="n">
        <v>0</v>
      </c>
      <c r="R1405" s="3" t="n">
        <f aca="false">IF(AND(Q1405=1,B1405-_xlfn.MINIFS($B$2:$B$2705,$A$2:$A$2705,A1405)&lt;10),1,0)</f>
        <v>0</v>
      </c>
      <c r="S1405" s="7" t="n">
        <v>0</v>
      </c>
      <c r="T1405" s="3" t="n">
        <f aca="false">_xlfn.MINIFS($B$2:$B$2705,$A$2:$A$2705,A1405)</f>
        <v>1901</v>
      </c>
      <c r="U1405" s="3" t="n">
        <f aca="false">B1405-T1405</f>
        <v>79</v>
      </c>
      <c r="V1405" s="3" t="str">
        <f aca="false">INDEX(Pop_Inputs!$Q$2:$Q$29,MATCH(C1405,Pop_Inputs!$A$2:$A$29,0))</f>
        <v>Northeast</v>
      </c>
      <c r="W1405" s="30"/>
      <c r="X1405" s="3" t="str">
        <f aca="false">IF(W1405="","",LN(W1405))</f>
        <v/>
      </c>
      <c r="Y1405" s="3" t="str">
        <f aca="false">IF(X1405="","",X1405-AVERAGEIFS($X$2:$X$2705,$B$2:$B$2705,B1405))</f>
        <v/>
      </c>
      <c r="Z1405" s="21" t="n">
        <f aca="false">P1405</f>
        <v>0.704744746334349</v>
      </c>
      <c r="AA1405" s="3" t="n">
        <f aca="false">R1405</f>
        <v>0</v>
      </c>
      <c r="AB1405" s="21" t="n">
        <f aca="false">P1405</f>
        <v>0.704744746334349</v>
      </c>
      <c r="AC1405" s="3" t="str">
        <f aca="false">Y1405</f>
        <v/>
      </c>
      <c r="AD1405" s="3" t="n">
        <f aca="false">R1405</f>
        <v>0</v>
      </c>
    </row>
    <row r="1406" customFormat="false" ht="15" hidden="false" customHeight="true" outlineLevel="0" collapsed="false">
      <c r="A1406" s="7" t="s">
        <v>58</v>
      </c>
      <c r="B1406" s="7" t="n">
        <v>1980</v>
      </c>
      <c r="C1406" s="7" t="s">
        <v>144</v>
      </c>
      <c r="D1406" s="7" t="n">
        <v>83</v>
      </c>
      <c r="E1406" s="7" t="n">
        <v>79</v>
      </c>
      <c r="F1406" s="3" t="n">
        <f aca="false">COUNTIFS($B$2:$B$2705,B1406,$C$2:$C$2705,C1406)</f>
        <v>1</v>
      </c>
      <c r="G1406" s="3" t="n">
        <f aca="false">MIN(INT((MIN(B1406,2020)-1900)/10)+1,12)</f>
        <v>9</v>
      </c>
      <c r="H1406" s="3" t="n">
        <f aca="false">(MIN(B1406,2020)-1900-10*(G1406-1))/10</f>
        <v>0</v>
      </c>
      <c r="I1406" s="20" t="n">
        <f aca="false">EXP(LN(INDEX(Pop_Inputs!$B$2:$N$29,MATCH(C1406,Pop_Inputs!$A$2:$A$29,0),G1406))*(1-H1406)+LN(INDEX(Pop_Inputs!$B$2:$N$29,MATCH(C1406,Pop_Inputs!$A$2:$A$29,0),G1406+1))*H1406)</f>
        <v>423938</v>
      </c>
      <c r="J1406" s="20" t="n">
        <f aca="false">I1406/F1406</f>
        <v>423938</v>
      </c>
      <c r="K1406" s="21" t="n">
        <f aca="false">D1406/(D1406+E1406)</f>
        <v>0.512345679012346</v>
      </c>
      <c r="L1406" s="21" t="n">
        <f aca="false">AVERAGEIFS($K$2:$K$2705,$B$2:$B$2705,B1406)</f>
        <v>0.499880528331726</v>
      </c>
      <c r="M1406" s="21" t="n">
        <f aca="false">K1406-L1406</f>
        <v>0.0124651506806193</v>
      </c>
      <c r="N1406" s="21" t="n">
        <f aca="false">LN(J1406)</f>
        <v>12.9573424971069</v>
      </c>
      <c r="O1406" s="21" t="n">
        <f aca="false">AVERAGEIFS($N$2:$N$2705,$B$2:$B$2705,B1406)</f>
        <v>13.6344346076486</v>
      </c>
      <c r="P1406" s="21" t="n">
        <f aca="false">N1406-O1406</f>
        <v>-0.677092110541771</v>
      </c>
      <c r="Q1406" s="7" t="n">
        <v>0</v>
      </c>
      <c r="R1406" s="3" t="n">
        <f aca="false">IF(AND(Q1406=1,B1406-_xlfn.MINIFS($B$2:$B$2705,$A$2:$A$2705,A1406)&lt;10),1,0)</f>
        <v>0</v>
      </c>
      <c r="S1406" s="7" t="n">
        <v>0</v>
      </c>
      <c r="T1406" s="3" t="n">
        <f aca="false">_xlfn.MINIFS($B$2:$B$2705,$A$2:$A$2705,A1406)</f>
        <v>1901</v>
      </c>
      <c r="U1406" s="3" t="n">
        <f aca="false">B1406-T1406</f>
        <v>79</v>
      </c>
      <c r="V1406" s="3" t="str">
        <f aca="false">INDEX(Pop_Inputs!$Q$2:$Q$29,MATCH(C1406,Pop_Inputs!$A$2:$A$29,0))</f>
        <v>Northeast</v>
      </c>
      <c r="W1406" s="30"/>
      <c r="X1406" s="3" t="str">
        <f aca="false">IF(W1406="","",LN(W1406))</f>
        <v/>
      </c>
      <c r="Y1406" s="3" t="str">
        <f aca="false">IF(X1406="","",X1406-AVERAGEIFS($X$2:$X$2705,$B$2:$B$2705,B1406))</f>
        <v/>
      </c>
      <c r="Z1406" s="21" t="n">
        <f aca="false">P1406</f>
        <v>-0.677092110541771</v>
      </c>
      <c r="AA1406" s="3" t="n">
        <f aca="false">R1406</f>
        <v>0</v>
      </c>
      <c r="AB1406" s="21" t="n">
        <f aca="false">P1406</f>
        <v>-0.677092110541771</v>
      </c>
      <c r="AC1406" s="3" t="str">
        <f aca="false">Y1406</f>
        <v/>
      </c>
      <c r="AD1406" s="3" t="n">
        <f aca="false">R1406</f>
        <v>0</v>
      </c>
    </row>
    <row r="1407" customFormat="false" ht="15" hidden="false" customHeight="true" outlineLevel="0" collapsed="false">
      <c r="A1407" s="7" t="s">
        <v>78</v>
      </c>
      <c r="B1407" s="7" t="n">
        <v>1980</v>
      </c>
      <c r="C1407" s="7" t="s">
        <v>159</v>
      </c>
      <c r="D1407" s="7" t="n">
        <v>73</v>
      </c>
      <c r="E1407" s="7" t="n">
        <v>89</v>
      </c>
      <c r="F1407" s="3" t="n">
        <f aca="false">COUNTIFS($B$2:$B$2705,B1407,$C$2:$C$2705,C1407)</f>
        <v>1</v>
      </c>
      <c r="G1407" s="3" t="n">
        <f aca="false">MIN(INT((MIN(B1407,2020)-1900)/10)+1,12)</f>
        <v>9</v>
      </c>
      <c r="H1407" s="3" t="n">
        <f aca="false">(MIN(B1407,2020)-1900-10*(G1407-1))/10</f>
        <v>0</v>
      </c>
      <c r="I1407" s="20" t="n">
        <f aca="false">EXP(LN(INDEX(Pop_Inputs!$B$2:$N$29,MATCH(C1407,Pop_Inputs!$A$2:$A$29,0),G1407))*(1-H1407)+LN(INDEX(Pop_Inputs!$B$2:$N$29,MATCH(C1407,Pop_Inputs!$A$2:$A$29,0),G1407+1))*H1407)</f>
        <v>875538</v>
      </c>
      <c r="J1407" s="20" t="n">
        <f aca="false">I1407/F1407</f>
        <v>875538</v>
      </c>
      <c r="K1407" s="21" t="n">
        <f aca="false">D1407/(D1407+E1407)</f>
        <v>0.450617283950617</v>
      </c>
      <c r="L1407" s="21" t="n">
        <f aca="false">AVERAGEIFS($K$2:$K$2705,$B$2:$B$2705,B1407)</f>
        <v>0.499880528331726</v>
      </c>
      <c r="M1407" s="21" t="n">
        <f aca="false">K1407-L1407</f>
        <v>-0.0492632443811091</v>
      </c>
      <c r="N1407" s="21" t="n">
        <f aca="false">LN(J1407)</f>
        <v>13.6825938335354</v>
      </c>
      <c r="O1407" s="21" t="n">
        <f aca="false">AVERAGEIFS($N$2:$N$2705,$B$2:$B$2705,B1407)</f>
        <v>13.6344346076486</v>
      </c>
      <c r="P1407" s="21" t="n">
        <f aca="false">N1407-O1407</f>
        <v>0.0481592258867547</v>
      </c>
      <c r="Q1407" s="7" t="n">
        <v>1</v>
      </c>
      <c r="R1407" s="3" t="n">
        <f aca="false">IF(AND(Q1407=1,B1407-_xlfn.MINIFS($B$2:$B$2705,$A$2:$A$2705,A1407)&lt;10),1,0)</f>
        <v>0</v>
      </c>
      <c r="S1407" s="7" t="n">
        <v>0</v>
      </c>
      <c r="T1407" s="3" t="n">
        <f aca="false">_xlfn.MINIFS($B$2:$B$2705,$A$2:$A$2705,A1407)</f>
        <v>1969</v>
      </c>
      <c r="U1407" s="3" t="n">
        <f aca="false">B1407-T1407</f>
        <v>11</v>
      </c>
      <c r="V1407" s="3" t="str">
        <f aca="false">INDEX(Pop_Inputs!$Q$2:$Q$29,MATCH(C1407,Pop_Inputs!$A$2:$A$29,0))</f>
        <v>West</v>
      </c>
      <c r="W1407" s="30"/>
      <c r="X1407" s="3" t="str">
        <f aca="false">IF(W1407="","",LN(W1407))</f>
        <v/>
      </c>
      <c r="Y1407" s="3" t="str">
        <f aca="false">IF(X1407="","",X1407-AVERAGEIFS($X$2:$X$2705,$B$2:$B$2705,B1407))</f>
        <v/>
      </c>
      <c r="Z1407" s="21" t="n">
        <f aca="false">P1407</f>
        <v>0.0481592258867547</v>
      </c>
      <c r="AA1407" s="3" t="n">
        <f aca="false">R1407</f>
        <v>0</v>
      </c>
      <c r="AB1407" s="21" t="n">
        <f aca="false">P1407</f>
        <v>0.0481592258867547</v>
      </c>
      <c r="AC1407" s="3" t="str">
        <f aca="false">Y1407</f>
        <v/>
      </c>
      <c r="AD1407" s="3" t="n">
        <f aca="false">R1407</f>
        <v>0</v>
      </c>
    </row>
    <row r="1408" customFormat="false" ht="15" hidden="false" customHeight="true" outlineLevel="0" collapsed="false">
      <c r="A1408" s="7" t="s">
        <v>80</v>
      </c>
      <c r="B1408" s="7" t="n">
        <v>1980</v>
      </c>
      <c r="C1408" s="7" t="s">
        <v>161</v>
      </c>
      <c r="D1408" s="7" t="n">
        <v>59</v>
      </c>
      <c r="E1408" s="7" t="n">
        <v>103</v>
      </c>
      <c r="F1408" s="3" t="n">
        <f aca="false">COUNTIFS($B$2:$B$2705,B1408,$C$2:$C$2705,C1408)</f>
        <v>1</v>
      </c>
      <c r="G1408" s="3" t="n">
        <f aca="false">MIN(INT((MIN(B1408,2020)-1900)/10)+1,12)</f>
        <v>9</v>
      </c>
      <c r="H1408" s="3" t="n">
        <f aca="false">(MIN(B1408,2020)-1900-10*(G1408-1))/10</f>
        <v>0</v>
      </c>
      <c r="I1408" s="20" t="n">
        <f aca="false">EXP(LN(INDEX(Pop_Inputs!$B$2:$N$29,MATCH(C1408,Pop_Inputs!$A$2:$A$29,0),G1408))*(1-H1408)+LN(INDEX(Pop_Inputs!$B$2:$N$29,MATCH(C1408,Pop_Inputs!$A$2:$A$29,0),G1408+1))*H1408)</f>
        <v>493846</v>
      </c>
      <c r="J1408" s="20" t="n">
        <f aca="false">I1408/F1408</f>
        <v>493846</v>
      </c>
      <c r="K1408" s="21" t="n">
        <f aca="false">D1408/(D1408+E1408)</f>
        <v>0.364197530864198</v>
      </c>
      <c r="L1408" s="21" t="n">
        <f aca="false">AVERAGEIFS($K$2:$K$2705,$B$2:$B$2705,B1408)</f>
        <v>0.499880528331726</v>
      </c>
      <c r="M1408" s="21" t="n">
        <f aca="false">K1408-L1408</f>
        <v>-0.135682997467529</v>
      </c>
      <c r="N1408" s="21" t="n">
        <f aca="false">LN(J1408)</f>
        <v>13.1099790066781</v>
      </c>
      <c r="O1408" s="21" t="n">
        <f aca="false">AVERAGEIFS($N$2:$N$2705,$B$2:$B$2705,B1408)</f>
        <v>13.6344346076486</v>
      </c>
      <c r="P1408" s="21" t="n">
        <f aca="false">N1408-O1408</f>
        <v>-0.524455600970567</v>
      </c>
      <c r="Q1408" s="7" t="n">
        <v>1</v>
      </c>
      <c r="R1408" s="3" t="n">
        <f aca="false">IF(AND(Q1408=1,B1408-_xlfn.MINIFS($B$2:$B$2705,$A$2:$A$2705,A1408)&lt;10),1,0)</f>
        <v>1</v>
      </c>
      <c r="S1408" s="7" t="n">
        <v>0</v>
      </c>
      <c r="T1408" s="3" t="n">
        <f aca="false">_xlfn.MINIFS($B$2:$B$2705,$A$2:$A$2705,A1408)</f>
        <v>1977</v>
      </c>
      <c r="U1408" s="3" t="n">
        <f aca="false">B1408-T1408</f>
        <v>3</v>
      </c>
      <c r="V1408" s="3" t="str">
        <f aca="false">INDEX(Pop_Inputs!$Q$2:$Q$29,MATCH(C1408,Pop_Inputs!$A$2:$A$29,0))</f>
        <v>West</v>
      </c>
      <c r="W1408" s="30"/>
      <c r="X1408" s="3" t="str">
        <f aca="false">IF(W1408="","",LN(W1408))</f>
        <v/>
      </c>
      <c r="Y1408" s="3" t="str">
        <f aca="false">IF(X1408="","",X1408-AVERAGEIFS($X$2:$X$2705,$B$2:$B$2705,B1408))</f>
        <v/>
      </c>
      <c r="Z1408" s="21" t="n">
        <f aca="false">P1408</f>
        <v>-0.524455600970567</v>
      </c>
      <c r="AA1408" s="3" t="n">
        <f aca="false">R1408</f>
        <v>1</v>
      </c>
      <c r="AB1408" s="21" t="n">
        <f aca="false">P1408</f>
        <v>-0.524455600970567</v>
      </c>
      <c r="AC1408" s="3" t="str">
        <f aca="false">Y1408</f>
        <v/>
      </c>
      <c r="AD1408" s="3" t="n">
        <f aca="false">R1408</f>
        <v>1</v>
      </c>
    </row>
    <row r="1409" customFormat="false" ht="15" hidden="false" customHeight="true" outlineLevel="0" collapsed="false">
      <c r="A1409" s="7" t="s">
        <v>61</v>
      </c>
      <c r="B1409" s="7" t="n">
        <v>1980</v>
      </c>
      <c r="C1409" s="7" t="s">
        <v>147</v>
      </c>
      <c r="D1409" s="7" t="n">
        <v>75</v>
      </c>
      <c r="E1409" s="7" t="n">
        <v>86</v>
      </c>
      <c r="F1409" s="3" t="n">
        <f aca="false">COUNTIFS($B$2:$B$2705,B1409,$C$2:$C$2705,C1409)</f>
        <v>1</v>
      </c>
      <c r="G1409" s="3" t="n">
        <f aca="false">MIN(INT((MIN(B1409,2020)-1900)/10)+1,12)</f>
        <v>9</v>
      </c>
      <c r="H1409" s="3" t="n">
        <f aca="false">(MIN(B1409,2020)-1900-10*(G1409-1))/10</f>
        <v>0</v>
      </c>
      <c r="I1409" s="20" t="n">
        <f aca="false">EXP(LN(INDEX(Pop_Inputs!$B$2:$N$29,MATCH(C1409,Pop_Inputs!$A$2:$A$29,0),G1409))*(1-H1409)+LN(INDEX(Pop_Inputs!$B$2:$N$29,MATCH(C1409,Pop_Inputs!$A$2:$A$29,0),G1409+1))*H1409)</f>
        <v>678974.000000001</v>
      </c>
      <c r="J1409" s="20" t="n">
        <f aca="false">I1409/F1409</f>
        <v>678974.000000001</v>
      </c>
      <c r="K1409" s="21" t="n">
        <f aca="false">D1409/(D1409+E1409)</f>
        <v>0.46583850931677</v>
      </c>
      <c r="L1409" s="21" t="n">
        <f aca="false">AVERAGEIFS($K$2:$K$2705,$B$2:$B$2705,B1409)</f>
        <v>0.499880528331726</v>
      </c>
      <c r="M1409" s="21" t="n">
        <f aca="false">K1409-L1409</f>
        <v>-0.0340420190149562</v>
      </c>
      <c r="N1409" s="21" t="n">
        <f aca="false">LN(J1409)</f>
        <v>13.4283381142024</v>
      </c>
      <c r="O1409" s="21" t="n">
        <f aca="false">AVERAGEIFS($N$2:$N$2705,$B$2:$B$2705,B1409)</f>
        <v>13.6344346076486</v>
      </c>
      <c r="P1409" s="21" t="n">
        <f aca="false">N1409-O1409</f>
        <v>-0.206096493446257</v>
      </c>
      <c r="Q1409" s="7" t="n">
        <v>0</v>
      </c>
      <c r="R1409" s="3" t="n">
        <f aca="false">IF(AND(Q1409=1,B1409-_xlfn.MINIFS($B$2:$B$2705,$A$2:$A$2705,A1409)&lt;10),1,0)</f>
        <v>0</v>
      </c>
      <c r="S1409" s="7" t="n">
        <v>0</v>
      </c>
      <c r="T1409" s="3" t="n">
        <f aca="false">_xlfn.MINIFS($B$2:$B$2705,$A$2:$A$2705,A1409)</f>
        <v>1901</v>
      </c>
      <c r="U1409" s="3" t="n">
        <f aca="false">B1409-T1409</f>
        <v>79</v>
      </c>
      <c r="V1409" s="3" t="str">
        <f aca="false">INDEX(Pop_Inputs!$Q$2:$Q$29,MATCH(C1409,Pop_Inputs!$A$2:$A$29,0))</f>
        <v>West</v>
      </c>
      <c r="W1409" s="30"/>
      <c r="X1409" s="3" t="str">
        <f aca="false">IF(W1409="","",LN(W1409))</f>
        <v/>
      </c>
      <c r="Y1409" s="3" t="str">
        <f aca="false">IF(X1409="","",X1409-AVERAGEIFS($X$2:$X$2705,$B$2:$B$2705,B1409))</f>
        <v/>
      </c>
      <c r="Z1409" s="21" t="n">
        <f aca="false">P1409</f>
        <v>-0.206096493446257</v>
      </c>
      <c r="AA1409" s="3" t="n">
        <f aca="false">R1409</f>
        <v>0</v>
      </c>
      <c r="AB1409" s="21" t="n">
        <f aca="false">P1409</f>
        <v>-0.206096493446257</v>
      </c>
      <c r="AC1409" s="3" t="str">
        <f aca="false">Y1409</f>
        <v/>
      </c>
      <c r="AD1409" s="3" t="n">
        <f aca="false">R1409</f>
        <v>0</v>
      </c>
    </row>
    <row r="1410" customFormat="false" ht="15" hidden="false" customHeight="true" outlineLevel="0" collapsed="false">
      <c r="A1410" s="7" t="s">
        <v>59</v>
      </c>
      <c r="B1410" s="7" t="n">
        <v>1980</v>
      </c>
      <c r="C1410" s="7" t="s">
        <v>145</v>
      </c>
      <c r="D1410" s="7" t="n">
        <v>74</v>
      </c>
      <c r="E1410" s="7" t="n">
        <v>88</v>
      </c>
      <c r="F1410" s="3" t="n">
        <f aca="false">COUNTIFS($B$2:$B$2705,B1410,$C$2:$C$2705,C1410)</f>
        <v>1</v>
      </c>
      <c r="G1410" s="3" t="n">
        <f aca="false">MIN(INT((MIN(B1410,2020)-1900)/10)+1,12)</f>
        <v>9</v>
      </c>
      <c r="H1410" s="3" t="n">
        <f aca="false">(MIN(B1410,2020)-1900-10*(G1410-1))/10</f>
        <v>0</v>
      </c>
      <c r="I1410" s="20" t="n">
        <f aca="false">EXP(LN(INDEX(Pop_Inputs!$B$2:$N$29,MATCH(C1410,Pop_Inputs!$A$2:$A$29,0),G1410))*(1-H1410)+LN(INDEX(Pop_Inputs!$B$2:$N$29,MATCH(C1410,Pop_Inputs!$A$2:$A$29,0),G1410+1))*H1410)</f>
        <v>453805</v>
      </c>
      <c r="J1410" s="20" t="n">
        <f aca="false">I1410/F1410</f>
        <v>453805</v>
      </c>
      <c r="K1410" s="21" t="n">
        <f aca="false">D1410/(D1410+E1410)</f>
        <v>0.45679012345679</v>
      </c>
      <c r="L1410" s="21" t="n">
        <f aca="false">AVERAGEIFS($K$2:$K$2705,$B$2:$B$2705,B1410)</f>
        <v>0.499880528331726</v>
      </c>
      <c r="M1410" s="21" t="n">
        <f aca="false">K1410-L1410</f>
        <v>-0.0430904048749363</v>
      </c>
      <c r="N1410" s="21" t="n">
        <f aca="false">LN(J1410)</f>
        <v>13.0254228693368</v>
      </c>
      <c r="O1410" s="21" t="n">
        <f aca="false">AVERAGEIFS($N$2:$N$2705,$B$2:$B$2705,B1410)</f>
        <v>13.6344346076486</v>
      </c>
      <c r="P1410" s="21" t="n">
        <f aca="false">N1410-O1410</f>
        <v>-0.609011738311832</v>
      </c>
      <c r="Q1410" s="7" t="n">
        <v>0</v>
      </c>
      <c r="R1410" s="3" t="n">
        <f aca="false">IF(AND(Q1410=1,B1410-_xlfn.MINIFS($B$2:$B$2705,$A$2:$A$2705,A1410)&lt;10),1,0)</f>
        <v>0</v>
      </c>
      <c r="S1410" s="7" t="n">
        <v>0</v>
      </c>
      <c r="T1410" s="3" t="n">
        <f aca="false">_xlfn.MINIFS($B$2:$B$2705,$A$2:$A$2705,A1410)</f>
        <v>1901</v>
      </c>
      <c r="U1410" s="3" t="n">
        <f aca="false">B1410-T1410</f>
        <v>79</v>
      </c>
      <c r="V1410" s="3" t="str">
        <f aca="false">INDEX(Pop_Inputs!$Q$2:$Q$29,MATCH(C1410,Pop_Inputs!$A$2:$A$29,0))</f>
        <v>Midwest</v>
      </c>
      <c r="W1410" s="30"/>
      <c r="X1410" s="3" t="str">
        <f aca="false">IF(W1410="","",LN(W1410))</f>
        <v/>
      </c>
      <c r="Y1410" s="3" t="str">
        <f aca="false">IF(X1410="","",X1410-AVERAGEIFS($X$2:$X$2705,$B$2:$B$2705,B1410))</f>
        <v/>
      </c>
      <c r="Z1410" s="21" t="n">
        <f aca="false">P1410</f>
        <v>-0.609011738311832</v>
      </c>
      <c r="AA1410" s="3" t="n">
        <f aca="false">R1410</f>
        <v>0</v>
      </c>
      <c r="AB1410" s="21" t="n">
        <f aca="false">P1410</f>
        <v>-0.609011738311832</v>
      </c>
      <c r="AC1410" s="3" t="str">
        <f aca="false">Y1410</f>
        <v/>
      </c>
      <c r="AD1410" s="3" t="n">
        <f aca="false">R1410</f>
        <v>0</v>
      </c>
    </row>
    <row r="1411" customFormat="false" ht="15" hidden="false" customHeight="true" outlineLevel="0" collapsed="false">
      <c r="A1411" s="7" t="s">
        <v>73</v>
      </c>
      <c r="B1411" s="7" t="n">
        <v>1980</v>
      </c>
      <c r="C1411" s="7" t="s">
        <v>155</v>
      </c>
      <c r="D1411" s="7" t="n">
        <v>76</v>
      </c>
      <c r="E1411" s="7" t="n">
        <v>85</v>
      </c>
      <c r="F1411" s="3" t="n">
        <f aca="false">COUNTIFS($B$2:$B$2705,B1411,$C$2:$C$2705,C1411)</f>
        <v>1</v>
      </c>
      <c r="G1411" s="3" t="n">
        <f aca="false">MIN(INT((MIN(B1411,2020)-1900)/10)+1,12)</f>
        <v>9</v>
      </c>
      <c r="H1411" s="3" t="n">
        <f aca="false">(MIN(B1411,2020)-1900-10*(G1411-1))/10</f>
        <v>0</v>
      </c>
      <c r="I1411" s="20" t="n">
        <f aca="false">EXP(LN(INDEX(Pop_Inputs!$B$2:$N$29,MATCH(C1411,Pop_Inputs!$A$2:$A$29,0),G1411))*(1-H1411)+LN(INDEX(Pop_Inputs!$B$2:$N$29,MATCH(C1411,Pop_Inputs!$A$2:$A$29,0),G1411+1))*H1411)</f>
        <v>904078</v>
      </c>
      <c r="J1411" s="20" t="n">
        <f aca="false">I1411/F1411</f>
        <v>904078</v>
      </c>
      <c r="K1411" s="21" t="n">
        <f aca="false">D1411/(D1411+E1411)</f>
        <v>0.472049689440994</v>
      </c>
      <c r="L1411" s="21" t="n">
        <f aca="false">AVERAGEIFS($K$2:$K$2705,$B$2:$B$2705,B1411)</f>
        <v>0.499880528331726</v>
      </c>
      <c r="M1411" s="21" t="n">
        <f aca="false">K1411-L1411</f>
        <v>-0.0278308388907326</v>
      </c>
      <c r="N1411" s="21" t="n">
        <f aca="false">LN(J1411)</f>
        <v>13.714670918838</v>
      </c>
      <c r="O1411" s="21" t="n">
        <f aca="false">AVERAGEIFS($N$2:$N$2705,$B$2:$B$2705,B1411)</f>
        <v>13.6344346076486</v>
      </c>
      <c r="P1411" s="21" t="n">
        <f aca="false">N1411-O1411</f>
        <v>0.0802363111893278</v>
      </c>
      <c r="Q1411" s="7" t="n">
        <v>1</v>
      </c>
      <c r="R1411" s="3" t="n">
        <f aca="false">IF(AND(Q1411=1,B1411-_xlfn.MINIFS($B$2:$B$2705,$A$2:$A$2705,A1411)&lt;10),1,0)</f>
        <v>0</v>
      </c>
      <c r="S1411" s="7" t="n">
        <v>0</v>
      </c>
      <c r="T1411" s="3" t="n">
        <f aca="false">_xlfn.MINIFS($B$2:$B$2705,$A$2:$A$2705,A1411)</f>
        <v>1961</v>
      </c>
      <c r="U1411" s="3" t="n">
        <f aca="false">B1411-T1411</f>
        <v>19</v>
      </c>
      <c r="V1411" s="3" t="str">
        <f aca="false">INDEX(Pop_Inputs!$Q$2:$Q$29,MATCH(C1411,Pop_Inputs!$A$2:$A$29,0))</f>
        <v>South</v>
      </c>
      <c r="W1411" s="30"/>
      <c r="X1411" s="3" t="str">
        <f aca="false">IF(W1411="","",LN(W1411))</f>
        <v/>
      </c>
      <c r="Y1411" s="3" t="str">
        <f aca="false">IF(X1411="","",X1411-AVERAGEIFS($X$2:$X$2705,$B$2:$B$2705,B1411))</f>
        <v/>
      </c>
      <c r="Z1411" s="21" t="n">
        <f aca="false">P1411</f>
        <v>0.0802363111893278</v>
      </c>
      <c r="AA1411" s="3" t="n">
        <f aca="false">R1411</f>
        <v>0</v>
      </c>
      <c r="AB1411" s="21" t="n">
        <f aca="false">P1411</f>
        <v>0.0802363111893278</v>
      </c>
      <c r="AC1411" s="3" t="str">
        <f aca="false">Y1411</f>
        <v/>
      </c>
      <c r="AD1411" s="3" t="n">
        <f aca="false">R1411</f>
        <v>0</v>
      </c>
    </row>
    <row r="1412" customFormat="false" ht="15" hidden="false" customHeight="true" outlineLevel="0" collapsed="false">
      <c r="A1412" s="7" t="s">
        <v>81</v>
      </c>
      <c r="B1412" s="7" t="n">
        <v>1980</v>
      </c>
      <c r="C1412" s="7" t="s">
        <v>162</v>
      </c>
      <c r="D1412" s="7" t="n">
        <v>67</v>
      </c>
      <c r="E1412" s="7" t="n">
        <v>95</v>
      </c>
      <c r="F1412" s="3" t="n">
        <f aca="false">COUNTIFS($B$2:$B$2705,B1412,$C$2:$C$2705,C1412)</f>
        <v>1</v>
      </c>
      <c r="G1412" s="3" t="n">
        <f aca="false">MIN(INT((MIN(B1412,2020)-1900)/10)+1,12)</f>
        <v>9</v>
      </c>
      <c r="H1412" s="3" t="n">
        <f aca="false">(MIN(B1412,2020)-1900-10*(G1412-1))/10</f>
        <v>0</v>
      </c>
      <c r="I1412" s="20" t="n">
        <f aca="false">EXP(LN(INDEX(Pop_Inputs!$B$2:$N$29,MATCH(C1412,Pop_Inputs!$A$2:$A$29,0),G1412))*(1-H1412)+LN(INDEX(Pop_Inputs!$B$2:$N$29,MATCH(C1412,Pop_Inputs!$A$2:$A$29,0),G1412+1))*H1412)</f>
        <v>599217</v>
      </c>
      <c r="J1412" s="20" t="n">
        <f aca="false">I1412/F1412</f>
        <v>599217</v>
      </c>
      <c r="K1412" s="21" t="n">
        <f aca="false">D1412/(D1412+E1412)</f>
        <v>0.41358024691358</v>
      </c>
      <c r="L1412" s="21" t="n">
        <f aca="false">AVERAGEIFS($K$2:$K$2705,$B$2:$B$2705,B1412)</f>
        <v>0.499880528331726</v>
      </c>
      <c r="M1412" s="21" t="n">
        <f aca="false">K1412-L1412</f>
        <v>-0.0863002814181462</v>
      </c>
      <c r="N1412" s="21" t="n">
        <f aca="false">LN(J1412)</f>
        <v>13.3033790819442</v>
      </c>
      <c r="O1412" s="21" t="n">
        <f aca="false">AVERAGEIFS($N$2:$N$2705,$B$2:$B$2705,B1412)</f>
        <v>13.6344346076486</v>
      </c>
      <c r="P1412" s="21" t="n">
        <f aca="false">N1412-O1412</f>
        <v>-0.331055525704405</v>
      </c>
      <c r="Q1412" s="7" t="n">
        <v>1</v>
      </c>
      <c r="R1412" s="3" t="n">
        <f aca="false">IF(AND(Q1412=1,B1412-_xlfn.MINIFS($B$2:$B$2705,$A$2:$A$2705,A1412)&lt;10),1,0)</f>
        <v>1</v>
      </c>
      <c r="S1412" s="7" t="n">
        <v>0</v>
      </c>
      <c r="T1412" s="3" t="n">
        <f aca="false">_xlfn.MINIFS($B$2:$B$2705,$A$2:$A$2705,A1412)</f>
        <v>1977</v>
      </c>
      <c r="U1412" s="3" t="n">
        <f aca="false">B1412-T1412</f>
        <v>3</v>
      </c>
      <c r="V1412" s="3" t="str">
        <f aca="false">INDEX(Pop_Inputs!$Q$2:$Q$29,MATCH(C1412,Pop_Inputs!$A$2:$A$29,0))</f>
        <v>Canada</v>
      </c>
      <c r="W1412" s="30"/>
      <c r="X1412" s="3" t="str">
        <f aca="false">IF(W1412="","",LN(W1412))</f>
        <v/>
      </c>
      <c r="Y1412" s="3" t="str">
        <f aca="false">IF(X1412="","",X1412-AVERAGEIFS($X$2:$X$2705,$B$2:$B$2705,B1412))</f>
        <v/>
      </c>
      <c r="Z1412" s="21" t="n">
        <f aca="false">P1412</f>
        <v>-0.331055525704405</v>
      </c>
      <c r="AA1412" s="3" t="n">
        <f aca="false">R1412</f>
        <v>1</v>
      </c>
      <c r="AB1412" s="21" t="n">
        <f aca="false">P1412</f>
        <v>-0.331055525704405</v>
      </c>
      <c r="AC1412" s="3" t="str">
        <f aca="false">Y1412</f>
        <v/>
      </c>
      <c r="AD1412" s="3" t="n">
        <f aca="false">R1412</f>
        <v>1</v>
      </c>
    </row>
    <row r="1413" customFormat="false" ht="15" hidden="false" customHeight="true" outlineLevel="0" collapsed="false">
      <c r="A1413" s="7" t="s">
        <v>79</v>
      </c>
      <c r="B1413" s="7" t="n">
        <v>1980</v>
      </c>
      <c r="C1413" s="7" t="s">
        <v>254</v>
      </c>
      <c r="D1413" s="7" t="n">
        <v>90</v>
      </c>
      <c r="E1413" s="7" t="n">
        <v>72</v>
      </c>
      <c r="F1413" s="3" t="n">
        <f aca="false">COUNTIFS($B$2:$B$2705,B1413,$C$2:$C$2705,C1413)</f>
        <v>1</v>
      </c>
      <c r="G1413" s="3" t="n">
        <f aca="false">MIN(INT((MIN(B1413,2020)-1900)/10)+1,12)</f>
        <v>9</v>
      </c>
      <c r="H1413" s="3" t="n">
        <f aca="false">(MIN(B1413,2020)-1900-10*(G1413-1))/10</f>
        <v>0</v>
      </c>
      <c r="I1413" s="20" t="n">
        <f aca="false">EXP(LN(INDEX(Pop_Inputs!$B$2:$N$29,MATCH(C1413,Pop_Inputs!$A$2:$A$29,0),G1413))*(1-H1413)+LN(INDEX(Pop_Inputs!$B$2:$N$29,MATCH(C1413,Pop_Inputs!$A$2:$A$29,0),G1413+1))*H1413)</f>
        <v>980354</v>
      </c>
      <c r="J1413" s="20" t="n">
        <f aca="false">I1413/F1413</f>
        <v>980354</v>
      </c>
      <c r="K1413" s="21" t="n">
        <f aca="false">D1413/(D1413+E1413)</f>
        <v>0.555555555555556</v>
      </c>
      <c r="L1413" s="21" t="n">
        <f aca="false">AVERAGEIFS($K$2:$K$2705,$B$2:$B$2705,B1413)</f>
        <v>0.499880528331726</v>
      </c>
      <c r="M1413" s="21" t="n">
        <f aca="false">K1413-L1413</f>
        <v>0.0556750272238292</v>
      </c>
      <c r="N1413" s="21" t="n">
        <f aca="false">LN(J1413)</f>
        <v>13.7956690099107</v>
      </c>
      <c r="O1413" s="21" t="n">
        <f aca="false">AVERAGEIFS($N$2:$N$2705,$B$2:$B$2705,B1413)</f>
        <v>13.6344346076486</v>
      </c>
      <c r="P1413" s="21" t="n">
        <f aca="false">N1413-O1413</f>
        <v>0.161234402262044</v>
      </c>
      <c r="Q1413" s="7" t="n">
        <v>1</v>
      </c>
      <c r="R1413" s="3" t="n">
        <f aca="false">IF(AND(Q1413=1,B1413-_xlfn.MINIFS($B$2:$B$2705,$A$2:$A$2705,A1413)&lt;10),1,0)</f>
        <v>0</v>
      </c>
      <c r="S1413" s="7" t="n">
        <v>0</v>
      </c>
      <c r="T1413" s="3" t="n">
        <f aca="false">_xlfn.MINIFS($B$2:$B$2705,$A$2:$A$2705,A1413)</f>
        <v>1969</v>
      </c>
      <c r="U1413" s="3" t="n">
        <f aca="false">B1413-T1413</f>
        <v>11</v>
      </c>
      <c r="V1413" s="3" t="str">
        <f aca="false">INDEX(Pop_Inputs!$Q$2:$Q$29,MATCH(C1413,Pop_Inputs!$A$2:$A$29,0))</f>
        <v>Canada</v>
      </c>
      <c r="W1413" s="30"/>
      <c r="X1413" s="3" t="str">
        <f aca="false">IF(W1413="","",LN(W1413))</f>
        <v/>
      </c>
      <c r="Y1413" s="3" t="str">
        <f aca="false">IF(X1413="","",X1413-AVERAGEIFS($X$2:$X$2705,$B$2:$B$2705,B1413))</f>
        <v/>
      </c>
      <c r="Z1413" s="21" t="n">
        <f aca="false">P1413</f>
        <v>0.161234402262044</v>
      </c>
      <c r="AA1413" s="3" t="n">
        <f aca="false">R1413</f>
        <v>0</v>
      </c>
      <c r="AB1413" s="21" t="n">
        <f aca="false">P1413</f>
        <v>0.161234402262044</v>
      </c>
      <c r="AC1413" s="3" t="str">
        <f aca="false">Y1413</f>
        <v/>
      </c>
      <c r="AD1413" s="3" t="n">
        <f aca="false">R1413</f>
        <v>0</v>
      </c>
    </row>
    <row r="1414" customFormat="false" ht="15" hidden="false" customHeight="true" outlineLevel="0" collapsed="false">
      <c r="A1414" s="7" t="s">
        <v>71</v>
      </c>
      <c r="B1414" s="7" t="n">
        <v>1981</v>
      </c>
      <c r="C1414" s="7" t="s">
        <v>148</v>
      </c>
      <c r="D1414" s="7" t="n">
        <v>51</v>
      </c>
      <c r="E1414" s="7" t="n">
        <v>59</v>
      </c>
      <c r="F1414" s="3" t="n">
        <f aca="false">COUNTIFS($B$2:$B$2705,B1414,$C$2:$C$2705,C1414)</f>
        <v>2</v>
      </c>
      <c r="G1414" s="3" t="n">
        <f aca="false">MIN(INT((MIN(B1414,2020)-1900)/10)+1,12)</f>
        <v>9</v>
      </c>
      <c r="H1414" s="3" t="n">
        <f aca="false">(MIN(B1414,2020)-1900-10*(G1414-1))/10</f>
        <v>0.1</v>
      </c>
      <c r="I1414" s="20" t="n">
        <f aca="false">EXP(LN(INDEX(Pop_Inputs!$B$2:$N$29,MATCH(C1414,Pop_Inputs!$A$2:$A$29,0),G1414))*(1-H1414)+LN(INDEX(Pop_Inputs!$B$2:$N$29,MATCH(C1414,Pop_Inputs!$A$2:$A$29,0),G1414+1))*H1414)</f>
        <v>3015027.43507241</v>
      </c>
      <c r="J1414" s="20" t="n">
        <f aca="false">I1414/F1414</f>
        <v>1507513.71753621</v>
      </c>
      <c r="K1414" s="21" t="n">
        <f aca="false">D1414/(D1414+E1414)</f>
        <v>0.463636363636364</v>
      </c>
      <c r="L1414" s="21" t="n">
        <f aca="false">AVERAGEIFS($K$2:$K$2705,$B$2:$B$2705,B1414)</f>
        <v>0.499684230909339</v>
      </c>
      <c r="M1414" s="21" t="n">
        <f aca="false">K1414-L1414</f>
        <v>-0.0360478672729752</v>
      </c>
      <c r="N1414" s="21" t="n">
        <f aca="false">LN(J1414)</f>
        <v>14.2259723070686</v>
      </c>
      <c r="O1414" s="21" t="n">
        <f aca="false">AVERAGEIFS($N$2:$N$2705,$B$2:$B$2705,B1414)</f>
        <v>13.6346527039019</v>
      </c>
      <c r="P1414" s="21" t="n">
        <f aca="false">N1414-O1414</f>
        <v>0.591319603166705</v>
      </c>
      <c r="Q1414" s="7" t="n">
        <v>1</v>
      </c>
      <c r="R1414" s="3" t="n">
        <f aca="false">IF(AND(Q1414=1,B1414-_xlfn.MINIFS($B$2:$B$2705,$A$2:$A$2705,A1414)&lt;10),1,0)</f>
        <v>0</v>
      </c>
      <c r="S1414" s="7" t="n">
        <v>0</v>
      </c>
      <c r="T1414" s="3" t="n">
        <f aca="false">_xlfn.MINIFS($B$2:$B$2705,$A$2:$A$2705,A1414)</f>
        <v>1961</v>
      </c>
      <c r="U1414" s="3" t="n">
        <f aca="false">B1414-T1414</f>
        <v>20</v>
      </c>
      <c r="V1414" s="3" t="str">
        <f aca="false">INDEX(Pop_Inputs!$Q$2:$Q$29,MATCH(C1414,Pop_Inputs!$A$2:$A$29,0))</f>
        <v>West</v>
      </c>
      <c r="W1414" s="30"/>
      <c r="X1414" s="3" t="str">
        <f aca="false">IF(W1414="","",LN(W1414))</f>
        <v/>
      </c>
      <c r="Y1414" s="3" t="str">
        <f aca="false">IF(X1414="","",X1414-AVERAGEIFS($X$2:$X$2705,$B$2:$B$2705,B1414))</f>
        <v/>
      </c>
      <c r="Z1414" s="21" t="n">
        <f aca="false">P1414</f>
        <v>0.591319603166705</v>
      </c>
      <c r="AA1414" s="3" t="n">
        <f aca="false">R1414</f>
        <v>0</v>
      </c>
      <c r="AB1414" s="21" t="n">
        <f aca="false">P1414</f>
        <v>0.591319603166705</v>
      </c>
      <c r="AC1414" s="3" t="str">
        <f aca="false">Y1414</f>
        <v/>
      </c>
      <c r="AD1414" s="3" t="n">
        <f aca="false">R1414</f>
        <v>0</v>
      </c>
    </row>
    <row r="1415" customFormat="false" ht="15" hidden="false" customHeight="true" outlineLevel="0" collapsed="false">
      <c r="A1415" s="7" t="s">
        <v>54</v>
      </c>
      <c r="B1415" s="7" t="n">
        <v>1981</v>
      </c>
      <c r="C1415" s="7" t="s">
        <v>141</v>
      </c>
      <c r="D1415" s="7" t="n">
        <v>50</v>
      </c>
      <c r="E1415" s="7" t="n">
        <v>56</v>
      </c>
      <c r="F1415" s="3" t="n">
        <f aca="false">COUNTIFS($B$2:$B$2705,B1415,$C$2:$C$2705,C1415)</f>
        <v>1</v>
      </c>
      <c r="G1415" s="3" t="n">
        <f aca="false">MIN(INT((MIN(B1415,2020)-1900)/10)+1,12)</f>
        <v>9</v>
      </c>
      <c r="H1415" s="3" t="n">
        <f aca="false">(MIN(B1415,2020)-1900-10*(G1415-1))/10</f>
        <v>0.1</v>
      </c>
      <c r="I1415" s="20" t="n">
        <f aca="false">EXP(LN(INDEX(Pop_Inputs!$B$2:$N$29,MATCH(C1415,Pop_Inputs!$A$2:$A$29,0),G1415))*(1-H1415)+LN(INDEX(Pop_Inputs!$B$2:$N$29,MATCH(C1415,Pop_Inputs!$A$2:$A$29,0),G1415+1))*H1415)</f>
        <v>421814.75337707</v>
      </c>
      <c r="J1415" s="20" t="n">
        <f aca="false">I1415/F1415</f>
        <v>421814.75337707</v>
      </c>
      <c r="K1415" s="21" t="n">
        <f aca="false">D1415/(D1415+E1415)</f>
        <v>0.471698113207547</v>
      </c>
      <c r="L1415" s="21" t="n">
        <f aca="false">AVERAGEIFS($K$2:$K$2705,$B$2:$B$2705,B1415)</f>
        <v>0.499684230909339</v>
      </c>
      <c r="M1415" s="21" t="n">
        <f aca="false">K1415-L1415</f>
        <v>-0.0279861177017916</v>
      </c>
      <c r="N1415" s="21" t="n">
        <f aca="false">LN(J1415)</f>
        <v>12.9523215236012</v>
      </c>
      <c r="O1415" s="21" t="n">
        <f aca="false">AVERAGEIFS($N$2:$N$2705,$B$2:$B$2705,B1415)</f>
        <v>13.6346527039019</v>
      </c>
      <c r="P1415" s="21" t="n">
        <f aca="false">N1415-O1415</f>
        <v>-0.682331180300718</v>
      </c>
      <c r="Q1415" s="7" t="n">
        <v>0</v>
      </c>
      <c r="R1415" s="3" t="n">
        <f aca="false">IF(AND(Q1415=1,B1415-_xlfn.MINIFS($B$2:$B$2705,$A$2:$A$2705,A1415)&lt;10),1,0)</f>
        <v>0</v>
      </c>
      <c r="S1415" s="7" t="n">
        <v>0</v>
      </c>
      <c r="T1415" s="3" t="n">
        <f aca="false">_xlfn.MINIFS($B$2:$B$2705,$A$2:$A$2705,A1415)</f>
        <v>1901</v>
      </c>
      <c r="U1415" s="3" t="n">
        <f aca="false">B1415-T1415</f>
        <v>80</v>
      </c>
      <c r="V1415" s="3" t="str">
        <f aca="false">INDEX(Pop_Inputs!$Q$2:$Q$29,MATCH(C1415,Pop_Inputs!$A$2:$A$29,0))</f>
        <v>South</v>
      </c>
      <c r="W1415" s="30"/>
      <c r="X1415" s="3" t="str">
        <f aca="false">IF(W1415="","",LN(W1415))</f>
        <v/>
      </c>
      <c r="Y1415" s="3" t="str">
        <f aca="false">IF(X1415="","",X1415-AVERAGEIFS($X$2:$X$2705,$B$2:$B$2705,B1415))</f>
        <v/>
      </c>
      <c r="Z1415" s="21" t="n">
        <f aca="false">P1415</f>
        <v>-0.682331180300718</v>
      </c>
      <c r="AA1415" s="3" t="n">
        <f aca="false">R1415</f>
        <v>0</v>
      </c>
      <c r="AB1415" s="21" t="n">
        <f aca="false">P1415</f>
        <v>-0.682331180300718</v>
      </c>
      <c r="AC1415" s="3" t="str">
        <f aca="false">Y1415</f>
        <v/>
      </c>
      <c r="AD1415" s="3" t="n">
        <f aca="false">R1415</f>
        <v>0</v>
      </c>
    </row>
    <row r="1416" customFormat="false" ht="15" hidden="false" customHeight="true" outlineLevel="0" collapsed="false">
      <c r="A1416" s="7" t="s">
        <v>63</v>
      </c>
      <c r="B1416" s="7" t="n">
        <v>1981</v>
      </c>
      <c r="C1416" s="7" t="s">
        <v>149</v>
      </c>
      <c r="D1416" s="7" t="n">
        <v>59</v>
      </c>
      <c r="E1416" s="7" t="n">
        <v>46</v>
      </c>
      <c r="F1416" s="3" t="n">
        <f aca="false">COUNTIFS($B$2:$B$2705,B1416,$C$2:$C$2705,C1416)</f>
        <v>1</v>
      </c>
      <c r="G1416" s="3" t="n">
        <f aca="false">MIN(INT((MIN(B1416,2020)-1900)/10)+1,12)</f>
        <v>9</v>
      </c>
      <c r="H1416" s="3" t="n">
        <f aca="false">(MIN(B1416,2020)-1900-10*(G1416-1))/10</f>
        <v>0.1</v>
      </c>
      <c r="I1416" s="20" t="n">
        <f aca="false">EXP(LN(INDEX(Pop_Inputs!$B$2:$N$29,MATCH(C1416,Pop_Inputs!$A$2:$A$29,0),G1416))*(1-H1416)+LN(INDEX(Pop_Inputs!$B$2:$N$29,MATCH(C1416,Pop_Inputs!$A$2:$A$29,0),G1416+1))*H1416)</f>
        <v>781545.206962621</v>
      </c>
      <c r="J1416" s="20" t="n">
        <f aca="false">I1416/F1416</f>
        <v>781545.206962621</v>
      </c>
      <c r="K1416" s="21" t="n">
        <f aca="false">D1416/(D1416+E1416)</f>
        <v>0.561904761904762</v>
      </c>
      <c r="L1416" s="21" t="n">
        <f aca="false">AVERAGEIFS($K$2:$K$2705,$B$2:$B$2705,B1416)</f>
        <v>0.499684230909339</v>
      </c>
      <c r="M1416" s="21" t="n">
        <f aca="false">K1416-L1416</f>
        <v>0.0622205309954231</v>
      </c>
      <c r="N1416" s="21" t="n">
        <f aca="false">LN(J1416)</f>
        <v>13.5690282735719</v>
      </c>
      <c r="O1416" s="21" t="n">
        <f aca="false">AVERAGEIFS($N$2:$N$2705,$B$2:$B$2705,B1416)</f>
        <v>13.6346527039019</v>
      </c>
      <c r="P1416" s="21" t="n">
        <f aca="false">N1416-O1416</f>
        <v>-0.065624430329942</v>
      </c>
      <c r="Q1416" s="7" t="n">
        <v>0</v>
      </c>
      <c r="R1416" s="3" t="n">
        <f aca="false">IF(AND(Q1416=1,B1416-_xlfn.MINIFS($B$2:$B$2705,$A$2:$A$2705,A1416)&lt;10),1,0)</f>
        <v>0</v>
      </c>
      <c r="S1416" s="7" t="n">
        <v>0</v>
      </c>
      <c r="T1416" s="3" t="n">
        <f aca="false">_xlfn.MINIFS($B$2:$B$2705,$A$2:$A$2705,A1416)</f>
        <v>1901</v>
      </c>
      <c r="U1416" s="3" t="n">
        <f aca="false">B1416-T1416</f>
        <v>80</v>
      </c>
      <c r="V1416" s="3" t="str">
        <f aca="false">INDEX(Pop_Inputs!$Q$2:$Q$29,MATCH(C1416,Pop_Inputs!$A$2:$A$29,0))</f>
        <v>South</v>
      </c>
      <c r="W1416" s="30"/>
      <c r="X1416" s="3" t="str">
        <f aca="false">IF(W1416="","",LN(W1416))</f>
        <v/>
      </c>
      <c r="Y1416" s="3" t="str">
        <f aca="false">IF(X1416="","",X1416-AVERAGEIFS($X$2:$X$2705,$B$2:$B$2705,B1416))</f>
        <v/>
      </c>
      <c r="Z1416" s="21" t="n">
        <f aca="false">P1416</f>
        <v>-0.065624430329942</v>
      </c>
      <c r="AA1416" s="3" t="n">
        <f aca="false">R1416</f>
        <v>0</v>
      </c>
      <c r="AB1416" s="21" t="n">
        <f aca="false">P1416</f>
        <v>-0.065624430329942</v>
      </c>
      <c r="AC1416" s="3" t="str">
        <f aca="false">Y1416</f>
        <v/>
      </c>
      <c r="AD1416" s="3" t="n">
        <f aca="false">R1416</f>
        <v>0</v>
      </c>
    </row>
    <row r="1417" customFormat="false" ht="15" hidden="false" customHeight="true" outlineLevel="0" collapsed="false">
      <c r="A1417" s="7" t="s">
        <v>64</v>
      </c>
      <c r="B1417" s="7" t="n">
        <v>1981</v>
      </c>
      <c r="C1417" s="7" t="s">
        <v>150</v>
      </c>
      <c r="D1417" s="7" t="n">
        <v>59</v>
      </c>
      <c r="E1417" s="7" t="n">
        <v>49</v>
      </c>
      <c r="F1417" s="3" t="n">
        <f aca="false">COUNTIFS($B$2:$B$2705,B1417,$C$2:$C$2705,C1417)</f>
        <v>1</v>
      </c>
      <c r="G1417" s="3" t="n">
        <f aca="false">MIN(INT((MIN(B1417,2020)-1900)/10)+1,12)</f>
        <v>9</v>
      </c>
      <c r="H1417" s="3" t="n">
        <f aca="false">(MIN(B1417,2020)-1900-10*(G1417-1))/10</f>
        <v>0.1</v>
      </c>
      <c r="I1417" s="20" t="n">
        <f aca="false">EXP(LN(INDEX(Pop_Inputs!$B$2:$N$29,MATCH(C1417,Pop_Inputs!$A$2:$A$29,0),G1417))*(1-H1417)+LN(INDEX(Pop_Inputs!$B$2:$N$29,MATCH(C1417,Pop_Inputs!$A$2:$A$29,0),G1417+1))*H1417)</f>
        <v>564112.841133688</v>
      </c>
      <c r="J1417" s="20" t="n">
        <f aca="false">I1417/F1417</f>
        <v>564112.841133688</v>
      </c>
      <c r="K1417" s="21" t="n">
        <f aca="false">D1417/(D1417+E1417)</f>
        <v>0.546296296296296</v>
      </c>
      <c r="L1417" s="21" t="n">
        <f aca="false">AVERAGEIFS($K$2:$K$2705,$B$2:$B$2705,B1417)</f>
        <v>0.499684230909339</v>
      </c>
      <c r="M1417" s="21" t="n">
        <f aca="false">K1417-L1417</f>
        <v>0.0466120653869575</v>
      </c>
      <c r="N1417" s="21" t="n">
        <f aca="false">LN(J1417)</f>
        <v>13.2430095834003</v>
      </c>
      <c r="O1417" s="21" t="n">
        <f aca="false">AVERAGEIFS($N$2:$N$2705,$B$2:$B$2705,B1417)</f>
        <v>13.6346527039019</v>
      </c>
      <c r="P1417" s="21" t="n">
        <f aca="false">N1417-O1417</f>
        <v>-0.391643120501531</v>
      </c>
      <c r="Q1417" s="7" t="n">
        <v>0</v>
      </c>
      <c r="R1417" s="3" t="n">
        <f aca="false">IF(AND(Q1417=1,B1417-_xlfn.MINIFS($B$2:$B$2705,$A$2:$A$2705,A1417)&lt;10),1,0)</f>
        <v>0</v>
      </c>
      <c r="S1417" s="7" t="n">
        <v>0</v>
      </c>
      <c r="T1417" s="3" t="n">
        <f aca="false">_xlfn.MINIFS($B$2:$B$2705,$A$2:$A$2705,A1417)</f>
        <v>1901</v>
      </c>
      <c r="U1417" s="3" t="n">
        <f aca="false">B1417-T1417</f>
        <v>80</v>
      </c>
      <c r="V1417" s="3" t="str">
        <f aca="false">INDEX(Pop_Inputs!$Q$2:$Q$29,MATCH(C1417,Pop_Inputs!$A$2:$A$29,0))</f>
        <v>Northeast</v>
      </c>
      <c r="W1417" s="30"/>
      <c r="X1417" s="3" t="str">
        <f aca="false">IF(W1417="","",LN(W1417))</f>
        <v/>
      </c>
      <c r="Y1417" s="3" t="str">
        <f aca="false">IF(X1417="","",X1417-AVERAGEIFS($X$2:$X$2705,$B$2:$B$2705,B1417))</f>
        <v/>
      </c>
      <c r="Z1417" s="21" t="n">
        <f aca="false">P1417</f>
        <v>-0.391643120501531</v>
      </c>
      <c r="AA1417" s="3" t="n">
        <f aca="false">R1417</f>
        <v>0</v>
      </c>
      <c r="AB1417" s="21" t="n">
        <f aca="false">P1417</f>
        <v>-0.391643120501531</v>
      </c>
      <c r="AC1417" s="3" t="str">
        <f aca="false">Y1417</f>
        <v/>
      </c>
      <c r="AD1417" s="3" t="n">
        <f aca="false">R1417</f>
        <v>0</v>
      </c>
    </row>
    <row r="1418" customFormat="false" ht="15" hidden="false" customHeight="true" outlineLevel="0" collapsed="false">
      <c r="A1418" s="7" t="s">
        <v>56</v>
      </c>
      <c r="B1418" s="7" t="n">
        <v>1981</v>
      </c>
      <c r="C1418" s="7" t="s">
        <v>142</v>
      </c>
      <c r="D1418" s="7" t="n">
        <v>38</v>
      </c>
      <c r="E1418" s="7" t="n">
        <v>65</v>
      </c>
      <c r="F1418" s="3" t="n">
        <f aca="false">COUNTIFS($B$2:$B$2705,B1418,$C$2:$C$2705,C1418)</f>
        <v>2</v>
      </c>
      <c r="G1418" s="3" t="n">
        <f aca="false">MIN(INT((MIN(B1418,2020)-1900)/10)+1,12)</f>
        <v>9</v>
      </c>
      <c r="H1418" s="3" t="n">
        <f aca="false">(MIN(B1418,2020)-1900-10*(G1418-1))/10</f>
        <v>0.1</v>
      </c>
      <c r="I1418" s="20" t="n">
        <f aca="false">EXP(LN(INDEX(Pop_Inputs!$B$2:$N$29,MATCH(C1418,Pop_Inputs!$A$2:$A$29,0),G1418))*(1-H1418)+LN(INDEX(Pop_Inputs!$B$2:$N$29,MATCH(C1418,Pop_Inputs!$A$2:$A$29,0),G1418+1))*H1418)</f>
        <v>2982167.56464845</v>
      </c>
      <c r="J1418" s="20" t="n">
        <f aca="false">I1418/F1418</f>
        <v>1491083.78232423</v>
      </c>
      <c r="K1418" s="21" t="n">
        <f aca="false">D1418/(D1418+E1418)</f>
        <v>0.368932038834951</v>
      </c>
      <c r="L1418" s="21" t="n">
        <f aca="false">AVERAGEIFS($K$2:$K$2705,$B$2:$B$2705,B1418)</f>
        <v>0.499684230909339</v>
      </c>
      <c r="M1418" s="21" t="n">
        <f aca="false">K1418-L1418</f>
        <v>-0.130752192074387</v>
      </c>
      <c r="N1418" s="21" t="n">
        <f aca="false">LN(J1418)</f>
        <v>14.2150137842032</v>
      </c>
      <c r="O1418" s="21" t="n">
        <f aca="false">AVERAGEIFS($N$2:$N$2705,$B$2:$B$2705,B1418)</f>
        <v>13.6346527039019</v>
      </c>
      <c r="P1418" s="21" t="n">
        <f aca="false">N1418-O1418</f>
        <v>0.580361080301312</v>
      </c>
      <c r="Q1418" s="7" t="n">
        <v>0</v>
      </c>
      <c r="R1418" s="3" t="n">
        <f aca="false">IF(AND(Q1418=1,B1418-_xlfn.MINIFS($B$2:$B$2705,$A$2:$A$2705,A1418)&lt;10),1,0)</f>
        <v>0</v>
      </c>
      <c r="S1418" s="7" t="n">
        <v>0</v>
      </c>
      <c r="T1418" s="3" t="n">
        <f aca="false">_xlfn.MINIFS($B$2:$B$2705,$A$2:$A$2705,A1418)</f>
        <v>1901</v>
      </c>
      <c r="U1418" s="3" t="n">
        <f aca="false">B1418-T1418</f>
        <v>80</v>
      </c>
      <c r="V1418" s="3" t="str">
        <f aca="false">INDEX(Pop_Inputs!$Q$2:$Q$29,MATCH(C1418,Pop_Inputs!$A$2:$A$29,0))</f>
        <v>Midwest</v>
      </c>
      <c r="W1418" s="30"/>
      <c r="X1418" s="3" t="str">
        <f aca="false">IF(W1418="","",LN(W1418))</f>
        <v/>
      </c>
      <c r="Y1418" s="3" t="str">
        <f aca="false">IF(X1418="","",X1418-AVERAGEIFS($X$2:$X$2705,$B$2:$B$2705,B1418))</f>
        <v/>
      </c>
      <c r="Z1418" s="21" t="n">
        <f aca="false">P1418</f>
        <v>0.580361080301312</v>
      </c>
      <c r="AA1418" s="3" t="n">
        <f aca="false">R1418</f>
        <v>0</v>
      </c>
      <c r="AB1418" s="21" t="n">
        <f aca="false">P1418</f>
        <v>0.580361080301312</v>
      </c>
      <c r="AC1418" s="3" t="str">
        <f aca="false">Y1418</f>
        <v/>
      </c>
      <c r="AD1418" s="3" t="n">
        <f aca="false">R1418</f>
        <v>0</v>
      </c>
    </row>
    <row r="1419" customFormat="false" ht="15" hidden="false" customHeight="true" outlineLevel="0" collapsed="false">
      <c r="A1419" s="7" t="s">
        <v>65</v>
      </c>
      <c r="B1419" s="7" t="n">
        <v>1981</v>
      </c>
      <c r="C1419" s="7" t="s">
        <v>142</v>
      </c>
      <c r="D1419" s="7" t="n">
        <v>54</v>
      </c>
      <c r="E1419" s="7" t="n">
        <v>52</v>
      </c>
      <c r="F1419" s="3" t="n">
        <f aca="false">COUNTIFS($B$2:$B$2705,B1419,$C$2:$C$2705,C1419)</f>
        <v>2</v>
      </c>
      <c r="G1419" s="3" t="n">
        <f aca="false">MIN(INT((MIN(B1419,2020)-1900)/10)+1,12)</f>
        <v>9</v>
      </c>
      <c r="H1419" s="3" t="n">
        <f aca="false">(MIN(B1419,2020)-1900-10*(G1419-1))/10</f>
        <v>0.1</v>
      </c>
      <c r="I1419" s="20" t="n">
        <f aca="false">EXP(LN(INDEX(Pop_Inputs!$B$2:$N$29,MATCH(C1419,Pop_Inputs!$A$2:$A$29,0),G1419))*(1-H1419)+LN(INDEX(Pop_Inputs!$B$2:$N$29,MATCH(C1419,Pop_Inputs!$A$2:$A$29,0),G1419+1))*H1419)</f>
        <v>2982167.56464845</v>
      </c>
      <c r="J1419" s="20" t="n">
        <f aca="false">I1419/F1419</f>
        <v>1491083.78232423</v>
      </c>
      <c r="K1419" s="21" t="n">
        <f aca="false">D1419/(D1419+E1419)</f>
        <v>0.509433962264151</v>
      </c>
      <c r="L1419" s="21" t="n">
        <f aca="false">AVERAGEIFS($K$2:$K$2705,$B$2:$B$2705,B1419)</f>
        <v>0.499684230909339</v>
      </c>
      <c r="M1419" s="21" t="n">
        <f aca="false">K1419-L1419</f>
        <v>0.00974973135481216</v>
      </c>
      <c r="N1419" s="21" t="n">
        <f aca="false">LN(J1419)</f>
        <v>14.2150137842032</v>
      </c>
      <c r="O1419" s="21" t="n">
        <f aca="false">AVERAGEIFS($N$2:$N$2705,$B$2:$B$2705,B1419)</f>
        <v>13.6346527039019</v>
      </c>
      <c r="P1419" s="21" t="n">
        <f aca="false">N1419-O1419</f>
        <v>0.580361080301312</v>
      </c>
      <c r="Q1419" s="7" t="n">
        <v>0</v>
      </c>
      <c r="R1419" s="3" t="n">
        <f aca="false">IF(AND(Q1419=1,B1419-_xlfn.MINIFS($B$2:$B$2705,$A$2:$A$2705,A1419)&lt;10),1,0)</f>
        <v>0</v>
      </c>
      <c r="S1419" s="7" t="n">
        <v>0</v>
      </c>
      <c r="T1419" s="3" t="n">
        <f aca="false">_xlfn.MINIFS($B$2:$B$2705,$A$2:$A$2705,A1419)</f>
        <v>1901</v>
      </c>
      <c r="U1419" s="3" t="n">
        <f aca="false">B1419-T1419</f>
        <v>80</v>
      </c>
      <c r="V1419" s="3" t="str">
        <f aca="false">INDEX(Pop_Inputs!$Q$2:$Q$29,MATCH(C1419,Pop_Inputs!$A$2:$A$29,0))</f>
        <v>Midwest</v>
      </c>
      <c r="W1419" s="30"/>
      <c r="X1419" s="3" t="str">
        <f aca="false">IF(W1419="","",LN(W1419))</f>
        <v/>
      </c>
      <c r="Y1419" s="3" t="str">
        <f aca="false">IF(X1419="","",X1419-AVERAGEIFS($X$2:$X$2705,$B$2:$B$2705,B1419))</f>
        <v/>
      </c>
      <c r="Z1419" s="21" t="n">
        <f aca="false">P1419</f>
        <v>0.580361080301312</v>
      </c>
      <c r="AA1419" s="3" t="n">
        <f aca="false">R1419</f>
        <v>0</v>
      </c>
      <c r="AB1419" s="21" t="n">
        <f aca="false">P1419</f>
        <v>0.580361080301312</v>
      </c>
      <c r="AC1419" s="3" t="str">
        <f aca="false">Y1419</f>
        <v/>
      </c>
      <c r="AD1419" s="3" t="n">
        <f aca="false">R1419</f>
        <v>0</v>
      </c>
    </row>
    <row r="1420" customFormat="false" ht="15" hidden="false" customHeight="true" outlineLevel="0" collapsed="false">
      <c r="A1420" s="7" t="s">
        <v>57</v>
      </c>
      <c r="B1420" s="7" t="n">
        <v>1981</v>
      </c>
      <c r="C1420" s="7" t="s">
        <v>143</v>
      </c>
      <c r="D1420" s="7" t="n">
        <v>66</v>
      </c>
      <c r="E1420" s="7" t="n">
        <v>42</v>
      </c>
      <c r="F1420" s="3" t="n">
        <f aca="false">COUNTIFS($B$2:$B$2705,B1420,$C$2:$C$2705,C1420)</f>
        <v>1</v>
      </c>
      <c r="G1420" s="3" t="n">
        <f aca="false">MIN(INT((MIN(B1420,2020)-1900)/10)+1,12)</f>
        <v>9</v>
      </c>
      <c r="H1420" s="3" t="n">
        <f aca="false">(MIN(B1420,2020)-1900-10*(G1420-1))/10</f>
        <v>0.1</v>
      </c>
      <c r="I1420" s="20" t="n">
        <f aca="false">EXP(LN(INDEX(Pop_Inputs!$B$2:$N$29,MATCH(C1420,Pop_Inputs!$A$2:$A$29,0),G1420))*(1-H1420)+LN(INDEX(Pop_Inputs!$B$2:$N$29,MATCH(C1420,Pop_Inputs!$A$2:$A$29,0),G1420+1))*H1420)</f>
        <v>383262.471565239</v>
      </c>
      <c r="J1420" s="20" t="n">
        <f aca="false">I1420/F1420</f>
        <v>383262.471565239</v>
      </c>
      <c r="K1420" s="21" t="n">
        <f aca="false">D1420/(D1420+E1420)</f>
        <v>0.611111111111111</v>
      </c>
      <c r="L1420" s="21" t="n">
        <f aca="false">AVERAGEIFS($K$2:$K$2705,$B$2:$B$2705,B1420)</f>
        <v>0.499684230909339</v>
      </c>
      <c r="M1420" s="21" t="n">
        <f aca="false">K1420-L1420</f>
        <v>0.111426880201772</v>
      </c>
      <c r="N1420" s="21" t="n">
        <f aca="false">LN(J1420)</f>
        <v>12.8564753377969</v>
      </c>
      <c r="O1420" s="21" t="n">
        <f aca="false">AVERAGEIFS($N$2:$N$2705,$B$2:$B$2705,B1420)</f>
        <v>13.6346527039019</v>
      </c>
      <c r="P1420" s="21" t="n">
        <f aca="false">N1420-O1420</f>
        <v>-0.778177366105011</v>
      </c>
      <c r="Q1420" s="7" t="n">
        <v>0</v>
      </c>
      <c r="R1420" s="3" t="n">
        <f aca="false">IF(AND(Q1420=1,B1420-_xlfn.MINIFS($B$2:$B$2705,$A$2:$A$2705,A1420)&lt;10),1,0)</f>
        <v>0</v>
      </c>
      <c r="S1420" s="7" t="n">
        <v>0</v>
      </c>
      <c r="T1420" s="3" t="n">
        <f aca="false">_xlfn.MINIFS($B$2:$B$2705,$A$2:$A$2705,A1420)</f>
        <v>1901</v>
      </c>
      <c r="U1420" s="3" t="n">
        <f aca="false">B1420-T1420</f>
        <v>80</v>
      </c>
      <c r="V1420" s="3" t="str">
        <f aca="false">INDEX(Pop_Inputs!$Q$2:$Q$29,MATCH(C1420,Pop_Inputs!$A$2:$A$29,0))</f>
        <v>Midwest</v>
      </c>
      <c r="W1420" s="30"/>
      <c r="X1420" s="3" t="str">
        <f aca="false">IF(W1420="","",LN(W1420))</f>
        <v/>
      </c>
      <c r="Y1420" s="3" t="str">
        <f aca="false">IF(X1420="","",X1420-AVERAGEIFS($X$2:$X$2705,$B$2:$B$2705,B1420))</f>
        <v/>
      </c>
      <c r="Z1420" s="21" t="n">
        <f aca="false">P1420</f>
        <v>-0.778177366105011</v>
      </c>
      <c r="AA1420" s="3" t="n">
        <f aca="false">R1420</f>
        <v>0</v>
      </c>
      <c r="AB1420" s="21" t="n">
        <f aca="false">P1420</f>
        <v>-0.778177366105011</v>
      </c>
      <c r="AC1420" s="3" t="str">
        <f aca="false">Y1420</f>
        <v/>
      </c>
      <c r="AD1420" s="3" t="n">
        <f aca="false">R1420</f>
        <v>0</v>
      </c>
    </row>
    <row r="1421" customFormat="false" ht="15" hidden="false" customHeight="true" outlineLevel="0" collapsed="false">
      <c r="A1421" s="7" t="s">
        <v>66</v>
      </c>
      <c r="B1421" s="7" t="n">
        <v>1981</v>
      </c>
      <c r="C1421" s="7" t="s">
        <v>151</v>
      </c>
      <c r="D1421" s="7" t="n">
        <v>52</v>
      </c>
      <c r="E1421" s="7" t="n">
        <v>51</v>
      </c>
      <c r="F1421" s="3" t="n">
        <f aca="false">COUNTIFS($B$2:$B$2705,B1421,$C$2:$C$2705,C1421)</f>
        <v>1</v>
      </c>
      <c r="G1421" s="3" t="n">
        <f aca="false">MIN(INT((MIN(B1421,2020)-1900)/10)+1,12)</f>
        <v>9</v>
      </c>
      <c r="H1421" s="3" t="n">
        <f aca="false">(MIN(B1421,2020)-1900-10*(G1421-1))/10</f>
        <v>0.1</v>
      </c>
      <c r="I1421" s="20" t="n">
        <f aca="false">EXP(LN(INDEX(Pop_Inputs!$B$2:$N$29,MATCH(C1421,Pop_Inputs!$A$2:$A$29,0),G1421))*(1-H1421)+LN(INDEX(Pop_Inputs!$B$2:$N$29,MATCH(C1421,Pop_Inputs!$A$2:$A$29,0),G1421+1))*H1421)</f>
        <v>566606.505014186</v>
      </c>
      <c r="J1421" s="20" t="n">
        <f aca="false">I1421/F1421</f>
        <v>566606.505014186</v>
      </c>
      <c r="K1421" s="21" t="n">
        <f aca="false">D1421/(D1421+E1421)</f>
        <v>0.504854368932039</v>
      </c>
      <c r="L1421" s="21" t="n">
        <f aca="false">AVERAGEIFS($K$2:$K$2705,$B$2:$B$2705,B1421)</f>
        <v>0.499684230909339</v>
      </c>
      <c r="M1421" s="21" t="n">
        <f aca="false">K1421-L1421</f>
        <v>0.00517013802270006</v>
      </c>
      <c r="N1421" s="21" t="n">
        <f aca="false">LN(J1421)</f>
        <v>13.2474203471001</v>
      </c>
      <c r="O1421" s="21" t="n">
        <f aca="false">AVERAGEIFS($N$2:$N$2705,$B$2:$B$2705,B1421)</f>
        <v>13.6346527039019</v>
      </c>
      <c r="P1421" s="21" t="n">
        <f aca="false">N1421-O1421</f>
        <v>-0.387232356801748</v>
      </c>
      <c r="Q1421" s="7" t="n">
        <v>0</v>
      </c>
      <c r="R1421" s="3" t="n">
        <f aca="false">IF(AND(Q1421=1,B1421-_xlfn.MINIFS($B$2:$B$2705,$A$2:$A$2705,A1421)&lt;10),1,0)</f>
        <v>0</v>
      </c>
      <c r="S1421" s="7" t="n">
        <v>0</v>
      </c>
      <c r="T1421" s="3" t="n">
        <f aca="false">_xlfn.MINIFS($B$2:$B$2705,$A$2:$A$2705,A1421)</f>
        <v>1901</v>
      </c>
      <c r="U1421" s="3" t="n">
        <f aca="false">B1421-T1421</f>
        <v>80</v>
      </c>
      <c r="V1421" s="3" t="str">
        <f aca="false">INDEX(Pop_Inputs!$Q$2:$Q$29,MATCH(C1421,Pop_Inputs!$A$2:$A$29,0))</f>
        <v>Midwest</v>
      </c>
      <c r="W1421" s="30"/>
      <c r="X1421" s="3" t="str">
        <f aca="false">IF(W1421="","",LN(W1421))</f>
        <v/>
      </c>
      <c r="Y1421" s="3" t="str">
        <f aca="false">IF(X1421="","",X1421-AVERAGEIFS($X$2:$X$2705,$B$2:$B$2705,B1421))</f>
        <v/>
      </c>
      <c r="Z1421" s="21" t="n">
        <f aca="false">P1421</f>
        <v>-0.387232356801748</v>
      </c>
      <c r="AA1421" s="3" t="n">
        <f aca="false">R1421</f>
        <v>0</v>
      </c>
      <c r="AB1421" s="21" t="n">
        <f aca="false">P1421</f>
        <v>-0.387232356801748</v>
      </c>
      <c r="AC1421" s="3" t="str">
        <f aca="false">Y1421</f>
        <v/>
      </c>
      <c r="AD1421" s="3" t="n">
        <f aca="false">R1421</f>
        <v>0</v>
      </c>
    </row>
    <row r="1422" customFormat="false" ht="15" hidden="false" customHeight="true" outlineLevel="0" collapsed="false">
      <c r="A1422" s="7" t="s">
        <v>67</v>
      </c>
      <c r="B1422" s="7" t="n">
        <v>1981</v>
      </c>
      <c r="C1422" s="7" t="s">
        <v>152</v>
      </c>
      <c r="D1422" s="7" t="n">
        <v>60</v>
      </c>
      <c r="E1422" s="7" t="n">
        <v>49</v>
      </c>
      <c r="F1422" s="3" t="n">
        <f aca="false">COUNTIFS($B$2:$B$2705,B1422,$C$2:$C$2705,C1422)</f>
        <v>1</v>
      </c>
      <c r="G1422" s="3" t="n">
        <f aca="false">MIN(INT((MIN(B1422,2020)-1900)/10)+1,12)</f>
        <v>9</v>
      </c>
      <c r="H1422" s="3" t="n">
        <f aca="false">(MIN(B1422,2020)-1900-10*(G1422-1))/10</f>
        <v>0.1</v>
      </c>
      <c r="I1422" s="20" t="n">
        <f aca="false">EXP(LN(INDEX(Pop_Inputs!$B$2:$N$29,MATCH(C1422,Pop_Inputs!$A$2:$A$29,0),G1422))*(1-H1422)+LN(INDEX(Pop_Inputs!$B$2:$N$29,MATCH(C1422,Pop_Inputs!$A$2:$A$29,0),G1422+1))*H1422)</f>
        <v>1184559.35178939</v>
      </c>
      <c r="J1422" s="20" t="n">
        <f aca="false">I1422/F1422</f>
        <v>1184559.35178939</v>
      </c>
      <c r="K1422" s="21" t="n">
        <f aca="false">D1422/(D1422+E1422)</f>
        <v>0.55045871559633</v>
      </c>
      <c r="L1422" s="21" t="n">
        <f aca="false">AVERAGEIFS($K$2:$K$2705,$B$2:$B$2705,B1422)</f>
        <v>0.499684230909339</v>
      </c>
      <c r="M1422" s="21" t="n">
        <f aca="false">K1422-L1422</f>
        <v>0.0507744846869915</v>
      </c>
      <c r="N1422" s="21" t="n">
        <f aca="false">LN(J1422)</f>
        <v>13.9848814083661</v>
      </c>
      <c r="O1422" s="21" t="n">
        <f aca="false">AVERAGEIFS($N$2:$N$2705,$B$2:$B$2705,B1422)</f>
        <v>13.6346527039019</v>
      </c>
      <c r="P1422" s="21" t="n">
        <f aca="false">N1422-O1422</f>
        <v>0.350228704464211</v>
      </c>
      <c r="Q1422" s="7" t="n">
        <v>0</v>
      </c>
      <c r="R1422" s="3" t="n">
        <f aca="false">IF(AND(Q1422=1,B1422-_xlfn.MINIFS($B$2:$B$2705,$A$2:$A$2705,A1422)&lt;10),1,0)</f>
        <v>0</v>
      </c>
      <c r="S1422" s="7" t="n">
        <v>0</v>
      </c>
      <c r="T1422" s="3" t="n">
        <f aca="false">_xlfn.MINIFS($B$2:$B$2705,$A$2:$A$2705,A1422)</f>
        <v>1901</v>
      </c>
      <c r="U1422" s="3" t="n">
        <f aca="false">B1422-T1422</f>
        <v>80</v>
      </c>
      <c r="V1422" s="3" t="str">
        <f aca="false">INDEX(Pop_Inputs!$Q$2:$Q$29,MATCH(C1422,Pop_Inputs!$A$2:$A$29,0))</f>
        <v>Midwest</v>
      </c>
      <c r="W1422" s="30"/>
      <c r="X1422" s="3" t="str">
        <f aca="false">IF(W1422="","",LN(W1422))</f>
        <v/>
      </c>
      <c r="Y1422" s="3" t="str">
        <f aca="false">IF(X1422="","",X1422-AVERAGEIFS($X$2:$X$2705,$B$2:$B$2705,B1422))</f>
        <v/>
      </c>
      <c r="Z1422" s="21" t="n">
        <f aca="false">P1422</f>
        <v>0.350228704464211</v>
      </c>
      <c r="AA1422" s="3" t="n">
        <f aca="false">R1422</f>
        <v>0</v>
      </c>
      <c r="AB1422" s="21" t="n">
        <f aca="false">P1422</f>
        <v>0.350228704464211</v>
      </c>
      <c r="AC1422" s="3" t="str">
        <f aca="false">Y1422</f>
        <v/>
      </c>
      <c r="AD1422" s="3" t="n">
        <f aca="false">R1422</f>
        <v>0</v>
      </c>
    </row>
    <row r="1423" customFormat="false" ht="15" hidden="false" customHeight="true" outlineLevel="0" collapsed="false">
      <c r="A1423" s="7" t="s">
        <v>74</v>
      </c>
      <c r="B1423" s="7" t="n">
        <v>1981</v>
      </c>
      <c r="C1423" s="7" t="s">
        <v>156</v>
      </c>
      <c r="D1423" s="7" t="n">
        <v>61</v>
      </c>
      <c r="E1423" s="7" t="n">
        <v>49</v>
      </c>
      <c r="F1423" s="3" t="n">
        <f aca="false">COUNTIFS($B$2:$B$2705,B1423,$C$2:$C$2705,C1423)</f>
        <v>1</v>
      </c>
      <c r="G1423" s="3" t="n">
        <f aca="false">MIN(INT((MIN(B1423,2020)-1900)/10)+1,12)</f>
        <v>9</v>
      </c>
      <c r="H1423" s="3" t="n">
        <f aca="false">(MIN(B1423,2020)-1900-10*(G1423-1))/10</f>
        <v>0.1</v>
      </c>
      <c r="I1423" s="20" t="n">
        <f aca="false">EXP(LN(INDEX(Pop_Inputs!$B$2:$N$29,MATCH(C1423,Pop_Inputs!$A$2:$A$29,0),G1423))*(1-H1423)+LN(INDEX(Pop_Inputs!$B$2:$N$29,MATCH(C1423,Pop_Inputs!$A$2:$A$29,0),G1423+1))*H1423)</f>
        <v>1598644.60712873</v>
      </c>
      <c r="J1423" s="20" t="n">
        <f aca="false">I1423/F1423</f>
        <v>1598644.60712873</v>
      </c>
      <c r="K1423" s="21" t="n">
        <f aca="false">D1423/(D1423+E1423)</f>
        <v>0.554545454545455</v>
      </c>
      <c r="L1423" s="21" t="n">
        <f aca="false">AVERAGEIFS($K$2:$K$2705,$B$2:$B$2705,B1423)</f>
        <v>0.499684230909339</v>
      </c>
      <c r="M1423" s="21" t="n">
        <f aca="false">K1423-L1423</f>
        <v>0.0548612236361158</v>
      </c>
      <c r="N1423" s="21" t="n">
        <f aca="false">LN(J1423)</f>
        <v>14.2846667076561</v>
      </c>
      <c r="O1423" s="21" t="n">
        <f aca="false">AVERAGEIFS($N$2:$N$2705,$B$2:$B$2705,B1423)</f>
        <v>13.6346527039019</v>
      </c>
      <c r="P1423" s="21" t="n">
        <f aca="false">N1423-O1423</f>
        <v>0.650014003754215</v>
      </c>
      <c r="Q1423" s="7" t="n">
        <v>1</v>
      </c>
      <c r="R1423" s="3" t="n">
        <f aca="false">IF(AND(Q1423=1,B1423-_xlfn.MINIFS($B$2:$B$2705,$A$2:$A$2705,A1423)&lt;10),1,0)</f>
        <v>0</v>
      </c>
      <c r="S1423" s="7" t="n">
        <v>0</v>
      </c>
      <c r="T1423" s="3" t="n">
        <f aca="false">_xlfn.MINIFS($B$2:$B$2705,$A$2:$A$2705,A1423)</f>
        <v>1962</v>
      </c>
      <c r="U1423" s="3" t="n">
        <f aca="false">B1423-T1423</f>
        <v>19</v>
      </c>
      <c r="V1423" s="3" t="str">
        <f aca="false">INDEX(Pop_Inputs!$Q$2:$Q$29,MATCH(C1423,Pop_Inputs!$A$2:$A$29,0))</f>
        <v>South</v>
      </c>
      <c r="W1423" s="30"/>
      <c r="X1423" s="3" t="str">
        <f aca="false">IF(W1423="","",LN(W1423))</f>
        <v/>
      </c>
      <c r="Y1423" s="3" t="str">
        <f aca="false">IF(X1423="","",X1423-AVERAGEIFS($X$2:$X$2705,$B$2:$B$2705,B1423))</f>
        <v/>
      </c>
      <c r="Z1423" s="21" t="n">
        <f aca="false">P1423</f>
        <v>0.650014003754215</v>
      </c>
      <c r="AA1423" s="3" t="n">
        <f aca="false">R1423</f>
        <v>0</v>
      </c>
      <c r="AB1423" s="21" t="n">
        <f aca="false">P1423</f>
        <v>0.650014003754215</v>
      </c>
      <c r="AC1423" s="3" t="str">
        <f aca="false">Y1423</f>
        <v/>
      </c>
      <c r="AD1423" s="3" t="n">
        <f aca="false">R1423</f>
        <v>0</v>
      </c>
    </row>
    <row r="1424" customFormat="false" ht="15" hidden="false" customHeight="true" outlineLevel="0" collapsed="false">
      <c r="A1424" s="7" t="s">
        <v>76</v>
      </c>
      <c r="B1424" s="7" t="n">
        <v>1981</v>
      </c>
      <c r="C1424" s="7" t="s">
        <v>157</v>
      </c>
      <c r="D1424" s="7" t="n">
        <v>50</v>
      </c>
      <c r="E1424" s="7" t="n">
        <v>53</v>
      </c>
      <c r="F1424" s="3" t="n">
        <f aca="false">COUNTIFS($B$2:$B$2705,B1424,$C$2:$C$2705,C1424)</f>
        <v>1</v>
      </c>
      <c r="G1424" s="3" t="n">
        <f aca="false">MIN(INT((MIN(B1424,2020)-1900)/10)+1,12)</f>
        <v>9</v>
      </c>
      <c r="H1424" s="3" t="n">
        <f aca="false">(MIN(B1424,2020)-1900-10*(G1424-1))/10</f>
        <v>0.1</v>
      </c>
      <c r="I1424" s="20" t="n">
        <f aca="false">EXP(LN(INDEX(Pop_Inputs!$B$2:$N$29,MATCH(C1424,Pop_Inputs!$A$2:$A$29,0),G1424))*(1-H1424)+LN(INDEX(Pop_Inputs!$B$2:$N$29,MATCH(C1424,Pop_Inputs!$A$2:$A$29,0),G1424+1))*H1424)</f>
        <v>446840.377195878</v>
      </c>
      <c r="J1424" s="20" t="n">
        <f aca="false">I1424/F1424</f>
        <v>446840.377195878</v>
      </c>
      <c r="K1424" s="21" t="n">
        <f aca="false">D1424/(D1424+E1424)</f>
        <v>0.485436893203884</v>
      </c>
      <c r="L1424" s="21" t="n">
        <f aca="false">AVERAGEIFS($K$2:$K$2705,$B$2:$B$2705,B1424)</f>
        <v>0.499684230909339</v>
      </c>
      <c r="M1424" s="21" t="n">
        <f aca="false">K1424-L1424</f>
        <v>-0.0142473377054553</v>
      </c>
      <c r="N1424" s="21" t="n">
        <f aca="false">LN(J1424)</f>
        <v>13.0099567118252</v>
      </c>
      <c r="O1424" s="21" t="n">
        <f aca="false">AVERAGEIFS($N$2:$N$2705,$B$2:$B$2705,B1424)</f>
        <v>13.6346527039019</v>
      </c>
      <c r="P1424" s="21" t="n">
        <f aca="false">N1424-O1424</f>
        <v>-0.624695992076644</v>
      </c>
      <c r="Q1424" s="7" t="n">
        <v>1</v>
      </c>
      <c r="R1424" s="3" t="n">
        <f aca="false">IF(AND(Q1424=1,B1424-_xlfn.MINIFS($B$2:$B$2705,$A$2:$A$2705,A1424)&lt;10),1,0)</f>
        <v>0</v>
      </c>
      <c r="S1424" s="7" t="n">
        <v>0</v>
      </c>
      <c r="T1424" s="3" t="n">
        <f aca="false">_xlfn.MINIFS($B$2:$B$2705,$A$2:$A$2705,A1424)</f>
        <v>1969</v>
      </c>
      <c r="U1424" s="3" t="n">
        <f aca="false">B1424-T1424</f>
        <v>12</v>
      </c>
      <c r="V1424" s="3" t="str">
        <f aca="false">INDEX(Pop_Inputs!$Q$2:$Q$29,MATCH(C1424,Pop_Inputs!$A$2:$A$29,0))</f>
        <v>Midwest</v>
      </c>
      <c r="W1424" s="30"/>
      <c r="X1424" s="3" t="str">
        <f aca="false">IF(W1424="","",LN(W1424))</f>
        <v/>
      </c>
      <c r="Y1424" s="3" t="str">
        <f aca="false">IF(X1424="","",X1424-AVERAGEIFS($X$2:$X$2705,$B$2:$B$2705,B1424))</f>
        <v/>
      </c>
      <c r="Z1424" s="21" t="n">
        <f aca="false">P1424</f>
        <v>-0.624695992076644</v>
      </c>
      <c r="AA1424" s="3" t="n">
        <f aca="false">R1424</f>
        <v>0</v>
      </c>
      <c r="AB1424" s="21" t="n">
        <f aca="false">P1424</f>
        <v>-0.624695992076644</v>
      </c>
      <c r="AC1424" s="3" t="str">
        <f aca="false">Y1424</f>
        <v/>
      </c>
      <c r="AD1424" s="3" t="n">
        <f aca="false">R1424</f>
        <v>0</v>
      </c>
    </row>
    <row r="1425" customFormat="false" ht="15" hidden="false" customHeight="true" outlineLevel="0" collapsed="false">
      <c r="A1425" s="7" t="s">
        <v>62</v>
      </c>
      <c r="B1425" s="7" t="n">
        <v>1981</v>
      </c>
      <c r="C1425" s="7" t="s">
        <v>148</v>
      </c>
      <c r="D1425" s="7" t="n">
        <v>63</v>
      </c>
      <c r="E1425" s="7" t="n">
        <v>47</v>
      </c>
      <c r="F1425" s="3" t="n">
        <f aca="false">COUNTIFS($B$2:$B$2705,B1425,$C$2:$C$2705,C1425)</f>
        <v>2</v>
      </c>
      <c r="G1425" s="3" t="n">
        <f aca="false">MIN(INT((MIN(B1425,2020)-1900)/10)+1,12)</f>
        <v>9</v>
      </c>
      <c r="H1425" s="3" t="n">
        <f aca="false">(MIN(B1425,2020)-1900-10*(G1425-1))/10</f>
        <v>0.1</v>
      </c>
      <c r="I1425" s="20" t="n">
        <f aca="false">EXP(LN(INDEX(Pop_Inputs!$B$2:$N$29,MATCH(C1425,Pop_Inputs!$A$2:$A$29,0),G1425))*(1-H1425)+LN(INDEX(Pop_Inputs!$B$2:$N$29,MATCH(C1425,Pop_Inputs!$A$2:$A$29,0),G1425+1))*H1425)</f>
        <v>3015027.43507241</v>
      </c>
      <c r="J1425" s="20" t="n">
        <f aca="false">I1425/F1425</f>
        <v>1507513.71753621</v>
      </c>
      <c r="K1425" s="21" t="n">
        <f aca="false">D1425/(D1425+E1425)</f>
        <v>0.572727272727273</v>
      </c>
      <c r="L1425" s="21" t="n">
        <f aca="false">AVERAGEIFS($K$2:$K$2705,$B$2:$B$2705,B1425)</f>
        <v>0.499684230909339</v>
      </c>
      <c r="M1425" s="21" t="n">
        <f aca="false">K1425-L1425</f>
        <v>0.073043041817934</v>
      </c>
      <c r="N1425" s="21" t="n">
        <f aca="false">LN(J1425)</f>
        <v>14.2259723070686</v>
      </c>
      <c r="O1425" s="21" t="n">
        <f aca="false">AVERAGEIFS($N$2:$N$2705,$B$2:$B$2705,B1425)</f>
        <v>13.6346527039019</v>
      </c>
      <c r="P1425" s="21" t="n">
        <f aca="false">N1425-O1425</f>
        <v>0.591319603166705</v>
      </c>
      <c r="Q1425" s="7" t="n">
        <v>0</v>
      </c>
      <c r="R1425" s="3" t="n">
        <f aca="false">IF(AND(Q1425=1,B1425-_xlfn.MINIFS($B$2:$B$2705,$A$2:$A$2705,A1425)&lt;10),1,0)</f>
        <v>0</v>
      </c>
      <c r="S1425" s="7" t="n">
        <v>0</v>
      </c>
      <c r="T1425" s="3" t="n">
        <f aca="false">_xlfn.MINIFS($B$2:$B$2705,$A$2:$A$2705,A1425)</f>
        <v>1901</v>
      </c>
      <c r="U1425" s="3" t="n">
        <f aca="false">B1425-T1425</f>
        <v>80</v>
      </c>
      <c r="V1425" s="3" t="str">
        <f aca="false">INDEX(Pop_Inputs!$Q$2:$Q$29,MATCH(C1425,Pop_Inputs!$A$2:$A$29,0))</f>
        <v>West</v>
      </c>
      <c r="W1425" s="30"/>
      <c r="X1425" s="3" t="str">
        <f aca="false">IF(W1425="","",LN(W1425))</f>
        <v/>
      </c>
      <c r="Y1425" s="3" t="str">
        <f aca="false">IF(X1425="","",X1425-AVERAGEIFS($X$2:$X$2705,$B$2:$B$2705,B1425))</f>
        <v/>
      </c>
      <c r="Z1425" s="21" t="n">
        <f aca="false">P1425</f>
        <v>0.591319603166705</v>
      </c>
      <c r="AA1425" s="3" t="n">
        <f aca="false">R1425</f>
        <v>0</v>
      </c>
      <c r="AB1425" s="21" t="n">
        <f aca="false">P1425</f>
        <v>0.591319603166705</v>
      </c>
      <c r="AC1425" s="3" t="str">
        <f aca="false">Y1425</f>
        <v/>
      </c>
      <c r="AD1425" s="3" t="n">
        <f aca="false">R1425</f>
        <v>0</v>
      </c>
    </row>
    <row r="1426" customFormat="false" ht="15" hidden="false" customHeight="true" outlineLevel="0" collapsed="false">
      <c r="A1426" s="7" t="s">
        <v>77</v>
      </c>
      <c r="B1426" s="7" t="n">
        <v>1981</v>
      </c>
      <c r="C1426" s="7" t="s">
        <v>158</v>
      </c>
      <c r="D1426" s="7" t="n">
        <v>62</v>
      </c>
      <c r="E1426" s="7" t="n">
        <v>47</v>
      </c>
      <c r="F1426" s="3" t="n">
        <f aca="false">COUNTIFS($B$2:$B$2705,B1426,$C$2:$C$2705,C1426)</f>
        <v>1</v>
      </c>
      <c r="G1426" s="3" t="n">
        <f aca="false">MIN(INT((MIN(B1426,2020)-1900)/10)+1,12)</f>
        <v>9</v>
      </c>
      <c r="H1426" s="3" t="n">
        <f aca="false">(MIN(B1426,2020)-1900-10*(G1426-1))/10</f>
        <v>0.1</v>
      </c>
      <c r="I1426" s="20" t="n">
        <f aca="false">EXP(LN(INDEX(Pop_Inputs!$B$2:$N$29,MATCH(C1426,Pop_Inputs!$A$2:$A$29,0),G1426))*(1-H1426)+LN(INDEX(Pop_Inputs!$B$2:$N$29,MATCH(C1426,Pop_Inputs!$A$2:$A$29,0),G1426+1))*H1426)</f>
        <v>635394.893682926</v>
      </c>
      <c r="J1426" s="20" t="n">
        <f aca="false">I1426/F1426</f>
        <v>635394.893682926</v>
      </c>
      <c r="K1426" s="21" t="n">
        <f aca="false">D1426/(D1426+E1426)</f>
        <v>0.568807339449541</v>
      </c>
      <c r="L1426" s="21" t="n">
        <f aca="false">AVERAGEIFS($K$2:$K$2705,$B$2:$B$2705,B1426)</f>
        <v>0.499684230909339</v>
      </c>
      <c r="M1426" s="21" t="n">
        <f aca="false">K1426-L1426</f>
        <v>0.0691231085402025</v>
      </c>
      <c r="N1426" s="21" t="n">
        <f aca="false">LN(J1426)</f>
        <v>13.3620019644033</v>
      </c>
      <c r="O1426" s="21" t="n">
        <f aca="false">AVERAGEIFS($N$2:$N$2705,$B$2:$B$2705,B1426)</f>
        <v>13.6346527039019</v>
      </c>
      <c r="P1426" s="21" t="n">
        <f aca="false">N1426-O1426</f>
        <v>-0.272650739498541</v>
      </c>
      <c r="Q1426" s="7" t="n">
        <v>1</v>
      </c>
      <c r="R1426" s="3" t="n">
        <f aca="false">IF(AND(Q1426=1,B1426-_xlfn.MINIFS($B$2:$B$2705,$A$2:$A$2705,A1426)&lt;10),1,0)</f>
        <v>0</v>
      </c>
      <c r="S1426" s="7" t="n">
        <v>0</v>
      </c>
      <c r="T1426" s="3" t="n">
        <f aca="false">_xlfn.MINIFS($B$2:$B$2705,$A$2:$A$2705,A1426)</f>
        <v>1969</v>
      </c>
      <c r="U1426" s="3" t="n">
        <f aca="false">B1426-T1426</f>
        <v>12</v>
      </c>
      <c r="V1426" s="3" t="str">
        <f aca="false">INDEX(Pop_Inputs!$Q$2:$Q$29,MATCH(C1426,Pop_Inputs!$A$2:$A$29,0))</f>
        <v>Midwest</v>
      </c>
      <c r="W1426" s="30"/>
      <c r="X1426" s="3" t="str">
        <f aca="false">IF(W1426="","",LN(W1426))</f>
        <v/>
      </c>
      <c r="Y1426" s="3" t="str">
        <f aca="false">IF(X1426="","",X1426-AVERAGEIFS($X$2:$X$2705,$B$2:$B$2705,B1426))</f>
        <v/>
      </c>
      <c r="Z1426" s="21" t="n">
        <f aca="false">P1426</f>
        <v>-0.272650739498541</v>
      </c>
      <c r="AA1426" s="3" t="n">
        <f aca="false">R1426</f>
        <v>0</v>
      </c>
      <c r="AB1426" s="21" t="n">
        <f aca="false">P1426</f>
        <v>-0.272650739498541</v>
      </c>
      <c r="AC1426" s="3" t="str">
        <f aca="false">Y1426</f>
        <v/>
      </c>
      <c r="AD1426" s="3" t="n">
        <f aca="false">R1426</f>
        <v>0</v>
      </c>
    </row>
    <row r="1427" customFormat="false" ht="15" hidden="false" customHeight="true" outlineLevel="0" collapsed="false">
      <c r="A1427" s="7" t="s">
        <v>68</v>
      </c>
      <c r="B1427" s="7" t="n">
        <v>1981</v>
      </c>
      <c r="C1427" s="7" t="s">
        <v>153</v>
      </c>
      <c r="D1427" s="7" t="n">
        <v>41</v>
      </c>
      <c r="E1427" s="7" t="n">
        <v>68</v>
      </c>
      <c r="F1427" s="3" t="n">
        <f aca="false">COUNTIFS($B$2:$B$2705,B1427,$C$2:$C$2705,C1427)</f>
        <v>1</v>
      </c>
      <c r="G1427" s="3" t="n">
        <f aca="false">MIN(INT((MIN(B1427,2020)-1900)/10)+1,12)</f>
        <v>9</v>
      </c>
      <c r="H1427" s="3" t="n">
        <f aca="false">(MIN(B1427,2020)-1900-10*(G1427-1))/10</f>
        <v>0.1</v>
      </c>
      <c r="I1427" s="20" t="n">
        <f aca="false">EXP(LN(INDEX(Pop_Inputs!$B$2:$N$29,MATCH(C1427,Pop_Inputs!$A$2:$A$29,0),G1427))*(1-H1427)+LN(INDEX(Pop_Inputs!$B$2:$N$29,MATCH(C1427,Pop_Inputs!$A$2:$A$29,0),G1427+1))*H1427)</f>
        <v>370693.39648214</v>
      </c>
      <c r="J1427" s="20" t="n">
        <f aca="false">I1427/F1427</f>
        <v>370693.39648214</v>
      </c>
      <c r="K1427" s="21" t="n">
        <f aca="false">D1427/(D1427+E1427)</f>
        <v>0.376146788990826</v>
      </c>
      <c r="L1427" s="21" t="n">
        <f aca="false">AVERAGEIFS($K$2:$K$2705,$B$2:$B$2705,B1427)</f>
        <v>0.499684230909339</v>
      </c>
      <c r="M1427" s="21" t="n">
        <f aca="false">K1427-L1427</f>
        <v>-0.123537441918513</v>
      </c>
      <c r="N1427" s="21" t="n">
        <f aca="false">LN(J1427)</f>
        <v>12.8231305753361</v>
      </c>
      <c r="O1427" s="21" t="n">
        <f aca="false">AVERAGEIFS($N$2:$N$2705,$B$2:$B$2705,B1427)</f>
        <v>13.6346527039019</v>
      </c>
      <c r="P1427" s="21" t="n">
        <f aca="false">N1427-O1427</f>
        <v>-0.811522128565798</v>
      </c>
      <c r="Q1427" s="7" t="n">
        <v>0</v>
      </c>
      <c r="R1427" s="3" t="n">
        <f aca="false">IF(AND(Q1427=1,B1427-_xlfn.MINIFS($B$2:$B$2705,$A$2:$A$2705,A1427)&lt;10),1,0)</f>
        <v>0</v>
      </c>
      <c r="S1427" s="7" t="n">
        <v>0</v>
      </c>
      <c r="T1427" s="3" t="n">
        <f aca="false">_xlfn.MINIFS($B$2:$B$2705,$A$2:$A$2705,A1427)</f>
        <v>1901</v>
      </c>
      <c r="U1427" s="3" t="n">
        <f aca="false">B1427-T1427</f>
        <v>80</v>
      </c>
      <c r="V1427" s="3" t="str">
        <f aca="false">INDEX(Pop_Inputs!$Q$2:$Q$29,MATCH(C1427,Pop_Inputs!$A$2:$A$29,0))</f>
        <v>Midwest</v>
      </c>
      <c r="W1427" s="30"/>
      <c r="X1427" s="3" t="str">
        <f aca="false">IF(W1427="","",LN(W1427))</f>
        <v/>
      </c>
      <c r="Y1427" s="3" t="str">
        <f aca="false">IF(X1427="","",X1427-AVERAGEIFS($X$2:$X$2705,$B$2:$B$2705,B1427))</f>
        <v/>
      </c>
      <c r="Z1427" s="21" t="n">
        <f aca="false">P1427</f>
        <v>-0.811522128565798</v>
      </c>
      <c r="AA1427" s="3" t="n">
        <f aca="false">R1427</f>
        <v>0</v>
      </c>
      <c r="AB1427" s="21" t="n">
        <f aca="false">P1427</f>
        <v>-0.811522128565798</v>
      </c>
      <c r="AC1427" s="3" t="str">
        <f aca="false">Y1427</f>
        <v/>
      </c>
      <c r="AD1427" s="3" t="n">
        <f aca="false">R1427</f>
        <v>0</v>
      </c>
    </row>
    <row r="1428" customFormat="false" ht="15" hidden="false" customHeight="true" outlineLevel="0" collapsed="false">
      <c r="A1428" s="7" t="s">
        <v>75</v>
      </c>
      <c r="B1428" s="7" t="n">
        <v>1981</v>
      </c>
      <c r="C1428" s="7" t="s">
        <v>154</v>
      </c>
      <c r="D1428" s="7" t="n">
        <v>41</v>
      </c>
      <c r="E1428" s="7" t="n">
        <v>62</v>
      </c>
      <c r="F1428" s="3" t="n">
        <f aca="false">COUNTIFS($B$2:$B$2705,B1428,$C$2:$C$2705,C1428)</f>
        <v>2</v>
      </c>
      <c r="G1428" s="3" t="n">
        <f aca="false">MIN(INT((MIN(B1428,2020)-1900)/10)+1,12)</f>
        <v>9</v>
      </c>
      <c r="H1428" s="3" t="n">
        <f aca="false">(MIN(B1428,2020)-1900-10*(G1428-1))/10</f>
        <v>0.1</v>
      </c>
      <c r="I1428" s="20" t="n">
        <f aca="false">EXP(LN(INDEX(Pop_Inputs!$B$2:$N$29,MATCH(C1428,Pop_Inputs!$A$2:$A$29,0),G1428))*(1-H1428)+LN(INDEX(Pop_Inputs!$B$2:$N$29,MATCH(C1428,Pop_Inputs!$A$2:$A$29,0),G1428+1))*H1428)</f>
        <v>7096339.61464285</v>
      </c>
      <c r="J1428" s="20" t="n">
        <f aca="false">I1428/F1428</f>
        <v>3548169.80732142</v>
      </c>
      <c r="K1428" s="21" t="n">
        <f aca="false">D1428/(D1428+E1428)</f>
        <v>0.398058252427184</v>
      </c>
      <c r="L1428" s="21" t="n">
        <f aca="false">AVERAGEIFS($K$2:$K$2705,$B$2:$B$2705,B1428)</f>
        <v>0.499684230909339</v>
      </c>
      <c r="M1428" s="21" t="n">
        <f aca="false">K1428-L1428</f>
        <v>-0.101625978482154</v>
      </c>
      <c r="N1428" s="21" t="n">
        <f aca="false">LN(J1428)</f>
        <v>15.081942481278</v>
      </c>
      <c r="O1428" s="21" t="n">
        <f aca="false">AVERAGEIFS($N$2:$N$2705,$B$2:$B$2705,B1428)</f>
        <v>13.6346527039019</v>
      </c>
      <c r="P1428" s="21" t="n">
        <f aca="false">N1428-O1428</f>
        <v>1.44728977737615</v>
      </c>
      <c r="Q1428" s="7" t="n">
        <v>1</v>
      </c>
      <c r="R1428" s="3" t="n">
        <f aca="false">IF(AND(Q1428=1,B1428-_xlfn.MINIFS($B$2:$B$2705,$A$2:$A$2705,A1428)&lt;10),1,0)</f>
        <v>0</v>
      </c>
      <c r="S1428" s="7" t="n">
        <v>0</v>
      </c>
      <c r="T1428" s="3" t="n">
        <f aca="false">_xlfn.MINIFS($B$2:$B$2705,$A$2:$A$2705,A1428)</f>
        <v>1962</v>
      </c>
      <c r="U1428" s="3" t="n">
        <f aca="false">B1428-T1428</f>
        <v>19</v>
      </c>
      <c r="V1428" s="3" t="str">
        <f aca="false">INDEX(Pop_Inputs!$Q$2:$Q$29,MATCH(C1428,Pop_Inputs!$A$2:$A$29,0))</f>
        <v>Northeast</v>
      </c>
      <c r="W1428" s="30"/>
      <c r="X1428" s="3" t="str">
        <f aca="false">IF(W1428="","",LN(W1428))</f>
        <v/>
      </c>
      <c r="Y1428" s="3" t="str">
        <f aca="false">IF(X1428="","",X1428-AVERAGEIFS($X$2:$X$2705,$B$2:$B$2705,B1428))</f>
        <v/>
      </c>
      <c r="Z1428" s="21" t="n">
        <f aca="false">P1428</f>
        <v>1.44728977737615</v>
      </c>
      <c r="AA1428" s="3" t="n">
        <f aca="false">R1428</f>
        <v>0</v>
      </c>
      <c r="AB1428" s="21" t="n">
        <f aca="false">P1428</f>
        <v>1.44728977737615</v>
      </c>
      <c r="AC1428" s="3" t="str">
        <f aca="false">Y1428</f>
        <v/>
      </c>
      <c r="AD1428" s="3" t="n">
        <f aca="false">R1428</f>
        <v>0</v>
      </c>
    </row>
    <row r="1429" customFormat="false" ht="15" hidden="false" customHeight="true" outlineLevel="0" collapsed="false">
      <c r="A1429" s="7" t="s">
        <v>70</v>
      </c>
      <c r="B1429" s="7" t="n">
        <v>1981</v>
      </c>
      <c r="C1429" s="7" t="s">
        <v>154</v>
      </c>
      <c r="D1429" s="7" t="n">
        <v>59</v>
      </c>
      <c r="E1429" s="7" t="n">
        <v>48</v>
      </c>
      <c r="F1429" s="3" t="n">
        <f aca="false">COUNTIFS($B$2:$B$2705,B1429,$C$2:$C$2705,C1429)</f>
        <v>2</v>
      </c>
      <c r="G1429" s="3" t="n">
        <f aca="false">MIN(INT((MIN(B1429,2020)-1900)/10)+1,12)</f>
        <v>9</v>
      </c>
      <c r="H1429" s="3" t="n">
        <f aca="false">(MIN(B1429,2020)-1900-10*(G1429-1))/10</f>
        <v>0.1</v>
      </c>
      <c r="I1429" s="20" t="n">
        <f aca="false">EXP(LN(INDEX(Pop_Inputs!$B$2:$N$29,MATCH(C1429,Pop_Inputs!$A$2:$A$29,0),G1429))*(1-H1429)+LN(INDEX(Pop_Inputs!$B$2:$N$29,MATCH(C1429,Pop_Inputs!$A$2:$A$29,0),G1429+1))*H1429)</f>
        <v>7096339.61464285</v>
      </c>
      <c r="J1429" s="20" t="n">
        <f aca="false">I1429/F1429</f>
        <v>3548169.80732142</v>
      </c>
      <c r="K1429" s="21" t="n">
        <f aca="false">D1429/(D1429+E1429)</f>
        <v>0.551401869158879</v>
      </c>
      <c r="L1429" s="21" t="n">
        <f aca="false">AVERAGEIFS($K$2:$K$2705,$B$2:$B$2705,B1429)</f>
        <v>0.499684230909339</v>
      </c>
      <c r="M1429" s="21" t="n">
        <f aca="false">K1429-L1429</f>
        <v>0.0517176382495397</v>
      </c>
      <c r="N1429" s="21" t="n">
        <f aca="false">LN(J1429)</f>
        <v>15.081942481278</v>
      </c>
      <c r="O1429" s="21" t="n">
        <f aca="false">AVERAGEIFS($N$2:$N$2705,$B$2:$B$2705,B1429)</f>
        <v>13.6346527039019</v>
      </c>
      <c r="P1429" s="21" t="n">
        <f aca="false">N1429-O1429</f>
        <v>1.44728977737615</v>
      </c>
      <c r="Q1429" s="7" t="n">
        <v>0</v>
      </c>
      <c r="R1429" s="3" t="n">
        <f aca="false">IF(AND(Q1429=1,B1429-_xlfn.MINIFS($B$2:$B$2705,$A$2:$A$2705,A1429)&lt;10),1,0)</f>
        <v>0</v>
      </c>
      <c r="S1429" s="7" t="n">
        <v>1</v>
      </c>
      <c r="T1429" s="3" t="n">
        <f aca="false">_xlfn.MINIFS($B$2:$B$2705,$A$2:$A$2705,A1429)</f>
        <v>1903</v>
      </c>
      <c r="U1429" s="3" t="n">
        <f aca="false">B1429-T1429</f>
        <v>78</v>
      </c>
      <c r="V1429" s="3" t="str">
        <f aca="false">INDEX(Pop_Inputs!$Q$2:$Q$29,MATCH(C1429,Pop_Inputs!$A$2:$A$29,0))</f>
        <v>Northeast</v>
      </c>
      <c r="W1429" s="30"/>
      <c r="X1429" s="3" t="str">
        <f aca="false">IF(W1429="","",LN(W1429))</f>
        <v/>
      </c>
      <c r="Y1429" s="3" t="str">
        <f aca="false">IF(X1429="","",X1429-AVERAGEIFS($X$2:$X$2705,$B$2:$B$2705,B1429))</f>
        <v/>
      </c>
      <c r="Z1429" s="21" t="n">
        <f aca="false">P1429</f>
        <v>1.44728977737615</v>
      </c>
      <c r="AA1429" s="3" t="n">
        <f aca="false">R1429</f>
        <v>0</v>
      </c>
      <c r="AB1429" s="21" t="n">
        <f aca="false">P1429</f>
        <v>1.44728977737615</v>
      </c>
      <c r="AC1429" s="3" t="str">
        <f aca="false">Y1429</f>
        <v/>
      </c>
      <c r="AD1429" s="3" t="n">
        <f aca="false">R1429</f>
        <v>0</v>
      </c>
    </row>
    <row r="1430" customFormat="false" ht="15" hidden="false" customHeight="true" outlineLevel="0" collapsed="false">
      <c r="A1430" s="7" t="s">
        <v>69</v>
      </c>
      <c r="B1430" s="7" t="n">
        <v>1981</v>
      </c>
      <c r="C1430" s="7" t="s">
        <v>253</v>
      </c>
      <c r="D1430" s="7" t="n">
        <v>64</v>
      </c>
      <c r="E1430" s="7" t="n">
        <v>45</v>
      </c>
      <c r="F1430" s="3" t="n">
        <f aca="false">COUNTIFS($B$2:$B$2705,B1430,$C$2:$C$2705,C1430)</f>
        <v>1</v>
      </c>
      <c r="G1430" s="3" t="n">
        <f aca="false">MIN(INT((MIN(B1430,2020)-1900)/10)+1,12)</f>
        <v>9</v>
      </c>
      <c r="H1430" s="3" t="n">
        <f aca="false">(MIN(B1430,2020)-1900-10*(G1430-1))/10</f>
        <v>0.1</v>
      </c>
      <c r="I1430" s="20" t="n">
        <f aca="false">EXP(LN(INDEX(Pop_Inputs!$B$2:$N$29,MATCH(C1430,Pop_Inputs!$A$2:$A$29,0),G1430))*(1-H1430)+LN(INDEX(Pop_Inputs!$B$2:$N$29,MATCH(C1430,Pop_Inputs!$A$2:$A$29,0),G1430+1))*H1430)</f>
        <v>342492.15781048</v>
      </c>
      <c r="J1430" s="20" t="n">
        <f aca="false">I1430/F1430</f>
        <v>342492.15781048</v>
      </c>
      <c r="K1430" s="21" t="n">
        <f aca="false">D1430/(D1430+E1430)</f>
        <v>0.587155963302752</v>
      </c>
      <c r="L1430" s="21" t="n">
        <f aca="false">AVERAGEIFS($K$2:$K$2705,$B$2:$B$2705,B1430)</f>
        <v>0.499684230909339</v>
      </c>
      <c r="M1430" s="21" t="n">
        <f aca="false">K1430-L1430</f>
        <v>0.0874717323934136</v>
      </c>
      <c r="N1430" s="21" t="n">
        <f aca="false">LN(J1430)</f>
        <v>12.7440040395186</v>
      </c>
      <c r="O1430" s="21" t="n">
        <f aca="false">AVERAGEIFS($N$2:$N$2705,$B$2:$B$2705,B1430)</f>
        <v>13.6346527039019</v>
      </c>
      <c r="P1430" s="21" t="n">
        <f aca="false">N1430-O1430</f>
        <v>-0.890648664383308</v>
      </c>
      <c r="Q1430" s="7" t="n">
        <v>0</v>
      </c>
      <c r="R1430" s="3" t="n">
        <f aca="false">IF(AND(Q1430=1,B1430-_xlfn.MINIFS($B$2:$B$2705,$A$2:$A$2705,A1430)&lt;10),1,0)</f>
        <v>0</v>
      </c>
      <c r="S1430" s="7" t="n">
        <v>0</v>
      </c>
      <c r="T1430" s="3" t="n">
        <f aca="false">_xlfn.MINIFS($B$2:$B$2705,$A$2:$A$2705,A1430)</f>
        <v>1901</v>
      </c>
      <c r="U1430" s="3" t="n">
        <f aca="false">B1430-T1430</f>
        <v>80</v>
      </c>
      <c r="V1430" s="3" t="str">
        <f aca="false">INDEX(Pop_Inputs!$Q$2:$Q$29,MATCH(C1430,Pop_Inputs!$A$2:$A$29,0))</f>
        <v>West</v>
      </c>
      <c r="W1430" s="30"/>
      <c r="X1430" s="3" t="str">
        <f aca="false">IF(W1430="","",LN(W1430))</f>
        <v/>
      </c>
      <c r="Y1430" s="3" t="str">
        <f aca="false">IF(X1430="","",X1430-AVERAGEIFS($X$2:$X$2705,$B$2:$B$2705,B1430))</f>
        <v/>
      </c>
      <c r="Z1430" s="21" t="n">
        <f aca="false">P1430</f>
        <v>-0.890648664383308</v>
      </c>
      <c r="AA1430" s="3" t="n">
        <f aca="false">R1430</f>
        <v>0</v>
      </c>
      <c r="AB1430" s="21" t="n">
        <f aca="false">P1430</f>
        <v>-0.890648664383308</v>
      </c>
      <c r="AC1430" s="3" t="str">
        <f aca="false">Y1430</f>
        <v/>
      </c>
      <c r="AD1430" s="3" t="n">
        <f aca="false">R1430</f>
        <v>0</v>
      </c>
    </row>
    <row r="1431" customFormat="false" ht="15" hidden="false" customHeight="true" outlineLevel="0" collapsed="false">
      <c r="A1431" s="7" t="s">
        <v>60</v>
      </c>
      <c r="B1431" s="7" t="n">
        <v>1981</v>
      </c>
      <c r="C1431" s="7" t="s">
        <v>146</v>
      </c>
      <c r="D1431" s="7" t="n">
        <v>59</v>
      </c>
      <c r="E1431" s="7" t="n">
        <v>48</v>
      </c>
      <c r="F1431" s="3" t="n">
        <f aca="false">COUNTIFS($B$2:$B$2705,B1431,$C$2:$C$2705,C1431)</f>
        <v>1</v>
      </c>
      <c r="G1431" s="3" t="n">
        <f aca="false">MIN(INT((MIN(B1431,2020)-1900)/10)+1,12)</f>
        <v>9</v>
      </c>
      <c r="H1431" s="3" t="n">
        <f aca="false">(MIN(B1431,2020)-1900-10*(G1431-1))/10</f>
        <v>0.1</v>
      </c>
      <c r="I1431" s="20" t="n">
        <f aca="false">EXP(LN(INDEX(Pop_Inputs!$B$2:$N$29,MATCH(C1431,Pop_Inputs!$A$2:$A$29,0),G1431))*(1-H1431)+LN(INDEX(Pop_Inputs!$B$2:$N$29,MATCH(C1431,Pop_Inputs!$A$2:$A$29,0),G1431+1))*H1431)</f>
        <v>1677654.61298463</v>
      </c>
      <c r="J1431" s="20" t="n">
        <f aca="false">I1431/F1431</f>
        <v>1677654.61298463</v>
      </c>
      <c r="K1431" s="21" t="n">
        <f aca="false">D1431/(D1431+E1431)</f>
        <v>0.551401869158879</v>
      </c>
      <c r="L1431" s="21" t="n">
        <f aca="false">AVERAGEIFS($K$2:$K$2705,$B$2:$B$2705,B1431)</f>
        <v>0.499684230909339</v>
      </c>
      <c r="M1431" s="21" t="n">
        <f aca="false">K1431-L1431</f>
        <v>0.0517176382495397</v>
      </c>
      <c r="N1431" s="21" t="n">
        <f aca="false">LN(J1431)</f>
        <v>14.332907312275</v>
      </c>
      <c r="O1431" s="21" t="n">
        <f aca="false">AVERAGEIFS($N$2:$N$2705,$B$2:$B$2705,B1431)</f>
        <v>13.6346527039019</v>
      </c>
      <c r="P1431" s="21" t="n">
        <f aca="false">N1431-O1431</f>
        <v>0.698254608373089</v>
      </c>
      <c r="Q1431" s="7" t="n">
        <v>0</v>
      </c>
      <c r="R1431" s="3" t="n">
        <f aca="false">IF(AND(Q1431=1,B1431-_xlfn.MINIFS($B$2:$B$2705,$A$2:$A$2705,A1431)&lt;10),1,0)</f>
        <v>0</v>
      </c>
      <c r="S1431" s="7" t="n">
        <v>0</v>
      </c>
      <c r="T1431" s="3" t="n">
        <f aca="false">_xlfn.MINIFS($B$2:$B$2705,$A$2:$A$2705,A1431)</f>
        <v>1901</v>
      </c>
      <c r="U1431" s="3" t="n">
        <f aca="false">B1431-T1431</f>
        <v>80</v>
      </c>
      <c r="V1431" s="3" t="str">
        <f aca="false">INDEX(Pop_Inputs!$Q$2:$Q$29,MATCH(C1431,Pop_Inputs!$A$2:$A$29,0))</f>
        <v>Northeast</v>
      </c>
      <c r="W1431" s="30"/>
      <c r="X1431" s="3" t="str">
        <f aca="false">IF(W1431="","",LN(W1431))</f>
        <v/>
      </c>
      <c r="Y1431" s="3" t="str">
        <f aca="false">IF(X1431="","",X1431-AVERAGEIFS($X$2:$X$2705,$B$2:$B$2705,B1431))</f>
        <v/>
      </c>
      <c r="Z1431" s="21" t="n">
        <f aca="false">P1431</f>
        <v>0.698254608373089</v>
      </c>
      <c r="AA1431" s="3" t="n">
        <f aca="false">R1431</f>
        <v>0</v>
      </c>
      <c r="AB1431" s="21" t="n">
        <f aca="false">P1431</f>
        <v>0.698254608373089</v>
      </c>
      <c r="AC1431" s="3" t="str">
        <f aca="false">Y1431</f>
        <v/>
      </c>
      <c r="AD1431" s="3" t="n">
        <f aca="false">R1431</f>
        <v>0</v>
      </c>
    </row>
    <row r="1432" customFormat="false" ht="15" hidden="false" customHeight="true" outlineLevel="0" collapsed="false">
      <c r="A1432" s="7" t="s">
        <v>58</v>
      </c>
      <c r="B1432" s="7" t="n">
        <v>1981</v>
      </c>
      <c r="C1432" s="7" t="s">
        <v>144</v>
      </c>
      <c r="D1432" s="7" t="n">
        <v>46</v>
      </c>
      <c r="E1432" s="7" t="n">
        <v>56</v>
      </c>
      <c r="F1432" s="3" t="n">
        <f aca="false">COUNTIFS($B$2:$B$2705,B1432,$C$2:$C$2705,C1432)</f>
        <v>1</v>
      </c>
      <c r="G1432" s="3" t="n">
        <f aca="false">MIN(INT((MIN(B1432,2020)-1900)/10)+1,12)</f>
        <v>9</v>
      </c>
      <c r="H1432" s="3" t="n">
        <f aca="false">(MIN(B1432,2020)-1900-10*(G1432-1))/10</f>
        <v>0.1</v>
      </c>
      <c r="I1432" s="20" t="n">
        <f aca="false">EXP(LN(INDEX(Pop_Inputs!$B$2:$N$29,MATCH(C1432,Pop_Inputs!$A$2:$A$29,0),G1432))*(1-H1432)+LN(INDEX(Pop_Inputs!$B$2:$N$29,MATCH(C1432,Pop_Inputs!$A$2:$A$29,0),G1432+1))*H1432)</f>
        <v>418194.27146469</v>
      </c>
      <c r="J1432" s="20" t="n">
        <f aca="false">I1432/F1432</f>
        <v>418194.27146469</v>
      </c>
      <c r="K1432" s="21" t="n">
        <f aca="false">D1432/(D1432+E1432)</f>
        <v>0.450980392156863</v>
      </c>
      <c r="L1432" s="21" t="n">
        <f aca="false">AVERAGEIFS($K$2:$K$2705,$B$2:$B$2705,B1432)</f>
        <v>0.499684230909339</v>
      </c>
      <c r="M1432" s="21" t="n">
        <f aca="false">K1432-L1432</f>
        <v>-0.048703838752476</v>
      </c>
      <c r="N1432" s="21" t="n">
        <f aca="false">LN(J1432)</f>
        <v>12.943701367807</v>
      </c>
      <c r="O1432" s="21" t="n">
        <f aca="false">AVERAGEIFS($N$2:$N$2705,$B$2:$B$2705,B1432)</f>
        <v>13.6346527039019</v>
      </c>
      <c r="P1432" s="21" t="n">
        <f aca="false">N1432-O1432</f>
        <v>-0.690951336094852</v>
      </c>
      <c r="Q1432" s="7" t="n">
        <v>0</v>
      </c>
      <c r="R1432" s="3" t="n">
        <f aca="false">IF(AND(Q1432=1,B1432-_xlfn.MINIFS($B$2:$B$2705,$A$2:$A$2705,A1432)&lt;10),1,0)</f>
        <v>0</v>
      </c>
      <c r="S1432" s="7" t="n">
        <v>0</v>
      </c>
      <c r="T1432" s="3" t="n">
        <f aca="false">_xlfn.MINIFS($B$2:$B$2705,$A$2:$A$2705,A1432)</f>
        <v>1901</v>
      </c>
      <c r="U1432" s="3" t="n">
        <f aca="false">B1432-T1432</f>
        <v>80</v>
      </c>
      <c r="V1432" s="3" t="str">
        <f aca="false">INDEX(Pop_Inputs!$Q$2:$Q$29,MATCH(C1432,Pop_Inputs!$A$2:$A$29,0))</f>
        <v>Northeast</v>
      </c>
      <c r="W1432" s="30"/>
      <c r="X1432" s="3" t="str">
        <f aca="false">IF(W1432="","",LN(W1432))</f>
        <v/>
      </c>
      <c r="Y1432" s="3" t="str">
        <f aca="false">IF(X1432="","",X1432-AVERAGEIFS($X$2:$X$2705,$B$2:$B$2705,B1432))</f>
        <v/>
      </c>
      <c r="Z1432" s="21" t="n">
        <f aca="false">P1432</f>
        <v>-0.690951336094852</v>
      </c>
      <c r="AA1432" s="3" t="n">
        <f aca="false">R1432</f>
        <v>0</v>
      </c>
      <c r="AB1432" s="21" t="n">
        <f aca="false">P1432</f>
        <v>-0.690951336094852</v>
      </c>
      <c r="AC1432" s="3" t="str">
        <f aca="false">Y1432</f>
        <v/>
      </c>
      <c r="AD1432" s="3" t="n">
        <f aca="false">R1432</f>
        <v>0</v>
      </c>
    </row>
    <row r="1433" customFormat="false" ht="15" hidden="false" customHeight="true" outlineLevel="0" collapsed="false">
      <c r="A1433" s="7" t="s">
        <v>78</v>
      </c>
      <c r="B1433" s="7" t="n">
        <v>1981</v>
      </c>
      <c r="C1433" s="7" t="s">
        <v>159</v>
      </c>
      <c r="D1433" s="7" t="n">
        <v>41</v>
      </c>
      <c r="E1433" s="7" t="n">
        <v>69</v>
      </c>
      <c r="F1433" s="3" t="n">
        <f aca="false">COUNTIFS($B$2:$B$2705,B1433,$C$2:$C$2705,C1433)</f>
        <v>1</v>
      </c>
      <c r="G1433" s="3" t="n">
        <f aca="false">MIN(INT((MIN(B1433,2020)-1900)/10)+1,12)</f>
        <v>9</v>
      </c>
      <c r="H1433" s="3" t="n">
        <f aca="false">(MIN(B1433,2020)-1900-10*(G1433-1))/10</f>
        <v>0.1</v>
      </c>
      <c r="I1433" s="20" t="n">
        <f aca="false">EXP(LN(INDEX(Pop_Inputs!$B$2:$N$29,MATCH(C1433,Pop_Inputs!$A$2:$A$29,0),G1433))*(1-H1433)+LN(INDEX(Pop_Inputs!$B$2:$N$29,MATCH(C1433,Pop_Inputs!$A$2:$A$29,0),G1433+1))*H1433)</f>
        <v>896605.239781161</v>
      </c>
      <c r="J1433" s="20" t="n">
        <f aca="false">I1433/F1433</f>
        <v>896605.239781161</v>
      </c>
      <c r="K1433" s="21" t="n">
        <f aca="false">D1433/(D1433+E1433)</f>
        <v>0.372727272727273</v>
      </c>
      <c r="L1433" s="21" t="n">
        <f aca="false">AVERAGEIFS($K$2:$K$2705,$B$2:$B$2705,B1433)</f>
        <v>0.499684230909339</v>
      </c>
      <c r="M1433" s="21" t="n">
        <f aca="false">K1433-L1433</f>
        <v>-0.126956958182066</v>
      </c>
      <c r="N1433" s="21" t="n">
        <f aca="false">LN(J1433)</f>
        <v>13.706370954743</v>
      </c>
      <c r="O1433" s="21" t="n">
        <f aca="false">AVERAGEIFS($N$2:$N$2705,$B$2:$B$2705,B1433)</f>
        <v>13.6346527039019</v>
      </c>
      <c r="P1433" s="21" t="n">
        <f aca="false">N1433-O1433</f>
        <v>0.0717182508411369</v>
      </c>
      <c r="Q1433" s="7" t="n">
        <v>1</v>
      </c>
      <c r="R1433" s="3" t="n">
        <f aca="false">IF(AND(Q1433=1,B1433-_xlfn.MINIFS($B$2:$B$2705,$A$2:$A$2705,A1433)&lt;10),1,0)</f>
        <v>0</v>
      </c>
      <c r="S1433" s="7" t="n">
        <v>0</v>
      </c>
      <c r="T1433" s="3" t="n">
        <f aca="false">_xlfn.MINIFS($B$2:$B$2705,$A$2:$A$2705,A1433)</f>
        <v>1969</v>
      </c>
      <c r="U1433" s="3" t="n">
        <f aca="false">B1433-T1433</f>
        <v>12</v>
      </c>
      <c r="V1433" s="3" t="str">
        <f aca="false">INDEX(Pop_Inputs!$Q$2:$Q$29,MATCH(C1433,Pop_Inputs!$A$2:$A$29,0))</f>
        <v>West</v>
      </c>
      <c r="W1433" s="30"/>
      <c r="X1433" s="3" t="str">
        <f aca="false">IF(W1433="","",LN(W1433))</f>
        <v/>
      </c>
      <c r="Y1433" s="3" t="str">
        <f aca="false">IF(X1433="","",X1433-AVERAGEIFS($X$2:$X$2705,$B$2:$B$2705,B1433))</f>
        <v/>
      </c>
      <c r="Z1433" s="21" t="n">
        <f aca="false">P1433</f>
        <v>0.0717182508411369</v>
      </c>
      <c r="AA1433" s="3" t="n">
        <f aca="false">R1433</f>
        <v>0</v>
      </c>
      <c r="AB1433" s="21" t="n">
        <f aca="false">P1433</f>
        <v>0.0717182508411369</v>
      </c>
      <c r="AC1433" s="3" t="str">
        <f aca="false">Y1433</f>
        <v/>
      </c>
      <c r="AD1433" s="3" t="n">
        <f aca="false">R1433</f>
        <v>0</v>
      </c>
    </row>
    <row r="1434" customFormat="false" ht="15" hidden="false" customHeight="true" outlineLevel="0" collapsed="false">
      <c r="A1434" s="7" t="s">
        <v>80</v>
      </c>
      <c r="B1434" s="7" t="n">
        <v>1981</v>
      </c>
      <c r="C1434" s="7" t="s">
        <v>161</v>
      </c>
      <c r="D1434" s="7" t="n">
        <v>44</v>
      </c>
      <c r="E1434" s="7" t="n">
        <v>65</v>
      </c>
      <c r="F1434" s="3" t="n">
        <f aca="false">COUNTIFS($B$2:$B$2705,B1434,$C$2:$C$2705,C1434)</f>
        <v>1</v>
      </c>
      <c r="G1434" s="3" t="n">
        <f aca="false">MIN(INT((MIN(B1434,2020)-1900)/10)+1,12)</f>
        <v>9</v>
      </c>
      <c r="H1434" s="3" t="n">
        <f aca="false">(MIN(B1434,2020)-1900-10*(G1434-1))/10</f>
        <v>0.1</v>
      </c>
      <c r="I1434" s="20" t="n">
        <f aca="false">EXP(LN(INDEX(Pop_Inputs!$B$2:$N$29,MATCH(C1434,Pop_Inputs!$A$2:$A$29,0),G1434))*(1-H1434)+LN(INDEX(Pop_Inputs!$B$2:$N$29,MATCH(C1434,Pop_Inputs!$A$2:$A$29,0),G1434+1))*H1434)</f>
        <v>496042.799680235</v>
      </c>
      <c r="J1434" s="20" t="n">
        <f aca="false">I1434/F1434</f>
        <v>496042.799680235</v>
      </c>
      <c r="K1434" s="21" t="n">
        <f aca="false">D1434/(D1434+E1434)</f>
        <v>0.403669724770642</v>
      </c>
      <c r="L1434" s="21" t="n">
        <f aca="false">AVERAGEIFS($K$2:$K$2705,$B$2:$B$2705,B1434)</f>
        <v>0.499684230909339</v>
      </c>
      <c r="M1434" s="21" t="n">
        <f aca="false">K1434-L1434</f>
        <v>-0.0960145061386966</v>
      </c>
      <c r="N1434" s="21" t="n">
        <f aca="false">LN(J1434)</f>
        <v>13.1144174916622</v>
      </c>
      <c r="O1434" s="21" t="n">
        <f aca="false">AVERAGEIFS($N$2:$N$2705,$B$2:$B$2705,B1434)</f>
        <v>13.6346527039019</v>
      </c>
      <c r="P1434" s="21" t="n">
        <f aca="false">N1434-O1434</f>
        <v>-0.52023521223966</v>
      </c>
      <c r="Q1434" s="7" t="n">
        <v>1</v>
      </c>
      <c r="R1434" s="3" t="n">
        <f aca="false">IF(AND(Q1434=1,B1434-_xlfn.MINIFS($B$2:$B$2705,$A$2:$A$2705,A1434)&lt;10),1,0)</f>
        <v>1</v>
      </c>
      <c r="S1434" s="7" t="n">
        <v>0</v>
      </c>
      <c r="T1434" s="3" t="n">
        <f aca="false">_xlfn.MINIFS($B$2:$B$2705,$A$2:$A$2705,A1434)</f>
        <v>1977</v>
      </c>
      <c r="U1434" s="3" t="n">
        <f aca="false">B1434-T1434</f>
        <v>4</v>
      </c>
      <c r="V1434" s="3" t="str">
        <f aca="false">INDEX(Pop_Inputs!$Q$2:$Q$29,MATCH(C1434,Pop_Inputs!$A$2:$A$29,0))</f>
        <v>West</v>
      </c>
      <c r="W1434" s="30"/>
      <c r="X1434" s="3" t="str">
        <f aca="false">IF(W1434="","",LN(W1434))</f>
        <v/>
      </c>
      <c r="Y1434" s="3" t="str">
        <f aca="false">IF(X1434="","",X1434-AVERAGEIFS($X$2:$X$2705,$B$2:$B$2705,B1434))</f>
        <v/>
      </c>
      <c r="Z1434" s="21" t="n">
        <f aca="false">P1434</f>
        <v>-0.52023521223966</v>
      </c>
      <c r="AA1434" s="3" t="n">
        <f aca="false">R1434</f>
        <v>1</v>
      </c>
      <c r="AB1434" s="21" t="n">
        <f aca="false">P1434</f>
        <v>-0.52023521223966</v>
      </c>
      <c r="AC1434" s="3" t="str">
        <f aca="false">Y1434</f>
        <v/>
      </c>
      <c r="AD1434" s="3" t="n">
        <f aca="false">R1434</f>
        <v>1</v>
      </c>
    </row>
    <row r="1435" customFormat="false" ht="15" hidden="false" customHeight="true" outlineLevel="0" collapsed="false">
      <c r="A1435" s="7" t="s">
        <v>61</v>
      </c>
      <c r="B1435" s="7" t="n">
        <v>1981</v>
      </c>
      <c r="C1435" s="7" t="s">
        <v>147</v>
      </c>
      <c r="D1435" s="7" t="n">
        <v>56</v>
      </c>
      <c r="E1435" s="7" t="n">
        <v>55</v>
      </c>
      <c r="F1435" s="3" t="n">
        <f aca="false">COUNTIFS($B$2:$B$2705,B1435,$C$2:$C$2705,C1435)</f>
        <v>1</v>
      </c>
      <c r="G1435" s="3" t="n">
        <f aca="false">MIN(INT((MIN(B1435,2020)-1900)/10)+1,12)</f>
        <v>9</v>
      </c>
      <c r="H1435" s="3" t="n">
        <f aca="false">(MIN(B1435,2020)-1900-10*(G1435-1))/10</f>
        <v>0.1</v>
      </c>
      <c r="I1435" s="20" t="n">
        <f aca="false">EXP(LN(INDEX(Pop_Inputs!$B$2:$N$29,MATCH(C1435,Pop_Inputs!$A$2:$A$29,0),G1435))*(1-H1435)+LN(INDEX(Pop_Inputs!$B$2:$N$29,MATCH(C1435,Pop_Inputs!$A$2:$A$29,0),G1435+1))*H1435)</f>
        <v>683343.750370663</v>
      </c>
      <c r="J1435" s="20" t="n">
        <f aca="false">I1435/F1435</f>
        <v>683343.750370663</v>
      </c>
      <c r="K1435" s="21" t="n">
        <f aca="false">D1435/(D1435+E1435)</f>
        <v>0.504504504504505</v>
      </c>
      <c r="L1435" s="21" t="n">
        <f aca="false">AVERAGEIFS($K$2:$K$2705,$B$2:$B$2705,B1435)</f>
        <v>0.499684230909339</v>
      </c>
      <c r="M1435" s="21" t="n">
        <f aca="false">K1435-L1435</f>
        <v>0.00482027359516568</v>
      </c>
      <c r="N1435" s="21" t="n">
        <f aca="false">LN(J1435)</f>
        <v>13.4347533067752</v>
      </c>
      <c r="O1435" s="21" t="n">
        <f aca="false">AVERAGEIFS($N$2:$N$2705,$B$2:$B$2705,B1435)</f>
        <v>13.6346527039019</v>
      </c>
      <c r="P1435" s="21" t="n">
        <f aca="false">N1435-O1435</f>
        <v>-0.199899397126719</v>
      </c>
      <c r="Q1435" s="7" t="n">
        <v>0</v>
      </c>
      <c r="R1435" s="3" t="n">
        <f aca="false">IF(AND(Q1435=1,B1435-_xlfn.MINIFS($B$2:$B$2705,$A$2:$A$2705,A1435)&lt;10),1,0)</f>
        <v>0</v>
      </c>
      <c r="S1435" s="7" t="n">
        <v>0</v>
      </c>
      <c r="T1435" s="3" t="n">
        <f aca="false">_xlfn.MINIFS($B$2:$B$2705,$A$2:$A$2705,A1435)</f>
        <v>1901</v>
      </c>
      <c r="U1435" s="3" t="n">
        <f aca="false">B1435-T1435</f>
        <v>80</v>
      </c>
      <c r="V1435" s="3" t="str">
        <f aca="false">INDEX(Pop_Inputs!$Q$2:$Q$29,MATCH(C1435,Pop_Inputs!$A$2:$A$29,0))</f>
        <v>West</v>
      </c>
      <c r="W1435" s="30"/>
      <c r="X1435" s="3" t="str">
        <f aca="false">IF(W1435="","",LN(W1435))</f>
        <v/>
      </c>
      <c r="Y1435" s="3" t="str">
        <f aca="false">IF(X1435="","",X1435-AVERAGEIFS($X$2:$X$2705,$B$2:$B$2705,B1435))</f>
        <v/>
      </c>
      <c r="Z1435" s="21" t="n">
        <f aca="false">P1435</f>
        <v>-0.199899397126719</v>
      </c>
      <c r="AA1435" s="3" t="n">
        <f aca="false">R1435</f>
        <v>0</v>
      </c>
      <c r="AB1435" s="21" t="n">
        <f aca="false">P1435</f>
        <v>-0.199899397126719</v>
      </c>
      <c r="AC1435" s="3" t="str">
        <f aca="false">Y1435</f>
        <v/>
      </c>
      <c r="AD1435" s="3" t="n">
        <f aca="false">R1435</f>
        <v>0</v>
      </c>
    </row>
    <row r="1436" customFormat="false" ht="15" hidden="false" customHeight="true" outlineLevel="0" collapsed="false">
      <c r="A1436" s="7" t="s">
        <v>59</v>
      </c>
      <c r="B1436" s="7" t="n">
        <v>1981</v>
      </c>
      <c r="C1436" s="7" t="s">
        <v>145</v>
      </c>
      <c r="D1436" s="7" t="n">
        <v>59</v>
      </c>
      <c r="E1436" s="7" t="n">
        <v>43</v>
      </c>
      <c r="F1436" s="3" t="n">
        <f aca="false">COUNTIFS($B$2:$B$2705,B1436,$C$2:$C$2705,C1436)</f>
        <v>1</v>
      </c>
      <c r="G1436" s="3" t="n">
        <f aca="false">MIN(INT((MIN(B1436,2020)-1900)/10)+1,12)</f>
        <v>9</v>
      </c>
      <c r="H1436" s="3" t="n">
        <f aca="false">(MIN(B1436,2020)-1900-10*(G1436-1))/10</f>
        <v>0.1</v>
      </c>
      <c r="I1436" s="20" t="n">
        <f aca="false">EXP(LN(INDEX(Pop_Inputs!$B$2:$N$29,MATCH(C1436,Pop_Inputs!$A$2:$A$29,0),G1436))*(1-H1436)+LN(INDEX(Pop_Inputs!$B$2:$N$29,MATCH(C1436,Pop_Inputs!$A$2:$A$29,0),G1436+1))*H1436)</f>
        <v>447741.063833812</v>
      </c>
      <c r="J1436" s="20" t="n">
        <f aca="false">I1436/F1436</f>
        <v>447741.063833812</v>
      </c>
      <c r="K1436" s="21" t="n">
        <f aca="false">D1436/(D1436+E1436)</f>
        <v>0.57843137254902</v>
      </c>
      <c r="L1436" s="21" t="n">
        <f aca="false">AVERAGEIFS($K$2:$K$2705,$B$2:$B$2705,B1436)</f>
        <v>0.499684230909339</v>
      </c>
      <c r="M1436" s="21" t="n">
        <f aca="false">K1436-L1436</f>
        <v>0.0787471416396809</v>
      </c>
      <c r="N1436" s="21" t="n">
        <f aca="false">LN(J1436)</f>
        <v>13.011970361787</v>
      </c>
      <c r="O1436" s="21" t="n">
        <f aca="false">AVERAGEIFS($N$2:$N$2705,$B$2:$B$2705,B1436)</f>
        <v>13.6346527039019</v>
      </c>
      <c r="P1436" s="21" t="n">
        <f aca="false">N1436-O1436</f>
        <v>-0.62268234211485</v>
      </c>
      <c r="Q1436" s="7" t="n">
        <v>0</v>
      </c>
      <c r="R1436" s="3" t="n">
        <f aca="false">IF(AND(Q1436=1,B1436-_xlfn.MINIFS($B$2:$B$2705,$A$2:$A$2705,A1436)&lt;10),1,0)</f>
        <v>0</v>
      </c>
      <c r="S1436" s="7" t="n">
        <v>0</v>
      </c>
      <c r="T1436" s="3" t="n">
        <f aca="false">_xlfn.MINIFS($B$2:$B$2705,$A$2:$A$2705,A1436)</f>
        <v>1901</v>
      </c>
      <c r="U1436" s="3" t="n">
        <f aca="false">B1436-T1436</f>
        <v>80</v>
      </c>
      <c r="V1436" s="3" t="str">
        <f aca="false">INDEX(Pop_Inputs!$Q$2:$Q$29,MATCH(C1436,Pop_Inputs!$A$2:$A$29,0))</f>
        <v>Midwest</v>
      </c>
      <c r="W1436" s="30"/>
      <c r="X1436" s="3" t="str">
        <f aca="false">IF(W1436="","",LN(W1436))</f>
        <v/>
      </c>
      <c r="Y1436" s="3" t="str">
        <f aca="false">IF(X1436="","",X1436-AVERAGEIFS($X$2:$X$2705,$B$2:$B$2705,B1436))</f>
        <v/>
      </c>
      <c r="Z1436" s="21" t="n">
        <f aca="false">P1436</f>
        <v>-0.62268234211485</v>
      </c>
      <c r="AA1436" s="3" t="n">
        <f aca="false">R1436</f>
        <v>0</v>
      </c>
      <c r="AB1436" s="21" t="n">
        <f aca="false">P1436</f>
        <v>-0.62268234211485</v>
      </c>
      <c r="AC1436" s="3" t="str">
        <f aca="false">Y1436</f>
        <v/>
      </c>
      <c r="AD1436" s="3" t="n">
        <f aca="false">R1436</f>
        <v>0</v>
      </c>
    </row>
    <row r="1437" customFormat="false" ht="15" hidden="false" customHeight="true" outlineLevel="0" collapsed="false">
      <c r="A1437" s="7" t="s">
        <v>73</v>
      </c>
      <c r="B1437" s="7" t="n">
        <v>1981</v>
      </c>
      <c r="C1437" s="7" t="s">
        <v>155</v>
      </c>
      <c r="D1437" s="7" t="n">
        <v>57</v>
      </c>
      <c r="E1437" s="7" t="n">
        <v>48</v>
      </c>
      <c r="F1437" s="3" t="n">
        <f aca="false">COUNTIFS($B$2:$B$2705,B1437,$C$2:$C$2705,C1437)</f>
        <v>1</v>
      </c>
      <c r="G1437" s="3" t="n">
        <f aca="false">MIN(INT((MIN(B1437,2020)-1900)/10)+1,12)</f>
        <v>9</v>
      </c>
      <c r="H1437" s="3" t="n">
        <f aca="false">(MIN(B1437,2020)-1900-10*(G1437-1))/10</f>
        <v>0.1</v>
      </c>
      <c r="I1437" s="20" t="n">
        <f aca="false">EXP(LN(INDEX(Pop_Inputs!$B$2:$N$29,MATCH(C1437,Pop_Inputs!$A$2:$A$29,0),G1437))*(1-H1437)+LN(INDEX(Pop_Inputs!$B$2:$N$29,MATCH(C1437,Pop_Inputs!$A$2:$A$29,0),G1437+1))*H1437)</f>
        <v>913875.987433908</v>
      </c>
      <c r="J1437" s="20" t="n">
        <f aca="false">I1437/F1437</f>
        <v>913875.987433908</v>
      </c>
      <c r="K1437" s="21" t="n">
        <f aca="false">D1437/(D1437+E1437)</f>
        <v>0.542857142857143</v>
      </c>
      <c r="L1437" s="21" t="n">
        <f aca="false">AVERAGEIFS($K$2:$K$2705,$B$2:$B$2705,B1437)</f>
        <v>0.499684230909339</v>
      </c>
      <c r="M1437" s="21" t="n">
        <f aca="false">K1437-L1437</f>
        <v>0.043172911947804</v>
      </c>
      <c r="N1437" s="21" t="n">
        <f aca="false">LN(J1437)</f>
        <v>13.7254501600862</v>
      </c>
      <c r="O1437" s="21" t="n">
        <f aca="false">AVERAGEIFS($N$2:$N$2705,$B$2:$B$2705,B1437)</f>
        <v>13.6346527039019</v>
      </c>
      <c r="P1437" s="21" t="n">
        <f aca="false">N1437-O1437</f>
        <v>0.0907974561843687</v>
      </c>
      <c r="Q1437" s="7" t="n">
        <v>1</v>
      </c>
      <c r="R1437" s="3" t="n">
        <f aca="false">IF(AND(Q1437=1,B1437-_xlfn.MINIFS($B$2:$B$2705,$A$2:$A$2705,A1437)&lt;10),1,0)</f>
        <v>0</v>
      </c>
      <c r="S1437" s="7" t="n">
        <v>0</v>
      </c>
      <c r="T1437" s="3" t="n">
        <f aca="false">_xlfn.MINIFS($B$2:$B$2705,$A$2:$A$2705,A1437)</f>
        <v>1961</v>
      </c>
      <c r="U1437" s="3" t="n">
        <f aca="false">B1437-T1437</f>
        <v>20</v>
      </c>
      <c r="V1437" s="3" t="str">
        <f aca="false">INDEX(Pop_Inputs!$Q$2:$Q$29,MATCH(C1437,Pop_Inputs!$A$2:$A$29,0))</f>
        <v>South</v>
      </c>
      <c r="W1437" s="30"/>
      <c r="X1437" s="3" t="str">
        <f aca="false">IF(W1437="","",LN(W1437))</f>
        <v/>
      </c>
      <c r="Y1437" s="3" t="str">
        <f aca="false">IF(X1437="","",X1437-AVERAGEIFS($X$2:$X$2705,$B$2:$B$2705,B1437))</f>
        <v/>
      </c>
      <c r="Z1437" s="21" t="n">
        <f aca="false">P1437</f>
        <v>0.0907974561843687</v>
      </c>
      <c r="AA1437" s="3" t="n">
        <f aca="false">R1437</f>
        <v>0</v>
      </c>
      <c r="AB1437" s="21" t="n">
        <f aca="false">P1437</f>
        <v>0.0907974561843687</v>
      </c>
      <c r="AC1437" s="3" t="str">
        <f aca="false">Y1437</f>
        <v/>
      </c>
      <c r="AD1437" s="3" t="n">
        <f aca="false">R1437</f>
        <v>0</v>
      </c>
    </row>
    <row r="1438" customFormat="false" ht="15" hidden="false" customHeight="true" outlineLevel="0" collapsed="false">
      <c r="A1438" s="7" t="s">
        <v>81</v>
      </c>
      <c r="B1438" s="7" t="n">
        <v>1981</v>
      </c>
      <c r="C1438" s="7" t="s">
        <v>162</v>
      </c>
      <c r="D1438" s="7" t="n">
        <v>37</v>
      </c>
      <c r="E1438" s="7" t="n">
        <v>69</v>
      </c>
      <c r="F1438" s="3" t="n">
        <f aca="false">COUNTIFS($B$2:$B$2705,B1438,$C$2:$C$2705,C1438)</f>
        <v>1</v>
      </c>
      <c r="G1438" s="3" t="n">
        <f aca="false">MIN(INT((MIN(B1438,2020)-1900)/10)+1,12)</f>
        <v>9</v>
      </c>
      <c r="H1438" s="3" t="n">
        <f aca="false">(MIN(B1438,2020)-1900-10*(G1438-1))/10</f>
        <v>0.1</v>
      </c>
      <c r="I1438" s="20" t="n">
        <f aca="false">EXP(LN(INDEX(Pop_Inputs!$B$2:$N$29,MATCH(C1438,Pop_Inputs!$A$2:$A$29,0),G1438))*(1-H1438)+LN(INDEX(Pop_Inputs!$B$2:$N$29,MATCH(C1438,Pop_Inputs!$A$2:$A$29,0),G1438+1))*H1438)</f>
        <v>602740.109483569</v>
      </c>
      <c r="J1438" s="20" t="n">
        <f aca="false">I1438/F1438</f>
        <v>602740.109483569</v>
      </c>
      <c r="K1438" s="21" t="n">
        <f aca="false">D1438/(D1438+E1438)</f>
        <v>0.349056603773585</v>
      </c>
      <c r="L1438" s="21" t="n">
        <f aca="false">AVERAGEIFS($K$2:$K$2705,$B$2:$B$2705,B1438)</f>
        <v>0.499684230909339</v>
      </c>
      <c r="M1438" s="21" t="n">
        <f aca="false">K1438-L1438</f>
        <v>-0.150627627135754</v>
      </c>
      <c r="N1438" s="21" t="n">
        <f aca="false">LN(J1438)</f>
        <v>13.3092413869226</v>
      </c>
      <c r="O1438" s="21" t="n">
        <f aca="false">AVERAGEIFS($N$2:$N$2705,$B$2:$B$2705,B1438)</f>
        <v>13.6346527039019</v>
      </c>
      <c r="P1438" s="21" t="n">
        <f aca="false">N1438-O1438</f>
        <v>-0.325411316979288</v>
      </c>
      <c r="Q1438" s="7" t="n">
        <v>1</v>
      </c>
      <c r="R1438" s="3" t="n">
        <f aca="false">IF(AND(Q1438=1,B1438-_xlfn.MINIFS($B$2:$B$2705,$A$2:$A$2705,A1438)&lt;10),1,0)</f>
        <v>1</v>
      </c>
      <c r="S1438" s="7" t="n">
        <v>0</v>
      </c>
      <c r="T1438" s="3" t="n">
        <f aca="false">_xlfn.MINIFS($B$2:$B$2705,$A$2:$A$2705,A1438)</f>
        <v>1977</v>
      </c>
      <c r="U1438" s="3" t="n">
        <f aca="false">B1438-T1438</f>
        <v>4</v>
      </c>
      <c r="V1438" s="3" t="str">
        <f aca="false">INDEX(Pop_Inputs!$Q$2:$Q$29,MATCH(C1438,Pop_Inputs!$A$2:$A$29,0))</f>
        <v>Canada</v>
      </c>
      <c r="W1438" s="30"/>
      <c r="X1438" s="3" t="str">
        <f aca="false">IF(W1438="","",LN(W1438))</f>
        <v/>
      </c>
      <c r="Y1438" s="3" t="str">
        <f aca="false">IF(X1438="","",X1438-AVERAGEIFS($X$2:$X$2705,$B$2:$B$2705,B1438))</f>
        <v/>
      </c>
      <c r="Z1438" s="21" t="n">
        <f aca="false">P1438</f>
        <v>-0.325411316979288</v>
      </c>
      <c r="AA1438" s="3" t="n">
        <f aca="false">R1438</f>
        <v>1</v>
      </c>
      <c r="AB1438" s="21" t="n">
        <f aca="false">P1438</f>
        <v>-0.325411316979288</v>
      </c>
      <c r="AC1438" s="3" t="str">
        <f aca="false">Y1438</f>
        <v/>
      </c>
      <c r="AD1438" s="3" t="n">
        <f aca="false">R1438</f>
        <v>1</v>
      </c>
    </row>
    <row r="1439" customFormat="false" ht="15" hidden="false" customHeight="true" outlineLevel="0" collapsed="false">
      <c r="A1439" s="7" t="s">
        <v>79</v>
      </c>
      <c r="B1439" s="7" t="n">
        <v>1981</v>
      </c>
      <c r="C1439" s="7" t="s">
        <v>254</v>
      </c>
      <c r="D1439" s="7" t="n">
        <v>60</v>
      </c>
      <c r="E1439" s="7" t="n">
        <v>48</v>
      </c>
      <c r="F1439" s="3" t="n">
        <f aca="false">COUNTIFS($B$2:$B$2705,B1439,$C$2:$C$2705,C1439)</f>
        <v>1</v>
      </c>
      <c r="G1439" s="3" t="n">
        <f aca="false">MIN(INT((MIN(B1439,2020)-1900)/10)+1,12)</f>
        <v>9</v>
      </c>
      <c r="H1439" s="3" t="n">
        <f aca="false">(MIN(B1439,2020)-1900-10*(G1439-1))/10</f>
        <v>0.1</v>
      </c>
      <c r="I1439" s="20" t="n">
        <f aca="false">EXP(LN(INDEX(Pop_Inputs!$B$2:$N$29,MATCH(C1439,Pop_Inputs!$A$2:$A$29,0),G1439))*(1-H1439)+LN(INDEX(Pop_Inputs!$B$2:$N$29,MATCH(C1439,Pop_Inputs!$A$2:$A$29,0),G1439+1))*H1439)</f>
        <v>984022.795293907</v>
      </c>
      <c r="J1439" s="20" t="n">
        <f aca="false">I1439/F1439</f>
        <v>984022.795293907</v>
      </c>
      <c r="K1439" s="21" t="n">
        <f aca="false">D1439/(D1439+E1439)</f>
        <v>0.555555555555556</v>
      </c>
      <c r="L1439" s="21" t="n">
        <f aca="false">AVERAGEIFS($K$2:$K$2705,$B$2:$B$2705,B1439)</f>
        <v>0.499684230909339</v>
      </c>
      <c r="M1439" s="21" t="n">
        <f aca="false">K1439-L1439</f>
        <v>0.0558713246462168</v>
      </c>
      <c r="N1439" s="21" t="n">
        <f aca="false">LN(J1439)</f>
        <v>13.7994043417152</v>
      </c>
      <c r="O1439" s="21" t="n">
        <f aca="false">AVERAGEIFS($N$2:$N$2705,$B$2:$B$2705,B1439)</f>
        <v>13.6346527039019</v>
      </c>
      <c r="P1439" s="21" t="n">
        <f aca="false">N1439-O1439</f>
        <v>0.164751637813279</v>
      </c>
      <c r="Q1439" s="7" t="n">
        <v>1</v>
      </c>
      <c r="R1439" s="3" t="n">
        <f aca="false">IF(AND(Q1439=1,B1439-_xlfn.MINIFS($B$2:$B$2705,$A$2:$A$2705,A1439)&lt;10),1,0)</f>
        <v>0</v>
      </c>
      <c r="S1439" s="7" t="n">
        <v>0</v>
      </c>
      <c r="T1439" s="3" t="n">
        <f aca="false">_xlfn.MINIFS($B$2:$B$2705,$A$2:$A$2705,A1439)</f>
        <v>1969</v>
      </c>
      <c r="U1439" s="3" t="n">
        <f aca="false">B1439-T1439</f>
        <v>12</v>
      </c>
      <c r="V1439" s="3" t="str">
        <f aca="false">INDEX(Pop_Inputs!$Q$2:$Q$29,MATCH(C1439,Pop_Inputs!$A$2:$A$29,0))</f>
        <v>Canada</v>
      </c>
      <c r="W1439" s="30"/>
      <c r="X1439" s="3" t="str">
        <f aca="false">IF(W1439="","",LN(W1439))</f>
        <v/>
      </c>
      <c r="Y1439" s="3" t="str">
        <f aca="false">IF(X1439="","",X1439-AVERAGEIFS($X$2:$X$2705,$B$2:$B$2705,B1439))</f>
        <v/>
      </c>
      <c r="Z1439" s="21" t="n">
        <f aca="false">P1439</f>
        <v>0.164751637813279</v>
      </c>
      <c r="AA1439" s="3" t="n">
        <f aca="false">R1439</f>
        <v>0</v>
      </c>
      <c r="AB1439" s="21" t="n">
        <f aca="false">P1439</f>
        <v>0.164751637813279</v>
      </c>
      <c r="AC1439" s="3" t="str">
        <f aca="false">Y1439</f>
        <v/>
      </c>
      <c r="AD1439" s="3" t="n">
        <f aca="false">R1439</f>
        <v>0</v>
      </c>
    </row>
    <row r="1440" customFormat="false" ht="15" hidden="false" customHeight="true" outlineLevel="0" collapsed="false">
      <c r="A1440" s="7" t="s">
        <v>71</v>
      </c>
      <c r="B1440" s="7" t="n">
        <v>1982</v>
      </c>
      <c r="C1440" s="7" t="s">
        <v>148</v>
      </c>
      <c r="D1440" s="7" t="n">
        <v>93</v>
      </c>
      <c r="E1440" s="7" t="n">
        <v>69</v>
      </c>
      <c r="F1440" s="3" t="n">
        <f aca="false">COUNTIFS($B$2:$B$2705,B1440,$C$2:$C$2705,C1440)</f>
        <v>2</v>
      </c>
      <c r="G1440" s="3" t="n">
        <f aca="false">MIN(INT((MIN(B1440,2020)-1900)/10)+1,12)</f>
        <v>9</v>
      </c>
      <c r="H1440" s="3" t="n">
        <f aca="false">(MIN(B1440,2020)-1900-10*(G1440-1))/10</f>
        <v>0.2</v>
      </c>
      <c r="I1440" s="20" t="n">
        <f aca="false">EXP(LN(INDEX(Pop_Inputs!$B$2:$N$29,MATCH(C1440,Pop_Inputs!$A$2:$A$29,0),G1440))*(1-H1440)+LN(INDEX(Pop_Inputs!$B$2:$N$29,MATCH(C1440,Pop_Inputs!$A$2:$A$29,0),G1440+1))*H1440)</f>
        <v>3063987.20334339</v>
      </c>
      <c r="J1440" s="20" t="n">
        <f aca="false">I1440/F1440</f>
        <v>1531993.60167169</v>
      </c>
      <c r="K1440" s="21" t="n">
        <f aca="false">D1440/(D1440+E1440)</f>
        <v>0.574074074074074</v>
      </c>
      <c r="L1440" s="21" t="n">
        <f aca="false">AVERAGEIFS($K$2:$K$2705,$B$2:$B$2705,B1440)</f>
        <v>0.5</v>
      </c>
      <c r="M1440" s="21" t="n">
        <f aca="false">K1440-L1440</f>
        <v>0.0740740740740741</v>
      </c>
      <c r="N1440" s="21" t="n">
        <f aca="false">LN(J1440)</f>
        <v>14.2420804528194</v>
      </c>
      <c r="O1440" s="21" t="n">
        <f aca="false">AVERAGEIFS($N$2:$N$2705,$B$2:$B$2705,B1440)</f>
        <v>13.6348708001551</v>
      </c>
      <c r="P1440" s="21" t="n">
        <f aca="false">N1440-O1440</f>
        <v>0.607209652664333</v>
      </c>
      <c r="Q1440" s="7" t="n">
        <v>1</v>
      </c>
      <c r="R1440" s="3" t="n">
        <f aca="false">IF(AND(Q1440=1,B1440-_xlfn.MINIFS($B$2:$B$2705,$A$2:$A$2705,A1440)&lt;10),1,0)</f>
        <v>0</v>
      </c>
      <c r="S1440" s="7" t="n">
        <v>0</v>
      </c>
      <c r="T1440" s="3" t="n">
        <f aca="false">_xlfn.MINIFS($B$2:$B$2705,$A$2:$A$2705,A1440)</f>
        <v>1961</v>
      </c>
      <c r="U1440" s="3" t="n">
        <f aca="false">B1440-T1440</f>
        <v>21</v>
      </c>
      <c r="V1440" s="3" t="str">
        <f aca="false">INDEX(Pop_Inputs!$Q$2:$Q$29,MATCH(C1440,Pop_Inputs!$A$2:$A$29,0))</f>
        <v>West</v>
      </c>
      <c r="W1440" s="30"/>
      <c r="X1440" s="3" t="str">
        <f aca="false">IF(W1440="","",LN(W1440))</f>
        <v/>
      </c>
      <c r="Y1440" s="3" t="str">
        <f aca="false">IF(X1440="","",X1440-AVERAGEIFS($X$2:$X$2705,$B$2:$B$2705,B1440))</f>
        <v/>
      </c>
      <c r="Z1440" s="21" t="n">
        <f aca="false">P1440</f>
        <v>0.607209652664333</v>
      </c>
      <c r="AA1440" s="3" t="n">
        <f aca="false">R1440</f>
        <v>0</v>
      </c>
      <c r="AB1440" s="21" t="n">
        <f aca="false">P1440</f>
        <v>0.607209652664333</v>
      </c>
      <c r="AC1440" s="3" t="str">
        <f aca="false">Y1440</f>
        <v/>
      </c>
      <c r="AD1440" s="3" t="n">
        <f aca="false">R1440</f>
        <v>0</v>
      </c>
    </row>
    <row r="1441" customFormat="false" ht="15" hidden="false" customHeight="true" outlineLevel="0" collapsed="false">
      <c r="A1441" s="7" t="s">
        <v>54</v>
      </c>
      <c r="B1441" s="7" t="n">
        <v>1982</v>
      </c>
      <c r="C1441" s="7" t="s">
        <v>141</v>
      </c>
      <c r="D1441" s="7" t="n">
        <v>89</v>
      </c>
      <c r="E1441" s="7" t="n">
        <v>73</v>
      </c>
      <c r="F1441" s="3" t="n">
        <f aca="false">COUNTIFS($B$2:$B$2705,B1441,$C$2:$C$2705,C1441)</f>
        <v>1</v>
      </c>
      <c r="G1441" s="3" t="n">
        <f aca="false">MIN(INT((MIN(B1441,2020)-1900)/10)+1,12)</f>
        <v>9</v>
      </c>
      <c r="H1441" s="3" t="n">
        <f aca="false">(MIN(B1441,2020)-1900-10*(G1441-1))/10</f>
        <v>0.2</v>
      </c>
      <c r="I1441" s="20" t="n">
        <f aca="false">EXP(LN(INDEX(Pop_Inputs!$B$2:$N$29,MATCH(C1441,Pop_Inputs!$A$2:$A$29,0),G1441))*(1-H1441)+LN(INDEX(Pop_Inputs!$B$2:$N$29,MATCH(C1441,Pop_Inputs!$A$2:$A$29,0),G1441+1))*H1441)</f>
        <v>418631.708868149</v>
      </c>
      <c r="J1441" s="20" t="n">
        <f aca="false">I1441/F1441</f>
        <v>418631.708868149</v>
      </c>
      <c r="K1441" s="21" t="n">
        <f aca="false">D1441/(D1441+E1441)</f>
        <v>0.549382716049383</v>
      </c>
      <c r="L1441" s="21" t="n">
        <f aca="false">AVERAGEIFS($K$2:$K$2705,$B$2:$B$2705,B1441)</f>
        <v>0.5</v>
      </c>
      <c r="M1441" s="21" t="n">
        <f aca="false">K1441-L1441</f>
        <v>0.0493827160493827</v>
      </c>
      <c r="N1441" s="21" t="n">
        <f aca="false">LN(J1441)</f>
        <v>12.9447468359296</v>
      </c>
      <c r="O1441" s="21" t="n">
        <f aca="false">AVERAGEIFS($N$2:$N$2705,$B$2:$B$2705,B1441)</f>
        <v>13.6348708001551</v>
      </c>
      <c r="P1441" s="21" t="n">
        <f aca="false">N1441-O1441</f>
        <v>-0.690123964225482</v>
      </c>
      <c r="Q1441" s="7" t="n">
        <v>0</v>
      </c>
      <c r="R1441" s="3" t="n">
        <f aca="false">IF(AND(Q1441=1,B1441-_xlfn.MINIFS($B$2:$B$2705,$A$2:$A$2705,A1441)&lt;10),1,0)</f>
        <v>0</v>
      </c>
      <c r="S1441" s="7" t="n">
        <v>0</v>
      </c>
      <c r="T1441" s="3" t="n">
        <f aca="false">_xlfn.MINIFS($B$2:$B$2705,$A$2:$A$2705,A1441)</f>
        <v>1901</v>
      </c>
      <c r="U1441" s="3" t="n">
        <f aca="false">B1441-T1441</f>
        <v>81</v>
      </c>
      <c r="V1441" s="3" t="str">
        <f aca="false">INDEX(Pop_Inputs!$Q$2:$Q$29,MATCH(C1441,Pop_Inputs!$A$2:$A$29,0))</f>
        <v>South</v>
      </c>
      <c r="W1441" s="30"/>
      <c r="X1441" s="3" t="str">
        <f aca="false">IF(W1441="","",LN(W1441))</f>
        <v/>
      </c>
      <c r="Y1441" s="3" t="str">
        <f aca="false">IF(X1441="","",X1441-AVERAGEIFS($X$2:$X$2705,$B$2:$B$2705,B1441))</f>
        <v/>
      </c>
      <c r="Z1441" s="21" t="n">
        <f aca="false">P1441</f>
        <v>-0.690123964225482</v>
      </c>
      <c r="AA1441" s="3" t="n">
        <f aca="false">R1441</f>
        <v>0</v>
      </c>
      <c r="AB1441" s="21" t="n">
        <f aca="false">P1441</f>
        <v>-0.690123964225482</v>
      </c>
      <c r="AC1441" s="3" t="str">
        <f aca="false">Y1441</f>
        <v/>
      </c>
      <c r="AD1441" s="3" t="n">
        <f aca="false">R1441</f>
        <v>0</v>
      </c>
    </row>
    <row r="1442" customFormat="false" ht="15" hidden="false" customHeight="true" outlineLevel="0" collapsed="false">
      <c r="A1442" s="7" t="s">
        <v>63</v>
      </c>
      <c r="B1442" s="7" t="n">
        <v>1982</v>
      </c>
      <c r="C1442" s="7" t="s">
        <v>149</v>
      </c>
      <c r="D1442" s="7" t="n">
        <v>94</v>
      </c>
      <c r="E1442" s="7" t="n">
        <v>68</v>
      </c>
      <c r="F1442" s="3" t="n">
        <f aca="false">COUNTIFS($B$2:$B$2705,B1442,$C$2:$C$2705,C1442)</f>
        <v>1</v>
      </c>
      <c r="G1442" s="3" t="n">
        <f aca="false">MIN(INT((MIN(B1442,2020)-1900)/10)+1,12)</f>
        <v>9</v>
      </c>
      <c r="H1442" s="3" t="n">
        <f aca="false">(MIN(B1442,2020)-1900-10*(G1442-1))/10</f>
        <v>0.2</v>
      </c>
      <c r="I1442" s="20" t="n">
        <f aca="false">EXP(LN(INDEX(Pop_Inputs!$B$2:$N$29,MATCH(C1442,Pop_Inputs!$A$2:$A$29,0),G1442))*(1-H1442)+LN(INDEX(Pop_Inputs!$B$2:$N$29,MATCH(C1442,Pop_Inputs!$A$2:$A$29,0),G1442+1))*H1442)</f>
        <v>776350.177021699</v>
      </c>
      <c r="J1442" s="20" t="n">
        <f aca="false">I1442/F1442</f>
        <v>776350.177021699</v>
      </c>
      <c r="K1442" s="21" t="n">
        <f aca="false">D1442/(D1442+E1442)</f>
        <v>0.580246913580247</v>
      </c>
      <c r="L1442" s="21" t="n">
        <f aca="false">AVERAGEIFS($K$2:$K$2705,$B$2:$B$2705,B1442)</f>
        <v>0.5</v>
      </c>
      <c r="M1442" s="21" t="n">
        <f aca="false">K1442-L1442</f>
        <v>0.0802469135802469</v>
      </c>
      <c r="N1442" s="21" t="n">
        <f aca="false">LN(J1442)</f>
        <v>13.5623589564272</v>
      </c>
      <c r="O1442" s="21" t="n">
        <f aca="false">AVERAGEIFS($N$2:$N$2705,$B$2:$B$2705,B1442)</f>
        <v>13.6348708001551</v>
      </c>
      <c r="P1442" s="21" t="n">
        <f aca="false">N1442-O1442</f>
        <v>-0.0725118437279182</v>
      </c>
      <c r="Q1442" s="7" t="n">
        <v>0</v>
      </c>
      <c r="R1442" s="3" t="n">
        <f aca="false">IF(AND(Q1442=1,B1442-_xlfn.MINIFS($B$2:$B$2705,$A$2:$A$2705,A1442)&lt;10),1,0)</f>
        <v>0</v>
      </c>
      <c r="S1442" s="7" t="n">
        <v>0</v>
      </c>
      <c r="T1442" s="3" t="n">
        <f aca="false">_xlfn.MINIFS($B$2:$B$2705,$A$2:$A$2705,A1442)</f>
        <v>1901</v>
      </c>
      <c r="U1442" s="3" t="n">
        <f aca="false">B1442-T1442</f>
        <v>81</v>
      </c>
      <c r="V1442" s="3" t="str">
        <f aca="false">INDEX(Pop_Inputs!$Q$2:$Q$29,MATCH(C1442,Pop_Inputs!$A$2:$A$29,0))</f>
        <v>South</v>
      </c>
      <c r="W1442" s="30"/>
      <c r="X1442" s="3" t="str">
        <f aca="false">IF(W1442="","",LN(W1442))</f>
        <v/>
      </c>
      <c r="Y1442" s="3" t="str">
        <f aca="false">IF(X1442="","",X1442-AVERAGEIFS($X$2:$X$2705,$B$2:$B$2705,B1442))</f>
        <v/>
      </c>
      <c r="Z1442" s="21" t="n">
        <f aca="false">P1442</f>
        <v>-0.0725118437279182</v>
      </c>
      <c r="AA1442" s="3" t="n">
        <f aca="false">R1442</f>
        <v>0</v>
      </c>
      <c r="AB1442" s="21" t="n">
        <f aca="false">P1442</f>
        <v>-0.0725118437279182</v>
      </c>
      <c r="AC1442" s="3" t="str">
        <f aca="false">Y1442</f>
        <v/>
      </c>
      <c r="AD1442" s="3" t="n">
        <f aca="false">R1442</f>
        <v>0</v>
      </c>
    </row>
    <row r="1443" customFormat="false" ht="15" hidden="false" customHeight="true" outlineLevel="0" collapsed="false">
      <c r="A1443" s="7" t="s">
        <v>64</v>
      </c>
      <c r="B1443" s="7" t="n">
        <v>1982</v>
      </c>
      <c r="C1443" s="7" t="s">
        <v>150</v>
      </c>
      <c r="D1443" s="7" t="n">
        <v>89</v>
      </c>
      <c r="E1443" s="7" t="n">
        <v>73</v>
      </c>
      <c r="F1443" s="3" t="n">
        <f aca="false">COUNTIFS($B$2:$B$2705,B1443,$C$2:$C$2705,C1443)</f>
        <v>1</v>
      </c>
      <c r="G1443" s="3" t="n">
        <f aca="false">MIN(INT((MIN(B1443,2020)-1900)/10)+1,12)</f>
        <v>9</v>
      </c>
      <c r="H1443" s="3" t="n">
        <f aca="false">(MIN(B1443,2020)-1900-10*(G1443-1))/10</f>
        <v>0.2</v>
      </c>
      <c r="I1443" s="20" t="n">
        <f aca="false">EXP(LN(INDEX(Pop_Inputs!$B$2:$N$29,MATCH(C1443,Pop_Inputs!$A$2:$A$29,0),G1443))*(1-H1443)+LN(INDEX(Pop_Inputs!$B$2:$N$29,MATCH(C1443,Pop_Inputs!$A$2:$A$29,0),G1443+1))*H1443)</f>
        <v>565233.905746636</v>
      </c>
      <c r="J1443" s="20" t="n">
        <f aca="false">I1443/F1443</f>
        <v>565233.905746636</v>
      </c>
      <c r="K1443" s="21" t="n">
        <f aca="false">D1443/(D1443+E1443)</f>
        <v>0.549382716049383</v>
      </c>
      <c r="L1443" s="21" t="n">
        <f aca="false">AVERAGEIFS($K$2:$K$2705,$B$2:$B$2705,B1443)</f>
        <v>0.5</v>
      </c>
      <c r="M1443" s="21" t="n">
        <f aca="false">K1443-L1443</f>
        <v>0.0493827160493827</v>
      </c>
      <c r="N1443" s="21" t="n">
        <f aca="false">LN(J1443)</f>
        <v>13.2449949169293</v>
      </c>
      <c r="O1443" s="21" t="n">
        <f aca="false">AVERAGEIFS($N$2:$N$2705,$B$2:$B$2705,B1443)</f>
        <v>13.6348708001551</v>
      </c>
      <c r="P1443" s="21" t="n">
        <f aca="false">N1443-O1443</f>
        <v>-0.389875883225852</v>
      </c>
      <c r="Q1443" s="7" t="n">
        <v>0</v>
      </c>
      <c r="R1443" s="3" t="n">
        <f aca="false">IF(AND(Q1443=1,B1443-_xlfn.MINIFS($B$2:$B$2705,$A$2:$A$2705,A1443)&lt;10),1,0)</f>
        <v>0</v>
      </c>
      <c r="S1443" s="7" t="n">
        <v>0</v>
      </c>
      <c r="T1443" s="3" t="n">
        <f aca="false">_xlfn.MINIFS($B$2:$B$2705,$A$2:$A$2705,A1443)</f>
        <v>1901</v>
      </c>
      <c r="U1443" s="3" t="n">
        <f aca="false">B1443-T1443</f>
        <v>81</v>
      </c>
      <c r="V1443" s="3" t="str">
        <f aca="false">INDEX(Pop_Inputs!$Q$2:$Q$29,MATCH(C1443,Pop_Inputs!$A$2:$A$29,0))</f>
        <v>Northeast</v>
      </c>
      <c r="W1443" s="30"/>
      <c r="X1443" s="3" t="str">
        <f aca="false">IF(W1443="","",LN(W1443))</f>
        <v/>
      </c>
      <c r="Y1443" s="3" t="str">
        <f aca="false">IF(X1443="","",X1443-AVERAGEIFS($X$2:$X$2705,$B$2:$B$2705,B1443))</f>
        <v/>
      </c>
      <c r="Z1443" s="21" t="n">
        <f aca="false">P1443</f>
        <v>-0.389875883225852</v>
      </c>
      <c r="AA1443" s="3" t="n">
        <f aca="false">R1443</f>
        <v>0</v>
      </c>
      <c r="AB1443" s="21" t="n">
        <f aca="false">P1443</f>
        <v>-0.389875883225852</v>
      </c>
      <c r="AC1443" s="3" t="str">
        <f aca="false">Y1443</f>
        <v/>
      </c>
      <c r="AD1443" s="3" t="n">
        <f aca="false">R1443</f>
        <v>0</v>
      </c>
    </row>
    <row r="1444" customFormat="false" ht="15" hidden="false" customHeight="true" outlineLevel="0" collapsed="false">
      <c r="A1444" s="7" t="s">
        <v>56</v>
      </c>
      <c r="B1444" s="7" t="n">
        <v>1982</v>
      </c>
      <c r="C1444" s="7" t="s">
        <v>142</v>
      </c>
      <c r="D1444" s="7" t="n">
        <v>73</v>
      </c>
      <c r="E1444" s="7" t="n">
        <v>89</v>
      </c>
      <c r="F1444" s="3" t="n">
        <f aca="false">COUNTIFS($B$2:$B$2705,B1444,$C$2:$C$2705,C1444)</f>
        <v>2</v>
      </c>
      <c r="G1444" s="3" t="n">
        <f aca="false">MIN(INT((MIN(B1444,2020)-1900)/10)+1,12)</f>
        <v>9</v>
      </c>
      <c r="H1444" s="3" t="n">
        <f aca="false">(MIN(B1444,2020)-1900-10*(G1444-1))/10</f>
        <v>0.2</v>
      </c>
      <c r="I1444" s="20" t="n">
        <f aca="false">EXP(LN(INDEX(Pop_Inputs!$B$2:$N$29,MATCH(C1444,Pop_Inputs!$A$2:$A$29,0),G1444))*(1-H1444)+LN(INDEX(Pop_Inputs!$B$2:$N$29,MATCH(C1444,Pop_Inputs!$A$2:$A$29,0),G1444+1))*H1444)</f>
        <v>2959437.70520018</v>
      </c>
      <c r="J1444" s="20" t="n">
        <f aca="false">I1444/F1444</f>
        <v>1479718.85260009</v>
      </c>
      <c r="K1444" s="21" t="n">
        <f aca="false">D1444/(D1444+E1444)</f>
        <v>0.450617283950617</v>
      </c>
      <c r="L1444" s="21" t="n">
        <f aca="false">AVERAGEIFS($K$2:$K$2705,$B$2:$B$2705,B1444)</f>
        <v>0.5</v>
      </c>
      <c r="M1444" s="21" t="n">
        <f aca="false">K1444-L1444</f>
        <v>-0.0493827160493827</v>
      </c>
      <c r="N1444" s="21" t="n">
        <f aca="false">LN(J1444)</f>
        <v>14.2073626632354</v>
      </c>
      <c r="O1444" s="21" t="n">
        <f aca="false">AVERAGEIFS($N$2:$N$2705,$B$2:$B$2705,B1444)</f>
        <v>13.6348708001551</v>
      </c>
      <c r="P1444" s="21" t="n">
        <f aca="false">N1444-O1444</f>
        <v>0.572491863080254</v>
      </c>
      <c r="Q1444" s="7" t="n">
        <v>0</v>
      </c>
      <c r="R1444" s="3" t="n">
        <f aca="false">IF(AND(Q1444=1,B1444-_xlfn.MINIFS($B$2:$B$2705,$A$2:$A$2705,A1444)&lt;10),1,0)</f>
        <v>0</v>
      </c>
      <c r="S1444" s="7" t="n">
        <v>0</v>
      </c>
      <c r="T1444" s="3" t="n">
        <f aca="false">_xlfn.MINIFS($B$2:$B$2705,$A$2:$A$2705,A1444)</f>
        <v>1901</v>
      </c>
      <c r="U1444" s="3" t="n">
        <f aca="false">B1444-T1444</f>
        <v>81</v>
      </c>
      <c r="V1444" s="3" t="str">
        <f aca="false">INDEX(Pop_Inputs!$Q$2:$Q$29,MATCH(C1444,Pop_Inputs!$A$2:$A$29,0))</f>
        <v>Midwest</v>
      </c>
      <c r="W1444" s="30"/>
      <c r="X1444" s="3" t="str">
        <f aca="false">IF(W1444="","",LN(W1444))</f>
        <v/>
      </c>
      <c r="Y1444" s="3" t="str">
        <f aca="false">IF(X1444="","",X1444-AVERAGEIFS($X$2:$X$2705,$B$2:$B$2705,B1444))</f>
        <v/>
      </c>
      <c r="Z1444" s="21" t="n">
        <f aca="false">P1444</f>
        <v>0.572491863080254</v>
      </c>
      <c r="AA1444" s="3" t="n">
        <f aca="false">R1444</f>
        <v>0</v>
      </c>
      <c r="AB1444" s="21" t="n">
        <f aca="false">P1444</f>
        <v>0.572491863080254</v>
      </c>
      <c r="AC1444" s="3" t="str">
        <f aca="false">Y1444</f>
        <v/>
      </c>
      <c r="AD1444" s="3" t="n">
        <f aca="false">R1444</f>
        <v>0</v>
      </c>
    </row>
    <row r="1445" customFormat="false" ht="15" hidden="false" customHeight="true" outlineLevel="0" collapsed="false">
      <c r="A1445" s="7" t="s">
        <v>65</v>
      </c>
      <c r="B1445" s="7" t="n">
        <v>1982</v>
      </c>
      <c r="C1445" s="7" t="s">
        <v>142</v>
      </c>
      <c r="D1445" s="7" t="n">
        <v>87</v>
      </c>
      <c r="E1445" s="7" t="n">
        <v>75</v>
      </c>
      <c r="F1445" s="3" t="n">
        <f aca="false">COUNTIFS($B$2:$B$2705,B1445,$C$2:$C$2705,C1445)</f>
        <v>2</v>
      </c>
      <c r="G1445" s="3" t="n">
        <f aca="false">MIN(INT((MIN(B1445,2020)-1900)/10)+1,12)</f>
        <v>9</v>
      </c>
      <c r="H1445" s="3" t="n">
        <f aca="false">(MIN(B1445,2020)-1900-10*(G1445-1))/10</f>
        <v>0.2</v>
      </c>
      <c r="I1445" s="20" t="n">
        <f aca="false">EXP(LN(INDEX(Pop_Inputs!$B$2:$N$29,MATCH(C1445,Pop_Inputs!$A$2:$A$29,0),G1445))*(1-H1445)+LN(INDEX(Pop_Inputs!$B$2:$N$29,MATCH(C1445,Pop_Inputs!$A$2:$A$29,0),G1445+1))*H1445)</f>
        <v>2959437.70520018</v>
      </c>
      <c r="J1445" s="20" t="n">
        <f aca="false">I1445/F1445</f>
        <v>1479718.85260009</v>
      </c>
      <c r="K1445" s="21" t="n">
        <f aca="false">D1445/(D1445+E1445)</f>
        <v>0.537037037037037</v>
      </c>
      <c r="L1445" s="21" t="n">
        <f aca="false">AVERAGEIFS($K$2:$K$2705,$B$2:$B$2705,B1445)</f>
        <v>0.5</v>
      </c>
      <c r="M1445" s="21" t="n">
        <f aca="false">K1445-L1445</f>
        <v>0.0370370370370371</v>
      </c>
      <c r="N1445" s="21" t="n">
        <f aca="false">LN(J1445)</f>
        <v>14.2073626632354</v>
      </c>
      <c r="O1445" s="21" t="n">
        <f aca="false">AVERAGEIFS($N$2:$N$2705,$B$2:$B$2705,B1445)</f>
        <v>13.6348708001551</v>
      </c>
      <c r="P1445" s="21" t="n">
        <f aca="false">N1445-O1445</f>
        <v>0.572491863080254</v>
      </c>
      <c r="Q1445" s="7" t="n">
        <v>0</v>
      </c>
      <c r="R1445" s="3" t="n">
        <f aca="false">IF(AND(Q1445=1,B1445-_xlfn.MINIFS($B$2:$B$2705,$A$2:$A$2705,A1445)&lt;10),1,0)</f>
        <v>0</v>
      </c>
      <c r="S1445" s="7" t="n">
        <v>0</v>
      </c>
      <c r="T1445" s="3" t="n">
        <f aca="false">_xlfn.MINIFS($B$2:$B$2705,$A$2:$A$2705,A1445)</f>
        <v>1901</v>
      </c>
      <c r="U1445" s="3" t="n">
        <f aca="false">B1445-T1445</f>
        <v>81</v>
      </c>
      <c r="V1445" s="3" t="str">
        <f aca="false">INDEX(Pop_Inputs!$Q$2:$Q$29,MATCH(C1445,Pop_Inputs!$A$2:$A$29,0))</f>
        <v>Midwest</v>
      </c>
      <c r="W1445" s="30"/>
      <c r="X1445" s="3" t="str">
        <f aca="false">IF(W1445="","",LN(W1445))</f>
        <v/>
      </c>
      <c r="Y1445" s="3" t="str">
        <f aca="false">IF(X1445="","",X1445-AVERAGEIFS($X$2:$X$2705,$B$2:$B$2705,B1445))</f>
        <v/>
      </c>
      <c r="Z1445" s="21" t="n">
        <f aca="false">P1445</f>
        <v>0.572491863080254</v>
      </c>
      <c r="AA1445" s="3" t="n">
        <f aca="false">R1445</f>
        <v>0</v>
      </c>
      <c r="AB1445" s="21" t="n">
        <f aca="false">P1445</f>
        <v>0.572491863080254</v>
      </c>
      <c r="AC1445" s="3" t="str">
        <f aca="false">Y1445</f>
        <v/>
      </c>
      <c r="AD1445" s="3" t="n">
        <f aca="false">R1445</f>
        <v>0</v>
      </c>
    </row>
    <row r="1446" customFormat="false" ht="15" hidden="false" customHeight="true" outlineLevel="0" collapsed="false">
      <c r="A1446" s="7" t="s">
        <v>57</v>
      </c>
      <c r="B1446" s="7" t="n">
        <v>1982</v>
      </c>
      <c r="C1446" s="7" t="s">
        <v>143</v>
      </c>
      <c r="D1446" s="7" t="n">
        <v>61</v>
      </c>
      <c r="E1446" s="7" t="n">
        <v>101</v>
      </c>
      <c r="F1446" s="3" t="n">
        <f aca="false">COUNTIFS($B$2:$B$2705,B1446,$C$2:$C$2705,C1446)</f>
        <v>1</v>
      </c>
      <c r="G1446" s="3" t="n">
        <f aca="false">MIN(INT((MIN(B1446,2020)-1900)/10)+1,12)</f>
        <v>9</v>
      </c>
      <c r="H1446" s="3" t="n">
        <f aca="false">(MIN(B1446,2020)-1900-10*(G1446-1))/10</f>
        <v>0.2</v>
      </c>
      <c r="I1446" s="20" t="n">
        <f aca="false">EXP(LN(INDEX(Pop_Inputs!$B$2:$N$29,MATCH(C1446,Pop_Inputs!$A$2:$A$29,0),G1446))*(1-H1446)+LN(INDEX(Pop_Inputs!$B$2:$N$29,MATCH(C1446,Pop_Inputs!$A$2:$A$29,0),G1446+1))*H1446)</f>
        <v>381077.471359663</v>
      </c>
      <c r="J1446" s="20" t="n">
        <f aca="false">I1446/F1446</f>
        <v>381077.471359663</v>
      </c>
      <c r="K1446" s="21" t="n">
        <f aca="false">D1446/(D1446+E1446)</f>
        <v>0.376543209876543</v>
      </c>
      <c r="L1446" s="21" t="n">
        <f aca="false">AVERAGEIFS($K$2:$K$2705,$B$2:$B$2705,B1446)</f>
        <v>0.5</v>
      </c>
      <c r="M1446" s="21" t="n">
        <f aca="false">K1446-L1446</f>
        <v>-0.123456790123457</v>
      </c>
      <c r="N1446" s="21" t="n">
        <f aca="false">LN(J1446)</f>
        <v>12.8507579703407</v>
      </c>
      <c r="O1446" s="21" t="n">
        <f aca="false">AVERAGEIFS($N$2:$N$2705,$B$2:$B$2705,B1446)</f>
        <v>13.6348708001551</v>
      </c>
      <c r="P1446" s="21" t="n">
        <f aca="false">N1446-O1446</f>
        <v>-0.784112829814417</v>
      </c>
      <c r="Q1446" s="7" t="n">
        <v>0</v>
      </c>
      <c r="R1446" s="3" t="n">
        <f aca="false">IF(AND(Q1446=1,B1446-_xlfn.MINIFS($B$2:$B$2705,$A$2:$A$2705,A1446)&lt;10),1,0)</f>
        <v>0</v>
      </c>
      <c r="S1446" s="7" t="n">
        <v>0</v>
      </c>
      <c r="T1446" s="3" t="n">
        <f aca="false">_xlfn.MINIFS($B$2:$B$2705,$A$2:$A$2705,A1446)</f>
        <v>1901</v>
      </c>
      <c r="U1446" s="3" t="n">
        <f aca="false">B1446-T1446</f>
        <v>81</v>
      </c>
      <c r="V1446" s="3" t="str">
        <f aca="false">INDEX(Pop_Inputs!$Q$2:$Q$29,MATCH(C1446,Pop_Inputs!$A$2:$A$29,0))</f>
        <v>Midwest</v>
      </c>
      <c r="W1446" s="30"/>
      <c r="X1446" s="3" t="str">
        <f aca="false">IF(W1446="","",LN(W1446))</f>
        <v/>
      </c>
      <c r="Y1446" s="3" t="str">
        <f aca="false">IF(X1446="","",X1446-AVERAGEIFS($X$2:$X$2705,$B$2:$B$2705,B1446))</f>
        <v/>
      </c>
      <c r="Z1446" s="21" t="n">
        <f aca="false">P1446</f>
        <v>-0.784112829814417</v>
      </c>
      <c r="AA1446" s="3" t="n">
        <f aca="false">R1446</f>
        <v>0</v>
      </c>
      <c r="AB1446" s="21" t="n">
        <f aca="false">P1446</f>
        <v>-0.784112829814417</v>
      </c>
      <c r="AC1446" s="3" t="str">
        <f aca="false">Y1446</f>
        <v/>
      </c>
      <c r="AD1446" s="3" t="n">
        <f aca="false">R1446</f>
        <v>0</v>
      </c>
    </row>
    <row r="1447" customFormat="false" ht="15" hidden="false" customHeight="true" outlineLevel="0" collapsed="false">
      <c r="A1447" s="7" t="s">
        <v>66</v>
      </c>
      <c r="B1447" s="7" t="n">
        <v>1982</v>
      </c>
      <c r="C1447" s="7" t="s">
        <v>151</v>
      </c>
      <c r="D1447" s="7" t="n">
        <v>78</v>
      </c>
      <c r="E1447" s="7" t="n">
        <v>84</v>
      </c>
      <c r="F1447" s="3" t="n">
        <f aca="false">COUNTIFS($B$2:$B$2705,B1447,$C$2:$C$2705,C1447)</f>
        <v>1</v>
      </c>
      <c r="G1447" s="3" t="n">
        <f aca="false">MIN(INT((MIN(B1447,2020)-1900)/10)+1,12)</f>
        <v>9</v>
      </c>
      <c r="H1447" s="3" t="n">
        <f aca="false">(MIN(B1447,2020)-1900-10*(G1447-1))/10</f>
        <v>0.2</v>
      </c>
      <c r="I1447" s="20" t="n">
        <f aca="false">EXP(LN(INDEX(Pop_Inputs!$B$2:$N$29,MATCH(C1447,Pop_Inputs!$A$2:$A$29,0),G1447))*(1-H1447)+LN(INDEX(Pop_Inputs!$B$2:$N$29,MATCH(C1447,Pop_Inputs!$A$2:$A$29,0),G1447+1))*H1447)</f>
        <v>559481.740895943</v>
      </c>
      <c r="J1447" s="20" t="n">
        <f aca="false">I1447/F1447</f>
        <v>559481.740895943</v>
      </c>
      <c r="K1447" s="21" t="n">
        <f aca="false">D1447/(D1447+E1447)</f>
        <v>0.481481481481481</v>
      </c>
      <c r="L1447" s="21" t="n">
        <f aca="false">AVERAGEIFS($K$2:$K$2705,$B$2:$B$2705,B1447)</f>
        <v>0.5</v>
      </c>
      <c r="M1447" s="21" t="n">
        <f aca="false">K1447-L1447</f>
        <v>-0.0185185185185185</v>
      </c>
      <c r="N1447" s="21" t="n">
        <f aca="false">LN(J1447)</f>
        <v>13.2347661715205</v>
      </c>
      <c r="O1447" s="21" t="n">
        <f aca="false">AVERAGEIFS($N$2:$N$2705,$B$2:$B$2705,B1447)</f>
        <v>13.6348708001551</v>
      </c>
      <c r="P1447" s="21" t="n">
        <f aca="false">N1447-O1447</f>
        <v>-0.400104628634585</v>
      </c>
      <c r="Q1447" s="7" t="n">
        <v>0</v>
      </c>
      <c r="R1447" s="3" t="n">
        <f aca="false">IF(AND(Q1447=1,B1447-_xlfn.MINIFS($B$2:$B$2705,$A$2:$A$2705,A1447)&lt;10),1,0)</f>
        <v>0</v>
      </c>
      <c r="S1447" s="7" t="n">
        <v>0</v>
      </c>
      <c r="T1447" s="3" t="n">
        <f aca="false">_xlfn.MINIFS($B$2:$B$2705,$A$2:$A$2705,A1447)</f>
        <v>1901</v>
      </c>
      <c r="U1447" s="3" t="n">
        <f aca="false">B1447-T1447</f>
        <v>81</v>
      </c>
      <c r="V1447" s="3" t="str">
        <f aca="false">INDEX(Pop_Inputs!$Q$2:$Q$29,MATCH(C1447,Pop_Inputs!$A$2:$A$29,0))</f>
        <v>Midwest</v>
      </c>
      <c r="W1447" s="30"/>
      <c r="X1447" s="3" t="str">
        <f aca="false">IF(W1447="","",LN(W1447))</f>
        <v/>
      </c>
      <c r="Y1447" s="3" t="str">
        <f aca="false">IF(X1447="","",X1447-AVERAGEIFS($X$2:$X$2705,$B$2:$B$2705,B1447))</f>
        <v/>
      </c>
      <c r="Z1447" s="21" t="n">
        <f aca="false">P1447</f>
        <v>-0.400104628634585</v>
      </c>
      <c r="AA1447" s="3" t="n">
        <f aca="false">R1447</f>
        <v>0</v>
      </c>
      <c r="AB1447" s="21" t="n">
        <f aca="false">P1447</f>
        <v>-0.400104628634585</v>
      </c>
      <c r="AC1447" s="3" t="str">
        <f aca="false">Y1447</f>
        <v/>
      </c>
      <c r="AD1447" s="3" t="n">
        <f aca="false">R1447</f>
        <v>0</v>
      </c>
    </row>
    <row r="1448" customFormat="false" ht="15" hidden="false" customHeight="true" outlineLevel="0" collapsed="false">
      <c r="A1448" s="7" t="s">
        <v>67</v>
      </c>
      <c r="B1448" s="7" t="n">
        <v>1982</v>
      </c>
      <c r="C1448" s="7" t="s">
        <v>152</v>
      </c>
      <c r="D1448" s="7" t="n">
        <v>83</v>
      </c>
      <c r="E1448" s="7" t="n">
        <v>79</v>
      </c>
      <c r="F1448" s="3" t="n">
        <f aca="false">COUNTIFS($B$2:$B$2705,B1448,$C$2:$C$2705,C1448)</f>
        <v>1</v>
      </c>
      <c r="G1448" s="3" t="n">
        <f aca="false">MIN(INT((MIN(B1448,2020)-1900)/10)+1,12)</f>
        <v>9</v>
      </c>
      <c r="H1448" s="3" t="n">
        <f aca="false">(MIN(B1448,2020)-1900-10*(G1448-1))/10</f>
        <v>0.2</v>
      </c>
      <c r="I1448" s="20" t="n">
        <f aca="false">EXP(LN(INDEX(Pop_Inputs!$B$2:$N$29,MATCH(C1448,Pop_Inputs!$A$2:$A$29,0),G1448))*(1-H1448)+LN(INDEX(Pop_Inputs!$B$2:$N$29,MATCH(C1448,Pop_Inputs!$A$2:$A$29,0),G1448+1))*H1448)</f>
        <v>1166044.68284988</v>
      </c>
      <c r="J1448" s="20" t="n">
        <f aca="false">I1448/F1448</f>
        <v>1166044.68284988</v>
      </c>
      <c r="K1448" s="21" t="n">
        <f aca="false">D1448/(D1448+E1448)</f>
        <v>0.512345679012346</v>
      </c>
      <c r="L1448" s="21" t="n">
        <f aca="false">AVERAGEIFS($K$2:$K$2705,$B$2:$B$2705,B1448)</f>
        <v>0.5</v>
      </c>
      <c r="M1448" s="21" t="n">
        <f aca="false">K1448-L1448</f>
        <v>0.0123456790123457</v>
      </c>
      <c r="N1448" s="21" t="n">
        <f aca="false">LN(J1448)</f>
        <v>13.9691279666419</v>
      </c>
      <c r="O1448" s="21" t="n">
        <f aca="false">AVERAGEIFS($N$2:$N$2705,$B$2:$B$2705,B1448)</f>
        <v>13.6348708001551</v>
      </c>
      <c r="P1448" s="21" t="n">
        <f aca="false">N1448-O1448</f>
        <v>0.334257166486813</v>
      </c>
      <c r="Q1448" s="7" t="n">
        <v>0</v>
      </c>
      <c r="R1448" s="3" t="n">
        <f aca="false">IF(AND(Q1448=1,B1448-_xlfn.MINIFS($B$2:$B$2705,$A$2:$A$2705,A1448)&lt;10),1,0)</f>
        <v>0</v>
      </c>
      <c r="S1448" s="7" t="n">
        <v>0</v>
      </c>
      <c r="T1448" s="3" t="n">
        <f aca="false">_xlfn.MINIFS($B$2:$B$2705,$A$2:$A$2705,A1448)</f>
        <v>1901</v>
      </c>
      <c r="U1448" s="3" t="n">
        <f aca="false">B1448-T1448</f>
        <v>81</v>
      </c>
      <c r="V1448" s="3" t="str">
        <f aca="false">INDEX(Pop_Inputs!$Q$2:$Q$29,MATCH(C1448,Pop_Inputs!$A$2:$A$29,0))</f>
        <v>Midwest</v>
      </c>
      <c r="W1448" s="30"/>
      <c r="X1448" s="3" t="str">
        <f aca="false">IF(W1448="","",LN(W1448))</f>
        <v/>
      </c>
      <c r="Y1448" s="3" t="str">
        <f aca="false">IF(X1448="","",X1448-AVERAGEIFS($X$2:$X$2705,$B$2:$B$2705,B1448))</f>
        <v/>
      </c>
      <c r="Z1448" s="21" t="n">
        <f aca="false">P1448</f>
        <v>0.334257166486813</v>
      </c>
      <c r="AA1448" s="3" t="n">
        <f aca="false">R1448</f>
        <v>0</v>
      </c>
      <c r="AB1448" s="21" t="n">
        <f aca="false">P1448</f>
        <v>0.334257166486813</v>
      </c>
      <c r="AC1448" s="3" t="str">
        <f aca="false">Y1448</f>
        <v/>
      </c>
      <c r="AD1448" s="3" t="n">
        <f aca="false">R1448</f>
        <v>0</v>
      </c>
    </row>
    <row r="1449" customFormat="false" ht="15" hidden="false" customHeight="true" outlineLevel="0" collapsed="false">
      <c r="A1449" s="7" t="s">
        <v>74</v>
      </c>
      <c r="B1449" s="7" t="n">
        <v>1982</v>
      </c>
      <c r="C1449" s="7" t="s">
        <v>156</v>
      </c>
      <c r="D1449" s="7" t="n">
        <v>77</v>
      </c>
      <c r="E1449" s="7" t="n">
        <v>85</v>
      </c>
      <c r="F1449" s="3" t="n">
        <f aca="false">COUNTIFS($B$2:$B$2705,B1449,$C$2:$C$2705,C1449)</f>
        <v>1</v>
      </c>
      <c r="G1449" s="3" t="n">
        <f aca="false">MIN(INT((MIN(B1449,2020)-1900)/10)+1,12)</f>
        <v>9</v>
      </c>
      <c r="H1449" s="3" t="n">
        <f aca="false">(MIN(B1449,2020)-1900-10*(G1449-1))/10</f>
        <v>0.2</v>
      </c>
      <c r="I1449" s="20" t="n">
        <f aca="false">EXP(LN(INDEX(Pop_Inputs!$B$2:$N$29,MATCH(C1449,Pop_Inputs!$A$2:$A$29,0),G1449))*(1-H1449)+LN(INDEX(Pop_Inputs!$B$2:$N$29,MATCH(C1449,Pop_Inputs!$A$2:$A$29,0),G1449+1))*H1449)</f>
        <v>1602158.92286547</v>
      </c>
      <c r="J1449" s="20" t="n">
        <f aca="false">I1449/F1449</f>
        <v>1602158.92286547</v>
      </c>
      <c r="K1449" s="21" t="n">
        <f aca="false">D1449/(D1449+E1449)</f>
        <v>0.475308641975309</v>
      </c>
      <c r="L1449" s="21" t="n">
        <f aca="false">AVERAGEIFS($K$2:$K$2705,$B$2:$B$2705,B1449)</f>
        <v>0.5</v>
      </c>
      <c r="M1449" s="21" t="n">
        <f aca="false">K1449-L1449</f>
        <v>-0.0246913580246914</v>
      </c>
      <c r="N1449" s="21" t="n">
        <f aca="false">LN(J1449)</f>
        <v>14.2868626044776</v>
      </c>
      <c r="O1449" s="21" t="n">
        <f aca="false">AVERAGEIFS($N$2:$N$2705,$B$2:$B$2705,B1449)</f>
        <v>13.6348708001551</v>
      </c>
      <c r="P1449" s="21" t="n">
        <f aca="false">N1449-O1449</f>
        <v>0.651991804322494</v>
      </c>
      <c r="Q1449" s="7" t="n">
        <v>1</v>
      </c>
      <c r="R1449" s="3" t="n">
        <f aca="false">IF(AND(Q1449=1,B1449-_xlfn.MINIFS($B$2:$B$2705,$A$2:$A$2705,A1449)&lt;10),1,0)</f>
        <v>0</v>
      </c>
      <c r="S1449" s="7" t="n">
        <v>0</v>
      </c>
      <c r="T1449" s="3" t="n">
        <f aca="false">_xlfn.MINIFS($B$2:$B$2705,$A$2:$A$2705,A1449)</f>
        <v>1962</v>
      </c>
      <c r="U1449" s="3" t="n">
        <f aca="false">B1449-T1449</f>
        <v>20</v>
      </c>
      <c r="V1449" s="3" t="str">
        <f aca="false">INDEX(Pop_Inputs!$Q$2:$Q$29,MATCH(C1449,Pop_Inputs!$A$2:$A$29,0))</f>
        <v>South</v>
      </c>
      <c r="W1449" s="30"/>
      <c r="X1449" s="3" t="str">
        <f aca="false">IF(W1449="","",LN(W1449))</f>
        <v/>
      </c>
      <c r="Y1449" s="3" t="str">
        <f aca="false">IF(X1449="","",X1449-AVERAGEIFS($X$2:$X$2705,$B$2:$B$2705,B1449))</f>
        <v/>
      </c>
      <c r="Z1449" s="21" t="n">
        <f aca="false">P1449</f>
        <v>0.651991804322494</v>
      </c>
      <c r="AA1449" s="3" t="n">
        <f aca="false">R1449</f>
        <v>0</v>
      </c>
      <c r="AB1449" s="21" t="n">
        <f aca="false">P1449</f>
        <v>0.651991804322494</v>
      </c>
      <c r="AC1449" s="3" t="str">
        <f aca="false">Y1449</f>
        <v/>
      </c>
      <c r="AD1449" s="3" t="n">
        <f aca="false">R1449</f>
        <v>0</v>
      </c>
    </row>
    <row r="1450" customFormat="false" ht="15" hidden="false" customHeight="true" outlineLevel="0" collapsed="false">
      <c r="A1450" s="7" t="s">
        <v>76</v>
      </c>
      <c r="B1450" s="7" t="n">
        <v>1982</v>
      </c>
      <c r="C1450" s="7" t="s">
        <v>157</v>
      </c>
      <c r="D1450" s="7" t="n">
        <v>90</v>
      </c>
      <c r="E1450" s="7" t="n">
        <v>72</v>
      </c>
      <c r="F1450" s="3" t="n">
        <f aca="false">COUNTIFS($B$2:$B$2705,B1450,$C$2:$C$2705,C1450)</f>
        <v>1</v>
      </c>
      <c r="G1450" s="3" t="n">
        <f aca="false">MIN(INT((MIN(B1450,2020)-1900)/10)+1,12)</f>
        <v>9</v>
      </c>
      <c r="H1450" s="3" t="n">
        <f aca="false">(MIN(B1450,2020)-1900-10*(G1450-1))/10</f>
        <v>0.2</v>
      </c>
      <c r="I1450" s="20" t="n">
        <f aca="false">EXP(LN(INDEX(Pop_Inputs!$B$2:$N$29,MATCH(C1450,Pop_Inputs!$A$2:$A$29,0),G1450))*(1-H1450)+LN(INDEX(Pop_Inputs!$B$2:$N$29,MATCH(C1450,Pop_Inputs!$A$2:$A$29,0),G1450+1))*H1450)</f>
        <v>445525.634189103</v>
      </c>
      <c r="J1450" s="20" t="n">
        <f aca="false">I1450/F1450</f>
        <v>445525.634189103</v>
      </c>
      <c r="K1450" s="21" t="n">
        <f aca="false">D1450/(D1450+E1450)</f>
        <v>0.555555555555556</v>
      </c>
      <c r="L1450" s="21" t="n">
        <f aca="false">AVERAGEIFS($K$2:$K$2705,$B$2:$B$2705,B1450)</f>
        <v>0.5</v>
      </c>
      <c r="M1450" s="21" t="n">
        <f aca="false">K1450-L1450</f>
        <v>0.0555555555555556</v>
      </c>
      <c r="N1450" s="21" t="n">
        <f aca="false">LN(J1450)</f>
        <v>13.007010064505</v>
      </c>
      <c r="O1450" s="21" t="n">
        <f aca="false">AVERAGEIFS($N$2:$N$2705,$B$2:$B$2705,B1450)</f>
        <v>13.6348708001551</v>
      </c>
      <c r="P1450" s="21" t="n">
        <f aca="false">N1450-O1450</f>
        <v>-0.627860735650142</v>
      </c>
      <c r="Q1450" s="7" t="n">
        <v>1</v>
      </c>
      <c r="R1450" s="3" t="n">
        <f aca="false">IF(AND(Q1450=1,B1450-_xlfn.MINIFS($B$2:$B$2705,$A$2:$A$2705,A1450)&lt;10),1,0)</f>
        <v>0</v>
      </c>
      <c r="S1450" s="7" t="n">
        <v>0</v>
      </c>
      <c r="T1450" s="3" t="n">
        <f aca="false">_xlfn.MINIFS($B$2:$B$2705,$A$2:$A$2705,A1450)</f>
        <v>1969</v>
      </c>
      <c r="U1450" s="3" t="n">
        <f aca="false">B1450-T1450</f>
        <v>13</v>
      </c>
      <c r="V1450" s="3" t="str">
        <f aca="false">INDEX(Pop_Inputs!$Q$2:$Q$29,MATCH(C1450,Pop_Inputs!$A$2:$A$29,0))</f>
        <v>Midwest</v>
      </c>
      <c r="W1450" s="30"/>
      <c r="X1450" s="3" t="str">
        <f aca="false">IF(W1450="","",LN(W1450))</f>
        <v/>
      </c>
      <c r="Y1450" s="3" t="str">
        <f aca="false">IF(X1450="","",X1450-AVERAGEIFS($X$2:$X$2705,$B$2:$B$2705,B1450))</f>
        <v/>
      </c>
      <c r="Z1450" s="21" t="n">
        <f aca="false">P1450</f>
        <v>-0.627860735650142</v>
      </c>
      <c r="AA1450" s="3" t="n">
        <f aca="false">R1450</f>
        <v>0</v>
      </c>
      <c r="AB1450" s="21" t="n">
        <f aca="false">P1450</f>
        <v>-0.627860735650142</v>
      </c>
      <c r="AC1450" s="3" t="str">
        <f aca="false">Y1450</f>
        <v/>
      </c>
      <c r="AD1450" s="3" t="n">
        <f aca="false">R1450</f>
        <v>0</v>
      </c>
    </row>
    <row r="1451" customFormat="false" ht="15" hidden="false" customHeight="true" outlineLevel="0" collapsed="false">
      <c r="A1451" s="7" t="s">
        <v>62</v>
      </c>
      <c r="B1451" s="7" t="n">
        <v>1982</v>
      </c>
      <c r="C1451" s="7" t="s">
        <v>148</v>
      </c>
      <c r="D1451" s="7" t="n">
        <v>88</v>
      </c>
      <c r="E1451" s="7" t="n">
        <v>74</v>
      </c>
      <c r="F1451" s="3" t="n">
        <f aca="false">COUNTIFS($B$2:$B$2705,B1451,$C$2:$C$2705,C1451)</f>
        <v>2</v>
      </c>
      <c r="G1451" s="3" t="n">
        <f aca="false">MIN(INT((MIN(B1451,2020)-1900)/10)+1,12)</f>
        <v>9</v>
      </c>
      <c r="H1451" s="3" t="n">
        <f aca="false">(MIN(B1451,2020)-1900-10*(G1451-1))/10</f>
        <v>0.2</v>
      </c>
      <c r="I1451" s="20" t="n">
        <f aca="false">EXP(LN(INDEX(Pop_Inputs!$B$2:$N$29,MATCH(C1451,Pop_Inputs!$A$2:$A$29,0),G1451))*(1-H1451)+LN(INDEX(Pop_Inputs!$B$2:$N$29,MATCH(C1451,Pop_Inputs!$A$2:$A$29,0),G1451+1))*H1451)</f>
        <v>3063987.20334339</v>
      </c>
      <c r="J1451" s="20" t="n">
        <f aca="false">I1451/F1451</f>
        <v>1531993.60167169</v>
      </c>
      <c r="K1451" s="21" t="n">
        <f aca="false">D1451/(D1451+E1451)</f>
        <v>0.54320987654321</v>
      </c>
      <c r="L1451" s="21" t="n">
        <f aca="false">AVERAGEIFS($K$2:$K$2705,$B$2:$B$2705,B1451)</f>
        <v>0.5</v>
      </c>
      <c r="M1451" s="21" t="n">
        <f aca="false">K1451-L1451</f>
        <v>0.0432098765432098</v>
      </c>
      <c r="N1451" s="21" t="n">
        <f aca="false">LN(J1451)</f>
        <v>14.2420804528194</v>
      </c>
      <c r="O1451" s="21" t="n">
        <f aca="false">AVERAGEIFS($N$2:$N$2705,$B$2:$B$2705,B1451)</f>
        <v>13.6348708001551</v>
      </c>
      <c r="P1451" s="21" t="n">
        <f aca="false">N1451-O1451</f>
        <v>0.607209652664333</v>
      </c>
      <c r="Q1451" s="7" t="n">
        <v>0</v>
      </c>
      <c r="R1451" s="3" t="n">
        <f aca="false">IF(AND(Q1451=1,B1451-_xlfn.MINIFS($B$2:$B$2705,$A$2:$A$2705,A1451)&lt;10),1,0)</f>
        <v>0</v>
      </c>
      <c r="S1451" s="7" t="n">
        <v>0</v>
      </c>
      <c r="T1451" s="3" t="n">
        <f aca="false">_xlfn.MINIFS($B$2:$B$2705,$A$2:$A$2705,A1451)</f>
        <v>1901</v>
      </c>
      <c r="U1451" s="3" t="n">
        <f aca="false">B1451-T1451</f>
        <v>81</v>
      </c>
      <c r="V1451" s="3" t="str">
        <f aca="false">INDEX(Pop_Inputs!$Q$2:$Q$29,MATCH(C1451,Pop_Inputs!$A$2:$A$29,0))</f>
        <v>West</v>
      </c>
      <c r="W1451" s="30"/>
      <c r="X1451" s="3" t="str">
        <f aca="false">IF(W1451="","",LN(W1451))</f>
        <v/>
      </c>
      <c r="Y1451" s="3" t="str">
        <f aca="false">IF(X1451="","",X1451-AVERAGEIFS($X$2:$X$2705,$B$2:$B$2705,B1451))</f>
        <v/>
      </c>
      <c r="Z1451" s="21" t="n">
        <f aca="false">P1451</f>
        <v>0.607209652664333</v>
      </c>
      <c r="AA1451" s="3" t="n">
        <f aca="false">R1451</f>
        <v>0</v>
      </c>
      <c r="AB1451" s="21" t="n">
        <f aca="false">P1451</f>
        <v>0.607209652664333</v>
      </c>
      <c r="AC1451" s="3" t="str">
        <f aca="false">Y1451</f>
        <v/>
      </c>
      <c r="AD1451" s="3" t="n">
        <f aca="false">R1451</f>
        <v>0</v>
      </c>
    </row>
    <row r="1452" customFormat="false" ht="15" hidden="false" customHeight="true" outlineLevel="0" collapsed="false">
      <c r="A1452" s="7" t="s">
        <v>77</v>
      </c>
      <c r="B1452" s="7" t="n">
        <v>1982</v>
      </c>
      <c r="C1452" s="7" t="s">
        <v>158</v>
      </c>
      <c r="D1452" s="7" t="n">
        <v>95</v>
      </c>
      <c r="E1452" s="7" t="n">
        <v>67</v>
      </c>
      <c r="F1452" s="3" t="n">
        <f aca="false">COUNTIFS($B$2:$B$2705,B1452,$C$2:$C$2705,C1452)</f>
        <v>1</v>
      </c>
      <c r="G1452" s="3" t="n">
        <f aca="false">MIN(INT((MIN(B1452,2020)-1900)/10)+1,12)</f>
        <v>9</v>
      </c>
      <c r="H1452" s="3" t="n">
        <f aca="false">(MIN(B1452,2020)-1900-10*(G1452-1))/10</f>
        <v>0.2</v>
      </c>
      <c r="I1452" s="20" t="n">
        <f aca="false">EXP(LN(INDEX(Pop_Inputs!$B$2:$N$29,MATCH(C1452,Pop_Inputs!$A$2:$A$29,0),G1452))*(1-H1452)+LN(INDEX(Pop_Inputs!$B$2:$N$29,MATCH(C1452,Pop_Inputs!$A$2:$A$29,0),G1452+1))*H1452)</f>
        <v>634578.836800211</v>
      </c>
      <c r="J1452" s="20" t="n">
        <f aca="false">I1452/F1452</f>
        <v>634578.836800211</v>
      </c>
      <c r="K1452" s="21" t="n">
        <f aca="false">D1452/(D1452+E1452)</f>
        <v>0.58641975308642</v>
      </c>
      <c r="L1452" s="21" t="n">
        <f aca="false">AVERAGEIFS($K$2:$K$2705,$B$2:$B$2705,B1452)</f>
        <v>0.5</v>
      </c>
      <c r="M1452" s="21" t="n">
        <f aca="false">K1452-L1452</f>
        <v>0.0864197530864198</v>
      </c>
      <c r="N1452" s="21" t="n">
        <f aca="false">LN(J1452)</f>
        <v>13.3607168086943</v>
      </c>
      <c r="O1452" s="21" t="n">
        <f aca="false">AVERAGEIFS($N$2:$N$2705,$B$2:$B$2705,B1452)</f>
        <v>13.6348708001551</v>
      </c>
      <c r="P1452" s="21" t="n">
        <f aca="false">N1452-O1452</f>
        <v>-0.274153991460818</v>
      </c>
      <c r="Q1452" s="7" t="n">
        <v>1</v>
      </c>
      <c r="R1452" s="3" t="n">
        <f aca="false">IF(AND(Q1452=1,B1452-_xlfn.MINIFS($B$2:$B$2705,$A$2:$A$2705,A1452)&lt;10),1,0)</f>
        <v>0</v>
      </c>
      <c r="S1452" s="7" t="n">
        <v>0</v>
      </c>
      <c r="T1452" s="3" t="n">
        <f aca="false">_xlfn.MINIFS($B$2:$B$2705,$A$2:$A$2705,A1452)</f>
        <v>1969</v>
      </c>
      <c r="U1452" s="3" t="n">
        <f aca="false">B1452-T1452</f>
        <v>13</v>
      </c>
      <c r="V1452" s="3" t="str">
        <f aca="false">INDEX(Pop_Inputs!$Q$2:$Q$29,MATCH(C1452,Pop_Inputs!$A$2:$A$29,0))</f>
        <v>Midwest</v>
      </c>
      <c r="W1452" s="30"/>
      <c r="X1452" s="3" t="str">
        <f aca="false">IF(W1452="","",LN(W1452))</f>
        <v/>
      </c>
      <c r="Y1452" s="3" t="str">
        <f aca="false">IF(X1452="","",X1452-AVERAGEIFS($X$2:$X$2705,$B$2:$B$2705,B1452))</f>
        <v/>
      </c>
      <c r="Z1452" s="21" t="n">
        <f aca="false">P1452</f>
        <v>-0.274153991460818</v>
      </c>
      <c r="AA1452" s="3" t="n">
        <f aca="false">R1452</f>
        <v>0</v>
      </c>
      <c r="AB1452" s="21" t="n">
        <f aca="false">P1452</f>
        <v>-0.274153991460818</v>
      </c>
      <c r="AC1452" s="3" t="str">
        <f aca="false">Y1452</f>
        <v/>
      </c>
      <c r="AD1452" s="3" t="n">
        <f aca="false">R1452</f>
        <v>0</v>
      </c>
    </row>
    <row r="1453" customFormat="false" ht="15" hidden="false" customHeight="true" outlineLevel="0" collapsed="false">
      <c r="A1453" s="7" t="s">
        <v>68</v>
      </c>
      <c r="B1453" s="7" t="n">
        <v>1982</v>
      </c>
      <c r="C1453" s="7" t="s">
        <v>153</v>
      </c>
      <c r="D1453" s="7" t="n">
        <v>60</v>
      </c>
      <c r="E1453" s="7" t="n">
        <v>102</v>
      </c>
      <c r="F1453" s="3" t="n">
        <f aca="false">COUNTIFS($B$2:$B$2705,B1453,$C$2:$C$2705,C1453)</f>
        <v>1</v>
      </c>
      <c r="G1453" s="3" t="n">
        <f aca="false">MIN(INT((MIN(B1453,2020)-1900)/10)+1,12)</f>
        <v>9</v>
      </c>
      <c r="H1453" s="3" t="n">
        <f aca="false">(MIN(B1453,2020)-1900-10*(G1453-1))/10</f>
        <v>0.2</v>
      </c>
      <c r="I1453" s="20" t="n">
        <f aca="false">EXP(LN(INDEX(Pop_Inputs!$B$2:$N$29,MATCH(C1453,Pop_Inputs!$A$2:$A$29,0),G1453))*(1-H1453)+LN(INDEX(Pop_Inputs!$B$2:$N$29,MATCH(C1453,Pop_Inputs!$A$2:$A$29,0),G1453+1))*H1453)</f>
        <v>370435.971854679</v>
      </c>
      <c r="J1453" s="20" t="n">
        <f aca="false">I1453/F1453</f>
        <v>370435.971854679</v>
      </c>
      <c r="K1453" s="21" t="n">
        <f aca="false">D1453/(D1453+E1453)</f>
        <v>0.37037037037037</v>
      </c>
      <c r="L1453" s="21" t="n">
        <f aca="false">AVERAGEIFS($K$2:$K$2705,$B$2:$B$2705,B1453)</f>
        <v>0.5</v>
      </c>
      <c r="M1453" s="21" t="n">
        <f aca="false">K1453-L1453</f>
        <v>-0.12962962962963</v>
      </c>
      <c r="N1453" s="21" t="n">
        <f aca="false">LN(J1453)</f>
        <v>12.822435893277</v>
      </c>
      <c r="O1453" s="21" t="n">
        <f aca="false">AVERAGEIFS($N$2:$N$2705,$B$2:$B$2705,B1453)</f>
        <v>13.6348708001551</v>
      </c>
      <c r="P1453" s="21" t="n">
        <f aca="false">N1453-O1453</f>
        <v>-0.812434906878092</v>
      </c>
      <c r="Q1453" s="7" t="n">
        <v>0</v>
      </c>
      <c r="R1453" s="3" t="n">
        <f aca="false">IF(AND(Q1453=1,B1453-_xlfn.MINIFS($B$2:$B$2705,$A$2:$A$2705,A1453)&lt;10),1,0)</f>
        <v>0</v>
      </c>
      <c r="S1453" s="7" t="n">
        <v>0</v>
      </c>
      <c r="T1453" s="3" t="n">
        <f aca="false">_xlfn.MINIFS($B$2:$B$2705,$A$2:$A$2705,A1453)</f>
        <v>1901</v>
      </c>
      <c r="U1453" s="3" t="n">
        <f aca="false">B1453-T1453</f>
        <v>81</v>
      </c>
      <c r="V1453" s="3" t="str">
        <f aca="false">INDEX(Pop_Inputs!$Q$2:$Q$29,MATCH(C1453,Pop_Inputs!$A$2:$A$29,0))</f>
        <v>Midwest</v>
      </c>
      <c r="W1453" s="30"/>
      <c r="X1453" s="3" t="str">
        <f aca="false">IF(W1453="","",LN(W1453))</f>
        <v/>
      </c>
      <c r="Y1453" s="3" t="str">
        <f aca="false">IF(X1453="","",X1453-AVERAGEIFS($X$2:$X$2705,$B$2:$B$2705,B1453))</f>
        <v/>
      </c>
      <c r="Z1453" s="21" t="n">
        <f aca="false">P1453</f>
        <v>-0.812434906878092</v>
      </c>
      <c r="AA1453" s="3" t="n">
        <f aca="false">R1453</f>
        <v>0</v>
      </c>
      <c r="AB1453" s="21" t="n">
        <f aca="false">P1453</f>
        <v>-0.812434906878092</v>
      </c>
      <c r="AC1453" s="3" t="str">
        <f aca="false">Y1453</f>
        <v/>
      </c>
      <c r="AD1453" s="3" t="n">
        <f aca="false">R1453</f>
        <v>0</v>
      </c>
    </row>
    <row r="1454" customFormat="false" ht="15" hidden="false" customHeight="true" outlineLevel="0" collapsed="false">
      <c r="A1454" s="7" t="s">
        <v>75</v>
      </c>
      <c r="B1454" s="7" t="n">
        <v>1982</v>
      </c>
      <c r="C1454" s="7" t="s">
        <v>154</v>
      </c>
      <c r="D1454" s="7" t="n">
        <v>65</v>
      </c>
      <c r="E1454" s="7" t="n">
        <v>97</v>
      </c>
      <c r="F1454" s="3" t="n">
        <f aca="false">COUNTIFS($B$2:$B$2705,B1454,$C$2:$C$2705,C1454)</f>
        <v>2</v>
      </c>
      <c r="G1454" s="3" t="n">
        <f aca="false">MIN(INT((MIN(B1454,2020)-1900)/10)+1,12)</f>
        <v>9</v>
      </c>
      <c r="H1454" s="3" t="n">
        <f aca="false">(MIN(B1454,2020)-1900-10*(G1454-1))/10</f>
        <v>0.2</v>
      </c>
      <c r="I1454" s="20" t="n">
        <f aca="false">EXP(LN(INDEX(Pop_Inputs!$B$2:$N$29,MATCH(C1454,Pop_Inputs!$A$2:$A$29,0),G1454))*(1-H1454)+LN(INDEX(Pop_Inputs!$B$2:$N$29,MATCH(C1454,Pop_Inputs!$A$2:$A$29,0),G1454+1))*H1454)</f>
        <v>7121126.5063657</v>
      </c>
      <c r="J1454" s="20" t="n">
        <f aca="false">I1454/F1454</f>
        <v>3560563.25318285</v>
      </c>
      <c r="K1454" s="21" t="n">
        <f aca="false">D1454/(D1454+E1454)</f>
        <v>0.401234567901235</v>
      </c>
      <c r="L1454" s="21" t="n">
        <f aca="false">AVERAGEIFS($K$2:$K$2705,$B$2:$B$2705,B1454)</f>
        <v>0.5</v>
      </c>
      <c r="M1454" s="21" t="n">
        <f aca="false">K1454-L1454</f>
        <v>-0.0987654320987654</v>
      </c>
      <c r="N1454" s="21" t="n">
        <f aca="false">LN(J1454)</f>
        <v>15.0854293074994</v>
      </c>
      <c r="O1454" s="21" t="n">
        <f aca="false">AVERAGEIFS($N$2:$N$2705,$B$2:$B$2705,B1454)</f>
        <v>13.6348708001551</v>
      </c>
      <c r="P1454" s="21" t="n">
        <f aca="false">N1454-O1454</f>
        <v>1.45055850734428</v>
      </c>
      <c r="Q1454" s="7" t="n">
        <v>1</v>
      </c>
      <c r="R1454" s="3" t="n">
        <f aca="false">IF(AND(Q1454=1,B1454-_xlfn.MINIFS($B$2:$B$2705,$A$2:$A$2705,A1454)&lt;10),1,0)</f>
        <v>0</v>
      </c>
      <c r="S1454" s="7" t="n">
        <v>0</v>
      </c>
      <c r="T1454" s="3" t="n">
        <f aca="false">_xlfn.MINIFS($B$2:$B$2705,$A$2:$A$2705,A1454)</f>
        <v>1962</v>
      </c>
      <c r="U1454" s="3" t="n">
        <f aca="false">B1454-T1454</f>
        <v>20</v>
      </c>
      <c r="V1454" s="3" t="str">
        <f aca="false">INDEX(Pop_Inputs!$Q$2:$Q$29,MATCH(C1454,Pop_Inputs!$A$2:$A$29,0))</f>
        <v>Northeast</v>
      </c>
      <c r="W1454" s="30"/>
      <c r="X1454" s="3" t="str">
        <f aca="false">IF(W1454="","",LN(W1454))</f>
        <v/>
      </c>
      <c r="Y1454" s="3" t="str">
        <f aca="false">IF(X1454="","",X1454-AVERAGEIFS($X$2:$X$2705,$B$2:$B$2705,B1454))</f>
        <v/>
      </c>
      <c r="Z1454" s="21" t="n">
        <f aca="false">P1454</f>
        <v>1.45055850734428</v>
      </c>
      <c r="AA1454" s="3" t="n">
        <f aca="false">R1454</f>
        <v>0</v>
      </c>
      <c r="AB1454" s="21" t="n">
        <f aca="false">P1454</f>
        <v>1.45055850734428</v>
      </c>
      <c r="AC1454" s="3" t="str">
        <f aca="false">Y1454</f>
        <v/>
      </c>
      <c r="AD1454" s="3" t="n">
        <f aca="false">R1454</f>
        <v>0</v>
      </c>
    </row>
    <row r="1455" customFormat="false" ht="15" hidden="false" customHeight="true" outlineLevel="0" collapsed="false">
      <c r="A1455" s="7" t="s">
        <v>70</v>
      </c>
      <c r="B1455" s="7" t="n">
        <v>1982</v>
      </c>
      <c r="C1455" s="7" t="s">
        <v>154</v>
      </c>
      <c r="D1455" s="7" t="n">
        <v>79</v>
      </c>
      <c r="E1455" s="7" t="n">
        <v>83</v>
      </c>
      <c r="F1455" s="3" t="n">
        <f aca="false">COUNTIFS($B$2:$B$2705,B1455,$C$2:$C$2705,C1455)</f>
        <v>2</v>
      </c>
      <c r="G1455" s="3" t="n">
        <f aca="false">MIN(INT((MIN(B1455,2020)-1900)/10)+1,12)</f>
        <v>9</v>
      </c>
      <c r="H1455" s="3" t="n">
        <f aca="false">(MIN(B1455,2020)-1900-10*(G1455-1))/10</f>
        <v>0.2</v>
      </c>
      <c r="I1455" s="20" t="n">
        <f aca="false">EXP(LN(INDEX(Pop_Inputs!$B$2:$N$29,MATCH(C1455,Pop_Inputs!$A$2:$A$29,0),G1455))*(1-H1455)+LN(INDEX(Pop_Inputs!$B$2:$N$29,MATCH(C1455,Pop_Inputs!$A$2:$A$29,0),G1455+1))*H1455)</f>
        <v>7121126.5063657</v>
      </c>
      <c r="J1455" s="20" t="n">
        <f aca="false">I1455/F1455</f>
        <v>3560563.25318285</v>
      </c>
      <c r="K1455" s="21" t="n">
        <f aca="false">D1455/(D1455+E1455)</f>
        <v>0.487654320987654</v>
      </c>
      <c r="L1455" s="21" t="n">
        <f aca="false">AVERAGEIFS($K$2:$K$2705,$B$2:$B$2705,B1455)</f>
        <v>0.5</v>
      </c>
      <c r="M1455" s="21" t="n">
        <f aca="false">K1455-L1455</f>
        <v>-0.0123456790123457</v>
      </c>
      <c r="N1455" s="21" t="n">
        <f aca="false">LN(J1455)</f>
        <v>15.0854293074994</v>
      </c>
      <c r="O1455" s="21" t="n">
        <f aca="false">AVERAGEIFS($N$2:$N$2705,$B$2:$B$2705,B1455)</f>
        <v>13.6348708001551</v>
      </c>
      <c r="P1455" s="21" t="n">
        <f aca="false">N1455-O1455</f>
        <v>1.45055850734428</v>
      </c>
      <c r="Q1455" s="7" t="n">
        <v>0</v>
      </c>
      <c r="R1455" s="3" t="n">
        <f aca="false">IF(AND(Q1455=1,B1455-_xlfn.MINIFS($B$2:$B$2705,$A$2:$A$2705,A1455)&lt;10),1,0)</f>
        <v>0</v>
      </c>
      <c r="S1455" s="7" t="n">
        <v>1</v>
      </c>
      <c r="T1455" s="3" t="n">
        <f aca="false">_xlfn.MINIFS($B$2:$B$2705,$A$2:$A$2705,A1455)</f>
        <v>1903</v>
      </c>
      <c r="U1455" s="3" t="n">
        <f aca="false">B1455-T1455</f>
        <v>79</v>
      </c>
      <c r="V1455" s="3" t="str">
        <f aca="false">INDEX(Pop_Inputs!$Q$2:$Q$29,MATCH(C1455,Pop_Inputs!$A$2:$A$29,0))</f>
        <v>Northeast</v>
      </c>
      <c r="W1455" s="30"/>
      <c r="X1455" s="3" t="str">
        <f aca="false">IF(W1455="","",LN(W1455))</f>
        <v/>
      </c>
      <c r="Y1455" s="3" t="str">
        <f aca="false">IF(X1455="","",X1455-AVERAGEIFS($X$2:$X$2705,$B$2:$B$2705,B1455))</f>
        <v/>
      </c>
      <c r="Z1455" s="21" t="n">
        <f aca="false">P1455</f>
        <v>1.45055850734428</v>
      </c>
      <c r="AA1455" s="3" t="n">
        <f aca="false">R1455</f>
        <v>0</v>
      </c>
      <c r="AB1455" s="21" t="n">
        <f aca="false">P1455</f>
        <v>1.45055850734428</v>
      </c>
      <c r="AC1455" s="3" t="str">
        <f aca="false">Y1455</f>
        <v/>
      </c>
      <c r="AD1455" s="3" t="n">
        <f aca="false">R1455</f>
        <v>0</v>
      </c>
    </row>
    <row r="1456" customFormat="false" ht="15" hidden="false" customHeight="true" outlineLevel="0" collapsed="false">
      <c r="A1456" s="7" t="s">
        <v>69</v>
      </c>
      <c r="B1456" s="7" t="n">
        <v>1982</v>
      </c>
      <c r="C1456" s="7" t="s">
        <v>253</v>
      </c>
      <c r="D1456" s="7" t="n">
        <v>68</v>
      </c>
      <c r="E1456" s="7" t="n">
        <v>94</v>
      </c>
      <c r="F1456" s="3" t="n">
        <f aca="false">COUNTIFS($B$2:$B$2705,B1456,$C$2:$C$2705,C1456)</f>
        <v>1</v>
      </c>
      <c r="G1456" s="3" t="n">
        <f aca="false">MIN(INT((MIN(B1456,2020)-1900)/10)+1,12)</f>
        <v>9</v>
      </c>
      <c r="H1456" s="3" t="n">
        <f aca="false">(MIN(B1456,2020)-1900-10*(G1456-1))/10</f>
        <v>0.2</v>
      </c>
      <c r="I1456" s="20" t="n">
        <f aca="false">EXP(LN(INDEX(Pop_Inputs!$B$2:$N$29,MATCH(C1456,Pop_Inputs!$A$2:$A$29,0),G1456))*(1-H1456)+LN(INDEX(Pop_Inputs!$B$2:$N$29,MATCH(C1456,Pop_Inputs!$A$2:$A$29,0),G1456+1))*H1456)</f>
        <v>345676.652300452</v>
      </c>
      <c r="J1456" s="20" t="n">
        <f aca="false">I1456/F1456</f>
        <v>345676.652300452</v>
      </c>
      <c r="K1456" s="21" t="n">
        <f aca="false">D1456/(D1456+E1456)</f>
        <v>0.419753086419753</v>
      </c>
      <c r="L1456" s="21" t="n">
        <f aca="false">AVERAGEIFS($K$2:$K$2705,$B$2:$B$2705,B1456)</f>
        <v>0.5</v>
      </c>
      <c r="M1456" s="21" t="n">
        <f aca="false">K1456-L1456</f>
        <v>-0.0802469135802469</v>
      </c>
      <c r="N1456" s="21" t="n">
        <f aca="false">LN(J1456)</f>
        <v>12.75325908617</v>
      </c>
      <c r="O1456" s="21" t="n">
        <f aca="false">AVERAGEIFS($N$2:$N$2705,$B$2:$B$2705,B1456)</f>
        <v>13.6348708001551</v>
      </c>
      <c r="P1456" s="21" t="n">
        <f aca="false">N1456-O1456</f>
        <v>-0.88161171398507</v>
      </c>
      <c r="Q1456" s="7" t="n">
        <v>0</v>
      </c>
      <c r="R1456" s="3" t="n">
        <f aca="false">IF(AND(Q1456=1,B1456-_xlfn.MINIFS($B$2:$B$2705,$A$2:$A$2705,A1456)&lt;10),1,0)</f>
        <v>0</v>
      </c>
      <c r="S1456" s="7" t="n">
        <v>0</v>
      </c>
      <c r="T1456" s="3" t="n">
        <f aca="false">_xlfn.MINIFS($B$2:$B$2705,$A$2:$A$2705,A1456)</f>
        <v>1901</v>
      </c>
      <c r="U1456" s="3" t="n">
        <f aca="false">B1456-T1456</f>
        <v>81</v>
      </c>
      <c r="V1456" s="3" t="str">
        <f aca="false">INDEX(Pop_Inputs!$Q$2:$Q$29,MATCH(C1456,Pop_Inputs!$A$2:$A$29,0))</f>
        <v>West</v>
      </c>
      <c r="W1456" s="30"/>
      <c r="X1456" s="3" t="str">
        <f aca="false">IF(W1456="","",LN(W1456))</f>
        <v/>
      </c>
      <c r="Y1456" s="3" t="str">
        <f aca="false">IF(X1456="","",X1456-AVERAGEIFS($X$2:$X$2705,$B$2:$B$2705,B1456))</f>
        <v/>
      </c>
      <c r="Z1456" s="21" t="n">
        <f aca="false">P1456</f>
        <v>-0.88161171398507</v>
      </c>
      <c r="AA1456" s="3" t="n">
        <f aca="false">R1456</f>
        <v>0</v>
      </c>
      <c r="AB1456" s="21" t="n">
        <f aca="false">P1456</f>
        <v>-0.88161171398507</v>
      </c>
      <c r="AC1456" s="3" t="str">
        <f aca="false">Y1456</f>
        <v/>
      </c>
      <c r="AD1456" s="3" t="n">
        <f aca="false">R1456</f>
        <v>0</v>
      </c>
    </row>
    <row r="1457" customFormat="false" ht="15" hidden="false" customHeight="true" outlineLevel="0" collapsed="false">
      <c r="A1457" s="7" t="s">
        <v>60</v>
      </c>
      <c r="B1457" s="7" t="n">
        <v>1982</v>
      </c>
      <c r="C1457" s="7" t="s">
        <v>146</v>
      </c>
      <c r="D1457" s="7" t="n">
        <v>89</v>
      </c>
      <c r="E1457" s="7" t="n">
        <v>73</v>
      </c>
      <c r="F1457" s="3" t="n">
        <f aca="false">COUNTIFS($B$2:$B$2705,B1457,$C$2:$C$2705,C1457)</f>
        <v>1</v>
      </c>
      <c r="G1457" s="3" t="n">
        <f aca="false">MIN(INT((MIN(B1457,2020)-1900)/10)+1,12)</f>
        <v>9</v>
      </c>
      <c r="H1457" s="3" t="n">
        <f aca="false">(MIN(B1457,2020)-1900-10*(G1457-1))/10</f>
        <v>0.2</v>
      </c>
      <c r="I1457" s="20" t="n">
        <f aca="false">EXP(LN(INDEX(Pop_Inputs!$B$2:$N$29,MATCH(C1457,Pop_Inputs!$A$2:$A$29,0),G1457))*(1-H1457)+LN(INDEX(Pop_Inputs!$B$2:$N$29,MATCH(C1457,Pop_Inputs!$A$2:$A$29,0),G1457+1))*H1457)</f>
        <v>1667165.22261366</v>
      </c>
      <c r="J1457" s="20" t="n">
        <f aca="false">I1457/F1457</f>
        <v>1667165.22261366</v>
      </c>
      <c r="K1457" s="21" t="n">
        <f aca="false">D1457/(D1457+E1457)</f>
        <v>0.549382716049383</v>
      </c>
      <c r="L1457" s="21" t="n">
        <f aca="false">AVERAGEIFS($K$2:$K$2705,$B$2:$B$2705,B1457)</f>
        <v>0.5</v>
      </c>
      <c r="M1457" s="21" t="n">
        <f aca="false">K1457-L1457</f>
        <v>0.0493827160493827</v>
      </c>
      <c r="N1457" s="21" t="n">
        <f aca="false">LN(J1457)</f>
        <v>14.3266352705669</v>
      </c>
      <c r="O1457" s="21" t="n">
        <f aca="false">AVERAGEIFS($N$2:$N$2705,$B$2:$B$2705,B1457)</f>
        <v>13.6348708001551</v>
      </c>
      <c r="P1457" s="21" t="n">
        <f aca="false">N1457-O1457</f>
        <v>0.691764470411826</v>
      </c>
      <c r="Q1457" s="7" t="n">
        <v>0</v>
      </c>
      <c r="R1457" s="3" t="n">
        <f aca="false">IF(AND(Q1457=1,B1457-_xlfn.MINIFS($B$2:$B$2705,$A$2:$A$2705,A1457)&lt;10),1,0)</f>
        <v>0</v>
      </c>
      <c r="S1457" s="7" t="n">
        <v>0</v>
      </c>
      <c r="T1457" s="3" t="n">
        <f aca="false">_xlfn.MINIFS($B$2:$B$2705,$A$2:$A$2705,A1457)</f>
        <v>1901</v>
      </c>
      <c r="U1457" s="3" t="n">
        <f aca="false">B1457-T1457</f>
        <v>81</v>
      </c>
      <c r="V1457" s="3" t="str">
        <f aca="false">INDEX(Pop_Inputs!$Q$2:$Q$29,MATCH(C1457,Pop_Inputs!$A$2:$A$29,0))</f>
        <v>Northeast</v>
      </c>
      <c r="W1457" s="30"/>
      <c r="X1457" s="3" t="str">
        <f aca="false">IF(W1457="","",LN(W1457))</f>
        <v/>
      </c>
      <c r="Y1457" s="3" t="str">
        <f aca="false">IF(X1457="","",X1457-AVERAGEIFS($X$2:$X$2705,$B$2:$B$2705,B1457))</f>
        <v/>
      </c>
      <c r="Z1457" s="21" t="n">
        <f aca="false">P1457</f>
        <v>0.691764470411826</v>
      </c>
      <c r="AA1457" s="3" t="n">
        <f aca="false">R1457</f>
        <v>0</v>
      </c>
      <c r="AB1457" s="21" t="n">
        <f aca="false">P1457</f>
        <v>0.691764470411826</v>
      </c>
      <c r="AC1457" s="3" t="str">
        <f aca="false">Y1457</f>
        <v/>
      </c>
      <c r="AD1457" s="3" t="n">
        <f aca="false">R1457</f>
        <v>0</v>
      </c>
    </row>
    <row r="1458" customFormat="false" ht="15" hidden="false" customHeight="true" outlineLevel="0" collapsed="false">
      <c r="A1458" s="7" t="s">
        <v>58</v>
      </c>
      <c r="B1458" s="7" t="n">
        <v>1982</v>
      </c>
      <c r="C1458" s="7" t="s">
        <v>144</v>
      </c>
      <c r="D1458" s="7" t="n">
        <v>84</v>
      </c>
      <c r="E1458" s="7" t="n">
        <v>78</v>
      </c>
      <c r="F1458" s="3" t="n">
        <f aca="false">COUNTIFS($B$2:$B$2705,B1458,$C$2:$C$2705,C1458)</f>
        <v>1</v>
      </c>
      <c r="G1458" s="3" t="n">
        <f aca="false">MIN(INT((MIN(B1458,2020)-1900)/10)+1,12)</f>
        <v>9</v>
      </c>
      <c r="H1458" s="3" t="n">
        <f aca="false">(MIN(B1458,2020)-1900-10*(G1458-1))/10</f>
        <v>0.2</v>
      </c>
      <c r="I1458" s="20" t="n">
        <f aca="false">EXP(LN(INDEX(Pop_Inputs!$B$2:$N$29,MATCH(C1458,Pop_Inputs!$A$2:$A$29,0),G1458))*(1-H1458)+LN(INDEX(Pop_Inputs!$B$2:$N$29,MATCH(C1458,Pop_Inputs!$A$2:$A$29,0),G1458+1))*H1458)</f>
        <v>412528.361896983</v>
      </c>
      <c r="J1458" s="20" t="n">
        <f aca="false">I1458/F1458</f>
        <v>412528.361896983</v>
      </c>
      <c r="K1458" s="21" t="n">
        <f aca="false">D1458/(D1458+E1458)</f>
        <v>0.518518518518519</v>
      </c>
      <c r="L1458" s="21" t="n">
        <f aca="false">AVERAGEIFS($K$2:$K$2705,$B$2:$B$2705,B1458)</f>
        <v>0.5</v>
      </c>
      <c r="M1458" s="21" t="n">
        <f aca="false">K1458-L1458</f>
        <v>0.0185185185185185</v>
      </c>
      <c r="N1458" s="21" t="n">
        <f aca="false">LN(J1458)</f>
        <v>12.9300602385072</v>
      </c>
      <c r="O1458" s="21" t="n">
        <f aca="false">AVERAGEIFS($N$2:$N$2705,$B$2:$B$2705,B1458)</f>
        <v>13.6348708001551</v>
      </c>
      <c r="P1458" s="21" t="n">
        <f aca="false">N1458-O1458</f>
        <v>-0.704810561647934</v>
      </c>
      <c r="Q1458" s="7" t="n">
        <v>0</v>
      </c>
      <c r="R1458" s="3" t="n">
        <f aca="false">IF(AND(Q1458=1,B1458-_xlfn.MINIFS($B$2:$B$2705,$A$2:$A$2705,A1458)&lt;10),1,0)</f>
        <v>0</v>
      </c>
      <c r="S1458" s="7" t="n">
        <v>0</v>
      </c>
      <c r="T1458" s="3" t="n">
        <f aca="false">_xlfn.MINIFS($B$2:$B$2705,$A$2:$A$2705,A1458)</f>
        <v>1901</v>
      </c>
      <c r="U1458" s="3" t="n">
        <f aca="false">B1458-T1458</f>
        <v>81</v>
      </c>
      <c r="V1458" s="3" t="str">
        <f aca="false">INDEX(Pop_Inputs!$Q$2:$Q$29,MATCH(C1458,Pop_Inputs!$A$2:$A$29,0))</f>
        <v>Northeast</v>
      </c>
      <c r="W1458" s="30"/>
      <c r="X1458" s="3" t="str">
        <f aca="false">IF(W1458="","",LN(W1458))</f>
        <v/>
      </c>
      <c r="Y1458" s="3" t="str">
        <f aca="false">IF(X1458="","",X1458-AVERAGEIFS($X$2:$X$2705,$B$2:$B$2705,B1458))</f>
        <v/>
      </c>
      <c r="Z1458" s="21" t="n">
        <f aca="false">P1458</f>
        <v>-0.704810561647934</v>
      </c>
      <c r="AA1458" s="3" t="n">
        <f aca="false">R1458</f>
        <v>0</v>
      </c>
      <c r="AB1458" s="21" t="n">
        <f aca="false">P1458</f>
        <v>-0.704810561647934</v>
      </c>
      <c r="AC1458" s="3" t="str">
        <f aca="false">Y1458</f>
        <v/>
      </c>
      <c r="AD1458" s="3" t="n">
        <f aca="false">R1458</f>
        <v>0</v>
      </c>
    </row>
    <row r="1459" customFormat="false" ht="15" hidden="false" customHeight="true" outlineLevel="0" collapsed="false">
      <c r="A1459" s="7" t="s">
        <v>78</v>
      </c>
      <c r="B1459" s="7" t="n">
        <v>1982</v>
      </c>
      <c r="C1459" s="7" t="s">
        <v>159</v>
      </c>
      <c r="D1459" s="7" t="n">
        <v>81</v>
      </c>
      <c r="E1459" s="7" t="n">
        <v>81</v>
      </c>
      <c r="F1459" s="3" t="n">
        <f aca="false">COUNTIFS($B$2:$B$2705,B1459,$C$2:$C$2705,C1459)</f>
        <v>1</v>
      </c>
      <c r="G1459" s="3" t="n">
        <f aca="false">MIN(INT((MIN(B1459,2020)-1900)/10)+1,12)</f>
        <v>9</v>
      </c>
      <c r="H1459" s="3" t="n">
        <f aca="false">(MIN(B1459,2020)-1900-10*(G1459-1))/10</f>
        <v>0.2</v>
      </c>
      <c r="I1459" s="20" t="n">
        <f aca="false">EXP(LN(INDEX(Pop_Inputs!$B$2:$N$29,MATCH(C1459,Pop_Inputs!$A$2:$A$29,0),G1459))*(1-H1459)+LN(INDEX(Pop_Inputs!$B$2:$N$29,MATCH(C1459,Pop_Inputs!$A$2:$A$29,0),G1459+1))*H1459)</f>
        <v>918179.400554895</v>
      </c>
      <c r="J1459" s="20" t="n">
        <f aca="false">I1459/F1459</f>
        <v>918179.400554895</v>
      </c>
      <c r="K1459" s="21" t="n">
        <f aca="false">D1459/(D1459+E1459)</f>
        <v>0.5</v>
      </c>
      <c r="L1459" s="21" t="n">
        <f aca="false">AVERAGEIFS($K$2:$K$2705,$B$2:$B$2705,B1459)</f>
        <v>0.5</v>
      </c>
      <c r="M1459" s="21" t="n">
        <f aca="false">K1459-L1459</f>
        <v>0</v>
      </c>
      <c r="N1459" s="21" t="n">
        <f aca="false">LN(J1459)</f>
        <v>13.7301480759506</v>
      </c>
      <c r="O1459" s="21" t="n">
        <f aca="false">AVERAGEIFS($N$2:$N$2705,$B$2:$B$2705,B1459)</f>
        <v>13.6348708001551</v>
      </c>
      <c r="P1459" s="21" t="n">
        <f aca="false">N1459-O1459</f>
        <v>0.0952772757955138</v>
      </c>
      <c r="Q1459" s="7" t="n">
        <v>1</v>
      </c>
      <c r="R1459" s="3" t="n">
        <f aca="false">IF(AND(Q1459=1,B1459-_xlfn.MINIFS($B$2:$B$2705,$A$2:$A$2705,A1459)&lt;10),1,0)</f>
        <v>0</v>
      </c>
      <c r="S1459" s="7" t="n">
        <v>0</v>
      </c>
      <c r="T1459" s="3" t="n">
        <f aca="false">_xlfn.MINIFS($B$2:$B$2705,$A$2:$A$2705,A1459)</f>
        <v>1969</v>
      </c>
      <c r="U1459" s="3" t="n">
        <f aca="false">B1459-T1459</f>
        <v>13</v>
      </c>
      <c r="V1459" s="3" t="str">
        <f aca="false">INDEX(Pop_Inputs!$Q$2:$Q$29,MATCH(C1459,Pop_Inputs!$A$2:$A$29,0))</f>
        <v>West</v>
      </c>
      <c r="W1459" s="30"/>
      <c r="X1459" s="3" t="str">
        <f aca="false">IF(W1459="","",LN(W1459))</f>
        <v/>
      </c>
      <c r="Y1459" s="3" t="str">
        <f aca="false">IF(X1459="","",X1459-AVERAGEIFS($X$2:$X$2705,$B$2:$B$2705,B1459))</f>
        <v/>
      </c>
      <c r="Z1459" s="21" t="n">
        <f aca="false">P1459</f>
        <v>0.0952772757955138</v>
      </c>
      <c r="AA1459" s="3" t="n">
        <f aca="false">R1459</f>
        <v>0</v>
      </c>
      <c r="AB1459" s="21" t="n">
        <f aca="false">P1459</f>
        <v>0.0952772757955138</v>
      </c>
      <c r="AC1459" s="3" t="str">
        <f aca="false">Y1459</f>
        <v/>
      </c>
      <c r="AD1459" s="3" t="n">
        <f aca="false">R1459</f>
        <v>0</v>
      </c>
    </row>
    <row r="1460" customFormat="false" ht="15" hidden="false" customHeight="true" outlineLevel="0" collapsed="false">
      <c r="A1460" s="7" t="s">
        <v>80</v>
      </c>
      <c r="B1460" s="7" t="n">
        <v>1982</v>
      </c>
      <c r="C1460" s="7" t="s">
        <v>161</v>
      </c>
      <c r="D1460" s="7" t="n">
        <v>76</v>
      </c>
      <c r="E1460" s="7" t="n">
        <v>86</v>
      </c>
      <c r="F1460" s="3" t="n">
        <f aca="false">COUNTIFS($B$2:$B$2705,B1460,$C$2:$C$2705,C1460)</f>
        <v>1</v>
      </c>
      <c r="G1460" s="3" t="n">
        <f aca="false">MIN(INT((MIN(B1460,2020)-1900)/10)+1,12)</f>
        <v>9</v>
      </c>
      <c r="H1460" s="3" t="n">
        <f aca="false">(MIN(B1460,2020)-1900-10*(G1460-1))/10</f>
        <v>0.2</v>
      </c>
      <c r="I1460" s="20" t="n">
        <f aca="false">EXP(LN(INDEX(Pop_Inputs!$B$2:$N$29,MATCH(C1460,Pop_Inputs!$A$2:$A$29,0),G1460))*(1-H1460)+LN(INDEX(Pop_Inputs!$B$2:$N$29,MATCH(C1460,Pop_Inputs!$A$2:$A$29,0),G1460+1))*H1460)</f>
        <v>498249.371493555</v>
      </c>
      <c r="J1460" s="20" t="n">
        <f aca="false">I1460/F1460</f>
        <v>498249.371493555</v>
      </c>
      <c r="K1460" s="21" t="n">
        <f aca="false">D1460/(D1460+E1460)</f>
        <v>0.469135802469136</v>
      </c>
      <c r="L1460" s="21" t="n">
        <f aca="false">AVERAGEIFS($K$2:$K$2705,$B$2:$B$2705,B1460)</f>
        <v>0.5</v>
      </c>
      <c r="M1460" s="21" t="n">
        <f aca="false">K1460-L1460</f>
        <v>-0.0308641975308642</v>
      </c>
      <c r="N1460" s="21" t="n">
        <f aca="false">LN(J1460)</f>
        <v>13.1188559766464</v>
      </c>
      <c r="O1460" s="21" t="n">
        <f aca="false">AVERAGEIFS($N$2:$N$2705,$B$2:$B$2705,B1460)</f>
        <v>13.6348708001551</v>
      </c>
      <c r="P1460" s="21" t="n">
        <f aca="false">N1460-O1460</f>
        <v>-0.516014823508753</v>
      </c>
      <c r="Q1460" s="7" t="n">
        <v>1</v>
      </c>
      <c r="R1460" s="3" t="n">
        <f aca="false">IF(AND(Q1460=1,B1460-_xlfn.MINIFS($B$2:$B$2705,$A$2:$A$2705,A1460)&lt;10),1,0)</f>
        <v>1</v>
      </c>
      <c r="S1460" s="7" t="n">
        <v>0</v>
      </c>
      <c r="T1460" s="3" t="n">
        <f aca="false">_xlfn.MINIFS($B$2:$B$2705,$A$2:$A$2705,A1460)</f>
        <v>1977</v>
      </c>
      <c r="U1460" s="3" t="n">
        <f aca="false">B1460-T1460</f>
        <v>5</v>
      </c>
      <c r="V1460" s="3" t="str">
        <f aca="false">INDEX(Pop_Inputs!$Q$2:$Q$29,MATCH(C1460,Pop_Inputs!$A$2:$A$29,0))</f>
        <v>West</v>
      </c>
      <c r="W1460" s="30"/>
      <c r="X1460" s="3" t="str">
        <f aca="false">IF(W1460="","",LN(W1460))</f>
        <v/>
      </c>
      <c r="Y1460" s="3" t="str">
        <f aca="false">IF(X1460="","",X1460-AVERAGEIFS($X$2:$X$2705,$B$2:$B$2705,B1460))</f>
        <v/>
      </c>
      <c r="Z1460" s="21" t="n">
        <f aca="false">P1460</f>
        <v>-0.516014823508753</v>
      </c>
      <c r="AA1460" s="3" t="n">
        <f aca="false">R1460</f>
        <v>1</v>
      </c>
      <c r="AB1460" s="21" t="n">
        <f aca="false">P1460</f>
        <v>-0.516014823508753</v>
      </c>
      <c r="AC1460" s="3" t="str">
        <f aca="false">Y1460</f>
        <v/>
      </c>
      <c r="AD1460" s="3" t="n">
        <f aca="false">R1460</f>
        <v>1</v>
      </c>
    </row>
    <row r="1461" customFormat="false" ht="15" hidden="false" customHeight="true" outlineLevel="0" collapsed="false">
      <c r="A1461" s="7" t="s">
        <v>61</v>
      </c>
      <c r="B1461" s="7" t="n">
        <v>1982</v>
      </c>
      <c r="C1461" s="7" t="s">
        <v>147</v>
      </c>
      <c r="D1461" s="7" t="n">
        <v>87</v>
      </c>
      <c r="E1461" s="7" t="n">
        <v>75</v>
      </c>
      <c r="F1461" s="3" t="n">
        <f aca="false">COUNTIFS($B$2:$B$2705,B1461,$C$2:$C$2705,C1461)</f>
        <v>1</v>
      </c>
      <c r="G1461" s="3" t="n">
        <f aca="false">MIN(INT((MIN(B1461,2020)-1900)/10)+1,12)</f>
        <v>9</v>
      </c>
      <c r="H1461" s="3" t="n">
        <f aca="false">(MIN(B1461,2020)-1900-10*(G1461-1))/10</f>
        <v>0.2</v>
      </c>
      <c r="I1461" s="20" t="n">
        <f aca="false">EXP(LN(INDEX(Pop_Inputs!$B$2:$N$29,MATCH(C1461,Pop_Inputs!$A$2:$A$29,0),G1461))*(1-H1461)+LN(INDEX(Pop_Inputs!$B$2:$N$29,MATCH(C1461,Pop_Inputs!$A$2:$A$29,0),G1461+1))*H1461)</f>
        <v>687741.623641911</v>
      </c>
      <c r="J1461" s="20" t="n">
        <f aca="false">I1461/F1461</f>
        <v>687741.623641911</v>
      </c>
      <c r="K1461" s="21" t="n">
        <f aca="false">D1461/(D1461+E1461)</f>
        <v>0.537037037037037</v>
      </c>
      <c r="L1461" s="21" t="n">
        <f aca="false">AVERAGEIFS($K$2:$K$2705,$B$2:$B$2705,B1461)</f>
        <v>0.5</v>
      </c>
      <c r="M1461" s="21" t="n">
        <f aca="false">K1461-L1461</f>
        <v>0.0370370370370371</v>
      </c>
      <c r="N1461" s="21" t="n">
        <f aca="false">LN(J1461)</f>
        <v>13.4411684993479</v>
      </c>
      <c r="O1461" s="21" t="n">
        <f aca="false">AVERAGEIFS($N$2:$N$2705,$B$2:$B$2705,B1461)</f>
        <v>13.6348708001551</v>
      </c>
      <c r="P1461" s="21" t="n">
        <f aca="false">N1461-O1461</f>
        <v>-0.193702300807184</v>
      </c>
      <c r="Q1461" s="7" t="n">
        <v>0</v>
      </c>
      <c r="R1461" s="3" t="n">
        <f aca="false">IF(AND(Q1461=1,B1461-_xlfn.MINIFS($B$2:$B$2705,$A$2:$A$2705,A1461)&lt;10),1,0)</f>
        <v>0</v>
      </c>
      <c r="S1461" s="7" t="n">
        <v>0</v>
      </c>
      <c r="T1461" s="3" t="n">
        <f aca="false">_xlfn.MINIFS($B$2:$B$2705,$A$2:$A$2705,A1461)</f>
        <v>1901</v>
      </c>
      <c r="U1461" s="3" t="n">
        <f aca="false">B1461-T1461</f>
        <v>81</v>
      </c>
      <c r="V1461" s="3" t="str">
        <f aca="false">INDEX(Pop_Inputs!$Q$2:$Q$29,MATCH(C1461,Pop_Inputs!$A$2:$A$29,0))</f>
        <v>West</v>
      </c>
      <c r="W1461" s="30"/>
      <c r="X1461" s="3" t="str">
        <f aca="false">IF(W1461="","",LN(W1461))</f>
        <v/>
      </c>
      <c r="Y1461" s="3" t="str">
        <f aca="false">IF(X1461="","",X1461-AVERAGEIFS($X$2:$X$2705,$B$2:$B$2705,B1461))</f>
        <v/>
      </c>
      <c r="Z1461" s="21" t="n">
        <f aca="false">P1461</f>
        <v>-0.193702300807184</v>
      </c>
      <c r="AA1461" s="3" t="n">
        <f aca="false">R1461</f>
        <v>0</v>
      </c>
      <c r="AB1461" s="21" t="n">
        <f aca="false">P1461</f>
        <v>-0.193702300807184</v>
      </c>
      <c r="AC1461" s="3" t="str">
        <f aca="false">Y1461</f>
        <v/>
      </c>
      <c r="AD1461" s="3" t="n">
        <f aca="false">R1461</f>
        <v>0</v>
      </c>
    </row>
    <row r="1462" customFormat="false" ht="15" hidden="false" customHeight="true" outlineLevel="0" collapsed="false">
      <c r="A1462" s="7" t="s">
        <v>59</v>
      </c>
      <c r="B1462" s="7" t="n">
        <v>1982</v>
      </c>
      <c r="C1462" s="7" t="s">
        <v>145</v>
      </c>
      <c r="D1462" s="7" t="n">
        <v>92</v>
      </c>
      <c r="E1462" s="7" t="n">
        <v>70</v>
      </c>
      <c r="F1462" s="3" t="n">
        <f aca="false">COUNTIFS($B$2:$B$2705,B1462,$C$2:$C$2705,C1462)</f>
        <v>1</v>
      </c>
      <c r="G1462" s="3" t="n">
        <f aca="false">MIN(INT((MIN(B1462,2020)-1900)/10)+1,12)</f>
        <v>9</v>
      </c>
      <c r="H1462" s="3" t="n">
        <f aca="false">(MIN(B1462,2020)-1900-10*(G1462-1))/10</f>
        <v>0.2</v>
      </c>
      <c r="I1462" s="20" t="n">
        <f aca="false">EXP(LN(INDEX(Pop_Inputs!$B$2:$N$29,MATCH(C1462,Pop_Inputs!$A$2:$A$29,0),G1462))*(1-H1462)+LN(INDEX(Pop_Inputs!$B$2:$N$29,MATCH(C1462,Pop_Inputs!$A$2:$A$29,0),G1462+1))*H1462)</f>
        <v>441758.156571731</v>
      </c>
      <c r="J1462" s="20" t="n">
        <f aca="false">I1462/F1462</f>
        <v>441758.156571731</v>
      </c>
      <c r="K1462" s="21" t="n">
        <f aca="false">D1462/(D1462+E1462)</f>
        <v>0.567901234567901</v>
      </c>
      <c r="L1462" s="21" t="n">
        <f aca="false">AVERAGEIFS($K$2:$K$2705,$B$2:$B$2705,B1462)</f>
        <v>0.5</v>
      </c>
      <c r="M1462" s="21" t="n">
        <f aca="false">K1462-L1462</f>
        <v>0.0679012345679012</v>
      </c>
      <c r="N1462" s="21" t="n">
        <f aca="false">LN(J1462)</f>
        <v>12.9985178542372</v>
      </c>
      <c r="O1462" s="21" t="n">
        <f aca="false">AVERAGEIFS($N$2:$N$2705,$B$2:$B$2705,B1462)</f>
        <v>13.6348708001551</v>
      </c>
      <c r="P1462" s="21" t="n">
        <f aca="false">N1462-O1462</f>
        <v>-0.636352945917867</v>
      </c>
      <c r="Q1462" s="7" t="n">
        <v>0</v>
      </c>
      <c r="R1462" s="3" t="n">
        <f aca="false">IF(AND(Q1462=1,B1462-_xlfn.MINIFS($B$2:$B$2705,$A$2:$A$2705,A1462)&lt;10),1,0)</f>
        <v>0</v>
      </c>
      <c r="S1462" s="7" t="n">
        <v>0</v>
      </c>
      <c r="T1462" s="3" t="n">
        <f aca="false">_xlfn.MINIFS($B$2:$B$2705,$A$2:$A$2705,A1462)</f>
        <v>1901</v>
      </c>
      <c r="U1462" s="3" t="n">
        <f aca="false">B1462-T1462</f>
        <v>81</v>
      </c>
      <c r="V1462" s="3" t="str">
        <f aca="false">INDEX(Pop_Inputs!$Q$2:$Q$29,MATCH(C1462,Pop_Inputs!$A$2:$A$29,0))</f>
        <v>Midwest</v>
      </c>
      <c r="W1462" s="30"/>
      <c r="X1462" s="3" t="str">
        <f aca="false">IF(W1462="","",LN(W1462))</f>
        <v/>
      </c>
      <c r="Y1462" s="3" t="str">
        <f aca="false">IF(X1462="","",X1462-AVERAGEIFS($X$2:$X$2705,$B$2:$B$2705,B1462))</f>
        <v/>
      </c>
      <c r="Z1462" s="21" t="n">
        <f aca="false">P1462</f>
        <v>-0.636352945917867</v>
      </c>
      <c r="AA1462" s="3" t="n">
        <f aca="false">R1462</f>
        <v>0</v>
      </c>
      <c r="AB1462" s="21" t="n">
        <f aca="false">P1462</f>
        <v>-0.636352945917867</v>
      </c>
      <c r="AC1462" s="3" t="str">
        <f aca="false">Y1462</f>
        <v/>
      </c>
      <c r="AD1462" s="3" t="n">
        <f aca="false">R1462</f>
        <v>0</v>
      </c>
    </row>
    <row r="1463" customFormat="false" ht="15" hidden="false" customHeight="true" outlineLevel="0" collapsed="false">
      <c r="A1463" s="7" t="s">
        <v>73</v>
      </c>
      <c r="B1463" s="7" t="n">
        <v>1982</v>
      </c>
      <c r="C1463" s="7" t="s">
        <v>155</v>
      </c>
      <c r="D1463" s="7" t="n">
        <v>64</v>
      </c>
      <c r="E1463" s="7" t="n">
        <v>98</v>
      </c>
      <c r="F1463" s="3" t="n">
        <f aca="false">COUNTIFS($B$2:$B$2705,B1463,$C$2:$C$2705,C1463)</f>
        <v>1</v>
      </c>
      <c r="G1463" s="3" t="n">
        <f aca="false">MIN(INT((MIN(B1463,2020)-1900)/10)+1,12)</f>
        <v>9</v>
      </c>
      <c r="H1463" s="3" t="n">
        <f aca="false">(MIN(B1463,2020)-1900-10*(G1463-1))/10</f>
        <v>0.2</v>
      </c>
      <c r="I1463" s="20" t="n">
        <f aca="false">EXP(LN(INDEX(Pop_Inputs!$B$2:$N$29,MATCH(C1463,Pop_Inputs!$A$2:$A$29,0),G1463))*(1-H1463)+LN(INDEX(Pop_Inputs!$B$2:$N$29,MATCH(C1463,Pop_Inputs!$A$2:$A$29,0),G1463+1))*H1463)</f>
        <v>923780.161012988</v>
      </c>
      <c r="J1463" s="20" t="n">
        <f aca="false">I1463/F1463</f>
        <v>923780.161012988</v>
      </c>
      <c r="K1463" s="21" t="n">
        <f aca="false">D1463/(D1463+E1463)</f>
        <v>0.395061728395062</v>
      </c>
      <c r="L1463" s="21" t="n">
        <f aca="false">AVERAGEIFS($K$2:$K$2705,$B$2:$B$2705,B1463)</f>
        <v>0.5</v>
      </c>
      <c r="M1463" s="21" t="n">
        <f aca="false">K1463-L1463</f>
        <v>-0.104938271604938</v>
      </c>
      <c r="N1463" s="21" t="n">
        <f aca="false">LN(J1463)</f>
        <v>13.7362294013345</v>
      </c>
      <c r="O1463" s="21" t="n">
        <f aca="false">AVERAGEIFS($N$2:$N$2705,$B$2:$B$2705,B1463)</f>
        <v>13.6348708001551</v>
      </c>
      <c r="P1463" s="21" t="n">
        <f aca="false">N1463-O1463</f>
        <v>0.101358601179408</v>
      </c>
      <c r="Q1463" s="7" t="n">
        <v>1</v>
      </c>
      <c r="R1463" s="3" t="n">
        <f aca="false">IF(AND(Q1463=1,B1463-_xlfn.MINIFS($B$2:$B$2705,$A$2:$A$2705,A1463)&lt;10),1,0)</f>
        <v>0</v>
      </c>
      <c r="S1463" s="7" t="n">
        <v>0</v>
      </c>
      <c r="T1463" s="3" t="n">
        <f aca="false">_xlfn.MINIFS($B$2:$B$2705,$A$2:$A$2705,A1463)</f>
        <v>1961</v>
      </c>
      <c r="U1463" s="3" t="n">
        <f aca="false">B1463-T1463</f>
        <v>21</v>
      </c>
      <c r="V1463" s="3" t="str">
        <f aca="false">INDEX(Pop_Inputs!$Q$2:$Q$29,MATCH(C1463,Pop_Inputs!$A$2:$A$29,0))</f>
        <v>South</v>
      </c>
      <c r="W1463" s="30"/>
      <c r="X1463" s="3" t="str">
        <f aca="false">IF(W1463="","",LN(W1463))</f>
        <v/>
      </c>
      <c r="Y1463" s="3" t="str">
        <f aca="false">IF(X1463="","",X1463-AVERAGEIFS($X$2:$X$2705,$B$2:$B$2705,B1463))</f>
        <v/>
      </c>
      <c r="Z1463" s="21" t="n">
        <f aca="false">P1463</f>
        <v>0.101358601179408</v>
      </c>
      <c r="AA1463" s="3" t="n">
        <f aca="false">R1463</f>
        <v>0</v>
      </c>
      <c r="AB1463" s="21" t="n">
        <f aca="false">P1463</f>
        <v>0.101358601179408</v>
      </c>
      <c r="AC1463" s="3" t="str">
        <f aca="false">Y1463</f>
        <v/>
      </c>
      <c r="AD1463" s="3" t="n">
        <f aca="false">R1463</f>
        <v>0</v>
      </c>
    </row>
    <row r="1464" customFormat="false" ht="15" hidden="false" customHeight="true" outlineLevel="0" collapsed="false">
      <c r="A1464" s="7" t="s">
        <v>81</v>
      </c>
      <c r="B1464" s="7" t="n">
        <v>1982</v>
      </c>
      <c r="C1464" s="7" t="s">
        <v>162</v>
      </c>
      <c r="D1464" s="7" t="n">
        <v>78</v>
      </c>
      <c r="E1464" s="7" t="n">
        <v>84</v>
      </c>
      <c r="F1464" s="3" t="n">
        <f aca="false">COUNTIFS($B$2:$B$2705,B1464,$C$2:$C$2705,C1464)</f>
        <v>1</v>
      </c>
      <c r="G1464" s="3" t="n">
        <f aca="false">MIN(INT((MIN(B1464,2020)-1900)/10)+1,12)</f>
        <v>9</v>
      </c>
      <c r="H1464" s="3" t="n">
        <f aca="false">(MIN(B1464,2020)-1900-10*(G1464-1))/10</f>
        <v>0.2</v>
      </c>
      <c r="I1464" s="20" t="n">
        <f aca="false">EXP(LN(INDEX(Pop_Inputs!$B$2:$N$29,MATCH(C1464,Pop_Inputs!$A$2:$A$29,0),G1464))*(1-H1464)+LN(INDEX(Pop_Inputs!$B$2:$N$29,MATCH(C1464,Pop_Inputs!$A$2:$A$29,0),G1464+1))*H1464)</f>
        <v>606283.933166558</v>
      </c>
      <c r="J1464" s="20" t="n">
        <f aca="false">I1464/F1464</f>
        <v>606283.933166558</v>
      </c>
      <c r="K1464" s="21" t="n">
        <f aca="false">D1464/(D1464+E1464)</f>
        <v>0.481481481481481</v>
      </c>
      <c r="L1464" s="21" t="n">
        <f aca="false">AVERAGEIFS($K$2:$K$2705,$B$2:$B$2705,B1464)</f>
        <v>0.5</v>
      </c>
      <c r="M1464" s="21" t="n">
        <f aca="false">K1464-L1464</f>
        <v>-0.0185185185185185</v>
      </c>
      <c r="N1464" s="21" t="n">
        <f aca="false">LN(J1464)</f>
        <v>13.3151036919009</v>
      </c>
      <c r="O1464" s="21" t="n">
        <f aca="false">AVERAGEIFS($N$2:$N$2705,$B$2:$B$2705,B1464)</f>
        <v>13.6348708001551</v>
      </c>
      <c r="P1464" s="21" t="n">
        <f aca="false">N1464-O1464</f>
        <v>-0.319767108254171</v>
      </c>
      <c r="Q1464" s="7" t="n">
        <v>1</v>
      </c>
      <c r="R1464" s="3" t="n">
        <f aca="false">IF(AND(Q1464=1,B1464-_xlfn.MINIFS($B$2:$B$2705,$A$2:$A$2705,A1464)&lt;10),1,0)</f>
        <v>1</v>
      </c>
      <c r="S1464" s="7" t="n">
        <v>0</v>
      </c>
      <c r="T1464" s="3" t="n">
        <f aca="false">_xlfn.MINIFS($B$2:$B$2705,$A$2:$A$2705,A1464)</f>
        <v>1977</v>
      </c>
      <c r="U1464" s="3" t="n">
        <f aca="false">B1464-T1464</f>
        <v>5</v>
      </c>
      <c r="V1464" s="3" t="str">
        <f aca="false">INDEX(Pop_Inputs!$Q$2:$Q$29,MATCH(C1464,Pop_Inputs!$A$2:$A$29,0))</f>
        <v>Canada</v>
      </c>
      <c r="W1464" s="30"/>
      <c r="X1464" s="3" t="str">
        <f aca="false">IF(W1464="","",LN(W1464))</f>
        <v/>
      </c>
      <c r="Y1464" s="3" t="str">
        <f aca="false">IF(X1464="","",X1464-AVERAGEIFS($X$2:$X$2705,$B$2:$B$2705,B1464))</f>
        <v/>
      </c>
      <c r="Z1464" s="21" t="n">
        <f aca="false">P1464</f>
        <v>-0.319767108254171</v>
      </c>
      <c r="AA1464" s="3" t="n">
        <f aca="false">R1464</f>
        <v>1</v>
      </c>
      <c r="AB1464" s="21" t="n">
        <f aca="false">P1464</f>
        <v>-0.319767108254171</v>
      </c>
      <c r="AC1464" s="3" t="str">
        <f aca="false">Y1464</f>
        <v/>
      </c>
      <c r="AD1464" s="3" t="n">
        <f aca="false">R1464</f>
        <v>1</v>
      </c>
    </row>
    <row r="1465" customFormat="false" ht="15" hidden="false" customHeight="true" outlineLevel="0" collapsed="false">
      <c r="A1465" s="7" t="s">
        <v>79</v>
      </c>
      <c r="B1465" s="7" t="n">
        <v>1982</v>
      </c>
      <c r="C1465" s="7" t="s">
        <v>254</v>
      </c>
      <c r="D1465" s="7" t="n">
        <v>86</v>
      </c>
      <c r="E1465" s="7" t="n">
        <v>76</v>
      </c>
      <c r="F1465" s="3" t="n">
        <f aca="false">COUNTIFS($B$2:$B$2705,B1465,$C$2:$C$2705,C1465)</f>
        <v>1</v>
      </c>
      <c r="G1465" s="3" t="n">
        <f aca="false">MIN(INT((MIN(B1465,2020)-1900)/10)+1,12)</f>
        <v>9</v>
      </c>
      <c r="H1465" s="3" t="n">
        <f aca="false">(MIN(B1465,2020)-1900-10*(G1465-1))/10</f>
        <v>0.2</v>
      </c>
      <c r="I1465" s="20" t="n">
        <f aca="false">EXP(LN(INDEX(Pop_Inputs!$B$2:$N$29,MATCH(C1465,Pop_Inputs!$A$2:$A$29,0),G1465))*(1-H1465)+LN(INDEX(Pop_Inputs!$B$2:$N$29,MATCH(C1465,Pop_Inputs!$A$2:$A$29,0),G1465+1))*H1465)</f>
        <v>987705.320382263</v>
      </c>
      <c r="J1465" s="20" t="n">
        <f aca="false">I1465/F1465</f>
        <v>987705.320382263</v>
      </c>
      <c r="K1465" s="21" t="n">
        <f aca="false">D1465/(D1465+E1465)</f>
        <v>0.530864197530864</v>
      </c>
      <c r="L1465" s="21" t="n">
        <f aca="false">AVERAGEIFS($K$2:$K$2705,$B$2:$B$2705,B1465)</f>
        <v>0.5</v>
      </c>
      <c r="M1465" s="21" t="n">
        <f aca="false">K1465-L1465</f>
        <v>0.0308641975308642</v>
      </c>
      <c r="N1465" s="21" t="n">
        <f aca="false">LN(J1465)</f>
        <v>13.8031396735196</v>
      </c>
      <c r="O1465" s="21" t="n">
        <f aca="false">AVERAGEIFS($N$2:$N$2705,$B$2:$B$2705,B1465)</f>
        <v>13.6348708001551</v>
      </c>
      <c r="P1465" s="21" t="n">
        <f aca="false">N1465-O1465</f>
        <v>0.168268873364509</v>
      </c>
      <c r="Q1465" s="7" t="n">
        <v>1</v>
      </c>
      <c r="R1465" s="3" t="n">
        <f aca="false">IF(AND(Q1465=1,B1465-_xlfn.MINIFS($B$2:$B$2705,$A$2:$A$2705,A1465)&lt;10),1,0)</f>
        <v>0</v>
      </c>
      <c r="S1465" s="7" t="n">
        <v>0</v>
      </c>
      <c r="T1465" s="3" t="n">
        <f aca="false">_xlfn.MINIFS($B$2:$B$2705,$A$2:$A$2705,A1465)</f>
        <v>1969</v>
      </c>
      <c r="U1465" s="3" t="n">
        <f aca="false">B1465-T1465</f>
        <v>13</v>
      </c>
      <c r="V1465" s="3" t="str">
        <f aca="false">INDEX(Pop_Inputs!$Q$2:$Q$29,MATCH(C1465,Pop_Inputs!$A$2:$A$29,0))</f>
        <v>Canada</v>
      </c>
      <c r="W1465" s="30"/>
      <c r="X1465" s="3" t="str">
        <f aca="false">IF(W1465="","",LN(W1465))</f>
        <v/>
      </c>
      <c r="Y1465" s="3" t="str">
        <f aca="false">IF(X1465="","",X1465-AVERAGEIFS($X$2:$X$2705,$B$2:$B$2705,B1465))</f>
        <v/>
      </c>
      <c r="Z1465" s="21" t="n">
        <f aca="false">P1465</f>
        <v>0.168268873364509</v>
      </c>
      <c r="AA1465" s="3" t="n">
        <f aca="false">R1465</f>
        <v>0</v>
      </c>
      <c r="AB1465" s="21" t="n">
        <f aca="false">P1465</f>
        <v>0.168268873364509</v>
      </c>
      <c r="AC1465" s="3" t="str">
        <f aca="false">Y1465</f>
        <v/>
      </c>
      <c r="AD1465" s="3" t="n">
        <f aca="false">R1465</f>
        <v>0</v>
      </c>
    </row>
    <row r="1466" customFormat="false" ht="15" hidden="false" customHeight="true" outlineLevel="0" collapsed="false">
      <c r="A1466" s="7" t="s">
        <v>71</v>
      </c>
      <c r="B1466" s="7" t="n">
        <v>1983</v>
      </c>
      <c r="C1466" s="7" t="s">
        <v>148</v>
      </c>
      <c r="D1466" s="7" t="n">
        <v>70</v>
      </c>
      <c r="E1466" s="7" t="n">
        <v>92</v>
      </c>
      <c r="F1466" s="3" t="n">
        <f aca="false">COUNTIFS($B$2:$B$2705,B1466,$C$2:$C$2705,C1466)</f>
        <v>2</v>
      </c>
      <c r="G1466" s="3" t="n">
        <f aca="false">MIN(INT((MIN(B1466,2020)-1900)/10)+1,12)</f>
        <v>9</v>
      </c>
      <c r="H1466" s="3" t="n">
        <f aca="false">(MIN(B1466,2020)-1900-10*(G1466-1))/10</f>
        <v>0.3</v>
      </c>
      <c r="I1466" s="20" t="n">
        <f aca="false">EXP(LN(INDEX(Pop_Inputs!$B$2:$N$29,MATCH(C1466,Pop_Inputs!$A$2:$A$29,0),G1466))*(1-H1466)+LN(INDEX(Pop_Inputs!$B$2:$N$29,MATCH(C1466,Pop_Inputs!$A$2:$A$29,0),G1466+1))*H1466)</f>
        <v>3113742.00879421</v>
      </c>
      <c r="J1466" s="20" t="n">
        <f aca="false">I1466/F1466</f>
        <v>1556871.0043971</v>
      </c>
      <c r="K1466" s="21" t="n">
        <f aca="false">D1466/(D1466+E1466)</f>
        <v>0.432098765432099</v>
      </c>
      <c r="L1466" s="21" t="n">
        <f aca="false">AVERAGEIFS($K$2:$K$2705,$B$2:$B$2705,B1466)</f>
        <v>0.5</v>
      </c>
      <c r="M1466" s="21" t="n">
        <f aca="false">K1466-L1466</f>
        <v>-0.0679012345679013</v>
      </c>
      <c r="N1466" s="21" t="n">
        <f aca="false">LN(J1466)</f>
        <v>14.2581885985703</v>
      </c>
      <c r="O1466" s="21" t="n">
        <f aca="false">AVERAGEIFS($N$2:$N$2705,$B$2:$B$2705,B1466)</f>
        <v>13.6350888964083</v>
      </c>
      <c r="P1466" s="21" t="n">
        <f aca="false">N1466-O1466</f>
        <v>0.623099702161964</v>
      </c>
      <c r="Q1466" s="7" t="n">
        <v>1</v>
      </c>
      <c r="R1466" s="3" t="n">
        <f aca="false">IF(AND(Q1466=1,B1466-_xlfn.MINIFS($B$2:$B$2705,$A$2:$A$2705,A1466)&lt;10),1,0)</f>
        <v>0</v>
      </c>
      <c r="S1466" s="7" t="n">
        <v>0</v>
      </c>
      <c r="T1466" s="3" t="n">
        <f aca="false">_xlfn.MINIFS($B$2:$B$2705,$A$2:$A$2705,A1466)</f>
        <v>1961</v>
      </c>
      <c r="U1466" s="3" t="n">
        <f aca="false">B1466-T1466</f>
        <v>22</v>
      </c>
      <c r="V1466" s="3" t="str">
        <f aca="false">INDEX(Pop_Inputs!$Q$2:$Q$29,MATCH(C1466,Pop_Inputs!$A$2:$A$29,0))</f>
        <v>West</v>
      </c>
      <c r="W1466" s="30"/>
      <c r="X1466" s="3" t="str">
        <f aca="false">IF(W1466="","",LN(W1466))</f>
        <v/>
      </c>
      <c r="Y1466" s="3" t="str">
        <f aca="false">IF(X1466="","",X1466-AVERAGEIFS($X$2:$X$2705,$B$2:$B$2705,B1466))</f>
        <v/>
      </c>
      <c r="Z1466" s="21" t="n">
        <f aca="false">P1466</f>
        <v>0.623099702161964</v>
      </c>
      <c r="AA1466" s="3" t="n">
        <f aca="false">R1466</f>
        <v>0</v>
      </c>
      <c r="AB1466" s="21" t="n">
        <f aca="false">P1466</f>
        <v>0.623099702161964</v>
      </c>
      <c r="AC1466" s="3" t="str">
        <f aca="false">Y1466</f>
        <v/>
      </c>
      <c r="AD1466" s="3" t="n">
        <f aca="false">R1466</f>
        <v>0</v>
      </c>
    </row>
    <row r="1467" customFormat="false" ht="15" hidden="false" customHeight="true" outlineLevel="0" collapsed="false">
      <c r="A1467" s="7" t="s">
        <v>54</v>
      </c>
      <c r="B1467" s="7" t="n">
        <v>1983</v>
      </c>
      <c r="C1467" s="7" t="s">
        <v>141</v>
      </c>
      <c r="D1467" s="7" t="n">
        <v>88</v>
      </c>
      <c r="E1467" s="7" t="n">
        <v>74</v>
      </c>
      <c r="F1467" s="3" t="n">
        <f aca="false">COUNTIFS($B$2:$B$2705,B1467,$C$2:$C$2705,C1467)</f>
        <v>1</v>
      </c>
      <c r="G1467" s="3" t="n">
        <f aca="false">MIN(INT((MIN(B1467,2020)-1900)/10)+1,12)</f>
        <v>9</v>
      </c>
      <c r="H1467" s="3" t="n">
        <f aca="false">(MIN(B1467,2020)-1900-10*(G1467-1))/10</f>
        <v>0.3</v>
      </c>
      <c r="I1467" s="20" t="n">
        <f aca="false">EXP(LN(INDEX(Pop_Inputs!$B$2:$N$29,MATCH(C1467,Pop_Inputs!$A$2:$A$29,0),G1467))*(1-H1467)+LN(INDEX(Pop_Inputs!$B$2:$N$29,MATCH(C1467,Pop_Inputs!$A$2:$A$29,0),G1467+1))*H1467)</f>
        <v>415472.68384234</v>
      </c>
      <c r="J1467" s="20" t="n">
        <f aca="false">I1467/F1467</f>
        <v>415472.68384234</v>
      </c>
      <c r="K1467" s="21" t="n">
        <f aca="false">D1467/(D1467+E1467)</f>
        <v>0.54320987654321</v>
      </c>
      <c r="L1467" s="21" t="n">
        <f aca="false">AVERAGEIFS($K$2:$K$2705,$B$2:$B$2705,B1467)</f>
        <v>0.5</v>
      </c>
      <c r="M1467" s="21" t="n">
        <f aca="false">K1467-L1467</f>
        <v>0.0432098765432098</v>
      </c>
      <c r="N1467" s="21" t="n">
        <f aca="false">LN(J1467)</f>
        <v>12.9371721482581</v>
      </c>
      <c r="O1467" s="21" t="n">
        <f aca="false">AVERAGEIFS($N$2:$N$2705,$B$2:$B$2705,B1467)</f>
        <v>13.6350888964083</v>
      </c>
      <c r="P1467" s="21" t="n">
        <f aca="false">N1467-O1467</f>
        <v>-0.697916748150245</v>
      </c>
      <c r="Q1467" s="7" t="n">
        <v>0</v>
      </c>
      <c r="R1467" s="3" t="n">
        <f aca="false">IF(AND(Q1467=1,B1467-_xlfn.MINIFS($B$2:$B$2705,$A$2:$A$2705,A1467)&lt;10),1,0)</f>
        <v>0</v>
      </c>
      <c r="S1467" s="7" t="n">
        <v>0</v>
      </c>
      <c r="T1467" s="3" t="n">
        <f aca="false">_xlfn.MINIFS($B$2:$B$2705,$A$2:$A$2705,A1467)</f>
        <v>1901</v>
      </c>
      <c r="U1467" s="3" t="n">
        <f aca="false">B1467-T1467</f>
        <v>82</v>
      </c>
      <c r="V1467" s="3" t="str">
        <f aca="false">INDEX(Pop_Inputs!$Q$2:$Q$29,MATCH(C1467,Pop_Inputs!$A$2:$A$29,0))</f>
        <v>South</v>
      </c>
      <c r="W1467" s="30"/>
      <c r="X1467" s="3" t="str">
        <f aca="false">IF(W1467="","",LN(W1467))</f>
        <v/>
      </c>
      <c r="Y1467" s="3" t="str">
        <f aca="false">IF(X1467="","",X1467-AVERAGEIFS($X$2:$X$2705,$B$2:$B$2705,B1467))</f>
        <v/>
      </c>
      <c r="Z1467" s="21" t="n">
        <f aca="false">P1467</f>
        <v>-0.697916748150245</v>
      </c>
      <c r="AA1467" s="3" t="n">
        <f aca="false">R1467</f>
        <v>0</v>
      </c>
      <c r="AB1467" s="21" t="n">
        <f aca="false">P1467</f>
        <v>-0.697916748150245</v>
      </c>
      <c r="AC1467" s="3" t="str">
        <f aca="false">Y1467</f>
        <v/>
      </c>
      <c r="AD1467" s="3" t="n">
        <f aca="false">R1467</f>
        <v>0</v>
      </c>
    </row>
    <row r="1468" customFormat="false" ht="15" hidden="false" customHeight="true" outlineLevel="0" collapsed="false">
      <c r="A1468" s="7" t="s">
        <v>63</v>
      </c>
      <c r="B1468" s="7" t="n">
        <v>1983</v>
      </c>
      <c r="C1468" s="7" t="s">
        <v>149</v>
      </c>
      <c r="D1468" s="7" t="n">
        <v>98</v>
      </c>
      <c r="E1468" s="7" t="n">
        <v>64</v>
      </c>
      <c r="F1468" s="3" t="n">
        <f aca="false">COUNTIFS($B$2:$B$2705,B1468,$C$2:$C$2705,C1468)</f>
        <v>1</v>
      </c>
      <c r="G1468" s="3" t="n">
        <f aca="false">MIN(INT((MIN(B1468,2020)-1900)/10)+1,12)</f>
        <v>9</v>
      </c>
      <c r="H1468" s="3" t="n">
        <f aca="false">(MIN(B1468,2020)-1900-10*(G1468-1))/10</f>
        <v>0.3</v>
      </c>
      <c r="I1468" s="20" t="n">
        <f aca="false">EXP(LN(INDEX(Pop_Inputs!$B$2:$N$29,MATCH(C1468,Pop_Inputs!$A$2:$A$29,0),G1468))*(1-H1468)+LN(INDEX(Pop_Inputs!$B$2:$N$29,MATCH(C1468,Pop_Inputs!$A$2:$A$29,0),G1468+1))*H1468)</f>
        <v>771189.679102527</v>
      </c>
      <c r="J1468" s="20" t="n">
        <f aca="false">I1468/F1468</f>
        <v>771189.679102527</v>
      </c>
      <c r="K1468" s="21" t="n">
        <f aca="false">D1468/(D1468+E1468)</f>
        <v>0.604938271604938</v>
      </c>
      <c r="L1468" s="21" t="n">
        <f aca="false">AVERAGEIFS($K$2:$K$2705,$B$2:$B$2705,B1468)</f>
        <v>0.5</v>
      </c>
      <c r="M1468" s="21" t="n">
        <f aca="false">K1468-L1468</f>
        <v>0.104938271604938</v>
      </c>
      <c r="N1468" s="21" t="n">
        <f aca="false">LN(J1468)</f>
        <v>13.5556896392824</v>
      </c>
      <c r="O1468" s="21" t="n">
        <f aca="false">AVERAGEIFS($N$2:$N$2705,$B$2:$B$2705,B1468)</f>
        <v>13.6350888964083</v>
      </c>
      <c r="P1468" s="21" t="n">
        <f aca="false">N1468-O1468</f>
        <v>-0.0793992571258944</v>
      </c>
      <c r="Q1468" s="7" t="n">
        <v>0</v>
      </c>
      <c r="R1468" s="3" t="n">
        <f aca="false">IF(AND(Q1468=1,B1468-_xlfn.MINIFS($B$2:$B$2705,$A$2:$A$2705,A1468)&lt;10),1,0)</f>
        <v>0</v>
      </c>
      <c r="S1468" s="7" t="n">
        <v>0</v>
      </c>
      <c r="T1468" s="3" t="n">
        <f aca="false">_xlfn.MINIFS($B$2:$B$2705,$A$2:$A$2705,A1468)</f>
        <v>1901</v>
      </c>
      <c r="U1468" s="3" t="n">
        <f aca="false">B1468-T1468</f>
        <v>82</v>
      </c>
      <c r="V1468" s="3" t="str">
        <f aca="false">INDEX(Pop_Inputs!$Q$2:$Q$29,MATCH(C1468,Pop_Inputs!$A$2:$A$29,0))</f>
        <v>South</v>
      </c>
      <c r="W1468" s="30"/>
      <c r="X1468" s="3" t="str">
        <f aca="false">IF(W1468="","",LN(W1468))</f>
        <v/>
      </c>
      <c r="Y1468" s="3" t="str">
        <f aca="false">IF(X1468="","",X1468-AVERAGEIFS($X$2:$X$2705,$B$2:$B$2705,B1468))</f>
        <v/>
      </c>
      <c r="Z1468" s="21" t="n">
        <f aca="false">P1468</f>
        <v>-0.0793992571258944</v>
      </c>
      <c r="AA1468" s="3" t="n">
        <f aca="false">R1468</f>
        <v>0</v>
      </c>
      <c r="AB1468" s="21" t="n">
        <f aca="false">P1468</f>
        <v>-0.0793992571258944</v>
      </c>
      <c r="AC1468" s="3" t="str">
        <f aca="false">Y1468</f>
        <v/>
      </c>
      <c r="AD1468" s="3" t="n">
        <f aca="false">R1468</f>
        <v>0</v>
      </c>
    </row>
    <row r="1469" customFormat="false" ht="15" hidden="false" customHeight="true" outlineLevel="0" collapsed="false">
      <c r="A1469" s="7" t="s">
        <v>64</v>
      </c>
      <c r="B1469" s="7" t="n">
        <v>1983</v>
      </c>
      <c r="C1469" s="7" t="s">
        <v>150</v>
      </c>
      <c r="D1469" s="7" t="n">
        <v>78</v>
      </c>
      <c r="E1469" s="7" t="n">
        <v>84</v>
      </c>
      <c r="F1469" s="3" t="n">
        <f aca="false">COUNTIFS($B$2:$B$2705,B1469,$C$2:$C$2705,C1469)</f>
        <v>1</v>
      </c>
      <c r="G1469" s="3" t="n">
        <f aca="false">MIN(INT((MIN(B1469,2020)-1900)/10)+1,12)</f>
        <v>9</v>
      </c>
      <c r="H1469" s="3" t="n">
        <f aca="false">(MIN(B1469,2020)-1900-10*(G1469-1))/10</f>
        <v>0.3</v>
      </c>
      <c r="I1469" s="20" t="n">
        <f aca="false">EXP(LN(INDEX(Pop_Inputs!$B$2:$N$29,MATCH(C1469,Pop_Inputs!$A$2:$A$29,0),G1469))*(1-H1469)+LN(INDEX(Pop_Inputs!$B$2:$N$29,MATCH(C1469,Pop_Inputs!$A$2:$A$29,0),G1469+1))*H1469)</f>
        <v>566357.198257575</v>
      </c>
      <c r="J1469" s="20" t="n">
        <f aca="false">I1469/F1469</f>
        <v>566357.198257575</v>
      </c>
      <c r="K1469" s="21" t="n">
        <f aca="false">D1469/(D1469+E1469)</f>
        <v>0.481481481481481</v>
      </c>
      <c r="L1469" s="21" t="n">
        <f aca="false">AVERAGEIFS($K$2:$K$2705,$B$2:$B$2705,B1469)</f>
        <v>0.5</v>
      </c>
      <c r="M1469" s="21" t="n">
        <f aca="false">K1469-L1469</f>
        <v>-0.0185185185185185</v>
      </c>
      <c r="N1469" s="21" t="n">
        <f aca="false">LN(J1469)</f>
        <v>13.2469802504582</v>
      </c>
      <c r="O1469" s="21" t="n">
        <f aca="false">AVERAGEIFS($N$2:$N$2705,$B$2:$B$2705,B1469)</f>
        <v>13.6350888964083</v>
      </c>
      <c r="P1469" s="21" t="n">
        <f aca="false">N1469-O1469</f>
        <v>-0.388108645950169</v>
      </c>
      <c r="Q1469" s="7" t="n">
        <v>0</v>
      </c>
      <c r="R1469" s="3" t="n">
        <f aca="false">IF(AND(Q1469=1,B1469-_xlfn.MINIFS($B$2:$B$2705,$A$2:$A$2705,A1469)&lt;10),1,0)</f>
        <v>0</v>
      </c>
      <c r="S1469" s="7" t="n">
        <v>0</v>
      </c>
      <c r="T1469" s="3" t="n">
        <f aca="false">_xlfn.MINIFS($B$2:$B$2705,$A$2:$A$2705,A1469)</f>
        <v>1901</v>
      </c>
      <c r="U1469" s="3" t="n">
        <f aca="false">B1469-T1469</f>
        <v>82</v>
      </c>
      <c r="V1469" s="3" t="str">
        <f aca="false">INDEX(Pop_Inputs!$Q$2:$Q$29,MATCH(C1469,Pop_Inputs!$A$2:$A$29,0))</f>
        <v>Northeast</v>
      </c>
      <c r="W1469" s="30"/>
      <c r="X1469" s="3" t="str">
        <f aca="false">IF(W1469="","",LN(W1469))</f>
        <v/>
      </c>
      <c r="Y1469" s="3" t="str">
        <f aca="false">IF(X1469="","",X1469-AVERAGEIFS($X$2:$X$2705,$B$2:$B$2705,B1469))</f>
        <v/>
      </c>
      <c r="Z1469" s="21" t="n">
        <f aca="false">P1469</f>
        <v>-0.388108645950169</v>
      </c>
      <c r="AA1469" s="3" t="n">
        <f aca="false">R1469</f>
        <v>0</v>
      </c>
      <c r="AB1469" s="21" t="n">
        <f aca="false">P1469</f>
        <v>-0.388108645950169</v>
      </c>
      <c r="AC1469" s="3" t="str">
        <f aca="false">Y1469</f>
        <v/>
      </c>
      <c r="AD1469" s="3" t="n">
        <f aca="false">R1469</f>
        <v>0</v>
      </c>
    </row>
    <row r="1470" customFormat="false" ht="15" hidden="false" customHeight="true" outlineLevel="0" collapsed="false">
      <c r="A1470" s="7" t="s">
        <v>56</v>
      </c>
      <c r="B1470" s="7" t="n">
        <v>1983</v>
      </c>
      <c r="C1470" s="7" t="s">
        <v>142</v>
      </c>
      <c r="D1470" s="7" t="n">
        <v>71</v>
      </c>
      <c r="E1470" s="7" t="n">
        <v>91</v>
      </c>
      <c r="F1470" s="3" t="n">
        <f aca="false">COUNTIFS($B$2:$B$2705,B1470,$C$2:$C$2705,C1470)</f>
        <v>2</v>
      </c>
      <c r="G1470" s="3" t="n">
        <f aca="false">MIN(INT((MIN(B1470,2020)-1900)/10)+1,12)</f>
        <v>9</v>
      </c>
      <c r="H1470" s="3" t="n">
        <f aca="false">(MIN(B1470,2020)-1900-10*(G1470-1))/10</f>
        <v>0.3</v>
      </c>
      <c r="I1470" s="20" t="n">
        <f aca="false">EXP(LN(INDEX(Pop_Inputs!$B$2:$N$29,MATCH(C1470,Pop_Inputs!$A$2:$A$29,0),G1470))*(1-H1470)+LN(INDEX(Pop_Inputs!$B$2:$N$29,MATCH(C1470,Pop_Inputs!$A$2:$A$29,0),G1470+1))*H1470)</f>
        <v>2936881.0910506</v>
      </c>
      <c r="J1470" s="20" t="n">
        <f aca="false">I1470/F1470</f>
        <v>1468440.5455253</v>
      </c>
      <c r="K1470" s="21" t="n">
        <f aca="false">D1470/(D1470+E1470)</f>
        <v>0.438271604938272</v>
      </c>
      <c r="L1470" s="21" t="n">
        <f aca="false">AVERAGEIFS($K$2:$K$2705,$B$2:$B$2705,B1470)</f>
        <v>0.5</v>
      </c>
      <c r="M1470" s="21" t="n">
        <f aca="false">K1470-L1470</f>
        <v>-0.0617283950617284</v>
      </c>
      <c r="N1470" s="21" t="n">
        <f aca="false">LN(J1470)</f>
        <v>14.1997115422675</v>
      </c>
      <c r="O1470" s="21" t="n">
        <f aca="false">AVERAGEIFS($N$2:$N$2705,$B$2:$B$2705,B1470)</f>
        <v>13.6350888964083</v>
      </c>
      <c r="P1470" s="21" t="n">
        <f aca="false">N1470-O1470</f>
        <v>0.564622645859195</v>
      </c>
      <c r="Q1470" s="7" t="n">
        <v>0</v>
      </c>
      <c r="R1470" s="3" t="n">
        <f aca="false">IF(AND(Q1470=1,B1470-_xlfn.MINIFS($B$2:$B$2705,$A$2:$A$2705,A1470)&lt;10),1,0)</f>
        <v>0</v>
      </c>
      <c r="S1470" s="7" t="n">
        <v>0</v>
      </c>
      <c r="T1470" s="3" t="n">
        <f aca="false">_xlfn.MINIFS($B$2:$B$2705,$A$2:$A$2705,A1470)</f>
        <v>1901</v>
      </c>
      <c r="U1470" s="3" t="n">
        <f aca="false">B1470-T1470</f>
        <v>82</v>
      </c>
      <c r="V1470" s="3" t="str">
        <f aca="false">INDEX(Pop_Inputs!$Q$2:$Q$29,MATCH(C1470,Pop_Inputs!$A$2:$A$29,0))</f>
        <v>Midwest</v>
      </c>
      <c r="W1470" s="30"/>
      <c r="X1470" s="3" t="str">
        <f aca="false">IF(W1470="","",LN(W1470))</f>
        <v/>
      </c>
      <c r="Y1470" s="3" t="str">
        <f aca="false">IF(X1470="","",X1470-AVERAGEIFS($X$2:$X$2705,$B$2:$B$2705,B1470))</f>
        <v/>
      </c>
      <c r="Z1470" s="21" t="n">
        <f aca="false">P1470</f>
        <v>0.564622645859195</v>
      </c>
      <c r="AA1470" s="3" t="n">
        <f aca="false">R1470</f>
        <v>0</v>
      </c>
      <c r="AB1470" s="21" t="n">
        <f aca="false">P1470</f>
        <v>0.564622645859195</v>
      </c>
      <c r="AC1470" s="3" t="str">
        <f aca="false">Y1470</f>
        <v/>
      </c>
      <c r="AD1470" s="3" t="n">
        <f aca="false">R1470</f>
        <v>0</v>
      </c>
    </row>
    <row r="1471" customFormat="false" ht="15" hidden="false" customHeight="true" outlineLevel="0" collapsed="false">
      <c r="A1471" s="7" t="s">
        <v>65</v>
      </c>
      <c r="B1471" s="7" t="n">
        <v>1983</v>
      </c>
      <c r="C1471" s="7" t="s">
        <v>142</v>
      </c>
      <c r="D1471" s="7" t="n">
        <v>99</v>
      </c>
      <c r="E1471" s="7" t="n">
        <v>63</v>
      </c>
      <c r="F1471" s="3" t="n">
        <f aca="false">COUNTIFS($B$2:$B$2705,B1471,$C$2:$C$2705,C1471)</f>
        <v>2</v>
      </c>
      <c r="G1471" s="3" t="n">
        <f aca="false">MIN(INT((MIN(B1471,2020)-1900)/10)+1,12)</f>
        <v>9</v>
      </c>
      <c r="H1471" s="3" t="n">
        <f aca="false">(MIN(B1471,2020)-1900-10*(G1471-1))/10</f>
        <v>0.3</v>
      </c>
      <c r="I1471" s="20" t="n">
        <f aca="false">EXP(LN(INDEX(Pop_Inputs!$B$2:$N$29,MATCH(C1471,Pop_Inputs!$A$2:$A$29,0),G1471))*(1-H1471)+LN(INDEX(Pop_Inputs!$B$2:$N$29,MATCH(C1471,Pop_Inputs!$A$2:$A$29,0),G1471+1))*H1471)</f>
        <v>2936881.0910506</v>
      </c>
      <c r="J1471" s="20" t="n">
        <f aca="false">I1471/F1471</f>
        <v>1468440.5455253</v>
      </c>
      <c r="K1471" s="21" t="n">
        <f aca="false">D1471/(D1471+E1471)</f>
        <v>0.611111111111111</v>
      </c>
      <c r="L1471" s="21" t="n">
        <f aca="false">AVERAGEIFS($K$2:$K$2705,$B$2:$B$2705,B1471)</f>
        <v>0.5</v>
      </c>
      <c r="M1471" s="21" t="n">
        <f aca="false">K1471-L1471</f>
        <v>0.111111111111111</v>
      </c>
      <c r="N1471" s="21" t="n">
        <f aca="false">LN(J1471)</f>
        <v>14.1997115422675</v>
      </c>
      <c r="O1471" s="21" t="n">
        <f aca="false">AVERAGEIFS($N$2:$N$2705,$B$2:$B$2705,B1471)</f>
        <v>13.6350888964083</v>
      </c>
      <c r="P1471" s="21" t="n">
        <f aca="false">N1471-O1471</f>
        <v>0.564622645859195</v>
      </c>
      <c r="Q1471" s="7" t="n">
        <v>0</v>
      </c>
      <c r="R1471" s="3" t="n">
        <f aca="false">IF(AND(Q1471=1,B1471-_xlfn.MINIFS($B$2:$B$2705,$A$2:$A$2705,A1471)&lt;10),1,0)</f>
        <v>0</v>
      </c>
      <c r="S1471" s="7" t="n">
        <v>0</v>
      </c>
      <c r="T1471" s="3" t="n">
        <f aca="false">_xlfn.MINIFS($B$2:$B$2705,$A$2:$A$2705,A1471)</f>
        <v>1901</v>
      </c>
      <c r="U1471" s="3" t="n">
        <f aca="false">B1471-T1471</f>
        <v>82</v>
      </c>
      <c r="V1471" s="3" t="str">
        <f aca="false">INDEX(Pop_Inputs!$Q$2:$Q$29,MATCH(C1471,Pop_Inputs!$A$2:$A$29,0))</f>
        <v>Midwest</v>
      </c>
      <c r="W1471" s="30"/>
      <c r="X1471" s="3" t="str">
        <f aca="false">IF(W1471="","",LN(W1471))</f>
        <v/>
      </c>
      <c r="Y1471" s="3" t="str">
        <f aca="false">IF(X1471="","",X1471-AVERAGEIFS($X$2:$X$2705,$B$2:$B$2705,B1471))</f>
        <v/>
      </c>
      <c r="Z1471" s="21" t="n">
        <f aca="false">P1471</f>
        <v>0.564622645859195</v>
      </c>
      <c r="AA1471" s="3" t="n">
        <f aca="false">R1471</f>
        <v>0</v>
      </c>
      <c r="AB1471" s="21" t="n">
        <f aca="false">P1471</f>
        <v>0.564622645859195</v>
      </c>
      <c r="AC1471" s="3" t="str">
        <f aca="false">Y1471</f>
        <v/>
      </c>
      <c r="AD1471" s="3" t="n">
        <f aca="false">R1471</f>
        <v>0</v>
      </c>
    </row>
    <row r="1472" customFormat="false" ht="15" hidden="false" customHeight="true" outlineLevel="0" collapsed="false">
      <c r="A1472" s="7" t="s">
        <v>57</v>
      </c>
      <c r="B1472" s="7" t="n">
        <v>1983</v>
      </c>
      <c r="C1472" s="7" t="s">
        <v>143</v>
      </c>
      <c r="D1472" s="7" t="n">
        <v>74</v>
      </c>
      <c r="E1472" s="7" t="n">
        <v>88</v>
      </c>
      <c r="F1472" s="3" t="n">
        <f aca="false">COUNTIFS($B$2:$B$2705,B1472,$C$2:$C$2705,C1472)</f>
        <v>1</v>
      </c>
      <c r="G1472" s="3" t="n">
        <f aca="false">MIN(INT((MIN(B1472,2020)-1900)/10)+1,12)</f>
        <v>9</v>
      </c>
      <c r="H1472" s="3" t="n">
        <f aca="false">(MIN(B1472,2020)-1900-10*(G1472-1))/10</f>
        <v>0.3</v>
      </c>
      <c r="I1472" s="20" t="n">
        <f aca="false">EXP(LN(INDEX(Pop_Inputs!$B$2:$N$29,MATCH(C1472,Pop_Inputs!$A$2:$A$29,0),G1472))*(1-H1472)+LN(INDEX(Pop_Inputs!$B$2:$N$29,MATCH(C1472,Pop_Inputs!$A$2:$A$29,0),G1472+1))*H1472)</f>
        <v>378904.927959154</v>
      </c>
      <c r="J1472" s="20" t="n">
        <f aca="false">I1472/F1472</f>
        <v>378904.927959154</v>
      </c>
      <c r="K1472" s="21" t="n">
        <f aca="false">D1472/(D1472+E1472)</f>
        <v>0.45679012345679</v>
      </c>
      <c r="L1472" s="21" t="n">
        <f aca="false">AVERAGEIFS($K$2:$K$2705,$B$2:$B$2705,B1472)</f>
        <v>0.5</v>
      </c>
      <c r="M1472" s="21" t="n">
        <f aca="false">K1472-L1472</f>
        <v>-0.0432098765432099</v>
      </c>
      <c r="N1472" s="21" t="n">
        <f aca="false">LN(J1472)</f>
        <v>12.8450406028845</v>
      </c>
      <c r="O1472" s="21" t="n">
        <f aca="false">AVERAGEIFS($N$2:$N$2705,$B$2:$B$2705,B1472)</f>
        <v>13.6350888964083</v>
      </c>
      <c r="P1472" s="21" t="n">
        <f aca="false">N1472-O1472</f>
        <v>-0.790048293523824</v>
      </c>
      <c r="Q1472" s="7" t="n">
        <v>0</v>
      </c>
      <c r="R1472" s="3" t="n">
        <f aca="false">IF(AND(Q1472=1,B1472-_xlfn.MINIFS($B$2:$B$2705,$A$2:$A$2705,A1472)&lt;10),1,0)</f>
        <v>0</v>
      </c>
      <c r="S1472" s="7" t="n">
        <v>0</v>
      </c>
      <c r="T1472" s="3" t="n">
        <f aca="false">_xlfn.MINIFS($B$2:$B$2705,$A$2:$A$2705,A1472)</f>
        <v>1901</v>
      </c>
      <c r="U1472" s="3" t="n">
        <f aca="false">B1472-T1472</f>
        <v>82</v>
      </c>
      <c r="V1472" s="3" t="str">
        <f aca="false">INDEX(Pop_Inputs!$Q$2:$Q$29,MATCH(C1472,Pop_Inputs!$A$2:$A$29,0))</f>
        <v>Midwest</v>
      </c>
      <c r="W1472" s="30"/>
      <c r="X1472" s="3" t="str">
        <f aca="false">IF(W1472="","",LN(W1472))</f>
        <v/>
      </c>
      <c r="Y1472" s="3" t="str">
        <f aca="false">IF(X1472="","",X1472-AVERAGEIFS($X$2:$X$2705,$B$2:$B$2705,B1472))</f>
        <v/>
      </c>
      <c r="Z1472" s="21" t="n">
        <f aca="false">P1472</f>
        <v>-0.790048293523824</v>
      </c>
      <c r="AA1472" s="3" t="n">
        <f aca="false">R1472</f>
        <v>0</v>
      </c>
      <c r="AB1472" s="21" t="n">
        <f aca="false">P1472</f>
        <v>-0.790048293523824</v>
      </c>
      <c r="AC1472" s="3" t="str">
        <f aca="false">Y1472</f>
        <v/>
      </c>
      <c r="AD1472" s="3" t="n">
        <f aca="false">R1472</f>
        <v>0</v>
      </c>
    </row>
    <row r="1473" customFormat="false" ht="15" hidden="false" customHeight="true" outlineLevel="0" collapsed="false">
      <c r="A1473" s="7" t="s">
        <v>66</v>
      </c>
      <c r="B1473" s="7" t="n">
        <v>1983</v>
      </c>
      <c r="C1473" s="7" t="s">
        <v>151</v>
      </c>
      <c r="D1473" s="7" t="n">
        <v>70</v>
      </c>
      <c r="E1473" s="7" t="n">
        <v>92</v>
      </c>
      <c r="F1473" s="3" t="n">
        <f aca="false">COUNTIFS($B$2:$B$2705,B1473,$C$2:$C$2705,C1473)</f>
        <v>1</v>
      </c>
      <c r="G1473" s="3" t="n">
        <f aca="false">MIN(INT((MIN(B1473,2020)-1900)/10)+1,12)</f>
        <v>9</v>
      </c>
      <c r="H1473" s="3" t="n">
        <f aca="false">(MIN(B1473,2020)-1900-10*(G1473-1))/10</f>
        <v>0.3</v>
      </c>
      <c r="I1473" s="20" t="n">
        <f aca="false">EXP(LN(INDEX(Pop_Inputs!$B$2:$N$29,MATCH(C1473,Pop_Inputs!$A$2:$A$29,0),G1473))*(1-H1473)+LN(INDEX(Pop_Inputs!$B$2:$N$29,MATCH(C1473,Pop_Inputs!$A$2:$A$29,0),G1473+1))*H1473)</f>
        <v>552446.566754677</v>
      </c>
      <c r="J1473" s="20" t="n">
        <f aca="false">I1473/F1473</f>
        <v>552446.566754677</v>
      </c>
      <c r="K1473" s="21" t="n">
        <f aca="false">D1473/(D1473+E1473)</f>
        <v>0.432098765432099</v>
      </c>
      <c r="L1473" s="21" t="n">
        <f aca="false">AVERAGEIFS($K$2:$K$2705,$B$2:$B$2705,B1473)</f>
        <v>0.5</v>
      </c>
      <c r="M1473" s="21" t="n">
        <f aca="false">K1473-L1473</f>
        <v>-0.0679012345679013</v>
      </c>
      <c r="N1473" s="21" t="n">
        <f aca="false">LN(J1473)</f>
        <v>13.2221119959409</v>
      </c>
      <c r="O1473" s="21" t="n">
        <f aca="false">AVERAGEIFS($N$2:$N$2705,$B$2:$B$2705,B1473)</f>
        <v>13.6350888964083</v>
      </c>
      <c r="P1473" s="21" t="n">
        <f aca="false">N1473-O1473</f>
        <v>-0.41297690046742</v>
      </c>
      <c r="Q1473" s="7" t="n">
        <v>0</v>
      </c>
      <c r="R1473" s="3" t="n">
        <f aca="false">IF(AND(Q1473=1,B1473-_xlfn.MINIFS($B$2:$B$2705,$A$2:$A$2705,A1473)&lt;10),1,0)</f>
        <v>0</v>
      </c>
      <c r="S1473" s="7" t="n">
        <v>0</v>
      </c>
      <c r="T1473" s="3" t="n">
        <f aca="false">_xlfn.MINIFS($B$2:$B$2705,$A$2:$A$2705,A1473)</f>
        <v>1901</v>
      </c>
      <c r="U1473" s="3" t="n">
        <f aca="false">B1473-T1473</f>
        <v>82</v>
      </c>
      <c r="V1473" s="3" t="str">
        <f aca="false">INDEX(Pop_Inputs!$Q$2:$Q$29,MATCH(C1473,Pop_Inputs!$A$2:$A$29,0))</f>
        <v>Midwest</v>
      </c>
      <c r="W1473" s="30"/>
      <c r="X1473" s="3" t="str">
        <f aca="false">IF(W1473="","",LN(W1473))</f>
        <v/>
      </c>
      <c r="Y1473" s="3" t="str">
        <f aca="false">IF(X1473="","",X1473-AVERAGEIFS($X$2:$X$2705,$B$2:$B$2705,B1473))</f>
        <v/>
      </c>
      <c r="Z1473" s="21" t="n">
        <f aca="false">P1473</f>
        <v>-0.41297690046742</v>
      </c>
      <c r="AA1473" s="3" t="n">
        <f aca="false">R1473</f>
        <v>0</v>
      </c>
      <c r="AB1473" s="21" t="n">
        <f aca="false">P1473</f>
        <v>-0.41297690046742</v>
      </c>
      <c r="AC1473" s="3" t="str">
        <f aca="false">Y1473</f>
        <v/>
      </c>
      <c r="AD1473" s="3" t="n">
        <f aca="false">R1473</f>
        <v>0</v>
      </c>
    </row>
    <row r="1474" customFormat="false" ht="15" hidden="false" customHeight="true" outlineLevel="0" collapsed="false">
      <c r="A1474" s="7" t="s">
        <v>67</v>
      </c>
      <c r="B1474" s="7" t="n">
        <v>1983</v>
      </c>
      <c r="C1474" s="7" t="s">
        <v>152</v>
      </c>
      <c r="D1474" s="7" t="n">
        <v>92</v>
      </c>
      <c r="E1474" s="7" t="n">
        <v>70</v>
      </c>
      <c r="F1474" s="3" t="n">
        <f aca="false">COUNTIFS($B$2:$B$2705,B1474,$C$2:$C$2705,C1474)</f>
        <v>1</v>
      </c>
      <c r="G1474" s="3" t="n">
        <f aca="false">MIN(INT((MIN(B1474,2020)-1900)/10)+1,12)</f>
        <v>9</v>
      </c>
      <c r="H1474" s="3" t="n">
        <f aca="false">(MIN(B1474,2020)-1900-10*(G1474-1))/10</f>
        <v>0.3</v>
      </c>
      <c r="I1474" s="20" t="n">
        <f aca="false">EXP(LN(INDEX(Pop_Inputs!$B$2:$N$29,MATCH(C1474,Pop_Inputs!$A$2:$A$29,0),G1474))*(1-H1474)+LN(INDEX(Pop_Inputs!$B$2:$N$29,MATCH(C1474,Pop_Inputs!$A$2:$A$29,0),G1474+1))*H1474)</f>
        <v>1147819.39828391</v>
      </c>
      <c r="J1474" s="20" t="n">
        <f aca="false">I1474/F1474</f>
        <v>1147819.39828391</v>
      </c>
      <c r="K1474" s="21" t="n">
        <f aca="false">D1474/(D1474+E1474)</f>
        <v>0.567901234567901</v>
      </c>
      <c r="L1474" s="21" t="n">
        <f aca="false">AVERAGEIFS($K$2:$K$2705,$B$2:$B$2705,B1474)</f>
        <v>0.5</v>
      </c>
      <c r="M1474" s="21" t="n">
        <f aca="false">K1474-L1474</f>
        <v>0.0679012345679012</v>
      </c>
      <c r="N1474" s="21" t="n">
        <f aca="false">LN(J1474)</f>
        <v>13.9533745249178</v>
      </c>
      <c r="O1474" s="21" t="n">
        <f aca="false">AVERAGEIFS($N$2:$N$2705,$B$2:$B$2705,B1474)</f>
        <v>13.6350888964083</v>
      </c>
      <c r="P1474" s="21" t="n">
        <f aca="false">N1474-O1474</f>
        <v>0.318285628509418</v>
      </c>
      <c r="Q1474" s="7" t="n">
        <v>0</v>
      </c>
      <c r="R1474" s="3" t="n">
        <f aca="false">IF(AND(Q1474=1,B1474-_xlfn.MINIFS($B$2:$B$2705,$A$2:$A$2705,A1474)&lt;10),1,0)</f>
        <v>0</v>
      </c>
      <c r="S1474" s="7" t="n">
        <v>0</v>
      </c>
      <c r="T1474" s="3" t="n">
        <f aca="false">_xlfn.MINIFS($B$2:$B$2705,$A$2:$A$2705,A1474)</f>
        <v>1901</v>
      </c>
      <c r="U1474" s="3" t="n">
        <f aca="false">B1474-T1474</f>
        <v>82</v>
      </c>
      <c r="V1474" s="3" t="str">
        <f aca="false">INDEX(Pop_Inputs!$Q$2:$Q$29,MATCH(C1474,Pop_Inputs!$A$2:$A$29,0))</f>
        <v>Midwest</v>
      </c>
      <c r="W1474" s="30"/>
      <c r="X1474" s="3" t="str">
        <f aca="false">IF(W1474="","",LN(W1474))</f>
        <v/>
      </c>
      <c r="Y1474" s="3" t="str">
        <f aca="false">IF(X1474="","",X1474-AVERAGEIFS($X$2:$X$2705,$B$2:$B$2705,B1474))</f>
        <v/>
      </c>
      <c r="Z1474" s="21" t="n">
        <f aca="false">P1474</f>
        <v>0.318285628509418</v>
      </c>
      <c r="AA1474" s="3" t="n">
        <f aca="false">R1474</f>
        <v>0</v>
      </c>
      <c r="AB1474" s="21" t="n">
        <f aca="false">P1474</f>
        <v>0.318285628509418</v>
      </c>
      <c r="AC1474" s="3" t="str">
        <f aca="false">Y1474</f>
        <v/>
      </c>
      <c r="AD1474" s="3" t="n">
        <f aca="false">R1474</f>
        <v>0</v>
      </c>
    </row>
    <row r="1475" customFormat="false" ht="15" hidden="false" customHeight="true" outlineLevel="0" collapsed="false">
      <c r="A1475" s="7" t="s">
        <v>74</v>
      </c>
      <c r="B1475" s="7" t="n">
        <v>1983</v>
      </c>
      <c r="C1475" s="7" t="s">
        <v>156</v>
      </c>
      <c r="D1475" s="7" t="n">
        <v>85</v>
      </c>
      <c r="E1475" s="7" t="n">
        <v>77</v>
      </c>
      <c r="F1475" s="3" t="n">
        <f aca="false">COUNTIFS($B$2:$B$2705,B1475,$C$2:$C$2705,C1475)</f>
        <v>1</v>
      </c>
      <c r="G1475" s="3" t="n">
        <f aca="false">MIN(INT((MIN(B1475,2020)-1900)/10)+1,12)</f>
        <v>9</v>
      </c>
      <c r="H1475" s="3" t="n">
        <f aca="false">(MIN(B1475,2020)-1900-10*(G1475-1))/10</f>
        <v>0.3</v>
      </c>
      <c r="I1475" s="20" t="n">
        <f aca="false">EXP(LN(INDEX(Pop_Inputs!$B$2:$N$29,MATCH(C1475,Pop_Inputs!$A$2:$A$29,0),G1475))*(1-H1475)+LN(INDEX(Pop_Inputs!$B$2:$N$29,MATCH(C1475,Pop_Inputs!$A$2:$A$29,0),G1475+1))*H1475)</f>
        <v>1605680.96415611</v>
      </c>
      <c r="J1475" s="20" t="n">
        <f aca="false">I1475/F1475</f>
        <v>1605680.96415611</v>
      </c>
      <c r="K1475" s="21" t="n">
        <f aca="false">D1475/(D1475+E1475)</f>
        <v>0.524691358024691</v>
      </c>
      <c r="L1475" s="21" t="n">
        <f aca="false">AVERAGEIFS($K$2:$K$2705,$B$2:$B$2705,B1475)</f>
        <v>0.5</v>
      </c>
      <c r="M1475" s="21" t="n">
        <f aca="false">K1475-L1475</f>
        <v>0.0246913580246914</v>
      </c>
      <c r="N1475" s="21" t="n">
        <f aca="false">LN(J1475)</f>
        <v>14.2890585012991</v>
      </c>
      <c r="O1475" s="21" t="n">
        <f aca="false">AVERAGEIFS($N$2:$N$2705,$B$2:$B$2705,B1475)</f>
        <v>13.6350888964083</v>
      </c>
      <c r="P1475" s="21" t="n">
        <f aca="false">N1475-O1475</f>
        <v>0.65396960489077</v>
      </c>
      <c r="Q1475" s="7" t="n">
        <v>1</v>
      </c>
      <c r="R1475" s="3" t="n">
        <f aca="false">IF(AND(Q1475=1,B1475-_xlfn.MINIFS($B$2:$B$2705,$A$2:$A$2705,A1475)&lt;10),1,0)</f>
        <v>0</v>
      </c>
      <c r="S1475" s="7" t="n">
        <v>0</v>
      </c>
      <c r="T1475" s="3" t="n">
        <f aca="false">_xlfn.MINIFS($B$2:$B$2705,$A$2:$A$2705,A1475)</f>
        <v>1962</v>
      </c>
      <c r="U1475" s="3" t="n">
        <f aca="false">B1475-T1475</f>
        <v>21</v>
      </c>
      <c r="V1475" s="3" t="str">
        <f aca="false">INDEX(Pop_Inputs!$Q$2:$Q$29,MATCH(C1475,Pop_Inputs!$A$2:$A$29,0))</f>
        <v>South</v>
      </c>
      <c r="W1475" s="30"/>
      <c r="X1475" s="3" t="str">
        <f aca="false">IF(W1475="","",LN(W1475))</f>
        <v/>
      </c>
      <c r="Y1475" s="3" t="str">
        <f aca="false">IF(X1475="","",X1475-AVERAGEIFS($X$2:$X$2705,$B$2:$B$2705,B1475))</f>
        <v/>
      </c>
      <c r="Z1475" s="21" t="n">
        <f aca="false">P1475</f>
        <v>0.65396960489077</v>
      </c>
      <c r="AA1475" s="3" t="n">
        <f aca="false">R1475</f>
        <v>0</v>
      </c>
      <c r="AB1475" s="21" t="n">
        <f aca="false">P1475</f>
        <v>0.65396960489077</v>
      </c>
      <c r="AC1475" s="3" t="str">
        <f aca="false">Y1475</f>
        <v/>
      </c>
      <c r="AD1475" s="3" t="n">
        <f aca="false">R1475</f>
        <v>0</v>
      </c>
    </row>
    <row r="1476" customFormat="false" ht="15" hidden="false" customHeight="true" outlineLevel="0" collapsed="false">
      <c r="A1476" s="7" t="s">
        <v>76</v>
      </c>
      <c r="B1476" s="7" t="n">
        <v>1983</v>
      </c>
      <c r="C1476" s="7" t="s">
        <v>157</v>
      </c>
      <c r="D1476" s="7" t="n">
        <v>79</v>
      </c>
      <c r="E1476" s="7" t="n">
        <v>83</v>
      </c>
      <c r="F1476" s="3" t="n">
        <f aca="false">COUNTIFS($B$2:$B$2705,B1476,$C$2:$C$2705,C1476)</f>
        <v>1</v>
      </c>
      <c r="G1476" s="3" t="n">
        <f aca="false">MIN(INT((MIN(B1476,2020)-1900)/10)+1,12)</f>
        <v>9</v>
      </c>
      <c r="H1476" s="3" t="n">
        <f aca="false">(MIN(B1476,2020)-1900-10*(G1476-1))/10</f>
        <v>0.3</v>
      </c>
      <c r="I1476" s="20" t="n">
        <f aca="false">EXP(LN(INDEX(Pop_Inputs!$B$2:$N$29,MATCH(C1476,Pop_Inputs!$A$2:$A$29,0),G1476))*(1-H1476)+LN(INDEX(Pop_Inputs!$B$2:$N$29,MATCH(C1476,Pop_Inputs!$A$2:$A$29,0),G1476+1))*H1476)</f>
        <v>444214.759564107</v>
      </c>
      <c r="J1476" s="20" t="n">
        <f aca="false">I1476/F1476</f>
        <v>444214.759564107</v>
      </c>
      <c r="K1476" s="21" t="n">
        <f aca="false">D1476/(D1476+E1476)</f>
        <v>0.487654320987654</v>
      </c>
      <c r="L1476" s="21" t="n">
        <f aca="false">AVERAGEIFS($K$2:$K$2705,$B$2:$B$2705,B1476)</f>
        <v>0.5</v>
      </c>
      <c r="M1476" s="21" t="n">
        <f aca="false">K1476-L1476</f>
        <v>-0.0123456790123457</v>
      </c>
      <c r="N1476" s="21" t="n">
        <f aca="false">LN(J1476)</f>
        <v>13.0040634171847</v>
      </c>
      <c r="O1476" s="21" t="n">
        <f aca="false">AVERAGEIFS($N$2:$N$2705,$B$2:$B$2705,B1476)</f>
        <v>13.6350888964083</v>
      </c>
      <c r="P1476" s="21" t="n">
        <f aca="false">N1476-O1476</f>
        <v>-0.631025479223638</v>
      </c>
      <c r="Q1476" s="7" t="n">
        <v>1</v>
      </c>
      <c r="R1476" s="3" t="n">
        <f aca="false">IF(AND(Q1476=1,B1476-_xlfn.MINIFS($B$2:$B$2705,$A$2:$A$2705,A1476)&lt;10),1,0)</f>
        <v>0</v>
      </c>
      <c r="S1476" s="7" t="n">
        <v>0</v>
      </c>
      <c r="T1476" s="3" t="n">
        <f aca="false">_xlfn.MINIFS($B$2:$B$2705,$A$2:$A$2705,A1476)</f>
        <v>1969</v>
      </c>
      <c r="U1476" s="3" t="n">
        <f aca="false">B1476-T1476</f>
        <v>14</v>
      </c>
      <c r="V1476" s="3" t="str">
        <f aca="false">INDEX(Pop_Inputs!$Q$2:$Q$29,MATCH(C1476,Pop_Inputs!$A$2:$A$29,0))</f>
        <v>Midwest</v>
      </c>
      <c r="W1476" s="30"/>
      <c r="X1476" s="3" t="str">
        <f aca="false">IF(W1476="","",LN(W1476))</f>
        <v/>
      </c>
      <c r="Y1476" s="3" t="str">
        <f aca="false">IF(X1476="","",X1476-AVERAGEIFS($X$2:$X$2705,$B$2:$B$2705,B1476))</f>
        <v/>
      </c>
      <c r="Z1476" s="21" t="n">
        <f aca="false">P1476</f>
        <v>-0.631025479223638</v>
      </c>
      <c r="AA1476" s="3" t="n">
        <f aca="false">R1476</f>
        <v>0</v>
      </c>
      <c r="AB1476" s="21" t="n">
        <f aca="false">P1476</f>
        <v>-0.631025479223638</v>
      </c>
      <c r="AC1476" s="3" t="str">
        <f aca="false">Y1476</f>
        <v/>
      </c>
      <c r="AD1476" s="3" t="n">
        <f aca="false">R1476</f>
        <v>0</v>
      </c>
    </row>
    <row r="1477" customFormat="false" ht="15" hidden="false" customHeight="true" outlineLevel="0" collapsed="false">
      <c r="A1477" s="7" t="s">
        <v>62</v>
      </c>
      <c r="B1477" s="7" t="n">
        <v>1983</v>
      </c>
      <c r="C1477" s="7" t="s">
        <v>148</v>
      </c>
      <c r="D1477" s="7" t="n">
        <v>91</v>
      </c>
      <c r="E1477" s="7" t="n">
        <v>71</v>
      </c>
      <c r="F1477" s="3" t="n">
        <f aca="false">COUNTIFS($B$2:$B$2705,B1477,$C$2:$C$2705,C1477)</f>
        <v>2</v>
      </c>
      <c r="G1477" s="3" t="n">
        <f aca="false">MIN(INT((MIN(B1477,2020)-1900)/10)+1,12)</f>
        <v>9</v>
      </c>
      <c r="H1477" s="3" t="n">
        <f aca="false">(MIN(B1477,2020)-1900-10*(G1477-1))/10</f>
        <v>0.3</v>
      </c>
      <c r="I1477" s="20" t="n">
        <f aca="false">EXP(LN(INDEX(Pop_Inputs!$B$2:$N$29,MATCH(C1477,Pop_Inputs!$A$2:$A$29,0),G1477))*(1-H1477)+LN(INDEX(Pop_Inputs!$B$2:$N$29,MATCH(C1477,Pop_Inputs!$A$2:$A$29,0),G1477+1))*H1477)</f>
        <v>3113742.00879421</v>
      </c>
      <c r="J1477" s="20" t="n">
        <f aca="false">I1477/F1477</f>
        <v>1556871.0043971</v>
      </c>
      <c r="K1477" s="21" t="n">
        <f aca="false">D1477/(D1477+E1477)</f>
        <v>0.561728395061728</v>
      </c>
      <c r="L1477" s="21" t="n">
        <f aca="false">AVERAGEIFS($K$2:$K$2705,$B$2:$B$2705,B1477)</f>
        <v>0.5</v>
      </c>
      <c r="M1477" s="21" t="n">
        <f aca="false">K1477-L1477</f>
        <v>0.0617283950617285</v>
      </c>
      <c r="N1477" s="21" t="n">
        <f aca="false">LN(J1477)</f>
        <v>14.2581885985703</v>
      </c>
      <c r="O1477" s="21" t="n">
        <f aca="false">AVERAGEIFS($N$2:$N$2705,$B$2:$B$2705,B1477)</f>
        <v>13.6350888964083</v>
      </c>
      <c r="P1477" s="21" t="n">
        <f aca="false">N1477-O1477</f>
        <v>0.623099702161964</v>
      </c>
      <c r="Q1477" s="7" t="n">
        <v>0</v>
      </c>
      <c r="R1477" s="3" t="n">
        <f aca="false">IF(AND(Q1477=1,B1477-_xlfn.MINIFS($B$2:$B$2705,$A$2:$A$2705,A1477)&lt;10),1,0)</f>
        <v>0</v>
      </c>
      <c r="S1477" s="7" t="n">
        <v>0</v>
      </c>
      <c r="T1477" s="3" t="n">
        <f aca="false">_xlfn.MINIFS($B$2:$B$2705,$A$2:$A$2705,A1477)</f>
        <v>1901</v>
      </c>
      <c r="U1477" s="3" t="n">
        <f aca="false">B1477-T1477</f>
        <v>82</v>
      </c>
      <c r="V1477" s="3" t="str">
        <f aca="false">INDEX(Pop_Inputs!$Q$2:$Q$29,MATCH(C1477,Pop_Inputs!$A$2:$A$29,0))</f>
        <v>West</v>
      </c>
      <c r="W1477" s="30"/>
      <c r="X1477" s="3" t="str">
        <f aca="false">IF(W1477="","",LN(W1477))</f>
        <v/>
      </c>
      <c r="Y1477" s="3" t="str">
        <f aca="false">IF(X1477="","",X1477-AVERAGEIFS($X$2:$X$2705,$B$2:$B$2705,B1477))</f>
        <v/>
      </c>
      <c r="Z1477" s="21" t="n">
        <f aca="false">P1477</f>
        <v>0.623099702161964</v>
      </c>
      <c r="AA1477" s="3" t="n">
        <f aca="false">R1477</f>
        <v>0</v>
      </c>
      <c r="AB1477" s="21" t="n">
        <f aca="false">P1477</f>
        <v>0.623099702161964</v>
      </c>
      <c r="AC1477" s="3" t="str">
        <f aca="false">Y1477</f>
        <v/>
      </c>
      <c r="AD1477" s="3" t="n">
        <f aca="false">R1477</f>
        <v>0</v>
      </c>
    </row>
    <row r="1478" customFormat="false" ht="15" hidden="false" customHeight="true" outlineLevel="0" collapsed="false">
      <c r="A1478" s="7" t="s">
        <v>77</v>
      </c>
      <c r="B1478" s="7" t="n">
        <v>1983</v>
      </c>
      <c r="C1478" s="7" t="s">
        <v>158</v>
      </c>
      <c r="D1478" s="7" t="n">
        <v>87</v>
      </c>
      <c r="E1478" s="7" t="n">
        <v>75</v>
      </c>
      <c r="F1478" s="3" t="n">
        <f aca="false">COUNTIFS($B$2:$B$2705,B1478,$C$2:$C$2705,C1478)</f>
        <v>1</v>
      </c>
      <c r="G1478" s="3" t="n">
        <f aca="false">MIN(INT((MIN(B1478,2020)-1900)/10)+1,12)</f>
        <v>9</v>
      </c>
      <c r="H1478" s="3" t="n">
        <f aca="false">(MIN(B1478,2020)-1900-10*(G1478-1))/10</f>
        <v>0.3</v>
      </c>
      <c r="I1478" s="20" t="n">
        <f aca="false">EXP(LN(INDEX(Pop_Inputs!$B$2:$N$29,MATCH(C1478,Pop_Inputs!$A$2:$A$29,0),G1478))*(1-H1478)+LN(INDEX(Pop_Inputs!$B$2:$N$29,MATCH(C1478,Pop_Inputs!$A$2:$A$29,0),G1478+1))*H1478)</f>
        <v>633763.828004036</v>
      </c>
      <c r="J1478" s="20" t="n">
        <f aca="false">I1478/F1478</f>
        <v>633763.828004036</v>
      </c>
      <c r="K1478" s="21" t="n">
        <f aca="false">D1478/(D1478+E1478)</f>
        <v>0.537037037037037</v>
      </c>
      <c r="L1478" s="21" t="n">
        <f aca="false">AVERAGEIFS($K$2:$K$2705,$B$2:$B$2705,B1478)</f>
        <v>0.5</v>
      </c>
      <c r="M1478" s="21" t="n">
        <f aca="false">K1478-L1478</f>
        <v>0.0370370370370371</v>
      </c>
      <c r="N1478" s="21" t="n">
        <f aca="false">LN(J1478)</f>
        <v>13.3594316529852</v>
      </c>
      <c r="O1478" s="21" t="n">
        <f aca="false">AVERAGEIFS($N$2:$N$2705,$B$2:$B$2705,B1478)</f>
        <v>13.6350888964083</v>
      </c>
      <c r="P1478" s="21" t="n">
        <f aca="false">N1478-O1478</f>
        <v>-0.275657243423092</v>
      </c>
      <c r="Q1478" s="7" t="n">
        <v>1</v>
      </c>
      <c r="R1478" s="3" t="n">
        <f aca="false">IF(AND(Q1478=1,B1478-_xlfn.MINIFS($B$2:$B$2705,$A$2:$A$2705,A1478)&lt;10),1,0)</f>
        <v>0</v>
      </c>
      <c r="S1478" s="7" t="n">
        <v>0</v>
      </c>
      <c r="T1478" s="3" t="n">
        <f aca="false">_xlfn.MINIFS($B$2:$B$2705,$A$2:$A$2705,A1478)</f>
        <v>1969</v>
      </c>
      <c r="U1478" s="3" t="n">
        <f aca="false">B1478-T1478</f>
        <v>14</v>
      </c>
      <c r="V1478" s="3" t="str">
        <f aca="false">INDEX(Pop_Inputs!$Q$2:$Q$29,MATCH(C1478,Pop_Inputs!$A$2:$A$29,0))</f>
        <v>Midwest</v>
      </c>
      <c r="W1478" s="30"/>
      <c r="X1478" s="3" t="str">
        <f aca="false">IF(W1478="","",LN(W1478))</f>
        <v/>
      </c>
      <c r="Y1478" s="3" t="str">
        <f aca="false">IF(X1478="","",X1478-AVERAGEIFS($X$2:$X$2705,$B$2:$B$2705,B1478))</f>
        <v/>
      </c>
      <c r="Z1478" s="21" t="n">
        <f aca="false">P1478</f>
        <v>-0.275657243423092</v>
      </c>
      <c r="AA1478" s="3" t="n">
        <f aca="false">R1478</f>
        <v>0</v>
      </c>
      <c r="AB1478" s="21" t="n">
        <f aca="false">P1478</f>
        <v>-0.275657243423092</v>
      </c>
      <c r="AC1478" s="3" t="str">
        <f aca="false">Y1478</f>
        <v/>
      </c>
      <c r="AD1478" s="3" t="n">
        <f aca="false">R1478</f>
        <v>0</v>
      </c>
    </row>
    <row r="1479" customFormat="false" ht="15" hidden="false" customHeight="true" outlineLevel="0" collapsed="false">
      <c r="A1479" s="7" t="s">
        <v>68</v>
      </c>
      <c r="B1479" s="7" t="n">
        <v>1983</v>
      </c>
      <c r="C1479" s="7" t="s">
        <v>153</v>
      </c>
      <c r="D1479" s="7" t="n">
        <v>70</v>
      </c>
      <c r="E1479" s="7" t="n">
        <v>92</v>
      </c>
      <c r="F1479" s="3" t="n">
        <f aca="false">COUNTIFS($B$2:$B$2705,B1479,$C$2:$C$2705,C1479)</f>
        <v>1</v>
      </c>
      <c r="G1479" s="3" t="n">
        <f aca="false">MIN(INT((MIN(B1479,2020)-1900)/10)+1,12)</f>
        <v>9</v>
      </c>
      <c r="H1479" s="3" t="n">
        <f aca="false">(MIN(B1479,2020)-1900-10*(G1479-1))/10</f>
        <v>0.3</v>
      </c>
      <c r="I1479" s="20" t="n">
        <f aca="false">EXP(LN(INDEX(Pop_Inputs!$B$2:$N$29,MATCH(C1479,Pop_Inputs!$A$2:$A$29,0),G1479))*(1-H1479)+LN(INDEX(Pop_Inputs!$B$2:$N$29,MATCH(C1479,Pop_Inputs!$A$2:$A$29,0),G1479+1))*H1479)</f>
        <v>370178.725993387</v>
      </c>
      <c r="J1479" s="20" t="n">
        <f aca="false">I1479/F1479</f>
        <v>370178.725993387</v>
      </c>
      <c r="K1479" s="21" t="n">
        <f aca="false">D1479/(D1479+E1479)</f>
        <v>0.432098765432099</v>
      </c>
      <c r="L1479" s="21" t="n">
        <f aca="false">AVERAGEIFS($K$2:$K$2705,$B$2:$B$2705,B1479)</f>
        <v>0.5</v>
      </c>
      <c r="M1479" s="21" t="n">
        <f aca="false">K1479-L1479</f>
        <v>-0.0679012345679013</v>
      </c>
      <c r="N1479" s="21" t="n">
        <f aca="false">LN(J1479)</f>
        <v>12.821741211218</v>
      </c>
      <c r="O1479" s="21" t="n">
        <f aca="false">AVERAGEIFS($N$2:$N$2705,$B$2:$B$2705,B1479)</f>
        <v>13.6350888964083</v>
      </c>
      <c r="P1479" s="21" t="n">
        <f aca="false">N1479-O1479</f>
        <v>-0.813347685190387</v>
      </c>
      <c r="Q1479" s="7" t="n">
        <v>0</v>
      </c>
      <c r="R1479" s="3" t="n">
        <f aca="false">IF(AND(Q1479=1,B1479-_xlfn.MINIFS($B$2:$B$2705,$A$2:$A$2705,A1479)&lt;10),1,0)</f>
        <v>0</v>
      </c>
      <c r="S1479" s="7" t="n">
        <v>0</v>
      </c>
      <c r="T1479" s="3" t="n">
        <f aca="false">_xlfn.MINIFS($B$2:$B$2705,$A$2:$A$2705,A1479)</f>
        <v>1901</v>
      </c>
      <c r="U1479" s="3" t="n">
        <f aca="false">B1479-T1479</f>
        <v>82</v>
      </c>
      <c r="V1479" s="3" t="str">
        <f aca="false">INDEX(Pop_Inputs!$Q$2:$Q$29,MATCH(C1479,Pop_Inputs!$A$2:$A$29,0))</f>
        <v>Midwest</v>
      </c>
      <c r="W1479" s="30"/>
      <c r="X1479" s="3" t="str">
        <f aca="false">IF(W1479="","",LN(W1479))</f>
        <v/>
      </c>
      <c r="Y1479" s="3" t="str">
        <f aca="false">IF(X1479="","",X1479-AVERAGEIFS($X$2:$X$2705,$B$2:$B$2705,B1479))</f>
        <v/>
      </c>
      <c r="Z1479" s="21" t="n">
        <f aca="false">P1479</f>
        <v>-0.813347685190387</v>
      </c>
      <c r="AA1479" s="3" t="n">
        <f aca="false">R1479</f>
        <v>0</v>
      </c>
      <c r="AB1479" s="21" t="n">
        <f aca="false">P1479</f>
        <v>-0.813347685190387</v>
      </c>
      <c r="AC1479" s="3" t="str">
        <f aca="false">Y1479</f>
        <v/>
      </c>
      <c r="AD1479" s="3" t="n">
        <f aca="false">R1479</f>
        <v>0</v>
      </c>
    </row>
    <row r="1480" customFormat="false" ht="15" hidden="false" customHeight="true" outlineLevel="0" collapsed="false">
      <c r="A1480" s="7" t="s">
        <v>75</v>
      </c>
      <c r="B1480" s="7" t="n">
        <v>1983</v>
      </c>
      <c r="C1480" s="7" t="s">
        <v>154</v>
      </c>
      <c r="D1480" s="7" t="n">
        <v>68</v>
      </c>
      <c r="E1480" s="7" t="n">
        <v>94</v>
      </c>
      <c r="F1480" s="3" t="n">
        <f aca="false">COUNTIFS($B$2:$B$2705,B1480,$C$2:$C$2705,C1480)</f>
        <v>2</v>
      </c>
      <c r="G1480" s="3" t="n">
        <f aca="false">MIN(INT((MIN(B1480,2020)-1900)/10)+1,12)</f>
        <v>9</v>
      </c>
      <c r="H1480" s="3" t="n">
        <f aca="false">(MIN(B1480,2020)-1900-10*(G1480-1))/10</f>
        <v>0.3</v>
      </c>
      <c r="I1480" s="20" t="n">
        <f aca="false">EXP(LN(INDEX(Pop_Inputs!$B$2:$N$29,MATCH(C1480,Pop_Inputs!$A$2:$A$29,0),G1480))*(1-H1480)+LN(INDEX(Pop_Inputs!$B$2:$N$29,MATCH(C1480,Pop_Inputs!$A$2:$A$29,0),G1480+1))*H1480)</f>
        <v>7145999.97652679</v>
      </c>
      <c r="J1480" s="20" t="n">
        <f aca="false">I1480/F1480</f>
        <v>3572999.98826339</v>
      </c>
      <c r="K1480" s="21" t="n">
        <f aca="false">D1480/(D1480+E1480)</f>
        <v>0.419753086419753</v>
      </c>
      <c r="L1480" s="21" t="n">
        <f aca="false">AVERAGEIFS($K$2:$K$2705,$B$2:$B$2705,B1480)</f>
        <v>0.5</v>
      </c>
      <c r="M1480" s="21" t="n">
        <f aca="false">K1480-L1480</f>
        <v>-0.0802469135802469</v>
      </c>
      <c r="N1480" s="21" t="n">
        <f aca="false">LN(J1480)</f>
        <v>15.0889161337207</v>
      </c>
      <c r="O1480" s="21" t="n">
        <f aca="false">AVERAGEIFS($N$2:$N$2705,$B$2:$B$2705,B1480)</f>
        <v>13.6350888964083</v>
      </c>
      <c r="P1480" s="21" t="n">
        <f aca="false">N1480-O1480</f>
        <v>1.4538272373124</v>
      </c>
      <c r="Q1480" s="7" t="n">
        <v>1</v>
      </c>
      <c r="R1480" s="3" t="n">
        <f aca="false">IF(AND(Q1480=1,B1480-_xlfn.MINIFS($B$2:$B$2705,$A$2:$A$2705,A1480)&lt;10),1,0)</f>
        <v>0</v>
      </c>
      <c r="S1480" s="7" t="n">
        <v>0</v>
      </c>
      <c r="T1480" s="3" t="n">
        <f aca="false">_xlfn.MINIFS($B$2:$B$2705,$A$2:$A$2705,A1480)</f>
        <v>1962</v>
      </c>
      <c r="U1480" s="3" t="n">
        <f aca="false">B1480-T1480</f>
        <v>21</v>
      </c>
      <c r="V1480" s="3" t="str">
        <f aca="false">INDEX(Pop_Inputs!$Q$2:$Q$29,MATCH(C1480,Pop_Inputs!$A$2:$A$29,0))</f>
        <v>Northeast</v>
      </c>
      <c r="W1480" s="30"/>
      <c r="X1480" s="3" t="str">
        <f aca="false">IF(W1480="","",LN(W1480))</f>
        <v/>
      </c>
      <c r="Y1480" s="3" t="str">
        <f aca="false">IF(X1480="","",X1480-AVERAGEIFS($X$2:$X$2705,$B$2:$B$2705,B1480))</f>
        <v/>
      </c>
      <c r="Z1480" s="21" t="n">
        <f aca="false">P1480</f>
        <v>1.4538272373124</v>
      </c>
      <c r="AA1480" s="3" t="n">
        <f aca="false">R1480</f>
        <v>0</v>
      </c>
      <c r="AB1480" s="21" t="n">
        <f aca="false">P1480</f>
        <v>1.4538272373124</v>
      </c>
      <c r="AC1480" s="3" t="str">
        <f aca="false">Y1480</f>
        <v/>
      </c>
      <c r="AD1480" s="3" t="n">
        <f aca="false">R1480</f>
        <v>0</v>
      </c>
    </row>
    <row r="1481" customFormat="false" ht="15" hidden="false" customHeight="true" outlineLevel="0" collapsed="false">
      <c r="A1481" s="7" t="s">
        <v>70</v>
      </c>
      <c r="B1481" s="7" t="n">
        <v>1983</v>
      </c>
      <c r="C1481" s="7" t="s">
        <v>154</v>
      </c>
      <c r="D1481" s="7" t="n">
        <v>91</v>
      </c>
      <c r="E1481" s="7" t="n">
        <v>71</v>
      </c>
      <c r="F1481" s="3" t="n">
        <f aca="false">COUNTIFS($B$2:$B$2705,B1481,$C$2:$C$2705,C1481)</f>
        <v>2</v>
      </c>
      <c r="G1481" s="3" t="n">
        <f aca="false">MIN(INT((MIN(B1481,2020)-1900)/10)+1,12)</f>
        <v>9</v>
      </c>
      <c r="H1481" s="3" t="n">
        <f aca="false">(MIN(B1481,2020)-1900-10*(G1481-1))/10</f>
        <v>0.3</v>
      </c>
      <c r="I1481" s="20" t="n">
        <f aca="false">EXP(LN(INDEX(Pop_Inputs!$B$2:$N$29,MATCH(C1481,Pop_Inputs!$A$2:$A$29,0),G1481))*(1-H1481)+LN(INDEX(Pop_Inputs!$B$2:$N$29,MATCH(C1481,Pop_Inputs!$A$2:$A$29,0),G1481+1))*H1481)</f>
        <v>7145999.97652679</v>
      </c>
      <c r="J1481" s="20" t="n">
        <f aca="false">I1481/F1481</f>
        <v>3572999.98826339</v>
      </c>
      <c r="K1481" s="21" t="n">
        <f aca="false">D1481/(D1481+E1481)</f>
        <v>0.561728395061728</v>
      </c>
      <c r="L1481" s="21" t="n">
        <f aca="false">AVERAGEIFS($K$2:$K$2705,$B$2:$B$2705,B1481)</f>
        <v>0.5</v>
      </c>
      <c r="M1481" s="21" t="n">
        <f aca="false">K1481-L1481</f>
        <v>0.0617283950617285</v>
      </c>
      <c r="N1481" s="21" t="n">
        <f aca="false">LN(J1481)</f>
        <v>15.0889161337207</v>
      </c>
      <c r="O1481" s="21" t="n">
        <f aca="false">AVERAGEIFS($N$2:$N$2705,$B$2:$B$2705,B1481)</f>
        <v>13.6350888964083</v>
      </c>
      <c r="P1481" s="21" t="n">
        <f aca="false">N1481-O1481</f>
        <v>1.4538272373124</v>
      </c>
      <c r="Q1481" s="7" t="n">
        <v>0</v>
      </c>
      <c r="R1481" s="3" t="n">
        <f aca="false">IF(AND(Q1481=1,B1481-_xlfn.MINIFS($B$2:$B$2705,$A$2:$A$2705,A1481)&lt;10),1,0)</f>
        <v>0</v>
      </c>
      <c r="S1481" s="7" t="n">
        <v>1</v>
      </c>
      <c r="T1481" s="3" t="n">
        <f aca="false">_xlfn.MINIFS($B$2:$B$2705,$A$2:$A$2705,A1481)</f>
        <v>1903</v>
      </c>
      <c r="U1481" s="3" t="n">
        <f aca="false">B1481-T1481</f>
        <v>80</v>
      </c>
      <c r="V1481" s="3" t="str">
        <f aca="false">INDEX(Pop_Inputs!$Q$2:$Q$29,MATCH(C1481,Pop_Inputs!$A$2:$A$29,0))</f>
        <v>Northeast</v>
      </c>
      <c r="W1481" s="30"/>
      <c r="X1481" s="3" t="str">
        <f aca="false">IF(W1481="","",LN(W1481))</f>
        <v/>
      </c>
      <c r="Y1481" s="3" t="str">
        <f aca="false">IF(X1481="","",X1481-AVERAGEIFS($X$2:$X$2705,$B$2:$B$2705,B1481))</f>
        <v/>
      </c>
      <c r="Z1481" s="21" t="n">
        <f aca="false">P1481</f>
        <v>1.4538272373124</v>
      </c>
      <c r="AA1481" s="3" t="n">
        <f aca="false">R1481</f>
        <v>0</v>
      </c>
      <c r="AB1481" s="21" t="n">
        <f aca="false">P1481</f>
        <v>1.4538272373124</v>
      </c>
      <c r="AC1481" s="3" t="str">
        <f aca="false">Y1481</f>
        <v/>
      </c>
      <c r="AD1481" s="3" t="n">
        <f aca="false">R1481</f>
        <v>0</v>
      </c>
    </row>
    <row r="1482" customFormat="false" ht="15" hidden="false" customHeight="true" outlineLevel="0" collapsed="false">
      <c r="A1482" s="7" t="s">
        <v>69</v>
      </c>
      <c r="B1482" s="7" t="n">
        <v>1983</v>
      </c>
      <c r="C1482" s="7" t="s">
        <v>253</v>
      </c>
      <c r="D1482" s="7" t="n">
        <v>74</v>
      </c>
      <c r="E1482" s="7" t="n">
        <v>88</v>
      </c>
      <c r="F1482" s="3" t="n">
        <f aca="false">COUNTIFS($B$2:$B$2705,B1482,$C$2:$C$2705,C1482)</f>
        <v>1</v>
      </c>
      <c r="G1482" s="3" t="n">
        <f aca="false">MIN(INT((MIN(B1482,2020)-1900)/10)+1,12)</f>
        <v>9</v>
      </c>
      <c r="H1482" s="3" t="n">
        <f aca="false">(MIN(B1482,2020)-1900-10*(G1482-1))/10</f>
        <v>0.3</v>
      </c>
      <c r="I1482" s="20" t="n">
        <f aca="false">EXP(LN(INDEX(Pop_Inputs!$B$2:$N$29,MATCH(C1482,Pop_Inputs!$A$2:$A$29,0),G1482))*(1-H1482)+LN(INDEX(Pop_Inputs!$B$2:$N$29,MATCH(C1482,Pop_Inputs!$A$2:$A$29,0),G1482+1))*H1482)</f>
        <v>348890.756242569</v>
      </c>
      <c r="J1482" s="20" t="n">
        <f aca="false">I1482/F1482</f>
        <v>348890.756242569</v>
      </c>
      <c r="K1482" s="21" t="n">
        <f aca="false">D1482/(D1482+E1482)</f>
        <v>0.45679012345679</v>
      </c>
      <c r="L1482" s="21" t="n">
        <f aca="false">AVERAGEIFS($K$2:$K$2705,$B$2:$B$2705,B1482)</f>
        <v>0.5</v>
      </c>
      <c r="M1482" s="21" t="n">
        <f aca="false">K1482-L1482</f>
        <v>-0.0432098765432099</v>
      </c>
      <c r="N1482" s="21" t="n">
        <f aca="false">LN(J1482)</f>
        <v>12.7625141328215</v>
      </c>
      <c r="O1482" s="21" t="n">
        <f aca="false">AVERAGEIFS($N$2:$N$2705,$B$2:$B$2705,B1482)</f>
        <v>13.6350888964083</v>
      </c>
      <c r="P1482" s="21" t="n">
        <f aca="false">N1482-O1482</f>
        <v>-0.87257476358683</v>
      </c>
      <c r="Q1482" s="7" t="n">
        <v>0</v>
      </c>
      <c r="R1482" s="3" t="n">
        <f aca="false">IF(AND(Q1482=1,B1482-_xlfn.MINIFS($B$2:$B$2705,$A$2:$A$2705,A1482)&lt;10),1,0)</f>
        <v>0</v>
      </c>
      <c r="S1482" s="7" t="n">
        <v>0</v>
      </c>
      <c r="T1482" s="3" t="n">
        <f aca="false">_xlfn.MINIFS($B$2:$B$2705,$A$2:$A$2705,A1482)</f>
        <v>1901</v>
      </c>
      <c r="U1482" s="3" t="n">
        <f aca="false">B1482-T1482</f>
        <v>82</v>
      </c>
      <c r="V1482" s="3" t="str">
        <f aca="false">INDEX(Pop_Inputs!$Q$2:$Q$29,MATCH(C1482,Pop_Inputs!$A$2:$A$29,0))</f>
        <v>West</v>
      </c>
      <c r="W1482" s="30"/>
      <c r="X1482" s="3" t="str">
        <f aca="false">IF(W1482="","",LN(W1482))</f>
        <v/>
      </c>
      <c r="Y1482" s="3" t="str">
        <f aca="false">IF(X1482="","",X1482-AVERAGEIFS($X$2:$X$2705,$B$2:$B$2705,B1482))</f>
        <v/>
      </c>
      <c r="Z1482" s="21" t="n">
        <f aca="false">P1482</f>
        <v>-0.87257476358683</v>
      </c>
      <c r="AA1482" s="3" t="n">
        <f aca="false">R1482</f>
        <v>0</v>
      </c>
      <c r="AB1482" s="21" t="n">
        <f aca="false">P1482</f>
        <v>-0.87257476358683</v>
      </c>
      <c r="AC1482" s="3" t="str">
        <f aca="false">Y1482</f>
        <v/>
      </c>
      <c r="AD1482" s="3" t="n">
        <f aca="false">R1482</f>
        <v>0</v>
      </c>
    </row>
    <row r="1483" customFormat="false" ht="15" hidden="false" customHeight="true" outlineLevel="0" collapsed="false">
      <c r="A1483" s="7" t="s">
        <v>60</v>
      </c>
      <c r="B1483" s="7" t="n">
        <v>1983</v>
      </c>
      <c r="C1483" s="7" t="s">
        <v>146</v>
      </c>
      <c r="D1483" s="7" t="n">
        <v>90</v>
      </c>
      <c r="E1483" s="7" t="n">
        <v>72</v>
      </c>
      <c r="F1483" s="3" t="n">
        <f aca="false">COUNTIFS($B$2:$B$2705,B1483,$C$2:$C$2705,C1483)</f>
        <v>1</v>
      </c>
      <c r="G1483" s="3" t="n">
        <f aca="false">MIN(INT((MIN(B1483,2020)-1900)/10)+1,12)</f>
        <v>9</v>
      </c>
      <c r="H1483" s="3" t="n">
        <f aca="false">(MIN(B1483,2020)-1900-10*(G1483-1))/10</f>
        <v>0.3</v>
      </c>
      <c r="I1483" s="20" t="n">
        <f aca="false">EXP(LN(INDEX(Pop_Inputs!$B$2:$N$29,MATCH(C1483,Pop_Inputs!$A$2:$A$29,0),G1483))*(1-H1483)+LN(INDEX(Pop_Inputs!$B$2:$N$29,MATCH(C1483,Pop_Inputs!$A$2:$A$29,0),G1483+1))*H1483)</f>
        <v>1656741.41624878</v>
      </c>
      <c r="J1483" s="20" t="n">
        <f aca="false">I1483/F1483</f>
        <v>1656741.41624878</v>
      </c>
      <c r="K1483" s="21" t="n">
        <f aca="false">D1483/(D1483+E1483)</f>
        <v>0.555555555555556</v>
      </c>
      <c r="L1483" s="21" t="n">
        <f aca="false">AVERAGEIFS($K$2:$K$2705,$B$2:$B$2705,B1483)</f>
        <v>0.5</v>
      </c>
      <c r="M1483" s="21" t="n">
        <f aca="false">K1483-L1483</f>
        <v>0.0555555555555556</v>
      </c>
      <c r="N1483" s="21" t="n">
        <f aca="false">LN(J1483)</f>
        <v>14.3203632288589</v>
      </c>
      <c r="O1483" s="21" t="n">
        <f aca="false">AVERAGEIFS($N$2:$N$2705,$B$2:$B$2705,B1483)</f>
        <v>13.6350888964083</v>
      </c>
      <c r="P1483" s="21" t="n">
        <f aca="false">N1483-O1483</f>
        <v>0.685274332450566</v>
      </c>
      <c r="Q1483" s="7" t="n">
        <v>0</v>
      </c>
      <c r="R1483" s="3" t="n">
        <f aca="false">IF(AND(Q1483=1,B1483-_xlfn.MINIFS($B$2:$B$2705,$A$2:$A$2705,A1483)&lt;10),1,0)</f>
        <v>0</v>
      </c>
      <c r="S1483" s="7" t="n">
        <v>0</v>
      </c>
      <c r="T1483" s="3" t="n">
        <f aca="false">_xlfn.MINIFS($B$2:$B$2705,$A$2:$A$2705,A1483)</f>
        <v>1901</v>
      </c>
      <c r="U1483" s="3" t="n">
        <f aca="false">B1483-T1483</f>
        <v>82</v>
      </c>
      <c r="V1483" s="3" t="str">
        <f aca="false">INDEX(Pop_Inputs!$Q$2:$Q$29,MATCH(C1483,Pop_Inputs!$A$2:$A$29,0))</f>
        <v>Northeast</v>
      </c>
      <c r="W1483" s="30"/>
      <c r="X1483" s="3" t="str">
        <f aca="false">IF(W1483="","",LN(W1483))</f>
        <v/>
      </c>
      <c r="Y1483" s="3" t="str">
        <f aca="false">IF(X1483="","",X1483-AVERAGEIFS($X$2:$X$2705,$B$2:$B$2705,B1483))</f>
        <v/>
      </c>
      <c r="Z1483" s="21" t="n">
        <f aca="false">P1483</f>
        <v>0.685274332450566</v>
      </c>
      <c r="AA1483" s="3" t="n">
        <f aca="false">R1483</f>
        <v>0</v>
      </c>
      <c r="AB1483" s="21" t="n">
        <f aca="false">P1483</f>
        <v>0.685274332450566</v>
      </c>
      <c r="AC1483" s="3" t="str">
        <f aca="false">Y1483</f>
        <v/>
      </c>
      <c r="AD1483" s="3" t="n">
        <f aca="false">R1483</f>
        <v>0</v>
      </c>
    </row>
    <row r="1484" customFormat="false" ht="15" hidden="false" customHeight="true" outlineLevel="0" collapsed="false">
      <c r="A1484" s="7" t="s">
        <v>58</v>
      </c>
      <c r="B1484" s="7" t="n">
        <v>1983</v>
      </c>
      <c r="C1484" s="7" t="s">
        <v>144</v>
      </c>
      <c r="D1484" s="7" t="n">
        <v>84</v>
      </c>
      <c r="E1484" s="7" t="n">
        <v>78</v>
      </c>
      <c r="F1484" s="3" t="n">
        <f aca="false">COUNTIFS($B$2:$B$2705,B1484,$C$2:$C$2705,C1484)</f>
        <v>1</v>
      </c>
      <c r="G1484" s="3" t="n">
        <f aca="false">MIN(INT((MIN(B1484,2020)-1900)/10)+1,12)</f>
        <v>9</v>
      </c>
      <c r="H1484" s="3" t="n">
        <f aca="false">(MIN(B1484,2020)-1900-10*(G1484-1))/10</f>
        <v>0.3</v>
      </c>
      <c r="I1484" s="20" t="n">
        <f aca="false">EXP(LN(INDEX(Pop_Inputs!$B$2:$N$29,MATCH(C1484,Pop_Inputs!$A$2:$A$29,0),G1484))*(1-H1484)+LN(INDEX(Pop_Inputs!$B$2:$N$29,MATCH(C1484,Pop_Inputs!$A$2:$A$29,0),G1484+1))*H1484)</f>
        <v>406939.21696576</v>
      </c>
      <c r="J1484" s="20" t="n">
        <f aca="false">I1484/F1484</f>
        <v>406939.21696576</v>
      </c>
      <c r="K1484" s="21" t="n">
        <f aca="false">D1484/(D1484+E1484)</f>
        <v>0.518518518518519</v>
      </c>
      <c r="L1484" s="21" t="n">
        <f aca="false">AVERAGEIFS($K$2:$K$2705,$B$2:$B$2705,B1484)</f>
        <v>0.5</v>
      </c>
      <c r="M1484" s="21" t="n">
        <f aca="false">K1484-L1484</f>
        <v>0.0185185185185185</v>
      </c>
      <c r="N1484" s="21" t="n">
        <f aca="false">LN(J1484)</f>
        <v>12.9164191092073</v>
      </c>
      <c r="O1484" s="21" t="n">
        <f aca="false">AVERAGEIFS($N$2:$N$2705,$B$2:$B$2705,B1484)</f>
        <v>13.6350888964083</v>
      </c>
      <c r="P1484" s="21" t="n">
        <f aca="false">N1484-O1484</f>
        <v>-0.718669787201016</v>
      </c>
      <c r="Q1484" s="7" t="n">
        <v>0</v>
      </c>
      <c r="R1484" s="3" t="n">
        <f aca="false">IF(AND(Q1484=1,B1484-_xlfn.MINIFS($B$2:$B$2705,$A$2:$A$2705,A1484)&lt;10),1,0)</f>
        <v>0</v>
      </c>
      <c r="S1484" s="7" t="n">
        <v>0</v>
      </c>
      <c r="T1484" s="3" t="n">
        <f aca="false">_xlfn.MINIFS($B$2:$B$2705,$A$2:$A$2705,A1484)</f>
        <v>1901</v>
      </c>
      <c r="U1484" s="3" t="n">
        <f aca="false">B1484-T1484</f>
        <v>82</v>
      </c>
      <c r="V1484" s="3" t="str">
        <f aca="false">INDEX(Pop_Inputs!$Q$2:$Q$29,MATCH(C1484,Pop_Inputs!$A$2:$A$29,0))</f>
        <v>Northeast</v>
      </c>
      <c r="W1484" s="30"/>
      <c r="X1484" s="3" t="str">
        <f aca="false">IF(W1484="","",LN(W1484))</f>
        <v/>
      </c>
      <c r="Y1484" s="3" t="str">
        <f aca="false">IF(X1484="","",X1484-AVERAGEIFS($X$2:$X$2705,$B$2:$B$2705,B1484))</f>
        <v/>
      </c>
      <c r="Z1484" s="21" t="n">
        <f aca="false">P1484</f>
        <v>-0.718669787201016</v>
      </c>
      <c r="AA1484" s="3" t="n">
        <f aca="false">R1484</f>
        <v>0</v>
      </c>
      <c r="AB1484" s="21" t="n">
        <f aca="false">P1484</f>
        <v>-0.718669787201016</v>
      </c>
      <c r="AC1484" s="3" t="str">
        <f aca="false">Y1484</f>
        <v/>
      </c>
      <c r="AD1484" s="3" t="n">
        <f aca="false">R1484</f>
        <v>0</v>
      </c>
    </row>
    <row r="1485" customFormat="false" ht="15" hidden="false" customHeight="true" outlineLevel="0" collapsed="false">
      <c r="A1485" s="7" t="s">
        <v>78</v>
      </c>
      <c r="B1485" s="7" t="n">
        <v>1983</v>
      </c>
      <c r="C1485" s="7" t="s">
        <v>159</v>
      </c>
      <c r="D1485" s="7" t="n">
        <v>81</v>
      </c>
      <c r="E1485" s="7" t="n">
        <v>81</v>
      </c>
      <c r="F1485" s="3" t="n">
        <f aca="false">COUNTIFS($B$2:$B$2705,B1485,$C$2:$C$2705,C1485)</f>
        <v>1</v>
      </c>
      <c r="G1485" s="3" t="n">
        <f aca="false">MIN(INT((MIN(B1485,2020)-1900)/10)+1,12)</f>
        <v>9</v>
      </c>
      <c r="H1485" s="3" t="n">
        <f aca="false">(MIN(B1485,2020)-1900-10*(G1485-1))/10</f>
        <v>0.3</v>
      </c>
      <c r="I1485" s="20" t="n">
        <f aca="false">EXP(LN(INDEX(Pop_Inputs!$B$2:$N$29,MATCH(C1485,Pop_Inputs!$A$2:$A$29,0),G1485))*(1-H1485)+LN(INDEX(Pop_Inputs!$B$2:$N$29,MATCH(C1485,Pop_Inputs!$A$2:$A$29,0),G1485+1))*H1485)</f>
        <v>940272.679879847</v>
      </c>
      <c r="J1485" s="20" t="n">
        <f aca="false">I1485/F1485</f>
        <v>940272.679879847</v>
      </c>
      <c r="K1485" s="21" t="n">
        <f aca="false">D1485/(D1485+E1485)</f>
        <v>0.5</v>
      </c>
      <c r="L1485" s="21" t="n">
        <f aca="false">AVERAGEIFS($K$2:$K$2705,$B$2:$B$2705,B1485)</f>
        <v>0.5</v>
      </c>
      <c r="M1485" s="21" t="n">
        <f aca="false">K1485-L1485</f>
        <v>0</v>
      </c>
      <c r="N1485" s="21" t="n">
        <f aca="false">LN(J1485)</f>
        <v>13.7539251971582</v>
      </c>
      <c r="O1485" s="21" t="n">
        <f aca="false">AVERAGEIFS($N$2:$N$2705,$B$2:$B$2705,B1485)</f>
        <v>13.6350888964083</v>
      </c>
      <c r="P1485" s="21" t="n">
        <f aca="false">N1485-O1485</f>
        <v>0.118836300749894</v>
      </c>
      <c r="Q1485" s="7" t="n">
        <v>1</v>
      </c>
      <c r="R1485" s="3" t="n">
        <f aca="false">IF(AND(Q1485=1,B1485-_xlfn.MINIFS($B$2:$B$2705,$A$2:$A$2705,A1485)&lt;10),1,0)</f>
        <v>0</v>
      </c>
      <c r="S1485" s="7" t="n">
        <v>0</v>
      </c>
      <c r="T1485" s="3" t="n">
        <f aca="false">_xlfn.MINIFS($B$2:$B$2705,$A$2:$A$2705,A1485)</f>
        <v>1969</v>
      </c>
      <c r="U1485" s="3" t="n">
        <f aca="false">B1485-T1485</f>
        <v>14</v>
      </c>
      <c r="V1485" s="3" t="str">
        <f aca="false">INDEX(Pop_Inputs!$Q$2:$Q$29,MATCH(C1485,Pop_Inputs!$A$2:$A$29,0))</f>
        <v>West</v>
      </c>
      <c r="W1485" s="30"/>
      <c r="X1485" s="3" t="str">
        <f aca="false">IF(W1485="","",LN(W1485))</f>
        <v/>
      </c>
      <c r="Y1485" s="3" t="str">
        <f aca="false">IF(X1485="","",X1485-AVERAGEIFS($X$2:$X$2705,$B$2:$B$2705,B1485))</f>
        <v/>
      </c>
      <c r="Z1485" s="21" t="n">
        <f aca="false">P1485</f>
        <v>0.118836300749894</v>
      </c>
      <c r="AA1485" s="3" t="n">
        <f aca="false">R1485</f>
        <v>0</v>
      </c>
      <c r="AB1485" s="21" t="n">
        <f aca="false">P1485</f>
        <v>0.118836300749894</v>
      </c>
      <c r="AC1485" s="3" t="str">
        <f aca="false">Y1485</f>
        <v/>
      </c>
      <c r="AD1485" s="3" t="n">
        <f aca="false">R1485</f>
        <v>0</v>
      </c>
    </row>
    <row r="1486" customFormat="false" ht="15" hidden="false" customHeight="true" outlineLevel="0" collapsed="false">
      <c r="A1486" s="7" t="s">
        <v>80</v>
      </c>
      <c r="B1486" s="7" t="n">
        <v>1983</v>
      </c>
      <c r="C1486" s="7" t="s">
        <v>161</v>
      </c>
      <c r="D1486" s="7" t="n">
        <v>60</v>
      </c>
      <c r="E1486" s="7" t="n">
        <v>102</v>
      </c>
      <c r="F1486" s="3" t="n">
        <f aca="false">COUNTIFS($B$2:$B$2705,B1486,$C$2:$C$2705,C1486)</f>
        <v>1</v>
      </c>
      <c r="G1486" s="3" t="n">
        <f aca="false">MIN(INT((MIN(B1486,2020)-1900)/10)+1,12)</f>
        <v>9</v>
      </c>
      <c r="H1486" s="3" t="n">
        <f aca="false">(MIN(B1486,2020)-1900-10*(G1486-1))/10</f>
        <v>0.3</v>
      </c>
      <c r="I1486" s="20" t="n">
        <f aca="false">EXP(LN(INDEX(Pop_Inputs!$B$2:$N$29,MATCH(C1486,Pop_Inputs!$A$2:$A$29,0),G1486))*(1-H1486)+LN(INDEX(Pop_Inputs!$B$2:$N$29,MATCH(C1486,Pop_Inputs!$A$2:$A$29,0),G1486+1))*H1486)</f>
        <v>500465.758909821</v>
      </c>
      <c r="J1486" s="20" t="n">
        <f aca="false">I1486/F1486</f>
        <v>500465.758909821</v>
      </c>
      <c r="K1486" s="21" t="n">
        <f aca="false">D1486/(D1486+E1486)</f>
        <v>0.37037037037037</v>
      </c>
      <c r="L1486" s="21" t="n">
        <f aca="false">AVERAGEIFS($K$2:$K$2705,$B$2:$B$2705,B1486)</f>
        <v>0.5</v>
      </c>
      <c r="M1486" s="21" t="n">
        <f aca="false">K1486-L1486</f>
        <v>-0.12962962962963</v>
      </c>
      <c r="N1486" s="21" t="n">
        <f aca="false">LN(J1486)</f>
        <v>13.1232944616305</v>
      </c>
      <c r="O1486" s="21" t="n">
        <f aca="false">AVERAGEIFS($N$2:$N$2705,$B$2:$B$2705,B1486)</f>
        <v>13.6350888964083</v>
      </c>
      <c r="P1486" s="21" t="n">
        <f aca="false">N1486-O1486</f>
        <v>-0.511794434777848</v>
      </c>
      <c r="Q1486" s="7" t="n">
        <v>1</v>
      </c>
      <c r="R1486" s="3" t="n">
        <f aca="false">IF(AND(Q1486=1,B1486-_xlfn.MINIFS($B$2:$B$2705,$A$2:$A$2705,A1486)&lt;10),1,0)</f>
        <v>1</v>
      </c>
      <c r="S1486" s="7" t="n">
        <v>0</v>
      </c>
      <c r="T1486" s="3" t="n">
        <f aca="false">_xlfn.MINIFS($B$2:$B$2705,$A$2:$A$2705,A1486)</f>
        <v>1977</v>
      </c>
      <c r="U1486" s="3" t="n">
        <f aca="false">B1486-T1486</f>
        <v>6</v>
      </c>
      <c r="V1486" s="3" t="str">
        <f aca="false">INDEX(Pop_Inputs!$Q$2:$Q$29,MATCH(C1486,Pop_Inputs!$A$2:$A$29,0))</f>
        <v>West</v>
      </c>
      <c r="W1486" s="30"/>
      <c r="X1486" s="3" t="str">
        <f aca="false">IF(W1486="","",LN(W1486))</f>
        <v/>
      </c>
      <c r="Y1486" s="3" t="str">
        <f aca="false">IF(X1486="","",X1486-AVERAGEIFS($X$2:$X$2705,$B$2:$B$2705,B1486))</f>
        <v/>
      </c>
      <c r="Z1486" s="21" t="n">
        <f aca="false">P1486</f>
        <v>-0.511794434777848</v>
      </c>
      <c r="AA1486" s="3" t="n">
        <f aca="false">R1486</f>
        <v>1</v>
      </c>
      <c r="AB1486" s="21" t="n">
        <f aca="false">P1486</f>
        <v>-0.511794434777848</v>
      </c>
      <c r="AC1486" s="3" t="str">
        <f aca="false">Y1486</f>
        <v/>
      </c>
      <c r="AD1486" s="3" t="n">
        <f aca="false">R1486</f>
        <v>1</v>
      </c>
    </row>
    <row r="1487" customFormat="false" ht="15" hidden="false" customHeight="true" outlineLevel="0" collapsed="false">
      <c r="A1487" s="7" t="s">
        <v>61</v>
      </c>
      <c r="B1487" s="7" t="n">
        <v>1983</v>
      </c>
      <c r="C1487" s="7" t="s">
        <v>147</v>
      </c>
      <c r="D1487" s="7" t="n">
        <v>79</v>
      </c>
      <c r="E1487" s="7" t="n">
        <v>83</v>
      </c>
      <c r="F1487" s="3" t="n">
        <f aca="false">COUNTIFS($B$2:$B$2705,B1487,$C$2:$C$2705,C1487)</f>
        <v>1</v>
      </c>
      <c r="G1487" s="3" t="n">
        <f aca="false">MIN(INT((MIN(B1487,2020)-1900)/10)+1,12)</f>
        <v>9</v>
      </c>
      <c r="H1487" s="3" t="n">
        <f aca="false">(MIN(B1487,2020)-1900-10*(G1487-1))/10</f>
        <v>0.3</v>
      </c>
      <c r="I1487" s="20" t="n">
        <f aca="false">EXP(LN(INDEX(Pop_Inputs!$B$2:$N$29,MATCH(C1487,Pop_Inputs!$A$2:$A$29,0),G1487))*(1-H1487)+LN(INDEX(Pop_Inputs!$B$2:$N$29,MATCH(C1487,Pop_Inputs!$A$2:$A$29,0),G1487+1))*H1487)</f>
        <v>692167.800807497</v>
      </c>
      <c r="J1487" s="20" t="n">
        <f aca="false">I1487/F1487</f>
        <v>692167.800807497</v>
      </c>
      <c r="K1487" s="21" t="n">
        <f aca="false">D1487/(D1487+E1487)</f>
        <v>0.487654320987654</v>
      </c>
      <c r="L1487" s="21" t="n">
        <f aca="false">AVERAGEIFS($K$2:$K$2705,$B$2:$B$2705,B1487)</f>
        <v>0.5</v>
      </c>
      <c r="M1487" s="21" t="n">
        <f aca="false">K1487-L1487</f>
        <v>-0.0123456790123457</v>
      </c>
      <c r="N1487" s="21" t="n">
        <f aca="false">LN(J1487)</f>
        <v>13.4475836919207</v>
      </c>
      <c r="O1487" s="21" t="n">
        <f aca="false">AVERAGEIFS($N$2:$N$2705,$B$2:$B$2705,B1487)</f>
        <v>13.6350888964083</v>
      </c>
      <c r="P1487" s="21" t="n">
        <f aca="false">N1487-O1487</f>
        <v>-0.18750520448765</v>
      </c>
      <c r="Q1487" s="7" t="n">
        <v>0</v>
      </c>
      <c r="R1487" s="3" t="n">
        <f aca="false">IF(AND(Q1487=1,B1487-_xlfn.MINIFS($B$2:$B$2705,$A$2:$A$2705,A1487)&lt;10),1,0)</f>
        <v>0</v>
      </c>
      <c r="S1487" s="7" t="n">
        <v>0</v>
      </c>
      <c r="T1487" s="3" t="n">
        <f aca="false">_xlfn.MINIFS($B$2:$B$2705,$A$2:$A$2705,A1487)</f>
        <v>1901</v>
      </c>
      <c r="U1487" s="3" t="n">
        <f aca="false">B1487-T1487</f>
        <v>82</v>
      </c>
      <c r="V1487" s="3" t="str">
        <f aca="false">INDEX(Pop_Inputs!$Q$2:$Q$29,MATCH(C1487,Pop_Inputs!$A$2:$A$29,0))</f>
        <v>West</v>
      </c>
      <c r="W1487" s="30"/>
      <c r="X1487" s="3" t="str">
        <f aca="false">IF(W1487="","",LN(W1487))</f>
        <v/>
      </c>
      <c r="Y1487" s="3" t="str">
        <f aca="false">IF(X1487="","",X1487-AVERAGEIFS($X$2:$X$2705,$B$2:$B$2705,B1487))</f>
        <v/>
      </c>
      <c r="Z1487" s="21" t="n">
        <f aca="false">P1487</f>
        <v>-0.18750520448765</v>
      </c>
      <c r="AA1487" s="3" t="n">
        <f aca="false">R1487</f>
        <v>0</v>
      </c>
      <c r="AB1487" s="21" t="n">
        <f aca="false">P1487</f>
        <v>-0.18750520448765</v>
      </c>
      <c r="AC1487" s="3" t="str">
        <f aca="false">Y1487</f>
        <v/>
      </c>
      <c r="AD1487" s="3" t="n">
        <f aca="false">R1487</f>
        <v>0</v>
      </c>
    </row>
    <row r="1488" customFormat="false" ht="15" hidden="false" customHeight="true" outlineLevel="0" collapsed="false">
      <c r="A1488" s="7" t="s">
        <v>59</v>
      </c>
      <c r="B1488" s="7" t="n">
        <v>1983</v>
      </c>
      <c r="C1488" s="7" t="s">
        <v>145</v>
      </c>
      <c r="D1488" s="7" t="n">
        <v>79</v>
      </c>
      <c r="E1488" s="7" t="n">
        <v>83</v>
      </c>
      <c r="F1488" s="3" t="n">
        <f aca="false">COUNTIFS($B$2:$B$2705,B1488,$C$2:$C$2705,C1488)</f>
        <v>1</v>
      </c>
      <c r="G1488" s="3" t="n">
        <f aca="false">MIN(INT((MIN(B1488,2020)-1900)/10)+1,12)</f>
        <v>9</v>
      </c>
      <c r="H1488" s="3" t="n">
        <f aca="false">(MIN(B1488,2020)-1900-10*(G1488-1))/10</f>
        <v>0.3</v>
      </c>
      <c r="I1488" s="20" t="n">
        <f aca="false">EXP(LN(INDEX(Pop_Inputs!$B$2:$N$29,MATCH(C1488,Pop_Inputs!$A$2:$A$29,0),G1488))*(1-H1488)+LN(INDEX(Pop_Inputs!$B$2:$N$29,MATCH(C1488,Pop_Inputs!$A$2:$A$29,0),G1488+1))*H1488)</f>
        <v>435855.195470941</v>
      </c>
      <c r="J1488" s="20" t="n">
        <f aca="false">I1488/F1488</f>
        <v>435855.195470941</v>
      </c>
      <c r="K1488" s="21" t="n">
        <f aca="false">D1488/(D1488+E1488)</f>
        <v>0.487654320987654</v>
      </c>
      <c r="L1488" s="21" t="n">
        <f aca="false">AVERAGEIFS($K$2:$K$2705,$B$2:$B$2705,B1488)</f>
        <v>0.5</v>
      </c>
      <c r="M1488" s="21" t="n">
        <f aca="false">K1488-L1488</f>
        <v>-0.0123456790123457</v>
      </c>
      <c r="N1488" s="21" t="n">
        <f aca="false">LN(J1488)</f>
        <v>12.9850653466875</v>
      </c>
      <c r="O1488" s="21" t="n">
        <f aca="false">AVERAGEIFS($N$2:$N$2705,$B$2:$B$2705,B1488)</f>
        <v>13.6350888964083</v>
      </c>
      <c r="P1488" s="21" t="n">
        <f aca="false">N1488-O1488</f>
        <v>-0.650023549720885</v>
      </c>
      <c r="Q1488" s="7" t="n">
        <v>0</v>
      </c>
      <c r="R1488" s="3" t="n">
        <f aca="false">IF(AND(Q1488=1,B1488-_xlfn.MINIFS($B$2:$B$2705,$A$2:$A$2705,A1488)&lt;10),1,0)</f>
        <v>0</v>
      </c>
      <c r="S1488" s="7" t="n">
        <v>0</v>
      </c>
      <c r="T1488" s="3" t="n">
        <f aca="false">_xlfn.MINIFS($B$2:$B$2705,$A$2:$A$2705,A1488)</f>
        <v>1901</v>
      </c>
      <c r="U1488" s="3" t="n">
        <f aca="false">B1488-T1488</f>
        <v>82</v>
      </c>
      <c r="V1488" s="3" t="str">
        <f aca="false">INDEX(Pop_Inputs!$Q$2:$Q$29,MATCH(C1488,Pop_Inputs!$A$2:$A$29,0))</f>
        <v>Midwest</v>
      </c>
      <c r="W1488" s="30"/>
      <c r="X1488" s="3" t="str">
        <f aca="false">IF(W1488="","",LN(W1488))</f>
        <v/>
      </c>
      <c r="Y1488" s="3" t="str">
        <f aca="false">IF(X1488="","",X1488-AVERAGEIFS($X$2:$X$2705,$B$2:$B$2705,B1488))</f>
        <v/>
      </c>
      <c r="Z1488" s="21" t="n">
        <f aca="false">P1488</f>
        <v>-0.650023549720885</v>
      </c>
      <c r="AA1488" s="3" t="n">
        <f aca="false">R1488</f>
        <v>0</v>
      </c>
      <c r="AB1488" s="21" t="n">
        <f aca="false">P1488</f>
        <v>-0.650023549720885</v>
      </c>
      <c r="AC1488" s="3" t="str">
        <f aca="false">Y1488</f>
        <v/>
      </c>
      <c r="AD1488" s="3" t="n">
        <f aca="false">R1488</f>
        <v>0</v>
      </c>
    </row>
    <row r="1489" customFormat="false" ht="15" hidden="false" customHeight="true" outlineLevel="0" collapsed="false">
      <c r="A1489" s="7" t="s">
        <v>73</v>
      </c>
      <c r="B1489" s="7" t="n">
        <v>1983</v>
      </c>
      <c r="C1489" s="7" t="s">
        <v>155</v>
      </c>
      <c r="D1489" s="7" t="n">
        <v>77</v>
      </c>
      <c r="E1489" s="7" t="n">
        <v>85</v>
      </c>
      <c r="F1489" s="3" t="n">
        <f aca="false">COUNTIFS($B$2:$B$2705,B1489,$C$2:$C$2705,C1489)</f>
        <v>1</v>
      </c>
      <c r="G1489" s="3" t="n">
        <f aca="false">MIN(INT((MIN(B1489,2020)-1900)/10)+1,12)</f>
        <v>9</v>
      </c>
      <c r="H1489" s="3" t="n">
        <f aca="false">(MIN(B1489,2020)-1900-10*(G1489-1))/10</f>
        <v>0.3</v>
      </c>
      <c r="I1489" s="20" t="n">
        <f aca="false">EXP(LN(INDEX(Pop_Inputs!$B$2:$N$29,MATCH(C1489,Pop_Inputs!$A$2:$A$29,0),G1489))*(1-H1489)+LN(INDEX(Pop_Inputs!$B$2:$N$29,MATCH(C1489,Pop_Inputs!$A$2:$A$29,0),G1489+1))*H1489)</f>
        <v>933791.671534534</v>
      </c>
      <c r="J1489" s="20" t="n">
        <f aca="false">I1489/F1489</f>
        <v>933791.671534534</v>
      </c>
      <c r="K1489" s="21" t="n">
        <f aca="false">D1489/(D1489+E1489)</f>
        <v>0.475308641975309</v>
      </c>
      <c r="L1489" s="21" t="n">
        <f aca="false">AVERAGEIFS($K$2:$K$2705,$B$2:$B$2705,B1489)</f>
        <v>0.5</v>
      </c>
      <c r="M1489" s="21" t="n">
        <f aca="false">K1489-L1489</f>
        <v>-0.0246913580246914</v>
      </c>
      <c r="N1489" s="21" t="n">
        <f aca="false">LN(J1489)</f>
        <v>13.7470086425828</v>
      </c>
      <c r="O1489" s="21" t="n">
        <f aca="false">AVERAGEIFS($N$2:$N$2705,$B$2:$B$2705,B1489)</f>
        <v>13.6350888964083</v>
      </c>
      <c r="P1489" s="21" t="n">
        <f aca="false">N1489-O1489</f>
        <v>0.111919746174451</v>
      </c>
      <c r="Q1489" s="7" t="n">
        <v>1</v>
      </c>
      <c r="R1489" s="3" t="n">
        <f aca="false">IF(AND(Q1489=1,B1489-_xlfn.MINIFS($B$2:$B$2705,$A$2:$A$2705,A1489)&lt;10),1,0)</f>
        <v>0</v>
      </c>
      <c r="S1489" s="7" t="n">
        <v>0</v>
      </c>
      <c r="T1489" s="3" t="n">
        <f aca="false">_xlfn.MINIFS($B$2:$B$2705,$A$2:$A$2705,A1489)</f>
        <v>1961</v>
      </c>
      <c r="U1489" s="3" t="n">
        <f aca="false">B1489-T1489</f>
        <v>22</v>
      </c>
      <c r="V1489" s="3" t="str">
        <f aca="false">INDEX(Pop_Inputs!$Q$2:$Q$29,MATCH(C1489,Pop_Inputs!$A$2:$A$29,0))</f>
        <v>South</v>
      </c>
      <c r="W1489" s="30"/>
      <c r="X1489" s="3" t="str">
        <f aca="false">IF(W1489="","",LN(W1489))</f>
        <v/>
      </c>
      <c r="Y1489" s="3" t="str">
        <f aca="false">IF(X1489="","",X1489-AVERAGEIFS($X$2:$X$2705,$B$2:$B$2705,B1489))</f>
        <v/>
      </c>
      <c r="Z1489" s="21" t="n">
        <f aca="false">P1489</f>
        <v>0.111919746174451</v>
      </c>
      <c r="AA1489" s="3" t="n">
        <f aca="false">R1489</f>
        <v>0</v>
      </c>
      <c r="AB1489" s="21" t="n">
        <f aca="false">P1489</f>
        <v>0.111919746174451</v>
      </c>
      <c r="AC1489" s="3" t="str">
        <f aca="false">Y1489</f>
        <v/>
      </c>
      <c r="AD1489" s="3" t="n">
        <f aca="false">R1489</f>
        <v>0</v>
      </c>
    </row>
    <row r="1490" customFormat="false" ht="15" hidden="false" customHeight="true" outlineLevel="0" collapsed="false">
      <c r="A1490" s="7" t="s">
        <v>81</v>
      </c>
      <c r="B1490" s="7" t="n">
        <v>1983</v>
      </c>
      <c r="C1490" s="7" t="s">
        <v>162</v>
      </c>
      <c r="D1490" s="7" t="n">
        <v>89</v>
      </c>
      <c r="E1490" s="7" t="n">
        <v>73</v>
      </c>
      <c r="F1490" s="3" t="n">
        <f aca="false">COUNTIFS($B$2:$B$2705,B1490,$C$2:$C$2705,C1490)</f>
        <v>1</v>
      </c>
      <c r="G1490" s="3" t="n">
        <f aca="false">MIN(INT((MIN(B1490,2020)-1900)/10)+1,12)</f>
        <v>9</v>
      </c>
      <c r="H1490" s="3" t="n">
        <f aca="false">(MIN(B1490,2020)-1900-10*(G1490-1))/10</f>
        <v>0.3</v>
      </c>
      <c r="I1490" s="20" t="n">
        <f aca="false">EXP(LN(INDEX(Pop_Inputs!$B$2:$N$29,MATCH(C1490,Pop_Inputs!$A$2:$A$29,0),G1490))*(1-H1490)+LN(INDEX(Pop_Inputs!$B$2:$N$29,MATCH(C1490,Pop_Inputs!$A$2:$A$29,0),G1490+1))*H1490)</f>
        <v>609848.592838553</v>
      </c>
      <c r="J1490" s="20" t="n">
        <f aca="false">I1490/F1490</f>
        <v>609848.592838553</v>
      </c>
      <c r="K1490" s="21" t="n">
        <f aca="false">D1490/(D1490+E1490)</f>
        <v>0.549382716049383</v>
      </c>
      <c r="L1490" s="21" t="n">
        <f aca="false">AVERAGEIFS($K$2:$K$2705,$B$2:$B$2705,B1490)</f>
        <v>0.5</v>
      </c>
      <c r="M1490" s="21" t="n">
        <f aca="false">K1490-L1490</f>
        <v>0.0493827160493827</v>
      </c>
      <c r="N1490" s="21" t="n">
        <f aca="false">LN(J1490)</f>
        <v>13.3209659968793</v>
      </c>
      <c r="O1490" s="21" t="n">
        <f aca="false">AVERAGEIFS($N$2:$N$2705,$B$2:$B$2705,B1490)</f>
        <v>13.6350888964083</v>
      </c>
      <c r="P1490" s="21" t="n">
        <f aca="false">N1490-O1490</f>
        <v>-0.314122899529053</v>
      </c>
      <c r="Q1490" s="7" t="n">
        <v>1</v>
      </c>
      <c r="R1490" s="3" t="n">
        <f aca="false">IF(AND(Q1490=1,B1490-_xlfn.MINIFS($B$2:$B$2705,$A$2:$A$2705,A1490)&lt;10),1,0)</f>
        <v>1</v>
      </c>
      <c r="S1490" s="7" t="n">
        <v>0</v>
      </c>
      <c r="T1490" s="3" t="n">
        <f aca="false">_xlfn.MINIFS($B$2:$B$2705,$A$2:$A$2705,A1490)</f>
        <v>1977</v>
      </c>
      <c r="U1490" s="3" t="n">
        <f aca="false">B1490-T1490</f>
        <v>6</v>
      </c>
      <c r="V1490" s="3" t="str">
        <f aca="false">INDEX(Pop_Inputs!$Q$2:$Q$29,MATCH(C1490,Pop_Inputs!$A$2:$A$29,0))</f>
        <v>Canada</v>
      </c>
      <c r="W1490" s="30"/>
      <c r="X1490" s="3" t="str">
        <f aca="false">IF(W1490="","",LN(W1490))</f>
        <v/>
      </c>
      <c r="Y1490" s="3" t="str">
        <f aca="false">IF(X1490="","",X1490-AVERAGEIFS($X$2:$X$2705,$B$2:$B$2705,B1490))</f>
        <v/>
      </c>
      <c r="Z1490" s="21" t="n">
        <f aca="false">P1490</f>
        <v>-0.314122899529053</v>
      </c>
      <c r="AA1490" s="3" t="n">
        <f aca="false">R1490</f>
        <v>1</v>
      </c>
      <c r="AB1490" s="21" t="n">
        <f aca="false">P1490</f>
        <v>-0.314122899529053</v>
      </c>
      <c r="AC1490" s="3" t="str">
        <f aca="false">Y1490</f>
        <v/>
      </c>
      <c r="AD1490" s="3" t="n">
        <f aca="false">R1490</f>
        <v>1</v>
      </c>
    </row>
    <row r="1491" customFormat="false" ht="15" hidden="false" customHeight="true" outlineLevel="0" collapsed="false">
      <c r="A1491" s="7" t="s">
        <v>79</v>
      </c>
      <c r="B1491" s="7" t="n">
        <v>1983</v>
      </c>
      <c r="C1491" s="7" t="s">
        <v>254</v>
      </c>
      <c r="D1491" s="7" t="n">
        <v>82</v>
      </c>
      <c r="E1491" s="7" t="n">
        <v>80</v>
      </c>
      <c r="F1491" s="3" t="n">
        <f aca="false">COUNTIFS($B$2:$B$2705,B1491,$C$2:$C$2705,C1491)</f>
        <v>1</v>
      </c>
      <c r="G1491" s="3" t="n">
        <f aca="false">MIN(INT((MIN(B1491,2020)-1900)/10)+1,12)</f>
        <v>9</v>
      </c>
      <c r="H1491" s="3" t="n">
        <f aca="false">(MIN(B1491,2020)-1900-10*(G1491-1))/10</f>
        <v>0.3</v>
      </c>
      <c r="I1491" s="20" t="n">
        <f aca="false">EXP(LN(INDEX(Pop_Inputs!$B$2:$N$29,MATCH(C1491,Pop_Inputs!$A$2:$A$29,0),G1491))*(1-H1491)+LN(INDEX(Pop_Inputs!$B$2:$N$29,MATCH(C1491,Pop_Inputs!$A$2:$A$29,0),G1491+1))*H1491)</f>
        <v>991401.626646311</v>
      </c>
      <c r="J1491" s="20" t="n">
        <f aca="false">I1491/F1491</f>
        <v>991401.626646311</v>
      </c>
      <c r="K1491" s="21" t="n">
        <f aca="false">D1491/(D1491+E1491)</f>
        <v>0.506172839506173</v>
      </c>
      <c r="L1491" s="21" t="n">
        <f aca="false">AVERAGEIFS($K$2:$K$2705,$B$2:$B$2705,B1491)</f>
        <v>0.5</v>
      </c>
      <c r="M1491" s="21" t="n">
        <f aca="false">K1491-L1491</f>
        <v>0.00617283950617287</v>
      </c>
      <c r="N1491" s="21" t="n">
        <f aca="false">LN(J1491)</f>
        <v>13.8068750053241</v>
      </c>
      <c r="O1491" s="21" t="n">
        <f aca="false">AVERAGEIFS($N$2:$N$2705,$B$2:$B$2705,B1491)</f>
        <v>13.6350888964083</v>
      </c>
      <c r="P1491" s="21" t="n">
        <f aca="false">N1491-O1491</f>
        <v>0.171786108915743</v>
      </c>
      <c r="Q1491" s="7" t="n">
        <v>1</v>
      </c>
      <c r="R1491" s="3" t="n">
        <f aca="false">IF(AND(Q1491=1,B1491-_xlfn.MINIFS($B$2:$B$2705,$A$2:$A$2705,A1491)&lt;10),1,0)</f>
        <v>0</v>
      </c>
      <c r="S1491" s="7" t="n">
        <v>0</v>
      </c>
      <c r="T1491" s="3" t="n">
        <f aca="false">_xlfn.MINIFS($B$2:$B$2705,$A$2:$A$2705,A1491)</f>
        <v>1969</v>
      </c>
      <c r="U1491" s="3" t="n">
        <f aca="false">B1491-T1491</f>
        <v>14</v>
      </c>
      <c r="V1491" s="3" t="str">
        <f aca="false">INDEX(Pop_Inputs!$Q$2:$Q$29,MATCH(C1491,Pop_Inputs!$A$2:$A$29,0))</f>
        <v>Canada</v>
      </c>
      <c r="W1491" s="30"/>
      <c r="X1491" s="3" t="str">
        <f aca="false">IF(W1491="","",LN(W1491))</f>
        <v/>
      </c>
      <c r="Y1491" s="3" t="str">
        <f aca="false">IF(X1491="","",X1491-AVERAGEIFS($X$2:$X$2705,$B$2:$B$2705,B1491))</f>
        <v/>
      </c>
      <c r="Z1491" s="21" t="n">
        <f aca="false">P1491</f>
        <v>0.171786108915743</v>
      </c>
      <c r="AA1491" s="3" t="n">
        <f aca="false">R1491</f>
        <v>0</v>
      </c>
      <c r="AB1491" s="21" t="n">
        <f aca="false">P1491</f>
        <v>0.171786108915743</v>
      </c>
      <c r="AC1491" s="3" t="str">
        <f aca="false">Y1491</f>
        <v/>
      </c>
      <c r="AD1491" s="3" t="n">
        <f aca="false">R1491</f>
        <v>0</v>
      </c>
    </row>
    <row r="1492" customFormat="false" ht="15" hidden="false" customHeight="true" outlineLevel="0" collapsed="false">
      <c r="A1492" s="7" t="s">
        <v>71</v>
      </c>
      <c r="B1492" s="7" t="n">
        <v>1984</v>
      </c>
      <c r="C1492" s="7" t="s">
        <v>148</v>
      </c>
      <c r="D1492" s="7" t="n">
        <v>81</v>
      </c>
      <c r="E1492" s="7" t="n">
        <v>81</v>
      </c>
      <c r="F1492" s="3" t="n">
        <f aca="false">COUNTIFS($B$2:$B$2705,B1492,$C$2:$C$2705,C1492)</f>
        <v>2</v>
      </c>
      <c r="G1492" s="3" t="n">
        <f aca="false">MIN(INT((MIN(B1492,2020)-1900)/10)+1,12)</f>
        <v>9</v>
      </c>
      <c r="H1492" s="3" t="n">
        <f aca="false">(MIN(B1492,2020)-1900-10*(G1492-1))/10</f>
        <v>0.4</v>
      </c>
      <c r="I1492" s="20" t="n">
        <f aca="false">EXP(LN(INDEX(Pop_Inputs!$B$2:$N$29,MATCH(C1492,Pop_Inputs!$A$2:$A$29,0),G1492))*(1-H1492)+LN(INDEX(Pop_Inputs!$B$2:$N$29,MATCH(C1492,Pop_Inputs!$A$2:$A$29,0),G1492+1))*H1492)</f>
        <v>3164304.7617008</v>
      </c>
      <c r="J1492" s="20" t="n">
        <f aca="false">I1492/F1492</f>
        <v>1582152.3808504</v>
      </c>
      <c r="K1492" s="21" t="n">
        <f aca="false">D1492/(D1492+E1492)</f>
        <v>0.5</v>
      </c>
      <c r="L1492" s="21" t="n">
        <f aca="false">AVERAGEIFS($K$2:$K$2705,$B$2:$B$2705,B1492)</f>
        <v>0.49998230433013</v>
      </c>
      <c r="M1492" s="21" t="n">
        <f aca="false">K1492-L1492</f>
        <v>1.76956698695885E-005</v>
      </c>
      <c r="N1492" s="21" t="n">
        <f aca="false">LN(J1492)</f>
        <v>14.2742967443212</v>
      </c>
      <c r="O1492" s="21" t="n">
        <f aca="false">AVERAGEIFS($N$2:$N$2705,$B$2:$B$2705,B1492)</f>
        <v>13.6353069926616</v>
      </c>
      <c r="P1492" s="21" t="n">
        <f aca="false">N1492-O1492</f>
        <v>0.638989751659592</v>
      </c>
      <c r="Q1492" s="7" t="n">
        <v>1</v>
      </c>
      <c r="R1492" s="3" t="n">
        <f aca="false">IF(AND(Q1492=1,B1492-_xlfn.MINIFS($B$2:$B$2705,$A$2:$A$2705,A1492)&lt;10),1,0)</f>
        <v>0</v>
      </c>
      <c r="S1492" s="7" t="n">
        <v>0</v>
      </c>
      <c r="T1492" s="3" t="n">
        <f aca="false">_xlfn.MINIFS($B$2:$B$2705,$A$2:$A$2705,A1492)</f>
        <v>1961</v>
      </c>
      <c r="U1492" s="3" t="n">
        <f aca="false">B1492-T1492</f>
        <v>23</v>
      </c>
      <c r="V1492" s="3" t="str">
        <f aca="false">INDEX(Pop_Inputs!$Q$2:$Q$29,MATCH(C1492,Pop_Inputs!$A$2:$A$29,0))</f>
        <v>West</v>
      </c>
      <c r="W1492" s="30"/>
      <c r="X1492" s="3" t="str">
        <f aca="false">IF(W1492="","",LN(W1492))</f>
        <v/>
      </c>
      <c r="Y1492" s="3" t="str">
        <f aca="false">IF(X1492="","",X1492-AVERAGEIFS($X$2:$X$2705,$B$2:$B$2705,B1492))</f>
        <v/>
      </c>
      <c r="Z1492" s="21" t="n">
        <f aca="false">P1492</f>
        <v>0.638989751659592</v>
      </c>
      <c r="AA1492" s="3" t="n">
        <f aca="false">R1492</f>
        <v>0</v>
      </c>
      <c r="AB1492" s="21" t="n">
        <f aca="false">P1492</f>
        <v>0.638989751659592</v>
      </c>
      <c r="AC1492" s="3" t="str">
        <f aca="false">Y1492</f>
        <v/>
      </c>
      <c r="AD1492" s="3" t="n">
        <f aca="false">R1492</f>
        <v>0</v>
      </c>
    </row>
    <row r="1493" customFormat="false" ht="15" hidden="false" customHeight="true" outlineLevel="0" collapsed="false">
      <c r="A1493" s="7" t="s">
        <v>54</v>
      </c>
      <c r="B1493" s="7" t="n">
        <v>1984</v>
      </c>
      <c r="C1493" s="7" t="s">
        <v>141</v>
      </c>
      <c r="D1493" s="7" t="n">
        <v>80</v>
      </c>
      <c r="E1493" s="7" t="n">
        <v>82</v>
      </c>
      <c r="F1493" s="3" t="n">
        <f aca="false">COUNTIFS($B$2:$B$2705,B1493,$C$2:$C$2705,C1493)</f>
        <v>1</v>
      </c>
      <c r="G1493" s="3" t="n">
        <f aca="false">MIN(INT((MIN(B1493,2020)-1900)/10)+1,12)</f>
        <v>9</v>
      </c>
      <c r="H1493" s="3" t="n">
        <f aca="false">(MIN(B1493,2020)-1900-10*(G1493-1))/10</f>
        <v>0.4</v>
      </c>
      <c r="I1493" s="20" t="n">
        <f aca="false">EXP(LN(INDEX(Pop_Inputs!$B$2:$N$29,MATCH(C1493,Pop_Inputs!$A$2:$A$29,0),G1493))*(1-H1493)+LN(INDEX(Pop_Inputs!$B$2:$N$29,MATCH(C1493,Pop_Inputs!$A$2:$A$29,0),G1493+1))*H1493)</f>
        <v>412337.497046896</v>
      </c>
      <c r="J1493" s="20" t="n">
        <f aca="false">I1493/F1493</f>
        <v>412337.497046896</v>
      </c>
      <c r="K1493" s="21" t="n">
        <f aca="false">D1493/(D1493+E1493)</f>
        <v>0.493827160493827</v>
      </c>
      <c r="L1493" s="21" t="n">
        <f aca="false">AVERAGEIFS($K$2:$K$2705,$B$2:$B$2705,B1493)</f>
        <v>0.49998230433013</v>
      </c>
      <c r="M1493" s="21" t="n">
        <f aca="false">K1493-L1493</f>
        <v>-0.00615514383630328</v>
      </c>
      <c r="N1493" s="21" t="n">
        <f aca="false">LN(J1493)</f>
        <v>12.9295974605866</v>
      </c>
      <c r="O1493" s="21" t="n">
        <f aca="false">AVERAGEIFS($N$2:$N$2705,$B$2:$B$2705,B1493)</f>
        <v>13.6353069926616</v>
      </c>
      <c r="P1493" s="21" t="n">
        <f aca="false">N1493-O1493</f>
        <v>-0.705709532075009</v>
      </c>
      <c r="Q1493" s="7" t="n">
        <v>0</v>
      </c>
      <c r="R1493" s="3" t="n">
        <f aca="false">IF(AND(Q1493=1,B1493-_xlfn.MINIFS($B$2:$B$2705,$A$2:$A$2705,A1493)&lt;10),1,0)</f>
        <v>0</v>
      </c>
      <c r="S1493" s="7" t="n">
        <v>0</v>
      </c>
      <c r="T1493" s="3" t="n">
        <f aca="false">_xlfn.MINIFS($B$2:$B$2705,$A$2:$A$2705,A1493)</f>
        <v>1901</v>
      </c>
      <c r="U1493" s="3" t="n">
        <f aca="false">B1493-T1493</f>
        <v>83</v>
      </c>
      <c r="V1493" s="3" t="str">
        <f aca="false">INDEX(Pop_Inputs!$Q$2:$Q$29,MATCH(C1493,Pop_Inputs!$A$2:$A$29,0))</f>
        <v>South</v>
      </c>
      <c r="W1493" s="30"/>
      <c r="X1493" s="3" t="str">
        <f aca="false">IF(W1493="","",LN(W1493))</f>
        <v/>
      </c>
      <c r="Y1493" s="3" t="str">
        <f aca="false">IF(X1493="","",X1493-AVERAGEIFS($X$2:$X$2705,$B$2:$B$2705,B1493))</f>
        <v/>
      </c>
      <c r="Z1493" s="21" t="n">
        <f aca="false">P1493</f>
        <v>-0.705709532075009</v>
      </c>
      <c r="AA1493" s="3" t="n">
        <f aca="false">R1493</f>
        <v>0</v>
      </c>
      <c r="AB1493" s="21" t="n">
        <f aca="false">P1493</f>
        <v>-0.705709532075009</v>
      </c>
      <c r="AC1493" s="3" t="str">
        <f aca="false">Y1493</f>
        <v/>
      </c>
      <c r="AD1493" s="3" t="n">
        <f aca="false">R1493</f>
        <v>0</v>
      </c>
    </row>
    <row r="1494" customFormat="false" ht="15" hidden="false" customHeight="true" outlineLevel="0" collapsed="false">
      <c r="A1494" s="7" t="s">
        <v>63</v>
      </c>
      <c r="B1494" s="7" t="n">
        <v>1984</v>
      </c>
      <c r="C1494" s="7" t="s">
        <v>149</v>
      </c>
      <c r="D1494" s="7" t="n">
        <v>85</v>
      </c>
      <c r="E1494" s="7" t="n">
        <v>77</v>
      </c>
      <c r="F1494" s="3" t="n">
        <f aca="false">COUNTIFS($B$2:$B$2705,B1494,$C$2:$C$2705,C1494)</f>
        <v>1</v>
      </c>
      <c r="G1494" s="3" t="n">
        <f aca="false">MIN(INT((MIN(B1494,2020)-1900)/10)+1,12)</f>
        <v>9</v>
      </c>
      <c r="H1494" s="3" t="n">
        <f aca="false">(MIN(B1494,2020)-1900-10*(G1494-1))/10</f>
        <v>0.4</v>
      </c>
      <c r="I1494" s="20" t="n">
        <f aca="false">EXP(LN(INDEX(Pop_Inputs!$B$2:$N$29,MATCH(C1494,Pop_Inputs!$A$2:$A$29,0),G1494))*(1-H1494)+LN(INDEX(Pop_Inputs!$B$2:$N$29,MATCH(C1494,Pop_Inputs!$A$2:$A$29,0),G1494+1))*H1494)</f>
        <v>766063.483666389</v>
      </c>
      <c r="J1494" s="20" t="n">
        <f aca="false">I1494/F1494</f>
        <v>766063.483666389</v>
      </c>
      <c r="K1494" s="21" t="n">
        <f aca="false">D1494/(D1494+E1494)</f>
        <v>0.524691358024691</v>
      </c>
      <c r="L1494" s="21" t="n">
        <f aca="false">AVERAGEIFS($K$2:$K$2705,$B$2:$B$2705,B1494)</f>
        <v>0.49998230433013</v>
      </c>
      <c r="M1494" s="21" t="n">
        <f aca="false">K1494-L1494</f>
        <v>0.0247090536945609</v>
      </c>
      <c r="N1494" s="21" t="n">
        <f aca="false">LN(J1494)</f>
        <v>13.5490203221377</v>
      </c>
      <c r="O1494" s="21" t="n">
        <f aca="false">AVERAGEIFS($N$2:$N$2705,$B$2:$B$2705,B1494)</f>
        <v>13.6353069926616</v>
      </c>
      <c r="P1494" s="21" t="n">
        <f aca="false">N1494-O1494</f>
        <v>-0.0862866705238705</v>
      </c>
      <c r="Q1494" s="7" t="n">
        <v>0</v>
      </c>
      <c r="R1494" s="3" t="n">
        <f aca="false">IF(AND(Q1494=1,B1494-_xlfn.MINIFS($B$2:$B$2705,$A$2:$A$2705,A1494)&lt;10),1,0)</f>
        <v>0</v>
      </c>
      <c r="S1494" s="7" t="n">
        <v>0</v>
      </c>
      <c r="T1494" s="3" t="n">
        <f aca="false">_xlfn.MINIFS($B$2:$B$2705,$A$2:$A$2705,A1494)</f>
        <v>1901</v>
      </c>
      <c r="U1494" s="3" t="n">
        <f aca="false">B1494-T1494</f>
        <v>83</v>
      </c>
      <c r="V1494" s="3" t="str">
        <f aca="false">INDEX(Pop_Inputs!$Q$2:$Q$29,MATCH(C1494,Pop_Inputs!$A$2:$A$29,0))</f>
        <v>South</v>
      </c>
      <c r="W1494" s="30"/>
      <c r="X1494" s="3" t="str">
        <f aca="false">IF(W1494="","",LN(W1494))</f>
        <v/>
      </c>
      <c r="Y1494" s="3" t="str">
        <f aca="false">IF(X1494="","",X1494-AVERAGEIFS($X$2:$X$2705,$B$2:$B$2705,B1494))</f>
        <v/>
      </c>
      <c r="Z1494" s="21" t="n">
        <f aca="false">P1494</f>
        <v>-0.0862866705238705</v>
      </c>
      <c r="AA1494" s="3" t="n">
        <f aca="false">R1494</f>
        <v>0</v>
      </c>
      <c r="AB1494" s="21" t="n">
        <f aca="false">P1494</f>
        <v>-0.0862866705238705</v>
      </c>
      <c r="AC1494" s="3" t="str">
        <f aca="false">Y1494</f>
        <v/>
      </c>
      <c r="AD1494" s="3" t="n">
        <f aca="false">R1494</f>
        <v>0</v>
      </c>
    </row>
    <row r="1495" customFormat="false" ht="15" hidden="false" customHeight="true" outlineLevel="0" collapsed="false">
      <c r="A1495" s="7" t="s">
        <v>64</v>
      </c>
      <c r="B1495" s="7" t="n">
        <v>1984</v>
      </c>
      <c r="C1495" s="7" t="s">
        <v>150</v>
      </c>
      <c r="D1495" s="7" t="n">
        <v>86</v>
      </c>
      <c r="E1495" s="7" t="n">
        <v>76</v>
      </c>
      <c r="F1495" s="3" t="n">
        <f aca="false">COUNTIFS($B$2:$B$2705,B1495,$C$2:$C$2705,C1495)</f>
        <v>1</v>
      </c>
      <c r="G1495" s="3" t="n">
        <f aca="false">MIN(INT((MIN(B1495,2020)-1900)/10)+1,12)</f>
        <v>9</v>
      </c>
      <c r="H1495" s="3" t="n">
        <f aca="false">(MIN(B1495,2020)-1900-10*(G1495-1))/10</f>
        <v>0.4</v>
      </c>
      <c r="I1495" s="20" t="n">
        <f aca="false">EXP(LN(INDEX(Pop_Inputs!$B$2:$N$29,MATCH(C1495,Pop_Inputs!$A$2:$A$29,0),G1495))*(1-H1495)+LN(INDEX(Pop_Inputs!$B$2:$N$29,MATCH(C1495,Pop_Inputs!$A$2:$A$29,0),G1495+1))*H1495)</f>
        <v>567482.723094023</v>
      </c>
      <c r="J1495" s="20" t="n">
        <f aca="false">I1495/F1495</f>
        <v>567482.723094023</v>
      </c>
      <c r="K1495" s="21" t="n">
        <f aca="false">D1495/(D1495+E1495)</f>
        <v>0.530864197530864</v>
      </c>
      <c r="L1495" s="21" t="n">
        <f aca="false">AVERAGEIFS($K$2:$K$2705,$B$2:$B$2705,B1495)</f>
        <v>0.49998230433013</v>
      </c>
      <c r="M1495" s="21" t="n">
        <f aca="false">K1495-L1495</f>
        <v>0.0308818932007338</v>
      </c>
      <c r="N1495" s="21" t="n">
        <f aca="false">LN(J1495)</f>
        <v>13.2489655839871</v>
      </c>
      <c r="O1495" s="21" t="n">
        <f aca="false">AVERAGEIFS($N$2:$N$2705,$B$2:$B$2705,B1495)</f>
        <v>13.6353069926616</v>
      </c>
      <c r="P1495" s="21" t="n">
        <f aca="false">N1495-O1495</f>
        <v>-0.386341408674488</v>
      </c>
      <c r="Q1495" s="7" t="n">
        <v>0</v>
      </c>
      <c r="R1495" s="3" t="n">
        <f aca="false">IF(AND(Q1495=1,B1495-_xlfn.MINIFS($B$2:$B$2705,$A$2:$A$2705,A1495)&lt;10),1,0)</f>
        <v>0</v>
      </c>
      <c r="S1495" s="7" t="n">
        <v>0</v>
      </c>
      <c r="T1495" s="3" t="n">
        <f aca="false">_xlfn.MINIFS($B$2:$B$2705,$A$2:$A$2705,A1495)</f>
        <v>1901</v>
      </c>
      <c r="U1495" s="3" t="n">
        <f aca="false">B1495-T1495</f>
        <v>83</v>
      </c>
      <c r="V1495" s="3" t="str">
        <f aca="false">INDEX(Pop_Inputs!$Q$2:$Q$29,MATCH(C1495,Pop_Inputs!$A$2:$A$29,0))</f>
        <v>Northeast</v>
      </c>
      <c r="W1495" s="30"/>
      <c r="X1495" s="3" t="str">
        <f aca="false">IF(W1495="","",LN(W1495))</f>
        <v/>
      </c>
      <c r="Y1495" s="3" t="str">
        <f aca="false">IF(X1495="","",X1495-AVERAGEIFS($X$2:$X$2705,$B$2:$B$2705,B1495))</f>
        <v/>
      </c>
      <c r="Z1495" s="21" t="n">
        <f aca="false">P1495</f>
        <v>-0.386341408674488</v>
      </c>
      <c r="AA1495" s="3" t="n">
        <f aca="false">R1495</f>
        <v>0</v>
      </c>
      <c r="AB1495" s="21" t="n">
        <f aca="false">P1495</f>
        <v>-0.386341408674488</v>
      </c>
      <c r="AC1495" s="3" t="str">
        <f aca="false">Y1495</f>
        <v/>
      </c>
      <c r="AD1495" s="3" t="n">
        <f aca="false">R1495</f>
        <v>0</v>
      </c>
    </row>
    <row r="1496" customFormat="false" ht="15" hidden="false" customHeight="true" outlineLevel="0" collapsed="false">
      <c r="A1496" s="7" t="s">
        <v>56</v>
      </c>
      <c r="B1496" s="7" t="n">
        <v>1984</v>
      </c>
      <c r="C1496" s="7" t="s">
        <v>142</v>
      </c>
      <c r="D1496" s="7" t="n">
        <v>96</v>
      </c>
      <c r="E1496" s="7" t="n">
        <v>65</v>
      </c>
      <c r="F1496" s="3" t="n">
        <f aca="false">COUNTIFS($B$2:$B$2705,B1496,$C$2:$C$2705,C1496)</f>
        <v>2</v>
      </c>
      <c r="G1496" s="3" t="n">
        <f aca="false">MIN(INT((MIN(B1496,2020)-1900)/10)+1,12)</f>
        <v>9</v>
      </c>
      <c r="H1496" s="3" t="n">
        <f aca="false">(MIN(B1496,2020)-1900-10*(G1496-1))/10</f>
        <v>0.4</v>
      </c>
      <c r="I1496" s="20" t="n">
        <f aca="false">EXP(LN(INDEX(Pop_Inputs!$B$2:$N$29,MATCH(C1496,Pop_Inputs!$A$2:$A$29,0),G1496))*(1-H1496)+LN(INDEX(Pop_Inputs!$B$2:$N$29,MATCH(C1496,Pop_Inputs!$A$2:$A$29,0),G1496+1))*H1496)</f>
        <v>2914496.40173696</v>
      </c>
      <c r="J1496" s="20" t="n">
        <f aca="false">I1496/F1496</f>
        <v>1457248.20086848</v>
      </c>
      <c r="K1496" s="21" t="n">
        <f aca="false">D1496/(D1496+E1496)</f>
        <v>0.596273291925466</v>
      </c>
      <c r="L1496" s="21" t="n">
        <f aca="false">AVERAGEIFS($K$2:$K$2705,$B$2:$B$2705,B1496)</f>
        <v>0.49998230433013</v>
      </c>
      <c r="M1496" s="21" t="n">
        <f aca="false">K1496-L1496</f>
        <v>0.0962909875953354</v>
      </c>
      <c r="N1496" s="21" t="n">
        <f aca="false">LN(J1496)</f>
        <v>14.1920604212997</v>
      </c>
      <c r="O1496" s="21" t="n">
        <f aca="false">AVERAGEIFS($N$2:$N$2705,$B$2:$B$2705,B1496)</f>
        <v>13.6353069926616</v>
      </c>
      <c r="P1496" s="21" t="n">
        <f aca="false">N1496-O1496</f>
        <v>0.556753428638137</v>
      </c>
      <c r="Q1496" s="7" t="n">
        <v>0</v>
      </c>
      <c r="R1496" s="3" t="n">
        <f aca="false">IF(AND(Q1496=1,B1496-_xlfn.MINIFS($B$2:$B$2705,$A$2:$A$2705,A1496)&lt;10),1,0)</f>
        <v>0</v>
      </c>
      <c r="S1496" s="7" t="n">
        <v>0</v>
      </c>
      <c r="T1496" s="3" t="n">
        <f aca="false">_xlfn.MINIFS($B$2:$B$2705,$A$2:$A$2705,A1496)</f>
        <v>1901</v>
      </c>
      <c r="U1496" s="3" t="n">
        <f aca="false">B1496-T1496</f>
        <v>83</v>
      </c>
      <c r="V1496" s="3" t="str">
        <f aca="false">INDEX(Pop_Inputs!$Q$2:$Q$29,MATCH(C1496,Pop_Inputs!$A$2:$A$29,0))</f>
        <v>Midwest</v>
      </c>
      <c r="W1496" s="30"/>
      <c r="X1496" s="3" t="str">
        <f aca="false">IF(W1496="","",LN(W1496))</f>
        <v/>
      </c>
      <c r="Y1496" s="3" t="str">
        <f aca="false">IF(X1496="","",X1496-AVERAGEIFS($X$2:$X$2705,$B$2:$B$2705,B1496))</f>
        <v/>
      </c>
      <c r="Z1496" s="21" t="n">
        <f aca="false">P1496</f>
        <v>0.556753428638137</v>
      </c>
      <c r="AA1496" s="3" t="n">
        <f aca="false">R1496</f>
        <v>0</v>
      </c>
      <c r="AB1496" s="21" t="n">
        <f aca="false">P1496</f>
        <v>0.556753428638137</v>
      </c>
      <c r="AC1496" s="3" t="str">
        <f aca="false">Y1496</f>
        <v/>
      </c>
      <c r="AD1496" s="3" t="n">
        <f aca="false">R1496</f>
        <v>0</v>
      </c>
    </row>
    <row r="1497" customFormat="false" ht="15" hidden="false" customHeight="true" outlineLevel="0" collapsed="false">
      <c r="A1497" s="7" t="s">
        <v>65</v>
      </c>
      <c r="B1497" s="7" t="n">
        <v>1984</v>
      </c>
      <c r="C1497" s="7" t="s">
        <v>142</v>
      </c>
      <c r="D1497" s="7" t="n">
        <v>74</v>
      </c>
      <c r="E1497" s="7" t="n">
        <v>88</v>
      </c>
      <c r="F1497" s="3" t="n">
        <f aca="false">COUNTIFS($B$2:$B$2705,B1497,$C$2:$C$2705,C1497)</f>
        <v>2</v>
      </c>
      <c r="G1497" s="3" t="n">
        <f aca="false">MIN(INT((MIN(B1497,2020)-1900)/10)+1,12)</f>
        <v>9</v>
      </c>
      <c r="H1497" s="3" t="n">
        <f aca="false">(MIN(B1497,2020)-1900-10*(G1497-1))/10</f>
        <v>0.4</v>
      </c>
      <c r="I1497" s="20" t="n">
        <f aca="false">EXP(LN(INDEX(Pop_Inputs!$B$2:$N$29,MATCH(C1497,Pop_Inputs!$A$2:$A$29,0),G1497))*(1-H1497)+LN(INDEX(Pop_Inputs!$B$2:$N$29,MATCH(C1497,Pop_Inputs!$A$2:$A$29,0),G1497+1))*H1497)</f>
        <v>2914496.40173696</v>
      </c>
      <c r="J1497" s="20" t="n">
        <f aca="false">I1497/F1497</f>
        <v>1457248.20086848</v>
      </c>
      <c r="K1497" s="21" t="n">
        <f aca="false">D1497/(D1497+E1497)</f>
        <v>0.45679012345679</v>
      </c>
      <c r="L1497" s="21" t="n">
        <f aca="false">AVERAGEIFS($K$2:$K$2705,$B$2:$B$2705,B1497)</f>
        <v>0.49998230433013</v>
      </c>
      <c r="M1497" s="21" t="n">
        <f aca="false">K1497-L1497</f>
        <v>-0.0431921808733403</v>
      </c>
      <c r="N1497" s="21" t="n">
        <f aca="false">LN(J1497)</f>
        <v>14.1920604212997</v>
      </c>
      <c r="O1497" s="21" t="n">
        <f aca="false">AVERAGEIFS($N$2:$N$2705,$B$2:$B$2705,B1497)</f>
        <v>13.6353069926616</v>
      </c>
      <c r="P1497" s="21" t="n">
        <f aca="false">N1497-O1497</f>
        <v>0.556753428638137</v>
      </c>
      <c r="Q1497" s="7" t="n">
        <v>0</v>
      </c>
      <c r="R1497" s="3" t="n">
        <f aca="false">IF(AND(Q1497=1,B1497-_xlfn.MINIFS($B$2:$B$2705,$A$2:$A$2705,A1497)&lt;10),1,0)</f>
        <v>0</v>
      </c>
      <c r="S1497" s="7" t="n">
        <v>0</v>
      </c>
      <c r="T1497" s="3" t="n">
        <f aca="false">_xlfn.MINIFS($B$2:$B$2705,$A$2:$A$2705,A1497)</f>
        <v>1901</v>
      </c>
      <c r="U1497" s="3" t="n">
        <f aca="false">B1497-T1497</f>
        <v>83</v>
      </c>
      <c r="V1497" s="3" t="str">
        <f aca="false">INDEX(Pop_Inputs!$Q$2:$Q$29,MATCH(C1497,Pop_Inputs!$A$2:$A$29,0))</f>
        <v>Midwest</v>
      </c>
      <c r="W1497" s="30"/>
      <c r="X1497" s="3" t="str">
        <f aca="false">IF(W1497="","",LN(W1497))</f>
        <v/>
      </c>
      <c r="Y1497" s="3" t="str">
        <f aca="false">IF(X1497="","",X1497-AVERAGEIFS($X$2:$X$2705,$B$2:$B$2705,B1497))</f>
        <v/>
      </c>
      <c r="Z1497" s="21" t="n">
        <f aca="false">P1497</f>
        <v>0.556753428638137</v>
      </c>
      <c r="AA1497" s="3" t="n">
        <f aca="false">R1497</f>
        <v>0</v>
      </c>
      <c r="AB1497" s="21" t="n">
        <f aca="false">P1497</f>
        <v>0.556753428638137</v>
      </c>
      <c r="AC1497" s="3" t="str">
        <f aca="false">Y1497</f>
        <v/>
      </c>
      <c r="AD1497" s="3" t="n">
        <f aca="false">R1497</f>
        <v>0</v>
      </c>
    </row>
    <row r="1498" customFormat="false" ht="15" hidden="false" customHeight="true" outlineLevel="0" collapsed="false">
      <c r="A1498" s="7" t="s">
        <v>57</v>
      </c>
      <c r="B1498" s="7" t="n">
        <v>1984</v>
      </c>
      <c r="C1498" s="7" t="s">
        <v>143</v>
      </c>
      <c r="D1498" s="7" t="n">
        <v>70</v>
      </c>
      <c r="E1498" s="7" t="n">
        <v>92</v>
      </c>
      <c r="F1498" s="3" t="n">
        <f aca="false">COUNTIFS($B$2:$B$2705,B1498,$C$2:$C$2705,C1498)</f>
        <v>1</v>
      </c>
      <c r="G1498" s="3" t="n">
        <f aca="false">MIN(INT((MIN(B1498,2020)-1900)/10)+1,12)</f>
        <v>9</v>
      </c>
      <c r="H1498" s="3" t="n">
        <f aca="false">(MIN(B1498,2020)-1900-10*(G1498-1))/10</f>
        <v>0.4</v>
      </c>
      <c r="I1498" s="20" t="n">
        <f aca="false">EXP(LN(INDEX(Pop_Inputs!$B$2:$N$29,MATCH(C1498,Pop_Inputs!$A$2:$A$29,0),G1498))*(1-H1498)+LN(INDEX(Pop_Inputs!$B$2:$N$29,MATCH(C1498,Pop_Inputs!$A$2:$A$29,0),G1498+1))*H1498)</f>
        <v>376744.770346791</v>
      </c>
      <c r="J1498" s="20" t="n">
        <f aca="false">I1498/F1498</f>
        <v>376744.770346791</v>
      </c>
      <c r="K1498" s="21" t="n">
        <f aca="false">D1498/(D1498+E1498)</f>
        <v>0.432098765432099</v>
      </c>
      <c r="L1498" s="21" t="n">
        <f aca="false">AVERAGEIFS($K$2:$K$2705,$B$2:$B$2705,B1498)</f>
        <v>0.49998230433013</v>
      </c>
      <c r="M1498" s="21" t="n">
        <f aca="false">K1498-L1498</f>
        <v>-0.0678835388980317</v>
      </c>
      <c r="N1498" s="21" t="n">
        <f aca="false">LN(J1498)</f>
        <v>12.8393232354283</v>
      </c>
      <c r="O1498" s="21" t="n">
        <f aca="false">AVERAGEIFS($N$2:$N$2705,$B$2:$B$2705,B1498)</f>
        <v>13.6353069926616</v>
      </c>
      <c r="P1498" s="21" t="n">
        <f aca="false">N1498-O1498</f>
        <v>-0.795983757233232</v>
      </c>
      <c r="Q1498" s="7" t="n">
        <v>0</v>
      </c>
      <c r="R1498" s="3" t="n">
        <f aca="false">IF(AND(Q1498=1,B1498-_xlfn.MINIFS($B$2:$B$2705,$A$2:$A$2705,A1498)&lt;10),1,0)</f>
        <v>0</v>
      </c>
      <c r="S1498" s="7" t="n">
        <v>0</v>
      </c>
      <c r="T1498" s="3" t="n">
        <f aca="false">_xlfn.MINIFS($B$2:$B$2705,$A$2:$A$2705,A1498)</f>
        <v>1901</v>
      </c>
      <c r="U1498" s="3" t="n">
        <f aca="false">B1498-T1498</f>
        <v>83</v>
      </c>
      <c r="V1498" s="3" t="str">
        <f aca="false">INDEX(Pop_Inputs!$Q$2:$Q$29,MATCH(C1498,Pop_Inputs!$A$2:$A$29,0))</f>
        <v>Midwest</v>
      </c>
      <c r="W1498" s="30"/>
      <c r="X1498" s="3" t="str">
        <f aca="false">IF(W1498="","",LN(W1498))</f>
        <v/>
      </c>
      <c r="Y1498" s="3" t="str">
        <f aca="false">IF(X1498="","",X1498-AVERAGEIFS($X$2:$X$2705,$B$2:$B$2705,B1498))</f>
        <v/>
      </c>
      <c r="Z1498" s="21" t="n">
        <f aca="false">P1498</f>
        <v>-0.795983757233232</v>
      </c>
      <c r="AA1498" s="3" t="n">
        <f aca="false">R1498</f>
        <v>0</v>
      </c>
      <c r="AB1498" s="21" t="n">
        <f aca="false">P1498</f>
        <v>-0.795983757233232</v>
      </c>
      <c r="AC1498" s="3" t="str">
        <f aca="false">Y1498</f>
        <v/>
      </c>
      <c r="AD1498" s="3" t="n">
        <f aca="false">R1498</f>
        <v>0</v>
      </c>
    </row>
    <row r="1499" customFormat="false" ht="15" hidden="false" customHeight="true" outlineLevel="0" collapsed="false">
      <c r="A1499" s="7" t="s">
        <v>66</v>
      </c>
      <c r="B1499" s="7" t="n">
        <v>1984</v>
      </c>
      <c r="C1499" s="7" t="s">
        <v>151</v>
      </c>
      <c r="D1499" s="7" t="n">
        <v>75</v>
      </c>
      <c r="E1499" s="7" t="n">
        <v>87</v>
      </c>
      <c r="F1499" s="3" t="n">
        <f aca="false">COUNTIFS($B$2:$B$2705,B1499,$C$2:$C$2705,C1499)</f>
        <v>1</v>
      </c>
      <c r="G1499" s="3" t="n">
        <f aca="false">MIN(INT((MIN(B1499,2020)-1900)/10)+1,12)</f>
        <v>9</v>
      </c>
      <c r="H1499" s="3" t="n">
        <f aca="false">(MIN(B1499,2020)-1900-10*(G1499-1))/10</f>
        <v>0.4</v>
      </c>
      <c r="I1499" s="20" t="n">
        <f aca="false">EXP(LN(INDEX(Pop_Inputs!$B$2:$N$29,MATCH(C1499,Pop_Inputs!$A$2:$A$29,0),G1499))*(1-H1499)+LN(INDEX(Pop_Inputs!$B$2:$N$29,MATCH(C1499,Pop_Inputs!$A$2:$A$29,0),G1499+1))*H1499)</f>
        <v>545499.856045873</v>
      </c>
      <c r="J1499" s="20" t="n">
        <f aca="false">I1499/F1499</f>
        <v>545499.856045873</v>
      </c>
      <c r="K1499" s="21" t="n">
        <f aca="false">D1499/(D1499+E1499)</f>
        <v>0.462962962962963</v>
      </c>
      <c r="L1499" s="21" t="n">
        <f aca="false">AVERAGEIFS($K$2:$K$2705,$B$2:$B$2705,B1499)</f>
        <v>0.49998230433013</v>
      </c>
      <c r="M1499" s="21" t="n">
        <f aca="false">K1499-L1499</f>
        <v>-0.0370193413671674</v>
      </c>
      <c r="N1499" s="21" t="n">
        <f aca="false">LN(J1499)</f>
        <v>13.2094578203613</v>
      </c>
      <c r="O1499" s="21" t="n">
        <f aca="false">AVERAGEIFS($N$2:$N$2705,$B$2:$B$2705,B1499)</f>
        <v>13.6353069926616</v>
      </c>
      <c r="P1499" s="21" t="n">
        <f aca="false">N1499-O1499</f>
        <v>-0.425849172300255</v>
      </c>
      <c r="Q1499" s="7" t="n">
        <v>0</v>
      </c>
      <c r="R1499" s="3" t="n">
        <f aca="false">IF(AND(Q1499=1,B1499-_xlfn.MINIFS($B$2:$B$2705,$A$2:$A$2705,A1499)&lt;10),1,0)</f>
        <v>0</v>
      </c>
      <c r="S1499" s="7" t="n">
        <v>0</v>
      </c>
      <c r="T1499" s="3" t="n">
        <f aca="false">_xlfn.MINIFS($B$2:$B$2705,$A$2:$A$2705,A1499)</f>
        <v>1901</v>
      </c>
      <c r="U1499" s="3" t="n">
        <f aca="false">B1499-T1499</f>
        <v>83</v>
      </c>
      <c r="V1499" s="3" t="str">
        <f aca="false">INDEX(Pop_Inputs!$Q$2:$Q$29,MATCH(C1499,Pop_Inputs!$A$2:$A$29,0))</f>
        <v>Midwest</v>
      </c>
      <c r="W1499" s="30"/>
      <c r="X1499" s="3" t="str">
        <f aca="false">IF(W1499="","",LN(W1499))</f>
        <v/>
      </c>
      <c r="Y1499" s="3" t="str">
        <f aca="false">IF(X1499="","",X1499-AVERAGEIFS($X$2:$X$2705,$B$2:$B$2705,B1499))</f>
        <v/>
      </c>
      <c r="Z1499" s="21" t="n">
        <f aca="false">P1499</f>
        <v>-0.425849172300255</v>
      </c>
      <c r="AA1499" s="3" t="n">
        <f aca="false">R1499</f>
        <v>0</v>
      </c>
      <c r="AB1499" s="21" t="n">
        <f aca="false">P1499</f>
        <v>-0.425849172300255</v>
      </c>
      <c r="AC1499" s="3" t="str">
        <f aca="false">Y1499</f>
        <v/>
      </c>
      <c r="AD1499" s="3" t="n">
        <f aca="false">R1499</f>
        <v>0</v>
      </c>
    </row>
    <row r="1500" customFormat="false" ht="15" hidden="false" customHeight="true" outlineLevel="0" collapsed="false">
      <c r="A1500" s="7" t="s">
        <v>67</v>
      </c>
      <c r="B1500" s="7" t="n">
        <v>1984</v>
      </c>
      <c r="C1500" s="7" t="s">
        <v>152</v>
      </c>
      <c r="D1500" s="7" t="n">
        <v>104</v>
      </c>
      <c r="E1500" s="7" t="n">
        <v>58</v>
      </c>
      <c r="F1500" s="3" t="n">
        <f aca="false">COUNTIFS($B$2:$B$2705,B1500,$C$2:$C$2705,C1500)</f>
        <v>1</v>
      </c>
      <c r="G1500" s="3" t="n">
        <f aca="false">MIN(INT((MIN(B1500,2020)-1900)/10)+1,12)</f>
        <v>9</v>
      </c>
      <c r="H1500" s="3" t="n">
        <f aca="false">(MIN(B1500,2020)-1900-10*(G1500-1))/10</f>
        <v>0.4</v>
      </c>
      <c r="I1500" s="20" t="n">
        <f aca="false">EXP(LN(INDEX(Pop_Inputs!$B$2:$N$29,MATCH(C1500,Pop_Inputs!$A$2:$A$29,0),G1500))*(1-H1500)+LN(INDEX(Pop_Inputs!$B$2:$N$29,MATCH(C1500,Pop_Inputs!$A$2:$A$29,0),G1500+1))*H1500)</f>
        <v>1129878.97501219</v>
      </c>
      <c r="J1500" s="20" t="n">
        <f aca="false">I1500/F1500</f>
        <v>1129878.97501219</v>
      </c>
      <c r="K1500" s="21" t="n">
        <f aca="false">D1500/(D1500+E1500)</f>
        <v>0.641975308641975</v>
      </c>
      <c r="L1500" s="21" t="n">
        <f aca="false">AVERAGEIFS($K$2:$K$2705,$B$2:$B$2705,B1500)</f>
        <v>0.49998230433013</v>
      </c>
      <c r="M1500" s="21" t="n">
        <f aca="false">K1500-L1500</f>
        <v>0.141993004311845</v>
      </c>
      <c r="N1500" s="21" t="n">
        <f aca="false">LN(J1500)</f>
        <v>13.9376210831936</v>
      </c>
      <c r="O1500" s="21" t="n">
        <f aca="false">AVERAGEIFS($N$2:$N$2705,$B$2:$B$2705,B1500)</f>
        <v>13.6353069926616</v>
      </c>
      <c r="P1500" s="21" t="n">
        <f aca="false">N1500-O1500</f>
        <v>0.302314090532022</v>
      </c>
      <c r="Q1500" s="7" t="n">
        <v>0</v>
      </c>
      <c r="R1500" s="3" t="n">
        <f aca="false">IF(AND(Q1500=1,B1500-_xlfn.MINIFS($B$2:$B$2705,$A$2:$A$2705,A1500)&lt;10),1,0)</f>
        <v>0</v>
      </c>
      <c r="S1500" s="7" t="n">
        <v>0</v>
      </c>
      <c r="T1500" s="3" t="n">
        <f aca="false">_xlfn.MINIFS($B$2:$B$2705,$A$2:$A$2705,A1500)</f>
        <v>1901</v>
      </c>
      <c r="U1500" s="3" t="n">
        <f aca="false">B1500-T1500</f>
        <v>83</v>
      </c>
      <c r="V1500" s="3" t="str">
        <f aca="false">INDEX(Pop_Inputs!$Q$2:$Q$29,MATCH(C1500,Pop_Inputs!$A$2:$A$29,0))</f>
        <v>Midwest</v>
      </c>
      <c r="W1500" s="30"/>
      <c r="X1500" s="3" t="str">
        <f aca="false">IF(W1500="","",LN(W1500))</f>
        <v/>
      </c>
      <c r="Y1500" s="3" t="str">
        <f aca="false">IF(X1500="","",X1500-AVERAGEIFS($X$2:$X$2705,$B$2:$B$2705,B1500))</f>
        <v/>
      </c>
      <c r="Z1500" s="21" t="n">
        <f aca="false">P1500</f>
        <v>0.302314090532022</v>
      </c>
      <c r="AA1500" s="3" t="n">
        <f aca="false">R1500</f>
        <v>0</v>
      </c>
      <c r="AB1500" s="21" t="n">
        <f aca="false">P1500</f>
        <v>0.302314090532022</v>
      </c>
      <c r="AC1500" s="3" t="str">
        <f aca="false">Y1500</f>
        <v/>
      </c>
      <c r="AD1500" s="3" t="n">
        <f aca="false">R1500</f>
        <v>0</v>
      </c>
    </row>
    <row r="1501" customFormat="false" ht="15" hidden="false" customHeight="true" outlineLevel="0" collapsed="false">
      <c r="A1501" s="7" t="s">
        <v>74</v>
      </c>
      <c r="B1501" s="7" t="n">
        <v>1984</v>
      </c>
      <c r="C1501" s="7" t="s">
        <v>156</v>
      </c>
      <c r="D1501" s="7" t="n">
        <v>80</v>
      </c>
      <c r="E1501" s="7" t="n">
        <v>82</v>
      </c>
      <c r="F1501" s="3" t="n">
        <f aca="false">COUNTIFS($B$2:$B$2705,B1501,$C$2:$C$2705,C1501)</f>
        <v>1</v>
      </c>
      <c r="G1501" s="3" t="n">
        <f aca="false">MIN(INT((MIN(B1501,2020)-1900)/10)+1,12)</f>
        <v>9</v>
      </c>
      <c r="H1501" s="3" t="n">
        <f aca="false">(MIN(B1501,2020)-1900-10*(G1501-1))/10</f>
        <v>0.4</v>
      </c>
      <c r="I1501" s="20" t="n">
        <f aca="false">EXP(LN(INDEX(Pop_Inputs!$B$2:$N$29,MATCH(C1501,Pop_Inputs!$A$2:$A$29,0),G1501))*(1-H1501)+LN(INDEX(Pop_Inputs!$B$2:$N$29,MATCH(C1501,Pop_Inputs!$A$2:$A$29,0),G1501+1))*H1501)</f>
        <v>1609210.74798383</v>
      </c>
      <c r="J1501" s="20" t="n">
        <f aca="false">I1501/F1501</f>
        <v>1609210.74798383</v>
      </c>
      <c r="K1501" s="21" t="n">
        <f aca="false">D1501/(D1501+E1501)</f>
        <v>0.493827160493827</v>
      </c>
      <c r="L1501" s="21" t="n">
        <f aca="false">AVERAGEIFS($K$2:$K$2705,$B$2:$B$2705,B1501)</f>
        <v>0.49998230433013</v>
      </c>
      <c r="M1501" s="21" t="n">
        <f aca="false">K1501-L1501</f>
        <v>-0.00615514383630328</v>
      </c>
      <c r="N1501" s="21" t="n">
        <f aca="false">LN(J1501)</f>
        <v>14.2912543981206</v>
      </c>
      <c r="O1501" s="21" t="n">
        <f aca="false">AVERAGEIFS($N$2:$N$2705,$B$2:$B$2705,B1501)</f>
        <v>13.6353069926616</v>
      </c>
      <c r="P1501" s="21" t="n">
        <f aca="false">N1501-O1501</f>
        <v>0.655947405459047</v>
      </c>
      <c r="Q1501" s="7" t="n">
        <v>1</v>
      </c>
      <c r="R1501" s="3" t="n">
        <f aca="false">IF(AND(Q1501=1,B1501-_xlfn.MINIFS($B$2:$B$2705,$A$2:$A$2705,A1501)&lt;10),1,0)</f>
        <v>0</v>
      </c>
      <c r="S1501" s="7" t="n">
        <v>0</v>
      </c>
      <c r="T1501" s="3" t="n">
        <f aca="false">_xlfn.MINIFS($B$2:$B$2705,$A$2:$A$2705,A1501)</f>
        <v>1962</v>
      </c>
      <c r="U1501" s="3" t="n">
        <f aca="false">B1501-T1501</f>
        <v>22</v>
      </c>
      <c r="V1501" s="3" t="str">
        <f aca="false">INDEX(Pop_Inputs!$Q$2:$Q$29,MATCH(C1501,Pop_Inputs!$A$2:$A$29,0))</f>
        <v>South</v>
      </c>
      <c r="W1501" s="30"/>
      <c r="X1501" s="3" t="str">
        <f aca="false">IF(W1501="","",LN(W1501))</f>
        <v/>
      </c>
      <c r="Y1501" s="3" t="str">
        <f aca="false">IF(X1501="","",X1501-AVERAGEIFS($X$2:$X$2705,$B$2:$B$2705,B1501))</f>
        <v/>
      </c>
      <c r="Z1501" s="21" t="n">
        <f aca="false">P1501</f>
        <v>0.655947405459047</v>
      </c>
      <c r="AA1501" s="3" t="n">
        <f aca="false">R1501</f>
        <v>0</v>
      </c>
      <c r="AB1501" s="21" t="n">
        <f aca="false">P1501</f>
        <v>0.655947405459047</v>
      </c>
      <c r="AC1501" s="3" t="str">
        <f aca="false">Y1501</f>
        <v/>
      </c>
      <c r="AD1501" s="3" t="n">
        <f aca="false">R1501</f>
        <v>0</v>
      </c>
    </row>
    <row r="1502" customFormat="false" ht="15" hidden="false" customHeight="true" outlineLevel="0" collapsed="false">
      <c r="A1502" s="7" t="s">
        <v>76</v>
      </c>
      <c r="B1502" s="7" t="n">
        <v>1984</v>
      </c>
      <c r="C1502" s="7" t="s">
        <v>157</v>
      </c>
      <c r="D1502" s="7" t="n">
        <v>84</v>
      </c>
      <c r="E1502" s="7" t="n">
        <v>78</v>
      </c>
      <c r="F1502" s="3" t="n">
        <f aca="false">COUNTIFS($B$2:$B$2705,B1502,$C$2:$C$2705,C1502)</f>
        <v>1</v>
      </c>
      <c r="G1502" s="3" t="n">
        <f aca="false">MIN(INT((MIN(B1502,2020)-1900)/10)+1,12)</f>
        <v>9</v>
      </c>
      <c r="H1502" s="3" t="n">
        <f aca="false">(MIN(B1502,2020)-1900-10*(G1502-1))/10</f>
        <v>0.4</v>
      </c>
      <c r="I1502" s="20" t="n">
        <f aca="false">EXP(LN(INDEX(Pop_Inputs!$B$2:$N$29,MATCH(C1502,Pop_Inputs!$A$2:$A$29,0),G1502))*(1-H1502)+LN(INDEX(Pop_Inputs!$B$2:$N$29,MATCH(C1502,Pop_Inputs!$A$2:$A$29,0),G1502+1))*H1502)</f>
        <v>442907.741938914</v>
      </c>
      <c r="J1502" s="20" t="n">
        <f aca="false">I1502/F1502</f>
        <v>442907.741938914</v>
      </c>
      <c r="K1502" s="21" t="n">
        <f aca="false">D1502/(D1502+E1502)</f>
        <v>0.518518518518519</v>
      </c>
      <c r="L1502" s="21" t="n">
        <f aca="false">AVERAGEIFS($K$2:$K$2705,$B$2:$B$2705,B1502)</f>
        <v>0.49998230433013</v>
      </c>
      <c r="M1502" s="21" t="n">
        <f aca="false">K1502-L1502</f>
        <v>0.0185362141883881</v>
      </c>
      <c r="N1502" s="21" t="n">
        <f aca="false">LN(J1502)</f>
        <v>13.0011167698644</v>
      </c>
      <c r="O1502" s="21" t="n">
        <f aca="false">AVERAGEIFS($N$2:$N$2705,$B$2:$B$2705,B1502)</f>
        <v>13.6353069926616</v>
      </c>
      <c r="P1502" s="21" t="n">
        <f aca="false">N1502-O1502</f>
        <v>-0.634190222797136</v>
      </c>
      <c r="Q1502" s="7" t="n">
        <v>1</v>
      </c>
      <c r="R1502" s="3" t="n">
        <f aca="false">IF(AND(Q1502=1,B1502-_xlfn.MINIFS($B$2:$B$2705,$A$2:$A$2705,A1502)&lt;10),1,0)</f>
        <v>0</v>
      </c>
      <c r="S1502" s="7" t="n">
        <v>0</v>
      </c>
      <c r="T1502" s="3" t="n">
        <f aca="false">_xlfn.MINIFS($B$2:$B$2705,$A$2:$A$2705,A1502)</f>
        <v>1969</v>
      </c>
      <c r="U1502" s="3" t="n">
        <f aca="false">B1502-T1502</f>
        <v>15</v>
      </c>
      <c r="V1502" s="3" t="str">
        <f aca="false">INDEX(Pop_Inputs!$Q$2:$Q$29,MATCH(C1502,Pop_Inputs!$A$2:$A$29,0))</f>
        <v>Midwest</v>
      </c>
      <c r="W1502" s="30"/>
      <c r="X1502" s="3" t="str">
        <f aca="false">IF(W1502="","",LN(W1502))</f>
        <v/>
      </c>
      <c r="Y1502" s="3" t="str">
        <f aca="false">IF(X1502="","",X1502-AVERAGEIFS($X$2:$X$2705,$B$2:$B$2705,B1502))</f>
        <v/>
      </c>
      <c r="Z1502" s="21" t="n">
        <f aca="false">P1502</f>
        <v>-0.634190222797136</v>
      </c>
      <c r="AA1502" s="3" t="n">
        <f aca="false">R1502</f>
        <v>0</v>
      </c>
      <c r="AB1502" s="21" t="n">
        <f aca="false">P1502</f>
        <v>-0.634190222797136</v>
      </c>
      <c r="AC1502" s="3" t="str">
        <f aca="false">Y1502</f>
        <v/>
      </c>
      <c r="AD1502" s="3" t="n">
        <f aca="false">R1502</f>
        <v>0</v>
      </c>
    </row>
    <row r="1503" customFormat="false" ht="15" hidden="false" customHeight="true" outlineLevel="0" collapsed="false">
      <c r="A1503" s="7" t="s">
        <v>62</v>
      </c>
      <c r="B1503" s="7" t="n">
        <v>1984</v>
      </c>
      <c r="C1503" s="7" t="s">
        <v>148</v>
      </c>
      <c r="D1503" s="7" t="n">
        <v>79</v>
      </c>
      <c r="E1503" s="7" t="n">
        <v>83</v>
      </c>
      <c r="F1503" s="3" t="n">
        <f aca="false">COUNTIFS($B$2:$B$2705,B1503,$C$2:$C$2705,C1503)</f>
        <v>2</v>
      </c>
      <c r="G1503" s="3" t="n">
        <f aca="false">MIN(INT((MIN(B1503,2020)-1900)/10)+1,12)</f>
        <v>9</v>
      </c>
      <c r="H1503" s="3" t="n">
        <f aca="false">(MIN(B1503,2020)-1900-10*(G1503-1))/10</f>
        <v>0.4</v>
      </c>
      <c r="I1503" s="20" t="n">
        <f aca="false">EXP(LN(INDEX(Pop_Inputs!$B$2:$N$29,MATCH(C1503,Pop_Inputs!$A$2:$A$29,0),G1503))*(1-H1503)+LN(INDEX(Pop_Inputs!$B$2:$N$29,MATCH(C1503,Pop_Inputs!$A$2:$A$29,0),G1503+1))*H1503)</f>
        <v>3164304.7617008</v>
      </c>
      <c r="J1503" s="20" t="n">
        <f aca="false">I1503/F1503</f>
        <v>1582152.3808504</v>
      </c>
      <c r="K1503" s="21" t="n">
        <f aca="false">D1503/(D1503+E1503)</f>
        <v>0.487654320987654</v>
      </c>
      <c r="L1503" s="21" t="n">
        <f aca="false">AVERAGEIFS($K$2:$K$2705,$B$2:$B$2705,B1503)</f>
        <v>0.49998230433013</v>
      </c>
      <c r="M1503" s="21" t="n">
        <f aca="false">K1503-L1503</f>
        <v>-0.0123279833424761</v>
      </c>
      <c r="N1503" s="21" t="n">
        <f aca="false">LN(J1503)</f>
        <v>14.2742967443212</v>
      </c>
      <c r="O1503" s="21" t="n">
        <f aca="false">AVERAGEIFS($N$2:$N$2705,$B$2:$B$2705,B1503)</f>
        <v>13.6353069926616</v>
      </c>
      <c r="P1503" s="21" t="n">
        <f aca="false">N1503-O1503</f>
        <v>0.638989751659592</v>
      </c>
      <c r="Q1503" s="7" t="n">
        <v>0</v>
      </c>
      <c r="R1503" s="3" t="n">
        <f aca="false">IF(AND(Q1503=1,B1503-_xlfn.MINIFS($B$2:$B$2705,$A$2:$A$2705,A1503)&lt;10),1,0)</f>
        <v>0</v>
      </c>
      <c r="S1503" s="7" t="n">
        <v>0</v>
      </c>
      <c r="T1503" s="3" t="n">
        <f aca="false">_xlfn.MINIFS($B$2:$B$2705,$A$2:$A$2705,A1503)</f>
        <v>1901</v>
      </c>
      <c r="U1503" s="3" t="n">
        <f aca="false">B1503-T1503</f>
        <v>83</v>
      </c>
      <c r="V1503" s="3" t="str">
        <f aca="false">INDEX(Pop_Inputs!$Q$2:$Q$29,MATCH(C1503,Pop_Inputs!$A$2:$A$29,0))</f>
        <v>West</v>
      </c>
      <c r="W1503" s="30"/>
      <c r="X1503" s="3" t="str">
        <f aca="false">IF(W1503="","",LN(W1503))</f>
        <v/>
      </c>
      <c r="Y1503" s="3" t="str">
        <f aca="false">IF(X1503="","",X1503-AVERAGEIFS($X$2:$X$2705,$B$2:$B$2705,B1503))</f>
        <v/>
      </c>
      <c r="Z1503" s="21" t="n">
        <f aca="false">P1503</f>
        <v>0.638989751659592</v>
      </c>
      <c r="AA1503" s="3" t="n">
        <f aca="false">R1503</f>
        <v>0</v>
      </c>
      <c r="AB1503" s="21" t="n">
        <f aca="false">P1503</f>
        <v>0.638989751659592</v>
      </c>
      <c r="AC1503" s="3" t="str">
        <f aca="false">Y1503</f>
        <v/>
      </c>
      <c r="AD1503" s="3" t="n">
        <f aca="false">R1503</f>
        <v>0</v>
      </c>
    </row>
    <row r="1504" customFormat="false" ht="15" hidden="false" customHeight="true" outlineLevel="0" collapsed="false">
      <c r="A1504" s="7" t="s">
        <v>77</v>
      </c>
      <c r="B1504" s="7" t="n">
        <v>1984</v>
      </c>
      <c r="C1504" s="7" t="s">
        <v>158</v>
      </c>
      <c r="D1504" s="7" t="n">
        <v>67</v>
      </c>
      <c r="E1504" s="7" t="n">
        <v>94</v>
      </c>
      <c r="F1504" s="3" t="n">
        <f aca="false">COUNTIFS($B$2:$B$2705,B1504,$C$2:$C$2705,C1504)</f>
        <v>1</v>
      </c>
      <c r="G1504" s="3" t="n">
        <f aca="false">MIN(INT((MIN(B1504,2020)-1900)/10)+1,12)</f>
        <v>9</v>
      </c>
      <c r="H1504" s="3" t="n">
        <f aca="false">(MIN(B1504,2020)-1900-10*(G1504-1))/10</f>
        <v>0.4</v>
      </c>
      <c r="I1504" s="20" t="n">
        <f aca="false">EXP(LN(INDEX(Pop_Inputs!$B$2:$N$29,MATCH(C1504,Pop_Inputs!$A$2:$A$29,0),G1504))*(1-H1504)+LN(INDEX(Pop_Inputs!$B$2:$N$29,MATCH(C1504,Pop_Inputs!$A$2:$A$29,0),G1504+1))*H1504)</f>
        <v>632949.865948313</v>
      </c>
      <c r="J1504" s="20" t="n">
        <f aca="false">I1504/F1504</f>
        <v>632949.865948313</v>
      </c>
      <c r="K1504" s="21" t="n">
        <f aca="false">D1504/(D1504+E1504)</f>
        <v>0.416149068322981</v>
      </c>
      <c r="L1504" s="21" t="n">
        <f aca="false">AVERAGEIFS($K$2:$K$2705,$B$2:$B$2705,B1504)</f>
        <v>0.49998230433013</v>
      </c>
      <c r="M1504" s="21" t="n">
        <f aca="false">K1504-L1504</f>
        <v>-0.083833236007149</v>
      </c>
      <c r="N1504" s="21" t="n">
        <f aca="false">LN(J1504)</f>
        <v>13.3581464972762</v>
      </c>
      <c r="O1504" s="21" t="n">
        <f aca="false">AVERAGEIFS($N$2:$N$2705,$B$2:$B$2705,B1504)</f>
        <v>13.6353069926616</v>
      </c>
      <c r="P1504" s="21" t="n">
        <f aca="false">N1504-O1504</f>
        <v>-0.277160495385369</v>
      </c>
      <c r="Q1504" s="7" t="n">
        <v>1</v>
      </c>
      <c r="R1504" s="3" t="n">
        <f aca="false">IF(AND(Q1504=1,B1504-_xlfn.MINIFS($B$2:$B$2705,$A$2:$A$2705,A1504)&lt;10),1,0)</f>
        <v>0</v>
      </c>
      <c r="S1504" s="7" t="n">
        <v>0</v>
      </c>
      <c r="T1504" s="3" t="n">
        <f aca="false">_xlfn.MINIFS($B$2:$B$2705,$A$2:$A$2705,A1504)</f>
        <v>1969</v>
      </c>
      <c r="U1504" s="3" t="n">
        <f aca="false">B1504-T1504</f>
        <v>15</v>
      </c>
      <c r="V1504" s="3" t="str">
        <f aca="false">INDEX(Pop_Inputs!$Q$2:$Q$29,MATCH(C1504,Pop_Inputs!$A$2:$A$29,0))</f>
        <v>Midwest</v>
      </c>
      <c r="W1504" s="30"/>
      <c r="X1504" s="3" t="str">
        <f aca="false">IF(W1504="","",LN(W1504))</f>
        <v/>
      </c>
      <c r="Y1504" s="3" t="str">
        <f aca="false">IF(X1504="","",X1504-AVERAGEIFS($X$2:$X$2705,$B$2:$B$2705,B1504))</f>
        <v/>
      </c>
      <c r="Z1504" s="21" t="n">
        <f aca="false">P1504</f>
        <v>-0.277160495385369</v>
      </c>
      <c r="AA1504" s="3" t="n">
        <f aca="false">R1504</f>
        <v>0</v>
      </c>
      <c r="AB1504" s="21" t="n">
        <f aca="false">P1504</f>
        <v>-0.277160495385369</v>
      </c>
      <c r="AC1504" s="3" t="str">
        <f aca="false">Y1504</f>
        <v/>
      </c>
      <c r="AD1504" s="3" t="n">
        <f aca="false">R1504</f>
        <v>0</v>
      </c>
    </row>
    <row r="1505" customFormat="false" ht="15" hidden="false" customHeight="true" outlineLevel="0" collapsed="false">
      <c r="A1505" s="7" t="s">
        <v>68</v>
      </c>
      <c r="B1505" s="7" t="n">
        <v>1984</v>
      </c>
      <c r="C1505" s="7" t="s">
        <v>153</v>
      </c>
      <c r="D1505" s="7" t="n">
        <v>81</v>
      </c>
      <c r="E1505" s="7" t="n">
        <v>81</v>
      </c>
      <c r="F1505" s="3" t="n">
        <f aca="false">COUNTIFS($B$2:$B$2705,B1505,$C$2:$C$2705,C1505)</f>
        <v>1</v>
      </c>
      <c r="G1505" s="3" t="n">
        <f aca="false">MIN(INT((MIN(B1505,2020)-1900)/10)+1,12)</f>
        <v>9</v>
      </c>
      <c r="H1505" s="3" t="n">
        <f aca="false">(MIN(B1505,2020)-1900-10*(G1505-1))/10</f>
        <v>0.4</v>
      </c>
      <c r="I1505" s="20" t="n">
        <f aca="false">EXP(LN(INDEX(Pop_Inputs!$B$2:$N$29,MATCH(C1505,Pop_Inputs!$A$2:$A$29,0),G1505))*(1-H1505)+LN(INDEX(Pop_Inputs!$B$2:$N$29,MATCH(C1505,Pop_Inputs!$A$2:$A$29,0),G1505+1))*H1505)</f>
        <v>369921.658774124</v>
      </c>
      <c r="J1505" s="20" t="n">
        <f aca="false">I1505/F1505</f>
        <v>369921.658774124</v>
      </c>
      <c r="K1505" s="21" t="n">
        <f aca="false">D1505/(D1505+E1505)</f>
        <v>0.5</v>
      </c>
      <c r="L1505" s="21" t="n">
        <f aca="false">AVERAGEIFS($K$2:$K$2705,$B$2:$B$2705,B1505)</f>
        <v>0.49998230433013</v>
      </c>
      <c r="M1505" s="21" t="n">
        <f aca="false">K1505-L1505</f>
        <v>1.76956698695885E-005</v>
      </c>
      <c r="N1505" s="21" t="n">
        <f aca="false">LN(J1505)</f>
        <v>12.8210465291589</v>
      </c>
      <c r="O1505" s="21" t="n">
        <f aca="false">AVERAGEIFS($N$2:$N$2705,$B$2:$B$2705,B1505)</f>
        <v>13.6353069926616</v>
      </c>
      <c r="P1505" s="21" t="n">
        <f aca="false">N1505-O1505</f>
        <v>-0.814260463502681</v>
      </c>
      <c r="Q1505" s="7" t="n">
        <v>0</v>
      </c>
      <c r="R1505" s="3" t="n">
        <f aca="false">IF(AND(Q1505=1,B1505-_xlfn.MINIFS($B$2:$B$2705,$A$2:$A$2705,A1505)&lt;10),1,0)</f>
        <v>0</v>
      </c>
      <c r="S1505" s="7" t="n">
        <v>0</v>
      </c>
      <c r="T1505" s="3" t="n">
        <f aca="false">_xlfn.MINIFS($B$2:$B$2705,$A$2:$A$2705,A1505)</f>
        <v>1901</v>
      </c>
      <c r="U1505" s="3" t="n">
        <f aca="false">B1505-T1505</f>
        <v>83</v>
      </c>
      <c r="V1505" s="3" t="str">
        <f aca="false">INDEX(Pop_Inputs!$Q$2:$Q$29,MATCH(C1505,Pop_Inputs!$A$2:$A$29,0))</f>
        <v>Midwest</v>
      </c>
      <c r="W1505" s="30"/>
      <c r="X1505" s="3" t="str">
        <f aca="false">IF(W1505="","",LN(W1505))</f>
        <v/>
      </c>
      <c r="Y1505" s="3" t="str">
        <f aca="false">IF(X1505="","",X1505-AVERAGEIFS($X$2:$X$2705,$B$2:$B$2705,B1505))</f>
        <v/>
      </c>
      <c r="Z1505" s="21" t="n">
        <f aca="false">P1505</f>
        <v>-0.814260463502681</v>
      </c>
      <c r="AA1505" s="3" t="n">
        <f aca="false">R1505</f>
        <v>0</v>
      </c>
      <c r="AB1505" s="21" t="n">
        <f aca="false">P1505</f>
        <v>-0.814260463502681</v>
      </c>
      <c r="AC1505" s="3" t="str">
        <f aca="false">Y1505</f>
        <v/>
      </c>
      <c r="AD1505" s="3" t="n">
        <f aca="false">R1505</f>
        <v>0</v>
      </c>
    </row>
    <row r="1506" customFormat="false" ht="15" hidden="false" customHeight="true" outlineLevel="0" collapsed="false">
      <c r="A1506" s="7" t="s">
        <v>75</v>
      </c>
      <c r="B1506" s="7" t="n">
        <v>1984</v>
      </c>
      <c r="C1506" s="7" t="s">
        <v>154</v>
      </c>
      <c r="D1506" s="7" t="n">
        <v>90</v>
      </c>
      <c r="E1506" s="7" t="n">
        <v>72</v>
      </c>
      <c r="F1506" s="3" t="n">
        <f aca="false">COUNTIFS($B$2:$B$2705,B1506,$C$2:$C$2705,C1506)</f>
        <v>2</v>
      </c>
      <c r="G1506" s="3" t="n">
        <f aca="false">MIN(INT((MIN(B1506,2020)-1900)/10)+1,12)</f>
        <v>9</v>
      </c>
      <c r="H1506" s="3" t="n">
        <f aca="false">(MIN(B1506,2020)-1900-10*(G1506-1))/10</f>
        <v>0.4</v>
      </c>
      <c r="I1506" s="20" t="n">
        <f aca="false">EXP(LN(INDEX(Pop_Inputs!$B$2:$N$29,MATCH(C1506,Pop_Inputs!$A$2:$A$29,0),G1506))*(1-H1506)+LN(INDEX(Pop_Inputs!$B$2:$N$29,MATCH(C1506,Pop_Inputs!$A$2:$A$29,0),G1506+1))*H1506)</f>
        <v>7170960.32753707</v>
      </c>
      <c r="J1506" s="20" t="n">
        <f aca="false">I1506/F1506</f>
        <v>3585480.16376853</v>
      </c>
      <c r="K1506" s="21" t="n">
        <f aca="false">D1506/(D1506+E1506)</f>
        <v>0.555555555555556</v>
      </c>
      <c r="L1506" s="21" t="n">
        <f aca="false">AVERAGEIFS($K$2:$K$2705,$B$2:$B$2705,B1506)</f>
        <v>0.49998230433013</v>
      </c>
      <c r="M1506" s="21" t="n">
        <f aca="false">K1506-L1506</f>
        <v>0.0555732512254252</v>
      </c>
      <c r="N1506" s="21" t="n">
        <f aca="false">LN(J1506)</f>
        <v>15.0924029599421</v>
      </c>
      <c r="O1506" s="21" t="n">
        <f aca="false">AVERAGEIFS($N$2:$N$2705,$B$2:$B$2705,B1506)</f>
        <v>13.6353069926616</v>
      </c>
      <c r="P1506" s="21" t="n">
        <f aca="false">N1506-O1506</f>
        <v>1.45709596728053</v>
      </c>
      <c r="Q1506" s="7" t="n">
        <v>1</v>
      </c>
      <c r="R1506" s="3" t="n">
        <f aca="false">IF(AND(Q1506=1,B1506-_xlfn.MINIFS($B$2:$B$2705,$A$2:$A$2705,A1506)&lt;10),1,0)</f>
        <v>0</v>
      </c>
      <c r="S1506" s="7" t="n">
        <v>0</v>
      </c>
      <c r="T1506" s="3" t="n">
        <f aca="false">_xlfn.MINIFS($B$2:$B$2705,$A$2:$A$2705,A1506)</f>
        <v>1962</v>
      </c>
      <c r="U1506" s="3" t="n">
        <f aca="false">B1506-T1506</f>
        <v>22</v>
      </c>
      <c r="V1506" s="3" t="str">
        <f aca="false">INDEX(Pop_Inputs!$Q$2:$Q$29,MATCH(C1506,Pop_Inputs!$A$2:$A$29,0))</f>
        <v>Northeast</v>
      </c>
      <c r="W1506" s="30"/>
      <c r="X1506" s="3" t="str">
        <f aca="false">IF(W1506="","",LN(W1506))</f>
        <v/>
      </c>
      <c r="Y1506" s="3" t="str">
        <f aca="false">IF(X1506="","",X1506-AVERAGEIFS($X$2:$X$2705,$B$2:$B$2705,B1506))</f>
        <v/>
      </c>
      <c r="Z1506" s="21" t="n">
        <f aca="false">P1506</f>
        <v>1.45709596728053</v>
      </c>
      <c r="AA1506" s="3" t="n">
        <f aca="false">R1506</f>
        <v>0</v>
      </c>
      <c r="AB1506" s="21" t="n">
        <f aca="false">P1506</f>
        <v>1.45709596728053</v>
      </c>
      <c r="AC1506" s="3" t="str">
        <f aca="false">Y1506</f>
        <v/>
      </c>
      <c r="AD1506" s="3" t="n">
        <f aca="false">R1506</f>
        <v>0</v>
      </c>
    </row>
    <row r="1507" customFormat="false" ht="15" hidden="false" customHeight="true" outlineLevel="0" collapsed="false">
      <c r="A1507" s="7" t="s">
        <v>70</v>
      </c>
      <c r="B1507" s="7" t="n">
        <v>1984</v>
      </c>
      <c r="C1507" s="7" t="s">
        <v>154</v>
      </c>
      <c r="D1507" s="7" t="n">
        <v>87</v>
      </c>
      <c r="E1507" s="7" t="n">
        <v>75</v>
      </c>
      <c r="F1507" s="3" t="n">
        <f aca="false">COUNTIFS($B$2:$B$2705,B1507,$C$2:$C$2705,C1507)</f>
        <v>2</v>
      </c>
      <c r="G1507" s="3" t="n">
        <f aca="false">MIN(INT((MIN(B1507,2020)-1900)/10)+1,12)</f>
        <v>9</v>
      </c>
      <c r="H1507" s="3" t="n">
        <f aca="false">(MIN(B1507,2020)-1900-10*(G1507-1))/10</f>
        <v>0.4</v>
      </c>
      <c r="I1507" s="20" t="n">
        <f aca="false">EXP(LN(INDEX(Pop_Inputs!$B$2:$N$29,MATCH(C1507,Pop_Inputs!$A$2:$A$29,0),G1507))*(1-H1507)+LN(INDEX(Pop_Inputs!$B$2:$N$29,MATCH(C1507,Pop_Inputs!$A$2:$A$29,0),G1507+1))*H1507)</f>
        <v>7170960.32753707</v>
      </c>
      <c r="J1507" s="20" t="n">
        <f aca="false">I1507/F1507</f>
        <v>3585480.16376853</v>
      </c>
      <c r="K1507" s="21" t="n">
        <f aca="false">D1507/(D1507+E1507)</f>
        <v>0.537037037037037</v>
      </c>
      <c r="L1507" s="21" t="n">
        <f aca="false">AVERAGEIFS($K$2:$K$2705,$B$2:$B$2705,B1507)</f>
        <v>0.49998230433013</v>
      </c>
      <c r="M1507" s="21" t="n">
        <f aca="false">K1507-L1507</f>
        <v>0.0370547327069067</v>
      </c>
      <c r="N1507" s="21" t="n">
        <f aca="false">LN(J1507)</f>
        <v>15.0924029599421</v>
      </c>
      <c r="O1507" s="21" t="n">
        <f aca="false">AVERAGEIFS($N$2:$N$2705,$B$2:$B$2705,B1507)</f>
        <v>13.6353069926616</v>
      </c>
      <c r="P1507" s="21" t="n">
        <f aca="false">N1507-O1507</f>
        <v>1.45709596728053</v>
      </c>
      <c r="Q1507" s="7" t="n">
        <v>0</v>
      </c>
      <c r="R1507" s="3" t="n">
        <f aca="false">IF(AND(Q1507=1,B1507-_xlfn.MINIFS($B$2:$B$2705,$A$2:$A$2705,A1507)&lt;10),1,0)</f>
        <v>0</v>
      </c>
      <c r="S1507" s="7" t="n">
        <v>1</v>
      </c>
      <c r="T1507" s="3" t="n">
        <f aca="false">_xlfn.MINIFS($B$2:$B$2705,$A$2:$A$2705,A1507)</f>
        <v>1903</v>
      </c>
      <c r="U1507" s="3" t="n">
        <f aca="false">B1507-T1507</f>
        <v>81</v>
      </c>
      <c r="V1507" s="3" t="str">
        <f aca="false">INDEX(Pop_Inputs!$Q$2:$Q$29,MATCH(C1507,Pop_Inputs!$A$2:$A$29,0))</f>
        <v>Northeast</v>
      </c>
      <c r="W1507" s="30"/>
      <c r="X1507" s="3" t="str">
        <f aca="false">IF(W1507="","",LN(W1507))</f>
        <v/>
      </c>
      <c r="Y1507" s="3" t="str">
        <f aca="false">IF(X1507="","",X1507-AVERAGEIFS($X$2:$X$2705,$B$2:$B$2705,B1507))</f>
        <v/>
      </c>
      <c r="Z1507" s="21" t="n">
        <f aca="false">P1507</f>
        <v>1.45709596728053</v>
      </c>
      <c r="AA1507" s="3" t="n">
        <f aca="false">R1507</f>
        <v>0</v>
      </c>
      <c r="AB1507" s="21" t="n">
        <f aca="false">P1507</f>
        <v>1.45709596728053</v>
      </c>
      <c r="AC1507" s="3" t="str">
        <f aca="false">Y1507</f>
        <v/>
      </c>
      <c r="AD1507" s="3" t="n">
        <f aca="false">R1507</f>
        <v>0</v>
      </c>
    </row>
    <row r="1508" customFormat="false" ht="15" hidden="false" customHeight="true" outlineLevel="0" collapsed="false">
      <c r="A1508" s="7" t="s">
        <v>69</v>
      </c>
      <c r="B1508" s="7" t="n">
        <v>1984</v>
      </c>
      <c r="C1508" s="7" t="s">
        <v>253</v>
      </c>
      <c r="D1508" s="7" t="n">
        <v>77</v>
      </c>
      <c r="E1508" s="7" t="n">
        <v>85</v>
      </c>
      <c r="F1508" s="3" t="n">
        <f aca="false">COUNTIFS($B$2:$B$2705,B1508,$C$2:$C$2705,C1508)</f>
        <v>1</v>
      </c>
      <c r="G1508" s="3" t="n">
        <f aca="false">MIN(INT((MIN(B1508,2020)-1900)/10)+1,12)</f>
        <v>9</v>
      </c>
      <c r="H1508" s="3" t="n">
        <f aca="false">(MIN(B1508,2020)-1900-10*(G1508-1))/10</f>
        <v>0.4</v>
      </c>
      <c r="I1508" s="20" t="n">
        <f aca="false">EXP(LN(INDEX(Pop_Inputs!$B$2:$N$29,MATCH(C1508,Pop_Inputs!$A$2:$A$29,0),G1508))*(1-H1508)+LN(INDEX(Pop_Inputs!$B$2:$N$29,MATCH(C1508,Pop_Inputs!$A$2:$A$29,0),G1508+1))*H1508)</f>
        <v>352134.744945725</v>
      </c>
      <c r="J1508" s="20" t="n">
        <f aca="false">I1508/F1508</f>
        <v>352134.744945725</v>
      </c>
      <c r="K1508" s="21" t="n">
        <f aca="false">D1508/(D1508+E1508)</f>
        <v>0.475308641975309</v>
      </c>
      <c r="L1508" s="21" t="n">
        <f aca="false">AVERAGEIFS($K$2:$K$2705,$B$2:$B$2705,B1508)</f>
        <v>0.49998230433013</v>
      </c>
      <c r="M1508" s="21" t="n">
        <f aca="false">K1508-L1508</f>
        <v>-0.0246736623548218</v>
      </c>
      <c r="N1508" s="21" t="n">
        <f aca="false">LN(J1508)</f>
        <v>12.771769179473</v>
      </c>
      <c r="O1508" s="21" t="n">
        <f aca="false">AVERAGEIFS($N$2:$N$2705,$B$2:$B$2705,B1508)</f>
        <v>13.6353069926616</v>
      </c>
      <c r="P1508" s="21" t="n">
        <f aca="false">N1508-O1508</f>
        <v>-0.863537813188591</v>
      </c>
      <c r="Q1508" s="7" t="n">
        <v>0</v>
      </c>
      <c r="R1508" s="3" t="n">
        <f aca="false">IF(AND(Q1508=1,B1508-_xlfn.MINIFS($B$2:$B$2705,$A$2:$A$2705,A1508)&lt;10),1,0)</f>
        <v>0</v>
      </c>
      <c r="S1508" s="7" t="n">
        <v>0</v>
      </c>
      <c r="T1508" s="3" t="n">
        <f aca="false">_xlfn.MINIFS($B$2:$B$2705,$A$2:$A$2705,A1508)</f>
        <v>1901</v>
      </c>
      <c r="U1508" s="3" t="n">
        <f aca="false">B1508-T1508</f>
        <v>83</v>
      </c>
      <c r="V1508" s="3" t="str">
        <f aca="false">INDEX(Pop_Inputs!$Q$2:$Q$29,MATCH(C1508,Pop_Inputs!$A$2:$A$29,0))</f>
        <v>West</v>
      </c>
      <c r="W1508" s="30"/>
      <c r="X1508" s="3" t="str">
        <f aca="false">IF(W1508="","",LN(W1508))</f>
        <v/>
      </c>
      <c r="Y1508" s="3" t="str">
        <f aca="false">IF(X1508="","",X1508-AVERAGEIFS($X$2:$X$2705,$B$2:$B$2705,B1508))</f>
        <v/>
      </c>
      <c r="Z1508" s="21" t="n">
        <f aca="false">P1508</f>
        <v>-0.863537813188591</v>
      </c>
      <c r="AA1508" s="3" t="n">
        <f aca="false">R1508</f>
        <v>0</v>
      </c>
      <c r="AB1508" s="21" t="n">
        <f aca="false">P1508</f>
        <v>-0.863537813188591</v>
      </c>
      <c r="AC1508" s="3" t="str">
        <f aca="false">Y1508</f>
        <v/>
      </c>
      <c r="AD1508" s="3" t="n">
        <f aca="false">R1508</f>
        <v>0</v>
      </c>
    </row>
    <row r="1509" customFormat="false" ht="15" hidden="false" customHeight="true" outlineLevel="0" collapsed="false">
      <c r="A1509" s="7" t="s">
        <v>60</v>
      </c>
      <c r="B1509" s="7" t="n">
        <v>1984</v>
      </c>
      <c r="C1509" s="7" t="s">
        <v>146</v>
      </c>
      <c r="D1509" s="7" t="n">
        <v>81</v>
      </c>
      <c r="E1509" s="7" t="n">
        <v>81</v>
      </c>
      <c r="F1509" s="3" t="n">
        <f aca="false">COUNTIFS($B$2:$B$2705,B1509,$C$2:$C$2705,C1509)</f>
        <v>1</v>
      </c>
      <c r="G1509" s="3" t="n">
        <f aca="false">MIN(INT((MIN(B1509,2020)-1900)/10)+1,12)</f>
        <v>9</v>
      </c>
      <c r="H1509" s="3" t="n">
        <f aca="false">(MIN(B1509,2020)-1900-10*(G1509-1))/10</f>
        <v>0.4</v>
      </c>
      <c r="I1509" s="20" t="n">
        <f aca="false">EXP(LN(INDEX(Pop_Inputs!$B$2:$N$29,MATCH(C1509,Pop_Inputs!$A$2:$A$29,0),G1509))*(1-H1509)+LN(INDEX(Pop_Inputs!$B$2:$N$29,MATCH(C1509,Pop_Inputs!$A$2:$A$29,0),G1509+1))*H1509)</f>
        <v>1646382.78383167</v>
      </c>
      <c r="J1509" s="20" t="n">
        <f aca="false">I1509/F1509</f>
        <v>1646382.78383167</v>
      </c>
      <c r="K1509" s="21" t="n">
        <f aca="false">D1509/(D1509+E1509)</f>
        <v>0.5</v>
      </c>
      <c r="L1509" s="21" t="n">
        <f aca="false">AVERAGEIFS($K$2:$K$2705,$B$2:$B$2705,B1509)</f>
        <v>0.49998230433013</v>
      </c>
      <c r="M1509" s="21" t="n">
        <f aca="false">K1509-L1509</f>
        <v>1.76956698695885E-005</v>
      </c>
      <c r="N1509" s="21" t="n">
        <f aca="false">LN(J1509)</f>
        <v>14.3140911871509</v>
      </c>
      <c r="O1509" s="21" t="n">
        <f aca="false">AVERAGEIFS($N$2:$N$2705,$B$2:$B$2705,B1509)</f>
        <v>13.6353069926616</v>
      </c>
      <c r="P1509" s="21" t="n">
        <f aca="false">N1509-O1509</f>
        <v>0.678784194489305</v>
      </c>
      <c r="Q1509" s="7" t="n">
        <v>0</v>
      </c>
      <c r="R1509" s="3" t="n">
        <f aca="false">IF(AND(Q1509=1,B1509-_xlfn.MINIFS($B$2:$B$2705,$A$2:$A$2705,A1509)&lt;10),1,0)</f>
        <v>0</v>
      </c>
      <c r="S1509" s="7" t="n">
        <v>0</v>
      </c>
      <c r="T1509" s="3" t="n">
        <f aca="false">_xlfn.MINIFS($B$2:$B$2705,$A$2:$A$2705,A1509)</f>
        <v>1901</v>
      </c>
      <c r="U1509" s="3" t="n">
        <f aca="false">B1509-T1509</f>
        <v>83</v>
      </c>
      <c r="V1509" s="3" t="str">
        <f aca="false">INDEX(Pop_Inputs!$Q$2:$Q$29,MATCH(C1509,Pop_Inputs!$A$2:$A$29,0))</f>
        <v>Northeast</v>
      </c>
      <c r="W1509" s="30"/>
      <c r="X1509" s="3" t="str">
        <f aca="false">IF(W1509="","",LN(W1509))</f>
        <v/>
      </c>
      <c r="Y1509" s="3" t="str">
        <f aca="false">IF(X1509="","",X1509-AVERAGEIFS($X$2:$X$2705,$B$2:$B$2705,B1509))</f>
        <v/>
      </c>
      <c r="Z1509" s="21" t="n">
        <f aca="false">P1509</f>
        <v>0.678784194489305</v>
      </c>
      <c r="AA1509" s="3" t="n">
        <f aca="false">R1509</f>
        <v>0</v>
      </c>
      <c r="AB1509" s="21" t="n">
        <f aca="false">P1509</f>
        <v>0.678784194489305</v>
      </c>
      <c r="AC1509" s="3" t="str">
        <f aca="false">Y1509</f>
        <v/>
      </c>
      <c r="AD1509" s="3" t="n">
        <f aca="false">R1509</f>
        <v>0</v>
      </c>
    </row>
    <row r="1510" customFormat="false" ht="15" hidden="false" customHeight="true" outlineLevel="0" collapsed="false">
      <c r="A1510" s="7" t="s">
        <v>58</v>
      </c>
      <c r="B1510" s="7" t="n">
        <v>1984</v>
      </c>
      <c r="C1510" s="7" t="s">
        <v>144</v>
      </c>
      <c r="D1510" s="7" t="n">
        <v>75</v>
      </c>
      <c r="E1510" s="7" t="n">
        <v>87</v>
      </c>
      <c r="F1510" s="3" t="n">
        <f aca="false">COUNTIFS($B$2:$B$2705,B1510,$C$2:$C$2705,C1510)</f>
        <v>1</v>
      </c>
      <c r="G1510" s="3" t="n">
        <f aca="false">MIN(INT((MIN(B1510,2020)-1900)/10)+1,12)</f>
        <v>9</v>
      </c>
      <c r="H1510" s="3" t="n">
        <f aca="false">(MIN(B1510,2020)-1900-10*(G1510-1))/10</f>
        <v>0.4</v>
      </c>
      <c r="I1510" s="20" t="n">
        <f aca="false">EXP(LN(INDEX(Pop_Inputs!$B$2:$N$29,MATCH(C1510,Pop_Inputs!$A$2:$A$29,0),G1510))*(1-H1510)+LN(INDEX(Pop_Inputs!$B$2:$N$29,MATCH(C1510,Pop_Inputs!$A$2:$A$29,0),G1510+1))*H1510)</f>
        <v>401425.796624525</v>
      </c>
      <c r="J1510" s="20" t="n">
        <f aca="false">I1510/F1510</f>
        <v>401425.796624525</v>
      </c>
      <c r="K1510" s="21" t="n">
        <f aca="false">D1510/(D1510+E1510)</f>
        <v>0.462962962962963</v>
      </c>
      <c r="L1510" s="21" t="n">
        <f aca="false">AVERAGEIFS($K$2:$K$2705,$B$2:$B$2705,B1510)</f>
        <v>0.49998230433013</v>
      </c>
      <c r="M1510" s="21" t="n">
        <f aca="false">K1510-L1510</f>
        <v>-0.0370193413671674</v>
      </c>
      <c r="N1510" s="21" t="n">
        <f aca="false">LN(J1510)</f>
        <v>12.9027779799075</v>
      </c>
      <c r="O1510" s="21" t="n">
        <f aca="false">AVERAGEIFS($N$2:$N$2705,$B$2:$B$2705,B1510)</f>
        <v>13.6353069926616</v>
      </c>
      <c r="P1510" s="21" t="n">
        <f aca="false">N1510-O1510</f>
        <v>-0.732529012754096</v>
      </c>
      <c r="Q1510" s="7" t="n">
        <v>0</v>
      </c>
      <c r="R1510" s="3" t="n">
        <f aca="false">IF(AND(Q1510=1,B1510-_xlfn.MINIFS($B$2:$B$2705,$A$2:$A$2705,A1510)&lt;10),1,0)</f>
        <v>0</v>
      </c>
      <c r="S1510" s="7" t="n">
        <v>0</v>
      </c>
      <c r="T1510" s="3" t="n">
        <f aca="false">_xlfn.MINIFS($B$2:$B$2705,$A$2:$A$2705,A1510)</f>
        <v>1901</v>
      </c>
      <c r="U1510" s="3" t="n">
        <f aca="false">B1510-T1510</f>
        <v>83</v>
      </c>
      <c r="V1510" s="3" t="str">
        <f aca="false">INDEX(Pop_Inputs!$Q$2:$Q$29,MATCH(C1510,Pop_Inputs!$A$2:$A$29,0))</f>
        <v>Northeast</v>
      </c>
      <c r="W1510" s="30"/>
      <c r="X1510" s="3" t="str">
        <f aca="false">IF(W1510="","",LN(W1510))</f>
        <v/>
      </c>
      <c r="Y1510" s="3" t="str">
        <f aca="false">IF(X1510="","",X1510-AVERAGEIFS($X$2:$X$2705,$B$2:$B$2705,B1510))</f>
        <v/>
      </c>
      <c r="Z1510" s="21" t="n">
        <f aca="false">P1510</f>
        <v>-0.732529012754096</v>
      </c>
      <c r="AA1510" s="3" t="n">
        <f aca="false">R1510</f>
        <v>0</v>
      </c>
      <c r="AB1510" s="21" t="n">
        <f aca="false">P1510</f>
        <v>-0.732529012754096</v>
      </c>
      <c r="AC1510" s="3" t="str">
        <f aca="false">Y1510</f>
        <v/>
      </c>
      <c r="AD1510" s="3" t="n">
        <f aca="false">R1510</f>
        <v>0</v>
      </c>
    </row>
    <row r="1511" customFormat="false" ht="15" hidden="false" customHeight="true" outlineLevel="0" collapsed="false">
      <c r="A1511" s="7" t="s">
        <v>78</v>
      </c>
      <c r="B1511" s="7" t="n">
        <v>1984</v>
      </c>
      <c r="C1511" s="7" t="s">
        <v>159</v>
      </c>
      <c r="D1511" s="7" t="n">
        <v>92</v>
      </c>
      <c r="E1511" s="7" t="n">
        <v>70</v>
      </c>
      <c r="F1511" s="3" t="n">
        <f aca="false">COUNTIFS($B$2:$B$2705,B1511,$C$2:$C$2705,C1511)</f>
        <v>1</v>
      </c>
      <c r="G1511" s="3" t="n">
        <f aca="false">MIN(INT((MIN(B1511,2020)-1900)/10)+1,12)</f>
        <v>9</v>
      </c>
      <c r="H1511" s="3" t="n">
        <f aca="false">(MIN(B1511,2020)-1900-10*(G1511-1))/10</f>
        <v>0.4</v>
      </c>
      <c r="I1511" s="20" t="n">
        <f aca="false">EXP(LN(INDEX(Pop_Inputs!$B$2:$N$29,MATCH(C1511,Pop_Inputs!$A$2:$A$29,0),G1511))*(1-H1511)+LN(INDEX(Pop_Inputs!$B$2:$N$29,MATCH(C1511,Pop_Inputs!$A$2:$A$29,0),G1511+1))*H1511)</f>
        <v>962897.568812943</v>
      </c>
      <c r="J1511" s="20" t="n">
        <f aca="false">I1511/F1511</f>
        <v>962897.568812943</v>
      </c>
      <c r="K1511" s="21" t="n">
        <f aca="false">D1511/(D1511+E1511)</f>
        <v>0.567901234567901</v>
      </c>
      <c r="L1511" s="21" t="n">
        <f aca="false">AVERAGEIFS($K$2:$K$2705,$B$2:$B$2705,B1511)</f>
        <v>0.49998230433013</v>
      </c>
      <c r="M1511" s="21" t="n">
        <f aca="false">K1511-L1511</f>
        <v>0.0679189302377708</v>
      </c>
      <c r="N1511" s="21" t="n">
        <f aca="false">LN(J1511)</f>
        <v>13.7777023183658</v>
      </c>
      <c r="O1511" s="21" t="n">
        <f aca="false">AVERAGEIFS($N$2:$N$2705,$B$2:$B$2705,B1511)</f>
        <v>13.6353069926616</v>
      </c>
      <c r="P1511" s="21" t="n">
        <f aca="false">N1511-O1511</f>
        <v>0.142395325704275</v>
      </c>
      <c r="Q1511" s="7" t="n">
        <v>1</v>
      </c>
      <c r="R1511" s="3" t="n">
        <f aca="false">IF(AND(Q1511=1,B1511-_xlfn.MINIFS($B$2:$B$2705,$A$2:$A$2705,A1511)&lt;10),1,0)</f>
        <v>0</v>
      </c>
      <c r="S1511" s="7" t="n">
        <v>0</v>
      </c>
      <c r="T1511" s="3" t="n">
        <f aca="false">_xlfn.MINIFS($B$2:$B$2705,$A$2:$A$2705,A1511)</f>
        <v>1969</v>
      </c>
      <c r="U1511" s="3" t="n">
        <f aca="false">B1511-T1511</f>
        <v>15</v>
      </c>
      <c r="V1511" s="3" t="str">
        <f aca="false">INDEX(Pop_Inputs!$Q$2:$Q$29,MATCH(C1511,Pop_Inputs!$A$2:$A$29,0))</f>
        <v>West</v>
      </c>
      <c r="W1511" s="30"/>
      <c r="X1511" s="3" t="str">
        <f aca="false">IF(W1511="","",LN(W1511))</f>
        <v/>
      </c>
      <c r="Y1511" s="3" t="str">
        <f aca="false">IF(X1511="","",X1511-AVERAGEIFS($X$2:$X$2705,$B$2:$B$2705,B1511))</f>
        <v/>
      </c>
      <c r="Z1511" s="21" t="n">
        <f aca="false">P1511</f>
        <v>0.142395325704275</v>
      </c>
      <c r="AA1511" s="3" t="n">
        <f aca="false">R1511</f>
        <v>0</v>
      </c>
      <c r="AB1511" s="21" t="n">
        <f aca="false">P1511</f>
        <v>0.142395325704275</v>
      </c>
      <c r="AC1511" s="3" t="str">
        <f aca="false">Y1511</f>
        <v/>
      </c>
      <c r="AD1511" s="3" t="n">
        <f aca="false">R1511</f>
        <v>0</v>
      </c>
    </row>
    <row r="1512" customFormat="false" ht="15" hidden="false" customHeight="true" outlineLevel="0" collapsed="false">
      <c r="A1512" s="7" t="s">
        <v>80</v>
      </c>
      <c r="B1512" s="7" t="n">
        <v>1984</v>
      </c>
      <c r="C1512" s="7" t="s">
        <v>161</v>
      </c>
      <c r="D1512" s="7" t="n">
        <v>74</v>
      </c>
      <c r="E1512" s="7" t="n">
        <v>88</v>
      </c>
      <c r="F1512" s="3" t="n">
        <f aca="false">COUNTIFS($B$2:$B$2705,B1512,$C$2:$C$2705,C1512)</f>
        <v>1</v>
      </c>
      <c r="G1512" s="3" t="n">
        <f aca="false">MIN(INT((MIN(B1512,2020)-1900)/10)+1,12)</f>
        <v>9</v>
      </c>
      <c r="H1512" s="3" t="n">
        <f aca="false">(MIN(B1512,2020)-1900-10*(G1512-1))/10</f>
        <v>0.4</v>
      </c>
      <c r="I1512" s="20" t="n">
        <f aca="false">EXP(LN(INDEX(Pop_Inputs!$B$2:$N$29,MATCH(C1512,Pop_Inputs!$A$2:$A$29,0),G1512))*(1-H1512)+LN(INDEX(Pop_Inputs!$B$2:$N$29,MATCH(C1512,Pop_Inputs!$A$2:$A$29,0),G1512+1))*H1512)</f>
        <v>502692.005592272</v>
      </c>
      <c r="J1512" s="20" t="n">
        <f aca="false">I1512/F1512</f>
        <v>502692.005592272</v>
      </c>
      <c r="K1512" s="21" t="n">
        <f aca="false">D1512/(D1512+E1512)</f>
        <v>0.45679012345679</v>
      </c>
      <c r="L1512" s="21" t="n">
        <f aca="false">AVERAGEIFS($K$2:$K$2705,$B$2:$B$2705,B1512)</f>
        <v>0.49998230433013</v>
      </c>
      <c r="M1512" s="21" t="n">
        <f aca="false">K1512-L1512</f>
        <v>-0.0431921808733403</v>
      </c>
      <c r="N1512" s="21" t="n">
        <f aca="false">LN(J1512)</f>
        <v>13.1277329466146</v>
      </c>
      <c r="O1512" s="21" t="n">
        <f aca="false">AVERAGEIFS($N$2:$N$2705,$B$2:$B$2705,B1512)</f>
        <v>13.6353069926616</v>
      </c>
      <c r="P1512" s="21" t="n">
        <f aca="false">N1512-O1512</f>
        <v>-0.507574046046942</v>
      </c>
      <c r="Q1512" s="7" t="n">
        <v>1</v>
      </c>
      <c r="R1512" s="3" t="n">
        <f aca="false">IF(AND(Q1512=1,B1512-_xlfn.MINIFS($B$2:$B$2705,$A$2:$A$2705,A1512)&lt;10),1,0)</f>
        <v>1</v>
      </c>
      <c r="S1512" s="7" t="n">
        <v>0</v>
      </c>
      <c r="T1512" s="3" t="n">
        <f aca="false">_xlfn.MINIFS($B$2:$B$2705,$A$2:$A$2705,A1512)</f>
        <v>1977</v>
      </c>
      <c r="U1512" s="3" t="n">
        <f aca="false">B1512-T1512</f>
        <v>7</v>
      </c>
      <c r="V1512" s="3" t="str">
        <f aca="false">INDEX(Pop_Inputs!$Q$2:$Q$29,MATCH(C1512,Pop_Inputs!$A$2:$A$29,0))</f>
        <v>West</v>
      </c>
      <c r="W1512" s="30"/>
      <c r="X1512" s="3" t="str">
        <f aca="false">IF(W1512="","",LN(W1512))</f>
        <v/>
      </c>
      <c r="Y1512" s="3" t="str">
        <f aca="false">IF(X1512="","",X1512-AVERAGEIFS($X$2:$X$2705,$B$2:$B$2705,B1512))</f>
        <v/>
      </c>
      <c r="Z1512" s="21" t="n">
        <f aca="false">P1512</f>
        <v>-0.507574046046942</v>
      </c>
      <c r="AA1512" s="3" t="n">
        <f aca="false">R1512</f>
        <v>1</v>
      </c>
      <c r="AB1512" s="21" t="n">
        <f aca="false">P1512</f>
        <v>-0.507574046046942</v>
      </c>
      <c r="AC1512" s="3" t="str">
        <f aca="false">Y1512</f>
        <v/>
      </c>
      <c r="AD1512" s="3" t="n">
        <f aca="false">R1512</f>
        <v>1</v>
      </c>
    </row>
    <row r="1513" customFormat="false" ht="15" hidden="false" customHeight="true" outlineLevel="0" collapsed="false">
      <c r="A1513" s="7" t="s">
        <v>61</v>
      </c>
      <c r="B1513" s="7" t="n">
        <v>1984</v>
      </c>
      <c r="C1513" s="7" t="s">
        <v>147</v>
      </c>
      <c r="D1513" s="7" t="n">
        <v>66</v>
      </c>
      <c r="E1513" s="7" t="n">
        <v>96</v>
      </c>
      <c r="F1513" s="3" t="n">
        <f aca="false">COUNTIFS($B$2:$B$2705,B1513,$C$2:$C$2705,C1513)</f>
        <v>1</v>
      </c>
      <c r="G1513" s="3" t="n">
        <f aca="false">MIN(INT((MIN(B1513,2020)-1900)/10)+1,12)</f>
        <v>9</v>
      </c>
      <c r="H1513" s="3" t="n">
        <f aca="false">(MIN(B1513,2020)-1900-10*(G1513-1))/10</f>
        <v>0.4</v>
      </c>
      <c r="I1513" s="20" t="n">
        <f aca="false">EXP(LN(INDEX(Pop_Inputs!$B$2:$N$29,MATCH(C1513,Pop_Inputs!$A$2:$A$29,0),G1513))*(1-H1513)+LN(INDEX(Pop_Inputs!$B$2:$N$29,MATCH(C1513,Pop_Inputs!$A$2:$A$29,0),G1513+1))*H1513)</f>
        <v>696622.46402603</v>
      </c>
      <c r="J1513" s="20" t="n">
        <f aca="false">I1513/F1513</f>
        <v>696622.46402603</v>
      </c>
      <c r="K1513" s="21" t="n">
        <f aca="false">D1513/(D1513+E1513)</f>
        <v>0.407407407407407</v>
      </c>
      <c r="L1513" s="21" t="n">
        <f aca="false">AVERAGEIFS($K$2:$K$2705,$B$2:$B$2705,B1513)</f>
        <v>0.49998230433013</v>
      </c>
      <c r="M1513" s="21" t="n">
        <f aca="false">K1513-L1513</f>
        <v>-0.092574896922723</v>
      </c>
      <c r="N1513" s="21" t="n">
        <f aca="false">LN(J1513)</f>
        <v>13.4539988844935</v>
      </c>
      <c r="O1513" s="21" t="n">
        <f aca="false">AVERAGEIFS($N$2:$N$2705,$B$2:$B$2705,B1513)</f>
        <v>13.6353069926616</v>
      </c>
      <c r="P1513" s="21" t="n">
        <f aca="false">N1513-O1513</f>
        <v>-0.181308108168112</v>
      </c>
      <c r="Q1513" s="7" t="n">
        <v>0</v>
      </c>
      <c r="R1513" s="3" t="n">
        <f aca="false">IF(AND(Q1513=1,B1513-_xlfn.MINIFS($B$2:$B$2705,$A$2:$A$2705,A1513)&lt;10),1,0)</f>
        <v>0</v>
      </c>
      <c r="S1513" s="7" t="n">
        <v>0</v>
      </c>
      <c r="T1513" s="3" t="n">
        <f aca="false">_xlfn.MINIFS($B$2:$B$2705,$A$2:$A$2705,A1513)</f>
        <v>1901</v>
      </c>
      <c r="U1513" s="3" t="n">
        <f aca="false">B1513-T1513</f>
        <v>83</v>
      </c>
      <c r="V1513" s="3" t="str">
        <f aca="false">INDEX(Pop_Inputs!$Q$2:$Q$29,MATCH(C1513,Pop_Inputs!$A$2:$A$29,0))</f>
        <v>West</v>
      </c>
      <c r="W1513" s="30"/>
      <c r="X1513" s="3" t="str">
        <f aca="false">IF(W1513="","",LN(W1513))</f>
        <v/>
      </c>
      <c r="Y1513" s="3" t="str">
        <f aca="false">IF(X1513="","",X1513-AVERAGEIFS($X$2:$X$2705,$B$2:$B$2705,B1513))</f>
        <v/>
      </c>
      <c r="Z1513" s="21" t="n">
        <f aca="false">P1513</f>
        <v>-0.181308108168112</v>
      </c>
      <c r="AA1513" s="3" t="n">
        <f aca="false">R1513</f>
        <v>0</v>
      </c>
      <c r="AB1513" s="21" t="n">
        <f aca="false">P1513</f>
        <v>-0.181308108168112</v>
      </c>
      <c r="AC1513" s="3" t="str">
        <f aca="false">Y1513</f>
        <v/>
      </c>
      <c r="AD1513" s="3" t="n">
        <f aca="false">R1513</f>
        <v>0</v>
      </c>
    </row>
    <row r="1514" customFormat="false" ht="15" hidden="false" customHeight="true" outlineLevel="0" collapsed="false">
      <c r="A1514" s="7" t="s">
        <v>59</v>
      </c>
      <c r="B1514" s="7" t="n">
        <v>1984</v>
      </c>
      <c r="C1514" s="7" t="s">
        <v>145</v>
      </c>
      <c r="D1514" s="7" t="n">
        <v>84</v>
      </c>
      <c r="E1514" s="7" t="n">
        <v>78</v>
      </c>
      <c r="F1514" s="3" t="n">
        <f aca="false">COUNTIFS($B$2:$B$2705,B1514,$C$2:$C$2705,C1514)</f>
        <v>1</v>
      </c>
      <c r="G1514" s="3" t="n">
        <f aca="false">MIN(INT((MIN(B1514,2020)-1900)/10)+1,12)</f>
        <v>9</v>
      </c>
      <c r="H1514" s="3" t="n">
        <f aca="false">(MIN(B1514,2020)-1900-10*(G1514-1))/10</f>
        <v>0.4</v>
      </c>
      <c r="I1514" s="20" t="n">
        <f aca="false">EXP(LN(INDEX(Pop_Inputs!$B$2:$N$29,MATCH(C1514,Pop_Inputs!$A$2:$A$29,0),G1514))*(1-H1514)+LN(INDEX(Pop_Inputs!$B$2:$N$29,MATCH(C1514,Pop_Inputs!$A$2:$A$29,0),G1514+1))*H1514)</f>
        <v>430031.112256704</v>
      </c>
      <c r="J1514" s="20" t="n">
        <f aca="false">I1514/F1514</f>
        <v>430031.112256704</v>
      </c>
      <c r="K1514" s="21" t="n">
        <f aca="false">D1514/(D1514+E1514)</f>
        <v>0.518518518518519</v>
      </c>
      <c r="L1514" s="21" t="n">
        <f aca="false">AVERAGEIFS($K$2:$K$2705,$B$2:$B$2705,B1514)</f>
        <v>0.49998230433013</v>
      </c>
      <c r="M1514" s="21" t="n">
        <f aca="false">K1514-L1514</f>
        <v>0.0185362141883881</v>
      </c>
      <c r="N1514" s="21" t="n">
        <f aca="false">LN(J1514)</f>
        <v>12.9716128391377</v>
      </c>
      <c r="O1514" s="21" t="n">
        <f aca="false">AVERAGEIFS($N$2:$N$2705,$B$2:$B$2705,B1514)</f>
        <v>13.6353069926616</v>
      </c>
      <c r="P1514" s="21" t="n">
        <f aca="false">N1514-O1514</f>
        <v>-0.663694153523903</v>
      </c>
      <c r="Q1514" s="7" t="n">
        <v>0</v>
      </c>
      <c r="R1514" s="3" t="n">
        <f aca="false">IF(AND(Q1514=1,B1514-_xlfn.MINIFS($B$2:$B$2705,$A$2:$A$2705,A1514)&lt;10),1,0)</f>
        <v>0</v>
      </c>
      <c r="S1514" s="7" t="n">
        <v>0</v>
      </c>
      <c r="T1514" s="3" t="n">
        <f aca="false">_xlfn.MINIFS($B$2:$B$2705,$A$2:$A$2705,A1514)</f>
        <v>1901</v>
      </c>
      <c r="U1514" s="3" t="n">
        <f aca="false">B1514-T1514</f>
        <v>83</v>
      </c>
      <c r="V1514" s="3" t="str">
        <f aca="false">INDEX(Pop_Inputs!$Q$2:$Q$29,MATCH(C1514,Pop_Inputs!$A$2:$A$29,0))</f>
        <v>Midwest</v>
      </c>
      <c r="W1514" s="30"/>
      <c r="X1514" s="3" t="str">
        <f aca="false">IF(W1514="","",LN(W1514))</f>
        <v/>
      </c>
      <c r="Y1514" s="3" t="str">
        <f aca="false">IF(X1514="","",X1514-AVERAGEIFS($X$2:$X$2705,$B$2:$B$2705,B1514))</f>
        <v/>
      </c>
      <c r="Z1514" s="21" t="n">
        <f aca="false">P1514</f>
        <v>-0.663694153523903</v>
      </c>
      <c r="AA1514" s="3" t="n">
        <f aca="false">R1514</f>
        <v>0</v>
      </c>
      <c r="AB1514" s="21" t="n">
        <f aca="false">P1514</f>
        <v>-0.663694153523903</v>
      </c>
      <c r="AC1514" s="3" t="str">
        <f aca="false">Y1514</f>
        <v/>
      </c>
      <c r="AD1514" s="3" t="n">
        <f aca="false">R1514</f>
        <v>0</v>
      </c>
    </row>
    <row r="1515" customFormat="false" ht="15" hidden="false" customHeight="true" outlineLevel="0" collapsed="false">
      <c r="A1515" s="7" t="s">
        <v>73</v>
      </c>
      <c r="B1515" s="7" t="n">
        <v>1984</v>
      </c>
      <c r="C1515" s="7" t="s">
        <v>155</v>
      </c>
      <c r="D1515" s="7" t="n">
        <v>69</v>
      </c>
      <c r="E1515" s="7" t="n">
        <v>92</v>
      </c>
      <c r="F1515" s="3" t="n">
        <f aca="false">COUNTIFS($B$2:$B$2705,B1515,$C$2:$C$2705,C1515)</f>
        <v>1</v>
      </c>
      <c r="G1515" s="3" t="n">
        <f aca="false">MIN(INT((MIN(B1515,2020)-1900)/10)+1,12)</f>
        <v>9</v>
      </c>
      <c r="H1515" s="3" t="n">
        <f aca="false">(MIN(B1515,2020)-1900-10*(G1515-1))/10</f>
        <v>0.4</v>
      </c>
      <c r="I1515" s="20" t="n">
        <f aca="false">EXP(LN(INDEX(Pop_Inputs!$B$2:$N$29,MATCH(C1515,Pop_Inputs!$A$2:$A$29,0),G1515))*(1-H1515)+LN(INDEX(Pop_Inputs!$B$2:$N$29,MATCH(C1515,Pop_Inputs!$A$2:$A$29,0),G1515+1))*H1515)</f>
        <v>943911.68226766</v>
      </c>
      <c r="J1515" s="20" t="n">
        <f aca="false">I1515/F1515</f>
        <v>943911.68226766</v>
      </c>
      <c r="K1515" s="21" t="n">
        <f aca="false">D1515/(D1515+E1515)</f>
        <v>0.428571428571429</v>
      </c>
      <c r="L1515" s="21" t="n">
        <f aca="false">AVERAGEIFS($K$2:$K$2705,$B$2:$B$2705,B1515)</f>
        <v>0.49998230433013</v>
      </c>
      <c r="M1515" s="21" t="n">
        <f aca="false">K1515-L1515</f>
        <v>-0.0714108757587019</v>
      </c>
      <c r="N1515" s="21" t="n">
        <f aca="false">LN(J1515)</f>
        <v>13.7577878838311</v>
      </c>
      <c r="O1515" s="21" t="n">
        <f aca="false">AVERAGEIFS($N$2:$N$2705,$B$2:$B$2705,B1515)</f>
        <v>13.6353069926616</v>
      </c>
      <c r="P1515" s="21" t="n">
        <f aca="false">N1515-O1515</f>
        <v>0.12248089116949</v>
      </c>
      <c r="Q1515" s="7" t="n">
        <v>1</v>
      </c>
      <c r="R1515" s="3" t="n">
        <f aca="false">IF(AND(Q1515=1,B1515-_xlfn.MINIFS($B$2:$B$2705,$A$2:$A$2705,A1515)&lt;10),1,0)</f>
        <v>0</v>
      </c>
      <c r="S1515" s="7" t="n">
        <v>0</v>
      </c>
      <c r="T1515" s="3" t="n">
        <f aca="false">_xlfn.MINIFS($B$2:$B$2705,$A$2:$A$2705,A1515)</f>
        <v>1961</v>
      </c>
      <c r="U1515" s="3" t="n">
        <f aca="false">B1515-T1515</f>
        <v>23</v>
      </c>
      <c r="V1515" s="3" t="str">
        <f aca="false">INDEX(Pop_Inputs!$Q$2:$Q$29,MATCH(C1515,Pop_Inputs!$A$2:$A$29,0))</f>
        <v>South</v>
      </c>
      <c r="W1515" s="30"/>
      <c r="X1515" s="3" t="str">
        <f aca="false">IF(W1515="","",LN(W1515))</f>
        <v/>
      </c>
      <c r="Y1515" s="3" t="str">
        <f aca="false">IF(X1515="","",X1515-AVERAGEIFS($X$2:$X$2705,$B$2:$B$2705,B1515))</f>
        <v/>
      </c>
      <c r="Z1515" s="21" t="n">
        <f aca="false">P1515</f>
        <v>0.12248089116949</v>
      </c>
      <c r="AA1515" s="3" t="n">
        <f aca="false">R1515</f>
        <v>0</v>
      </c>
      <c r="AB1515" s="21" t="n">
        <f aca="false">P1515</f>
        <v>0.12248089116949</v>
      </c>
      <c r="AC1515" s="3" t="str">
        <f aca="false">Y1515</f>
        <v/>
      </c>
      <c r="AD1515" s="3" t="n">
        <f aca="false">R1515</f>
        <v>0</v>
      </c>
    </row>
    <row r="1516" customFormat="false" ht="15" hidden="false" customHeight="true" outlineLevel="0" collapsed="false">
      <c r="A1516" s="7" t="s">
        <v>81</v>
      </c>
      <c r="B1516" s="7" t="n">
        <v>1984</v>
      </c>
      <c r="C1516" s="7" t="s">
        <v>162</v>
      </c>
      <c r="D1516" s="7" t="n">
        <v>89</v>
      </c>
      <c r="E1516" s="7" t="n">
        <v>73</v>
      </c>
      <c r="F1516" s="3" t="n">
        <f aca="false">COUNTIFS($B$2:$B$2705,B1516,$C$2:$C$2705,C1516)</f>
        <v>1</v>
      </c>
      <c r="G1516" s="3" t="n">
        <f aca="false">MIN(INT((MIN(B1516,2020)-1900)/10)+1,12)</f>
        <v>9</v>
      </c>
      <c r="H1516" s="3" t="n">
        <f aca="false">(MIN(B1516,2020)-1900-10*(G1516-1))/10</f>
        <v>0.4</v>
      </c>
      <c r="I1516" s="20" t="n">
        <f aca="false">EXP(LN(INDEX(Pop_Inputs!$B$2:$N$29,MATCH(C1516,Pop_Inputs!$A$2:$A$29,0),G1516))*(1-H1516)+LN(INDEX(Pop_Inputs!$B$2:$N$29,MATCH(C1516,Pop_Inputs!$A$2:$A$29,0),G1516+1))*H1516)</f>
        <v>613434.211005213</v>
      </c>
      <c r="J1516" s="20" t="n">
        <f aca="false">I1516/F1516</f>
        <v>613434.211005213</v>
      </c>
      <c r="K1516" s="21" t="n">
        <f aca="false">D1516/(D1516+E1516)</f>
        <v>0.549382716049383</v>
      </c>
      <c r="L1516" s="21" t="n">
        <f aca="false">AVERAGEIFS($K$2:$K$2705,$B$2:$B$2705,B1516)</f>
        <v>0.49998230433013</v>
      </c>
      <c r="M1516" s="21" t="n">
        <f aca="false">K1516-L1516</f>
        <v>0.0494004117192523</v>
      </c>
      <c r="N1516" s="21" t="n">
        <f aca="false">LN(J1516)</f>
        <v>13.3268283018576</v>
      </c>
      <c r="O1516" s="21" t="n">
        <f aca="false">AVERAGEIFS($N$2:$N$2705,$B$2:$B$2705,B1516)</f>
        <v>13.6353069926616</v>
      </c>
      <c r="P1516" s="21" t="n">
        <f aca="false">N1516-O1516</f>
        <v>-0.308478690803936</v>
      </c>
      <c r="Q1516" s="7" t="n">
        <v>1</v>
      </c>
      <c r="R1516" s="3" t="n">
        <f aca="false">IF(AND(Q1516=1,B1516-_xlfn.MINIFS($B$2:$B$2705,$A$2:$A$2705,A1516)&lt;10),1,0)</f>
        <v>1</v>
      </c>
      <c r="S1516" s="7" t="n">
        <v>0</v>
      </c>
      <c r="T1516" s="3" t="n">
        <f aca="false">_xlfn.MINIFS($B$2:$B$2705,$A$2:$A$2705,A1516)</f>
        <v>1977</v>
      </c>
      <c r="U1516" s="3" t="n">
        <f aca="false">B1516-T1516</f>
        <v>7</v>
      </c>
      <c r="V1516" s="3" t="str">
        <f aca="false">INDEX(Pop_Inputs!$Q$2:$Q$29,MATCH(C1516,Pop_Inputs!$A$2:$A$29,0))</f>
        <v>Canada</v>
      </c>
      <c r="W1516" s="30"/>
      <c r="X1516" s="3" t="str">
        <f aca="false">IF(W1516="","",LN(W1516))</f>
        <v/>
      </c>
      <c r="Y1516" s="3" t="str">
        <f aca="false">IF(X1516="","",X1516-AVERAGEIFS($X$2:$X$2705,$B$2:$B$2705,B1516))</f>
        <v/>
      </c>
      <c r="Z1516" s="21" t="n">
        <f aca="false">P1516</f>
        <v>-0.308478690803936</v>
      </c>
      <c r="AA1516" s="3" t="n">
        <f aca="false">R1516</f>
        <v>1</v>
      </c>
      <c r="AB1516" s="21" t="n">
        <f aca="false">P1516</f>
        <v>-0.308478690803936</v>
      </c>
      <c r="AC1516" s="3" t="str">
        <f aca="false">Y1516</f>
        <v/>
      </c>
      <c r="AD1516" s="3" t="n">
        <f aca="false">R1516</f>
        <v>1</v>
      </c>
    </row>
    <row r="1517" customFormat="false" ht="15" hidden="false" customHeight="true" outlineLevel="0" collapsed="false">
      <c r="A1517" s="7" t="s">
        <v>79</v>
      </c>
      <c r="B1517" s="7" t="n">
        <v>1984</v>
      </c>
      <c r="C1517" s="7" t="s">
        <v>254</v>
      </c>
      <c r="D1517" s="7" t="n">
        <v>78</v>
      </c>
      <c r="E1517" s="7" t="n">
        <v>83</v>
      </c>
      <c r="F1517" s="3" t="n">
        <f aca="false">COUNTIFS($B$2:$B$2705,B1517,$C$2:$C$2705,C1517)</f>
        <v>1</v>
      </c>
      <c r="G1517" s="3" t="n">
        <f aca="false">MIN(INT((MIN(B1517,2020)-1900)/10)+1,12)</f>
        <v>9</v>
      </c>
      <c r="H1517" s="3" t="n">
        <f aca="false">(MIN(B1517,2020)-1900-10*(G1517-1))/10</f>
        <v>0.4</v>
      </c>
      <c r="I1517" s="20" t="n">
        <f aca="false">EXP(LN(INDEX(Pop_Inputs!$B$2:$N$29,MATCH(C1517,Pop_Inputs!$A$2:$A$29,0),G1517))*(1-H1517)+LN(INDEX(Pop_Inputs!$B$2:$N$29,MATCH(C1517,Pop_Inputs!$A$2:$A$29,0),G1517+1))*H1517)</f>
        <v>995111.765659578</v>
      </c>
      <c r="J1517" s="20" t="n">
        <f aca="false">I1517/F1517</f>
        <v>995111.765659578</v>
      </c>
      <c r="K1517" s="21" t="n">
        <f aca="false">D1517/(D1517+E1517)</f>
        <v>0.484472049689441</v>
      </c>
      <c r="L1517" s="21" t="n">
        <f aca="false">AVERAGEIFS($K$2:$K$2705,$B$2:$B$2705,B1517)</f>
        <v>0.49998230433013</v>
      </c>
      <c r="M1517" s="21" t="n">
        <f aca="false">K1517-L1517</f>
        <v>-0.0155102546406894</v>
      </c>
      <c r="N1517" s="21" t="n">
        <f aca="false">LN(J1517)</f>
        <v>13.8106103371286</v>
      </c>
      <c r="O1517" s="21" t="n">
        <f aca="false">AVERAGEIFS($N$2:$N$2705,$B$2:$B$2705,B1517)</f>
        <v>13.6353069926616</v>
      </c>
      <c r="P1517" s="21" t="n">
        <f aca="false">N1517-O1517</f>
        <v>0.175303344466975</v>
      </c>
      <c r="Q1517" s="7" t="n">
        <v>1</v>
      </c>
      <c r="R1517" s="3" t="n">
        <f aca="false">IF(AND(Q1517=1,B1517-_xlfn.MINIFS($B$2:$B$2705,$A$2:$A$2705,A1517)&lt;10),1,0)</f>
        <v>0</v>
      </c>
      <c r="S1517" s="7" t="n">
        <v>0</v>
      </c>
      <c r="T1517" s="3" t="n">
        <f aca="false">_xlfn.MINIFS($B$2:$B$2705,$A$2:$A$2705,A1517)</f>
        <v>1969</v>
      </c>
      <c r="U1517" s="3" t="n">
        <f aca="false">B1517-T1517</f>
        <v>15</v>
      </c>
      <c r="V1517" s="3" t="str">
        <f aca="false">INDEX(Pop_Inputs!$Q$2:$Q$29,MATCH(C1517,Pop_Inputs!$A$2:$A$29,0))</f>
        <v>Canada</v>
      </c>
      <c r="W1517" s="30"/>
      <c r="X1517" s="3" t="str">
        <f aca="false">IF(W1517="","",LN(W1517))</f>
        <v/>
      </c>
      <c r="Y1517" s="3" t="str">
        <f aca="false">IF(X1517="","",X1517-AVERAGEIFS($X$2:$X$2705,$B$2:$B$2705,B1517))</f>
        <v/>
      </c>
      <c r="Z1517" s="21" t="n">
        <f aca="false">P1517</f>
        <v>0.175303344466975</v>
      </c>
      <c r="AA1517" s="3" t="n">
        <f aca="false">R1517</f>
        <v>0</v>
      </c>
      <c r="AB1517" s="21" t="n">
        <f aca="false">P1517</f>
        <v>0.175303344466975</v>
      </c>
      <c r="AC1517" s="3" t="str">
        <f aca="false">Y1517</f>
        <v/>
      </c>
      <c r="AD1517" s="3" t="n">
        <f aca="false">R1517</f>
        <v>0</v>
      </c>
    </row>
    <row r="1518" customFormat="false" ht="15" hidden="false" customHeight="true" outlineLevel="0" collapsed="false">
      <c r="A1518" s="7" t="s">
        <v>71</v>
      </c>
      <c r="B1518" s="7" t="n">
        <v>1985</v>
      </c>
      <c r="C1518" s="7" t="s">
        <v>148</v>
      </c>
      <c r="D1518" s="7" t="n">
        <v>90</v>
      </c>
      <c r="E1518" s="7" t="n">
        <v>72</v>
      </c>
      <c r="F1518" s="3" t="n">
        <f aca="false">COUNTIFS($B$2:$B$2705,B1518,$C$2:$C$2705,C1518)</f>
        <v>2</v>
      </c>
      <c r="G1518" s="3" t="n">
        <f aca="false">MIN(INT((MIN(B1518,2020)-1900)/10)+1,12)</f>
        <v>9</v>
      </c>
      <c r="H1518" s="3" t="n">
        <f aca="false">(MIN(B1518,2020)-1900-10*(G1518-1))/10</f>
        <v>0.5</v>
      </c>
      <c r="I1518" s="20" t="n">
        <f aca="false">EXP(LN(INDEX(Pop_Inputs!$B$2:$N$29,MATCH(C1518,Pop_Inputs!$A$2:$A$29,0),G1518))*(1-H1518)+LN(INDEX(Pop_Inputs!$B$2:$N$29,MATCH(C1518,Pop_Inputs!$A$2:$A$29,0),G1518+1))*H1518)</f>
        <v>3215688.58198365</v>
      </c>
      <c r="J1518" s="20" t="n">
        <f aca="false">I1518/F1518</f>
        <v>1607844.29099182</v>
      </c>
      <c r="K1518" s="21" t="n">
        <f aca="false">D1518/(D1518+E1518)</f>
        <v>0.555555555555556</v>
      </c>
      <c r="L1518" s="21" t="n">
        <f aca="false">AVERAGEIFS($K$2:$K$2705,$B$2:$B$2705,B1518)</f>
        <v>0.499997050721688</v>
      </c>
      <c r="M1518" s="21" t="n">
        <f aca="false">K1518-L1518</f>
        <v>0.0555585048338672</v>
      </c>
      <c r="N1518" s="21" t="n">
        <f aca="false">LN(J1518)</f>
        <v>14.290404890072</v>
      </c>
      <c r="O1518" s="21" t="n">
        <f aca="false">AVERAGEIFS($N$2:$N$2705,$B$2:$B$2705,B1518)</f>
        <v>13.6355250889148</v>
      </c>
      <c r="P1518" s="21" t="n">
        <f aca="false">N1518-O1518</f>
        <v>0.654879801157222</v>
      </c>
      <c r="Q1518" s="7" t="n">
        <v>1</v>
      </c>
      <c r="R1518" s="3" t="n">
        <f aca="false">IF(AND(Q1518=1,B1518-_xlfn.MINIFS($B$2:$B$2705,$A$2:$A$2705,A1518)&lt;10),1,0)</f>
        <v>0</v>
      </c>
      <c r="S1518" s="7" t="n">
        <v>0</v>
      </c>
      <c r="T1518" s="3" t="n">
        <f aca="false">_xlfn.MINIFS($B$2:$B$2705,$A$2:$A$2705,A1518)</f>
        <v>1961</v>
      </c>
      <c r="U1518" s="3" t="n">
        <f aca="false">B1518-T1518</f>
        <v>24</v>
      </c>
      <c r="V1518" s="3" t="str">
        <f aca="false">INDEX(Pop_Inputs!$Q$2:$Q$29,MATCH(C1518,Pop_Inputs!$A$2:$A$29,0))</f>
        <v>West</v>
      </c>
      <c r="W1518" s="29" t="n">
        <v>14427894</v>
      </c>
      <c r="X1518" s="3" t="n">
        <f aca="false">IF(W1518="","",LN(W1518))</f>
        <v>16.484673974153</v>
      </c>
      <c r="Y1518" s="3" t="n">
        <f aca="false">IF(X1518="","",X1518-AVERAGEIFS($X$2:$X$2705,$B$2:$B$2705,B1518))</f>
        <v>0.39138920501934</v>
      </c>
      <c r="Z1518" s="21" t="n">
        <f aca="false">P1518</f>
        <v>0.654879801157222</v>
      </c>
      <c r="AA1518" s="3" t="n">
        <f aca="false">R1518</f>
        <v>0</v>
      </c>
      <c r="AB1518" s="21" t="n">
        <f aca="false">P1518</f>
        <v>0.654879801157222</v>
      </c>
      <c r="AC1518" s="3" t="n">
        <f aca="false">Y1518</f>
        <v>0.39138920501934</v>
      </c>
      <c r="AD1518" s="3" t="n">
        <f aca="false">R1518</f>
        <v>0</v>
      </c>
    </row>
    <row r="1519" customFormat="false" ht="15" hidden="false" customHeight="true" outlineLevel="0" collapsed="false">
      <c r="A1519" s="7" t="s">
        <v>54</v>
      </c>
      <c r="B1519" s="7" t="n">
        <v>1985</v>
      </c>
      <c r="C1519" s="7" t="s">
        <v>141</v>
      </c>
      <c r="D1519" s="7" t="n">
        <v>66</v>
      </c>
      <c r="E1519" s="7" t="n">
        <v>96</v>
      </c>
      <c r="F1519" s="3" t="n">
        <f aca="false">COUNTIFS($B$2:$B$2705,B1519,$C$2:$C$2705,C1519)</f>
        <v>1</v>
      </c>
      <c r="G1519" s="3" t="n">
        <f aca="false">MIN(INT((MIN(B1519,2020)-1900)/10)+1,12)</f>
        <v>9</v>
      </c>
      <c r="H1519" s="3" t="n">
        <f aca="false">(MIN(B1519,2020)-1900-10*(G1519-1))/10</f>
        <v>0.5</v>
      </c>
      <c r="I1519" s="20" t="n">
        <f aca="false">EXP(LN(INDEX(Pop_Inputs!$B$2:$N$29,MATCH(C1519,Pop_Inputs!$A$2:$A$29,0),G1519))*(1-H1519)+LN(INDEX(Pop_Inputs!$B$2:$N$29,MATCH(C1519,Pop_Inputs!$A$2:$A$29,0),G1519+1))*H1519)</f>
        <v>409225.968596814</v>
      </c>
      <c r="J1519" s="20" t="n">
        <f aca="false">I1519/F1519</f>
        <v>409225.968596814</v>
      </c>
      <c r="K1519" s="21" t="n">
        <f aca="false">D1519/(D1519+E1519)</f>
        <v>0.407407407407407</v>
      </c>
      <c r="L1519" s="21" t="n">
        <f aca="false">AVERAGEIFS($K$2:$K$2705,$B$2:$B$2705,B1519)</f>
        <v>0.499997050721688</v>
      </c>
      <c r="M1519" s="21" t="n">
        <f aca="false">K1519-L1519</f>
        <v>-0.092589643314281</v>
      </c>
      <c r="N1519" s="21" t="n">
        <f aca="false">LN(J1519)</f>
        <v>12.922022772915</v>
      </c>
      <c r="O1519" s="21" t="n">
        <f aca="false">AVERAGEIFS($N$2:$N$2705,$B$2:$B$2705,B1519)</f>
        <v>13.6355250889148</v>
      </c>
      <c r="P1519" s="21" t="n">
        <f aca="false">N1519-O1519</f>
        <v>-0.713502315999772</v>
      </c>
      <c r="Q1519" s="7" t="n">
        <v>0</v>
      </c>
      <c r="R1519" s="3" t="n">
        <f aca="false">IF(AND(Q1519=1,B1519-_xlfn.MINIFS($B$2:$B$2705,$A$2:$A$2705,A1519)&lt;10),1,0)</f>
        <v>0</v>
      </c>
      <c r="S1519" s="7" t="n">
        <v>0</v>
      </c>
      <c r="T1519" s="3" t="n">
        <f aca="false">_xlfn.MINIFS($B$2:$B$2705,$A$2:$A$2705,A1519)</f>
        <v>1901</v>
      </c>
      <c r="U1519" s="3" t="n">
        <f aca="false">B1519-T1519</f>
        <v>84</v>
      </c>
      <c r="V1519" s="3" t="str">
        <f aca="false">INDEX(Pop_Inputs!$Q$2:$Q$29,MATCH(C1519,Pop_Inputs!$A$2:$A$29,0))</f>
        <v>South</v>
      </c>
      <c r="W1519" s="29" t="n">
        <v>14807000</v>
      </c>
      <c r="X1519" s="3" t="n">
        <f aca="false">IF(W1519="","",LN(W1519))</f>
        <v>16.5106105998909</v>
      </c>
      <c r="Y1519" s="3" t="n">
        <f aca="false">IF(X1519="","",X1519-AVERAGEIFS($X$2:$X$2705,$B$2:$B$2705,B1519))</f>
        <v>0.417325830757235</v>
      </c>
      <c r="Z1519" s="21" t="n">
        <f aca="false">P1519</f>
        <v>-0.713502315999772</v>
      </c>
      <c r="AA1519" s="3" t="n">
        <f aca="false">R1519</f>
        <v>0</v>
      </c>
      <c r="AB1519" s="21" t="n">
        <f aca="false">P1519</f>
        <v>-0.713502315999772</v>
      </c>
      <c r="AC1519" s="3" t="n">
        <f aca="false">Y1519</f>
        <v>0.417325830757235</v>
      </c>
      <c r="AD1519" s="3" t="n">
        <f aca="false">R1519</f>
        <v>0</v>
      </c>
    </row>
    <row r="1520" customFormat="false" ht="15" hidden="false" customHeight="true" outlineLevel="0" collapsed="false">
      <c r="A1520" s="7" t="s">
        <v>63</v>
      </c>
      <c r="B1520" s="7" t="n">
        <v>1985</v>
      </c>
      <c r="C1520" s="7" t="s">
        <v>149</v>
      </c>
      <c r="D1520" s="7" t="n">
        <v>83</v>
      </c>
      <c r="E1520" s="7" t="n">
        <v>78</v>
      </c>
      <c r="F1520" s="3" t="n">
        <f aca="false">COUNTIFS($B$2:$B$2705,B1520,$C$2:$C$2705,C1520)</f>
        <v>1</v>
      </c>
      <c r="G1520" s="3" t="n">
        <f aca="false">MIN(INT((MIN(B1520,2020)-1900)/10)+1,12)</f>
        <v>9</v>
      </c>
      <c r="H1520" s="3" t="n">
        <f aca="false">(MIN(B1520,2020)-1900-10*(G1520-1))/10</f>
        <v>0.5</v>
      </c>
      <c r="I1520" s="20" t="n">
        <f aca="false">EXP(LN(INDEX(Pop_Inputs!$B$2:$N$29,MATCH(C1520,Pop_Inputs!$A$2:$A$29,0),G1520))*(1-H1520)+LN(INDEX(Pop_Inputs!$B$2:$N$29,MATCH(C1520,Pop_Inputs!$A$2:$A$29,0),G1520+1))*H1520)</f>
        <v>760971.362700332</v>
      </c>
      <c r="J1520" s="20" t="n">
        <f aca="false">I1520/F1520</f>
        <v>760971.362700332</v>
      </c>
      <c r="K1520" s="21" t="n">
        <f aca="false">D1520/(D1520+E1520)</f>
        <v>0.515527950310559</v>
      </c>
      <c r="L1520" s="21" t="n">
        <f aca="false">AVERAGEIFS($K$2:$K$2705,$B$2:$B$2705,B1520)</f>
        <v>0.499997050721688</v>
      </c>
      <c r="M1520" s="21" t="n">
        <f aca="false">K1520-L1520</f>
        <v>0.0155308995888706</v>
      </c>
      <c r="N1520" s="21" t="n">
        <f aca="false">LN(J1520)</f>
        <v>13.542351004993</v>
      </c>
      <c r="O1520" s="21" t="n">
        <f aca="false">AVERAGEIFS($N$2:$N$2705,$B$2:$B$2705,B1520)</f>
        <v>13.6355250889148</v>
      </c>
      <c r="P1520" s="21" t="n">
        <f aca="false">N1520-O1520</f>
        <v>-0.0931740839218502</v>
      </c>
      <c r="Q1520" s="7" t="n">
        <v>0</v>
      </c>
      <c r="R1520" s="3" t="n">
        <f aca="false">IF(AND(Q1520=1,B1520-_xlfn.MINIFS($B$2:$B$2705,$A$2:$A$2705,A1520)&lt;10),1,0)</f>
        <v>0</v>
      </c>
      <c r="S1520" s="7" t="n">
        <v>0</v>
      </c>
      <c r="T1520" s="3" t="n">
        <f aca="false">_xlfn.MINIFS($B$2:$B$2705,$A$2:$A$2705,A1520)</f>
        <v>1901</v>
      </c>
      <c r="U1520" s="3" t="n">
        <f aca="false">B1520-T1520</f>
        <v>84</v>
      </c>
      <c r="V1520" s="3" t="str">
        <f aca="false">INDEX(Pop_Inputs!$Q$2:$Q$29,MATCH(C1520,Pop_Inputs!$A$2:$A$29,0))</f>
        <v>South</v>
      </c>
      <c r="W1520" s="29" t="n">
        <v>11560712</v>
      </c>
      <c r="X1520" s="3" t="n">
        <f aca="false">IF(W1520="","",LN(W1520))</f>
        <v>16.2631230110073</v>
      </c>
      <c r="Y1520" s="3" t="n">
        <f aca="false">IF(X1520="","",X1520-AVERAGEIFS($X$2:$X$2705,$B$2:$B$2705,B1520))</f>
        <v>0.169838241873695</v>
      </c>
      <c r="Z1520" s="21" t="n">
        <f aca="false">P1520</f>
        <v>-0.0931740839218502</v>
      </c>
      <c r="AA1520" s="3" t="n">
        <f aca="false">R1520</f>
        <v>0</v>
      </c>
      <c r="AB1520" s="21" t="n">
        <f aca="false">P1520</f>
        <v>-0.0931740839218502</v>
      </c>
      <c r="AC1520" s="3" t="n">
        <f aca="false">Y1520</f>
        <v>0.169838241873695</v>
      </c>
      <c r="AD1520" s="3" t="n">
        <f aca="false">R1520</f>
        <v>0</v>
      </c>
    </row>
    <row r="1521" customFormat="false" ht="15" hidden="false" customHeight="true" outlineLevel="0" collapsed="false">
      <c r="A1521" s="7" t="s">
        <v>64</v>
      </c>
      <c r="B1521" s="7" t="n">
        <v>1985</v>
      </c>
      <c r="C1521" s="7" t="s">
        <v>150</v>
      </c>
      <c r="D1521" s="7" t="n">
        <v>81</v>
      </c>
      <c r="E1521" s="7" t="n">
        <v>81</v>
      </c>
      <c r="F1521" s="3" t="n">
        <f aca="false">COUNTIFS($B$2:$B$2705,B1521,$C$2:$C$2705,C1521)</f>
        <v>1</v>
      </c>
      <c r="G1521" s="3" t="n">
        <f aca="false">MIN(INT((MIN(B1521,2020)-1900)/10)+1,12)</f>
        <v>9</v>
      </c>
      <c r="H1521" s="3" t="n">
        <f aca="false">(MIN(B1521,2020)-1900-10*(G1521-1))/10</f>
        <v>0.5</v>
      </c>
      <c r="I1521" s="20" t="n">
        <f aca="false">EXP(LN(INDEX(Pop_Inputs!$B$2:$N$29,MATCH(C1521,Pop_Inputs!$A$2:$A$29,0),G1521))*(1-H1521)+LN(INDEX(Pop_Inputs!$B$2:$N$29,MATCH(C1521,Pop_Inputs!$A$2:$A$29,0),G1521+1))*H1521)</f>
        <v>568610.484692289</v>
      </c>
      <c r="J1521" s="20" t="n">
        <f aca="false">I1521/F1521</f>
        <v>568610.484692289</v>
      </c>
      <c r="K1521" s="21" t="n">
        <f aca="false">D1521/(D1521+E1521)</f>
        <v>0.5</v>
      </c>
      <c r="L1521" s="21" t="n">
        <f aca="false">AVERAGEIFS($K$2:$K$2705,$B$2:$B$2705,B1521)</f>
        <v>0.499997050721688</v>
      </c>
      <c r="M1521" s="21" t="n">
        <f aca="false">K1521-L1521</f>
        <v>2.94927831162584E-006</v>
      </c>
      <c r="N1521" s="21" t="n">
        <f aca="false">LN(J1521)</f>
        <v>13.250950917516</v>
      </c>
      <c r="O1521" s="21" t="n">
        <f aca="false">AVERAGEIFS($N$2:$N$2705,$B$2:$B$2705,B1521)</f>
        <v>13.6355250889148</v>
      </c>
      <c r="P1521" s="21" t="n">
        <f aca="false">N1521-O1521</f>
        <v>-0.38457417139881</v>
      </c>
      <c r="Q1521" s="7" t="n">
        <v>0</v>
      </c>
      <c r="R1521" s="3" t="n">
        <f aca="false">IF(AND(Q1521=1,B1521-_xlfn.MINIFS($B$2:$B$2705,$A$2:$A$2705,A1521)&lt;10),1,0)</f>
        <v>0</v>
      </c>
      <c r="S1521" s="7" t="n">
        <v>0</v>
      </c>
      <c r="T1521" s="3" t="n">
        <f aca="false">_xlfn.MINIFS($B$2:$B$2705,$A$2:$A$2705,A1521)</f>
        <v>1901</v>
      </c>
      <c r="U1521" s="3" t="n">
        <f aca="false">B1521-T1521</f>
        <v>84</v>
      </c>
      <c r="V1521" s="3" t="str">
        <f aca="false">INDEX(Pop_Inputs!$Q$2:$Q$29,MATCH(C1521,Pop_Inputs!$A$2:$A$29,0))</f>
        <v>Northeast</v>
      </c>
      <c r="W1521" s="29" t="n">
        <v>10897560</v>
      </c>
      <c r="X1521" s="3" t="n">
        <f aca="false">IF(W1521="","",LN(W1521))</f>
        <v>16.2040494689295</v>
      </c>
      <c r="Y1521" s="3" t="n">
        <f aca="false">IF(X1521="","",X1521-AVERAGEIFS($X$2:$X$2705,$B$2:$B$2705,B1521))</f>
        <v>0.110764699795872</v>
      </c>
      <c r="Z1521" s="21" t="n">
        <f aca="false">P1521</f>
        <v>-0.38457417139881</v>
      </c>
      <c r="AA1521" s="3" t="n">
        <f aca="false">R1521</f>
        <v>0</v>
      </c>
      <c r="AB1521" s="21" t="n">
        <f aca="false">P1521</f>
        <v>-0.38457417139881</v>
      </c>
      <c r="AC1521" s="3" t="n">
        <f aca="false">Y1521</f>
        <v>0.110764699795872</v>
      </c>
      <c r="AD1521" s="3" t="n">
        <f aca="false">R1521</f>
        <v>0</v>
      </c>
    </row>
    <row r="1522" customFormat="false" ht="15" hidden="false" customHeight="true" outlineLevel="0" collapsed="false">
      <c r="A1522" s="7" t="s">
        <v>56</v>
      </c>
      <c r="B1522" s="7" t="n">
        <v>1985</v>
      </c>
      <c r="C1522" s="7" t="s">
        <v>142</v>
      </c>
      <c r="D1522" s="7" t="n">
        <v>77</v>
      </c>
      <c r="E1522" s="7" t="n">
        <v>84</v>
      </c>
      <c r="F1522" s="3" t="n">
        <f aca="false">COUNTIFS($B$2:$B$2705,B1522,$C$2:$C$2705,C1522)</f>
        <v>2</v>
      </c>
      <c r="G1522" s="3" t="n">
        <f aca="false">MIN(INT((MIN(B1522,2020)-1900)/10)+1,12)</f>
        <v>9</v>
      </c>
      <c r="H1522" s="3" t="n">
        <f aca="false">(MIN(B1522,2020)-1900-10*(G1522-1))/10</f>
        <v>0.5</v>
      </c>
      <c r="I1522" s="20" t="n">
        <f aca="false">EXP(LN(INDEX(Pop_Inputs!$B$2:$N$29,MATCH(C1522,Pop_Inputs!$A$2:$A$29,0),G1522))*(1-H1522)+LN(INDEX(Pop_Inputs!$B$2:$N$29,MATCH(C1522,Pop_Inputs!$A$2:$A$29,0),G1522+1))*H1522)</f>
        <v>2892282.32686092</v>
      </c>
      <c r="J1522" s="20" t="n">
        <f aca="false">I1522/F1522</f>
        <v>1446141.16343046</v>
      </c>
      <c r="K1522" s="21" t="n">
        <f aca="false">D1522/(D1522+E1522)</f>
        <v>0.478260869565217</v>
      </c>
      <c r="L1522" s="21" t="n">
        <f aca="false">AVERAGEIFS($K$2:$K$2705,$B$2:$B$2705,B1522)</f>
        <v>0.499997050721688</v>
      </c>
      <c r="M1522" s="21" t="n">
        <f aca="false">K1522-L1522</f>
        <v>-0.021736181156471</v>
      </c>
      <c r="N1522" s="21" t="n">
        <f aca="false">LN(J1522)</f>
        <v>14.1844093003319</v>
      </c>
      <c r="O1522" s="21" t="n">
        <f aca="false">AVERAGEIFS($N$2:$N$2705,$B$2:$B$2705,B1522)</f>
        <v>13.6355250889148</v>
      </c>
      <c r="P1522" s="21" t="n">
        <f aca="false">N1522-O1522</f>
        <v>0.548884211417077</v>
      </c>
      <c r="Q1522" s="7" t="n">
        <v>0</v>
      </c>
      <c r="R1522" s="3" t="n">
        <f aca="false">IF(AND(Q1522=1,B1522-_xlfn.MINIFS($B$2:$B$2705,$A$2:$A$2705,A1522)&lt;10),1,0)</f>
        <v>0</v>
      </c>
      <c r="S1522" s="7" t="n">
        <v>0</v>
      </c>
      <c r="T1522" s="3" t="n">
        <f aca="false">_xlfn.MINIFS($B$2:$B$2705,$A$2:$A$2705,A1522)</f>
        <v>1901</v>
      </c>
      <c r="U1522" s="3" t="n">
        <f aca="false">B1522-T1522</f>
        <v>84</v>
      </c>
      <c r="V1522" s="3" t="str">
        <f aca="false">INDEX(Pop_Inputs!$Q$2:$Q$29,MATCH(C1522,Pop_Inputs!$A$2:$A$29,0))</f>
        <v>Midwest</v>
      </c>
      <c r="W1522" s="29" t="n">
        <v>12702917</v>
      </c>
      <c r="X1522" s="3" t="n">
        <f aca="false">IF(W1522="","",LN(W1522))</f>
        <v>16.3573422100946</v>
      </c>
      <c r="Y1522" s="3" t="n">
        <f aca="false">IF(X1522="","",X1522-AVERAGEIFS($X$2:$X$2705,$B$2:$B$2705,B1522))</f>
        <v>0.264057440960997</v>
      </c>
      <c r="Z1522" s="21" t="n">
        <f aca="false">P1522</f>
        <v>0.548884211417077</v>
      </c>
      <c r="AA1522" s="3" t="n">
        <f aca="false">R1522</f>
        <v>0</v>
      </c>
      <c r="AB1522" s="21" t="n">
        <f aca="false">P1522</f>
        <v>0.548884211417077</v>
      </c>
      <c r="AC1522" s="3" t="n">
        <f aca="false">Y1522</f>
        <v>0.264057440960997</v>
      </c>
      <c r="AD1522" s="3" t="n">
        <f aca="false">R1522</f>
        <v>0</v>
      </c>
    </row>
    <row r="1523" customFormat="false" ht="15" hidden="false" customHeight="true" outlineLevel="0" collapsed="false">
      <c r="A1523" s="7" t="s">
        <v>65</v>
      </c>
      <c r="B1523" s="7" t="n">
        <v>1985</v>
      </c>
      <c r="C1523" s="7" t="s">
        <v>142</v>
      </c>
      <c r="D1523" s="7" t="n">
        <v>85</v>
      </c>
      <c r="E1523" s="7" t="n">
        <v>77</v>
      </c>
      <c r="F1523" s="3" t="n">
        <f aca="false">COUNTIFS($B$2:$B$2705,B1523,$C$2:$C$2705,C1523)</f>
        <v>2</v>
      </c>
      <c r="G1523" s="3" t="n">
        <f aca="false">MIN(INT((MIN(B1523,2020)-1900)/10)+1,12)</f>
        <v>9</v>
      </c>
      <c r="H1523" s="3" t="n">
        <f aca="false">(MIN(B1523,2020)-1900-10*(G1523-1))/10</f>
        <v>0.5</v>
      </c>
      <c r="I1523" s="20" t="n">
        <f aca="false">EXP(LN(INDEX(Pop_Inputs!$B$2:$N$29,MATCH(C1523,Pop_Inputs!$A$2:$A$29,0),G1523))*(1-H1523)+LN(INDEX(Pop_Inputs!$B$2:$N$29,MATCH(C1523,Pop_Inputs!$A$2:$A$29,0),G1523+1))*H1523)</f>
        <v>2892282.32686092</v>
      </c>
      <c r="J1523" s="20" t="n">
        <f aca="false">I1523/F1523</f>
        <v>1446141.16343046</v>
      </c>
      <c r="K1523" s="21" t="n">
        <f aca="false">D1523/(D1523+E1523)</f>
        <v>0.524691358024691</v>
      </c>
      <c r="L1523" s="21" t="n">
        <f aca="false">AVERAGEIFS($K$2:$K$2705,$B$2:$B$2705,B1523)</f>
        <v>0.499997050721688</v>
      </c>
      <c r="M1523" s="21" t="n">
        <f aca="false">K1523-L1523</f>
        <v>0.024694307303003</v>
      </c>
      <c r="N1523" s="21" t="n">
        <f aca="false">LN(J1523)</f>
        <v>14.1844093003319</v>
      </c>
      <c r="O1523" s="21" t="n">
        <f aca="false">AVERAGEIFS($N$2:$N$2705,$B$2:$B$2705,B1523)</f>
        <v>13.6355250889148</v>
      </c>
      <c r="P1523" s="21" t="n">
        <f aca="false">N1523-O1523</f>
        <v>0.548884211417077</v>
      </c>
      <c r="Q1523" s="7" t="n">
        <v>0</v>
      </c>
      <c r="R1523" s="3" t="n">
        <f aca="false">IF(AND(Q1523=1,B1523-_xlfn.MINIFS($B$2:$B$2705,$A$2:$A$2705,A1523)&lt;10),1,0)</f>
        <v>0</v>
      </c>
      <c r="S1523" s="7" t="n">
        <v>0</v>
      </c>
      <c r="T1523" s="3" t="n">
        <f aca="false">_xlfn.MINIFS($B$2:$B$2705,$A$2:$A$2705,A1523)</f>
        <v>1901</v>
      </c>
      <c r="U1523" s="3" t="n">
        <f aca="false">B1523-T1523</f>
        <v>84</v>
      </c>
      <c r="V1523" s="3" t="str">
        <f aca="false">INDEX(Pop_Inputs!$Q$2:$Q$29,MATCH(C1523,Pop_Inputs!$A$2:$A$29,0))</f>
        <v>Midwest</v>
      </c>
      <c r="W1523" s="29" t="n">
        <v>9846178</v>
      </c>
      <c r="X1523" s="3" t="n">
        <f aca="false">IF(W1523="","",LN(W1523))</f>
        <v>16.1025939175443</v>
      </c>
      <c r="Y1523" s="3" t="n">
        <f aca="false">IF(X1523="","",X1523-AVERAGEIFS($X$2:$X$2705,$B$2:$B$2705,B1523))</f>
        <v>0.0093091484107255</v>
      </c>
      <c r="Z1523" s="21" t="n">
        <f aca="false">P1523</f>
        <v>0.548884211417077</v>
      </c>
      <c r="AA1523" s="3" t="n">
        <f aca="false">R1523</f>
        <v>0</v>
      </c>
      <c r="AB1523" s="21" t="n">
        <f aca="false">P1523</f>
        <v>0.548884211417077</v>
      </c>
      <c r="AC1523" s="3" t="n">
        <f aca="false">Y1523</f>
        <v>0.0093091484107255</v>
      </c>
      <c r="AD1523" s="3" t="n">
        <f aca="false">R1523</f>
        <v>0</v>
      </c>
    </row>
    <row r="1524" customFormat="false" ht="15" hidden="false" customHeight="true" outlineLevel="0" collapsed="false">
      <c r="A1524" s="7" t="s">
        <v>57</v>
      </c>
      <c r="B1524" s="7" t="n">
        <v>1985</v>
      </c>
      <c r="C1524" s="7" t="s">
        <v>143</v>
      </c>
      <c r="D1524" s="7" t="n">
        <v>89</v>
      </c>
      <c r="E1524" s="7" t="n">
        <v>72</v>
      </c>
      <c r="F1524" s="3" t="n">
        <f aca="false">COUNTIFS($B$2:$B$2705,B1524,$C$2:$C$2705,C1524)</f>
        <v>1</v>
      </c>
      <c r="G1524" s="3" t="n">
        <f aca="false">MIN(INT((MIN(B1524,2020)-1900)/10)+1,12)</f>
        <v>9</v>
      </c>
      <c r="H1524" s="3" t="n">
        <f aca="false">(MIN(B1524,2020)-1900-10*(G1524-1))/10</f>
        <v>0.5</v>
      </c>
      <c r="I1524" s="20" t="n">
        <f aca="false">EXP(LN(INDEX(Pop_Inputs!$B$2:$N$29,MATCH(C1524,Pop_Inputs!$A$2:$A$29,0),G1524))*(1-H1524)+LN(INDEX(Pop_Inputs!$B$2:$N$29,MATCH(C1524,Pop_Inputs!$A$2:$A$29,0),G1524+1))*H1524)</f>
        <v>374596.927910521</v>
      </c>
      <c r="J1524" s="20" t="n">
        <f aca="false">I1524/F1524</f>
        <v>374596.927910521</v>
      </c>
      <c r="K1524" s="21" t="n">
        <f aca="false">D1524/(D1524+E1524)</f>
        <v>0.552795031055901</v>
      </c>
      <c r="L1524" s="21" t="n">
        <f aca="false">AVERAGEIFS($K$2:$K$2705,$B$2:$B$2705,B1524)</f>
        <v>0.499997050721688</v>
      </c>
      <c r="M1524" s="21" t="n">
        <f aca="false">K1524-L1524</f>
        <v>0.0527979803342123</v>
      </c>
      <c r="N1524" s="21" t="n">
        <f aca="false">LN(J1524)</f>
        <v>12.8336058679722</v>
      </c>
      <c r="O1524" s="21" t="n">
        <f aca="false">AVERAGEIFS($N$2:$N$2705,$B$2:$B$2705,B1524)</f>
        <v>13.6355250889148</v>
      </c>
      <c r="P1524" s="21" t="n">
        <f aca="false">N1524-O1524</f>
        <v>-0.80191922094264</v>
      </c>
      <c r="Q1524" s="7" t="n">
        <v>0</v>
      </c>
      <c r="R1524" s="3" t="n">
        <f aca="false">IF(AND(Q1524=1,B1524-_xlfn.MINIFS($B$2:$B$2705,$A$2:$A$2705,A1524)&lt;10),1,0)</f>
        <v>0</v>
      </c>
      <c r="S1524" s="7" t="n">
        <v>0</v>
      </c>
      <c r="T1524" s="3" t="n">
        <f aca="false">_xlfn.MINIFS($B$2:$B$2705,$A$2:$A$2705,A1524)</f>
        <v>1901</v>
      </c>
      <c r="U1524" s="3" t="n">
        <f aca="false">B1524-T1524</f>
        <v>84</v>
      </c>
      <c r="V1524" s="3" t="str">
        <f aca="false">INDEX(Pop_Inputs!$Q$2:$Q$29,MATCH(C1524,Pop_Inputs!$A$2:$A$29,0))</f>
        <v>Midwest</v>
      </c>
      <c r="W1524" s="29" t="n">
        <v>8359917</v>
      </c>
      <c r="X1524" s="3" t="n">
        <f aca="false">IF(W1524="","",LN(W1524))</f>
        <v>15.9389590567819</v>
      </c>
      <c r="Y1524" s="3" t="n">
        <f aca="false">IF(X1524="","",X1524-AVERAGEIFS($X$2:$X$2705,$B$2:$B$2705,B1524))</f>
        <v>-0.154325712351687</v>
      </c>
      <c r="Z1524" s="21" t="n">
        <f aca="false">P1524</f>
        <v>-0.80191922094264</v>
      </c>
      <c r="AA1524" s="3" t="n">
        <f aca="false">R1524</f>
        <v>0</v>
      </c>
      <c r="AB1524" s="21" t="n">
        <f aca="false">P1524</f>
        <v>-0.80191922094264</v>
      </c>
      <c r="AC1524" s="3" t="n">
        <f aca="false">Y1524</f>
        <v>-0.154325712351687</v>
      </c>
      <c r="AD1524" s="3" t="n">
        <f aca="false">R1524</f>
        <v>0</v>
      </c>
    </row>
    <row r="1525" customFormat="false" ht="15" hidden="false" customHeight="true" outlineLevel="0" collapsed="false">
      <c r="A1525" s="7" t="s">
        <v>66</v>
      </c>
      <c r="B1525" s="7" t="n">
        <v>1985</v>
      </c>
      <c r="C1525" s="7" t="s">
        <v>151</v>
      </c>
      <c r="D1525" s="7" t="n">
        <v>60</v>
      </c>
      <c r="E1525" s="7" t="n">
        <v>102</v>
      </c>
      <c r="F1525" s="3" t="n">
        <f aca="false">COUNTIFS($B$2:$B$2705,B1525,$C$2:$C$2705,C1525)</f>
        <v>1</v>
      </c>
      <c r="G1525" s="3" t="n">
        <f aca="false">MIN(INT((MIN(B1525,2020)-1900)/10)+1,12)</f>
        <v>9</v>
      </c>
      <c r="H1525" s="3" t="n">
        <f aca="false">(MIN(B1525,2020)-1900-10*(G1525-1))/10</f>
        <v>0.5</v>
      </c>
      <c r="I1525" s="20" t="n">
        <f aca="false">EXP(LN(INDEX(Pop_Inputs!$B$2:$N$29,MATCH(C1525,Pop_Inputs!$A$2:$A$29,0),G1525))*(1-H1525)+LN(INDEX(Pop_Inputs!$B$2:$N$29,MATCH(C1525,Pop_Inputs!$A$2:$A$29,0),G1525+1))*H1525)</f>
        <v>538640.496390681</v>
      </c>
      <c r="J1525" s="20" t="n">
        <f aca="false">I1525/F1525</f>
        <v>538640.496390681</v>
      </c>
      <c r="K1525" s="21" t="n">
        <f aca="false">D1525/(D1525+E1525)</f>
        <v>0.37037037037037</v>
      </c>
      <c r="L1525" s="21" t="n">
        <f aca="false">AVERAGEIFS($K$2:$K$2705,$B$2:$B$2705,B1525)</f>
        <v>0.499997050721688</v>
      </c>
      <c r="M1525" s="21" t="n">
        <f aca="false">K1525-L1525</f>
        <v>-0.129626680351318</v>
      </c>
      <c r="N1525" s="21" t="n">
        <f aca="false">LN(J1525)</f>
        <v>13.1968036447817</v>
      </c>
      <c r="O1525" s="21" t="n">
        <f aca="false">AVERAGEIFS($N$2:$N$2705,$B$2:$B$2705,B1525)</f>
        <v>13.6355250889148</v>
      </c>
      <c r="P1525" s="21" t="n">
        <f aca="false">N1525-O1525</f>
        <v>-0.438721444133094</v>
      </c>
      <c r="Q1525" s="7" t="n">
        <v>0</v>
      </c>
      <c r="R1525" s="3" t="n">
        <f aca="false">IF(AND(Q1525=1,B1525-_xlfn.MINIFS($B$2:$B$2705,$A$2:$A$2705,A1525)&lt;10),1,0)</f>
        <v>0</v>
      </c>
      <c r="S1525" s="7" t="n">
        <v>0</v>
      </c>
      <c r="T1525" s="3" t="n">
        <f aca="false">_xlfn.MINIFS($B$2:$B$2705,$A$2:$A$2705,A1525)</f>
        <v>1901</v>
      </c>
      <c r="U1525" s="3" t="n">
        <f aca="false">B1525-T1525</f>
        <v>84</v>
      </c>
      <c r="V1525" s="3" t="str">
        <f aca="false">INDEX(Pop_Inputs!$Q$2:$Q$29,MATCH(C1525,Pop_Inputs!$A$2:$A$29,0))</f>
        <v>Midwest</v>
      </c>
      <c r="W1525" s="29" t="n">
        <v>6551666</v>
      </c>
      <c r="X1525" s="3" t="n">
        <f aca="false">IF(W1525="","",LN(W1525))</f>
        <v>15.6952299264147</v>
      </c>
      <c r="Y1525" s="3" t="n">
        <f aca="false">IF(X1525="","",X1525-AVERAGEIFS($X$2:$X$2705,$B$2:$B$2705,B1525))</f>
        <v>-0.398054842718917</v>
      </c>
      <c r="Z1525" s="21" t="n">
        <f aca="false">P1525</f>
        <v>-0.438721444133094</v>
      </c>
      <c r="AA1525" s="3" t="n">
        <f aca="false">R1525</f>
        <v>0</v>
      </c>
      <c r="AB1525" s="21" t="n">
        <f aca="false">P1525</f>
        <v>-0.438721444133094</v>
      </c>
      <c r="AC1525" s="3" t="n">
        <f aca="false">Y1525</f>
        <v>-0.398054842718917</v>
      </c>
      <c r="AD1525" s="3" t="n">
        <f aca="false">R1525</f>
        <v>0</v>
      </c>
    </row>
    <row r="1526" customFormat="false" ht="15" hidden="false" customHeight="true" outlineLevel="0" collapsed="false">
      <c r="A1526" s="7" t="s">
        <v>67</v>
      </c>
      <c r="B1526" s="7" t="n">
        <v>1985</v>
      </c>
      <c r="C1526" s="7" t="s">
        <v>152</v>
      </c>
      <c r="D1526" s="7" t="n">
        <v>84</v>
      </c>
      <c r="E1526" s="7" t="n">
        <v>77</v>
      </c>
      <c r="F1526" s="3" t="n">
        <f aca="false">COUNTIFS($B$2:$B$2705,B1526,$C$2:$C$2705,C1526)</f>
        <v>1</v>
      </c>
      <c r="G1526" s="3" t="n">
        <f aca="false">MIN(INT((MIN(B1526,2020)-1900)/10)+1,12)</f>
        <v>9</v>
      </c>
      <c r="H1526" s="3" t="n">
        <f aca="false">(MIN(B1526,2020)-1900-10*(G1526-1))/10</f>
        <v>0.5</v>
      </c>
      <c r="I1526" s="20" t="n">
        <f aca="false">EXP(LN(INDEX(Pop_Inputs!$B$2:$N$29,MATCH(C1526,Pop_Inputs!$A$2:$A$29,0),G1526))*(1-H1526)+LN(INDEX(Pop_Inputs!$B$2:$N$29,MATCH(C1526,Pop_Inputs!$A$2:$A$29,0),G1526+1))*H1526)</f>
        <v>1112218.96065118</v>
      </c>
      <c r="J1526" s="20" t="n">
        <f aca="false">I1526/F1526</f>
        <v>1112218.96065118</v>
      </c>
      <c r="K1526" s="21" t="n">
        <f aca="false">D1526/(D1526+E1526)</f>
        <v>0.521739130434783</v>
      </c>
      <c r="L1526" s="21" t="n">
        <f aca="false">AVERAGEIFS($K$2:$K$2705,$B$2:$B$2705,B1526)</f>
        <v>0.499997050721688</v>
      </c>
      <c r="M1526" s="21" t="n">
        <f aca="false">K1526-L1526</f>
        <v>0.0217420797130942</v>
      </c>
      <c r="N1526" s="21" t="n">
        <f aca="false">LN(J1526)</f>
        <v>13.9218676414694</v>
      </c>
      <c r="O1526" s="21" t="n">
        <f aca="false">AVERAGEIFS($N$2:$N$2705,$B$2:$B$2705,B1526)</f>
        <v>13.6355250889148</v>
      </c>
      <c r="P1526" s="21" t="n">
        <f aca="false">N1526-O1526</f>
        <v>0.286342552554624</v>
      </c>
      <c r="Q1526" s="7" t="n">
        <v>0</v>
      </c>
      <c r="R1526" s="3" t="n">
        <f aca="false">IF(AND(Q1526=1,B1526-_xlfn.MINIFS($B$2:$B$2705,$A$2:$A$2705,A1526)&lt;10),1,0)</f>
        <v>0</v>
      </c>
      <c r="S1526" s="7" t="n">
        <v>0</v>
      </c>
      <c r="T1526" s="3" t="n">
        <f aca="false">_xlfn.MINIFS($B$2:$B$2705,$A$2:$A$2705,A1526)</f>
        <v>1901</v>
      </c>
      <c r="U1526" s="3" t="n">
        <f aca="false">B1526-T1526</f>
        <v>84</v>
      </c>
      <c r="V1526" s="3" t="str">
        <f aca="false">INDEX(Pop_Inputs!$Q$2:$Q$29,MATCH(C1526,Pop_Inputs!$A$2:$A$29,0))</f>
        <v>Midwest</v>
      </c>
      <c r="W1526" s="29" t="n">
        <v>10348143</v>
      </c>
      <c r="X1526" s="3" t="n">
        <f aca="false">IF(W1526="","",LN(W1526))</f>
        <v>16.1523176412881</v>
      </c>
      <c r="Y1526" s="3" t="n">
        <f aca="false">IF(X1526="","",X1526-AVERAGEIFS($X$2:$X$2705,$B$2:$B$2705,B1526))</f>
        <v>0.0590328721544289</v>
      </c>
      <c r="Z1526" s="21" t="n">
        <f aca="false">P1526</f>
        <v>0.286342552554624</v>
      </c>
      <c r="AA1526" s="3" t="n">
        <f aca="false">R1526</f>
        <v>0</v>
      </c>
      <c r="AB1526" s="21" t="n">
        <f aca="false">P1526</f>
        <v>0.286342552554624</v>
      </c>
      <c r="AC1526" s="3" t="n">
        <f aca="false">Y1526</f>
        <v>0.0590328721544289</v>
      </c>
      <c r="AD1526" s="3" t="n">
        <f aca="false">R1526</f>
        <v>0</v>
      </c>
    </row>
    <row r="1527" customFormat="false" ht="15" hidden="false" customHeight="true" outlineLevel="0" collapsed="false">
      <c r="A1527" s="7" t="s">
        <v>74</v>
      </c>
      <c r="B1527" s="7" t="n">
        <v>1985</v>
      </c>
      <c r="C1527" s="7" t="s">
        <v>156</v>
      </c>
      <c r="D1527" s="7" t="n">
        <v>83</v>
      </c>
      <c r="E1527" s="7" t="n">
        <v>79</v>
      </c>
      <c r="F1527" s="3" t="n">
        <f aca="false">COUNTIFS($B$2:$B$2705,B1527,$C$2:$C$2705,C1527)</f>
        <v>1</v>
      </c>
      <c r="G1527" s="3" t="n">
        <f aca="false">MIN(INT((MIN(B1527,2020)-1900)/10)+1,12)</f>
        <v>9</v>
      </c>
      <c r="H1527" s="3" t="n">
        <f aca="false">(MIN(B1527,2020)-1900-10*(G1527-1))/10</f>
        <v>0.5</v>
      </c>
      <c r="I1527" s="20" t="n">
        <f aca="false">EXP(LN(INDEX(Pop_Inputs!$B$2:$N$29,MATCH(C1527,Pop_Inputs!$A$2:$A$29,0),G1527))*(1-H1527)+LN(INDEX(Pop_Inputs!$B$2:$N$29,MATCH(C1527,Pop_Inputs!$A$2:$A$29,0),G1527+1))*H1527)</f>
        <v>1612748.29136911</v>
      </c>
      <c r="J1527" s="20" t="n">
        <f aca="false">I1527/F1527</f>
        <v>1612748.29136911</v>
      </c>
      <c r="K1527" s="21" t="n">
        <f aca="false">D1527/(D1527+E1527)</f>
        <v>0.512345679012346</v>
      </c>
      <c r="L1527" s="21" t="n">
        <f aca="false">AVERAGEIFS($K$2:$K$2705,$B$2:$B$2705,B1527)</f>
        <v>0.499997050721688</v>
      </c>
      <c r="M1527" s="21" t="n">
        <f aca="false">K1527-L1527</f>
        <v>0.0123486282906574</v>
      </c>
      <c r="N1527" s="21" t="n">
        <f aca="false">LN(J1527)</f>
        <v>14.2934502949421</v>
      </c>
      <c r="O1527" s="21" t="n">
        <f aca="false">AVERAGEIFS($N$2:$N$2705,$B$2:$B$2705,B1527)</f>
        <v>13.6355250889148</v>
      </c>
      <c r="P1527" s="21" t="n">
        <f aca="false">N1527-O1527</f>
        <v>0.657925206027322</v>
      </c>
      <c r="Q1527" s="7" t="n">
        <v>1</v>
      </c>
      <c r="R1527" s="3" t="n">
        <f aca="false">IF(AND(Q1527=1,B1527-_xlfn.MINIFS($B$2:$B$2705,$A$2:$A$2705,A1527)&lt;10),1,0)</f>
        <v>0</v>
      </c>
      <c r="S1527" s="7" t="n">
        <v>0</v>
      </c>
      <c r="T1527" s="3" t="n">
        <f aca="false">_xlfn.MINIFS($B$2:$B$2705,$A$2:$A$2705,A1527)</f>
        <v>1962</v>
      </c>
      <c r="U1527" s="3" t="n">
        <f aca="false">B1527-T1527</f>
        <v>23</v>
      </c>
      <c r="V1527" s="3" t="str">
        <f aca="false">INDEX(Pop_Inputs!$Q$2:$Q$29,MATCH(C1527,Pop_Inputs!$A$2:$A$29,0))</f>
        <v>South</v>
      </c>
      <c r="W1527" s="29" t="n">
        <v>9993051</v>
      </c>
      <c r="X1527" s="3" t="n">
        <f aca="false">IF(W1527="","",LN(W1527))</f>
        <v>16.1174005094034</v>
      </c>
      <c r="Y1527" s="3" t="n">
        <f aca="false">IF(X1527="","",X1527-AVERAGEIFS($X$2:$X$2705,$B$2:$B$2705,B1527))</f>
        <v>0.0241157402697816</v>
      </c>
      <c r="Z1527" s="21" t="n">
        <f aca="false">P1527</f>
        <v>0.657925206027322</v>
      </c>
      <c r="AA1527" s="3" t="n">
        <f aca="false">R1527</f>
        <v>0</v>
      </c>
      <c r="AB1527" s="21" t="n">
        <f aca="false">P1527</f>
        <v>0.657925206027322</v>
      </c>
      <c r="AC1527" s="3" t="n">
        <f aca="false">Y1527</f>
        <v>0.0241157402697816</v>
      </c>
      <c r="AD1527" s="3" t="n">
        <f aca="false">R1527</f>
        <v>0</v>
      </c>
    </row>
    <row r="1528" customFormat="false" ht="15" hidden="false" customHeight="true" outlineLevel="0" collapsed="false">
      <c r="A1528" s="7" t="s">
        <v>76</v>
      </c>
      <c r="B1528" s="7" t="n">
        <v>1985</v>
      </c>
      <c r="C1528" s="7" t="s">
        <v>157</v>
      </c>
      <c r="D1528" s="7" t="n">
        <v>91</v>
      </c>
      <c r="E1528" s="7" t="n">
        <v>71</v>
      </c>
      <c r="F1528" s="3" t="n">
        <f aca="false">COUNTIFS($B$2:$B$2705,B1528,$C$2:$C$2705,C1528)</f>
        <v>1</v>
      </c>
      <c r="G1528" s="3" t="n">
        <f aca="false">MIN(INT((MIN(B1528,2020)-1900)/10)+1,12)</f>
        <v>9</v>
      </c>
      <c r="H1528" s="3" t="n">
        <f aca="false">(MIN(B1528,2020)-1900-10*(G1528-1))/10</f>
        <v>0.5</v>
      </c>
      <c r="I1528" s="20" t="n">
        <f aca="false">EXP(LN(INDEX(Pop_Inputs!$B$2:$N$29,MATCH(C1528,Pop_Inputs!$A$2:$A$29,0),G1528))*(1-H1528)+LN(INDEX(Pop_Inputs!$B$2:$N$29,MATCH(C1528,Pop_Inputs!$A$2:$A$29,0),G1528+1))*H1528)</f>
        <v>441604.569965032</v>
      </c>
      <c r="J1528" s="20" t="n">
        <f aca="false">I1528/F1528</f>
        <v>441604.569965032</v>
      </c>
      <c r="K1528" s="21" t="n">
        <f aca="false">D1528/(D1528+E1528)</f>
        <v>0.561728395061728</v>
      </c>
      <c r="L1528" s="21" t="n">
        <f aca="false">AVERAGEIFS($K$2:$K$2705,$B$2:$B$2705,B1528)</f>
        <v>0.499997050721688</v>
      </c>
      <c r="M1528" s="21" t="n">
        <f aca="false">K1528-L1528</f>
        <v>0.0617313443400401</v>
      </c>
      <c r="N1528" s="21" t="n">
        <f aca="false">LN(J1528)</f>
        <v>12.9981701225442</v>
      </c>
      <c r="O1528" s="21" t="n">
        <f aca="false">AVERAGEIFS($N$2:$N$2705,$B$2:$B$2705,B1528)</f>
        <v>13.6355250889148</v>
      </c>
      <c r="P1528" s="21" t="n">
        <f aca="false">N1528-O1528</f>
        <v>-0.637354966370634</v>
      </c>
      <c r="Q1528" s="7" t="n">
        <v>1</v>
      </c>
      <c r="R1528" s="3" t="n">
        <f aca="false">IF(AND(Q1528=1,B1528-_xlfn.MINIFS($B$2:$B$2705,$A$2:$A$2705,A1528)&lt;10),1,0)</f>
        <v>0</v>
      </c>
      <c r="S1528" s="7" t="n">
        <v>0</v>
      </c>
      <c r="T1528" s="3" t="n">
        <f aca="false">_xlfn.MINIFS($B$2:$B$2705,$A$2:$A$2705,A1528)</f>
        <v>1969</v>
      </c>
      <c r="U1528" s="3" t="n">
        <f aca="false">B1528-T1528</f>
        <v>16</v>
      </c>
      <c r="V1528" s="3" t="str">
        <f aca="false">INDEX(Pop_Inputs!$Q$2:$Q$29,MATCH(C1528,Pop_Inputs!$A$2:$A$29,0))</f>
        <v>Midwest</v>
      </c>
      <c r="W1528" s="29" t="n">
        <v>9321179</v>
      </c>
      <c r="X1528" s="3" t="n">
        <f aca="false">IF(W1528="","",LN(W1528))</f>
        <v>16.047799680807</v>
      </c>
      <c r="Y1528" s="3" t="n">
        <f aca="false">IF(X1528="","",X1528-AVERAGEIFS($X$2:$X$2705,$B$2:$B$2705,B1528))</f>
        <v>-0.0454850883266467</v>
      </c>
      <c r="Z1528" s="21" t="n">
        <f aca="false">P1528</f>
        <v>-0.637354966370634</v>
      </c>
      <c r="AA1528" s="3" t="n">
        <f aca="false">R1528</f>
        <v>0</v>
      </c>
      <c r="AB1528" s="21" t="n">
        <f aca="false">P1528</f>
        <v>-0.637354966370634</v>
      </c>
      <c r="AC1528" s="3" t="n">
        <f aca="false">Y1528</f>
        <v>-0.0454850883266467</v>
      </c>
      <c r="AD1528" s="3" t="n">
        <f aca="false">R1528</f>
        <v>0</v>
      </c>
    </row>
    <row r="1529" customFormat="false" ht="15" hidden="false" customHeight="true" outlineLevel="0" collapsed="false">
      <c r="A1529" s="7" t="s">
        <v>62</v>
      </c>
      <c r="B1529" s="7" t="n">
        <v>1985</v>
      </c>
      <c r="C1529" s="7" t="s">
        <v>148</v>
      </c>
      <c r="D1529" s="7" t="n">
        <v>95</v>
      </c>
      <c r="E1529" s="7" t="n">
        <v>67</v>
      </c>
      <c r="F1529" s="3" t="n">
        <f aca="false">COUNTIFS($B$2:$B$2705,B1529,$C$2:$C$2705,C1529)</f>
        <v>2</v>
      </c>
      <c r="G1529" s="3" t="n">
        <f aca="false">MIN(INT((MIN(B1529,2020)-1900)/10)+1,12)</f>
        <v>9</v>
      </c>
      <c r="H1529" s="3" t="n">
        <f aca="false">(MIN(B1529,2020)-1900-10*(G1529-1))/10</f>
        <v>0.5</v>
      </c>
      <c r="I1529" s="20" t="n">
        <f aca="false">EXP(LN(INDEX(Pop_Inputs!$B$2:$N$29,MATCH(C1529,Pop_Inputs!$A$2:$A$29,0),G1529))*(1-H1529)+LN(INDEX(Pop_Inputs!$B$2:$N$29,MATCH(C1529,Pop_Inputs!$A$2:$A$29,0),G1529+1))*H1529)</f>
        <v>3215688.58198365</v>
      </c>
      <c r="J1529" s="20" t="n">
        <f aca="false">I1529/F1529</f>
        <v>1607844.29099182</v>
      </c>
      <c r="K1529" s="21" t="n">
        <f aca="false">D1529/(D1529+E1529)</f>
        <v>0.58641975308642</v>
      </c>
      <c r="L1529" s="21" t="n">
        <f aca="false">AVERAGEIFS($K$2:$K$2705,$B$2:$B$2705,B1529)</f>
        <v>0.499997050721688</v>
      </c>
      <c r="M1529" s="21" t="n">
        <f aca="false">K1529-L1529</f>
        <v>0.0864227023647314</v>
      </c>
      <c r="N1529" s="21" t="n">
        <f aca="false">LN(J1529)</f>
        <v>14.290404890072</v>
      </c>
      <c r="O1529" s="21" t="n">
        <f aca="false">AVERAGEIFS($N$2:$N$2705,$B$2:$B$2705,B1529)</f>
        <v>13.6355250889148</v>
      </c>
      <c r="P1529" s="21" t="n">
        <f aca="false">N1529-O1529</f>
        <v>0.654879801157222</v>
      </c>
      <c r="Q1529" s="7" t="n">
        <v>0</v>
      </c>
      <c r="R1529" s="3" t="n">
        <f aca="false">IF(AND(Q1529=1,B1529-_xlfn.MINIFS($B$2:$B$2705,$A$2:$A$2705,A1529)&lt;10),1,0)</f>
        <v>0</v>
      </c>
      <c r="S1529" s="7" t="n">
        <v>0</v>
      </c>
      <c r="T1529" s="3" t="n">
        <f aca="false">_xlfn.MINIFS($B$2:$B$2705,$A$2:$A$2705,A1529)</f>
        <v>1901</v>
      </c>
      <c r="U1529" s="3" t="n">
        <f aca="false">B1529-T1529</f>
        <v>84</v>
      </c>
      <c r="V1529" s="3" t="str">
        <f aca="false">INDEX(Pop_Inputs!$Q$2:$Q$29,MATCH(C1529,Pop_Inputs!$A$2:$A$29,0))</f>
        <v>West</v>
      </c>
      <c r="W1529" s="29" t="n">
        <v>10967917</v>
      </c>
      <c r="X1529" s="3" t="n">
        <f aca="false">IF(W1529="","",LN(W1529))</f>
        <v>16.2104849327267</v>
      </c>
      <c r="Y1529" s="3" t="n">
        <f aca="false">IF(X1529="","",X1529-AVERAGEIFS($X$2:$X$2705,$B$2:$B$2705,B1529))</f>
        <v>0.117200163593033</v>
      </c>
      <c r="Z1529" s="21" t="n">
        <f aca="false">P1529</f>
        <v>0.654879801157222</v>
      </c>
      <c r="AA1529" s="3" t="n">
        <f aca="false">R1529</f>
        <v>0</v>
      </c>
      <c r="AB1529" s="21" t="n">
        <f aca="false">P1529</f>
        <v>0.654879801157222</v>
      </c>
      <c r="AC1529" s="3" t="n">
        <f aca="false">Y1529</f>
        <v>0.117200163593033</v>
      </c>
      <c r="AD1529" s="3" t="n">
        <f aca="false">R1529</f>
        <v>0</v>
      </c>
    </row>
    <row r="1530" customFormat="false" ht="15" hidden="false" customHeight="true" outlineLevel="0" collapsed="false">
      <c r="A1530" s="7" t="s">
        <v>77</v>
      </c>
      <c r="B1530" s="7" t="n">
        <v>1985</v>
      </c>
      <c r="C1530" s="7" t="s">
        <v>158</v>
      </c>
      <c r="D1530" s="7" t="n">
        <v>71</v>
      </c>
      <c r="E1530" s="7" t="n">
        <v>90</v>
      </c>
      <c r="F1530" s="3" t="n">
        <f aca="false">COUNTIFS($B$2:$B$2705,B1530,$C$2:$C$2705,C1530)</f>
        <v>1</v>
      </c>
      <c r="G1530" s="3" t="n">
        <f aca="false">MIN(INT((MIN(B1530,2020)-1900)/10)+1,12)</f>
        <v>9</v>
      </c>
      <c r="H1530" s="3" t="n">
        <f aca="false">(MIN(B1530,2020)-1900-10*(G1530-1))/10</f>
        <v>0.5</v>
      </c>
      <c r="I1530" s="20" t="n">
        <f aca="false">EXP(LN(INDEX(Pop_Inputs!$B$2:$N$29,MATCH(C1530,Pop_Inputs!$A$2:$A$29,0),G1530))*(1-H1530)+LN(INDEX(Pop_Inputs!$B$2:$N$29,MATCH(C1530,Pop_Inputs!$A$2:$A$29,0),G1530+1))*H1530)</f>
        <v>632136.949288681</v>
      </c>
      <c r="J1530" s="20" t="n">
        <f aca="false">I1530/F1530</f>
        <v>632136.949288681</v>
      </c>
      <c r="K1530" s="21" t="n">
        <f aca="false">D1530/(D1530+E1530)</f>
        <v>0.440993788819876</v>
      </c>
      <c r="L1530" s="21" t="n">
        <f aca="false">AVERAGEIFS($K$2:$K$2705,$B$2:$B$2705,B1530)</f>
        <v>0.499997050721688</v>
      </c>
      <c r="M1530" s="21" t="n">
        <f aca="false">K1530-L1530</f>
        <v>-0.0590032619018126</v>
      </c>
      <c r="N1530" s="21" t="n">
        <f aca="false">LN(J1530)</f>
        <v>13.3568613415672</v>
      </c>
      <c r="O1530" s="21" t="n">
        <f aca="false">AVERAGEIFS($N$2:$N$2705,$B$2:$B$2705,B1530)</f>
        <v>13.6355250889148</v>
      </c>
      <c r="P1530" s="21" t="n">
        <f aca="false">N1530-O1530</f>
        <v>-0.278663747347645</v>
      </c>
      <c r="Q1530" s="7" t="n">
        <v>1</v>
      </c>
      <c r="R1530" s="3" t="n">
        <f aca="false">IF(AND(Q1530=1,B1530-_xlfn.MINIFS($B$2:$B$2705,$A$2:$A$2705,A1530)&lt;10),1,0)</f>
        <v>0</v>
      </c>
      <c r="S1530" s="7" t="n">
        <v>0</v>
      </c>
      <c r="T1530" s="3" t="n">
        <f aca="false">_xlfn.MINIFS($B$2:$B$2705,$A$2:$A$2705,A1530)</f>
        <v>1969</v>
      </c>
      <c r="U1530" s="3" t="n">
        <f aca="false">B1530-T1530</f>
        <v>16</v>
      </c>
      <c r="V1530" s="3" t="str">
        <f aca="false">INDEX(Pop_Inputs!$Q$2:$Q$29,MATCH(C1530,Pop_Inputs!$A$2:$A$29,0))</f>
        <v>Midwest</v>
      </c>
      <c r="W1530" s="29" t="n">
        <v>11284107</v>
      </c>
      <c r="X1530" s="3" t="n">
        <f aca="false">IF(W1530="","",LN(W1530))</f>
        <v>16.2389058335121</v>
      </c>
      <c r="Y1530" s="3" t="n">
        <f aca="false">IF(X1530="","",X1530-AVERAGEIFS($X$2:$X$2705,$B$2:$B$2705,B1530))</f>
        <v>0.145621064378474</v>
      </c>
      <c r="Z1530" s="21" t="n">
        <f aca="false">P1530</f>
        <v>-0.278663747347645</v>
      </c>
      <c r="AA1530" s="3" t="n">
        <f aca="false">R1530</f>
        <v>0</v>
      </c>
      <c r="AB1530" s="21" t="n">
        <f aca="false">P1530</f>
        <v>-0.278663747347645</v>
      </c>
      <c r="AC1530" s="3" t="n">
        <f aca="false">Y1530</f>
        <v>0.145621064378474</v>
      </c>
      <c r="AD1530" s="3" t="n">
        <f aca="false">R1530</f>
        <v>0</v>
      </c>
    </row>
    <row r="1531" customFormat="false" ht="15" hidden="false" customHeight="true" outlineLevel="0" collapsed="false">
      <c r="A1531" s="7" t="s">
        <v>68</v>
      </c>
      <c r="B1531" s="7" t="n">
        <v>1985</v>
      </c>
      <c r="C1531" s="7" t="s">
        <v>153</v>
      </c>
      <c r="D1531" s="7" t="n">
        <v>77</v>
      </c>
      <c r="E1531" s="7" t="n">
        <v>85</v>
      </c>
      <c r="F1531" s="3" t="n">
        <f aca="false">COUNTIFS($B$2:$B$2705,B1531,$C$2:$C$2705,C1531)</f>
        <v>1</v>
      </c>
      <c r="G1531" s="3" t="n">
        <f aca="false">MIN(INT((MIN(B1531,2020)-1900)/10)+1,12)</f>
        <v>9</v>
      </c>
      <c r="H1531" s="3" t="n">
        <f aca="false">(MIN(B1531,2020)-1900-10*(G1531-1))/10</f>
        <v>0.5</v>
      </c>
      <c r="I1531" s="20" t="n">
        <f aca="false">EXP(LN(INDEX(Pop_Inputs!$B$2:$N$29,MATCH(C1531,Pop_Inputs!$A$2:$A$29,0),G1531))*(1-H1531)+LN(INDEX(Pop_Inputs!$B$2:$N$29,MATCH(C1531,Pop_Inputs!$A$2:$A$29,0),G1531+1))*H1531)</f>
        <v>369664.770072832</v>
      </c>
      <c r="J1531" s="20" t="n">
        <f aca="false">I1531/F1531</f>
        <v>369664.770072832</v>
      </c>
      <c r="K1531" s="21" t="n">
        <f aca="false">D1531/(D1531+E1531)</f>
        <v>0.475308641975309</v>
      </c>
      <c r="L1531" s="21" t="n">
        <f aca="false">AVERAGEIFS($K$2:$K$2705,$B$2:$B$2705,B1531)</f>
        <v>0.499997050721688</v>
      </c>
      <c r="M1531" s="21" t="n">
        <f aca="false">K1531-L1531</f>
        <v>-0.0246884087463797</v>
      </c>
      <c r="N1531" s="21" t="n">
        <f aca="false">LN(J1531)</f>
        <v>12.8203518470998</v>
      </c>
      <c r="O1531" s="21" t="n">
        <f aca="false">AVERAGEIFS($N$2:$N$2705,$B$2:$B$2705,B1531)</f>
        <v>13.6355250889148</v>
      </c>
      <c r="P1531" s="21" t="n">
        <f aca="false">N1531-O1531</f>
        <v>-0.815173241814975</v>
      </c>
      <c r="Q1531" s="7" t="n">
        <v>0</v>
      </c>
      <c r="R1531" s="3" t="n">
        <f aca="false">IF(AND(Q1531=1,B1531-_xlfn.MINIFS($B$2:$B$2705,$A$2:$A$2705,A1531)&lt;10),1,0)</f>
        <v>0</v>
      </c>
      <c r="S1531" s="7" t="n">
        <v>0</v>
      </c>
      <c r="T1531" s="3" t="n">
        <f aca="false">_xlfn.MINIFS($B$2:$B$2705,$A$2:$A$2705,A1531)</f>
        <v>1901</v>
      </c>
      <c r="U1531" s="3" t="n">
        <f aca="false">B1531-T1531</f>
        <v>84</v>
      </c>
      <c r="V1531" s="3" t="str">
        <f aca="false">INDEX(Pop_Inputs!$Q$2:$Q$29,MATCH(C1531,Pop_Inputs!$A$2:$A$29,0))</f>
        <v>Midwest</v>
      </c>
      <c r="W1531" s="29" t="n">
        <v>5764821</v>
      </c>
      <c r="X1531" s="3" t="n">
        <f aca="false">IF(W1531="","",LN(W1531))</f>
        <v>15.567284661767</v>
      </c>
      <c r="Y1531" s="3" t="n">
        <f aca="false">IF(X1531="","",X1531-AVERAGEIFS($X$2:$X$2705,$B$2:$B$2705,B1531))</f>
        <v>-0.526000107366622</v>
      </c>
      <c r="Z1531" s="21" t="n">
        <f aca="false">P1531</f>
        <v>-0.815173241814975</v>
      </c>
      <c r="AA1531" s="3" t="n">
        <f aca="false">R1531</f>
        <v>0</v>
      </c>
      <c r="AB1531" s="21" t="n">
        <f aca="false">P1531</f>
        <v>-0.815173241814975</v>
      </c>
      <c r="AC1531" s="3" t="n">
        <f aca="false">Y1531</f>
        <v>-0.526000107366622</v>
      </c>
      <c r="AD1531" s="3" t="n">
        <f aca="false">R1531</f>
        <v>0</v>
      </c>
    </row>
    <row r="1532" customFormat="false" ht="15" hidden="false" customHeight="true" outlineLevel="0" collapsed="false">
      <c r="A1532" s="7" t="s">
        <v>75</v>
      </c>
      <c r="B1532" s="7" t="n">
        <v>1985</v>
      </c>
      <c r="C1532" s="7" t="s">
        <v>154</v>
      </c>
      <c r="D1532" s="7" t="n">
        <v>98</v>
      </c>
      <c r="E1532" s="7" t="n">
        <v>64</v>
      </c>
      <c r="F1532" s="3" t="n">
        <f aca="false">COUNTIFS($B$2:$B$2705,B1532,$C$2:$C$2705,C1532)</f>
        <v>2</v>
      </c>
      <c r="G1532" s="3" t="n">
        <f aca="false">MIN(INT((MIN(B1532,2020)-1900)/10)+1,12)</f>
        <v>9</v>
      </c>
      <c r="H1532" s="3" t="n">
        <f aca="false">(MIN(B1532,2020)-1900-10*(G1532-1))/10</f>
        <v>0.5</v>
      </c>
      <c r="I1532" s="20" t="n">
        <f aca="false">EXP(LN(INDEX(Pop_Inputs!$B$2:$N$29,MATCH(C1532,Pop_Inputs!$A$2:$A$29,0),G1532))*(1-H1532)+LN(INDEX(Pop_Inputs!$B$2:$N$29,MATCH(C1532,Pop_Inputs!$A$2:$A$29,0),G1532+1))*H1532)</f>
        <v>7196007.86286369</v>
      </c>
      <c r="J1532" s="20" t="n">
        <f aca="false">I1532/F1532</f>
        <v>3598003.93143184</v>
      </c>
      <c r="K1532" s="21" t="n">
        <f aca="false">D1532/(D1532+E1532)</f>
        <v>0.604938271604938</v>
      </c>
      <c r="L1532" s="21" t="n">
        <f aca="false">AVERAGEIFS($K$2:$K$2705,$B$2:$B$2705,B1532)</f>
        <v>0.499997050721688</v>
      </c>
      <c r="M1532" s="21" t="n">
        <f aca="false">K1532-L1532</f>
        <v>0.10494122088325</v>
      </c>
      <c r="N1532" s="21" t="n">
        <f aca="false">LN(J1532)</f>
        <v>15.0958897861635</v>
      </c>
      <c r="O1532" s="21" t="n">
        <f aca="false">AVERAGEIFS($N$2:$N$2705,$B$2:$B$2705,B1532)</f>
        <v>13.6355250889148</v>
      </c>
      <c r="P1532" s="21" t="n">
        <f aca="false">N1532-O1532</f>
        <v>1.46036469724865</v>
      </c>
      <c r="Q1532" s="7" t="n">
        <v>1</v>
      </c>
      <c r="R1532" s="3" t="n">
        <f aca="false">IF(AND(Q1532=1,B1532-_xlfn.MINIFS($B$2:$B$2705,$A$2:$A$2705,A1532)&lt;10),1,0)</f>
        <v>0</v>
      </c>
      <c r="S1532" s="7" t="n">
        <v>0</v>
      </c>
      <c r="T1532" s="3" t="n">
        <f aca="false">_xlfn.MINIFS($B$2:$B$2705,$A$2:$A$2705,A1532)</f>
        <v>1962</v>
      </c>
      <c r="U1532" s="3" t="n">
        <f aca="false">B1532-T1532</f>
        <v>23</v>
      </c>
      <c r="V1532" s="3" t="str">
        <f aca="false">INDEX(Pop_Inputs!$Q$2:$Q$29,MATCH(C1532,Pop_Inputs!$A$2:$A$29,0))</f>
        <v>Northeast</v>
      </c>
      <c r="W1532" s="29" t="n">
        <v>10834762</v>
      </c>
      <c r="X1532" s="3" t="n">
        <f aca="false">IF(W1532="","",LN(W1532))</f>
        <v>16.1982702268599</v>
      </c>
      <c r="Y1532" s="3" t="n">
        <f aca="false">IF(X1532="","",X1532-AVERAGEIFS($X$2:$X$2705,$B$2:$B$2705,B1532))</f>
        <v>0.104985457726315</v>
      </c>
      <c r="Z1532" s="21" t="n">
        <f aca="false">P1532</f>
        <v>1.46036469724865</v>
      </c>
      <c r="AA1532" s="3" t="n">
        <f aca="false">R1532</f>
        <v>0</v>
      </c>
      <c r="AB1532" s="21" t="n">
        <f aca="false">P1532</f>
        <v>1.46036469724865</v>
      </c>
      <c r="AC1532" s="3" t="n">
        <f aca="false">Y1532</f>
        <v>0.104985457726315</v>
      </c>
      <c r="AD1532" s="3" t="n">
        <f aca="false">R1532</f>
        <v>0</v>
      </c>
    </row>
    <row r="1533" customFormat="false" ht="15" hidden="false" customHeight="true" outlineLevel="0" collapsed="false">
      <c r="A1533" s="7" t="s">
        <v>70</v>
      </c>
      <c r="B1533" s="7" t="n">
        <v>1985</v>
      </c>
      <c r="C1533" s="7" t="s">
        <v>154</v>
      </c>
      <c r="D1533" s="7" t="n">
        <v>97</v>
      </c>
      <c r="E1533" s="7" t="n">
        <v>64</v>
      </c>
      <c r="F1533" s="3" t="n">
        <f aca="false">COUNTIFS($B$2:$B$2705,B1533,$C$2:$C$2705,C1533)</f>
        <v>2</v>
      </c>
      <c r="G1533" s="3" t="n">
        <f aca="false">MIN(INT((MIN(B1533,2020)-1900)/10)+1,12)</f>
        <v>9</v>
      </c>
      <c r="H1533" s="3" t="n">
        <f aca="false">(MIN(B1533,2020)-1900-10*(G1533-1))/10</f>
        <v>0.5</v>
      </c>
      <c r="I1533" s="20" t="n">
        <f aca="false">EXP(LN(INDEX(Pop_Inputs!$B$2:$N$29,MATCH(C1533,Pop_Inputs!$A$2:$A$29,0),G1533))*(1-H1533)+LN(INDEX(Pop_Inputs!$B$2:$N$29,MATCH(C1533,Pop_Inputs!$A$2:$A$29,0),G1533+1))*H1533)</f>
        <v>7196007.86286369</v>
      </c>
      <c r="J1533" s="20" t="n">
        <f aca="false">I1533/F1533</f>
        <v>3598003.93143184</v>
      </c>
      <c r="K1533" s="21" t="n">
        <f aca="false">D1533/(D1533+E1533)</f>
        <v>0.60248447204969</v>
      </c>
      <c r="L1533" s="21" t="n">
        <f aca="false">AVERAGEIFS($K$2:$K$2705,$B$2:$B$2705,B1533)</f>
        <v>0.499997050721688</v>
      </c>
      <c r="M1533" s="21" t="n">
        <f aca="false">K1533-L1533</f>
        <v>0.102487421328001</v>
      </c>
      <c r="N1533" s="21" t="n">
        <f aca="false">LN(J1533)</f>
        <v>15.0958897861635</v>
      </c>
      <c r="O1533" s="21" t="n">
        <f aca="false">AVERAGEIFS($N$2:$N$2705,$B$2:$B$2705,B1533)</f>
        <v>13.6355250889148</v>
      </c>
      <c r="P1533" s="21" t="n">
        <f aca="false">N1533-O1533</f>
        <v>1.46036469724865</v>
      </c>
      <c r="Q1533" s="7" t="n">
        <v>0</v>
      </c>
      <c r="R1533" s="3" t="n">
        <f aca="false">IF(AND(Q1533=1,B1533-_xlfn.MINIFS($B$2:$B$2705,$A$2:$A$2705,A1533)&lt;10),1,0)</f>
        <v>0</v>
      </c>
      <c r="S1533" s="7" t="n">
        <v>1</v>
      </c>
      <c r="T1533" s="3" t="n">
        <f aca="false">_xlfn.MINIFS($B$2:$B$2705,$A$2:$A$2705,A1533)</f>
        <v>1903</v>
      </c>
      <c r="U1533" s="3" t="n">
        <f aca="false">B1533-T1533</f>
        <v>82</v>
      </c>
      <c r="V1533" s="3" t="str">
        <f aca="false">INDEX(Pop_Inputs!$Q$2:$Q$29,MATCH(C1533,Pop_Inputs!$A$2:$A$29,0))</f>
        <v>Northeast</v>
      </c>
      <c r="W1533" s="29" t="n">
        <v>14238204</v>
      </c>
      <c r="X1533" s="3" t="n">
        <f aca="false">IF(W1533="","",LN(W1533))</f>
        <v>16.4714393323983</v>
      </c>
      <c r="Y1533" s="3" t="n">
        <f aca="false">IF(X1533="","",X1533-AVERAGEIFS($X$2:$X$2705,$B$2:$B$2705,B1533))</f>
        <v>0.378154563264726</v>
      </c>
      <c r="Z1533" s="21" t="n">
        <f aca="false">P1533</f>
        <v>1.46036469724865</v>
      </c>
      <c r="AA1533" s="3" t="n">
        <f aca="false">R1533</f>
        <v>0</v>
      </c>
      <c r="AB1533" s="21" t="n">
        <f aca="false">P1533</f>
        <v>1.46036469724865</v>
      </c>
      <c r="AC1533" s="3" t="n">
        <f aca="false">Y1533</f>
        <v>0.378154563264726</v>
      </c>
      <c r="AD1533" s="3" t="n">
        <f aca="false">R1533</f>
        <v>0</v>
      </c>
    </row>
    <row r="1534" customFormat="false" ht="15" hidden="false" customHeight="true" outlineLevel="0" collapsed="false">
      <c r="A1534" s="7" t="s">
        <v>69</v>
      </c>
      <c r="B1534" s="7" t="n">
        <v>1985</v>
      </c>
      <c r="C1534" s="7" t="s">
        <v>253</v>
      </c>
      <c r="D1534" s="7" t="n">
        <v>77</v>
      </c>
      <c r="E1534" s="7" t="n">
        <v>85</v>
      </c>
      <c r="F1534" s="3" t="n">
        <f aca="false">COUNTIFS($B$2:$B$2705,B1534,$C$2:$C$2705,C1534)</f>
        <v>1</v>
      </c>
      <c r="G1534" s="3" t="n">
        <f aca="false">MIN(INT((MIN(B1534,2020)-1900)/10)+1,12)</f>
        <v>9</v>
      </c>
      <c r="H1534" s="3" t="n">
        <f aca="false">(MIN(B1534,2020)-1900-10*(G1534-1))/10</f>
        <v>0.5</v>
      </c>
      <c r="I1534" s="20" t="n">
        <f aca="false">EXP(LN(INDEX(Pop_Inputs!$B$2:$N$29,MATCH(C1534,Pop_Inputs!$A$2:$A$29,0),G1534))*(1-H1534)+LN(INDEX(Pop_Inputs!$B$2:$N$29,MATCH(C1534,Pop_Inputs!$A$2:$A$29,0),G1534+1))*H1534)</f>
        <v>355408.896278639</v>
      </c>
      <c r="J1534" s="20" t="n">
        <f aca="false">I1534/F1534</f>
        <v>355408.896278639</v>
      </c>
      <c r="K1534" s="21" t="n">
        <f aca="false">D1534/(D1534+E1534)</f>
        <v>0.475308641975309</v>
      </c>
      <c r="L1534" s="21" t="n">
        <f aca="false">AVERAGEIFS($K$2:$K$2705,$B$2:$B$2705,B1534)</f>
        <v>0.499997050721688</v>
      </c>
      <c r="M1534" s="21" t="n">
        <f aca="false">K1534-L1534</f>
        <v>-0.0246884087463797</v>
      </c>
      <c r="N1534" s="21" t="n">
        <f aca="false">LN(J1534)</f>
        <v>12.7810242261245</v>
      </c>
      <c r="O1534" s="21" t="n">
        <f aca="false">AVERAGEIFS($N$2:$N$2705,$B$2:$B$2705,B1534)</f>
        <v>13.6355250889148</v>
      </c>
      <c r="P1534" s="21" t="n">
        <f aca="false">N1534-O1534</f>
        <v>-0.854500862790353</v>
      </c>
      <c r="Q1534" s="7" t="n">
        <v>0</v>
      </c>
      <c r="R1534" s="3" t="n">
        <f aca="false">IF(AND(Q1534=1,B1534-_xlfn.MINIFS($B$2:$B$2705,$A$2:$A$2705,A1534)&lt;10),1,0)</f>
        <v>0</v>
      </c>
      <c r="S1534" s="7" t="n">
        <v>0</v>
      </c>
      <c r="T1534" s="3" t="n">
        <f aca="false">_xlfn.MINIFS($B$2:$B$2705,$A$2:$A$2705,A1534)</f>
        <v>1901</v>
      </c>
      <c r="U1534" s="3" t="n">
        <f aca="false">B1534-T1534</f>
        <v>84</v>
      </c>
      <c r="V1534" s="3" t="str">
        <f aca="false">INDEX(Pop_Inputs!$Q$2:$Q$29,MATCH(C1534,Pop_Inputs!$A$2:$A$29,0))</f>
        <v>West</v>
      </c>
      <c r="W1534" s="29" t="n">
        <v>9058606</v>
      </c>
      <c r="X1534" s="3" t="n">
        <f aca="false">IF(W1534="","",LN(W1534))</f>
        <v>16.0192258030464</v>
      </c>
      <c r="Y1534" s="3" t="n">
        <f aca="false">IF(X1534="","",X1534-AVERAGEIFS($X$2:$X$2705,$B$2:$B$2705,B1534))</f>
        <v>-0.0740589660872644</v>
      </c>
      <c r="Z1534" s="21" t="n">
        <f aca="false">P1534</f>
        <v>-0.854500862790353</v>
      </c>
      <c r="AA1534" s="3" t="n">
        <f aca="false">R1534</f>
        <v>0</v>
      </c>
      <c r="AB1534" s="21" t="n">
        <f aca="false">P1534</f>
        <v>-0.854500862790353</v>
      </c>
      <c r="AC1534" s="3" t="n">
        <f aca="false">Y1534</f>
        <v>-0.0740589660872644</v>
      </c>
      <c r="AD1534" s="3" t="n">
        <f aca="false">R1534</f>
        <v>0</v>
      </c>
    </row>
    <row r="1535" customFormat="false" ht="15" hidden="false" customHeight="true" outlineLevel="0" collapsed="false">
      <c r="A1535" s="7" t="s">
        <v>60</v>
      </c>
      <c r="B1535" s="7" t="n">
        <v>1985</v>
      </c>
      <c r="C1535" s="7" t="s">
        <v>146</v>
      </c>
      <c r="D1535" s="7" t="n">
        <v>75</v>
      </c>
      <c r="E1535" s="7" t="n">
        <v>87</v>
      </c>
      <c r="F1535" s="3" t="n">
        <f aca="false">COUNTIFS($B$2:$B$2705,B1535,$C$2:$C$2705,C1535)</f>
        <v>1</v>
      </c>
      <c r="G1535" s="3" t="n">
        <f aca="false">MIN(INT((MIN(B1535,2020)-1900)/10)+1,12)</f>
        <v>9</v>
      </c>
      <c r="H1535" s="3" t="n">
        <f aca="false">(MIN(B1535,2020)-1900-10*(G1535-1))/10</f>
        <v>0.5</v>
      </c>
      <c r="I1535" s="20" t="n">
        <f aca="false">EXP(LN(INDEX(Pop_Inputs!$B$2:$N$29,MATCH(C1535,Pop_Inputs!$A$2:$A$29,0),G1535))*(1-H1535)+LN(INDEX(Pop_Inputs!$B$2:$N$29,MATCH(C1535,Pop_Inputs!$A$2:$A$29,0),G1535+1))*H1535)</f>
        <v>1636088.91786785</v>
      </c>
      <c r="J1535" s="20" t="n">
        <f aca="false">I1535/F1535</f>
        <v>1636088.91786785</v>
      </c>
      <c r="K1535" s="21" t="n">
        <f aca="false">D1535/(D1535+E1535)</f>
        <v>0.462962962962963</v>
      </c>
      <c r="L1535" s="21" t="n">
        <f aca="false">AVERAGEIFS($K$2:$K$2705,$B$2:$B$2705,B1535)</f>
        <v>0.499997050721688</v>
      </c>
      <c r="M1535" s="21" t="n">
        <f aca="false">K1535-L1535</f>
        <v>-0.0370340877587254</v>
      </c>
      <c r="N1535" s="21" t="n">
        <f aca="false">LN(J1535)</f>
        <v>14.3078191454429</v>
      </c>
      <c r="O1535" s="21" t="n">
        <f aca="false">AVERAGEIFS($N$2:$N$2705,$B$2:$B$2705,B1535)</f>
        <v>13.6355250889148</v>
      </c>
      <c r="P1535" s="21" t="n">
        <f aca="false">N1535-O1535</f>
        <v>0.672294056528042</v>
      </c>
      <c r="Q1535" s="7" t="n">
        <v>0</v>
      </c>
      <c r="R1535" s="3" t="n">
        <f aca="false">IF(AND(Q1535=1,B1535-_xlfn.MINIFS($B$2:$B$2705,$A$2:$A$2705,A1535)&lt;10),1,0)</f>
        <v>0</v>
      </c>
      <c r="S1535" s="7" t="n">
        <v>0</v>
      </c>
      <c r="T1535" s="3" t="n">
        <f aca="false">_xlfn.MINIFS($B$2:$B$2705,$A$2:$A$2705,A1535)</f>
        <v>1901</v>
      </c>
      <c r="U1535" s="3" t="n">
        <f aca="false">B1535-T1535</f>
        <v>84</v>
      </c>
      <c r="V1535" s="3" t="str">
        <f aca="false">INDEX(Pop_Inputs!$Q$2:$Q$29,MATCH(C1535,Pop_Inputs!$A$2:$A$29,0))</f>
        <v>Northeast</v>
      </c>
      <c r="W1535" s="29" t="n">
        <v>10124966</v>
      </c>
      <c r="X1535" s="3" t="n">
        <f aca="false">IF(W1535="","",LN(W1535))</f>
        <v>16.1305148129266</v>
      </c>
      <c r="Y1535" s="3" t="n">
        <f aca="false">IF(X1535="","",X1535-AVERAGEIFS($X$2:$X$2705,$B$2:$B$2705,B1535))</f>
        <v>0.0372300437929276</v>
      </c>
      <c r="Z1535" s="21" t="n">
        <f aca="false">P1535</f>
        <v>0.672294056528042</v>
      </c>
      <c r="AA1535" s="3" t="n">
        <f aca="false">R1535</f>
        <v>0</v>
      </c>
      <c r="AB1535" s="21" t="n">
        <f aca="false">P1535</f>
        <v>0.672294056528042</v>
      </c>
      <c r="AC1535" s="3" t="n">
        <f aca="false">Y1535</f>
        <v>0.0372300437929276</v>
      </c>
      <c r="AD1535" s="3" t="n">
        <f aca="false">R1535</f>
        <v>0</v>
      </c>
    </row>
    <row r="1536" customFormat="false" ht="15" hidden="false" customHeight="true" outlineLevel="0" collapsed="false">
      <c r="A1536" s="7" t="s">
        <v>58</v>
      </c>
      <c r="B1536" s="7" t="n">
        <v>1985</v>
      </c>
      <c r="C1536" s="7" t="s">
        <v>144</v>
      </c>
      <c r="D1536" s="7" t="n">
        <v>57</v>
      </c>
      <c r="E1536" s="7" t="n">
        <v>104</v>
      </c>
      <c r="F1536" s="3" t="n">
        <f aca="false">COUNTIFS($B$2:$B$2705,B1536,$C$2:$C$2705,C1536)</f>
        <v>1</v>
      </c>
      <c r="G1536" s="3" t="n">
        <f aca="false">MIN(INT((MIN(B1536,2020)-1900)/10)+1,12)</f>
        <v>9</v>
      </c>
      <c r="H1536" s="3" t="n">
        <f aca="false">(MIN(B1536,2020)-1900-10*(G1536-1))/10</f>
        <v>0.5</v>
      </c>
      <c r="I1536" s="20" t="n">
        <f aca="false">EXP(LN(INDEX(Pop_Inputs!$B$2:$N$29,MATCH(C1536,Pop_Inputs!$A$2:$A$29,0),G1536))*(1-H1536)+LN(INDEX(Pop_Inputs!$B$2:$N$29,MATCH(C1536,Pop_Inputs!$A$2:$A$29,0),G1536+1))*H1536)</f>
        <v>395987.074917856</v>
      </c>
      <c r="J1536" s="20" t="n">
        <f aca="false">I1536/F1536</f>
        <v>395987.074917856</v>
      </c>
      <c r="K1536" s="21" t="n">
        <f aca="false">D1536/(D1536+E1536)</f>
        <v>0.354037267080745</v>
      </c>
      <c r="L1536" s="21" t="n">
        <f aca="false">AVERAGEIFS($K$2:$K$2705,$B$2:$B$2705,B1536)</f>
        <v>0.499997050721688</v>
      </c>
      <c r="M1536" s="21" t="n">
        <f aca="false">K1536-L1536</f>
        <v>-0.145959783640943</v>
      </c>
      <c r="N1536" s="21" t="n">
        <f aca="false">LN(J1536)</f>
        <v>12.8891368506076</v>
      </c>
      <c r="O1536" s="21" t="n">
        <f aca="false">AVERAGEIFS($N$2:$N$2705,$B$2:$B$2705,B1536)</f>
        <v>13.6355250889148</v>
      </c>
      <c r="P1536" s="21" t="n">
        <f aca="false">N1536-O1536</f>
        <v>-0.74638823830718</v>
      </c>
      <c r="Q1536" s="7" t="n">
        <v>0</v>
      </c>
      <c r="R1536" s="3" t="n">
        <f aca="false">IF(AND(Q1536=1,B1536-_xlfn.MINIFS($B$2:$B$2705,$A$2:$A$2705,A1536)&lt;10),1,0)</f>
        <v>0</v>
      </c>
      <c r="S1536" s="7" t="n">
        <v>0</v>
      </c>
      <c r="T1536" s="3" t="n">
        <f aca="false">_xlfn.MINIFS($B$2:$B$2705,$A$2:$A$2705,A1536)</f>
        <v>1901</v>
      </c>
      <c r="U1536" s="3" t="n">
        <f aca="false">B1536-T1536</f>
        <v>84</v>
      </c>
      <c r="V1536" s="3" t="str">
        <f aca="false">INDEX(Pop_Inputs!$Q$2:$Q$29,MATCH(C1536,Pop_Inputs!$A$2:$A$29,0))</f>
        <v>Northeast</v>
      </c>
      <c r="W1536" s="29" t="n">
        <v>9227500</v>
      </c>
      <c r="X1536" s="3" t="n">
        <f aca="false">IF(W1536="","",LN(W1536))</f>
        <v>16.0376987138863</v>
      </c>
      <c r="Y1536" s="3" t="n">
        <f aca="false">IF(X1536="","",X1536-AVERAGEIFS($X$2:$X$2705,$B$2:$B$2705,B1536))</f>
        <v>-0.055586055247332</v>
      </c>
      <c r="Z1536" s="21" t="n">
        <f aca="false">P1536</f>
        <v>-0.74638823830718</v>
      </c>
      <c r="AA1536" s="3" t="n">
        <f aca="false">R1536</f>
        <v>0</v>
      </c>
      <c r="AB1536" s="21" t="n">
        <f aca="false">P1536</f>
        <v>-0.74638823830718</v>
      </c>
      <c r="AC1536" s="3" t="n">
        <f aca="false">Y1536</f>
        <v>-0.055586055247332</v>
      </c>
      <c r="AD1536" s="3" t="n">
        <f aca="false">R1536</f>
        <v>0</v>
      </c>
    </row>
    <row r="1537" customFormat="false" ht="15" hidden="false" customHeight="true" outlineLevel="0" collapsed="false">
      <c r="A1537" s="7" t="s">
        <v>78</v>
      </c>
      <c r="B1537" s="7" t="n">
        <v>1985</v>
      </c>
      <c r="C1537" s="7" t="s">
        <v>159</v>
      </c>
      <c r="D1537" s="7" t="n">
        <v>83</v>
      </c>
      <c r="E1537" s="7" t="n">
        <v>79</v>
      </c>
      <c r="F1537" s="3" t="n">
        <f aca="false">COUNTIFS($B$2:$B$2705,B1537,$C$2:$C$2705,C1537)</f>
        <v>1</v>
      </c>
      <c r="G1537" s="3" t="n">
        <f aca="false">MIN(INT((MIN(B1537,2020)-1900)/10)+1,12)</f>
        <v>9</v>
      </c>
      <c r="H1537" s="3" t="n">
        <f aca="false">(MIN(B1537,2020)-1900-10*(G1537-1))/10</f>
        <v>0.5</v>
      </c>
      <c r="I1537" s="20" t="n">
        <f aca="false">EXP(LN(INDEX(Pop_Inputs!$B$2:$N$29,MATCH(C1537,Pop_Inputs!$A$2:$A$29,0),G1537))*(1-H1537)+LN(INDEX(Pop_Inputs!$B$2:$N$29,MATCH(C1537,Pop_Inputs!$A$2:$A$29,0),G1537+1))*H1537)</f>
        <v>986066.85897154</v>
      </c>
      <c r="J1537" s="20" t="n">
        <f aca="false">I1537/F1537</f>
        <v>986066.85897154</v>
      </c>
      <c r="K1537" s="21" t="n">
        <f aca="false">D1537/(D1537+E1537)</f>
        <v>0.512345679012346</v>
      </c>
      <c r="L1537" s="21" t="n">
        <f aca="false">AVERAGEIFS($K$2:$K$2705,$B$2:$B$2705,B1537)</f>
        <v>0.499997050721688</v>
      </c>
      <c r="M1537" s="21" t="n">
        <f aca="false">K1537-L1537</f>
        <v>0.0123486282906574</v>
      </c>
      <c r="N1537" s="21" t="n">
        <f aca="false">LN(J1537)</f>
        <v>13.8014794395735</v>
      </c>
      <c r="O1537" s="21" t="n">
        <f aca="false">AVERAGEIFS($N$2:$N$2705,$B$2:$B$2705,B1537)</f>
        <v>13.6355250889148</v>
      </c>
      <c r="P1537" s="21" t="n">
        <f aca="false">N1537-O1537</f>
        <v>0.165954350658653</v>
      </c>
      <c r="Q1537" s="7" t="n">
        <v>1</v>
      </c>
      <c r="R1537" s="3" t="n">
        <f aca="false">IF(AND(Q1537=1,B1537-_xlfn.MINIFS($B$2:$B$2705,$A$2:$A$2705,A1537)&lt;10),1,0)</f>
        <v>0</v>
      </c>
      <c r="S1537" s="7" t="n">
        <v>0</v>
      </c>
      <c r="T1537" s="3" t="n">
        <f aca="false">_xlfn.MINIFS($B$2:$B$2705,$A$2:$A$2705,A1537)</f>
        <v>1969</v>
      </c>
      <c r="U1537" s="3" t="n">
        <f aca="false">B1537-T1537</f>
        <v>16</v>
      </c>
      <c r="V1537" s="3" t="str">
        <f aca="false">INDEX(Pop_Inputs!$Q$2:$Q$29,MATCH(C1537,Pop_Inputs!$A$2:$A$29,0))</f>
        <v>West</v>
      </c>
      <c r="W1537" s="29" t="n">
        <v>11036583</v>
      </c>
      <c r="X1537" s="3" t="n">
        <f aca="false">IF(W1537="","",LN(W1537))</f>
        <v>16.2167260400353</v>
      </c>
      <c r="Y1537" s="3" t="n">
        <f aca="false">IF(X1537="","",X1537-AVERAGEIFS($X$2:$X$2705,$B$2:$B$2705,B1537))</f>
        <v>0.123441270901662</v>
      </c>
      <c r="Z1537" s="21" t="n">
        <f aca="false">P1537</f>
        <v>0.165954350658653</v>
      </c>
      <c r="AA1537" s="3" t="n">
        <f aca="false">R1537</f>
        <v>0</v>
      </c>
      <c r="AB1537" s="21" t="n">
        <f aca="false">P1537</f>
        <v>0.165954350658653</v>
      </c>
      <c r="AC1537" s="3" t="n">
        <f aca="false">Y1537</f>
        <v>0.123441270901662</v>
      </c>
      <c r="AD1537" s="3" t="n">
        <f aca="false">R1537</f>
        <v>0</v>
      </c>
    </row>
    <row r="1538" customFormat="false" ht="15" hidden="false" customHeight="true" outlineLevel="0" collapsed="false">
      <c r="A1538" s="7" t="s">
        <v>80</v>
      </c>
      <c r="B1538" s="7" t="n">
        <v>1985</v>
      </c>
      <c r="C1538" s="7" t="s">
        <v>161</v>
      </c>
      <c r="D1538" s="7" t="n">
        <v>74</v>
      </c>
      <c r="E1538" s="7" t="n">
        <v>88</v>
      </c>
      <c r="F1538" s="3" t="n">
        <f aca="false">COUNTIFS($B$2:$B$2705,B1538,$C$2:$C$2705,C1538)</f>
        <v>1</v>
      </c>
      <c r="G1538" s="3" t="n">
        <f aca="false">MIN(INT((MIN(B1538,2020)-1900)/10)+1,12)</f>
        <v>9</v>
      </c>
      <c r="H1538" s="3" t="n">
        <f aca="false">(MIN(B1538,2020)-1900-10*(G1538-1))/10</f>
        <v>0.5</v>
      </c>
      <c r="I1538" s="20" t="n">
        <f aca="false">EXP(LN(INDEX(Pop_Inputs!$B$2:$N$29,MATCH(C1538,Pop_Inputs!$A$2:$A$29,0),G1538))*(1-H1538)+LN(INDEX(Pop_Inputs!$B$2:$N$29,MATCH(C1538,Pop_Inputs!$A$2:$A$29,0),G1538+1))*H1538)</f>
        <v>504928.155398369</v>
      </c>
      <c r="J1538" s="20" t="n">
        <f aca="false">I1538/F1538</f>
        <v>504928.155398369</v>
      </c>
      <c r="K1538" s="21" t="n">
        <f aca="false">D1538/(D1538+E1538)</f>
        <v>0.45679012345679</v>
      </c>
      <c r="L1538" s="21" t="n">
        <f aca="false">AVERAGEIFS($K$2:$K$2705,$B$2:$B$2705,B1538)</f>
        <v>0.499997050721688</v>
      </c>
      <c r="M1538" s="21" t="n">
        <f aca="false">K1538-L1538</f>
        <v>-0.0432069272648983</v>
      </c>
      <c r="N1538" s="21" t="n">
        <f aca="false">LN(J1538)</f>
        <v>13.1321714315988</v>
      </c>
      <c r="O1538" s="21" t="n">
        <f aca="false">AVERAGEIFS($N$2:$N$2705,$B$2:$B$2705,B1538)</f>
        <v>13.6355250889148</v>
      </c>
      <c r="P1538" s="21" t="n">
        <f aca="false">N1538-O1538</f>
        <v>-0.503353657316037</v>
      </c>
      <c r="Q1538" s="7" t="n">
        <v>1</v>
      </c>
      <c r="R1538" s="3" t="n">
        <f aca="false">IF(AND(Q1538=1,B1538-_xlfn.MINIFS($B$2:$B$2705,$A$2:$A$2705,A1538)&lt;10),1,0)</f>
        <v>1</v>
      </c>
      <c r="S1538" s="7" t="n">
        <v>0</v>
      </c>
      <c r="T1538" s="3" t="n">
        <f aca="false">_xlfn.MINIFS($B$2:$B$2705,$A$2:$A$2705,A1538)</f>
        <v>1977</v>
      </c>
      <c r="U1538" s="3" t="n">
        <f aca="false">B1538-T1538</f>
        <v>8</v>
      </c>
      <c r="V1538" s="3" t="str">
        <f aca="false">INDEX(Pop_Inputs!$Q$2:$Q$29,MATCH(C1538,Pop_Inputs!$A$2:$A$29,0))</f>
        <v>West</v>
      </c>
      <c r="W1538" s="29" t="n">
        <v>4613000</v>
      </c>
      <c r="X1538" s="3" t="n">
        <f aca="false">IF(W1538="","",LN(W1538))</f>
        <v>15.34438896254</v>
      </c>
      <c r="Y1538" s="3" t="n">
        <f aca="false">IF(X1538="","",X1538-AVERAGEIFS($X$2:$X$2705,$B$2:$B$2705,B1538))</f>
        <v>-0.748895806593664</v>
      </c>
      <c r="Z1538" s="21" t="n">
        <f aca="false">P1538</f>
        <v>-0.503353657316037</v>
      </c>
      <c r="AA1538" s="3" t="n">
        <f aca="false">R1538</f>
        <v>1</v>
      </c>
      <c r="AB1538" s="21" t="n">
        <f aca="false">P1538</f>
        <v>-0.503353657316037</v>
      </c>
      <c r="AC1538" s="3" t="n">
        <f aca="false">Y1538</f>
        <v>-0.748895806593664</v>
      </c>
      <c r="AD1538" s="3" t="n">
        <f aca="false">R1538</f>
        <v>1</v>
      </c>
    </row>
    <row r="1539" customFormat="false" ht="15" hidden="false" customHeight="true" outlineLevel="0" collapsed="false">
      <c r="A1539" s="7" t="s">
        <v>61</v>
      </c>
      <c r="B1539" s="7" t="n">
        <v>1985</v>
      </c>
      <c r="C1539" s="7" t="s">
        <v>147</v>
      </c>
      <c r="D1539" s="7" t="n">
        <v>62</v>
      </c>
      <c r="E1539" s="7" t="n">
        <v>100</v>
      </c>
      <c r="F1539" s="3" t="n">
        <f aca="false">COUNTIFS($B$2:$B$2705,B1539,$C$2:$C$2705,C1539)</f>
        <v>1</v>
      </c>
      <c r="G1539" s="3" t="n">
        <f aca="false">MIN(INT((MIN(B1539,2020)-1900)/10)+1,12)</f>
        <v>9</v>
      </c>
      <c r="H1539" s="3" t="n">
        <f aca="false">(MIN(B1539,2020)-1900-10*(G1539-1))/10</f>
        <v>0.5</v>
      </c>
      <c r="I1539" s="20" t="n">
        <f aca="false">EXP(LN(INDEX(Pop_Inputs!$B$2:$N$29,MATCH(C1539,Pop_Inputs!$A$2:$A$29,0),G1539))*(1-H1539)+LN(INDEX(Pop_Inputs!$B$2:$N$29,MATCH(C1539,Pop_Inputs!$A$2:$A$29,0),G1539+1))*H1539)</f>
        <v>701105.79662844</v>
      </c>
      <c r="J1539" s="20" t="n">
        <f aca="false">I1539/F1539</f>
        <v>701105.79662844</v>
      </c>
      <c r="K1539" s="21" t="n">
        <f aca="false">D1539/(D1539+E1539)</f>
        <v>0.382716049382716</v>
      </c>
      <c r="L1539" s="21" t="n">
        <f aca="false">AVERAGEIFS($K$2:$K$2705,$B$2:$B$2705,B1539)</f>
        <v>0.499997050721688</v>
      </c>
      <c r="M1539" s="21" t="n">
        <f aca="false">K1539-L1539</f>
        <v>-0.117281001338972</v>
      </c>
      <c r="N1539" s="21" t="n">
        <f aca="false">LN(J1539)</f>
        <v>13.4604140770662</v>
      </c>
      <c r="O1539" s="21" t="n">
        <f aca="false">AVERAGEIFS($N$2:$N$2705,$B$2:$B$2705,B1539)</f>
        <v>13.6355250889148</v>
      </c>
      <c r="P1539" s="21" t="n">
        <f aca="false">N1539-O1539</f>
        <v>-0.175111011848578</v>
      </c>
      <c r="Q1539" s="7" t="n">
        <v>0</v>
      </c>
      <c r="R1539" s="3" t="n">
        <f aca="false">IF(AND(Q1539=1,B1539-_xlfn.MINIFS($B$2:$B$2705,$A$2:$A$2705,A1539)&lt;10),1,0)</f>
        <v>0</v>
      </c>
      <c r="S1539" s="7" t="n">
        <v>0</v>
      </c>
      <c r="T1539" s="3" t="n">
        <f aca="false">_xlfn.MINIFS($B$2:$B$2705,$A$2:$A$2705,A1539)</f>
        <v>1901</v>
      </c>
      <c r="U1539" s="3" t="n">
        <f aca="false">B1539-T1539</f>
        <v>84</v>
      </c>
      <c r="V1539" s="3" t="str">
        <f aca="false">INDEX(Pop_Inputs!$Q$2:$Q$29,MATCH(C1539,Pop_Inputs!$A$2:$A$29,0))</f>
        <v>West</v>
      </c>
      <c r="W1539" s="29" t="n">
        <v>8221714</v>
      </c>
      <c r="X1539" s="3" t="n">
        <f aca="false">IF(W1539="","",LN(W1539))</f>
        <v>15.922289261111</v>
      </c>
      <c r="Y1539" s="3" t="n">
        <f aca="false">IF(X1539="","",X1539-AVERAGEIFS($X$2:$X$2705,$B$2:$B$2705,B1539))</f>
        <v>-0.170995508022575</v>
      </c>
      <c r="Z1539" s="21" t="n">
        <f aca="false">P1539</f>
        <v>-0.175111011848578</v>
      </c>
      <c r="AA1539" s="3" t="n">
        <f aca="false">R1539</f>
        <v>0</v>
      </c>
      <c r="AB1539" s="21" t="n">
        <f aca="false">P1539</f>
        <v>-0.175111011848578</v>
      </c>
      <c r="AC1539" s="3" t="n">
        <f aca="false">Y1539</f>
        <v>-0.170995508022575</v>
      </c>
      <c r="AD1539" s="3" t="n">
        <f aca="false">R1539</f>
        <v>0</v>
      </c>
    </row>
    <row r="1540" customFormat="false" ht="15" hidden="false" customHeight="true" outlineLevel="0" collapsed="false">
      <c r="A1540" s="7" t="s">
        <v>59</v>
      </c>
      <c r="B1540" s="7" t="n">
        <v>1985</v>
      </c>
      <c r="C1540" s="7" t="s">
        <v>145</v>
      </c>
      <c r="D1540" s="7" t="n">
        <v>101</v>
      </c>
      <c r="E1540" s="7" t="n">
        <v>61</v>
      </c>
      <c r="F1540" s="3" t="n">
        <f aca="false">COUNTIFS($B$2:$B$2705,B1540,$C$2:$C$2705,C1540)</f>
        <v>1</v>
      </c>
      <c r="G1540" s="3" t="n">
        <f aca="false">MIN(INT((MIN(B1540,2020)-1900)/10)+1,12)</f>
        <v>9</v>
      </c>
      <c r="H1540" s="3" t="n">
        <f aca="false">(MIN(B1540,2020)-1900-10*(G1540-1))/10</f>
        <v>0.5</v>
      </c>
      <c r="I1540" s="20" t="n">
        <f aca="false">EXP(LN(INDEX(Pop_Inputs!$B$2:$N$29,MATCH(C1540,Pop_Inputs!$A$2:$A$29,0),G1540))*(1-H1540)+LN(INDEX(Pop_Inputs!$B$2:$N$29,MATCH(C1540,Pop_Inputs!$A$2:$A$29,0),G1540+1))*H1540)</f>
        <v>424284.85292902</v>
      </c>
      <c r="J1540" s="20" t="n">
        <f aca="false">I1540/F1540</f>
        <v>424284.85292902</v>
      </c>
      <c r="K1540" s="21" t="n">
        <f aca="false">D1540/(D1540+E1540)</f>
        <v>0.623456790123457</v>
      </c>
      <c r="L1540" s="21" t="n">
        <f aca="false">AVERAGEIFS($K$2:$K$2705,$B$2:$B$2705,B1540)</f>
        <v>0.499997050721688</v>
      </c>
      <c r="M1540" s="21" t="n">
        <f aca="false">K1540-L1540</f>
        <v>0.123459739401768</v>
      </c>
      <c r="N1540" s="21" t="n">
        <f aca="false">LN(J1540)</f>
        <v>12.9581603315879</v>
      </c>
      <c r="O1540" s="21" t="n">
        <f aca="false">AVERAGEIFS($N$2:$N$2705,$B$2:$B$2705,B1540)</f>
        <v>13.6355250889148</v>
      </c>
      <c r="P1540" s="21" t="n">
        <f aca="false">N1540-O1540</f>
        <v>-0.677364757326922</v>
      </c>
      <c r="Q1540" s="7" t="n">
        <v>0</v>
      </c>
      <c r="R1540" s="3" t="n">
        <f aca="false">IF(AND(Q1540=1,B1540-_xlfn.MINIFS($B$2:$B$2705,$A$2:$A$2705,A1540)&lt;10),1,0)</f>
        <v>0</v>
      </c>
      <c r="S1540" s="7" t="n">
        <v>0</v>
      </c>
      <c r="T1540" s="3" t="n">
        <f aca="false">_xlfn.MINIFS($B$2:$B$2705,$A$2:$A$2705,A1540)</f>
        <v>1901</v>
      </c>
      <c r="U1540" s="3" t="n">
        <f aca="false">B1540-T1540</f>
        <v>84</v>
      </c>
      <c r="V1540" s="3" t="str">
        <f aca="false">INDEX(Pop_Inputs!$Q$2:$Q$29,MATCH(C1540,Pop_Inputs!$A$2:$A$29,0))</f>
        <v>Midwest</v>
      </c>
      <c r="W1540" s="29" t="n">
        <v>11817083</v>
      </c>
      <c r="X1540" s="3" t="n">
        <f aca="false">IF(W1540="","",LN(W1540))</f>
        <v>16.2850567543758</v>
      </c>
      <c r="Y1540" s="3" t="n">
        <f aca="false">IF(X1540="","",X1540-AVERAGEIFS($X$2:$X$2705,$B$2:$B$2705,B1540))</f>
        <v>0.191771985242166</v>
      </c>
      <c r="Z1540" s="21" t="n">
        <f aca="false">P1540</f>
        <v>-0.677364757326922</v>
      </c>
      <c r="AA1540" s="3" t="n">
        <f aca="false">R1540</f>
        <v>0</v>
      </c>
      <c r="AB1540" s="21" t="n">
        <f aca="false">P1540</f>
        <v>-0.677364757326922</v>
      </c>
      <c r="AC1540" s="3" t="n">
        <f aca="false">Y1540</f>
        <v>0.191771985242166</v>
      </c>
      <c r="AD1540" s="3" t="n">
        <f aca="false">R1540</f>
        <v>0</v>
      </c>
    </row>
    <row r="1541" customFormat="false" ht="15" hidden="false" customHeight="true" outlineLevel="0" collapsed="false">
      <c r="A1541" s="7" t="s">
        <v>73</v>
      </c>
      <c r="B1541" s="7" t="n">
        <v>1985</v>
      </c>
      <c r="C1541" s="7" t="s">
        <v>155</v>
      </c>
      <c r="D1541" s="7" t="n">
        <v>62</v>
      </c>
      <c r="E1541" s="7" t="n">
        <v>99</v>
      </c>
      <c r="F1541" s="3" t="n">
        <f aca="false">COUNTIFS($B$2:$B$2705,B1541,$C$2:$C$2705,C1541)</f>
        <v>1</v>
      </c>
      <c r="G1541" s="3" t="n">
        <f aca="false">MIN(INT((MIN(B1541,2020)-1900)/10)+1,12)</f>
        <v>9</v>
      </c>
      <c r="H1541" s="3" t="n">
        <f aca="false">(MIN(B1541,2020)-1900-10*(G1541-1))/10</f>
        <v>0.5</v>
      </c>
      <c r="I1541" s="20" t="n">
        <f aca="false">EXP(LN(INDEX(Pop_Inputs!$B$2:$N$29,MATCH(C1541,Pop_Inputs!$A$2:$A$29,0),G1541))*(1-H1541)+LN(INDEX(Pop_Inputs!$B$2:$N$29,MATCH(C1541,Pop_Inputs!$A$2:$A$29,0),G1541+1))*H1541)</f>
        <v>954141.36908846</v>
      </c>
      <c r="J1541" s="20" t="n">
        <f aca="false">I1541/F1541</f>
        <v>954141.36908846</v>
      </c>
      <c r="K1541" s="21" t="n">
        <f aca="false">D1541/(D1541+E1541)</f>
        <v>0.385093167701863</v>
      </c>
      <c r="L1541" s="21" t="n">
        <f aca="false">AVERAGEIFS($K$2:$K$2705,$B$2:$B$2705,B1541)</f>
        <v>0.499997050721688</v>
      </c>
      <c r="M1541" s="21" t="n">
        <f aca="false">K1541-L1541</f>
        <v>-0.114903883019825</v>
      </c>
      <c r="N1541" s="21" t="n">
        <f aca="false">LN(J1541)</f>
        <v>13.7685671250793</v>
      </c>
      <c r="O1541" s="21" t="n">
        <f aca="false">AVERAGEIFS($N$2:$N$2705,$B$2:$B$2705,B1541)</f>
        <v>13.6355250889148</v>
      </c>
      <c r="P1541" s="21" t="n">
        <f aca="false">N1541-O1541</f>
        <v>0.133042036164527</v>
      </c>
      <c r="Q1541" s="7" t="n">
        <v>1</v>
      </c>
      <c r="R1541" s="3" t="n">
        <f aca="false">IF(AND(Q1541=1,B1541-_xlfn.MINIFS($B$2:$B$2705,$A$2:$A$2705,A1541)&lt;10),1,0)</f>
        <v>0</v>
      </c>
      <c r="S1541" s="7" t="n">
        <v>0</v>
      </c>
      <c r="T1541" s="3" t="n">
        <f aca="false">_xlfn.MINIFS($B$2:$B$2705,$A$2:$A$2705,A1541)</f>
        <v>1961</v>
      </c>
      <c r="U1541" s="3" t="n">
        <f aca="false">B1541-T1541</f>
        <v>24</v>
      </c>
      <c r="V1541" s="3" t="str">
        <f aca="false">INDEX(Pop_Inputs!$Q$2:$Q$29,MATCH(C1541,Pop_Inputs!$A$2:$A$29,0))</f>
        <v>South</v>
      </c>
      <c r="W1541" s="29" t="n">
        <v>7676500</v>
      </c>
      <c r="X1541" s="3" t="n">
        <f aca="false">IF(W1541="","",LN(W1541))</f>
        <v>15.8536742720811</v>
      </c>
      <c r="Y1541" s="3" t="n">
        <f aca="false">IF(X1541="","",X1541-AVERAGEIFS($X$2:$X$2705,$B$2:$B$2705,B1541))</f>
        <v>-0.239610497052531</v>
      </c>
      <c r="Z1541" s="21" t="n">
        <f aca="false">P1541</f>
        <v>0.133042036164527</v>
      </c>
      <c r="AA1541" s="3" t="n">
        <f aca="false">R1541</f>
        <v>0</v>
      </c>
      <c r="AB1541" s="21" t="n">
        <f aca="false">P1541</f>
        <v>0.133042036164527</v>
      </c>
      <c r="AC1541" s="3" t="n">
        <f aca="false">Y1541</f>
        <v>-0.239610497052531</v>
      </c>
      <c r="AD1541" s="3" t="n">
        <f aca="false">R1541</f>
        <v>0</v>
      </c>
    </row>
    <row r="1542" customFormat="false" ht="15" hidden="false" customHeight="true" outlineLevel="0" collapsed="false">
      <c r="A1542" s="7" t="s">
        <v>81</v>
      </c>
      <c r="B1542" s="7" t="n">
        <v>1985</v>
      </c>
      <c r="C1542" s="7" t="s">
        <v>162</v>
      </c>
      <c r="D1542" s="7" t="n">
        <v>99</v>
      </c>
      <c r="E1542" s="7" t="n">
        <v>62</v>
      </c>
      <c r="F1542" s="3" t="n">
        <f aca="false">COUNTIFS($B$2:$B$2705,B1542,$C$2:$C$2705,C1542)</f>
        <v>1</v>
      </c>
      <c r="G1542" s="3" t="n">
        <f aca="false">MIN(INT((MIN(B1542,2020)-1900)/10)+1,12)</f>
        <v>9</v>
      </c>
      <c r="H1542" s="3" t="n">
        <f aca="false">(MIN(B1542,2020)-1900-10*(G1542-1))/10</f>
        <v>0.5</v>
      </c>
      <c r="I1542" s="20" t="n">
        <f aca="false">EXP(LN(INDEX(Pop_Inputs!$B$2:$N$29,MATCH(C1542,Pop_Inputs!$A$2:$A$29,0),G1542))*(1-H1542)+LN(INDEX(Pop_Inputs!$B$2:$N$29,MATCH(C1542,Pop_Inputs!$A$2:$A$29,0),G1542+1))*H1542)</f>
        <v>617040.910892462</v>
      </c>
      <c r="J1542" s="20" t="n">
        <f aca="false">I1542/F1542</f>
        <v>617040.910892462</v>
      </c>
      <c r="K1542" s="21" t="n">
        <f aca="false">D1542/(D1542+E1542)</f>
        <v>0.614906832298137</v>
      </c>
      <c r="L1542" s="21" t="n">
        <f aca="false">AVERAGEIFS($K$2:$K$2705,$B$2:$B$2705,B1542)</f>
        <v>0.499997050721688</v>
      </c>
      <c r="M1542" s="21" t="n">
        <f aca="false">K1542-L1542</f>
        <v>0.114909781576448</v>
      </c>
      <c r="N1542" s="21" t="n">
        <f aca="false">LN(J1542)</f>
        <v>13.332690606836</v>
      </c>
      <c r="O1542" s="21" t="n">
        <f aca="false">AVERAGEIFS($N$2:$N$2705,$B$2:$B$2705,B1542)</f>
        <v>13.6355250889148</v>
      </c>
      <c r="P1542" s="21" t="n">
        <f aca="false">N1542-O1542</f>
        <v>-0.302834482078822</v>
      </c>
      <c r="Q1542" s="7" t="n">
        <v>1</v>
      </c>
      <c r="R1542" s="3" t="n">
        <f aca="false">IF(AND(Q1542=1,B1542-_xlfn.MINIFS($B$2:$B$2705,$A$2:$A$2705,A1542)&lt;10),1,0)</f>
        <v>1</v>
      </c>
      <c r="S1542" s="7" t="n">
        <v>0</v>
      </c>
      <c r="T1542" s="3" t="n">
        <f aca="false">_xlfn.MINIFS($B$2:$B$2705,$A$2:$A$2705,A1542)</f>
        <v>1977</v>
      </c>
      <c r="U1542" s="3" t="n">
        <f aca="false">B1542-T1542</f>
        <v>8</v>
      </c>
      <c r="V1542" s="3" t="str">
        <f aca="false">INDEX(Pop_Inputs!$Q$2:$Q$29,MATCH(C1542,Pop_Inputs!$A$2:$A$29,0))</f>
        <v>Canada</v>
      </c>
      <c r="W1542" s="29" t="n">
        <v>8812550</v>
      </c>
      <c r="X1542" s="3" t="n">
        <f aca="false">IF(W1542="","",LN(W1542))</f>
        <v>15.9916873998454</v>
      </c>
      <c r="Y1542" s="3" t="n">
        <f aca="false">IF(X1542="","",X1542-AVERAGEIFS($X$2:$X$2705,$B$2:$B$2705,B1542))</f>
        <v>-0.101597369288191</v>
      </c>
      <c r="Z1542" s="21" t="n">
        <f aca="false">P1542</f>
        <v>-0.302834482078822</v>
      </c>
      <c r="AA1542" s="3" t="n">
        <f aca="false">R1542</f>
        <v>1</v>
      </c>
      <c r="AB1542" s="21" t="n">
        <f aca="false">P1542</f>
        <v>-0.302834482078822</v>
      </c>
      <c r="AC1542" s="3" t="n">
        <f aca="false">Y1542</f>
        <v>-0.101597369288191</v>
      </c>
      <c r="AD1542" s="3" t="n">
        <f aca="false">R1542</f>
        <v>1</v>
      </c>
    </row>
    <row r="1543" customFormat="false" ht="15" hidden="false" customHeight="true" outlineLevel="0" collapsed="false">
      <c r="A1543" s="7" t="s">
        <v>79</v>
      </c>
      <c r="B1543" s="7" t="n">
        <v>1985</v>
      </c>
      <c r="C1543" s="7" t="s">
        <v>254</v>
      </c>
      <c r="D1543" s="7" t="n">
        <v>84</v>
      </c>
      <c r="E1543" s="7" t="n">
        <v>77</v>
      </c>
      <c r="F1543" s="3" t="n">
        <f aca="false">COUNTIFS($B$2:$B$2705,B1543,$C$2:$C$2705,C1543)</f>
        <v>1</v>
      </c>
      <c r="G1543" s="3" t="n">
        <f aca="false">MIN(INT((MIN(B1543,2020)-1900)/10)+1,12)</f>
        <v>9</v>
      </c>
      <c r="H1543" s="3" t="n">
        <f aca="false">(MIN(B1543,2020)-1900-10*(G1543-1))/10</f>
        <v>0.5</v>
      </c>
      <c r="I1543" s="20" t="n">
        <f aca="false">EXP(LN(INDEX(Pop_Inputs!$B$2:$N$29,MATCH(C1543,Pop_Inputs!$A$2:$A$29,0),G1543))*(1-H1543)+LN(INDEX(Pop_Inputs!$B$2:$N$29,MATCH(C1543,Pop_Inputs!$A$2:$A$29,0),G1543+1))*H1543)</f>
        <v>998835.789188593</v>
      </c>
      <c r="J1543" s="20" t="n">
        <f aca="false">I1543/F1543</f>
        <v>998835.789188593</v>
      </c>
      <c r="K1543" s="21" t="n">
        <f aca="false">D1543/(D1543+E1543)</f>
        <v>0.521739130434783</v>
      </c>
      <c r="L1543" s="21" t="n">
        <f aca="false">AVERAGEIFS($K$2:$K$2705,$B$2:$B$2705,B1543)</f>
        <v>0.499997050721688</v>
      </c>
      <c r="M1543" s="21" t="n">
        <f aca="false">K1543-L1543</f>
        <v>0.0217420797130942</v>
      </c>
      <c r="N1543" s="21" t="n">
        <f aca="false">LN(J1543)</f>
        <v>13.814345668933</v>
      </c>
      <c r="O1543" s="21" t="n">
        <f aca="false">AVERAGEIFS($N$2:$N$2705,$B$2:$B$2705,B1543)</f>
        <v>13.6355250889148</v>
      </c>
      <c r="P1543" s="21" t="n">
        <f aca="false">N1543-O1543</f>
        <v>0.178820580018208</v>
      </c>
      <c r="Q1543" s="7" t="n">
        <v>1</v>
      </c>
      <c r="R1543" s="3" t="n">
        <f aca="false">IF(AND(Q1543=1,B1543-_xlfn.MINIFS($B$2:$B$2705,$A$2:$A$2705,A1543)&lt;10),1,0)</f>
        <v>0</v>
      </c>
      <c r="S1543" s="7" t="n">
        <v>0</v>
      </c>
      <c r="T1543" s="3" t="n">
        <f aca="false">_xlfn.MINIFS($B$2:$B$2705,$A$2:$A$2705,A1543)</f>
        <v>1969</v>
      </c>
      <c r="U1543" s="3" t="n">
        <f aca="false">B1543-T1543</f>
        <v>16</v>
      </c>
      <c r="V1543" s="3" t="str">
        <f aca="false">INDEX(Pop_Inputs!$Q$2:$Q$29,MATCH(C1543,Pop_Inputs!$A$2:$A$29,0))</f>
        <v>Canada</v>
      </c>
      <c r="W1543" s="29" t="n">
        <v>9470166</v>
      </c>
      <c r="X1543" s="3" t="n">
        <f aca="false">IF(W1543="","",LN(W1543))</f>
        <v>16.0636569940477</v>
      </c>
      <c r="Y1543" s="3" t="n">
        <f aca="false">IF(X1543="","",X1543-AVERAGEIFS($X$2:$X$2705,$B$2:$B$2705,B1543))</f>
        <v>-0.0296277750859204</v>
      </c>
      <c r="Z1543" s="21" t="n">
        <f aca="false">P1543</f>
        <v>0.178820580018208</v>
      </c>
      <c r="AA1543" s="3" t="n">
        <f aca="false">R1543</f>
        <v>0</v>
      </c>
      <c r="AB1543" s="21" t="n">
        <f aca="false">P1543</f>
        <v>0.178820580018208</v>
      </c>
      <c r="AC1543" s="3" t="n">
        <f aca="false">Y1543</f>
        <v>-0.0296277750859204</v>
      </c>
      <c r="AD1543" s="3" t="n">
        <f aca="false">R1543</f>
        <v>0</v>
      </c>
    </row>
    <row r="1544" customFormat="false" ht="15" hidden="false" customHeight="true" outlineLevel="0" collapsed="false">
      <c r="A1544" s="7" t="s">
        <v>71</v>
      </c>
      <c r="B1544" s="7" t="n">
        <v>1986</v>
      </c>
      <c r="C1544" s="7" t="s">
        <v>148</v>
      </c>
      <c r="D1544" s="7" t="n">
        <v>92</v>
      </c>
      <c r="E1544" s="7" t="n">
        <v>70</v>
      </c>
      <c r="F1544" s="3" t="n">
        <f aca="false">COUNTIFS($B$2:$B$2705,B1544,$C$2:$C$2705,C1544)</f>
        <v>2</v>
      </c>
      <c r="G1544" s="3" t="n">
        <f aca="false">MIN(INT((MIN(B1544,2020)-1900)/10)+1,12)</f>
        <v>9</v>
      </c>
      <c r="H1544" s="3" t="n">
        <f aca="false">(MIN(B1544,2020)-1900-10*(G1544-1))/10</f>
        <v>0.6</v>
      </c>
      <c r="I1544" s="20" t="n">
        <f aca="false">EXP(LN(INDEX(Pop_Inputs!$B$2:$N$29,MATCH(C1544,Pop_Inputs!$A$2:$A$29,0),G1544))*(1-H1544)+LN(INDEX(Pop_Inputs!$B$2:$N$29,MATCH(C1544,Pop_Inputs!$A$2:$A$29,0),G1544+1))*H1544)</f>
        <v>3267906.80261213</v>
      </c>
      <c r="J1544" s="20" t="n">
        <f aca="false">I1544/F1544</f>
        <v>1633953.40130606</v>
      </c>
      <c r="K1544" s="21" t="n">
        <f aca="false">D1544/(D1544+E1544)</f>
        <v>0.567901234567901</v>
      </c>
      <c r="L1544" s="21" t="n">
        <f aca="false">AVERAGEIFS($K$2:$K$2705,$B$2:$B$2705,B1544)</f>
        <v>0.499976221443613</v>
      </c>
      <c r="M1544" s="21" t="n">
        <f aca="false">K1544-L1544</f>
        <v>0.0679250131242885</v>
      </c>
      <c r="N1544" s="21" t="n">
        <f aca="false">LN(J1544)</f>
        <v>14.3065130358229</v>
      </c>
      <c r="O1544" s="21" t="n">
        <f aca="false">AVERAGEIFS($N$2:$N$2705,$B$2:$B$2705,B1544)</f>
        <v>13.635743185168</v>
      </c>
      <c r="P1544" s="21" t="n">
        <f aca="false">N1544-O1544</f>
        <v>0.670769850654853</v>
      </c>
      <c r="Q1544" s="7" t="n">
        <v>1</v>
      </c>
      <c r="R1544" s="3" t="n">
        <f aca="false">IF(AND(Q1544=1,B1544-_xlfn.MINIFS($B$2:$B$2705,$A$2:$A$2705,A1544)&lt;10),1,0)</f>
        <v>0</v>
      </c>
      <c r="S1544" s="7" t="n">
        <v>0</v>
      </c>
      <c r="T1544" s="3" t="n">
        <f aca="false">_xlfn.MINIFS($B$2:$B$2705,$A$2:$A$2705,A1544)</f>
        <v>1961</v>
      </c>
      <c r="U1544" s="3" t="n">
        <f aca="false">B1544-T1544</f>
        <v>25</v>
      </c>
      <c r="V1544" s="3" t="str">
        <f aca="false">INDEX(Pop_Inputs!$Q$2:$Q$29,MATCH(C1544,Pop_Inputs!$A$2:$A$29,0))</f>
        <v>West</v>
      </c>
      <c r="W1544" s="29" t="n">
        <v>14427258</v>
      </c>
      <c r="X1544" s="3" t="n">
        <f aca="false">IF(W1544="","",LN(W1544))</f>
        <v>16.4846298919038</v>
      </c>
      <c r="Y1544" s="3" t="n">
        <f aca="false">IF(X1544="","",X1544-AVERAGEIFS($X$2:$X$2705,$B$2:$B$2705,B1544))</f>
        <v>0.233937769761145</v>
      </c>
      <c r="Z1544" s="21" t="n">
        <f aca="false">P1544</f>
        <v>0.670769850654853</v>
      </c>
      <c r="AA1544" s="3" t="n">
        <f aca="false">R1544</f>
        <v>0</v>
      </c>
      <c r="AB1544" s="21" t="n">
        <f aca="false">P1544</f>
        <v>0.670769850654853</v>
      </c>
      <c r="AC1544" s="3" t="n">
        <f aca="false">Y1544</f>
        <v>0.233937769761145</v>
      </c>
      <c r="AD1544" s="3" t="n">
        <f aca="false">R1544</f>
        <v>0</v>
      </c>
    </row>
    <row r="1545" customFormat="false" ht="15" hidden="false" customHeight="true" outlineLevel="0" collapsed="false">
      <c r="A1545" s="7" t="s">
        <v>54</v>
      </c>
      <c r="B1545" s="7" t="n">
        <v>1986</v>
      </c>
      <c r="C1545" s="7" t="s">
        <v>141</v>
      </c>
      <c r="D1545" s="7" t="n">
        <v>72</v>
      </c>
      <c r="E1545" s="7" t="n">
        <v>89</v>
      </c>
      <c r="F1545" s="3" t="n">
        <f aca="false">COUNTIFS($B$2:$B$2705,B1545,$C$2:$C$2705,C1545)</f>
        <v>1</v>
      </c>
      <c r="G1545" s="3" t="n">
        <f aca="false">MIN(INT((MIN(B1545,2020)-1900)/10)+1,12)</f>
        <v>9</v>
      </c>
      <c r="H1545" s="3" t="n">
        <f aca="false">(MIN(B1545,2020)-1900-10*(G1545-1))/10</f>
        <v>0.6</v>
      </c>
      <c r="I1545" s="20" t="n">
        <f aca="false">EXP(LN(INDEX(Pop_Inputs!$B$2:$N$29,MATCH(C1545,Pop_Inputs!$A$2:$A$29,0),G1545))*(1-H1545)+LN(INDEX(Pop_Inputs!$B$2:$N$29,MATCH(C1545,Pop_Inputs!$A$2:$A$29,0),G1545+1))*H1545)</f>
        <v>406137.919964513</v>
      </c>
      <c r="J1545" s="20" t="n">
        <f aca="false">I1545/F1545</f>
        <v>406137.919964513</v>
      </c>
      <c r="K1545" s="21" t="n">
        <f aca="false">D1545/(D1545+E1545)</f>
        <v>0.447204968944099</v>
      </c>
      <c r="L1545" s="21" t="n">
        <f aca="false">AVERAGEIFS($K$2:$K$2705,$B$2:$B$2705,B1545)</f>
        <v>0.499976221443613</v>
      </c>
      <c r="M1545" s="21" t="n">
        <f aca="false">K1545-L1545</f>
        <v>-0.0527712524995134</v>
      </c>
      <c r="N1545" s="21" t="n">
        <f aca="false">LN(J1545)</f>
        <v>12.9144480852435</v>
      </c>
      <c r="O1545" s="21" t="n">
        <f aca="false">AVERAGEIFS($N$2:$N$2705,$B$2:$B$2705,B1545)</f>
        <v>13.635743185168</v>
      </c>
      <c r="P1545" s="21" t="n">
        <f aca="false">N1545-O1545</f>
        <v>-0.721295099924534</v>
      </c>
      <c r="Q1545" s="7" t="n">
        <v>0</v>
      </c>
      <c r="R1545" s="3" t="n">
        <f aca="false">IF(AND(Q1545=1,B1545-_xlfn.MINIFS($B$2:$B$2705,$A$2:$A$2705,A1545)&lt;10),1,0)</f>
        <v>0</v>
      </c>
      <c r="S1545" s="7" t="n">
        <v>0</v>
      </c>
      <c r="T1545" s="3" t="n">
        <f aca="false">_xlfn.MINIFS($B$2:$B$2705,$A$2:$A$2705,A1545)</f>
        <v>1901</v>
      </c>
      <c r="U1545" s="3" t="n">
        <f aca="false">B1545-T1545</f>
        <v>85</v>
      </c>
      <c r="V1545" s="3" t="str">
        <f aca="false">INDEX(Pop_Inputs!$Q$2:$Q$29,MATCH(C1545,Pop_Inputs!$A$2:$A$29,0))</f>
        <v>South</v>
      </c>
      <c r="W1545" s="29" t="n">
        <v>17102786</v>
      </c>
      <c r="X1545" s="3" t="n">
        <f aca="false">IF(W1545="","",LN(W1545))</f>
        <v>16.6547519321788</v>
      </c>
      <c r="Y1545" s="3" t="n">
        <f aca="false">IF(X1545="","",X1545-AVERAGEIFS($X$2:$X$2705,$B$2:$B$2705,B1545))</f>
        <v>0.404059810036177</v>
      </c>
      <c r="Z1545" s="21" t="n">
        <f aca="false">P1545</f>
        <v>-0.721295099924534</v>
      </c>
      <c r="AA1545" s="3" t="n">
        <f aca="false">R1545</f>
        <v>0</v>
      </c>
      <c r="AB1545" s="21" t="n">
        <f aca="false">P1545</f>
        <v>-0.721295099924534</v>
      </c>
      <c r="AC1545" s="3" t="n">
        <f aca="false">Y1545</f>
        <v>0.404059810036177</v>
      </c>
      <c r="AD1545" s="3" t="n">
        <f aca="false">R1545</f>
        <v>0</v>
      </c>
    </row>
    <row r="1546" customFormat="false" ht="15" hidden="false" customHeight="true" outlineLevel="0" collapsed="false">
      <c r="A1546" s="7" t="s">
        <v>63</v>
      </c>
      <c r="B1546" s="7" t="n">
        <v>1986</v>
      </c>
      <c r="C1546" s="7" t="s">
        <v>149</v>
      </c>
      <c r="D1546" s="7" t="n">
        <v>73</v>
      </c>
      <c r="E1546" s="7" t="n">
        <v>89</v>
      </c>
      <c r="F1546" s="3" t="n">
        <f aca="false">COUNTIFS($B$2:$B$2705,B1546,$C$2:$C$2705,C1546)</f>
        <v>1</v>
      </c>
      <c r="G1546" s="3" t="n">
        <f aca="false">MIN(INT((MIN(B1546,2020)-1900)/10)+1,12)</f>
        <v>9</v>
      </c>
      <c r="H1546" s="3" t="n">
        <f aca="false">(MIN(B1546,2020)-1900-10*(G1546-1))/10</f>
        <v>0.6</v>
      </c>
      <c r="I1546" s="20" t="n">
        <f aca="false">EXP(LN(INDEX(Pop_Inputs!$B$2:$N$29,MATCH(C1546,Pop_Inputs!$A$2:$A$29,0),G1546))*(1-H1546)+LN(INDEX(Pop_Inputs!$B$2:$N$29,MATCH(C1546,Pop_Inputs!$A$2:$A$29,0),G1546+1))*H1546)</f>
        <v>755913.089707045</v>
      </c>
      <c r="J1546" s="20" t="n">
        <f aca="false">I1546/F1546</f>
        <v>755913.089707045</v>
      </c>
      <c r="K1546" s="21" t="n">
        <f aca="false">D1546/(D1546+E1546)</f>
        <v>0.450617283950617</v>
      </c>
      <c r="L1546" s="21" t="n">
        <f aca="false">AVERAGEIFS($K$2:$K$2705,$B$2:$B$2705,B1546)</f>
        <v>0.499976221443613</v>
      </c>
      <c r="M1546" s="21" t="n">
        <f aca="false">K1546-L1546</f>
        <v>-0.0493589374929955</v>
      </c>
      <c r="N1546" s="21" t="n">
        <f aca="false">LN(J1546)</f>
        <v>13.5356816878482</v>
      </c>
      <c r="O1546" s="21" t="n">
        <f aca="false">AVERAGEIFS($N$2:$N$2705,$B$2:$B$2705,B1546)</f>
        <v>13.635743185168</v>
      </c>
      <c r="P1546" s="21" t="n">
        <f aca="false">N1546-O1546</f>
        <v>-0.100061497319823</v>
      </c>
      <c r="Q1546" s="7" t="n">
        <v>0</v>
      </c>
      <c r="R1546" s="3" t="n">
        <f aca="false">IF(AND(Q1546=1,B1546-_xlfn.MINIFS($B$2:$B$2705,$A$2:$A$2705,A1546)&lt;10),1,0)</f>
        <v>0</v>
      </c>
      <c r="S1546" s="7" t="n">
        <v>0</v>
      </c>
      <c r="T1546" s="3" t="n">
        <f aca="false">_xlfn.MINIFS($B$2:$B$2705,$A$2:$A$2705,A1546)</f>
        <v>1901</v>
      </c>
      <c r="U1546" s="3" t="n">
        <f aca="false">B1546-T1546</f>
        <v>85</v>
      </c>
      <c r="V1546" s="3" t="str">
        <f aca="false">INDEX(Pop_Inputs!$Q$2:$Q$29,MATCH(C1546,Pop_Inputs!$A$2:$A$29,0))</f>
        <v>South</v>
      </c>
      <c r="W1546" s="29" t="n">
        <v>13001258</v>
      </c>
      <c r="X1546" s="3" t="n">
        <f aca="false">IF(W1546="","",LN(W1546))</f>
        <v>16.3805566799747</v>
      </c>
      <c r="Y1546" s="3" t="n">
        <f aca="false">IF(X1546="","",X1546-AVERAGEIFS($X$2:$X$2705,$B$2:$B$2705,B1546))</f>
        <v>0.129864557832093</v>
      </c>
      <c r="Z1546" s="21" t="n">
        <f aca="false">P1546</f>
        <v>-0.100061497319823</v>
      </c>
      <c r="AA1546" s="3" t="n">
        <f aca="false">R1546</f>
        <v>0</v>
      </c>
      <c r="AB1546" s="21" t="n">
        <f aca="false">P1546</f>
        <v>-0.100061497319823</v>
      </c>
      <c r="AC1546" s="3" t="n">
        <f aca="false">Y1546</f>
        <v>0.129864557832093</v>
      </c>
      <c r="AD1546" s="3" t="n">
        <f aca="false">R1546</f>
        <v>0</v>
      </c>
    </row>
    <row r="1547" customFormat="false" ht="15" hidden="false" customHeight="true" outlineLevel="0" collapsed="false">
      <c r="A1547" s="7" t="s">
        <v>64</v>
      </c>
      <c r="B1547" s="7" t="n">
        <v>1986</v>
      </c>
      <c r="C1547" s="7" t="s">
        <v>150</v>
      </c>
      <c r="D1547" s="7" t="n">
        <v>95</v>
      </c>
      <c r="E1547" s="7" t="n">
        <v>66</v>
      </c>
      <c r="F1547" s="3" t="n">
        <f aca="false">COUNTIFS($B$2:$B$2705,B1547,$C$2:$C$2705,C1547)</f>
        <v>1</v>
      </c>
      <c r="G1547" s="3" t="n">
        <f aca="false">MIN(INT((MIN(B1547,2020)-1900)/10)+1,12)</f>
        <v>9</v>
      </c>
      <c r="H1547" s="3" t="n">
        <f aca="false">(MIN(B1547,2020)-1900-10*(G1547-1))/10</f>
        <v>0.6</v>
      </c>
      <c r="I1547" s="20" t="n">
        <f aca="false">EXP(LN(INDEX(Pop_Inputs!$B$2:$N$29,MATCH(C1547,Pop_Inputs!$A$2:$A$29,0),G1547))*(1-H1547)+LN(INDEX(Pop_Inputs!$B$2:$N$29,MATCH(C1547,Pop_Inputs!$A$2:$A$29,0),G1547+1))*H1547)</f>
        <v>569740.487497506</v>
      </c>
      <c r="J1547" s="20" t="n">
        <f aca="false">I1547/F1547</f>
        <v>569740.487497506</v>
      </c>
      <c r="K1547" s="21" t="n">
        <f aca="false">D1547/(D1547+E1547)</f>
        <v>0.590062111801242</v>
      </c>
      <c r="L1547" s="21" t="n">
        <f aca="false">AVERAGEIFS($K$2:$K$2705,$B$2:$B$2705,B1547)</f>
        <v>0.499976221443613</v>
      </c>
      <c r="M1547" s="21" t="n">
        <f aca="false">K1547-L1547</f>
        <v>0.0900858903576295</v>
      </c>
      <c r="N1547" s="21" t="n">
        <f aca="false">LN(J1547)</f>
        <v>13.2529362510449</v>
      </c>
      <c r="O1547" s="21" t="n">
        <f aca="false">AVERAGEIFS($N$2:$N$2705,$B$2:$B$2705,B1547)</f>
        <v>13.635743185168</v>
      </c>
      <c r="P1547" s="21" t="n">
        <f aca="false">N1547-O1547</f>
        <v>-0.382806934123126</v>
      </c>
      <c r="Q1547" s="7" t="n">
        <v>0</v>
      </c>
      <c r="R1547" s="3" t="n">
        <f aca="false">IF(AND(Q1547=1,B1547-_xlfn.MINIFS($B$2:$B$2705,$A$2:$A$2705,A1547)&lt;10),1,0)</f>
        <v>0</v>
      </c>
      <c r="S1547" s="7" t="n">
        <v>0</v>
      </c>
      <c r="T1547" s="3" t="n">
        <f aca="false">_xlfn.MINIFS($B$2:$B$2705,$A$2:$A$2705,A1547)</f>
        <v>1901</v>
      </c>
      <c r="U1547" s="3" t="n">
        <f aca="false">B1547-T1547</f>
        <v>85</v>
      </c>
      <c r="V1547" s="3" t="str">
        <f aca="false">INDEX(Pop_Inputs!$Q$2:$Q$29,MATCH(C1547,Pop_Inputs!$A$2:$A$29,0))</f>
        <v>Northeast</v>
      </c>
      <c r="W1547" s="29" t="n">
        <v>14402239</v>
      </c>
      <c r="X1547" s="3" t="n">
        <f aca="false">IF(W1547="","",LN(W1547))</f>
        <v>16.4828942385706</v>
      </c>
      <c r="Y1547" s="3" t="n">
        <f aca="false">IF(X1547="","",X1547-AVERAGEIFS($X$2:$X$2705,$B$2:$B$2705,B1547))</f>
        <v>0.232202116427978</v>
      </c>
      <c r="Z1547" s="21" t="n">
        <f aca="false">P1547</f>
        <v>-0.382806934123126</v>
      </c>
      <c r="AA1547" s="3" t="n">
        <f aca="false">R1547</f>
        <v>0</v>
      </c>
      <c r="AB1547" s="21" t="n">
        <f aca="false">P1547</f>
        <v>-0.382806934123126</v>
      </c>
      <c r="AC1547" s="3" t="n">
        <f aca="false">Y1547</f>
        <v>0.232202116427978</v>
      </c>
      <c r="AD1547" s="3" t="n">
        <f aca="false">R1547</f>
        <v>0</v>
      </c>
    </row>
    <row r="1548" customFormat="false" ht="15" hidden="false" customHeight="true" outlineLevel="0" collapsed="false">
      <c r="A1548" s="7" t="s">
        <v>56</v>
      </c>
      <c r="B1548" s="7" t="n">
        <v>1986</v>
      </c>
      <c r="C1548" s="7" t="s">
        <v>142</v>
      </c>
      <c r="D1548" s="7" t="n">
        <v>70</v>
      </c>
      <c r="E1548" s="7" t="n">
        <v>90</v>
      </c>
      <c r="F1548" s="3" t="n">
        <f aca="false">COUNTIFS($B$2:$B$2705,B1548,$C$2:$C$2705,C1548)</f>
        <v>2</v>
      </c>
      <c r="G1548" s="3" t="n">
        <f aca="false">MIN(INT((MIN(B1548,2020)-1900)/10)+1,12)</f>
        <v>9</v>
      </c>
      <c r="H1548" s="3" t="n">
        <f aca="false">(MIN(B1548,2020)-1900-10*(G1548-1))/10</f>
        <v>0.6</v>
      </c>
      <c r="I1548" s="20" t="n">
        <f aca="false">EXP(LN(INDEX(Pop_Inputs!$B$2:$N$29,MATCH(C1548,Pop_Inputs!$A$2:$A$29,0),G1548))*(1-H1548)+LN(INDEX(Pop_Inputs!$B$2:$N$29,MATCH(C1548,Pop_Inputs!$A$2:$A$29,0),G1548+1))*H1548)</f>
        <v>2870237.56601193</v>
      </c>
      <c r="J1548" s="20" t="n">
        <f aca="false">I1548/F1548</f>
        <v>1435118.78300597</v>
      </c>
      <c r="K1548" s="21" t="n">
        <f aca="false">D1548/(D1548+E1548)</f>
        <v>0.4375</v>
      </c>
      <c r="L1548" s="21" t="n">
        <f aca="false">AVERAGEIFS($K$2:$K$2705,$B$2:$B$2705,B1548)</f>
        <v>0.499976221443613</v>
      </c>
      <c r="M1548" s="21" t="n">
        <f aca="false">K1548-L1548</f>
        <v>-0.0624762214436128</v>
      </c>
      <c r="N1548" s="21" t="n">
        <f aca="false">LN(J1548)</f>
        <v>14.1767581793641</v>
      </c>
      <c r="O1548" s="21" t="n">
        <f aca="false">AVERAGEIFS($N$2:$N$2705,$B$2:$B$2705,B1548)</f>
        <v>13.635743185168</v>
      </c>
      <c r="P1548" s="21" t="n">
        <f aca="false">N1548-O1548</f>
        <v>0.541014994196022</v>
      </c>
      <c r="Q1548" s="7" t="n">
        <v>0</v>
      </c>
      <c r="R1548" s="3" t="n">
        <f aca="false">IF(AND(Q1548=1,B1548-_xlfn.MINIFS($B$2:$B$2705,$A$2:$A$2705,A1548)&lt;10),1,0)</f>
        <v>0</v>
      </c>
      <c r="S1548" s="7" t="n">
        <v>0</v>
      </c>
      <c r="T1548" s="3" t="n">
        <f aca="false">_xlfn.MINIFS($B$2:$B$2705,$A$2:$A$2705,A1548)</f>
        <v>1901</v>
      </c>
      <c r="U1548" s="3" t="n">
        <f aca="false">B1548-T1548</f>
        <v>85</v>
      </c>
      <c r="V1548" s="3" t="str">
        <f aca="false">INDEX(Pop_Inputs!$Q$2:$Q$29,MATCH(C1548,Pop_Inputs!$A$2:$A$29,0))</f>
        <v>Midwest</v>
      </c>
      <c r="W1548" s="29" t="n">
        <v>17208165</v>
      </c>
      <c r="X1548" s="3" t="n">
        <f aca="false">IF(W1548="","",LN(W1548))</f>
        <v>16.6608945384472</v>
      </c>
      <c r="Y1548" s="3" t="n">
        <f aca="false">IF(X1548="","",X1548-AVERAGEIFS($X$2:$X$2705,$B$2:$B$2705,B1548))</f>
        <v>0.410202416304543</v>
      </c>
      <c r="Z1548" s="21" t="n">
        <f aca="false">P1548</f>
        <v>0.541014994196022</v>
      </c>
      <c r="AA1548" s="3" t="n">
        <f aca="false">R1548</f>
        <v>0</v>
      </c>
      <c r="AB1548" s="21" t="n">
        <f aca="false">P1548</f>
        <v>0.541014994196022</v>
      </c>
      <c r="AC1548" s="3" t="n">
        <f aca="false">Y1548</f>
        <v>0.410202416304543</v>
      </c>
      <c r="AD1548" s="3" t="n">
        <f aca="false">R1548</f>
        <v>0</v>
      </c>
    </row>
    <row r="1549" customFormat="false" ht="15" hidden="false" customHeight="true" outlineLevel="0" collapsed="false">
      <c r="A1549" s="7" t="s">
        <v>65</v>
      </c>
      <c r="B1549" s="7" t="n">
        <v>1986</v>
      </c>
      <c r="C1549" s="7" t="s">
        <v>142</v>
      </c>
      <c r="D1549" s="7" t="n">
        <v>72</v>
      </c>
      <c r="E1549" s="7" t="n">
        <v>90</v>
      </c>
      <c r="F1549" s="3" t="n">
        <f aca="false">COUNTIFS($B$2:$B$2705,B1549,$C$2:$C$2705,C1549)</f>
        <v>2</v>
      </c>
      <c r="G1549" s="3" t="n">
        <f aca="false">MIN(INT((MIN(B1549,2020)-1900)/10)+1,12)</f>
        <v>9</v>
      </c>
      <c r="H1549" s="3" t="n">
        <f aca="false">(MIN(B1549,2020)-1900-10*(G1549-1))/10</f>
        <v>0.6</v>
      </c>
      <c r="I1549" s="20" t="n">
        <f aca="false">EXP(LN(INDEX(Pop_Inputs!$B$2:$N$29,MATCH(C1549,Pop_Inputs!$A$2:$A$29,0),G1549))*(1-H1549)+LN(INDEX(Pop_Inputs!$B$2:$N$29,MATCH(C1549,Pop_Inputs!$A$2:$A$29,0),G1549+1))*H1549)</f>
        <v>2870237.56601193</v>
      </c>
      <c r="J1549" s="20" t="n">
        <f aca="false">I1549/F1549</f>
        <v>1435118.78300597</v>
      </c>
      <c r="K1549" s="21" t="n">
        <f aca="false">D1549/(D1549+E1549)</f>
        <v>0.444444444444444</v>
      </c>
      <c r="L1549" s="21" t="n">
        <f aca="false">AVERAGEIFS($K$2:$K$2705,$B$2:$B$2705,B1549)</f>
        <v>0.499976221443613</v>
      </c>
      <c r="M1549" s="21" t="n">
        <f aca="false">K1549-L1549</f>
        <v>-0.0555317769991683</v>
      </c>
      <c r="N1549" s="21" t="n">
        <f aca="false">LN(J1549)</f>
        <v>14.1767581793641</v>
      </c>
      <c r="O1549" s="21" t="n">
        <f aca="false">AVERAGEIFS($N$2:$N$2705,$B$2:$B$2705,B1549)</f>
        <v>13.635743185168</v>
      </c>
      <c r="P1549" s="21" t="n">
        <f aca="false">N1549-O1549</f>
        <v>0.541014994196022</v>
      </c>
      <c r="Q1549" s="7" t="n">
        <v>0</v>
      </c>
      <c r="R1549" s="3" t="n">
        <f aca="false">IF(AND(Q1549=1,B1549-_xlfn.MINIFS($B$2:$B$2705,$A$2:$A$2705,A1549)&lt;10),1,0)</f>
        <v>0</v>
      </c>
      <c r="S1549" s="7" t="n">
        <v>0</v>
      </c>
      <c r="T1549" s="3" t="n">
        <f aca="false">_xlfn.MINIFS($B$2:$B$2705,$A$2:$A$2705,A1549)</f>
        <v>1901</v>
      </c>
      <c r="U1549" s="3" t="n">
        <f aca="false">B1549-T1549</f>
        <v>85</v>
      </c>
      <c r="V1549" s="3" t="str">
        <f aca="false">INDEX(Pop_Inputs!$Q$2:$Q$29,MATCH(C1549,Pop_Inputs!$A$2:$A$29,0))</f>
        <v>Midwest</v>
      </c>
      <c r="W1549" s="29" t="n">
        <v>10418819</v>
      </c>
      <c r="X1549" s="3" t="n">
        <f aca="false">IF(W1549="","",LN(W1549))</f>
        <v>16.1591242481348</v>
      </c>
      <c r="Y1549" s="3" t="n">
        <f aca="false">IF(X1549="","",X1549-AVERAGEIFS($X$2:$X$2705,$B$2:$B$2705,B1549))</f>
        <v>-0.0915678740078718</v>
      </c>
      <c r="Z1549" s="21" t="n">
        <f aca="false">P1549</f>
        <v>0.541014994196022</v>
      </c>
      <c r="AA1549" s="3" t="n">
        <f aca="false">R1549</f>
        <v>0</v>
      </c>
      <c r="AB1549" s="21" t="n">
        <f aca="false">P1549</f>
        <v>0.541014994196022</v>
      </c>
      <c r="AC1549" s="3" t="n">
        <f aca="false">Y1549</f>
        <v>-0.0915678740078718</v>
      </c>
      <c r="AD1549" s="3" t="n">
        <f aca="false">R1549</f>
        <v>0</v>
      </c>
    </row>
    <row r="1550" customFormat="false" ht="15" hidden="false" customHeight="true" outlineLevel="0" collapsed="false">
      <c r="A1550" s="7" t="s">
        <v>57</v>
      </c>
      <c r="B1550" s="7" t="n">
        <v>1986</v>
      </c>
      <c r="C1550" s="7" t="s">
        <v>143</v>
      </c>
      <c r="D1550" s="7" t="n">
        <v>86</v>
      </c>
      <c r="E1550" s="7" t="n">
        <v>76</v>
      </c>
      <c r="F1550" s="3" t="n">
        <f aca="false">COUNTIFS($B$2:$B$2705,B1550,$C$2:$C$2705,C1550)</f>
        <v>1</v>
      </c>
      <c r="G1550" s="3" t="n">
        <f aca="false">MIN(INT((MIN(B1550,2020)-1900)/10)+1,12)</f>
        <v>9</v>
      </c>
      <c r="H1550" s="3" t="n">
        <f aca="false">(MIN(B1550,2020)-1900-10*(G1550-1))/10</f>
        <v>0.6</v>
      </c>
      <c r="I1550" s="20" t="n">
        <f aca="false">EXP(LN(INDEX(Pop_Inputs!$B$2:$N$29,MATCH(C1550,Pop_Inputs!$A$2:$A$29,0),G1550))*(1-H1550)+LN(INDEX(Pop_Inputs!$B$2:$N$29,MATCH(C1550,Pop_Inputs!$A$2:$A$29,0),G1550+1))*H1550)</f>
        <v>372461.330440855</v>
      </c>
      <c r="J1550" s="20" t="n">
        <f aca="false">I1550/F1550</f>
        <v>372461.330440855</v>
      </c>
      <c r="K1550" s="21" t="n">
        <f aca="false">D1550/(D1550+E1550)</f>
        <v>0.530864197530864</v>
      </c>
      <c r="L1550" s="21" t="n">
        <f aca="false">AVERAGEIFS($K$2:$K$2705,$B$2:$B$2705,B1550)</f>
        <v>0.499976221443613</v>
      </c>
      <c r="M1550" s="21" t="n">
        <f aca="false">K1550-L1550</f>
        <v>0.0308879760872515</v>
      </c>
      <c r="N1550" s="21" t="n">
        <f aca="false">LN(J1550)</f>
        <v>12.827888500516</v>
      </c>
      <c r="O1550" s="21" t="n">
        <f aca="false">AVERAGEIFS($N$2:$N$2705,$B$2:$B$2705,B1550)</f>
        <v>13.635743185168</v>
      </c>
      <c r="P1550" s="21" t="n">
        <f aca="false">N1550-O1550</f>
        <v>-0.807854684652044</v>
      </c>
      <c r="Q1550" s="7" t="n">
        <v>0</v>
      </c>
      <c r="R1550" s="3" t="n">
        <f aca="false">IF(AND(Q1550=1,B1550-_xlfn.MINIFS($B$2:$B$2705,$A$2:$A$2705,A1550)&lt;10),1,0)</f>
        <v>0</v>
      </c>
      <c r="S1550" s="7" t="n">
        <v>0</v>
      </c>
      <c r="T1550" s="3" t="n">
        <f aca="false">_xlfn.MINIFS($B$2:$B$2705,$A$2:$A$2705,A1550)</f>
        <v>1901</v>
      </c>
      <c r="U1550" s="3" t="n">
        <f aca="false">B1550-T1550</f>
        <v>85</v>
      </c>
      <c r="V1550" s="3" t="str">
        <f aca="false">INDEX(Pop_Inputs!$Q$2:$Q$29,MATCH(C1550,Pop_Inputs!$A$2:$A$29,0))</f>
        <v>Midwest</v>
      </c>
      <c r="W1550" s="29" t="n">
        <v>11906388</v>
      </c>
      <c r="X1550" s="3" t="n">
        <f aca="false">IF(W1550="","",LN(W1550))</f>
        <v>16.2925856207753</v>
      </c>
      <c r="Y1550" s="3" t="n">
        <f aca="false">IF(X1550="","",X1550-AVERAGEIFS($X$2:$X$2705,$B$2:$B$2705,B1550))</f>
        <v>0.0418934986326107</v>
      </c>
      <c r="Z1550" s="21" t="n">
        <f aca="false">P1550</f>
        <v>-0.807854684652044</v>
      </c>
      <c r="AA1550" s="3" t="n">
        <f aca="false">R1550</f>
        <v>0</v>
      </c>
      <c r="AB1550" s="21" t="n">
        <f aca="false">P1550</f>
        <v>-0.807854684652044</v>
      </c>
      <c r="AC1550" s="3" t="n">
        <f aca="false">Y1550</f>
        <v>0.0418934986326107</v>
      </c>
      <c r="AD1550" s="3" t="n">
        <f aca="false">R1550</f>
        <v>0</v>
      </c>
    </row>
    <row r="1551" customFormat="false" ht="15" hidden="false" customHeight="true" outlineLevel="0" collapsed="false">
      <c r="A1551" s="7" t="s">
        <v>66</v>
      </c>
      <c r="B1551" s="7" t="n">
        <v>1986</v>
      </c>
      <c r="C1551" s="7" t="s">
        <v>151</v>
      </c>
      <c r="D1551" s="7" t="n">
        <v>84</v>
      </c>
      <c r="E1551" s="7" t="n">
        <v>78</v>
      </c>
      <c r="F1551" s="3" t="n">
        <f aca="false">COUNTIFS($B$2:$B$2705,B1551,$C$2:$C$2705,C1551)</f>
        <v>1</v>
      </c>
      <c r="G1551" s="3" t="n">
        <f aca="false">MIN(INT((MIN(B1551,2020)-1900)/10)+1,12)</f>
        <v>9</v>
      </c>
      <c r="H1551" s="3" t="n">
        <f aca="false">(MIN(B1551,2020)-1900-10*(G1551-1))/10</f>
        <v>0.6</v>
      </c>
      <c r="I1551" s="20" t="n">
        <f aca="false">EXP(LN(INDEX(Pop_Inputs!$B$2:$N$29,MATCH(C1551,Pop_Inputs!$A$2:$A$29,0),G1551))*(1-H1551)+LN(INDEX(Pop_Inputs!$B$2:$N$29,MATCH(C1551,Pop_Inputs!$A$2:$A$29,0),G1551+1))*H1551)</f>
        <v>531867.389397812</v>
      </c>
      <c r="J1551" s="20" t="n">
        <f aca="false">I1551/F1551</f>
        <v>531867.389397812</v>
      </c>
      <c r="K1551" s="21" t="n">
        <f aca="false">D1551/(D1551+E1551)</f>
        <v>0.518518518518519</v>
      </c>
      <c r="L1551" s="21" t="n">
        <f aca="false">AVERAGEIFS($K$2:$K$2705,$B$2:$B$2705,B1551)</f>
        <v>0.499976221443613</v>
      </c>
      <c r="M1551" s="21" t="n">
        <f aca="false">K1551-L1551</f>
        <v>0.0185422970749057</v>
      </c>
      <c r="N1551" s="21" t="n">
        <f aca="false">LN(J1551)</f>
        <v>13.1841494692021</v>
      </c>
      <c r="O1551" s="21" t="n">
        <f aca="false">AVERAGEIFS($N$2:$N$2705,$B$2:$B$2705,B1551)</f>
        <v>13.635743185168</v>
      </c>
      <c r="P1551" s="21" t="n">
        <f aca="false">N1551-O1551</f>
        <v>-0.451593715965926</v>
      </c>
      <c r="Q1551" s="7" t="n">
        <v>0</v>
      </c>
      <c r="R1551" s="3" t="n">
        <f aca="false">IF(AND(Q1551=1,B1551-_xlfn.MINIFS($B$2:$B$2705,$A$2:$A$2705,A1551)&lt;10),1,0)</f>
        <v>0</v>
      </c>
      <c r="S1551" s="7" t="n">
        <v>0</v>
      </c>
      <c r="T1551" s="3" t="n">
        <f aca="false">_xlfn.MINIFS($B$2:$B$2705,$A$2:$A$2705,A1551)</f>
        <v>1901</v>
      </c>
      <c r="U1551" s="3" t="n">
        <f aca="false">B1551-T1551</f>
        <v>85</v>
      </c>
      <c r="V1551" s="3" t="str">
        <f aca="false">INDEX(Pop_Inputs!$Q$2:$Q$29,MATCH(C1551,Pop_Inputs!$A$2:$A$29,0))</f>
        <v>Midwest</v>
      </c>
      <c r="W1551" s="29" t="n">
        <v>7809500</v>
      </c>
      <c r="X1551" s="3" t="n">
        <f aca="false">IF(W1551="","",LN(W1551))</f>
        <v>15.8708514992799</v>
      </c>
      <c r="Y1551" s="3" t="n">
        <f aca="false">IF(X1551="","",X1551-AVERAGEIFS($X$2:$X$2705,$B$2:$B$2705,B1551))</f>
        <v>-0.379840622862735</v>
      </c>
      <c r="Z1551" s="21" t="n">
        <f aca="false">P1551</f>
        <v>-0.451593715965926</v>
      </c>
      <c r="AA1551" s="3" t="n">
        <f aca="false">R1551</f>
        <v>0</v>
      </c>
      <c r="AB1551" s="21" t="n">
        <f aca="false">P1551</f>
        <v>-0.451593715965926</v>
      </c>
      <c r="AC1551" s="3" t="n">
        <f aca="false">Y1551</f>
        <v>-0.379840622862735</v>
      </c>
      <c r="AD1551" s="3" t="n">
        <f aca="false">R1551</f>
        <v>0</v>
      </c>
    </row>
    <row r="1552" customFormat="false" ht="15" hidden="false" customHeight="true" outlineLevel="0" collapsed="false">
      <c r="A1552" s="7" t="s">
        <v>67</v>
      </c>
      <c r="B1552" s="7" t="n">
        <v>1986</v>
      </c>
      <c r="C1552" s="7" t="s">
        <v>152</v>
      </c>
      <c r="D1552" s="7" t="n">
        <v>87</v>
      </c>
      <c r="E1552" s="7" t="n">
        <v>75</v>
      </c>
      <c r="F1552" s="3" t="n">
        <f aca="false">COUNTIFS($B$2:$B$2705,B1552,$C$2:$C$2705,C1552)</f>
        <v>1</v>
      </c>
      <c r="G1552" s="3" t="n">
        <f aca="false">MIN(INT((MIN(B1552,2020)-1900)/10)+1,12)</f>
        <v>9</v>
      </c>
      <c r="H1552" s="3" t="n">
        <f aca="false">(MIN(B1552,2020)-1900-10*(G1552-1))/10</f>
        <v>0.6</v>
      </c>
      <c r="I1552" s="20" t="n">
        <f aca="false">EXP(LN(INDEX(Pop_Inputs!$B$2:$N$29,MATCH(C1552,Pop_Inputs!$A$2:$A$29,0),G1552))*(1-H1552)+LN(INDEX(Pop_Inputs!$B$2:$N$29,MATCH(C1552,Pop_Inputs!$A$2:$A$29,0),G1552+1))*H1552)</f>
        <v>1094834.97240813</v>
      </c>
      <c r="J1552" s="20" t="n">
        <f aca="false">I1552/F1552</f>
        <v>1094834.97240813</v>
      </c>
      <c r="K1552" s="21" t="n">
        <f aca="false">D1552/(D1552+E1552)</f>
        <v>0.537037037037037</v>
      </c>
      <c r="L1552" s="21" t="n">
        <f aca="false">AVERAGEIFS($K$2:$K$2705,$B$2:$B$2705,B1552)</f>
        <v>0.499976221443613</v>
      </c>
      <c r="M1552" s="21" t="n">
        <f aca="false">K1552-L1552</f>
        <v>0.0370608155934243</v>
      </c>
      <c r="N1552" s="21" t="n">
        <f aca="false">LN(J1552)</f>
        <v>13.9061141997453</v>
      </c>
      <c r="O1552" s="21" t="n">
        <f aca="false">AVERAGEIFS($N$2:$N$2705,$B$2:$B$2705,B1552)</f>
        <v>13.635743185168</v>
      </c>
      <c r="P1552" s="21" t="n">
        <f aca="false">N1552-O1552</f>
        <v>0.270371014577229</v>
      </c>
      <c r="Q1552" s="7" t="n">
        <v>0</v>
      </c>
      <c r="R1552" s="3" t="n">
        <f aca="false">IF(AND(Q1552=1,B1552-_xlfn.MINIFS($B$2:$B$2705,$A$2:$A$2705,A1552)&lt;10),1,0)</f>
        <v>0</v>
      </c>
      <c r="S1552" s="7" t="n">
        <v>0</v>
      </c>
      <c r="T1552" s="3" t="n">
        <f aca="false">_xlfn.MINIFS($B$2:$B$2705,$A$2:$A$2705,A1552)</f>
        <v>1901</v>
      </c>
      <c r="U1552" s="3" t="n">
        <f aca="false">B1552-T1552</f>
        <v>85</v>
      </c>
      <c r="V1552" s="3" t="str">
        <f aca="false">INDEX(Pop_Inputs!$Q$2:$Q$29,MATCH(C1552,Pop_Inputs!$A$2:$A$29,0))</f>
        <v>Midwest</v>
      </c>
      <c r="W1552" s="29" t="n">
        <v>12335714</v>
      </c>
      <c r="X1552" s="3" t="n">
        <f aca="false">IF(W1552="","",LN(W1552))</f>
        <v>16.3280091903401</v>
      </c>
      <c r="Y1552" s="3" t="n">
        <f aca="false">IF(X1552="","",X1552-AVERAGEIFS($X$2:$X$2705,$B$2:$B$2705,B1552))</f>
        <v>0.0773170681974484</v>
      </c>
      <c r="Z1552" s="21" t="n">
        <f aca="false">P1552</f>
        <v>0.270371014577229</v>
      </c>
      <c r="AA1552" s="3" t="n">
        <f aca="false">R1552</f>
        <v>0</v>
      </c>
      <c r="AB1552" s="21" t="n">
        <f aca="false">P1552</f>
        <v>0.270371014577229</v>
      </c>
      <c r="AC1552" s="3" t="n">
        <f aca="false">Y1552</f>
        <v>0.0773170681974484</v>
      </c>
      <c r="AD1552" s="3" t="n">
        <f aca="false">R1552</f>
        <v>0</v>
      </c>
    </row>
    <row r="1553" customFormat="false" ht="15" hidden="false" customHeight="true" outlineLevel="0" collapsed="false">
      <c r="A1553" s="7" t="s">
        <v>74</v>
      </c>
      <c r="B1553" s="7" t="n">
        <v>1986</v>
      </c>
      <c r="C1553" s="7" t="s">
        <v>156</v>
      </c>
      <c r="D1553" s="7" t="n">
        <v>96</v>
      </c>
      <c r="E1553" s="7" t="n">
        <v>66</v>
      </c>
      <c r="F1553" s="3" t="n">
        <f aca="false">COUNTIFS($B$2:$B$2705,B1553,$C$2:$C$2705,C1553)</f>
        <v>1</v>
      </c>
      <c r="G1553" s="3" t="n">
        <f aca="false">MIN(INT((MIN(B1553,2020)-1900)/10)+1,12)</f>
        <v>9</v>
      </c>
      <c r="H1553" s="3" t="n">
        <f aca="false">(MIN(B1553,2020)-1900-10*(G1553-1))/10</f>
        <v>0.6</v>
      </c>
      <c r="I1553" s="20" t="n">
        <f aca="false">EXP(LN(INDEX(Pop_Inputs!$B$2:$N$29,MATCH(C1553,Pop_Inputs!$A$2:$A$29,0),G1553))*(1-H1553)+LN(INDEX(Pop_Inputs!$B$2:$N$29,MATCH(C1553,Pop_Inputs!$A$2:$A$29,0),G1553+1))*H1553)</f>
        <v>1616293.61136987</v>
      </c>
      <c r="J1553" s="20" t="n">
        <f aca="false">I1553/F1553</f>
        <v>1616293.61136987</v>
      </c>
      <c r="K1553" s="21" t="n">
        <f aca="false">D1553/(D1553+E1553)</f>
        <v>0.592592592592593</v>
      </c>
      <c r="L1553" s="21" t="n">
        <f aca="false">AVERAGEIFS($K$2:$K$2705,$B$2:$B$2705,B1553)</f>
        <v>0.499976221443613</v>
      </c>
      <c r="M1553" s="21" t="n">
        <f aca="false">K1553-L1553</f>
        <v>0.0926163711489798</v>
      </c>
      <c r="N1553" s="21" t="n">
        <f aca="false">LN(J1553)</f>
        <v>14.2956461917636</v>
      </c>
      <c r="O1553" s="21" t="n">
        <f aca="false">AVERAGEIFS($N$2:$N$2705,$B$2:$B$2705,B1553)</f>
        <v>13.635743185168</v>
      </c>
      <c r="P1553" s="21" t="n">
        <f aca="false">N1553-O1553</f>
        <v>0.659903006595604</v>
      </c>
      <c r="Q1553" s="7" t="n">
        <v>1</v>
      </c>
      <c r="R1553" s="3" t="n">
        <f aca="false">IF(AND(Q1553=1,B1553-_xlfn.MINIFS($B$2:$B$2705,$A$2:$A$2705,A1553)&lt;10),1,0)</f>
        <v>0</v>
      </c>
      <c r="S1553" s="7" t="n">
        <v>0</v>
      </c>
      <c r="T1553" s="3" t="n">
        <f aca="false">_xlfn.MINIFS($B$2:$B$2705,$A$2:$A$2705,A1553)</f>
        <v>1962</v>
      </c>
      <c r="U1553" s="3" t="n">
        <f aca="false">B1553-T1553</f>
        <v>24</v>
      </c>
      <c r="V1553" s="3" t="str">
        <f aca="false">INDEX(Pop_Inputs!$Q$2:$Q$29,MATCH(C1553,Pop_Inputs!$A$2:$A$29,0))</f>
        <v>South</v>
      </c>
      <c r="W1553" s="29" t="n">
        <v>9873276</v>
      </c>
      <c r="X1553" s="3" t="n">
        <f aca="false">IF(W1553="","",LN(W1553))</f>
        <v>16.1053422712317</v>
      </c>
      <c r="Y1553" s="3" t="n">
        <f aca="false">IF(X1553="","",X1553-AVERAGEIFS($X$2:$X$2705,$B$2:$B$2705,B1553))</f>
        <v>-0.145349850910929</v>
      </c>
      <c r="Z1553" s="21" t="n">
        <f aca="false">P1553</f>
        <v>0.659903006595604</v>
      </c>
      <c r="AA1553" s="3" t="n">
        <f aca="false">R1553</f>
        <v>0</v>
      </c>
      <c r="AB1553" s="21" t="n">
        <f aca="false">P1553</f>
        <v>0.659903006595604</v>
      </c>
      <c r="AC1553" s="3" t="n">
        <f aca="false">Y1553</f>
        <v>-0.145349850910929</v>
      </c>
      <c r="AD1553" s="3" t="n">
        <f aca="false">R1553</f>
        <v>0</v>
      </c>
    </row>
    <row r="1554" customFormat="false" ht="15" hidden="false" customHeight="true" outlineLevel="0" collapsed="false">
      <c r="A1554" s="7" t="s">
        <v>76</v>
      </c>
      <c r="B1554" s="7" t="n">
        <v>1986</v>
      </c>
      <c r="C1554" s="7" t="s">
        <v>157</v>
      </c>
      <c r="D1554" s="7" t="n">
        <v>76</v>
      </c>
      <c r="E1554" s="7" t="n">
        <v>86</v>
      </c>
      <c r="F1554" s="3" t="n">
        <f aca="false">COUNTIFS($B$2:$B$2705,B1554,$C$2:$C$2705,C1554)</f>
        <v>1</v>
      </c>
      <c r="G1554" s="3" t="n">
        <f aca="false">MIN(INT((MIN(B1554,2020)-1900)/10)+1,12)</f>
        <v>9</v>
      </c>
      <c r="H1554" s="3" t="n">
        <f aca="false">(MIN(B1554,2020)-1900-10*(G1554-1))/10</f>
        <v>0.6</v>
      </c>
      <c r="I1554" s="20" t="n">
        <f aca="false">EXP(LN(INDEX(Pop_Inputs!$B$2:$N$29,MATCH(C1554,Pop_Inputs!$A$2:$A$29,0),G1554))*(1-H1554)+LN(INDEX(Pop_Inputs!$B$2:$N$29,MATCH(C1554,Pop_Inputs!$A$2:$A$29,0),G1554+1))*H1554)</f>
        <v>440305.232327361</v>
      </c>
      <c r="J1554" s="20" t="n">
        <f aca="false">I1554/F1554</f>
        <v>440305.232327361</v>
      </c>
      <c r="K1554" s="21" t="n">
        <f aca="false">D1554/(D1554+E1554)</f>
        <v>0.469135802469136</v>
      </c>
      <c r="L1554" s="21" t="n">
        <f aca="false">AVERAGEIFS($K$2:$K$2705,$B$2:$B$2705,B1554)</f>
        <v>0.499976221443613</v>
      </c>
      <c r="M1554" s="21" t="n">
        <f aca="false">K1554-L1554</f>
        <v>-0.030840418974477</v>
      </c>
      <c r="N1554" s="21" t="n">
        <f aca="false">LN(J1554)</f>
        <v>12.9952234752239</v>
      </c>
      <c r="O1554" s="21" t="n">
        <f aca="false">AVERAGEIFS($N$2:$N$2705,$B$2:$B$2705,B1554)</f>
        <v>13.635743185168</v>
      </c>
      <c r="P1554" s="21" t="n">
        <f aca="false">N1554-O1554</f>
        <v>-0.640519709944128</v>
      </c>
      <c r="Q1554" s="7" t="n">
        <v>1</v>
      </c>
      <c r="R1554" s="3" t="n">
        <f aca="false">IF(AND(Q1554=1,B1554-_xlfn.MINIFS($B$2:$B$2705,$A$2:$A$2705,A1554)&lt;10),1,0)</f>
        <v>0</v>
      </c>
      <c r="S1554" s="7" t="n">
        <v>0</v>
      </c>
      <c r="T1554" s="3" t="n">
        <f aca="false">_xlfn.MINIFS($B$2:$B$2705,$A$2:$A$2705,A1554)</f>
        <v>1969</v>
      </c>
      <c r="U1554" s="3" t="n">
        <f aca="false">B1554-T1554</f>
        <v>17</v>
      </c>
      <c r="V1554" s="3" t="str">
        <f aca="false">INDEX(Pop_Inputs!$Q$2:$Q$29,MATCH(C1554,Pop_Inputs!$A$2:$A$29,0))</f>
        <v>Midwest</v>
      </c>
      <c r="W1554" s="29" t="n">
        <v>13043698</v>
      </c>
      <c r="X1554" s="3" t="n">
        <f aca="false">IF(W1554="","",LN(W1554))</f>
        <v>16.3838156632161</v>
      </c>
      <c r="Y1554" s="3" t="n">
        <f aca="false">IF(X1554="","",X1554-AVERAGEIFS($X$2:$X$2705,$B$2:$B$2705,B1554))</f>
        <v>0.133123541073442</v>
      </c>
      <c r="Z1554" s="21" t="n">
        <f aca="false">P1554</f>
        <v>-0.640519709944128</v>
      </c>
      <c r="AA1554" s="3" t="n">
        <f aca="false">R1554</f>
        <v>0</v>
      </c>
      <c r="AB1554" s="21" t="n">
        <f aca="false">P1554</f>
        <v>-0.640519709944128</v>
      </c>
      <c r="AC1554" s="3" t="n">
        <f aca="false">Y1554</f>
        <v>0.133123541073442</v>
      </c>
      <c r="AD1554" s="3" t="n">
        <f aca="false">R1554</f>
        <v>0</v>
      </c>
    </row>
    <row r="1555" customFormat="false" ht="15" hidden="false" customHeight="true" outlineLevel="0" collapsed="false">
      <c r="A1555" s="7" t="s">
        <v>62</v>
      </c>
      <c r="B1555" s="7" t="n">
        <v>1986</v>
      </c>
      <c r="C1555" s="7" t="s">
        <v>148</v>
      </c>
      <c r="D1555" s="7" t="n">
        <v>73</v>
      </c>
      <c r="E1555" s="7" t="n">
        <v>89</v>
      </c>
      <c r="F1555" s="3" t="n">
        <f aca="false">COUNTIFS($B$2:$B$2705,B1555,$C$2:$C$2705,C1555)</f>
        <v>2</v>
      </c>
      <c r="G1555" s="3" t="n">
        <f aca="false">MIN(INT((MIN(B1555,2020)-1900)/10)+1,12)</f>
        <v>9</v>
      </c>
      <c r="H1555" s="3" t="n">
        <f aca="false">(MIN(B1555,2020)-1900-10*(G1555-1))/10</f>
        <v>0.6</v>
      </c>
      <c r="I1555" s="20" t="n">
        <f aca="false">EXP(LN(INDEX(Pop_Inputs!$B$2:$N$29,MATCH(C1555,Pop_Inputs!$A$2:$A$29,0),G1555))*(1-H1555)+LN(INDEX(Pop_Inputs!$B$2:$N$29,MATCH(C1555,Pop_Inputs!$A$2:$A$29,0),G1555+1))*H1555)</f>
        <v>3267906.80261213</v>
      </c>
      <c r="J1555" s="20" t="n">
        <f aca="false">I1555/F1555</f>
        <v>1633953.40130606</v>
      </c>
      <c r="K1555" s="21" t="n">
        <f aca="false">D1555/(D1555+E1555)</f>
        <v>0.450617283950617</v>
      </c>
      <c r="L1555" s="21" t="n">
        <f aca="false">AVERAGEIFS($K$2:$K$2705,$B$2:$B$2705,B1555)</f>
        <v>0.499976221443613</v>
      </c>
      <c r="M1555" s="21" t="n">
        <f aca="false">K1555-L1555</f>
        <v>-0.0493589374929955</v>
      </c>
      <c r="N1555" s="21" t="n">
        <f aca="false">LN(J1555)</f>
        <v>14.3065130358229</v>
      </c>
      <c r="O1555" s="21" t="n">
        <f aca="false">AVERAGEIFS($N$2:$N$2705,$B$2:$B$2705,B1555)</f>
        <v>13.635743185168</v>
      </c>
      <c r="P1555" s="21" t="n">
        <f aca="false">N1555-O1555</f>
        <v>0.670769850654853</v>
      </c>
      <c r="Q1555" s="7" t="n">
        <v>0</v>
      </c>
      <c r="R1555" s="3" t="n">
        <f aca="false">IF(AND(Q1555=1,B1555-_xlfn.MINIFS($B$2:$B$2705,$A$2:$A$2705,A1555)&lt;10),1,0)</f>
        <v>0</v>
      </c>
      <c r="S1555" s="7" t="n">
        <v>0</v>
      </c>
      <c r="T1555" s="3" t="n">
        <f aca="false">_xlfn.MINIFS($B$2:$B$2705,$A$2:$A$2705,A1555)</f>
        <v>1901</v>
      </c>
      <c r="U1555" s="3" t="n">
        <f aca="false">B1555-T1555</f>
        <v>85</v>
      </c>
      <c r="V1555" s="3" t="str">
        <f aca="false">INDEX(Pop_Inputs!$Q$2:$Q$29,MATCH(C1555,Pop_Inputs!$A$2:$A$29,0))</f>
        <v>West</v>
      </c>
      <c r="W1555" s="29" t="n">
        <v>14913776</v>
      </c>
      <c r="X1555" s="3" t="n">
        <f aca="false">IF(W1555="","",LN(W1555))</f>
        <v>16.5177959075283</v>
      </c>
      <c r="Y1555" s="3" t="n">
        <f aca="false">IF(X1555="","",X1555-AVERAGEIFS($X$2:$X$2705,$B$2:$B$2705,B1555))</f>
        <v>0.267103785385618</v>
      </c>
      <c r="Z1555" s="21" t="n">
        <f aca="false">P1555</f>
        <v>0.670769850654853</v>
      </c>
      <c r="AA1555" s="3" t="n">
        <f aca="false">R1555</f>
        <v>0</v>
      </c>
      <c r="AB1555" s="21" t="n">
        <f aca="false">P1555</f>
        <v>0.670769850654853</v>
      </c>
      <c r="AC1555" s="3" t="n">
        <f aca="false">Y1555</f>
        <v>0.267103785385618</v>
      </c>
      <c r="AD1555" s="3" t="n">
        <f aca="false">R1555</f>
        <v>0</v>
      </c>
    </row>
    <row r="1556" customFormat="false" ht="15" hidden="false" customHeight="true" outlineLevel="0" collapsed="false">
      <c r="A1556" s="7" t="s">
        <v>77</v>
      </c>
      <c r="B1556" s="7" t="n">
        <v>1986</v>
      </c>
      <c r="C1556" s="7" t="s">
        <v>158</v>
      </c>
      <c r="D1556" s="7" t="n">
        <v>77</v>
      </c>
      <c r="E1556" s="7" t="n">
        <v>84</v>
      </c>
      <c r="F1556" s="3" t="n">
        <f aca="false">COUNTIFS($B$2:$B$2705,B1556,$C$2:$C$2705,C1556)</f>
        <v>1</v>
      </c>
      <c r="G1556" s="3" t="n">
        <f aca="false">MIN(INT((MIN(B1556,2020)-1900)/10)+1,12)</f>
        <v>9</v>
      </c>
      <c r="H1556" s="3" t="n">
        <f aca="false">(MIN(B1556,2020)-1900-10*(G1556-1))/10</f>
        <v>0.6</v>
      </c>
      <c r="I1556" s="20" t="n">
        <f aca="false">EXP(LN(INDEX(Pop_Inputs!$B$2:$N$29,MATCH(C1556,Pop_Inputs!$A$2:$A$29,0),G1556))*(1-H1556)+LN(INDEX(Pop_Inputs!$B$2:$N$29,MATCH(C1556,Pop_Inputs!$A$2:$A$29,0),G1556+1))*H1556)</f>
        <v>631325.076682505</v>
      </c>
      <c r="J1556" s="20" t="n">
        <f aca="false">I1556/F1556</f>
        <v>631325.076682505</v>
      </c>
      <c r="K1556" s="21" t="n">
        <f aca="false">D1556/(D1556+E1556)</f>
        <v>0.478260869565217</v>
      </c>
      <c r="L1556" s="21" t="n">
        <f aca="false">AVERAGEIFS($K$2:$K$2705,$B$2:$B$2705,B1556)</f>
        <v>0.499976221443613</v>
      </c>
      <c r="M1556" s="21" t="n">
        <f aca="false">K1556-L1556</f>
        <v>-0.0217153518783954</v>
      </c>
      <c r="N1556" s="21" t="n">
        <f aca="false">LN(J1556)</f>
        <v>13.3555761858581</v>
      </c>
      <c r="O1556" s="21" t="n">
        <f aca="false">AVERAGEIFS($N$2:$N$2705,$B$2:$B$2705,B1556)</f>
        <v>13.635743185168</v>
      </c>
      <c r="P1556" s="21" t="n">
        <f aca="false">N1556-O1556</f>
        <v>-0.280166999309918</v>
      </c>
      <c r="Q1556" s="7" t="n">
        <v>1</v>
      </c>
      <c r="R1556" s="3" t="n">
        <f aca="false">IF(AND(Q1556=1,B1556-_xlfn.MINIFS($B$2:$B$2705,$A$2:$A$2705,A1556)&lt;10),1,0)</f>
        <v>0</v>
      </c>
      <c r="S1556" s="7" t="n">
        <v>0</v>
      </c>
      <c r="T1556" s="3" t="n">
        <f aca="false">_xlfn.MINIFS($B$2:$B$2705,$A$2:$A$2705,A1556)</f>
        <v>1969</v>
      </c>
      <c r="U1556" s="3" t="n">
        <f aca="false">B1556-T1556</f>
        <v>17</v>
      </c>
      <c r="V1556" s="3" t="str">
        <f aca="false">INDEX(Pop_Inputs!$Q$2:$Q$29,MATCH(C1556,Pop_Inputs!$A$2:$A$29,0))</f>
        <v>Midwest</v>
      </c>
      <c r="W1556" s="29" t="n">
        <v>9943642</v>
      </c>
      <c r="X1556" s="3" t="n">
        <f aca="false">IF(W1556="","",LN(W1556))</f>
        <v>16.1124439099156</v>
      </c>
      <c r="Y1556" s="3" t="n">
        <f aca="false">IF(X1556="","",X1556-AVERAGEIFS($X$2:$X$2705,$B$2:$B$2705,B1556))</f>
        <v>-0.138248212227047</v>
      </c>
      <c r="Z1556" s="21" t="n">
        <f aca="false">P1556</f>
        <v>-0.280166999309918</v>
      </c>
      <c r="AA1556" s="3" t="n">
        <f aca="false">R1556</f>
        <v>0</v>
      </c>
      <c r="AB1556" s="21" t="n">
        <f aca="false">P1556</f>
        <v>-0.280166999309918</v>
      </c>
      <c r="AC1556" s="3" t="n">
        <f aca="false">Y1556</f>
        <v>-0.138248212227047</v>
      </c>
      <c r="AD1556" s="3" t="n">
        <f aca="false">R1556</f>
        <v>0</v>
      </c>
    </row>
    <row r="1557" customFormat="false" ht="15" hidden="false" customHeight="true" outlineLevel="0" collapsed="false">
      <c r="A1557" s="7" t="s">
        <v>68</v>
      </c>
      <c r="B1557" s="7" t="n">
        <v>1986</v>
      </c>
      <c r="C1557" s="7" t="s">
        <v>153</v>
      </c>
      <c r="D1557" s="7" t="n">
        <v>71</v>
      </c>
      <c r="E1557" s="7" t="n">
        <v>91</v>
      </c>
      <c r="F1557" s="3" t="n">
        <f aca="false">COUNTIFS($B$2:$B$2705,B1557,$C$2:$C$2705,C1557)</f>
        <v>1</v>
      </c>
      <c r="G1557" s="3" t="n">
        <f aca="false">MIN(INT((MIN(B1557,2020)-1900)/10)+1,12)</f>
        <v>9</v>
      </c>
      <c r="H1557" s="3" t="n">
        <f aca="false">(MIN(B1557,2020)-1900-10*(G1557-1))/10</f>
        <v>0.6</v>
      </c>
      <c r="I1557" s="20" t="n">
        <f aca="false">EXP(LN(INDEX(Pop_Inputs!$B$2:$N$29,MATCH(C1557,Pop_Inputs!$A$2:$A$29,0),G1557))*(1-H1557)+LN(INDEX(Pop_Inputs!$B$2:$N$29,MATCH(C1557,Pop_Inputs!$A$2:$A$29,0),G1557+1))*H1557)</f>
        <v>369408.059765542</v>
      </c>
      <c r="J1557" s="20" t="n">
        <f aca="false">I1557/F1557</f>
        <v>369408.059765542</v>
      </c>
      <c r="K1557" s="21" t="n">
        <f aca="false">D1557/(D1557+E1557)</f>
        <v>0.438271604938272</v>
      </c>
      <c r="L1557" s="21" t="n">
        <f aca="false">AVERAGEIFS($K$2:$K$2705,$B$2:$B$2705,B1557)</f>
        <v>0.499976221443613</v>
      </c>
      <c r="M1557" s="21" t="n">
        <f aca="false">K1557-L1557</f>
        <v>-0.0617046165053412</v>
      </c>
      <c r="N1557" s="21" t="n">
        <f aca="false">LN(J1557)</f>
        <v>12.8196571650408</v>
      </c>
      <c r="O1557" s="21" t="n">
        <f aca="false">AVERAGEIFS($N$2:$N$2705,$B$2:$B$2705,B1557)</f>
        <v>13.635743185168</v>
      </c>
      <c r="P1557" s="21" t="n">
        <f aca="false">N1557-O1557</f>
        <v>-0.816086020127266</v>
      </c>
      <c r="Q1557" s="7" t="n">
        <v>0</v>
      </c>
      <c r="R1557" s="3" t="n">
        <f aca="false">IF(AND(Q1557=1,B1557-_xlfn.MINIFS($B$2:$B$2705,$A$2:$A$2705,A1557)&lt;10),1,0)</f>
        <v>0</v>
      </c>
      <c r="S1557" s="7" t="n">
        <v>0</v>
      </c>
      <c r="T1557" s="3" t="n">
        <f aca="false">_xlfn.MINIFS($B$2:$B$2705,$A$2:$A$2705,A1557)</f>
        <v>1901</v>
      </c>
      <c r="U1557" s="3" t="n">
        <f aca="false">B1557-T1557</f>
        <v>85</v>
      </c>
      <c r="V1557" s="3" t="str">
        <f aca="false">INDEX(Pop_Inputs!$Q$2:$Q$29,MATCH(C1557,Pop_Inputs!$A$2:$A$29,0))</f>
        <v>Midwest</v>
      </c>
      <c r="W1557" s="29" t="n">
        <v>8748167</v>
      </c>
      <c r="X1557" s="3" t="n">
        <f aca="false">IF(W1557="","",LN(W1557))</f>
        <v>15.9843547506743</v>
      </c>
      <c r="Y1557" s="3" t="n">
        <f aca="false">IF(X1557="","",X1557-AVERAGEIFS($X$2:$X$2705,$B$2:$B$2705,B1557))</f>
        <v>-0.266337371468335</v>
      </c>
      <c r="Z1557" s="21" t="n">
        <f aca="false">P1557</f>
        <v>-0.816086020127266</v>
      </c>
      <c r="AA1557" s="3" t="n">
        <f aca="false">R1557</f>
        <v>0</v>
      </c>
      <c r="AB1557" s="21" t="n">
        <f aca="false">P1557</f>
        <v>-0.816086020127266</v>
      </c>
      <c r="AC1557" s="3" t="n">
        <f aca="false">Y1557</f>
        <v>-0.266337371468335</v>
      </c>
      <c r="AD1557" s="3" t="n">
        <f aca="false">R1557</f>
        <v>0</v>
      </c>
    </row>
    <row r="1558" customFormat="false" ht="15" hidden="false" customHeight="true" outlineLevel="0" collapsed="false">
      <c r="A1558" s="7" t="s">
        <v>75</v>
      </c>
      <c r="B1558" s="7" t="n">
        <v>1986</v>
      </c>
      <c r="C1558" s="7" t="s">
        <v>154</v>
      </c>
      <c r="D1558" s="7" t="n">
        <v>108</v>
      </c>
      <c r="E1558" s="7" t="n">
        <v>54</v>
      </c>
      <c r="F1558" s="3" t="n">
        <f aca="false">COUNTIFS($B$2:$B$2705,B1558,$C$2:$C$2705,C1558)</f>
        <v>2</v>
      </c>
      <c r="G1558" s="3" t="n">
        <f aca="false">MIN(INT((MIN(B1558,2020)-1900)/10)+1,12)</f>
        <v>9</v>
      </c>
      <c r="H1558" s="3" t="n">
        <f aca="false">(MIN(B1558,2020)-1900-10*(G1558-1))/10</f>
        <v>0.6</v>
      </c>
      <c r="I1558" s="20" t="n">
        <f aca="false">EXP(LN(INDEX(Pop_Inputs!$B$2:$N$29,MATCH(C1558,Pop_Inputs!$A$2:$A$29,0),G1558))*(1-H1558)+LN(INDEX(Pop_Inputs!$B$2:$N$29,MATCH(C1558,Pop_Inputs!$A$2:$A$29,0),G1558+1))*H1558)</f>
        <v>7221142.88703383</v>
      </c>
      <c r="J1558" s="20" t="n">
        <f aca="false">I1558/F1558</f>
        <v>3610571.44351691</v>
      </c>
      <c r="K1558" s="21" t="n">
        <f aca="false">D1558/(D1558+E1558)</f>
        <v>0.666666666666667</v>
      </c>
      <c r="L1558" s="21" t="n">
        <f aca="false">AVERAGEIFS($K$2:$K$2705,$B$2:$B$2705,B1558)</f>
        <v>0.499976221443613</v>
      </c>
      <c r="M1558" s="21" t="n">
        <f aca="false">K1558-L1558</f>
        <v>0.166690445223054</v>
      </c>
      <c r="N1558" s="21" t="n">
        <f aca="false">LN(J1558)</f>
        <v>15.0993766123848</v>
      </c>
      <c r="O1558" s="21" t="n">
        <f aca="false">AVERAGEIFS($N$2:$N$2705,$B$2:$B$2705,B1558)</f>
        <v>13.635743185168</v>
      </c>
      <c r="P1558" s="21" t="n">
        <f aca="false">N1558-O1558</f>
        <v>1.46363342721678</v>
      </c>
      <c r="Q1558" s="7" t="n">
        <v>1</v>
      </c>
      <c r="R1558" s="3" t="n">
        <f aca="false">IF(AND(Q1558=1,B1558-_xlfn.MINIFS($B$2:$B$2705,$A$2:$A$2705,A1558)&lt;10),1,0)</f>
        <v>0</v>
      </c>
      <c r="S1558" s="7" t="n">
        <v>0</v>
      </c>
      <c r="T1558" s="3" t="n">
        <f aca="false">_xlfn.MINIFS($B$2:$B$2705,$A$2:$A$2705,A1558)</f>
        <v>1962</v>
      </c>
      <c r="U1558" s="3" t="n">
        <f aca="false">B1558-T1558</f>
        <v>24</v>
      </c>
      <c r="V1558" s="3" t="str">
        <f aca="false">INDEX(Pop_Inputs!$Q$2:$Q$29,MATCH(C1558,Pop_Inputs!$A$2:$A$29,0))</f>
        <v>Northeast</v>
      </c>
      <c r="W1558" s="29" t="n">
        <v>15393714</v>
      </c>
      <c r="X1558" s="3" t="n">
        <f aca="false">IF(W1558="","",LN(W1558))</f>
        <v>16.5494698022368</v>
      </c>
      <c r="Y1558" s="3" t="n">
        <f aca="false">IF(X1558="","",X1558-AVERAGEIFS($X$2:$X$2705,$B$2:$B$2705,B1558))</f>
        <v>0.298777680094151</v>
      </c>
      <c r="Z1558" s="21" t="n">
        <f aca="false">P1558</f>
        <v>1.46363342721678</v>
      </c>
      <c r="AA1558" s="3" t="n">
        <f aca="false">R1558</f>
        <v>0</v>
      </c>
      <c r="AB1558" s="21" t="n">
        <f aca="false">P1558</f>
        <v>1.46363342721678</v>
      </c>
      <c r="AC1558" s="3" t="n">
        <f aca="false">Y1558</f>
        <v>0.298777680094151</v>
      </c>
      <c r="AD1558" s="3" t="n">
        <f aca="false">R1558</f>
        <v>0</v>
      </c>
    </row>
    <row r="1559" customFormat="false" ht="15" hidden="false" customHeight="true" outlineLevel="0" collapsed="false">
      <c r="A1559" s="7" t="s">
        <v>70</v>
      </c>
      <c r="B1559" s="7" t="n">
        <v>1986</v>
      </c>
      <c r="C1559" s="7" t="s">
        <v>154</v>
      </c>
      <c r="D1559" s="7" t="n">
        <v>90</v>
      </c>
      <c r="E1559" s="7" t="n">
        <v>72</v>
      </c>
      <c r="F1559" s="3" t="n">
        <f aca="false">COUNTIFS($B$2:$B$2705,B1559,$C$2:$C$2705,C1559)</f>
        <v>2</v>
      </c>
      <c r="G1559" s="3" t="n">
        <f aca="false">MIN(INT((MIN(B1559,2020)-1900)/10)+1,12)</f>
        <v>9</v>
      </c>
      <c r="H1559" s="3" t="n">
        <f aca="false">(MIN(B1559,2020)-1900-10*(G1559-1))/10</f>
        <v>0.6</v>
      </c>
      <c r="I1559" s="20" t="n">
        <f aca="false">EXP(LN(INDEX(Pop_Inputs!$B$2:$N$29,MATCH(C1559,Pop_Inputs!$A$2:$A$29,0),G1559))*(1-H1559)+LN(INDEX(Pop_Inputs!$B$2:$N$29,MATCH(C1559,Pop_Inputs!$A$2:$A$29,0),G1559+1))*H1559)</f>
        <v>7221142.88703383</v>
      </c>
      <c r="J1559" s="20" t="n">
        <f aca="false">I1559/F1559</f>
        <v>3610571.44351691</v>
      </c>
      <c r="K1559" s="21" t="n">
        <f aca="false">D1559/(D1559+E1559)</f>
        <v>0.555555555555556</v>
      </c>
      <c r="L1559" s="21" t="n">
        <f aca="false">AVERAGEIFS($K$2:$K$2705,$B$2:$B$2705,B1559)</f>
        <v>0.499976221443613</v>
      </c>
      <c r="M1559" s="21" t="n">
        <f aca="false">K1559-L1559</f>
        <v>0.0555793341119428</v>
      </c>
      <c r="N1559" s="21" t="n">
        <f aca="false">LN(J1559)</f>
        <v>15.0993766123848</v>
      </c>
      <c r="O1559" s="21" t="n">
        <f aca="false">AVERAGEIFS($N$2:$N$2705,$B$2:$B$2705,B1559)</f>
        <v>13.635743185168</v>
      </c>
      <c r="P1559" s="21" t="n">
        <f aca="false">N1559-O1559</f>
        <v>1.46363342721678</v>
      </c>
      <c r="Q1559" s="7" t="n">
        <v>0</v>
      </c>
      <c r="R1559" s="3" t="n">
        <f aca="false">IF(AND(Q1559=1,B1559-_xlfn.MINIFS($B$2:$B$2705,$A$2:$A$2705,A1559)&lt;10),1,0)</f>
        <v>0</v>
      </c>
      <c r="S1559" s="7" t="n">
        <v>1</v>
      </c>
      <c r="T1559" s="3" t="n">
        <f aca="false">_xlfn.MINIFS($B$2:$B$2705,$A$2:$A$2705,A1559)</f>
        <v>1903</v>
      </c>
      <c r="U1559" s="3" t="n">
        <f aca="false">B1559-T1559</f>
        <v>83</v>
      </c>
      <c r="V1559" s="3" t="str">
        <f aca="false">INDEX(Pop_Inputs!$Q$2:$Q$29,MATCH(C1559,Pop_Inputs!$A$2:$A$29,0))</f>
        <v>Northeast</v>
      </c>
      <c r="W1559" s="29" t="n">
        <v>18494253</v>
      </c>
      <c r="X1559" s="3" t="n">
        <f aca="false">IF(W1559="","",LN(W1559))</f>
        <v>16.7329705931386</v>
      </c>
      <c r="Y1559" s="3" t="n">
        <f aca="false">IF(X1559="","",X1559-AVERAGEIFS($X$2:$X$2705,$B$2:$B$2705,B1559))</f>
        <v>0.482278470995968</v>
      </c>
      <c r="Z1559" s="21" t="n">
        <f aca="false">P1559</f>
        <v>1.46363342721678</v>
      </c>
      <c r="AA1559" s="3" t="n">
        <f aca="false">R1559</f>
        <v>0</v>
      </c>
      <c r="AB1559" s="21" t="n">
        <f aca="false">P1559</f>
        <v>1.46363342721678</v>
      </c>
      <c r="AC1559" s="3" t="n">
        <f aca="false">Y1559</f>
        <v>0.482278470995968</v>
      </c>
      <c r="AD1559" s="3" t="n">
        <f aca="false">R1559</f>
        <v>0</v>
      </c>
    </row>
    <row r="1560" customFormat="false" ht="15" hidden="false" customHeight="true" outlineLevel="0" collapsed="false">
      <c r="A1560" s="7" t="s">
        <v>69</v>
      </c>
      <c r="B1560" s="7" t="n">
        <v>1986</v>
      </c>
      <c r="C1560" s="7" t="s">
        <v>253</v>
      </c>
      <c r="D1560" s="7" t="n">
        <v>76</v>
      </c>
      <c r="E1560" s="7" t="n">
        <v>86</v>
      </c>
      <c r="F1560" s="3" t="n">
        <f aca="false">COUNTIFS($B$2:$B$2705,B1560,$C$2:$C$2705,C1560)</f>
        <v>1</v>
      </c>
      <c r="G1560" s="3" t="n">
        <f aca="false">MIN(INT((MIN(B1560,2020)-1900)/10)+1,12)</f>
        <v>9</v>
      </c>
      <c r="H1560" s="3" t="n">
        <f aca="false">(MIN(B1560,2020)-1900-10*(G1560-1))/10</f>
        <v>0.6</v>
      </c>
      <c r="I1560" s="20" t="n">
        <f aca="false">EXP(LN(INDEX(Pop_Inputs!$B$2:$N$29,MATCH(C1560,Pop_Inputs!$A$2:$A$29,0),G1560))*(1-H1560)+LN(INDEX(Pop_Inputs!$B$2:$N$29,MATCH(C1560,Pop_Inputs!$A$2:$A$29,0),G1560+1))*H1560)</f>
        <v>358713.490693653</v>
      </c>
      <c r="J1560" s="20" t="n">
        <f aca="false">I1560/F1560</f>
        <v>358713.490693653</v>
      </c>
      <c r="K1560" s="21" t="n">
        <f aca="false">D1560/(D1560+E1560)</f>
        <v>0.469135802469136</v>
      </c>
      <c r="L1560" s="21" t="n">
        <f aca="false">AVERAGEIFS($K$2:$K$2705,$B$2:$B$2705,B1560)</f>
        <v>0.499976221443613</v>
      </c>
      <c r="M1560" s="21" t="n">
        <f aca="false">K1560-L1560</f>
        <v>-0.030840418974477</v>
      </c>
      <c r="N1560" s="21" t="n">
        <f aca="false">LN(J1560)</f>
        <v>12.7902792727759</v>
      </c>
      <c r="O1560" s="21" t="n">
        <f aca="false">AVERAGEIFS($N$2:$N$2705,$B$2:$B$2705,B1560)</f>
        <v>13.635743185168</v>
      </c>
      <c r="P1560" s="21" t="n">
        <f aca="false">N1560-O1560</f>
        <v>-0.845463912392111</v>
      </c>
      <c r="Q1560" s="7" t="n">
        <v>0</v>
      </c>
      <c r="R1560" s="3" t="n">
        <f aca="false">IF(AND(Q1560=1,B1560-_xlfn.MINIFS($B$2:$B$2705,$A$2:$A$2705,A1560)&lt;10),1,0)</f>
        <v>0</v>
      </c>
      <c r="S1560" s="7" t="n">
        <v>0</v>
      </c>
      <c r="T1560" s="3" t="n">
        <f aca="false">_xlfn.MINIFS($B$2:$B$2705,$A$2:$A$2705,A1560)</f>
        <v>1901</v>
      </c>
      <c r="U1560" s="3" t="n">
        <f aca="false">B1560-T1560</f>
        <v>85</v>
      </c>
      <c r="V1560" s="3" t="str">
        <f aca="false">INDEX(Pop_Inputs!$Q$2:$Q$29,MATCH(C1560,Pop_Inputs!$A$2:$A$29,0))</f>
        <v>West</v>
      </c>
      <c r="W1560" s="29" t="n">
        <v>9779421</v>
      </c>
      <c r="X1560" s="3" t="n">
        <f aca="false">IF(W1560="","",LN(W1560))</f>
        <v>16.0957908378045</v>
      </c>
      <c r="Y1560" s="3" t="n">
        <f aca="false">IF(X1560="","",X1560-AVERAGEIFS($X$2:$X$2705,$B$2:$B$2705,B1560))</f>
        <v>-0.15490128433817</v>
      </c>
      <c r="Z1560" s="21" t="n">
        <f aca="false">P1560</f>
        <v>-0.845463912392111</v>
      </c>
      <c r="AA1560" s="3" t="n">
        <f aca="false">R1560</f>
        <v>0</v>
      </c>
      <c r="AB1560" s="21" t="n">
        <f aca="false">P1560</f>
        <v>-0.845463912392111</v>
      </c>
      <c r="AC1560" s="3" t="n">
        <f aca="false">Y1560</f>
        <v>-0.15490128433817</v>
      </c>
      <c r="AD1560" s="3" t="n">
        <f aca="false">R1560</f>
        <v>0</v>
      </c>
    </row>
    <row r="1561" customFormat="false" ht="15" hidden="false" customHeight="true" outlineLevel="0" collapsed="false">
      <c r="A1561" s="7" t="s">
        <v>60</v>
      </c>
      <c r="B1561" s="7" t="n">
        <v>1986</v>
      </c>
      <c r="C1561" s="7" t="s">
        <v>146</v>
      </c>
      <c r="D1561" s="7" t="n">
        <v>86</v>
      </c>
      <c r="E1561" s="7" t="n">
        <v>75</v>
      </c>
      <c r="F1561" s="3" t="n">
        <f aca="false">COUNTIFS($B$2:$B$2705,B1561,$C$2:$C$2705,C1561)</f>
        <v>1</v>
      </c>
      <c r="G1561" s="3" t="n">
        <f aca="false">MIN(INT((MIN(B1561,2020)-1900)/10)+1,12)</f>
        <v>9</v>
      </c>
      <c r="H1561" s="3" t="n">
        <f aca="false">(MIN(B1561,2020)-1900-10*(G1561-1))/10</f>
        <v>0.6</v>
      </c>
      <c r="I1561" s="20" t="n">
        <f aca="false">EXP(LN(INDEX(Pop_Inputs!$B$2:$N$29,MATCH(C1561,Pop_Inputs!$A$2:$A$29,0),G1561))*(1-H1561)+LN(INDEX(Pop_Inputs!$B$2:$N$29,MATCH(C1561,Pop_Inputs!$A$2:$A$29,0),G1561+1))*H1561)</f>
        <v>1625859.41341067</v>
      </c>
      <c r="J1561" s="20" t="n">
        <f aca="false">I1561/F1561</f>
        <v>1625859.41341067</v>
      </c>
      <c r="K1561" s="21" t="n">
        <f aca="false">D1561/(D1561+E1561)</f>
        <v>0.53416149068323</v>
      </c>
      <c r="L1561" s="21" t="n">
        <f aca="false">AVERAGEIFS($K$2:$K$2705,$B$2:$B$2705,B1561)</f>
        <v>0.499976221443613</v>
      </c>
      <c r="M1561" s="21" t="n">
        <f aca="false">K1561-L1561</f>
        <v>0.0341852692396171</v>
      </c>
      <c r="N1561" s="21" t="n">
        <f aca="false">LN(J1561)</f>
        <v>14.3015471037348</v>
      </c>
      <c r="O1561" s="21" t="n">
        <f aca="false">AVERAGEIFS($N$2:$N$2705,$B$2:$B$2705,B1561)</f>
        <v>13.635743185168</v>
      </c>
      <c r="P1561" s="21" t="n">
        <f aca="false">N1561-O1561</f>
        <v>0.665803918566782</v>
      </c>
      <c r="Q1561" s="7" t="n">
        <v>0</v>
      </c>
      <c r="R1561" s="3" t="n">
        <f aca="false">IF(AND(Q1561=1,B1561-_xlfn.MINIFS($B$2:$B$2705,$A$2:$A$2705,A1561)&lt;10),1,0)</f>
        <v>0</v>
      </c>
      <c r="S1561" s="7" t="n">
        <v>0</v>
      </c>
      <c r="T1561" s="3" t="n">
        <f aca="false">_xlfn.MINIFS($B$2:$B$2705,$A$2:$A$2705,A1561)</f>
        <v>1901</v>
      </c>
      <c r="U1561" s="3" t="n">
        <f aca="false">B1561-T1561</f>
        <v>85</v>
      </c>
      <c r="V1561" s="3" t="str">
        <f aca="false">INDEX(Pop_Inputs!$Q$2:$Q$29,MATCH(C1561,Pop_Inputs!$A$2:$A$29,0))</f>
        <v>Northeast</v>
      </c>
      <c r="W1561" s="29" t="n">
        <v>11590166</v>
      </c>
      <c r="X1561" s="3" t="n">
        <f aca="false">IF(W1561="","",LN(W1561))</f>
        <v>16.2656675379053</v>
      </c>
      <c r="Y1561" s="3" t="n">
        <f aca="false">IF(X1561="","",X1561-AVERAGEIFS($X$2:$X$2705,$B$2:$B$2705,B1561))</f>
        <v>0.0149754157626916</v>
      </c>
      <c r="Z1561" s="21" t="n">
        <f aca="false">P1561</f>
        <v>0.665803918566782</v>
      </c>
      <c r="AA1561" s="3" t="n">
        <f aca="false">R1561</f>
        <v>0</v>
      </c>
      <c r="AB1561" s="21" t="n">
        <f aca="false">P1561</f>
        <v>0.665803918566782</v>
      </c>
      <c r="AC1561" s="3" t="n">
        <f aca="false">Y1561</f>
        <v>0.0149754157626916</v>
      </c>
      <c r="AD1561" s="3" t="n">
        <f aca="false">R1561</f>
        <v>0</v>
      </c>
    </row>
    <row r="1562" customFormat="false" ht="15" hidden="false" customHeight="true" outlineLevel="0" collapsed="false">
      <c r="A1562" s="7" t="s">
        <v>58</v>
      </c>
      <c r="B1562" s="7" t="n">
        <v>1986</v>
      </c>
      <c r="C1562" s="7" t="s">
        <v>144</v>
      </c>
      <c r="D1562" s="7" t="n">
        <v>64</v>
      </c>
      <c r="E1562" s="7" t="n">
        <v>98</v>
      </c>
      <c r="F1562" s="3" t="n">
        <f aca="false">COUNTIFS($B$2:$B$2705,B1562,$C$2:$C$2705,C1562)</f>
        <v>1</v>
      </c>
      <c r="G1562" s="3" t="n">
        <f aca="false">MIN(INT((MIN(B1562,2020)-1900)/10)+1,12)</f>
        <v>9</v>
      </c>
      <c r="H1562" s="3" t="n">
        <f aca="false">(MIN(B1562,2020)-1900-10*(G1562-1))/10</f>
        <v>0.6</v>
      </c>
      <c r="I1562" s="20" t="n">
        <f aca="false">EXP(LN(INDEX(Pop_Inputs!$B$2:$N$29,MATCH(C1562,Pop_Inputs!$A$2:$A$29,0),G1562))*(1-H1562)+LN(INDEX(Pop_Inputs!$B$2:$N$29,MATCH(C1562,Pop_Inputs!$A$2:$A$29,0),G1562+1))*H1562)</f>
        <v>390622.039790504</v>
      </c>
      <c r="J1562" s="20" t="n">
        <f aca="false">I1562/F1562</f>
        <v>390622.039790504</v>
      </c>
      <c r="K1562" s="21" t="n">
        <f aca="false">D1562/(D1562+E1562)</f>
        <v>0.395061728395062</v>
      </c>
      <c r="L1562" s="21" t="n">
        <f aca="false">AVERAGEIFS($K$2:$K$2705,$B$2:$B$2705,B1562)</f>
        <v>0.499976221443613</v>
      </c>
      <c r="M1562" s="21" t="n">
        <f aca="false">K1562-L1562</f>
        <v>-0.104914493048551</v>
      </c>
      <c r="N1562" s="21" t="n">
        <f aca="false">LN(J1562)</f>
        <v>12.8754957213078</v>
      </c>
      <c r="O1562" s="21" t="n">
        <f aca="false">AVERAGEIFS($N$2:$N$2705,$B$2:$B$2705,B1562)</f>
        <v>13.635743185168</v>
      </c>
      <c r="P1562" s="21" t="n">
        <f aca="false">N1562-O1562</f>
        <v>-0.760247463860258</v>
      </c>
      <c r="Q1562" s="7" t="n">
        <v>0</v>
      </c>
      <c r="R1562" s="3" t="n">
        <f aca="false">IF(AND(Q1562=1,B1562-_xlfn.MINIFS($B$2:$B$2705,$A$2:$A$2705,A1562)&lt;10),1,0)</f>
        <v>0</v>
      </c>
      <c r="S1562" s="7" t="n">
        <v>0</v>
      </c>
      <c r="T1562" s="3" t="n">
        <f aca="false">_xlfn.MINIFS($B$2:$B$2705,$A$2:$A$2705,A1562)</f>
        <v>1901</v>
      </c>
      <c r="U1562" s="3" t="n">
        <f aca="false">B1562-T1562</f>
        <v>85</v>
      </c>
      <c r="V1562" s="3" t="str">
        <f aca="false">INDEX(Pop_Inputs!$Q$2:$Q$29,MATCH(C1562,Pop_Inputs!$A$2:$A$29,0))</f>
        <v>Northeast</v>
      </c>
      <c r="W1562" s="29" t="n">
        <v>10843500</v>
      </c>
      <c r="X1562" s="3" t="n">
        <f aca="false">IF(W1562="","",LN(W1562))</f>
        <v>16.1990763800906</v>
      </c>
      <c r="Y1562" s="3" t="n">
        <f aca="false">IF(X1562="","",X1562-AVERAGEIFS($X$2:$X$2705,$B$2:$B$2705,B1562))</f>
        <v>-0.05161574205205</v>
      </c>
      <c r="Z1562" s="21" t="n">
        <f aca="false">P1562</f>
        <v>-0.760247463860258</v>
      </c>
      <c r="AA1562" s="3" t="n">
        <f aca="false">R1562</f>
        <v>0</v>
      </c>
      <c r="AB1562" s="21" t="n">
        <f aca="false">P1562</f>
        <v>-0.760247463860258</v>
      </c>
      <c r="AC1562" s="3" t="n">
        <f aca="false">Y1562</f>
        <v>-0.05161574205205</v>
      </c>
      <c r="AD1562" s="3" t="n">
        <f aca="false">R1562</f>
        <v>0</v>
      </c>
    </row>
    <row r="1563" customFormat="false" ht="15" hidden="false" customHeight="true" outlineLevel="0" collapsed="false">
      <c r="A1563" s="7" t="s">
        <v>78</v>
      </c>
      <c r="B1563" s="7" t="n">
        <v>1986</v>
      </c>
      <c r="C1563" s="7" t="s">
        <v>159</v>
      </c>
      <c r="D1563" s="7" t="n">
        <v>74</v>
      </c>
      <c r="E1563" s="7" t="n">
        <v>88</v>
      </c>
      <c r="F1563" s="3" t="n">
        <f aca="false">COUNTIFS($B$2:$B$2705,B1563,$C$2:$C$2705,C1563)</f>
        <v>1</v>
      </c>
      <c r="G1563" s="3" t="n">
        <f aca="false">MIN(INT((MIN(B1563,2020)-1900)/10)+1,12)</f>
        <v>9</v>
      </c>
      <c r="H1563" s="3" t="n">
        <f aca="false">(MIN(B1563,2020)-1900-10*(G1563-1))/10</f>
        <v>0.6</v>
      </c>
      <c r="I1563" s="20" t="n">
        <f aca="false">EXP(LN(INDEX(Pop_Inputs!$B$2:$N$29,MATCH(C1563,Pop_Inputs!$A$2:$A$29,0),G1563))*(1-H1563)+LN(INDEX(Pop_Inputs!$B$2:$N$29,MATCH(C1563,Pop_Inputs!$A$2:$A$29,0),G1563+1))*H1563)</f>
        <v>1009793.64976555</v>
      </c>
      <c r="J1563" s="20" t="n">
        <f aca="false">I1563/F1563</f>
        <v>1009793.64976555</v>
      </c>
      <c r="K1563" s="21" t="n">
        <f aca="false">D1563/(D1563+E1563)</f>
        <v>0.45679012345679</v>
      </c>
      <c r="L1563" s="21" t="n">
        <f aca="false">AVERAGEIFS($K$2:$K$2705,$B$2:$B$2705,B1563)</f>
        <v>0.499976221443613</v>
      </c>
      <c r="M1563" s="21" t="n">
        <f aca="false">K1563-L1563</f>
        <v>-0.0431860979868227</v>
      </c>
      <c r="N1563" s="21" t="n">
        <f aca="false">LN(J1563)</f>
        <v>13.8252565607811</v>
      </c>
      <c r="O1563" s="21" t="n">
        <f aca="false">AVERAGEIFS($N$2:$N$2705,$B$2:$B$2705,B1563)</f>
        <v>13.635743185168</v>
      </c>
      <c r="P1563" s="21" t="n">
        <f aca="false">N1563-O1563</f>
        <v>0.189513375613036</v>
      </c>
      <c r="Q1563" s="7" t="n">
        <v>1</v>
      </c>
      <c r="R1563" s="3" t="n">
        <f aca="false">IF(AND(Q1563=1,B1563-_xlfn.MINIFS($B$2:$B$2705,$A$2:$A$2705,A1563)&lt;10),1,0)</f>
        <v>0</v>
      </c>
      <c r="S1563" s="7" t="n">
        <v>0</v>
      </c>
      <c r="T1563" s="3" t="n">
        <f aca="false">_xlfn.MINIFS($B$2:$B$2705,$A$2:$A$2705,A1563)</f>
        <v>1969</v>
      </c>
      <c r="U1563" s="3" t="n">
        <f aca="false">B1563-T1563</f>
        <v>17</v>
      </c>
      <c r="V1563" s="3" t="str">
        <f aca="false">INDEX(Pop_Inputs!$Q$2:$Q$29,MATCH(C1563,Pop_Inputs!$A$2:$A$29,0))</f>
        <v>West</v>
      </c>
      <c r="W1563" s="29" t="n">
        <v>11380693</v>
      </c>
      <c r="X1563" s="3" t="n">
        <f aca="false">IF(W1563="","",LN(W1563))</f>
        <v>16.2474288811177</v>
      </c>
      <c r="Y1563" s="3" t="n">
        <f aca="false">IF(X1563="","",X1563-AVERAGEIFS($X$2:$X$2705,$B$2:$B$2705,B1563))</f>
        <v>-0.00326324102498177</v>
      </c>
      <c r="Z1563" s="21" t="n">
        <f aca="false">P1563</f>
        <v>0.189513375613036</v>
      </c>
      <c r="AA1563" s="3" t="n">
        <f aca="false">R1563</f>
        <v>0</v>
      </c>
      <c r="AB1563" s="21" t="n">
        <f aca="false">P1563</f>
        <v>0.189513375613036</v>
      </c>
      <c r="AC1563" s="3" t="n">
        <f aca="false">Y1563</f>
        <v>-0.00326324102498177</v>
      </c>
      <c r="AD1563" s="3" t="n">
        <f aca="false">R1563</f>
        <v>0</v>
      </c>
    </row>
    <row r="1564" customFormat="false" ht="15" hidden="false" customHeight="true" outlineLevel="0" collapsed="false">
      <c r="A1564" s="7" t="s">
        <v>80</v>
      </c>
      <c r="B1564" s="7" t="n">
        <v>1986</v>
      </c>
      <c r="C1564" s="7" t="s">
        <v>161</v>
      </c>
      <c r="D1564" s="7" t="n">
        <v>67</v>
      </c>
      <c r="E1564" s="7" t="n">
        <v>95</v>
      </c>
      <c r="F1564" s="3" t="n">
        <f aca="false">COUNTIFS($B$2:$B$2705,B1564,$C$2:$C$2705,C1564)</f>
        <v>1</v>
      </c>
      <c r="G1564" s="3" t="n">
        <f aca="false">MIN(INT((MIN(B1564,2020)-1900)/10)+1,12)</f>
        <v>9</v>
      </c>
      <c r="H1564" s="3" t="n">
        <f aca="false">(MIN(B1564,2020)-1900-10*(G1564-1))/10</f>
        <v>0.6</v>
      </c>
      <c r="I1564" s="20" t="n">
        <f aca="false">EXP(LN(INDEX(Pop_Inputs!$B$2:$N$29,MATCH(C1564,Pop_Inputs!$A$2:$A$29,0),G1564))*(1-H1564)+LN(INDEX(Pop_Inputs!$B$2:$N$29,MATCH(C1564,Pop_Inputs!$A$2:$A$29,0),G1564+1))*H1564)</f>
        <v>507174.252380669</v>
      </c>
      <c r="J1564" s="20" t="n">
        <f aca="false">I1564/F1564</f>
        <v>507174.252380669</v>
      </c>
      <c r="K1564" s="21" t="n">
        <f aca="false">D1564/(D1564+E1564)</f>
        <v>0.41358024691358</v>
      </c>
      <c r="L1564" s="21" t="n">
        <f aca="false">AVERAGEIFS($K$2:$K$2705,$B$2:$B$2705,B1564)</f>
        <v>0.499976221443613</v>
      </c>
      <c r="M1564" s="21" t="n">
        <f aca="false">K1564-L1564</f>
        <v>-0.0863959745300325</v>
      </c>
      <c r="N1564" s="21" t="n">
        <f aca="false">LN(J1564)</f>
        <v>13.1366099165829</v>
      </c>
      <c r="O1564" s="21" t="n">
        <f aca="false">AVERAGEIFS($N$2:$N$2705,$B$2:$B$2705,B1564)</f>
        <v>13.635743185168</v>
      </c>
      <c r="P1564" s="21" t="n">
        <f aca="false">N1564-O1564</f>
        <v>-0.499133268585128</v>
      </c>
      <c r="Q1564" s="7" t="n">
        <v>1</v>
      </c>
      <c r="R1564" s="3" t="n">
        <f aca="false">IF(AND(Q1564=1,B1564-_xlfn.MINIFS($B$2:$B$2705,$A$2:$A$2705,A1564)&lt;10),1,0)</f>
        <v>1</v>
      </c>
      <c r="S1564" s="7" t="n">
        <v>0</v>
      </c>
      <c r="T1564" s="3" t="n">
        <f aca="false">_xlfn.MINIFS($B$2:$B$2705,$A$2:$A$2705,A1564)</f>
        <v>1977</v>
      </c>
      <c r="U1564" s="3" t="n">
        <f aca="false">B1564-T1564</f>
        <v>9</v>
      </c>
      <c r="V1564" s="3" t="str">
        <f aca="false">INDEX(Pop_Inputs!$Q$2:$Q$29,MATCH(C1564,Pop_Inputs!$A$2:$A$29,0))</f>
        <v>West</v>
      </c>
      <c r="W1564" s="29" t="n">
        <v>5958309</v>
      </c>
      <c r="X1564" s="3" t="n">
        <f aca="false">IF(W1564="","",LN(W1564))</f>
        <v>15.6002972739518</v>
      </c>
      <c r="Y1564" s="3" t="n">
        <f aca="false">IF(X1564="","",X1564-AVERAGEIFS($X$2:$X$2705,$B$2:$B$2705,B1564))</f>
        <v>-0.650394848190837</v>
      </c>
      <c r="Z1564" s="21" t="n">
        <f aca="false">P1564</f>
        <v>-0.499133268585128</v>
      </c>
      <c r="AA1564" s="3" t="n">
        <f aca="false">R1564</f>
        <v>1</v>
      </c>
      <c r="AB1564" s="21" t="n">
        <f aca="false">P1564</f>
        <v>-0.499133268585128</v>
      </c>
      <c r="AC1564" s="3" t="n">
        <f aca="false">Y1564</f>
        <v>-0.650394848190837</v>
      </c>
      <c r="AD1564" s="3" t="n">
        <f aca="false">R1564</f>
        <v>1</v>
      </c>
    </row>
    <row r="1565" customFormat="false" ht="15" hidden="false" customHeight="true" outlineLevel="0" collapsed="false">
      <c r="A1565" s="7" t="s">
        <v>61</v>
      </c>
      <c r="B1565" s="7" t="n">
        <v>1986</v>
      </c>
      <c r="C1565" s="7" t="s">
        <v>147</v>
      </c>
      <c r="D1565" s="7" t="n">
        <v>83</v>
      </c>
      <c r="E1565" s="7" t="n">
        <v>79</v>
      </c>
      <c r="F1565" s="3" t="n">
        <f aca="false">COUNTIFS($B$2:$B$2705,B1565,$C$2:$C$2705,C1565)</f>
        <v>1</v>
      </c>
      <c r="G1565" s="3" t="n">
        <f aca="false">MIN(INT((MIN(B1565,2020)-1900)/10)+1,12)</f>
        <v>9</v>
      </c>
      <c r="H1565" s="3" t="n">
        <f aca="false">(MIN(B1565,2020)-1900-10*(G1565-1))/10</f>
        <v>0.6</v>
      </c>
      <c r="I1565" s="20" t="n">
        <f aca="false">EXP(LN(INDEX(Pop_Inputs!$B$2:$N$29,MATCH(C1565,Pop_Inputs!$A$2:$A$29,0),G1565))*(1-H1565)+LN(INDEX(Pop_Inputs!$B$2:$N$29,MATCH(C1565,Pop_Inputs!$A$2:$A$29,0),G1565+1))*H1565)</f>
        <v>705617.983125553</v>
      </c>
      <c r="J1565" s="20" t="n">
        <f aca="false">I1565/F1565</f>
        <v>705617.983125553</v>
      </c>
      <c r="K1565" s="21" t="n">
        <f aca="false">D1565/(D1565+E1565)</f>
        <v>0.512345679012346</v>
      </c>
      <c r="L1565" s="21" t="n">
        <f aca="false">AVERAGEIFS($K$2:$K$2705,$B$2:$B$2705,B1565)</f>
        <v>0.499976221443613</v>
      </c>
      <c r="M1565" s="21" t="n">
        <f aca="false">K1565-L1565</f>
        <v>0.012369457568733</v>
      </c>
      <c r="N1565" s="21" t="n">
        <f aca="false">LN(J1565)</f>
        <v>13.466829269639</v>
      </c>
      <c r="O1565" s="21" t="n">
        <f aca="false">AVERAGEIFS($N$2:$N$2705,$B$2:$B$2705,B1565)</f>
        <v>13.635743185168</v>
      </c>
      <c r="P1565" s="21" t="n">
        <f aca="false">N1565-O1565</f>
        <v>-0.168913915529039</v>
      </c>
      <c r="Q1565" s="7" t="n">
        <v>0</v>
      </c>
      <c r="R1565" s="3" t="n">
        <f aca="false">IF(AND(Q1565=1,B1565-_xlfn.MINIFS($B$2:$B$2705,$A$2:$A$2705,A1565)&lt;10),1,0)</f>
        <v>0</v>
      </c>
      <c r="S1565" s="7" t="n">
        <v>0</v>
      </c>
      <c r="T1565" s="3" t="n">
        <f aca="false">_xlfn.MINIFS($B$2:$B$2705,$A$2:$A$2705,A1565)</f>
        <v>1901</v>
      </c>
      <c r="U1565" s="3" t="n">
        <f aca="false">B1565-T1565</f>
        <v>85</v>
      </c>
      <c r="V1565" s="3" t="str">
        <f aca="false">INDEX(Pop_Inputs!$Q$2:$Q$29,MATCH(C1565,Pop_Inputs!$A$2:$A$29,0))</f>
        <v>West</v>
      </c>
      <c r="W1565" s="29" t="n">
        <v>8947000</v>
      </c>
      <c r="X1565" s="3" t="n">
        <f aca="false">IF(W1565="","",LN(W1565))</f>
        <v>16.0068288385297</v>
      </c>
      <c r="Y1565" s="3" t="n">
        <f aca="false">IF(X1565="","",X1565-AVERAGEIFS($X$2:$X$2705,$B$2:$B$2705,B1565))</f>
        <v>-0.243863283612917</v>
      </c>
      <c r="Z1565" s="21" t="n">
        <f aca="false">P1565</f>
        <v>-0.168913915529039</v>
      </c>
      <c r="AA1565" s="3" t="n">
        <f aca="false">R1565</f>
        <v>0</v>
      </c>
      <c r="AB1565" s="21" t="n">
        <f aca="false">P1565</f>
        <v>-0.168913915529039</v>
      </c>
      <c r="AC1565" s="3" t="n">
        <f aca="false">Y1565</f>
        <v>-0.243863283612917</v>
      </c>
      <c r="AD1565" s="3" t="n">
        <f aca="false">R1565</f>
        <v>0</v>
      </c>
    </row>
    <row r="1566" customFormat="false" ht="15" hidden="false" customHeight="true" outlineLevel="0" collapsed="false">
      <c r="A1566" s="7" t="s">
        <v>59</v>
      </c>
      <c r="B1566" s="7" t="n">
        <v>1986</v>
      </c>
      <c r="C1566" s="7" t="s">
        <v>145</v>
      </c>
      <c r="D1566" s="7" t="n">
        <v>79</v>
      </c>
      <c r="E1566" s="7" t="n">
        <v>82</v>
      </c>
      <c r="F1566" s="3" t="n">
        <f aca="false">COUNTIFS($B$2:$B$2705,B1566,$C$2:$C$2705,C1566)</f>
        <v>1</v>
      </c>
      <c r="G1566" s="3" t="n">
        <f aca="false">MIN(INT((MIN(B1566,2020)-1900)/10)+1,12)</f>
        <v>9</v>
      </c>
      <c r="H1566" s="3" t="n">
        <f aca="false">(MIN(B1566,2020)-1900-10*(G1566-1))/10</f>
        <v>0.6</v>
      </c>
      <c r="I1566" s="20" t="n">
        <f aca="false">EXP(LN(INDEX(Pop_Inputs!$B$2:$N$29,MATCH(C1566,Pop_Inputs!$A$2:$A$29,0),G1566))*(1-H1566)+LN(INDEX(Pop_Inputs!$B$2:$N$29,MATCH(C1566,Pop_Inputs!$A$2:$A$29,0),G1566+1))*H1566)</f>
        <v>418615.377571891</v>
      </c>
      <c r="J1566" s="20" t="n">
        <f aca="false">I1566/F1566</f>
        <v>418615.377571891</v>
      </c>
      <c r="K1566" s="21" t="n">
        <f aca="false">D1566/(D1566+E1566)</f>
        <v>0.490683229813665</v>
      </c>
      <c r="L1566" s="21" t="n">
        <f aca="false">AVERAGEIFS($K$2:$K$2705,$B$2:$B$2705,B1566)</f>
        <v>0.499976221443613</v>
      </c>
      <c r="M1566" s="21" t="n">
        <f aca="false">K1566-L1566</f>
        <v>-0.00929299162994818</v>
      </c>
      <c r="N1566" s="21" t="n">
        <f aca="false">LN(J1566)</f>
        <v>12.9447078240381</v>
      </c>
      <c r="O1566" s="21" t="n">
        <f aca="false">AVERAGEIFS($N$2:$N$2705,$B$2:$B$2705,B1566)</f>
        <v>13.635743185168</v>
      </c>
      <c r="P1566" s="21" t="n">
        <f aca="false">N1566-O1566</f>
        <v>-0.691035361129938</v>
      </c>
      <c r="Q1566" s="7" t="n">
        <v>0</v>
      </c>
      <c r="R1566" s="3" t="n">
        <f aca="false">IF(AND(Q1566=1,B1566-_xlfn.MINIFS($B$2:$B$2705,$A$2:$A$2705,A1566)&lt;10),1,0)</f>
        <v>0</v>
      </c>
      <c r="S1566" s="7" t="n">
        <v>0</v>
      </c>
      <c r="T1566" s="3" t="n">
        <f aca="false">_xlfn.MINIFS($B$2:$B$2705,$A$2:$A$2705,A1566)</f>
        <v>1901</v>
      </c>
      <c r="U1566" s="3" t="n">
        <f aca="false">B1566-T1566</f>
        <v>85</v>
      </c>
      <c r="V1566" s="3" t="str">
        <f aca="false">INDEX(Pop_Inputs!$Q$2:$Q$29,MATCH(C1566,Pop_Inputs!$A$2:$A$29,0))</f>
        <v>Midwest</v>
      </c>
      <c r="W1566" s="29" t="n">
        <v>9875010</v>
      </c>
      <c r="X1566" s="3" t="n">
        <f aca="false">IF(W1566="","",LN(W1566))</f>
        <v>16.1055178814092</v>
      </c>
      <c r="Y1566" s="3" t="n">
        <f aca="false">IF(X1566="","",X1566-AVERAGEIFS($X$2:$X$2705,$B$2:$B$2705,B1566))</f>
        <v>-0.145174240733475</v>
      </c>
      <c r="Z1566" s="21" t="n">
        <f aca="false">P1566</f>
        <v>-0.691035361129938</v>
      </c>
      <c r="AA1566" s="3" t="n">
        <f aca="false">R1566</f>
        <v>0</v>
      </c>
      <c r="AB1566" s="21" t="n">
        <f aca="false">P1566</f>
        <v>-0.691035361129938</v>
      </c>
      <c r="AC1566" s="3" t="n">
        <f aca="false">Y1566</f>
        <v>-0.145174240733475</v>
      </c>
      <c r="AD1566" s="3" t="n">
        <f aca="false">R1566</f>
        <v>0</v>
      </c>
    </row>
    <row r="1567" customFormat="false" ht="15" hidden="false" customHeight="true" outlineLevel="0" collapsed="false">
      <c r="A1567" s="7" t="s">
        <v>73</v>
      </c>
      <c r="B1567" s="7" t="n">
        <v>1986</v>
      </c>
      <c r="C1567" s="7" t="s">
        <v>155</v>
      </c>
      <c r="D1567" s="7" t="n">
        <v>87</v>
      </c>
      <c r="E1567" s="7" t="n">
        <v>75</v>
      </c>
      <c r="F1567" s="3" t="n">
        <f aca="false">COUNTIFS($B$2:$B$2705,B1567,$C$2:$C$2705,C1567)</f>
        <v>1</v>
      </c>
      <c r="G1567" s="3" t="n">
        <f aca="false">MIN(INT((MIN(B1567,2020)-1900)/10)+1,12)</f>
        <v>9</v>
      </c>
      <c r="H1567" s="3" t="n">
        <f aca="false">(MIN(B1567,2020)-1900-10*(G1567-1))/10</f>
        <v>0.6</v>
      </c>
      <c r="I1567" s="20" t="n">
        <f aca="false">EXP(LN(INDEX(Pop_Inputs!$B$2:$N$29,MATCH(C1567,Pop_Inputs!$A$2:$A$29,0),G1567))*(1-H1567)+LN(INDEX(Pop_Inputs!$B$2:$N$29,MATCH(C1567,Pop_Inputs!$A$2:$A$29,0),G1567+1))*H1567)</f>
        <v>964481.920616647</v>
      </c>
      <c r="J1567" s="20" t="n">
        <f aca="false">I1567/F1567</f>
        <v>964481.920616647</v>
      </c>
      <c r="K1567" s="21" t="n">
        <f aca="false">D1567/(D1567+E1567)</f>
        <v>0.537037037037037</v>
      </c>
      <c r="L1567" s="21" t="n">
        <f aca="false">AVERAGEIFS($K$2:$K$2705,$B$2:$B$2705,B1567)</f>
        <v>0.499976221443613</v>
      </c>
      <c r="M1567" s="21" t="n">
        <f aca="false">K1567-L1567</f>
        <v>0.0370608155934243</v>
      </c>
      <c r="N1567" s="21" t="n">
        <f aca="false">LN(J1567)</f>
        <v>13.7793463663276</v>
      </c>
      <c r="O1567" s="21" t="n">
        <f aca="false">AVERAGEIFS($N$2:$N$2705,$B$2:$B$2705,B1567)</f>
        <v>13.635743185168</v>
      </c>
      <c r="P1567" s="21" t="n">
        <f aca="false">N1567-O1567</f>
        <v>0.14360318115957</v>
      </c>
      <c r="Q1567" s="7" t="n">
        <v>1</v>
      </c>
      <c r="R1567" s="3" t="n">
        <f aca="false">IF(AND(Q1567=1,B1567-_xlfn.MINIFS($B$2:$B$2705,$A$2:$A$2705,A1567)&lt;10),1,0)</f>
        <v>0</v>
      </c>
      <c r="S1567" s="7" t="n">
        <v>0</v>
      </c>
      <c r="T1567" s="3" t="n">
        <f aca="false">_xlfn.MINIFS($B$2:$B$2705,$A$2:$A$2705,A1567)</f>
        <v>1961</v>
      </c>
      <c r="U1567" s="3" t="n">
        <f aca="false">B1567-T1567</f>
        <v>25</v>
      </c>
      <c r="V1567" s="3" t="str">
        <f aca="false">INDEX(Pop_Inputs!$Q$2:$Q$29,MATCH(C1567,Pop_Inputs!$A$2:$A$29,0))</f>
        <v>South</v>
      </c>
      <c r="W1567" s="29" t="n">
        <v>6743119</v>
      </c>
      <c r="X1567" s="3" t="n">
        <f aca="false">IF(W1567="","",LN(W1567))</f>
        <v>15.7240331354922</v>
      </c>
      <c r="Y1567" s="3" t="n">
        <f aca="false">IF(X1567="","",X1567-AVERAGEIFS($X$2:$X$2705,$B$2:$B$2705,B1567))</f>
        <v>-0.526658986650466</v>
      </c>
      <c r="Z1567" s="21" t="n">
        <f aca="false">P1567</f>
        <v>0.14360318115957</v>
      </c>
      <c r="AA1567" s="3" t="n">
        <f aca="false">R1567</f>
        <v>0</v>
      </c>
      <c r="AB1567" s="21" t="n">
        <f aca="false">P1567</f>
        <v>0.14360318115957</v>
      </c>
      <c r="AC1567" s="3" t="n">
        <f aca="false">Y1567</f>
        <v>-0.526658986650466</v>
      </c>
      <c r="AD1567" s="3" t="n">
        <f aca="false">R1567</f>
        <v>0</v>
      </c>
    </row>
    <row r="1568" customFormat="false" ht="15" hidden="false" customHeight="true" outlineLevel="0" collapsed="false">
      <c r="A1568" s="7" t="s">
        <v>81</v>
      </c>
      <c r="B1568" s="7" t="n">
        <v>1986</v>
      </c>
      <c r="C1568" s="7" t="s">
        <v>162</v>
      </c>
      <c r="D1568" s="7" t="n">
        <v>86</v>
      </c>
      <c r="E1568" s="7" t="n">
        <v>76</v>
      </c>
      <c r="F1568" s="3" t="n">
        <f aca="false">COUNTIFS($B$2:$B$2705,B1568,$C$2:$C$2705,C1568)</f>
        <v>1</v>
      </c>
      <c r="G1568" s="3" t="n">
        <f aca="false">MIN(INT((MIN(B1568,2020)-1900)/10)+1,12)</f>
        <v>9</v>
      </c>
      <c r="H1568" s="3" t="n">
        <f aca="false">(MIN(B1568,2020)-1900-10*(G1568-1))/10</f>
        <v>0.6</v>
      </c>
      <c r="I1568" s="20" t="n">
        <f aca="false">EXP(LN(INDEX(Pop_Inputs!$B$2:$N$29,MATCH(C1568,Pop_Inputs!$A$2:$A$29,0),G1568))*(1-H1568)+LN(INDEX(Pop_Inputs!$B$2:$N$29,MATCH(C1568,Pop_Inputs!$A$2:$A$29,0),G1568+1))*H1568)</f>
        <v>620668.816450742</v>
      </c>
      <c r="J1568" s="20" t="n">
        <f aca="false">I1568/F1568</f>
        <v>620668.816450742</v>
      </c>
      <c r="K1568" s="21" t="n">
        <f aca="false">D1568/(D1568+E1568)</f>
        <v>0.530864197530864</v>
      </c>
      <c r="L1568" s="21" t="n">
        <f aca="false">AVERAGEIFS($K$2:$K$2705,$B$2:$B$2705,B1568)</f>
        <v>0.499976221443613</v>
      </c>
      <c r="M1568" s="21" t="n">
        <f aca="false">K1568-L1568</f>
        <v>0.0308879760872515</v>
      </c>
      <c r="N1568" s="21" t="n">
        <f aca="false">LN(J1568)</f>
        <v>13.3385529118143</v>
      </c>
      <c r="O1568" s="21" t="n">
        <f aca="false">AVERAGEIFS($N$2:$N$2705,$B$2:$B$2705,B1568)</f>
        <v>13.635743185168</v>
      </c>
      <c r="P1568" s="21" t="n">
        <f aca="false">N1568-O1568</f>
        <v>-0.297190273353701</v>
      </c>
      <c r="Q1568" s="7" t="n">
        <v>1</v>
      </c>
      <c r="R1568" s="3" t="n">
        <f aca="false">IF(AND(Q1568=1,B1568-_xlfn.MINIFS($B$2:$B$2705,$A$2:$A$2705,A1568)&lt;10),1,0)</f>
        <v>1</v>
      </c>
      <c r="S1568" s="7" t="n">
        <v>0</v>
      </c>
      <c r="T1568" s="3" t="n">
        <f aca="false">_xlfn.MINIFS($B$2:$B$2705,$A$2:$A$2705,A1568)</f>
        <v>1977</v>
      </c>
      <c r="U1568" s="3" t="n">
        <f aca="false">B1568-T1568</f>
        <v>9</v>
      </c>
      <c r="V1568" s="3" t="str">
        <f aca="false">INDEX(Pop_Inputs!$Q$2:$Q$29,MATCH(C1568,Pop_Inputs!$A$2:$A$29,0))</f>
        <v>Canada</v>
      </c>
      <c r="W1568" s="29" t="n">
        <v>12611047</v>
      </c>
      <c r="X1568" s="3" t="n">
        <f aca="false">IF(W1568="","",LN(W1568))</f>
        <v>16.3500837338362</v>
      </c>
      <c r="Y1568" s="3" t="n">
        <f aca="false">IF(X1568="","",X1568-AVERAGEIFS($X$2:$X$2705,$B$2:$B$2705,B1568))</f>
        <v>0.0993916116935019</v>
      </c>
      <c r="Z1568" s="21" t="n">
        <f aca="false">P1568</f>
        <v>-0.297190273353701</v>
      </c>
      <c r="AA1568" s="3" t="n">
        <f aca="false">R1568</f>
        <v>1</v>
      </c>
      <c r="AB1568" s="21" t="n">
        <f aca="false">P1568</f>
        <v>-0.297190273353701</v>
      </c>
      <c r="AC1568" s="3" t="n">
        <f aca="false">Y1568</f>
        <v>0.0993916116935019</v>
      </c>
      <c r="AD1568" s="3" t="n">
        <f aca="false">R1568</f>
        <v>1</v>
      </c>
    </row>
    <row r="1569" customFormat="false" ht="15" hidden="false" customHeight="true" outlineLevel="0" collapsed="false">
      <c r="A1569" s="7" t="s">
        <v>79</v>
      </c>
      <c r="B1569" s="7" t="n">
        <v>1986</v>
      </c>
      <c r="C1569" s="7" t="s">
        <v>254</v>
      </c>
      <c r="D1569" s="7" t="n">
        <v>78</v>
      </c>
      <c r="E1569" s="7" t="n">
        <v>83</v>
      </c>
      <c r="F1569" s="3" t="n">
        <f aca="false">COUNTIFS($B$2:$B$2705,B1569,$C$2:$C$2705,C1569)</f>
        <v>1</v>
      </c>
      <c r="G1569" s="3" t="n">
        <f aca="false">MIN(INT((MIN(B1569,2020)-1900)/10)+1,12)</f>
        <v>9</v>
      </c>
      <c r="H1569" s="3" t="n">
        <f aca="false">(MIN(B1569,2020)-1900-10*(G1569-1))/10</f>
        <v>0.6</v>
      </c>
      <c r="I1569" s="20" t="n">
        <f aca="false">EXP(LN(INDEX(Pop_Inputs!$B$2:$N$29,MATCH(C1569,Pop_Inputs!$A$2:$A$29,0),G1569))*(1-H1569)+LN(INDEX(Pop_Inputs!$B$2:$N$29,MATCH(C1569,Pop_Inputs!$A$2:$A$29,0),G1569+1))*H1569)</f>
        <v>1002573.74919361</v>
      </c>
      <c r="J1569" s="20" t="n">
        <f aca="false">I1569/F1569</f>
        <v>1002573.74919361</v>
      </c>
      <c r="K1569" s="21" t="n">
        <f aca="false">D1569/(D1569+E1569)</f>
        <v>0.484472049689441</v>
      </c>
      <c r="L1569" s="21" t="n">
        <f aca="false">AVERAGEIFS($K$2:$K$2705,$B$2:$B$2705,B1569)</f>
        <v>0.499976221443613</v>
      </c>
      <c r="M1569" s="21" t="n">
        <f aca="false">K1569-L1569</f>
        <v>-0.0155041717541717</v>
      </c>
      <c r="N1569" s="21" t="n">
        <f aca="false">LN(J1569)</f>
        <v>13.8180810007375</v>
      </c>
      <c r="O1569" s="21" t="n">
        <f aca="false">AVERAGEIFS($N$2:$N$2705,$B$2:$B$2705,B1569)</f>
        <v>13.635743185168</v>
      </c>
      <c r="P1569" s="21" t="n">
        <f aca="false">N1569-O1569</f>
        <v>0.182337815569442</v>
      </c>
      <c r="Q1569" s="7" t="n">
        <v>1</v>
      </c>
      <c r="R1569" s="3" t="n">
        <f aca="false">IF(AND(Q1569=1,B1569-_xlfn.MINIFS($B$2:$B$2705,$A$2:$A$2705,A1569)&lt;10),1,0)</f>
        <v>0</v>
      </c>
      <c r="S1569" s="7" t="n">
        <v>0</v>
      </c>
      <c r="T1569" s="3" t="n">
        <f aca="false">_xlfn.MINIFS($B$2:$B$2705,$A$2:$A$2705,A1569)</f>
        <v>1969</v>
      </c>
      <c r="U1569" s="3" t="n">
        <f aca="false">B1569-T1569</f>
        <v>17</v>
      </c>
      <c r="V1569" s="3" t="str">
        <f aca="false">INDEX(Pop_Inputs!$Q$2:$Q$29,MATCH(C1569,Pop_Inputs!$A$2:$A$29,0))</f>
        <v>Canada</v>
      </c>
      <c r="W1569" s="29" t="n">
        <v>11103600</v>
      </c>
      <c r="X1569" s="3" t="n">
        <f aca="false">IF(W1569="","",LN(W1569))</f>
        <v>16.2227799380251</v>
      </c>
      <c r="Y1569" s="3" t="n">
        <f aca="false">IF(X1569="","",X1569-AVERAGEIFS($X$2:$X$2705,$B$2:$B$2705,B1569))</f>
        <v>-0.0279121841175254</v>
      </c>
      <c r="Z1569" s="21" t="n">
        <f aca="false">P1569</f>
        <v>0.182337815569442</v>
      </c>
      <c r="AA1569" s="3" t="n">
        <f aca="false">R1569</f>
        <v>0</v>
      </c>
      <c r="AB1569" s="21" t="n">
        <f aca="false">P1569</f>
        <v>0.182337815569442</v>
      </c>
      <c r="AC1569" s="3" t="n">
        <f aca="false">Y1569</f>
        <v>-0.0279121841175254</v>
      </c>
      <c r="AD1569" s="3" t="n">
        <f aca="false">R1569</f>
        <v>0</v>
      </c>
    </row>
    <row r="1570" customFormat="false" ht="15" hidden="false" customHeight="true" outlineLevel="0" collapsed="false">
      <c r="A1570" s="7" t="s">
        <v>71</v>
      </c>
      <c r="B1570" s="7" t="n">
        <v>1987</v>
      </c>
      <c r="C1570" s="7" t="s">
        <v>148</v>
      </c>
      <c r="D1570" s="7" t="n">
        <v>75</v>
      </c>
      <c r="E1570" s="7" t="n">
        <v>87</v>
      </c>
      <c r="F1570" s="3" t="n">
        <f aca="false">COUNTIFS($B$2:$B$2705,B1570,$C$2:$C$2705,C1570)</f>
        <v>2</v>
      </c>
      <c r="G1570" s="3" t="n">
        <f aca="false">MIN(INT((MIN(B1570,2020)-1900)/10)+1,12)</f>
        <v>9</v>
      </c>
      <c r="H1570" s="3" t="n">
        <f aca="false">(MIN(B1570,2020)-1900-10*(G1570-1))/10</f>
        <v>0.7</v>
      </c>
      <c r="I1570" s="20" t="n">
        <f aca="false">EXP(LN(INDEX(Pop_Inputs!$B$2:$N$29,MATCH(C1570,Pop_Inputs!$A$2:$A$29,0),G1570))*(1-H1570)+LN(INDEX(Pop_Inputs!$B$2:$N$29,MATCH(C1570,Pop_Inputs!$A$2:$A$29,0),G1570+1))*H1570)</f>
        <v>3320972.97306414</v>
      </c>
      <c r="J1570" s="20" t="n">
        <f aca="false">I1570/F1570</f>
        <v>1660486.48653207</v>
      </c>
      <c r="K1570" s="21" t="n">
        <f aca="false">D1570/(D1570+E1570)</f>
        <v>0.462962962962963</v>
      </c>
      <c r="L1570" s="21" t="n">
        <f aca="false">AVERAGEIFS($K$2:$K$2705,$B$2:$B$2705,B1570)</f>
        <v>0.499976405773507</v>
      </c>
      <c r="M1570" s="21" t="n">
        <f aca="false">K1570-L1570</f>
        <v>-0.0370134428105443</v>
      </c>
      <c r="N1570" s="21" t="n">
        <f aca="false">LN(J1570)</f>
        <v>14.3226211815738</v>
      </c>
      <c r="O1570" s="21" t="n">
        <f aca="false">AVERAGEIFS($N$2:$N$2705,$B$2:$B$2705,B1570)</f>
        <v>13.6359612814213</v>
      </c>
      <c r="P1570" s="21" t="n">
        <f aca="false">N1570-O1570</f>
        <v>0.686659900152483</v>
      </c>
      <c r="Q1570" s="7" t="n">
        <v>1</v>
      </c>
      <c r="R1570" s="3" t="n">
        <f aca="false">IF(AND(Q1570=1,B1570-_xlfn.MINIFS($B$2:$B$2705,$A$2:$A$2705,A1570)&lt;10),1,0)</f>
        <v>0</v>
      </c>
      <c r="S1570" s="7" t="n">
        <v>0</v>
      </c>
      <c r="T1570" s="3" t="n">
        <f aca="false">_xlfn.MINIFS($B$2:$B$2705,$A$2:$A$2705,A1570)</f>
        <v>1961</v>
      </c>
      <c r="U1570" s="3" t="n">
        <f aca="false">B1570-T1570</f>
        <v>26</v>
      </c>
      <c r="V1570" s="3" t="str">
        <f aca="false">INDEX(Pop_Inputs!$Q$2:$Q$29,MATCH(C1570,Pop_Inputs!$A$2:$A$29,0))</f>
        <v>West</v>
      </c>
      <c r="W1570" s="29" t="n">
        <v>12843499</v>
      </c>
      <c r="X1570" s="3" t="n">
        <f aca="false">IF(W1570="","",LN(W1570))</f>
        <v>16.3683483268907</v>
      </c>
      <c r="Y1570" s="3" t="n">
        <f aca="false">IF(X1570="","",X1570-AVERAGEIFS($X$2:$X$2705,$B$2:$B$2705,B1570))</f>
        <v>0.326068288342604</v>
      </c>
      <c r="Z1570" s="21" t="n">
        <f aca="false">P1570</f>
        <v>0.686659900152483</v>
      </c>
      <c r="AA1570" s="3" t="n">
        <f aca="false">R1570</f>
        <v>0</v>
      </c>
      <c r="AB1570" s="21" t="n">
        <f aca="false">P1570</f>
        <v>0.686659900152483</v>
      </c>
      <c r="AC1570" s="3" t="n">
        <f aca="false">Y1570</f>
        <v>0.326068288342604</v>
      </c>
      <c r="AD1570" s="3" t="n">
        <f aca="false">R1570</f>
        <v>0</v>
      </c>
    </row>
    <row r="1571" customFormat="false" ht="15" hidden="false" customHeight="true" outlineLevel="0" collapsed="false">
      <c r="A1571" s="7" t="s">
        <v>54</v>
      </c>
      <c r="B1571" s="7" t="n">
        <v>1987</v>
      </c>
      <c r="C1571" s="7" t="s">
        <v>141</v>
      </c>
      <c r="D1571" s="7" t="n">
        <v>69</v>
      </c>
      <c r="E1571" s="7" t="n">
        <v>92</v>
      </c>
      <c r="F1571" s="3" t="n">
        <f aca="false">COUNTIFS($B$2:$B$2705,B1571,$C$2:$C$2705,C1571)</f>
        <v>1</v>
      </c>
      <c r="G1571" s="3" t="n">
        <f aca="false">MIN(INT((MIN(B1571,2020)-1900)/10)+1,12)</f>
        <v>9</v>
      </c>
      <c r="H1571" s="3" t="n">
        <f aca="false">(MIN(B1571,2020)-1900-10*(G1571-1))/10</f>
        <v>0.7</v>
      </c>
      <c r="I1571" s="20" t="n">
        <f aca="false">EXP(LN(INDEX(Pop_Inputs!$B$2:$N$29,MATCH(C1571,Pop_Inputs!$A$2:$A$29,0),G1571))*(1-H1571)+LN(INDEX(Pop_Inputs!$B$2:$N$29,MATCH(C1571,Pop_Inputs!$A$2:$A$29,0),G1571+1))*H1571)</f>
        <v>403073.173969599</v>
      </c>
      <c r="J1571" s="20" t="n">
        <f aca="false">I1571/F1571</f>
        <v>403073.173969599</v>
      </c>
      <c r="K1571" s="21" t="n">
        <f aca="false">D1571/(D1571+E1571)</f>
        <v>0.428571428571429</v>
      </c>
      <c r="L1571" s="21" t="n">
        <f aca="false">AVERAGEIFS($K$2:$K$2705,$B$2:$B$2705,B1571)</f>
        <v>0.499976405773507</v>
      </c>
      <c r="M1571" s="21" t="n">
        <f aca="false">K1571-L1571</f>
        <v>-0.0714049772020787</v>
      </c>
      <c r="N1571" s="21" t="n">
        <f aca="false">LN(J1571)</f>
        <v>12.906873397572</v>
      </c>
      <c r="O1571" s="21" t="n">
        <f aca="false">AVERAGEIFS($N$2:$N$2705,$B$2:$B$2705,B1571)</f>
        <v>13.6359612814213</v>
      </c>
      <c r="P1571" s="21" t="n">
        <f aca="false">N1571-O1571</f>
        <v>-0.729087883849299</v>
      </c>
      <c r="Q1571" s="7" t="n">
        <v>0</v>
      </c>
      <c r="R1571" s="3" t="n">
        <f aca="false">IF(AND(Q1571=1,B1571-_xlfn.MINIFS($B$2:$B$2705,$A$2:$A$2705,A1571)&lt;10),1,0)</f>
        <v>0</v>
      </c>
      <c r="S1571" s="7" t="n">
        <v>0</v>
      </c>
      <c r="T1571" s="3" t="n">
        <f aca="false">_xlfn.MINIFS($B$2:$B$2705,$A$2:$A$2705,A1571)</f>
        <v>1901</v>
      </c>
      <c r="U1571" s="3" t="n">
        <f aca="false">B1571-T1571</f>
        <v>86</v>
      </c>
      <c r="V1571" s="3" t="str">
        <f aca="false">INDEX(Pop_Inputs!$Q$2:$Q$29,MATCH(C1571,Pop_Inputs!$A$2:$A$29,0))</f>
        <v>South</v>
      </c>
      <c r="W1571" s="29" t="n">
        <v>16544560</v>
      </c>
      <c r="X1571" s="3" t="n">
        <f aca="false">IF(W1571="","",LN(W1571))</f>
        <v>16.621567904847</v>
      </c>
      <c r="Y1571" s="3" t="n">
        <f aca="false">IF(X1571="","",X1571-AVERAGEIFS($X$2:$X$2705,$B$2:$B$2705,B1571))</f>
        <v>0.579287866298877</v>
      </c>
      <c r="Z1571" s="21" t="n">
        <f aca="false">P1571</f>
        <v>-0.729087883849299</v>
      </c>
      <c r="AA1571" s="3" t="n">
        <f aca="false">R1571</f>
        <v>0</v>
      </c>
      <c r="AB1571" s="21" t="n">
        <f aca="false">P1571</f>
        <v>-0.729087883849299</v>
      </c>
      <c r="AC1571" s="3" t="n">
        <f aca="false">Y1571</f>
        <v>0.579287866298877</v>
      </c>
      <c r="AD1571" s="3" t="n">
        <f aca="false">R1571</f>
        <v>0</v>
      </c>
    </row>
    <row r="1572" customFormat="false" ht="15" hidden="false" customHeight="true" outlineLevel="0" collapsed="false">
      <c r="A1572" s="7" t="s">
        <v>63</v>
      </c>
      <c r="B1572" s="7" t="n">
        <v>1987</v>
      </c>
      <c r="C1572" s="7" t="s">
        <v>149</v>
      </c>
      <c r="D1572" s="7" t="n">
        <v>67</v>
      </c>
      <c r="E1572" s="7" t="n">
        <v>95</v>
      </c>
      <c r="F1572" s="3" t="n">
        <f aca="false">COUNTIFS($B$2:$B$2705,B1572,$C$2:$C$2705,C1572)</f>
        <v>1</v>
      </c>
      <c r="G1572" s="3" t="n">
        <f aca="false">MIN(INT((MIN(B1572,2020)-1900)/10)+1,12)</f>
        <v>9</v>
      </c>
      <c r="H1572" s="3" t="n">
        <f aca="false">(MIN(B1572,2020)-1900-10*(G1572-1))/10</f>
        <v>0.7</v>
      </c>
      <c r="I1572" s="20" t="n">
        <f aca="false">EXP(LN(INDEX(Pop_Inputs!$B$2:$N$29,MATCH(C1572,Pop_Inputs!$A$2:$A$29,0),G1572))*(1-H1572)+LN(INDEX(Pop_Inputs!$B$2:$N$29,MATCH(C1572,Pop_Inputs!$A$2:$A$29,0),G1572+1))*H1572)</f>
        <v>750888.439694761</v>
      </c>
      <c r="J1572" s="20" t="n">
        <f aca="false">I1572/F1572</f>
        <v>750888.439694761</v>
      </c>
      <c r="K1572" s="21" t="n">
        <f aca="false">D1572/(D1572+E1572)</f>
        <v>0.41358024691358</v>
      </c>
      <c r="L1572" s="21" t="n">
        <f aca="false">AVERAGEIFS($K$2:$K$2705,$B$2:$B$2705,B1572)</f>
        <v>0.499976405773507</v>
      </c>
      <c r="M1572" s="21" t="n">
        <f aca="false">K1572-L1572</f>
        <v>-0.086396158859927</v>
      </c>
      <c r="N1572" s="21" t="n">
        <f aca="false">LN(J1572)</f>
        <v>13.5290123707035</v>
      </c>
      <c r="O1572" s="21" t="n">
        <f aca="false">AVERAGEIFS($N$2:$N$2705,$B$2:$B$2705,B1572)</f>
        <v>13.6359612814213</v>
      </c>
      <c r="P1572" s="21" t="n">
        <f aca="false">N1572-O1572</f>
        <v>-0.106948910717803</v>
      </c>
      <c r="Q1572" s="7" t="n">
        <v>0</v>
      </c>
      <c r="R1572" s="3" t="n">
        <f aca="false">IF(AND(Q1572=1,B1572-_xlfn.MINIFS($B$2:$B$2705,$A$2:$A$2705,A1572)&lt;10),1,0)</f>
        <v>0</v>
      </c>
      <c r="S1572" s="7" t="n">
        <v>0</v>
      </c>
      <c r="T1572" s="3" t="n">
        <f aca="false">_xlfn.MINIFS($B$2:$B$2705,$A$2:$A$2705,A1572)</f>
        <v>1901</v>
      </c>
      <c r="U1572" s="3" t="n">
        <f aca="false">B1572-T1572</f>
        <v>86</v>
      </c>
      <c r="V1572" s="3" t="str">
        <f aca="false">INDEX(Pop_Inputs!$Q$2:$Q$29,MATCH(C1572,Pop_Inputs!$A$2:$A$29,0))</f>
        <v>South</v>
      </c>
      <c r="W1572" s="29" t="n">
        <v>13900273</v>
      </c>
      <c r="X1572" s="3" t="n">
        <f aca="false">IF(W1572="","",LN(W1572))</f>
        <v>16.4474190381958</v>
      </c>
      <c r="Y1572" s="3" t="n">
        <f aca="false">IF(X1572="","",X1572-AVERAGEIFS($X$2:$X$2705,$B$2:$B$2705,B1572))</f>
        <v>0.405138999647679</v>
      </c>
      <c r="Z1572" s="21" t="n">
        <f aca="false">P1572</f>
        <v>-0.106948910717803</v>
      </c>
      <c r="AA1572" s="3" t="n">
        <f aca="false">R1572</f>
        <v>0</v>
      </c>
      <c r="AB1572" s="21" t="n">
        <f aca="false">P1572</f>
        <v>-0.106948910717803</v>
      </c>
      <c r="AC1572" s="3" t="n">
        <f aca="false">Y1572</f>
        <v>0.405138999647679</v>
      </c>
      <c r="AD1572" s="3" t="n">
        <f aca="false">R1572</f>
        <v>0</v>
      </c>
    </row>
    <row r="1573" customFormat="false" ht="15" hidden="false" customHeight="true" outlineLevel="0" collapsed="false">
      <c r="A1573" s="7" t="s">
        <v>64</v>
      </c>
      <c r="B1573" s="7" t="n">
        <v>1987</v>
      </c>
      <c r="C1573" s="7" t="s">
        <v>150</v>
      </c>
      <c r="D1573" s="7" t="n">
        <v>78</v>
      </c>
      <c r="E1573" s="7" t="n">
        <v>84</v>
      </c>
      <c r="F1573" s="3" t="n">
        <f aca="false">COUNTIFS($B$2:$B$2705,B1573,$C$2:$C$2705,C1573)</f>
        <v>1</v>
      </c>
      <c r="G1573" s="3" t="n">
        <f aca="false">MIN(INT((MIN(B1573,2020)-1900)/10)+1,12)</f>
        <v>9</v>
      </c>
      <c r="H1573" s="3" t="n">
        <f aca="false">(MIN(B1573,2020)-1900-10*(G1573-1))/10</f>
        <v>0.7</v>
      </c>
      <c r="I1573" s="20" t="n">
        <f aca="false">EXP(LN(INDEX(Pop_Inputs!$B$2:$N$29,MATCH(C1573,Pop_Inputs!$A$2:$A$29,0),G1573))*(1-H1573)+LN(INDEX(Pop_Inputs!$B$2:$N$29,MATCH(C1573,Pop_Inputs!$A$2:$A$29,0),G1573+1))*H1573)</f>
        <v>570872.735963634</v>
      </c>
      <c r="J1573" s="20" t="n">
        <f aca="false">I1573/F1573</f>
        <v>570872.735963634</v>
      </c>
      <c r="K1573" s="21" t="n">
        <f aca="false">D1573/(D1573+E1573)</f>
        <v>0.481481481481481</v>
      </c>
      <c r="L1573" s="21" t="n">
        <f aca="false">AVERAGEIFS($K$2:$K$2705,$B$2:$B$2705,B1573)</f>
        <v>0.499976405773507</v>
      </c>
      <c r="M1573" s="21" t="n">
        <f aca="false">K1573-L1573</f>
        <v>-0.0184949242920258</v>
      </c>
      <c r="N1573" s="21" t="n">
        <f aca="false">LN(J1573)</f>
        <v>13.2549215845738</v>
      </c>
      <c r="O1573" s="21" t="n">
        <f aca="false">AVERAGEIFS($N$2:$N$2705,$B$2:$B$2705,B1573)</f>
        <v>13.6359612814213</v>
      </c>
      <c r="P1573" s="21" t="n">
        <f aca="false">N1573-O1573</f>
        <v>-0.381039696847447</v>
      </c>
      <c r="Q1573" s="7" t="n">
        <v>0</v>
      </c>
      <c r="R1573" s="3" t="n">
        <f aca="false">IF(AND(Q1573=1,B1573-_xlfn.MINIFS($B$2:$B$2705,$A$2:$A$2705,A1573)&lt;10),1,0)</f>
        <v>0</v>
      </c>
      <c r="S1573" s="7" t="n">
        <v>0</v>
      </c>
      <c r="T1573" s="3" t="n">
        <f aca="false">_xlfn.MINIFS($B$2:$B$2705,$A$2:$A$2705,A1573)</f>
        <v>1901</v>
      </c>
      <c r="U1573" s="3" t="n">
        <f aca="false">B1573-T1573</f>
        <v>86</v>
      </c>
      <c r="V1573" s="3" t="str">
        <f aca="false">INDEX(Pop_Inputs!$Q$2:$Q$29,MATCH(C1573,Pop_Inputs!$A$2:$A$29,0))</f>
        <v>Northeast</v>
      </c>
      <c r="W1573" s="29" t="n">
        <v>10144167</v>
      </c>
      <c r="X1573" s="3" t="n">
        <f aca="false">IF(W1573="","",LN(W1573))</f>
        <v>16.1324094184574</v>
      </c>
      <c r="Y1573" s="3" t="n">
        <f aca="false">IF(X1573="","",X1573-AVERAGEIFS($X$2:$X$2705,$B$2:$B$2705,B1573))</f>
        <v>0.0901293799092429</v>
      </c>
      <c r="Z1573" s="21" t="n">
        <f aca="false">P1573</f>
        <v>-0.381039696847447</v>
      </c>
      <c r="AA1573" s="3" t="n">
        <f aca="false">R1573</f>
        <v>0</v>
      </c>
      <c r="AB1573" s="21" t="n">
        <f aca="false">P1573</f>
        <v>-0.381039696847447</v>
      </c>
      <c r="AC1573" s="3" t="n">
        <f aca="false">Y1573</f>
        <v>0.0901293799092429</v>
      </c>
      <c r="AD1573" s="3" t="n">
        <f aca="false">R1573</f>
        <v>0</v>
      </c>
    </row>
    <row r="1574" customFormat="false" ht="15" hidden="false" customHeight="true" outlineLevel="0" collapsed="false">
      <c r="A1574" s="7" t="s">
        <v>56</v>
      </c>
      <c r="B1574" s="7" t="n">
        <v>1987</v>
      </c>
      <c r="C1574" s="7" t="s">
        <v>142</v>
      </c>
      <c r="D1574" s="7" t="n">
        <v>76</v>
      </c>
      <c r="E1574" s="7" t="n">
        <v>85</v>
      </c>
      <c r="F1574" s="3" t="n">
        <f aca="false">COUNTIFS($B$2:$B$2705,B1574,$C$2:$C$2705,C1574)</f>
        <v>2</v>
      </c>
      <c r="G1574" s="3" t="n">
        <f aca="false">MIN(INT((MIN(B1574,2020)-1900)/10)+1,12)</f>
        <v>9</v>
      </c>
      <c r="H1574" s="3" t="n">
        <f aca="false">(MIN(B1574,2020)-1900-10*(G1574-1))/10</f>
        <v>0.7</v>
      </c>
      <c r="I1574" s="20" t="n">
        <f aca="false">EXP(LN(INDEX(Pop_Inputs!$B$2:$N$29,MATCH(C1574,Pop_Inputs!$A$2:$A$29,0),G1574))*(1-H1574)+LN(INDEX(Pop_Inputs!$B$2:$N$29,MATCH(C1574,Pop_Inputs!$A$2:$A$29,0),G1574+1))*H1574)</f>
        <v>2848360.82869106</v>
      </c>
      <c r="J1574" s="20" t="n">
        <f aca="false">I1574/F1574</f>
        <v>1424180.41434553</v>
      </c>
      <c r="K1574" s="21" t="n">
        <f aca="false">D1574/(D1574+E1574)</f>
        <v>0.472049689440994</v>
      </c>
      <c r="L1574" s="21" t="n">
        <f aca="false">AVERAGEIFS($K$2:$K$2705,$B$2:$B$2705,B1574)</f>
        <v>0.499976405773507</v>
      </c>
      <c r="M1574" s="21" t="n">
        <f aca="false">K1574-L1574</f>
        <v>-0.0279267163325134</v>
      </c>
      <c r="N1574" s="21" t="n">
        <f aca="false">LN(J1574)</f>
        <v>14.1691070583962</v>
      </c>
      <c r="O1574" s="21" t="n">
        <f aca="false">AVERAGEIFS($N$2:$N$2705,$B$2:$B$2705,B1574)</f>
        <v>13.6359612814213</v>
      </c>
      <c r="P1574" s="21" t="n">
        <f aca="false">N1574-O1574</f>
        <v>0.533145776974962</v>
      </c>
      <c r="Q1574" s="7" t="n">
        <v>0</v>
      </c>
      <c r="R1574" s="3" t="n">
        <f aca="false">IF(AND(Q1574=1,B1574-_xlfn.MINIFS($B$2:$B$2705,$A$2:$A$2705,A1574)&lt;10),1,0)</f>
        <v>0</v>
      </c>
      <c r="S1574" s="7" t="n">
        <v>0</v>
      </c>
      <c r="T1574" s="3" t="n">
        <f aca="false">_xlfn.MINIFS($B$2:$B$2705,$A$2:$A$2705,A1574)</f>
        <v>1901</v>
      </c>
      <c r="U1574" s="3" t="n">
        <f aca="false">B1574-T1574</f>
        <v>86</v>
      </c>
      <c r="V1574" s="3" t="str">
        <f aca="false">INDEX(Pop_Inputs!$Q$2:$Q$29,MATCH(C1574,Pop_Inputs!$A$2:$A$29,0))</f>
        <v>Midwest</v>
      </c>
      <c r="W1574" s="29" t="n">
        <v>14307999</v>
      </c>
      <c r="X1574" s="3" t="n">
        <f aca="false">IF(W1574="","",LN(W1574))</f>
        <v>16.4763293094701</v>
      </c>
      <c r="Y1574" s="3" t="n">
        <f aca="false">IF(X1574="","",X1574-AVERAGEIFS($X$2:$X$2705,$B$2:$B$2705,B1574))</f>
        <v>0.434049270921932</v>
      </c>
      <c r="Z1574" s="21" t="n">
        <f aca="false">P1574</f>
        <v>0.533145776974962</v>
      </c>
      <c r="AA1574" s="3" t="n">
        <f aca="false">R1574</f>
        <v>0</v>
      </c>
      <c r="AB1574" s="21" t="n">
        <f aca="false">P1574</f>
        <v>0.533145776974962</v>
      </c>
      <c r="AC1574" s="3" t="n">
        <f aca="false">Y1574</f>
        <v>0.434049270921932</v>
      </c>
      <c r="AD1574" s="3" t="n">
        <f aca="false">R1574</f>
        <v>0</v>
      </c>
    </row>
    <row r="1575" customFormat="false" ht="15" hidden="false" customHeight="true" outlineLevel="0" collapsed="false">
      <c r="A1575" s="7" t="s">
        <v>65</v>
      </c>
      <c r="B1575" s="7" t="n">
        <v>1987</v>
      </c>
      <c r="C1575" s="7" t="s">
        <v>142</v>
      </c>
      <c r="D1575" s="7" t="n">
        <v>77</v>
      </c>
      <c r="E1575" s="7" t="n">
        <v>85</v>
      </c>
      <c r="F1575" s="3" t="n">
        <f aca="false">COUNTIFS($B$2:$B$2705,B1575,$C$2:$C$2705,C1575)</f>
        <v>2</v>
      </c>
      <c r="G1575" s="3" t="n">
        <f aca="false">MIN(INT((MIN(B1575,2020)-1900)/10)+1,12)</f>
        <v>9</v>
      </c>
      <c r="H1575" s="3" t="n">
        <f aca="false">(MIN(B1575,2020)-1900-10*(G1575-1))/10</f>
        <v>0.7</v>
      </c>
      <c r="I1575" s="20" t="n">
        <f aca="false">EXP(LN(INDEX(Pop_Inputs!$B$2:$N$29,MATCH(C1575,Pop_Inputs!$A$2:$A$29,0),G1575))*(1-H1575)+LN(INDEX(Pop_Inputs!$B$2:$N$29,MATCH(C1575,Pop_Inputs!$A$2:$A$29,0),G1575+1))*H1575)</f>
        <v>2848360.82869106</v>
      </c>
      <c r="J1575" s="20" t="n">
        <f aca="false">I1575/F1575</f>
        <v>1424180.41434553</v>
      </c>
      <c r="K1575" s="21" t="n">
        <f aca="false">D1575/(D1575+E1575)</f>
        <v>0.475308641975309</v>
      </c>
      <c r="L1575" s="21" t="n">
        <f aca="false">AVERAGEIFS($K$2:$K$2705,$B$2:$B$2705,B1575)</f>
        <v>0.499976405773507</v>
      </c>
      <c r="M1575" s="21" t="n">
        <f aca="false">K1575-L1575</f>
        <v>-0.0246677637981986</v>
      </c>
      <c r="N1575" s="21" t="n">
        <f aca="false">LN(J1575)</f>
        <v>14.1691070583962</v>
      </c>
      <c r="O1575" s="21" t="n">
        <f aca="false">AVERAGEIFS($N$2:$N$2705,$B$2:$B$2705,B1575)</f>
        <v>13.6359612814213</v>
      </c>
      <c r="P1575" s="21" t="n">
        <f aca="false">N1575-O1575</f>
        <v>0.533145776974962</v>
      </c>
      <c r="Q1575" s="7" t="n">
        <v>0</v>
      </c>
      <c r="R1575" s="3" t="n">
        <f aca="false">IF(AND(Q1575=1,B1575-_xlfn.MINIFS($B$2:$B$2705,$A$2:$A$2705,A1575)&lt;10),1,0)</f>
        <v>0</v>
      </c>
      <c r="S1575" s="7" t="n">
        <v>0</v>
      </c>
      <c r="T1575" s="3" t="n">
        <f aca="false">_xlfn.MINIFS($B$2:$B$2705,$A$2:$A$2705,A1575)</f>
        <v>1901</v>
      </c>
      <c r="U1575" s="3" t="n">
        <f aca="false">B1575-T1575</f>
        <v>86</v>
      </c>
      <c r="V1575" s="3" t="str">
        <f aca="false">INDEX(Pop_Inputs!$Q$2:$Q$29,MATCH(C1575,Pop_Inputs!$A$2:$A$29,0))</f>
        <v>Midwest</v>
      </c>
      <c r="W1575" s="29" t="n">
        <v>10641843</v>
      </c>
      <c r="X1575" s="3" t="n">
        <f aca="false">IF(W1575="","",LN(W1575))</f>
        <v>16.1803042411636</v>
      </c>
      <c r="Y1575" s="3" t="n">
        <f aca="false">IF(X1575="","",X1575-AVERAGEIFS($X$2:$X$2705,$B$2:$B$2705,B1575))</f>
        <v>0.138024202615483</v>
      </c>
      <c r="Z1575" s="21" t="n">
        <f aca="false">P1575</f>
        <v>0.533145776974962</v>
      </c>
      <c r="AA1575" s="3" t="n">
        <f aca="false">R1575</f>
        <v>0</v>
      </c>
      <c r="AB1575" s="21" t="n">
        <f aca="false">P1575</f>
        <v>0.533145776974962</v>
      </c>
      <c r="AC1575" s="3" t="n">
        <f aca="false">Y1575</f>
        <v>0.138024202615483</v>
      </c>
      <c r="AD1575" s="3" t="n">
        <f aca="false">R1575</f>
        <v>0</v>
      </c>
    </row>
    <row r="1576" customFormat="false" ht="15" hidden="false" customHeight="true" outlineLevel="0" collapsed="false">
      <c r="A1576" s="7" t="s">
        <v>57</v>
      </c>
      <c r="B1576" s="7" t="n">
        <v>1987</v>
      </c>
      <c r="C1576" s="7" t="s">
        <v>143</v>
      </c>
      <c r="D1576" s="7" t="n">
        <v>84</v>
      </c>
      <c r="E1576" s="7" t="n">
        <v>78</v>
      </c>
      <c r="F1576" s="3" t="n">
        <f aca="false">COUNTIFS($B$2:$B$2705,B1576,$C$2:$C$2705,C1576)</f>
        <v>1</v>
      </c>
      <c r="G1576" s="3" t="n">
        <f aca="false">MIN(INT((MIN(B1576,2020)-1900)/10)+1,12)</f>
        <v>9</v>
      </c>
      <c r="H1576" s="3" t="n">
        <f aca="false">(MIN(B1576,2020)-1900-10*(G1576-1))/10</f>
        <v>0.7</v>
      </c>
      <c r="I1576" s="20" t="n">
        <f aca="false">EXP(LN(INDEX(Pop_Inputs!$B$2:$N$29,MATCH(C1576,Pop_Inputs!$A$2:$A$29,0),G1576))*(1-H1576)+LN(INDEX(Pop_Inputs!$B$2:$N$29,MATCH(C1576,Pop_Inputs!$A$2:$A$29,0),G1576+1))*H1576)</f>
        <v>370337.908128571</v>
      </c>
      <c r="J1576" s="20" t="n">
        <f aca="false">I1576/F1576</f>
        <v>370337.908128571</v>
      </c>
      <c r="K1576" s="21" t="n">
        <f aca="false">D1576/(D1576+E1576)</f>
        <v>0.518518518518519</v>
      </c>
      <c r="L1576" s="21" t="n">
        <f aca="false">AVERAGEIFS($K$2:$K$2705,$B$2:$B$2705,B1576)</f>
        <v>0.499976405773507</v>
      </c>
      <c r="M1576" s="21" t="n">
        <f aca="false">K1576-L1576</f>
        <v>0.0185421127450113</v>
      </c>
      <c r="N1576" s="21" t="n">
        <f aca="false">LN(J1576)</f>
        <v>12.8221711330598</v>
      </c>
      <c r="O1576" s="21" t="n">
        <f aca="false">AVERAGEIFS($N$2:$N$2705,$B$2:$B$2705,B1576)</f>
        <v>13.6359612814213</v>
      </c>
      <c r="P1576" s="21" t="n">
        <f aca="false">N1576-O1576</f>
        <v>-0.813790148361452</v>
      </c>
      <c r="Q1576" s="7" t="n">
        <v>0</v>
      </c>
      <c r="R1576" s="3" t="n">
        <f aca="false">IF(AND(Q1576=1,B1576-_xlfn.MINIFS($B$2:$B$2705,$A$2:$A$2705,A1576)&lt;10),1,0)</f>
        <v>0</v>
      </c>
      <c r="S1576" s="7" t="n">
        <v>0</v>
      </c>
      <c r="T1576" s="3" t="n">
        <f aca="false">_xlfn.MINIFS($B$2:$B$2705,$A$2:$A$2705,A1576)</f>
        <v>1901</v>
      </c>
      <c r="U1576" s="3" t="n">
        <f aca="false">B1576-T1576</f>
        <v>86</v>
      </c>
      <c r="V1576" s="3" t="str">
        <f aca="false">INDEX(Pop_Inputs!$Q$2:$Q$29,MATCH(C1576,Pop_Inputs!$A$2:$A$29,0))</f>
        <v>Midwest</v>
      </c>
      <c r="W1576" s="29" t="n">
        <v>9281500</v>
      </c>
      <c r="X1576" s="3" t="n">
        <f aca="false">IF(W1576="","",LN(W1576))</f>
        <v>16.0435337296314</v>
      </c>
      <c r="Y1576" s="3" t="n">
        <f aca="false">IF(X1576="","",X1576-AVERAGEIFS($X$2:$X$2705,$B$2:$B$2705,B1576))</f>
        <v>0.00125369108327433</v>
      </c>
      <c r="Z1576" s="21" t="n">
        <f aca="false">P1576</f>
        <v>-0.813790148361452</v>
      </c>
      <c r="AA1576" s="3" t="n">
        <f aca="false">R1576</f>
        <v>0</v>
      </c>
      <c r="AB1576" s="21" t="n">
        <f aca="false">P1576</f>
        <v>-0.813790148361452</v>
      </c>
      <c r="AC1576" s="3" t="n">
        <f aca="false">Y1576</f>
        <v>0.00125369108327433</v>
      </c>
      <c r="AD1576" s="3" t="n">
        <f aca="false">R1576</f>
        <v>0</v>
      </c>
    </row>
    <row r="1577" customFormat="false" ht="15" hidden="false" customHeight="true" outlineLevel="0" collapsed="false">
      <c r="A1577" s="7" t="s">
        <v>66</v>
      </c>
      <c r="B1577" s="7" t="n">
        <v>1987</v>
      </c>
      <c r="C1577" s="7" t="s">
        <v>151</v>
      </c>
      <c r="D1577" s="7" t="n">
        <v>61</v>
      </c>
      <c r="E1577" s="7" t="n">
        <v>101</v>
      </c>
      <c r="F1577" s="3" t="n">
        <f aca="false">COUNTIFS($B$2:$B$2705,B1577,$C$2:$C$2705,C1577)</f>
        <v>1</v>
      </c>
      <c r="G1577" s="3" t="n">
        <f aca="false">MIN(INT((MIN(B1577,2020)-1900)/10)+1,12)</f>
        <v>9</v>
      </c>
      <c r="H1577" s="3" t="n">
        <f aca="false">(MIN(B1577,2020)-1900-10*(G1577-1))/10</f>
        <v>0.7</v>
      </c>
      <c r="I1577" s="20" t="n">
        <f aca="false">EXP(LN(INDEX(Pop_Inputs!$B$2:$N$29,MATCH(C1577,Pop_Inputs!$A$2:$A$29,0),G1577))*(1-H1577)+LN(INDEX(Pop_Inputs!$B$2:$N$29,MATCH(C1577,Pop_Inputs!$A$2:$A$29,0),G1577+1))*H1577)</f>
        <v>525179.450487631</v>
      </c>
      <c r="J1577" s="20" t="n">
        <f aca="false">I1577/F1577</f>
        <v>525179.450487631</v>
      </c>
      <c r="K1577" s="21" t="n">
        <f aca="false">D1577/(D1577+E1577)</f>
        <v>0.376543209876543</v>
      </c>
      <c r="L1577" s="21" t="n">
        <f aca="false">AVERAGEIFS($K$2:$K$2705,$B$2:$B$2705,B1577)</f>
        <v>0.499976405773507</v>
      </c>
      <c r="M1577" s="21" t="n">
        <f aca="false">K1577-L1577</f>
        <v>-0.123433195896964</v>
      </c>
      <c r="N1577" s="21" t="n">
        <f aca="false">LN(J1577)</f>
        <v>13.1714952936225</v>
      </c>
      <c r="O1577" s="21" t="n">
        <f aca="false">AVERAGEIFS($N$2:$N$2705,$B$2:$B$2705,B1577)</f>
        <v>13.6359612814213</v>
      </c>
      <c r="P1577" s="21" t="n">
        <f aca="false">N1577-O1577</f>
        <v>-0.464465987798764</v>
      </c>
      <c r="Q1577" s="7" t="n">
        <v>0</v>
      </c>
      <c r="R1577" s="3" t="n">
        <f aca="false">IF(AND(Q1577=1,B1577-_xlfn.MINIFS($B$2:$B$2705,$A$2:$A$2705,A1577)&lt;10),1,0)</f>
        <v>0</v>
      </c>
      <c r="S1577" s="7" t="n">
        <v>0</v>
      </c>
      <c r="T1577" s="3" t="n">
        <f aca="false">_xlfn.MINIFS($B$2:$B$2705,$A$2:$A$2705,A1577)</f>
        <v>1901</v>
      </c>
      <c r="U1577" s="3" t="n">
        <f aca="false">B1577-T1577</f>
        <v>86</v>
      </c>
      <c r="V1577" s="3" t="str">
        <f aca="false">INDEX(Pop_Inputs!$Q$2:$Q$29,MATCH(C1577,Pop_Inputs!$A$2:$A$29,0))</f>
        <v>Midwest</v>
      </c>
      <c r="W1577" s="29" t="n">
        <v>8513750</v>
      </c>
      <c r="X1577" s="3" t="n">
        <f aca="false">IF(W1577="","",LN(W1577))</f>
        <v>15.9571930615377</v>
      </c>
      <c r="Y1577" s="3" t="n">
        <f aca="false">IF(X1577="","",X1577-AVERAGEIFS($X$2:$X$2705,$B$2:$B$2705,B1577))</f>
        <v>-0.0850869770104765</v>
      </c>
      <c r="Z1577" s="21" t="n">
        <f aca="false">P1577</f>
        <v>-0.464465987798764</v>
      </c>
      <c r="AA1577" s="3" t="n">
        <f aca="false">R1577</f>
        <v>0</v>
      </c>
      <c r="AB1577" s="21" t="n">
        <f aca="false">P1577</f>
        <v>-0.464465987798764</v>
      </c>
      <c r="AC1577" s="3" t="n">
        <f aca="false">Y1577</f>
        <v>-0.0850869770104765</v>
      </c>
      <c r="AD1577" s="3" t="n">
        <f aca="false">R1577</f>
        <v>0</v>
      </c>
    </row>
    <row r="1578" customFormat="false" ht="15" hidden="false" customHeight="true" outlineLevel="0" collapsed="false">
      <c r="A1578" s="7" t="s">
        <v>67</v>
      </c>
      <c r="B1578" s="7" t="n">
        <v>1987</v>
      </c>
      <c r="C1578" s="7" t="s">
        <v>152</v>
      </c>
      <c r="D1578" s="7" t="n">
        <v>98</v>
      </c>
      <c r="E1578" s="7" t="n">
        <v>64</v>
      </c>
      <c r="F1578" s="3" t="n">
        <f aca="false">COUNTIFS($B$2:$B$2705,B1578,$C$2:$C$2705,C1578)</f>
        <v>1</v>
      </c>
      <c r="G1578" s="3" t="n">
        <f aca="false">MIN(INT((MIN(B1578,2020)-1900)/10)+1,12)</f>
        <v>9</v>
      </c>
      <c r="H1578" s="3" t="n">
        <f aca="false">(MIN(B1578,2020)-1900-10*(G1578-1))/10</f>
        <v>0.7</v>
      </c>
      <c r="I1578" s="20" t="n">
        <f aca="false">EXP(LN(INDEX(Pop_Inputs!$B$2:$N$29,MATCH(C1578,Pop_Inputs!$A$2:$A$29,0),G1578))*(1-H1578)+LN(INDEX(Pop_Inputs!$B$2:$N$29,MATCH(C1578,Pop_Inputs!$A$2:$A$29,0),G1578+1))*H1578)</f>
        <v>1077722.69599335</v>
      </c>
      <c r="J1578" s="20" t="n">
        <f aca="false">I1578/F1578</f>
        <v>1077722.69599335</v>
      </c>
      <c r="K1578" s="21" t="n">
        <f aca="false">D1578/(D1578+E1578)</f>
        <v>0.604938271604938</v>
      </c>
      <c r="L1578" s="21" t="n">
        <f aca="false">AVERAGEIFS($K$2:$K$2705,$B$2:$B$2705,B1578)</f>
        <v>0.499976405773507</v>
      </c>
      <c r="M1578" s="21" t="n">
        <f aca="false">K1578-L1578</f>
        <v>0.104961865831431</v>
      </c>
      <c r="N1578" s="21" t="n">
        <f aca="false">LN(J1578)</f>
        <v>13.8903607580211</v>
      </c>
      <c r="O1578" s="21" t="n">
        <f aca="false">AVERAGEIFS($N$2:$N$2705,$B$2:$B$2705,B1578)</f>
        <v>13.6359612814213</v>
      </c>
      <c r="P1578" s="21" t="n">
        <f aca="false">N1578-O1578</f>
        <v>0.254399476599833</v>
      </c>
      <c r="Q1578" s="7" t="n">
        <v>0</v>
      </c>
      <c r="R1578" s="3" t="n">
        <f aca="false">IF(AND(Q1578=1,B1578-_xlfn.MINIFS($B$2:$B$2705,$A$2:$A$2705,A1578)&lt;10),1,0)</f>
        <v>0</v>
      </c>
      <c r="S1578" s="7" t="n">
        <v>0</v>
      </c>
      <c r="T1578" s="3" t="n">
        <f aca="false">_xlfn.MINIFS($B$2:$B$2705,$A$2:$A$2705,A1578)</f>
        <v>1901</v>
      </c>
      <c r="U1578" s="3" t="n">
        <f aca="false">B1578-T1578</f>
        <v>86</v>
      </c>
      <c r="V1578" s="3" t="str">
        <f aca="false">INDEX(Pop_Inputs!$Q$2:$Q$29,MATCH(C1578,Pop_Inputs!$A$2:$A$29,0))</f>
        <v>Midwest</v>
      </c>
      <c r="W1578" s="29" t="n">
        <v>12122881</v>
      </c>
      <c r="X1578" s="3" t="n">
        <f aca="false">IF(W1578="","",LN(W1578))</f>
        <v>16.3106052166284</v>
      </c>
      <c r="Y1578" s="3" t="n">
        <f aca="false">IF(X1578="","",X1578-AVERAGEIFS($X$2:$X$2705,$B$2:$B$2705,B1578))</f>
        <v>0.268325178080268</v>
      </c>
      <c r="Z1578" s="21" t="n">
        <f aca="false">P1578</f>
        <v>0.254399476599833</v>
      </c>
      <c r="AA1578" s="3" t="n">
        <f aca="false">R1578</f>
        <v>0</v>
      </c>
      <c r="AB1578" s="21" t="n">
        <f aca="false">P1578</f>
        <v>0.254399476599833</v>
      </c>
      <c r="AC1578" s="3" t="n">
        <f aca="false">Y1578</f>
        <v>0.268325178080268</v>
      </c>
      <c r="AD1578" s="3" t="n">
        <f aca="false">R1578</f>
        <v>0</v>
      </c>
    </row>
    <row r="1579" customFormat="false" ht="15" hidden="false" customHeight="true" outlineLevel="0" collapsed="false">
      <c r="A1579" s="7" t="s">
        <v>74</v>
      </c>
      <c r="B1579" s="7" t="n">
        <v>1987</v>
      </c>
      <c r="C1579" s="7" t="s">
        <v>156</v>
      </c>
      <c r="D1579" s="7" t="n">
        <v>76</v>
      </c>
      <c r="E1579" s="7" t="n">
        <v>86</v>
      </c>
      <c r="F1579" s="3" t="n">
        <f aca="false">COUNTIFS($B$2:$B$2705,B1579,$C$2:$C$2705,C1579)</f>
        <v>1</v>
      </c>
      <c r="G1579" s="3" t="n">
        <f aca="false">MIN(INT((MIN(B1579,2020)-1900)/10)+1,12)</f>
        <v>9</v>
      </c>
      <c r="H1579" s="3" t="n">
        <f aca="false">(MIN(B1579,2020)-1900-10*(G1579-1))/10</f>
        <v>0.7</v>
      </c>
      <c r="I1579" s="20" t="n">
        <f aca="false">EXP(LN(INDEX(Pop_Inputs!$B$2:$N$29,MATCH(C1579,Pop_Inputs!$A$2:$A$29,0),G1579))*(1-H1579)+LN(INDEX(Pop_Inputs!$B$2:$N$29,MATCH(C1579,Pop_Inputs!$A$2:$A$29,0),G1579+1))*H1579)</f>
        <v>1619846.72508151</v>
      </c>
      <c r="J1579" s="20" t="n">
        <f aca="false">I1579/F1579</f>
        <v>1619846.72508151</v>
      </c>
      <c r="K1579" s="21" t="n">
        <f aca="false">D1579/(D1579+E1579)</f>
        <v>0.469135802469136</v>
      </c>
      <c r="L1579" s="21" t="n">
        <f aca="false">AVERAGEIFS($K$2:$K$2705,$B$2:$B$2705,B1579)</f>
        <v>0.499976405773507</v>
      </c>
      <c r="M1579" s="21" t="n">
        <f aca="false">K1579-L1579</f>
        <v>-0.0308406033043714</v>
      </c>
      <c r="N1579" s="21" t="n">
        <f aca="false">LN(J1579)</f>
        <v>14.2978420885852</v>
      </c>
      <c r="O1579" s="21" t="n">
        <f aca="false">AVERAGEIFS($N$2:$N$2705,$B$2:$B$2705,B1579)</f>
        <v>13.6359612814213</v>
      </c>
      <c r="P1579" s="21" t="n">
        <f aca="false">N1579-O1579</f>
        <v>0.661880807163879</v>
      </c>
      <c r="Q1579" s="7" t="n">
        <v>1</v>
      </c>
      <c r="R1579" s="3" t="n">
        <f aca="false">IF(AND(Q1579=1,B1579-_xlfn.MINIFS($B$2:$B$2705,$A$2:$A$2705,A1579)&lt;10),1,0)</f>
        <v>0</v>
      </c>
      <c r="S1579" s="7" t="n">
        <v>0</v>
      </c>
      <c r="T1579" s="3" t="n">
        <f aca="false">_xlfn.MINIFS($B$2:$B$2705,$A$2:$A$2705,A1579)</f>
        <v>1962</v>
      </c>
      <c r="U1579" s="3" t="n">
        <f aca="false">B1579-T1579</f>
        <v>25</v>
      </c>
      <c r="V1579" s="3" t="str">
        <f aca="false">INDEX(Pop_Inputs!$Q$2:$Q$29,MATCH(C1579,Pop_Inputs!$A$2:$A$29,0))</f>
        <v>South</v>
      </c>
      <c r="W1579" s="29" t="n">
        <v>12608371</v>
      </c>
      <c r="X1579" s="3" t="n">
        <f aca="false">IF(W1579="","",LN(W1579))</f>
        <v>16.3498715164083</v>
      </c>
      <c r="Y1579" s="3" t="n">
        <f aca="false">IF(X1579="","",X1579-AVERAGEIFS($X$2:$X$2705,$B$2:$B$2705,B1579))</f>
        <v>0.307591477860147</v>
      </c>
      <c r="Z1579" s="21" t="n">
        <f aca="false">P1579</f>
        <v>0.661880807163879</v>
      </c>
      <c r="AA1579" s="3" t="n">
        <f aca="false">R1579</f>
        <v>0</v>
      </c>
      <c r="AB1579" s="21" t="n">
        <f aca="false">P1579</f>
        <v>0.661880807163879</v>
      </c>
      <c r="AC1579" s="3" t="n">
        <f aca="false">Y1579</f>
        <v>0.307591477860147</v>
      </c>
      <c r="AD1579" s="3" t="n">
        <f aca="false">R1579</f>
        <v>0</v>
      </c>
    </row>
    <row r="1580" customFormat="false" ht="15" hidden="false" customHeight="true" outlineLevel="0" collapsed="false">
      <c r="A1580" s="7" t="s">
        <v>76</v>
      </c>
      <c r="B1580" s="7" t="n">
        <v>1987</v>
      </c>
      <c r="C1580" s="7" t="s">
        <v>157</v>
      </c>
      <c r="D1580" s="7" t="n">
        <v>83</v>
      </c>
      <c r="E1580" s="7" t="n">
        <v>79</v>
      </c>
      <c r="F1580" s="3" t="n">
        <f aca="false">COUNTIFS($B$2:$B$2705,B1580,$C$2:$C$2705,C1580)</f>
        <v>1</v>
      </c>
      <c r="G1580" s="3" t="n">
        <f aca="false">MIN(INT((MIN(B1580,2020)-1900)/10)+1,12)</f>
        <v>9</v>
      </c>
      <c r="H1580" s="3" t="n">
        <f aca="false">(MIN(B1580,2020)-1900-10*(G1580-1))/10</f>
        <v>0.7</v>
      </c>
      <c r="I1580" s="20" t="n">
        <f aca="false">EXP(LN(INDEX(Pop_Inputs!$B$2:$N$29,MATCH(C1580,Pop_Inputs!$A$2:$A$29,0),G1580))*(1-H1580)+LN(INDEX(Pop_Inputs!$B$2:$N$29,MATCH(C1580,Pop_Inputs!$A$2:$A$29,0),G1580+1))*H1580)</f>
        <v>439009.717744096</v>
      </c>
      <c r="J1580" s="20" t="n">
        <f aca="false">I1580/F1580</f>
        <v>439009.717744096</v>
      </c>
      <c r="K1580" s="21" t="n">
        <f aca="false">D1580/(D1580+E1580)</f>
        <v>0.512345679012346</v>
      </c>
      <c r="L1580" s="21" t="n">
        <f aca="false">AVERAGEIFS($K$2:$K$2705,$B$2:$B$2705,B1580)</f>
        <v>0.499976405773507</v>
      </c>
      <c r="M1580" s="21" t="n">
        <f aca="false">K1580-L1580</f>
        <v>0.0123692732388385</v>
      </c>
      <c r="N1580" s="21" t="n">
        <f aca="false">LN(J1580)</f>
        <v>12.9922768279036</v>
      </c>
      <c r="O1580" s="21" t="n">
        <f aca="false">AVERAGEIFS($N$2:$N$2705,$B$2:$B$2705,B1580)</f>
        <v>13.6359612814213</v>
      </c>
      <c r="P1580" s="21" t="n">
        <f aca="false">N1580-O1580</f>
        <v>-0.643684453517627</v>
      </c>
      <c r="Q1580" s="7" t="n">
        <v>1</v>
      </c>
      <c r="R1580" s="3" t="n">
        <f aca="false">IF(AND(Q1580=1,B1580-_xlfn.MINIFS($B$2:$B$2705,$A$2:$A$2705,A1580)&lt;10),1,0)</f>
        <v>0</v>
      </c>
      <c r="S1580" s="7" t="n">
        <v>0</v>
      </c>
      <c r="T1580" s="3" t="n">
        <f aca="false">_xlfn.MINIFS($B$2:$B$2705,$A$2:$A$2705,A1580)</f>
        <v>1969</v>
      </c>
      <c r="U1580" s="3" t="n">
        <f aca="false">B1580-T1580</f>
        <v>18</v>
      </c>
      <c r="V1580" s="3" t="str">
        <f aca="false">INDEX(Pop_Inputs!$Q$2:$Q$29,MATCH(C1580,Pop_Inputs!$A$2:$A$29,0))</f>
        <v>Midwest</v>
      </c>
      <c r="W1580" s="29" t="n">
        <v>11828056</v>
      </c>
      <c r="X1580" s="3" t="n">
        <f aca="false">IF(W1580="","",LN(W1580))</f>
        <v>16.2859848944715</v>
      </c>
      <c r="Y1580" s="3" t="n">
        <f aca="false">IF(X1580="","",X1580-AVERAGEIFS($X$2:$X$2705,$B$2:$B$2705,B1580))</f>
        <v>0.243704855923394</v>
      </c>
      <c r="Z1580" s="21" t="n">
        <f aca="false">P1580</f>
        <v>-0.643684453517627</v>
      </c>
      <c r="AA1580" s="3" t="n">
        <f aca="false">R1580</f>
        <v>0</v>
      </c>
      <c r="AB1580" s="21" t="n">
        <f aca="false">P1580</f>
        <v>-0.643684453517627</v>
      </c>
      <c r="AC1580" s="3" t="n">
        <f aca="false">Y1580</f>
        <v>0.243704855923394</v>
      </c>
      <c r="AD1580" s="3" t="n">
        <f aca="false">R1580</f>
        <v>0</v>
      </c>
    </row>
    <row r="1581" customFormat="false" ht="15" hidden="false" customHeight="true" outlineLevel="0" collapsed="false">
      <c r="A1581" s="7" t="s">
        <v>62</v>
      </c>
      <c r="B1581" s="7" t="n">
        <v>1987</v>
      </c>
      <c r="C1581" s="7" t="s">
        <v>148</v>
      </c>
      <c r="D1581" s="7" t="n">
        <v>73</v>
      </c>
      <c r="E1581" s="7" t="n">
        <v>89</v>
      </c>
      <c r="F1581" s="3" t="n">
        <f aca="false">COUNTIFS($B$2:$B$2705,B1581,$C$2:$C$2705,C1581)</f>
        <v>2</v>
      </c>
      <c r="G1581" s="3" t="n">
        <f aca="false">MIN(INT((MIN(B1581,2020)-1900)/10)+1,12)</f>
        <v>9</v>
      </c>
      <c r="H1581" s="3" t="n">
        <f aca="false">(MIN(B1581,2020)-1900-10*(G1581-1))/10</f>
        <v>0.7</v>
      </c>
      <c r="I1581" s="20" t="n">
        <f aca="false">EXP(LN(INDEX(Pop_Inputs!$B$2:$N$29,MATCH(C1581,Pop_Inputs!$A$2:$A$29,0),G1581))*(1-H1581)+LN(INDEX(Pop_Inputs!$B$2:$N$29,MATCH(C1581,Pop_Inputs!$A$2:$A$29,0),G1581+1))*H1581)</f>
        <v>3320972.97306414</v>
      </c>
      <c r="J1581" s="20" t="n">
        <f aca="false">I1581/F1581</f>
        <v>1660486.48653207</v>
      </c>
      <c r="K1581" s="21" t="n">
        <f aca="false">D1581/(D1581+E1581)</f>
        <v>0.450617283950617</v>
      </c>
      <c r="L1581" s="21" t="n">
        <f aca="false">AVERAGEIFS($K$2:$K$2705,$B$2:$B$2705,B1581)</f>
        <v>0.499976405773507</v>
      </c>
      <c r="M1581" s="21" t="n">
        <f aca="false">K1581-L1581</f>
        <v>-0.0493591218228899</v>
      </c>
      <c r="N1581" s="21" t="n">
        <f aca="false">LN(J1581)</f>
        <v>14.3226211815738</v>
      </c>
      <c r="O1581" s="21" t="n">
        <f aca="false">AVERAGEIFS($N$2:$N$2705,$B$2:$B$2705,B1581)</f>
        <v>13.6359612814213</v>
      </c>
      <c r="P1581" s="21" t="n">
        <f aca="false">N1581-O1581</f>
        <v>0.686659900152483</v>
      </c>
      <c r="Q1581" s="7" t="n">
        <v>0</v>
      </c>
      <c r="R1581" s="3" t="n">
        <f aca="false">IF(AND(Q1581=1,B1581-_xlfn.MINIFS($B$2:$B$2705,$A$2:$A$2705,A1581)&lt;10),1,0)</f>
        <v>0</v>
      </c>
      <c r="S1581" s="7" t="n">
        <v>0</v>
      </c>
      <c r="T1581" s="3" t="n">
        <f aca="false">_xlfn.MINIFS($B$2:$B$2705,$A$2:$A$2705,A1581)</f>
        <v>1901</v>
      </c>
      <c r="U1581" s="3" t="n">
        <f aca="false">B1581-T1581</f>
        <v>86</v>
      </c>
      <c r="V1581" s="3" t="str">
        <f aca="false">INDEX(Pop_Inputs!$Q$2:$Q$29,MATCH(C1581,Pop_Inputs!$A$2:$A$29,0))</f>
        <v>West</v>
      </c>
      <c r="W1581" s="29" t="n">
        <v>13675403</v>
      </c>
      <c r="X1581" s="3" t="n">
        <f aca="false">IF(W1581="","",LN(W1581))</f>
        <v>16.4311093756736</v>
      </c>
      <c r="Y1581" s="3" t="n">
        <f aca="false">IF(X1581="","",X1581-AVERAGEIFS($X$2:$X$2705,$B$2:$B$2705,B1581))</f>
        <v>0.388829337125415</v>
      </c>
      <c r="Z1581" s="21" t="n">
        <f aca="false">P1581</f>
        <v>0.686659900152483</v>
      </c>
      <c r="AA1581" s="3" t="n">
        <f aca="false">R1581</f>
        <v>0</v>
      </c>
      <c r="AB1581" s="21" t="n">
        <f aca="false">P1581</f>
        <v>0.686659900152483</v>
      </c>
      <c r="AC1581" s="3" t="n">
        <f aca="false">Y1581</f>
        <v>0.388829337125415</v>
      </c>
      <c r="AD1581" s="3" t="n">
        <f aca="false">R1581</f>
        <v>0</v>
      </c>
    </row>
    <row r="1582" customFormat="false" ht="15" hidden="false" customHeight="true" outlineLevel="0" collapsed="false">
      <c r="A1582" s="7" t="s">
        <v>77</v>
      </c>
      <c r="B1582" s="7" t="n">
        <v>1987</v>
      </c>
      <c r="C1582" s="7" t="s">
        <v>158</v>
      </c>
      <c r="D1582" s="7" t="n">
        <v>91</v>
      </c>
      <c r="E1582" s="7" t="n">
        <v>71</v>
      </c>
      <c r="F1582" s="3" t="n">
        <f aca="false">COUNTIFS($B$2:$B$2705,B1582,$C$2:$C$2705,C1582)</f>
        <v>1</v>
      </c>
      <c r="G1582" s="3" t="n">
        <f aca="false">MIN(INT((MIN(B1582,2020)-1900)/10)+1,12)</f>
        <v>9</v>
      </c>
      <c r="H1582" s="3" t="n">
        <f aca="false">(MIN(B1582,2020)-1900-10*(G1582-1))/10</f>
        <v>0.7</v>
      </c>
      <c r="I1582" s="20" t="n">
        <f aca="false">EXP(LN(INDEX(Pop_Inputs!$B$2:$N$29,MATCH(C1582,Pop_Inputs!$A$2:$A$29,0),G1582))*(1-H1582)+LN(INDEX(Pop_Inputs!$B$2:$N$29,MATCH(C1582,Pop_Inputs!$A$2:$A$29,0),G1582+1))*H1582)</f>
        <v>630514.246788876</v>
      </c>
      <c r="J1582" s="20" t="n">
        <f aca="false">I1582/F1582</f>
        <v>630514.246788876</v>
      </c>
      <c r="K1582" s="21" t="n">
        <f aca="false">D1582/(D1582+E1582)</f>
        <v>0.561728395061728</v>
      </c>
      <c r="L1582" s="21" t="n">
        <f aca="false">AVERAGEIFS($K$2:$K$2705,$B$2:$B$2705,B1582)</f>
        <v>0.499976405773507</v>
      </c>
      <c r="M1582" s="21" t="n">
        <f aca="false">K1582-L1582</f>
        <v>0.0617519892882212</v>
      </c>
      <c r="N1582" s="21" t="n">
        <f aca="false">LN(J1582)</f>
        <v>13.3542910301491</v>
      </c>
      <c r="O1582" s="21" t="n">
        <f aca="false">AVERAGEIFS($N$2:$N$2705,$B$2:$B$2705,B1582)</f>
        <v>13.6359612814213</v>
      </c>
      <c r="P1582" s="21" t="n">
        <f aca="false">N1582-O1582</f>
        <v>-0.281670251272196</v>
      </c>
      <c r="Q1582" s="7" t="n">
        <v>1</v>
      </c>
      <c r="R1582" s="3" t="n">
        <f aca="false">IF(AND(Q1582=1,B1582-_xlfn.MINIFS($B$2:$B$2705,$A$2:$A$2705,A1582)&lt;10),1,0)</f>
        <v>0</v>
      </c>
      <c r="S1582" s="7" t="n">
        <v>0</v>
      </c>
      <c r="T1582" s="3" t="n">
        <f aca="false">_xlfn.MINIFS($B$2:$B$2705,$A$2:$A$2705,A1582)</f>
        <v>1969</v>
      </c>
      <c r="U1582" s="3" t="n">
        <f aca="false">B1582-T1582</f>
        <v>18</v>
      </c>
      <c r="V1582" s="3" t="str">
        <f aca="false">INDEX(Pop_Inputs!$Q$2:$Q$29,MATCH(C1582,Pop_Inputs!$A$2:$A$29,0))</f>
        <v>Midwest</v>
      </c>
      <c r="W1582" s="29" t="n">
        <v>7293224</v>
      </c>
      <c r="X1582" s="3" t="n">
        <f aca="false">IF(W1582="","",LN(W1582))</f>
        <v>15.8024562558783</v>
      </c>
      <c r="Y1582" s="3" t="n">
        <f aca="false">IF(X1582="","",X1582-AVERAGEIFS($X$2:$X$2705,$B$2:$B$2705,B1582))</f>
        <v>-0.239823782669793</v>
      </c>
      <c r="Z1582" s="21" t="n">
        <f aca="false">P1582</f>
        <v>-0.281670251272196</v>
      </c>
      <c r="AA1582" s="3" t="n">
        <f aca="false">R1582</f>
        <v>0</v>
      </c>
      <c r="AB1582" s="21" t="n">
        <f aca="false">P1582</f>
        <v>-0.281670251272196</v>
      </c>
      <c r="AC1582" s="3" t="n">
        <f aca="false">Y1582</f>
        <v>-0.239823782669793</v>
      </c>
      <c r="AD1582" s="3" t="n">
        <f aca="false">R1582</f>
        <v>0</v>
      </c>
    </row>
    <row r="1583" customFormat="false" ht="15" hidden="false" customHeight="true" outlineLevel="0" collapsed="false">
      <c r="A1583" s="7" t="s">
        <v>68</v>
      </c>
      <c r="B1583" s="7" t="n">
        <v>1987</v>
      </c>
      <c r="C1583" s="7" t="s">
        <v>153</v>
      </c>
      <c r="D1583" s="7" t="n">
        <v>85</v>
      </c>
      <c r="E1583" s="7" t="n">
        <v>77</v>
      </c>
      <c r="F1583" s="3" t="n">
        <f aca="false">COUNTIFS($B$2:$B$2705,B1583,$C$2:$C$2705,C1583)</f>
        <v>1</v>
      </c>
      <c r="G1583" s="3" t="n">
        <f aca="false">MIN(INT((MIN(B1583,2020)-1900)/10)+1,12)</f>
        <v>9</v>
      </c>
      <c r="H1583" s="3" t="n">
        <f aca="false">(MIN(B1583,2020)-1900-10*(G1583-1))/10</f>
        <v>0.7</v>
      </c>
      <c r="I1583" s="20" t="n">
        <f aca="false">EXP(LN(INDEX(Pop_Inputs!$B$2:$N$29,MATCH(C1583,Pop_Inputs!$A$2:$A$29,0),G1583))*(1-H1583)+LN(INDEX(Pop_Inputs!$B$2:$N$29,MATCH(C1583,Pop_Inputs!$A$2:$A$29,0),G1583+1))*H1583)</f>
        <v>369151.527728368</v>
      </c>
      <c r="J1583" s="20" t="n">
        <f aca="false">I1583/F1583</f>
        <v>369151.527728368</v>
      </c>
      <c r="K1583" s="21" t="n">
        <f aca="false">D1583/(D1583+E1583)</f>
        <v>0.524691358024691</v>
      </c>
      <c r="L1583" s="21" t="n">
        <f aca="false">AVERAGEIFS($K$2:$K$2705,$B$2:$B$2705,B1583)</f>
        <v>0.499976405773507</v>
      </c>
      <c r="M1583" s="21" t="n">
        <f aca="false">K1583-L1583</f>
        <v>0.0247149522511841</v>
      </c>
      <c r="N1583" s="21" t="n">
        <f aca="false">LN(J1583)</f>
        <v>12.8189624829817</v>
      </c>
      <c r="O1583" s="21" t="n">
        <f aca="false">AVERAGEIFS($N$2:$N$2705,$B$2:$B$2705,B1583)</f>
        <v>13.6359612814213</v>
      </c>
      <c r="P1583" s="21" t="n">
        <f aca="false">N1583-O1583</f>
        <v>-0.816998798439562</v>
      </c>
      <c r="Q1583" s="7" t="n">
        <v>0</v>
      </c>
      <c r="R1583" s="3" t="n">
        <f aca="false">IF(AND(Q1583=1,B1583-_xlfn.MINIFS($B$2:$B$2705,$A$2:$A$2705,A1583)&lt;10),1,0)</f>
        <v>0</v>
      </c>
      <c r="S1583" s="7" t="n">
        <v>0</v>
      </c>
      <c r="T1583" s="3" t="n">
        <f aca="false">_xlfn.MINIFS($B$2:$B$2705,$A$2:$A$2705,A1583)</f>
        <v>1901</v>
      </c>
      <c r="U1583" s="3" t="n">
        <f aca="false">B1583-T1583</f>
        <v>86</v>
      </c>
      <c r="V1583" s="3" t="str">
        <f aca="false">INDEX(Pop_Inputs!$Q$2:$Q$29,MATCH(C1583,Pop_Inputs!$A$2:$A$29,0))</f>
        <v>Midwest</v>
      </c>
      <c r="W1583" s="29" t="n">
        <v>6397500</v>
      </c>
      <c r="X1583" s="3" t="n">
        <f aca="false">IF(W1583="","",LN(W1583))</f>
        <v>15.6714178470161</v>
      </c>
      <c r="Y1583" s="3" t="n">
        <f aca="false">IF(X1583="","",X1583-AVERAGEIFS($X$2:$X$2705,$B$2:$B$2705,B1583))</f>
        <v>-0.370862191532062</v>
      </c>
      <c r="Z1583" s="21" t="n">
        <f aca="false">P1583</f>
        <v>-0.816998798439562</v>
      </c>
      <c r="AA1583" s="3" t="n">
        <f aca="false">R1583</f>
        <v>0</v>
      </c>
      <c r="AB1583" s="21" t="n">
        <f aca="false">P1583</f>
        <v>-0.816998798439562</v>
      </c>
      <c r="AC1583" s="3" t="n">
        <f aca="false">Y1583</f>
        <v>-0.370862191532062</v>
      </c>
      <c r="AD1583" s="3" t="n">
        <f aca="false">R1583</f>
        <v>0</v>
      </c>
    </row>
    <row r="1584" customFormat="false" ht="15" hidden="false" customHeight="true" outlineLevel="0" collapsed="false">
      <c r="A1584" s="7" t="s">
        <v>75</v>
      </c>
      <c r="B1584" s="7" t="n">
        <v>1987</v>
      </c>
      <c r="C1584" s="7" t="s">
        <v>154</v>
      </c>
      <c r="D1584" s="7" t="n">
        <v>92</v>
      </c>
      <c r="E1584" s="7" t="n">
        <v>70</v>
      </c>
      <c r="F1584" s="3" t="n">
        <f aca="false">COUNTIFS($B$2:$B$2705,B1584,$C$2:$C$2705,C1584)</f>
        <v>2</v>
      </c>
      <c r="G1584" s="3" t="n">
        <f aca="false">MIN(INT((MIN(B1584,2020)-1900)/10)+1,12)</f>
        <v>9</v>
      </c>
      <c r="H1584" s="3" t="n">
        <f aca="false">(MIN(B1584,2020)-1900-10*(G1584-1))/10</f>
        <v>0.7</v>
      </c>
      <c r="I1584" s="20" t="n">
        <f aca="false">EXP(LN(INDEX(Pop_Inputs!$B$2:$N$29,MATCH(C1584,Pop_Inputs!$A$2:$A$29,0),G1584))*(1-H1584)+LN(INDEX(Pop_Inputs!$B$2:$N$29,MATCH(C1584,Pop_Inputs!$A$2:$A$29,0),G1584+1))*H1584)</f>
        <v>7246365.70563832</v>
      </c>
      <c r="J1584" s="20" t="n">
        <f aca="false">I1584/F1584</f>
        <v>3623182.85281916</v>
      </c>
      <c r="K1584" s="21" t="n">
        <f aca="false">D1584/(D1584+E1584)</f>
        <v>0.567901234567901</v>
      </c>
      <c r="L1584" s="21" t="n">
        <f aca="false">AVERAGEIFS($K$2:$K$2705,$B$2:$B$2705,B1584)</f>
        <v>0.499976405773507</v>
      </c>
      <c r="M1584" s="21" t="n">
        <f aca="false">K1584-L1584</f>
        <v>0.067924828794394</v>
      </c>
      <c r="N1584" s="21" t="n">
        <f aca="false">LN(J1584)</f>
        <v>15.1028634386062</v>
      </c>
      <c r="O1584" s="21" t="n">
        <f aca="false">AVERAGEIFS($N$2:$N$2705,$B$2:$B$2705,B1584)</f>
        <v>13.6359612814213</v>
      </c>
      <c r="P1584" s="21" t="n">
        <f aca="false">N1584-O1584</f>
        <v>1.4669021571849</v>
      </c>
      <c r="Q1584" s="7" t="n">
        <v>1</v>
      </c>
      <c r="R1584" s="3" t="n">
        <f aca="false">IF(AND(Q1584=1,B1584-_xlfn.MINIFS($B$2:$B$2705,$A$2:$A$2705,A1584)&lt;10),1,0)</f>
        <v>0</v>
      </c>
      <c r="S1584" s="7" t="n">
        <v>0</v>
      </c>
      <c r="T1584" s="3" t="n">
        <f aca="false">_xlfn.MINIFS($B$2:$B$2705,$A$2:$A$2705,A1584)</f>
        <v>1962</v>
      </c>
      <c r="U1584" s="3" t="n">
        <f aca="false">B1584-T1584</f>
        <v>25</v>
      </c>
      <c r="V1584" s="3" t="str">
        <f aca="false">INDEX(Pop_Inputs!$Q$2:$Q$29,MATCH(C1584,Pop_Inputs!$A$2:$A$29,0))</f>
        <v>Northeast</v>
      </c>
      <c r="W1584" s="29" t="n">
        <v>13846714</v>
      </c>
      <c r="X1584" s="3" t="n">
        <f aca="false">IF(W1584="","",LN(W1584))</f>
        <v>16.4435585061302</v>
      </c>
      <c r="Y1584" s="3" t="n">
        <f aca="false">IF(X1584="","",X1584-AVERAGEIFS($X$2:$X$2705,$B$2:$B$2705,B1584))</f>
        <v>0.401278467582056</v>
      </c>
      <c r="Z1584" s="21" t="n">
        <f aca="false">P1584</f>
        <v>1.4669021571849</v>
      </c>
      <c r="AA1584" s="3" t="n">
        <f aca="false">R1584</f>
        <v>0</v>
      </c>
      <c r="AB1584" s="21" t="n">
        <f aca="false">P1584</f>
        <v>1.4669021571849</v>
      </c>
      <c r="AC1584" s="3" t="n">
        <f aca="false">Y1584</f>
        <v>0.401278467582056</v>
      </c>
      <c r="AD1584" s="3" t="n">
        <f aca="false">R1584</f>
        <v>0</v>
      </c>
    </row>
    <row r="1585" customFormat="false" ht="15" hidden="false" customHeight="true" outlineLevel="0" collapsed="false">
      <c r="A1585" s="7" t="s">
        <v>70</v>
      </c>
      <c r="B1585" s="7" t="n">
        <v>1987</v>
      </c>
      <c r="C1585" s="7" t="s">
        <v>154</v>
      </c>
      <c r="D1585" s="7" t="n">
        <v>89</v>
      </c>
      <c r="E1585" s="7" t="n">
        <v>73</v>
      </c>
      <c r="F1585" s="3" t="n">
        <f aca="false">COUNTIFS($B$2:$B$2705,B1585,$C$2:$C$2705,C1585)</f>
        <v>2</v>
      </c>
      <c r="G1585" s="3" t="n">
        <f aca="false">MIN(INT((MIN(B1585,2020)-1900)/10)+1,12)</f>
        <v>9</v>
      </c>
      <c r="H1585" s="3" t="n">
        <f aca="false">(MIN(B1585,2020)-1900-10*(G1585-1))/10</f>
        <v>0.7</v>
      </c>
      <c r="I1585" s="20" t="n">
        <f aca="false">EXP(LN(INDEX(Pop_Inputs!$B$2:$N$29,MATCH(C1585,Pop_Inputs!$A$2:$A$29,0),G1585))*(1-H1585)+LN(INDEX(Pop_Inputs!$B$2:$N$29,MATCH(C1585,Pop_Inputs!$A$2:$A$29,0),G1585+1))*H1585)</f>
        <v>7246365.70563832</v>
      </c>
      <c r="J1585" s="20" t="n">
        <f aca="false">I1585/F1585</f>
        <v>3623182.85281916</v>
      </c>
      <c r="K1585" s="21" t="n">
        <f aca="false">D1585/(D1585+E1585)</f>
        <v>0.549382716049383</v>
      </c>
      <c r="L1585" s="21" t="n">
        <f aca="false">AVERAGEIFS($K$2:$K$2705,$B$2:$B$2705,B1585)</f>
        <v>0.499976405773507</v>
      </c>
      <c r="M1585" s="21" t="n">
        <f aca="false">K1585-L1585</f>
        <v>0.0494063102758755</v>
      </c>
      <c r="N1585" s="21" t="n">
        <f aca="false">LN(J1585)</f>
        <v>15.1028634386062</v>
      </c>
      <c r="O1585" s="21" t="n">
        <f aca="false">AVERAGEIFS($N$2:$N$2705,$B$2:$B$2705,B1585)</f>
        <v>13.6359612814213</v>
      </c>
      <c r="P1585" s="21" t="n">
        <f aca="false">N1585-O1585</f>
        <v>1.4669021571849</v>
      </c>
      <c r="Q1585" s="7" t="n">
        <v>0</v>
      </c>
      <c r="R1585" s="3" t="n">
        <f aca="false">IF(AND(Q1585=1,B1585-_xlfn.MINIFS($B$2:$B$2705,$A$2:$A$2705,A1585)&lt;10),1,0)</f>
        <v>0</v>
      </c>
      <c r="S1585" s="7" t="n">
        <v>1</v>
      </c>
      <c r="T1585" s="3" t="n">
        <f aca="false">_xlfn.MINIFS($B$2:$B$2705,$A$2:$A$2705,A1585)</f>
        <v>1903</v>
      </c>
      <c r="U1585" s="3" t="n">
        <f aca="false">B1585-T1585</f>
        <v>84</v>
      </c>
      <c r="V1585" s="3" t="str">
        <f aca="false">INDEX(Pop_Inputs!$Q$2:$Q$29,MATCH(C1585,Pop_Inputs!$A$2:$A$29,0))</f>
        <v>Northeast</v>
      </c>
      <c r="W1585" s="29" t="n">
        <v>17099714</v>
      </c>
      <c r="X1585" s="3" t="n">
        <f aca="false">IF(W1585="","",LN(W1585))</f>
        <v>16.6545722961868</v>
      </c>
      <c r="Y1585" s="3" t="n">
        <f aca="false">IF(X1585="","",X1585-AVERAGEIFS($X$2:$X$2705,$B$2:$B$2705,B1585))</f>
        <v>0.612292257638682</v>
      </c>
      <c r="Z1585" s="21" t="n">
        <f aca="false">P1585</f>
        <v>1.4669021571849</v>
      </c>
      <c r="AA1585" s="3" t="n">
        <f aca="false">R1585</f>
        <v>0</v>
      </c>
      <c r="AB1585" s="21" t="n">
        <f aca="false">P1585</f>
        <v>1.4669021571849</v>
      </c>
      <c r="AC1585" s="3" t="n">
        <f aca="false">Y1585</f>
        <v>0.612292257638682</v>
      </c>
      <c r="AD1585" s="3" t="n">
        <f aca="false">R1585</f>
        <v>0</v>
      </c>
    </row>
    <row r="1586" customFormat="false" ht="15" hidden="false" customHeight="true" outlineLevel="0" collapsed="false">
      <c r="A1586" s="7" t="s">
        <v>69</v>
      </c>
      <c r="B1586" s="7" t="n">
        <v>1987</v>
      </c>
      <c r="C1586" s="7" t="s">
        <v>253</v>
      </c>
      <c r="D1586" s="7" t="n">
        <v>81</v>
      </c>
      <c r="E1586" s="7" t="n">
        <v>81</v>
      </c>
      <c r="F1586" s="3" t="n">
        <f aca="false">COUNTIFS($B$2:$B$2705,B1586,$C$2:$C$2705,C1586)</f>
        <v>1</v>
      </c>
      <c r="G1586" s="3" t="n">
        <f aca="false">MIN(INT((MIN(B1586,2020)-1900)/10)+1,12)</f>
        <v>9</v>
      </c>
      <c r="H1586" s="3" t="n">
        <f aca="false">(MIN(B1586,2020)-1900-10*(G1586-1))/10</f>
        <v>0.7</v>
      </c>
      <c r="I1586" s="20" t="n">
        <f aca="false">EXP(LN(INDEX(Pop_Inputs!$B$2:$N$29,MATCH(C1586,Pop_Inputs!$A$2:$A$29,0),G1586))*(1-H1586)+LN(INDEX(Pop_Inputs!$B$2:$N$29,MATCH(C1586,Pop_Inputs!$A$2:$A$29,0),G1586+1))*H1586)</f>
        <v>362048.811250758</v>
      </c>
      <c r="J1586" s="20" t="n">
        <f aca="false">I1586/F1586</f>
        <v>362048.811250758</v>
      </c>
      <c r="K1586" s="21" t="n">
        <f aca="false">D1586/(D1586+E1586)</f>
        <v>0.5</v>
      </c>
      <c r="L1586" s="21" t="n">
        <f aca="false">AVERAGEIFS($K$2:$K$2705,$B$2:$B$2705,B1586)</f>
        <v>0.499976405773507</v>
      </c>
      <c r="M1586" s="21" t="n">
        <f aca="false">K1586-L1586</f>
        <v>2.35942264927846E-005</v>
      </c>
      <c r="N1586" s="21" t="n">
        <f aca="false">LN(J1586)</f>
        <v>12.7995343194274</v>
      </c>
      <c r="O1586" s="21" t="n">
        <f aca="false">AVERAGEIFS($N$2:$N$2705,$B$2:$B$2705,B1586)</f>
        <v>13.6359612814213</v>
      </c>
      <c r="P1586" s="21" t="n">
        <f aca="false">N1586-O1586</f>
        <v>-0.836426961993874</v>
      </c>
      <c r="Q1586" s="7" t="n">
        <v>0</v>
      </c>
      <c r="R1586" s="3" t="n">
        <f aca="false">IF(AND(Q1586=1,B1586-_xlfn.MINIFS($B$2:$B$2705,$A$2:$A$2705,A1586)&lt;10),1,0)</f>
        <v>0</v>
      </c>
      <c r="S1586" s="7" t="n">
        <v>0</v>
      </c>
      <c r="T1586" s="3" t="n">
        <f aca="false">_xlfn.MINIFS($B$2:$B$2705,$A$2:$A$2705,A1586)</f>
        <v>1901</v>
      </c>
      <c r="U1586" s="3" t="n">
        <f aca="false">B1586-T1586</f>
        <v>86</v>
      </c>
      <c r="V1586" s="3" t="str">
        <f aca="false">INDEX(Pop_Inputs!$Q$2:$Q$29,MATCH(C1586,Pop_Inputs!$A$2:$A$29,0))</f>
        <v>West</v>
      </c>
      <c r="W1586" s="29" t="n">
        <v>11680839</v>
      </c>
      <c r="X1586" s="3" t="n">
        <f aca="false">IF(W1586="","",LN(W1586))</f>
        <v>16.2734603649763</v>
      </c>
      <c r="Y1586" s="3" t="n">
        <f aca="false">IF(X1586="","",X1586-AVERAGEIFS($X$2:$X$2705,$B$2:$B$2705,B1586))</f>
        <v>0.231180326428184</v>
      </c>
      <c r="Z1586" s="21" t="n">
        <f aca="false">P1586</f>
        <v>-0.836426961993874</v>
      </c>
      <c r="AA1586" s="3" t="n">
        <f aca="false">R1586</f>
        <v>0</v>
      </c>
      <c r="AB1586" s="21" t="n">
        <f aca="false">P1586</f>
        <v>-0.836426961993874</v>
      </c>
      <c r="AC1586" s="3" t="n">
        <f aca="false">Y1586</f>
        <v>0.231180326428184</v>
      </c>
      <c r="AD1586" s="3" t="n">
        <f aca="false">R1586</f>
        <v>0</v>
      </c>
    </row>
    <row r="1587" customFormat="false" ht="15" hidden="false" customHeight="true" outlineLevel="0" collapsed="false">
      <c r="A1587" s="7" t="s">
        <v>60</v>
      </c>
      <c r="B1587" s="7" t="n">
        <v>1987</v>
      </c>
      <c r="C1587" s="7" t="s">
        <v>146</v>
      </c>
      <c r="D1587" s="7" t="n">
        <v>80</v>
      </c>
      <c r="E1587" s="7" t="n">
        <v>82</v>
      </c>
      <c r="F1587" s="3" t="n">
        <f aca="false">COUNTIFS($B$2:$B$2705,B1587,$C$2:$C$2705,C1587)</f>
        <v>1</v>
      </c>
      <c r="G1587" s="3" t="n">
        <f aca="false">MIN(INT((MIN(B1587,2020)-1900)/10)+1,12)</f>
        <v>9</v>
      </c>
      <c r="H1587" s="3" t="n">
        <f aca="false">(MIN(B1587,2020)-1900-10*(G1587-1))/10</f>
        <v>0.7</v>
      </c>
      <c r="I1587" s="20" t="n">
        <f aca="false">EXP(LN(INDEX(Pop_Inputs!$B$2:$N$29,MATCH(C1587,Pop_Inputs!$A$2:$A$29,0),G1587))*(1-H1587)+LN(INDEX(Pop_Inputs!$B$2:$N$29,MATCH(C1587,Pop_Inputs!$A$2:$A$29,0),G1587+1))*H1587)</f>
        <v>1615693.86804539</v>
      </c>
      <c r="J1587" s="20" t="n">
        <f aca="false">I1587/F1587</f>
        <v>1615693.86804539</v>
      </c>
      <c r="K1587" s="21" t="n">
        <f aca="false">D1587/(D1587+E1587)</f>
        <v>0.493827160493827</v>
      </c>
      <c r="L1587" s="21" t="n">
        <f aca="false">AVERAGEIFS($K$2:$K$2705,$B$2:$B$2705,B1587)</f>
        <v>0.499976405773507</v>
      </c>
      <c r="M1587" s="21" t="n">
        <f aca="false">K1587-L1587</f>
        <v>-0.00614924527968008</v>
      </c>
      <c r="N1587" s="21" t="n">
        <f aca="false">LN(J1587)</f>
        <v>14.2952750620268</v>
      </c>
      <c r="O1587" s="21" t="n">
        <f aca="false">AVERAGEIFS($N$2:$N$2705,$B$2:$B$2705,B1587)</f>
        <v>13.6359612814213</v>
      </c>
      <c r="P1587" s="21" t="n">
        <f aca="false">N1587-O1587</f>
        <v>0.659313780605521</v>
      </c>
      <c r="Q1587" s="7" t="n">
        <v>0</v>
      </c>
      <c r="R1587" s="3" t="n">
        <f aca="false">IF(AND(Q1587=1,B1587-_xlfn.MINIFS($B$2:$B$2705,$A$2:$A$2705,A1587)&lt;10),1,0)</f>
        <v>0</v>
      </c>
      <c r="S1587" s="7" t="n">
        <v>0</v>
      </c>
      <c r="T1587" s="3" t="n">
        <f aca="false">_xlfn.MINIFS($B$2:$B$2705,$A$2:$A$2705,A1587)</f>
        <v>1901</v>
      </c>
      <c r="U1587" s="3" t="n">
        <f aca="false">B1587-T1587</f>
        <v>86</v>
      </c>
      <c r="V1587" s="3" t="str">
        <f aca="false">INDEX(Pop_Inputs!$Q$2:$Q$29,MATCH(C1587,Pop_Inputs!$A$2:$A$29,0))</f>
        <v>Northeast</v>
      </c>
      <c r="W1587" s="29" t="n">
        <v>11514233</v>
      </c>
      <c r="X1587" s="3" t="n">
        <f aca="false">IF(W1587="","",LN(W1587))</f>
        <v>16.2590944802473</v>
      </c>
      <c r="Y1587" s="3" t="n">
        <f aca="false">IF(X1587="","",X1587-AVERAGEIFS($X$2:$X$2705,$B$2:$B$2705,B1587))</f>
        <v>0.21681444169915</v>
      </c>
      <c r="Z1587" s="21" t="n">
        <f aca="false">P1587</f>
        <v>0.659313780605521</v>
      </c>
      <c r="AA1587" s="3" t="n">
        <f aca="false">R1587</f>
        <v>0</v>
      </c>
      <c r="AB1587" s="21" t="n">
        <f aca="false">P1587</f>
        <v>0.659313780605521</v>
      </c>
      <c r="AC1587" s="3" t="n">
        <f aca="false">Y1587</f>
        <v>0.21681444169915</v>
      </c>
      <c r="AD1587" s="3" t="n">
        <f aca="false">R1587</f>
        <v>0</v>
      </c>
    </row>
    <row r="1588" customFormat="false" ht="15" hidden="false" customHeight="true" outlineLevel="0" collapsed="false">
      <c r="A1588" s="7" t="s">
        <v>58</v>
      </c>
      <c r="B1588" s="7" t="n">
        <v>1987</v>
      </c>
      <c r="C1588" s="7" t="s">
        <v>144</v>
      </c>
      <c r="D1588" s="7" t="n">
        <v>80</v>
      </c>
      <c r="E1588" s="7" t="n">
        <v>82</v>
      </c>
      <c r="F1588" s="3" t="n">
        <f aca="false">COUNTIFS($B$2:$B$2705,B1588,$C$2:$C$2705,C1588)</f>
        <v>1</v>
      </c>
      <c r="G1588" s="3" t="n">
        <f aca="false">MIN(INT((MIN(B1588,2020)-1900)/10)+1,12)</f>
        <v>9</v>
      </c>
      <c r="H1588" s="3" t="n">
        <f aca="false">(MIN(B1588,2020)-1900-10*(G1588-1))/10</f>
        <v>0.7</v>
      </c>
      <c r="I1588" s="20" t="n">
        <f aca="false">EXP(LN(INDEX(Pop_Inputs!$B$2:$N$29,MATCH(C1588,Pop_Inputs!$A$2:$A$29,0),G1588))*(1-H1588)+LN(INDEX(Pop_Inputs!$B$2:$N$29,MATCH(C1588,Pop_Inputs!$A$2:$A$29,0),G1588+1))*H1588)</f>
        <v>385329.692899059</v>
      </c>
      <c r="J1588" s="20" t="n">
        <f aca="false">I1588/F1588</f>
        <v>385329.692899059</v>
      </c>
      <c r="K1588" s="21" t="n">
        <f aca="false">D1588/(D1588+E1588)</f>
        <v>0.493827160493827</v>
      </c>
      <c r="L1588" s="21" t="n">
        <f aca="false">AVERAGEIFS($K$2:$K$2705,$B$2:$B$2705,B1588)</f>
        <v>0.499976405773507</v>
      </c>
      <c r="M1588" s="21" t="n">
        <f aca="false">K1588-L1588</f>
        <v>-0.00614924527968008</v>
      </c>
      <c r="N1588" s="21" t="n">
        <f aca="false">LN(J1588)</f>
        <v>12.8618545920079</v>
      </c>
      <c r="O1588" s="21" t="n">
        <f aca="false">AVERAGEIFS($N$2:$N$2705,$B$2:$B$2705,B1588)</f>
        <v>13.6359612814213</v>
      </c>
      <c r="P1588" s="21" t="n">
        <f aca="false">N1588-O1588</f>
        <v>-0.77410668941334</v>
      </c>
      <c r="Q1588" s="7" t="n">
        <v>0</v>
      </c>
      <c r="R1588" s="3" t="n">
        <f aca="false">IF(AND(Q1588=1,B1588-_xlfn.MINIFS($B$2:$B$2705,$A$2:$A$2705,A1588)&lt;10),1,0)</f>
        <v>0</v>
      </c>
      <c r="S1588" s="7" t="n">
        <v>0</v>
      </c>
      <c r="T1588" s="3" t="n">
        <f aca="false">_xlfn.MINIFS($B$2:$B$2705,$A$2:$A$2705,A1588)</f>
        <v>1901</v>
      </c>
      <c r="U1588" s="3" t="n">
        <f aca="false">B1588-T1588</f>
        <v>86</v>
      </c>
      <c r="V1588" s="3" t="str">
        <f aca="false">INDEX(Pop_Inputs!$Q$2:$Q$29,MATCH(C1588,Pop_Inputs!$A$2:$A$29,0))</f>
        <v>Northeast</v>
      </c>
      <c r="W1588" s="29" t="n">
        <v>7652000</v>
      </c>
      <c r="X1588" s="3" t="n">
        <f aca="false">IF(W1588="","",LN(W1588))</f>
        <v>15.8504776095423</v>
      </c>
      <c r="Y1588" s="3" t="n">
        <f aca="false">IF(X1588="","",X1588-AVERAGEIFS($X$2:$X$2705,$B$2:$B$2705,B1588))</f>
        <v>-0.191802429005861</v>
      </c>
      <c r="Z1588" s="21" t="n">
        <f aca="false">P1588</f>
        <v>-0.77410668941334</v>
      </c>
      <c r="AA1588" s="3" t="n">
        <f aca="false">R1588</f>
        <v>0</v>
      </c>
      <c r="AB1588" s="21" t="n">
        <f aca="false">P1588</f>
        <v>-0.77410668941334</v>
      </c>
      <c r="AC1588" s="3" t="n">
        <f aca="false">Y1588</f>
        <v>-0.191802429005861</v>
      </c>
      <c r="AD1588" s="3" t="n">
        <f aca="false">R1588</f>
        <v>0</v>
      </c>
    </row>
    <row r="1589" customFormat="false" ht="15" hidden="false" customHeight="true" outlineLevel="0" collapsed="false">
      <c r="A1589" s="7" t="s">
        <v>78</v>
      </c>
      <c r="B1589" s="7" t="n">
        <v>1987</v>
      </c>
      <c r="C1589" s="7" t="s">
        <v>159</v>
      </c>
      <c r="D1589" s="7" t="n">
        <v>65</v>
      </c>
      <c r="E1589" s="7" t="n">
        <v>97</v>
      </c>
      <c r="F1589" s="3" t="n">
        <f aca="false">COUNTIFS($B$2:$B$2705,B1589,$C$2:$C$2705,C1589)</f>
        <v>1</v>
      </c>
      <c r="G1589" s="3" t="n">
        <f aca="false">MIN(INT((MIN(B1589,2020)-1900)/10)+1,12)</f>
        <v>9</v>
      </c>
      <c r="H1589" s="3" t="n">
        <f aca="false">(MIN(B1589,2020)-1900-10*(G1589-1))/10</f>
        <v>0.7</v>
      </c>
      <c r="I1589" s="20" t="n">
        <f aca="false">EXP(LN(INDEX(Pop_Inputs!$B$2:$N$29,MATCH(C1589,Pop_Inputs!$A$2:$A$29,0),G1589))*(1-H1589)+LN(INDEX(Pop_Inputs!$B$2:$N$29,MATCH(C1589,Pop_Inputs!$A$2:$A$29,0),G1589+1))*H1589)</f>
        <v>1034091.35580356</v>
      </c>
      <c r="J1589" s="20" t="n">
        <f aca="false">I1589/F1589</f>
        <v>1034091.35580356</v>
      </c>
      <c r="K1589" s="21" t="n">
        <f aca="false">D1589/(D1589+E1589)</f>
        <v>0.401234567901235</v>
      </c>
      <c r="L1589" s="21" t="n">
        <f aca="false">AVERAGEIFS($K$2:$K$2705,$B$2:$B$2705,B1589)</f>
        <v>0.499976405773507</v>
      </c>
      <c r="M1589" s="21" t="n">
        <f aca="false">K1589-L1589</f>
        <v>-0.0987418378722726</v>
      </c>
      <c r="N1589" s="21" t="n">
        <f aca="false">LN(J1589)</f>
        <v>13.8490336819887</v>
      </c>
      <c r="O1589" s="21" t="n">
        <f aca="false">AVERAGEIFS($N$2:$N$2705,$B$2:$B$2705,B1589)</f>
        <v>13.6359612814213</v>
      </c>
      <c r="P1589" s="21" t="n">
        <f aca="false">N1589-O1589</f>
        <v>0.213072400567414</v>
      </c>
      <c r="Q1589" s="7" t="n">
        <v>1</v>
      </c>
      <c r="R1589" s="3" t="n">
        <f aca="false">IF(AND(Q1589=1,B1589-_xlfn.MINIFS($B$2:$B$2705,$A$2:$A$2705,A1589)&lt;10),1,0)</f>
        <v>0</v>
      </c>
      <c r="S1589" s="7" t="n">
        <v>0</v>
      </c>
      <c r="T1589" s="3" t="n">
        <f aca="false">_xlfn.MINIFS($B$2:$B$2705,$A$2:$A$2705,A1589)</f>
        <v>1969</v>
      </c>
      <c r="U1589" s="3" t="n">
        <f aca="false">B1589-T1589</f>
        <v>18</v>
      </c>
      <c r="V1589" s="3" t="str">
        <f aca="false">INDEX(Pop_Inputs!$Q$2:$Q$29,MATCH(C1589,Pop_Inputs!$A$2:$A$29,0))</f>
        <v>West</v>
      </c>
      <c r="W1589" s="29" t="n">
        <v>11065796</v>
      </c>
      <c r="X1589" s="3" t="n">
        <f aca="false">IF(W1589="","",LN(W1589))</f>
        <v>16.2193694674248</v>
      </c>
      <c r="Y1589" s="3" t="n">
        <f aca="false">IF(X1589="","",X1589-AVERAGEIFS($X$2:$X$2705,$B$2:$B$2705,B1589))</f>
        <v>0.177089428876652</v>
      </c>
      <c r="Z1589" s="21" t="n">
        <f aca="false">P1589</f>
        <v>0.213072400567414</v>
      </c>
      <c r="AA1589" s="3" t="n">
        <f aca="false">R1589</f>
        <v>0</v>
      </c>
      <c r="AB1589" s="21" t="n">
        <f aca="false">P1589</f>
        <v>0.213072400567414</v>
      </c>
      <c r="AC1589" s="3" t="n">
        <f aca="false">Y1589</f>
        <v>0.177089428876652</v>
      </c>
      <c r="AD1589" s="3" t="n">
        <f aca="false">R1589</f>
        <v>0</v>
      </c>
    </row>
    <row r="1590" customFormat="false" ht="15" hidden="false" customHeight="true" outlineLevel="0" collapsed="false">
      <c r="A1590" s="7" t="s">
        <v>80</v>
      </c>
      <c r="B1590" s="7" t="n">
        <v>1987</v>
      </c>
      <c r="C1590" s="7" t="s">
        <v>161</v>
      </c>
      <c r="D1590" s="7" t="n">
        <v>78</v>
      </c>
      <c r="E1590" s="7" t="n">
        <v>84</v>
      </c>
      <c r="F1590" s="3" t="n">
        <f aca="false">COUNTIFS($B$2:$B$2705,B1590,$C$2:$C$2705,C1590)</f>
        <v>1</v>
      </c>
      <c r="G1590" s="3" t="n">
        <f aca="false">MIN(INT((MIN(B1590,2020)-1900)/10)+1,12)</f>
        <v>9</v>
      </c>
      <c r="H1590" s="3" t="n">
        <f aca="false">(MIN(B1590,2020)-1900-10*(G1590-1))/10</f>
        <v>0.7</v>
      </c>
      <c r="I1590" s="20" t="n">
        <f aca="false">EXP(LN(INDEX(Pop_Inputs!$B$2:$N$29,MATCH(C1590,Pop_Inputs!$A$2:$A$29,0),G1590))*(1-H1590)+LN(INDEX(Pop_Inputs!$B$2:$N$29,MATCH(C1590,Pop_Inputs!$A$2:$A$29,0),G1590+1))*H1590)</f>
        <v>509430.340787689</v>
      </c>
      <c r="J1590" s="20" t="n">
        <f aca="false">I1590/F1590</f>
        <v>509430.340787689</v>
      </c>
      <c r="K1590" s="21" t="n">
        <f aca="false">D1590/(D1590+E1590)</f>
        <v>0.481481481481481</v>
      </c>
      <c r="L1590" s="21" t="n">
        <f aca="false">AVERAGEIFS($K$2:$K$2705,$B$2:$B$2705,B1590)</f>
        <v>0.499976405773507</v>
      </c>
      <c r="M1590" s="21" t="n">
        <f aca="false">K1590-L1590</f>
        <v>-0.0184949242920258</v>
      </c>
      <c r="N1590" s="21" t="n">
        <f aca="false">LN(J1590)</f>
        <v>13.141048401567</v>
      </c>
      <c r="O1590" s="21" t="n">
        <f aca="false">AVERAGEIFS($N$2:$N$2705,$B$2:$B$2705,B1590)</f>
        <v>13.6359612814213</v>
      </c>
      <c r="P1590" s="21" t="n">
        <f aca="false">N1590-O1590</f>
        <v>-0.494912879854223</v>
      </c>
      <c r="Q1590" s="7" t="n">
        <v>1</v>
      </c>
      <c r="R1590" s="3" t="n">
        <f aca="false">IF(AND(Q1590=1,B1590-_xlfn.MINIFS($B$2:$B$2705,$A$2:$A$2705,A1590)&lt;10),1,0)</f>
        <v>0</v>
      </c>
      <c r="S1590" s="7" t="n">
        <v>0</v>
      </c>
      <c r="T1590" s="3" t="n">
        <f aca="false">_xlfn.MINIFS($B$2:$B$2705,$A$2:$A$2705,A1590)</f>
        <v>1977</v>
      </c>
      <c r="U1590" s="3" t="n">
        <f aca="false">B1590-T1590</f>
        <v>10</v>
      </c>
      <c r="V1590" s="3" t="str">
        <f aca="false">INDEX(Pop_Inputs!$Q$2:$Q$29,MATCH(C1590,Pop_Inputs!$A$2:$A$29,0))</f>
        <v>West</v>
      </c>
      <c r="W1590" s="29" t="n">
        <v>2263500</v>
      </c>
      <c r="X1590" s="3" t="n">
        <f aca="false">IF(W1590="","",LN(W1590))</f>
        <v>14.6324228458582</v>
      </c>
      <c r="Y1590" s="3" t="n">
        <f aca="false">IF(X1590="","",X1590-AVERAGEIFS($X$2:$X$2705,$B$2:$B$2705,B1590))</f>
        <v>-1.40985719268999</v>
      </c>
      <c r="Z1590" s="21" t="n">
        <f aca="false">P1590</f>
        <v>-0.494912879854223</v>
      </c>
      <c r="AA1590" s="3" t="n">
        <f aca="false">R1590</f>
        <v>0</v>
      </c>
      <c r="AB1590" s="21" t="n">
        <f aca="false">P1590</f>
        <v>-0.494912879854223</v>
      </c>
      <c r="AC1590" s="3" t="n">
        <f aca="false">Y1590</f>
        <v>-1.40985719268999</v>
      </c>
      <c r="AD1590" s="3" t="n">
        <f aca="false">R1590</f>
        <v>0</v>
      </c>
    </row>
    <row r="1591" customFormat="false" ht="15" hidden="false" customHeight="true" outlineLevel="0" collapsed="false">
      <c r="A1591" s="7" t="s">
        <v>61</v>
      </c>
      <c r="B1591" s="7" t="n">
        <v>1987</v>
      </c>
      <c r="C1591" s="7" t="s">
        <v>147</v>
      </c>
      <c r="D1591" s="7" t="n">
        <v>90</v>
      </c>
      <c r="E1591" s="7" t="n">
        <v>72</v>
      </c>
      <c r="F1591" s="3" t="n">
        <f aca="false">COUNTIFS($B$2:$B$2705,B1591,$C$2:$C$2705,C1591)</f>
        <v>1</v>
      </c>
      <c r="G1591" s="3" t="n">
        <f aca="false">MIN(INT((MIN(B1591,2020)-1900)/10)+1,12)</f>
        <v>9</v>
      </c>
      <c r="H1591" s="3" t="n">
        <f aca="false">(MIN(B1591,2020)-1900-10*(G1591-1))/10</f>
        <v>0.7</v>
      </c>
      <c r="I1591" s="20" t="n">
        <f aca="false">EXP(LN(INDEX(Pop_Inputs!$B$2:$N$29,MATCH(C1591,Pop_Inputs!$A$2:$A$29,0),G1591))*(1-H1591)+LN(INDEX(Pop_Inputs!$B$2:$N$29,MATCH(C1591,Pop_Inputs!$A$2:$A$29,0),G1591+1))*H1591)</f>
        <v>710159.209215667</v>
      </c>
      <c r="J1591" s="20" t="n">
        <f aca="false">I1591/F1591</f>
        <v>710159.209215667</v>
      </c>
      <c r="K1591" s="21" t="n">
        <f aca="false">D1591/(D1591+E1591)</f>
        <v>0.555555555555556</v>
      </c>
      <c r="L1591" s="21" t="n">
        <f aca="false">AVERAGEIFS($K$2:$K$2705,$B$2:$B$2705,B1591)</f>
        <v>0.499976405773507</v>
      </c>
      <c r="M1591" s="21" t="n">
        <f aca="false">K1591-L1591</f>
        <v>0.0555791497820484</v>
      </c>
      <c r="N1591" s="21" t="n">
        <f aca="false">LN(J1591)</f>
        <v>13.4732444622118</v>
      </c>
      <c r="O1591" s="21" t="n">
        <f aca="false">AVERAGEIFS($N$2:$N$2705,$B$2:$B$2705,B1591)</f>
        <v>13.6359612814213</v>
      </c>
      <c r="P1591" s="21" t="n">
        <f aca="false">N1591-O1591</f>
        <v>-0.162716819209503</v>
      </c>
      <c r="Q1591" s="7" t="n">
        <v>0</v>
      </c>
      <c r="R1591" s="3" t="n">
        <f aca="false">IF(AND(Q1591=1,B1591-_xlfn.MINIFS($B$2:$B$2705,$A$2:$A$2705,A1591)&lt;10),1,0)</f>
        <v>0</v>
      </c>
      <c r="S1591" s="7" t="n">
        <v>0</v>
      </c>
      <c r="T1591" s="3" t="n">
        <f aca="false">_xlfn.MINIFS($B$2:$B$2705,$A$2:$A$2705,A1591)</f>
        <v>1901</v>
      </c>
      <c r="U1591" s="3" t="n">
        <f aca="false">B1591-T1591</f>
        <v>86</v>
      </c>
      <c r="V1591" s="3" t="str">
        <f aca="false">INDEX(Pop_Inputs!$Q$2:$Q$29,MATCH(C1591,Pop_Inputs!$A$2:$A$29,0))</f>
        <v>West</v>
      </c>
      <c r="W1591" s="29" t="n">
        <v>7290000</v>
      </c>
      <c r="X1591" s="3" t="n">
        <f aca="false">IF(W1591="","",LN(W1591))</f>
        <v>15.8020141039848</v>
      </c>
      <c r="Y1591" s="3" t="n">
        <f aca="false">IF(X1591="","",X1591-AVERAGEIFS($X$2:$X$2705,$B$2:$B$2705,B1591))</f>
        <v>-0.240265934563302</v>
      </c>
      <c r="Z1591" s="21" t="n">
        <f aca="false">P1591</f>
        <v>-0.162716819209503</v>
      </c>
      <c r="AA1591" s="3" t="n">
        <f aca="false">R1591</f>
        <v>0</v>
      </c>
      <c r="AB1591" s="21" t="n">
        <f aca="false">P1591</f>
        <v>-0.162716819209503</v>
      </c>
      <c r="AC1591" s="3" t="n">
        <f aca="false">Y1591</f>
        <v>-0.240265934563302</v>
      </c>
      <c r="AD1591" s="3" t="n">
        <f aca="false">R1591</f>
        <v>0</v>
      </c>
    </row>
    <row r="1592" customFormat="false" ht="15" hidden="false" customHeight="true" outlineLevel="0" collapsed="false">
      <c r="A1592" s="7" t="s">
        <v>59</v>
      </c>
      <c r="B1592" s="7" t="n">
        <v>1987</v>
      </c>
      <c r="C1592" s="7" t="s">
        <v>145</v>
      </c>
      <c r="D1592" s="7" t="n">
        <v>95</v>
      </c>
      <c r="E1592" s="7" t="n">
        <v>67</v>
      </c>
      <c r="F1592" s="3" t="n">
        <f aca="false">COUNTIFS($B$2:$B$2705,B1592,$C$2:$C$2705,C1592)</f>
        <v>1</v>
      </c>
      <c r="G1592" s="3" t="n">
        <f aca="false">MIN(INT((MIN(B1592,2020)-1900)/10)+1,12)</f>
        <v>9</v>
      </c>
      <c r="H1592" s="3" t="n">
        <f aca="false">(MIN(B1592,2020)-1900-10*(G1592-1))/10</f>
        <v>0.7</v>
      </c>
      <c r="I1592" s="20" t="n">
        <f aca="false">EXP(LN(INDEX(Pop_Inputs!$B$2:$N$29,MATCH(C1592,Pop_Inputs!$A$2:$A$29,0),G1592))*(1-H1592)+LN(INDEX(Pop_Inputs!$B$2:$N$29,MATCH(C1592,Pop_Inputs!$A$2:$A$29,0),G1592+1))*H1592)</f>
        <v>413021.660165118</v>
      </c>
      <c r="J1592" s="20" t="n">
        <f aca="false">I1592/F1592</f>
        <v>413021.660165118</v>
      </c>
      <c r="K1592" s="21" t="n">
        <f aca="false">D1592/(D1592+E1592)</f>
        <v>0.58641975308642</v>
      </c>
      <c r="L1592" s="21" t="n">
        <f aca="false">AVERAGEIFS($K$2:$K$2705,$B$2:$B$2705,B1592)</f>
        <v>0.499976405773507</v>
      </c>
      <c r="M1592" s="21" t="n">
        <f aca="false">K1592-L1592</f>
        <v>0.0864433473129126</v>
      </c>
      <c r="N1592" s="21" t="n">
        <f aca="false">LN(J1592)</f>
        <v>12.9312553164883</v>
      </c>
      <c r="O1592" s="21" t="n">
        <f aca="false">AVERAGEIFS($N$2:$N$2705,$B$2:$B$2705,B1592)</f>
        <v>13.6359612814213</v>
      </c>
      <c r="P1592" s="21" t="n">
        <f aca="false">N1592-O1592</f>
        <v>-0.704705964932957</v>
      </c>
      <c r="Q1592" s="7" t="n">
        <v>0</v>
      </c>
      <c r="R1592" s="3" t="n">
        <f aca="false">IF(AND(Q1592=1,B1592-_xlfn.MINIFS($B$2:$B$2705,$A$2:$A$2705,A1592)&lt;10),1,0)</f>
        <v>0</v>
      </c>
      <c r="S1592" s="7" t="n">
        <v>0</v>
      </c>
      <c r="T1592" s="3" t="n">
        <f aca="false">_xlfn.MINIFS($B$2:$B$2705,$A$2:$A$2705,A1592)</f>
        <v>1901</v>
      </c>
      <c r="U1592" s="3" t="n">
        <f aca="false">B1592-T1592</f>
        <v>86</v>
      </c>
      <c r="V1592" s="3" t="str">
        <f aca="false">INDEX(Pop_Inputs!$Q$2:$Q$29,MATCH(C1592,Pop_Inputs!$A$2:$A$29,0))</f>
        <v>Midwest</v>
      </c>
      <c r="W1592" s="29" t="n">
        <v>11758000</v>
      </c>
      <c r="X1592" s="3" t="n">
        <f aca="false">IF(W1592="","",LN(W1592))</f>
        <v>16.2800444179443</v>
      </c>
      <c r="Y1592" s="3" t="n">
        <f aca="false">IF(X1592="","",X1592-AVERAGEIFS($X$2:$X$2705,$B$2:$B$2705,B1592))</f>
        <v>0.237764379396197</v>
      </c>
      <c r="Z1592" s="21" t="n">
        <f aca="false">P1592</f>
        <v>-0.704705964932957</v>
      </c>
      <c r="AA1592" s="3" t="n">
        <f aca="false">R1592</f>
        <v>0</v>
      </c>
      <c r="AB1592" s="21" t="n">
        <f aca="false">P1592</f>
        <v>-0.704705964932957</v>
      </c>
      <c r="AC1592" s="3" t="n">
        <f aca="false">Y1592</f>
        <v>0.237764379396197</v>
      </c>
      <c r="AD1592" s="3" t="n">
        <f aca="false">R1592</f>
        <v>0</v>
      </c>
    </row>
    <row r="1593" customFormat="false" ht="15" hidden="false" customHeight="true" outlineLevel="0" collapsed="false">
      <c r="A1593" s="7" t="s">
        <v>73</v>
      </c>
      <c r="B1593" s="7" t="n">
        <v>1987</v>
      </c>
      <c r="C1593" s="7" t="s">
        <v>155</v>
      </c>
      <c r="D1593" s="7" t="n">
        <v>75</v>
      </c>
      <c r="E1593" s="7" t="n">
        <v>87</v>
      </c>
      <c r="F1593" s="3" t="n">
        <f aca="false">COUNTIFS($B$2:$B$2705,B1593,$C$2:$C$2705,C1593)</f>
        <v>1</v>
      </c>
      <c r="G1593" s="3" t="n">
        <f aca="false">MIN(INT((MIN(B1593,2020)-1900)/10)+1,12)</f>
        <v>9</v>
      </c>
      <c r="H1593" s="3" t="n">
        <f aca="false">(MIN(B1593,2020)-1900-10*(G1593-1))/10</f>
        <v>0.7</v>
      </c>
      <c r="I1593" s="20" t="n">
        <f aca="false">EXP(LN(INDEX(Pop_Inputs!$B$2:$N$29,MATCH(C1593,Pop_Inputs!$A$2:$A$29,0),G1593))*(1-H1593)+LN(INDEX(Pop_Inputs!$B$2:$N$29,MATCH(C1593,Pop_Inputs!$A$2:$A$29,0),G1593+1))*H1593)</f>
        <v>974934.538353647</v>
      </c>
      <c r="J1593" s="20" t="n">
        <f aca="false">I1593/F1593</f>
        <v>974934.538353647</v>
      </c>
      <c r="K1593" s="21" t="n">
        <f aca="false">D1593/(D1593+E1593)</f>
        <v>0.462962962962963</v>
      </c>
      <c r="L1593" s="21" t="n">
        <f aca="false">AVERAGEIFS($K$2:$K$2705,$B$2:$B$2705,B1593)</f>
        <v>0.499976405773507</v>
      </c>
      <c r="M1593" s="21" t="n">
        <f aca="false">K1593-L1593</f>
        <v>-0.0370134428105443</v>
      </c>
      <c r="N1593" s="21" t="n">
        <f aca="false">LN(J1593)</f>
        <v>13.7901256075759</v>
      </c>
      <c r="O1593" s="21" t="n">
        <f aca="false">AVERAGEIFS($N$2:$N$2705,$B$2:$B$2705,B1593)</f>
        <v>13.6359612814213</v>
      </c>
      <c r="P1593" s="21" t="n">
        <f aca="false">N1593-O1593</f>
        <v>0.154164326154607</v>
      </c>
      <c r="Q1593" s="7" t="n">
        <v>1</v>
      </c>
      <c r="R1593" s="3" t="n">
        <f aca="false">IF(AND(Q1593=1,B1593-_xlfn.MINIFS($B$2:$B$2705,$A$2:$A$2705,A1593)&lt;10),1,0)</f>
        <v>0</v>
      </c>
      <c r="S1593" s="7" t="n">
        <v>0</v>
      </c>
      <c r="T1593" s="3" t="n">
        <f aca="false">_xlfn.MINIFS($B$2:$B$2705,$A$2:$A$2705,A1593)</f>
        <v>1961</v>
      </c>
      <c r="U1593" s="3" t="n">
        <f aca="false">B1593-T1593</f>
        <v>26</v>
      </c>
      <c r="V1593" s="3" t="str">
        <f aca="false">INDEX(Pop_Inputs!$Q$2:$Q$29,MATCH(C1593,Pop_Inputs!$A$2:$A$29,0))</f>
        <v>South</v>
      </c>
      <c r="W1593" s="29" t="n">
        <v>880000</v>
      </c>
      <c r="X1593" s="3" t="n">
        <f aca="false">IF(W1593="","",LN(W1593))</f>
        <v>13.6876771864544</v>
      </c>
      <c r="Y1593" s="3" t="n">
        <f aca="false">IF(X1593="","",X1593-AVERAGEIFS($X$2:$X$2705,$B$2:$B$2705,B1593))</f>
        <v>-2.35460285209375</v>
      </c>
      <c r="Z1593" s="21" t="n">
        <f aca="false">P1593</f>
        <v>0.154164326154607</v>
      </c>
      <c r="AA1593" s="3" t="n">
        <f aca="false">R1593</f>
        <v>0</v>
      </c>
      <c r="AB1593" s="21" t="n">
        <f aca="false">P1593</f>
        <v>0.154164326154607</v>
      </c>
      <c r="AC1593" s="3" t="n">
        <f aca="false">Y1593</f>
        <v>-2.35460285209375</v>
      </c>
      <c r="AD1593" s="3" t="n">
        <f aca="false">R1593</f>
        <v>0</v>
      </c>
    </row>
    <row r="1594" customFormat="false" ht="15" hidden="false" customHeight="true" outlineLevel="0" collapsed="false">
      <c r="A1594" s="7" t="s">
        <v>81</v>
      </c>
      <c r="B1594" s="7" t="n">
        <v>1987</v>
      </c>
      <c r="C1594" s="7" t="s">
        <v>162</v>
      </c>
      <c r="D1594" s="7" t="n">
        <v>96</v>
      </c>
      <c r="E1594" s="7" t="n">
        <v>66</v>
      </c>
      <c r="F1594" s="3" t="n">
        <f aca="false">COUNTIFS($B$2:$B$2705,B1594,$C$2:$C$2705,C1594)</f>
        <v>1</v>
      </c>
      <c r="G1594" s="3" t="n">
        <f aca="false">MIN(INT((MIN(B1594,2020)-1900)/10)+1,12)</f>
        <v>9</v>
      </c>
      <c r="H1594" s="3" t="n">
        <f aca="false">(MIN(B1594,2020)-1900-10*(G1594-1))/10</f>
        <v>0.7</v>
      </c>
      <c r="I1594" s="20" t="n">
        <f aca="false">EXP(LN(INDEX(Pop_Inputs!$B$2:$N$29,MATCH(C1594,Pop_Inputs!$A$2:$A$29,0),G1594))*(1-H1594)+LN(INDEX(Pop_Inputs!$B$2:$N$29,MATCH(C1594,Pop_Inputs!$A$2:$A$29,0),G1594+1))*H1594)</f>
        <v>624318.052359257</v>
      </c>
      <c r="J1594" s="20" t="n">
        <f aca="false">I1594/F1594</f>
        <v>624318.052359257</v>
      </c>
      <c r="K1594" s="21" t="n">
        <f aca="false">D1594/(D1594+E1594)</f>
        <v>0.592592592592593</v>
      </c>
      <c r="L1594" s="21" t="n">
        <f aca="false">AVERAGEIFS($K$2:$K$2705,$B$2:$B$2705,B1594)</f>
        <v>0.499976405773507</v>
      </c>
      <c r="M1594" s="21" t="n">
        <f aca="false">K1594-L1594</f>
        <v>0.0926161868190853</v>
      </c>
      <c r="N1594" s="21" t="n">
        <f aca="false">LN(J1594)</f>
        <v>13.3444152167927</v>
      </c>
      <c r="O1594" s="21" t="n">
        <f aca="false">AVERAGEIFS($N$2:$N$2705,$B$2:$B$2705,B1594)</f>
        <v>13.6359612814213</v>
      </c>
      <c r="P1594" s="21" t="n">
        <f aca="false">N1594-O1594</f>
        <v>-0.291546064628587</v>
      </c>
      <c r="Q1594" s="7" t="n">
        <v>1</v>
      </c>
      <c r="R1594" s="3" t="n">
        <f aca="false">IF(AND(Q1594=1,B1594-_xlfn.MINIFS($B$2:$B$2705,$A$2:$A$2705,A1594)&lt;10),1,0)</f>
        <v>0</v>
      </c>
      <c r="S1594" s="7" t="n">
        <v>0</v>
      </c>
      <c r="T1594" s="3" t="n">
        <f aca="false">_xlfn.MINIFS($B$2:$B$2705,$A$2:$A$2705,A1594)</f>
        <v>1977</v>
      </c>
      <c r="U1594" s="3" t="n">
        <f aca="false">B1594-T1594</f>
        <v>10</v>
      </c>
      <c r="V1594" s="3" t="str">
        <f aca="false">INDEX(Pop_Inputs!$Q$2:$Q$29,MATCH(C1594,Pop_Inputs!$A$2:$A$29,0))</f>
        <v>Canada</v>
      </c>
      <c r="W1594" s="29" t="n">
        <v>10479501</v>
      </c>
      <c r="X1594" s="3" t="n">
        <f aca="false">IF(W1594="","",LN(W1594))</f>
        <v>16.1649316212197</v>
      </c>
      <c r="Y1594" s="3" t="n">
        <f aca="false">IF(X1594="","",X1594-AVERAGEIFS($X$2:$X$2705,$B$2:$B$2705,B1594))</f>
        <v>0.122651582671605</v>
      </c>
      <c r="Z1594" s="21" t="n">
        <f aca="false">P1594</f>
        <v>-0.291546064628587</v>
      </c>
      <c r="AA1594" s="3" t="n">
        <f aca="false">R1594</f>
        <v>0</v>
      </c>
      <c r="AB1594" s="21" t="n">
        <f aca="false">P1594</f>
        <v>-0.291546064628587</v>
      </c>
      <c r="AC1594" s="3" t="n">
        <f aca="false">Y1594</f>
        <v>0.122651582671605</v>
      </c>
      <c r="AD1594" s="3" t="n">
        <f aca="false">R1594</f>
        <v>0</v>
      </c>
    </row>
    <row r="1595" customFormat="false" ht="15" hidden="false" customHeight="true" outlineLevel="0" collapsed="false">
      <c r="A1595" s="7" t="s">
        <v>79</v>
      </c>
      <c r="B1595" s="7" t="n">
        <v>1987</v>
      </c>
      <c r="C1595" s="7" t="s">
        <v>254</v>
      </c>
      <c r="D1595" s="7" t="n">
        <v>91</v>
      </c>
      <c r="E1595" s="7" t="n">
        <v>71</v>
      </c>
      <c r="F1595" s="3" t="n">
        <f aca="false">COUNTIFS($B$2:$B$2705,B1595,$C$2:$C$2705,C1595)</f>
        <v>1</v>
      </c>
      <c r="G1595" s="3" t="n">
        <f aca="false">MIN(INT((MIN(B1595,2020)-1900)/10)+1,12)</f>
        <v>9</v>
      </c>
      <c r="H1595" s="3" t="n">
        <f aca="false">(MIN(B1595,2020)-1900-10*(G1595-1))/10</f>
        <v>0.7</v>
      </c>
      <c r="I1595" s="20" t="n">
        <f aca="false">EXP(LN(INDEX(Pop_Inputs!$B$2:$N$29,MATCH(C1595,Pop_Inputs!$A$2:$A$29,0),G1595))*(1-H1595)+LN(INDEX(Pop_Inputs!$B$2:$N$29,MATCH(C1595,Pop_Inputs!$A$2:$A$29,0),G1595+1))*H1595)</f>
        <v>1006325.69782935</v>
      </c>
      <c r="J1595" s="20" t="n">
        <f aca="false">I1595/F1595</f>
        <v>1006325.69782935</v>
      </c>
      <c r="K1595" s="21" t="n">
        <f aca="false">D1595/(D1595+E1595)</f>
        <v>0.561728395061728</v>
      </c>
      <c r="L1595" s="21" t="n">
        <f aca="false">AVERAGEIFS($K$2:$K$2705,$B$2:$B$2705,B1595)</f>
        <v>0.499976405773507</v>
      </c>
      <c r="M1595" s="21" t="n">
        <f aca="false">K1595-L1595</f>
        <v>0.0617519892882212</v>
      </c>
      <c r="N1595" s="21" t="n">
        <f aca="false">LN(J1595)</f>
        <v>13.8218163325419</v>
      </c>
      <c r="O1595" s="21" t="n">
        <f aca="false">AVERAGEIFS($N$2:$N$2705,$B$2:$B$2705,B1595)</f>
        <v>13.6359612814213</v>
      </c>
      <c r="P1595" s="21" t="n">
        <f aca="false">N1595-O1595</f>
        <v>0.185855051120676</v>
      </c>
      <c r="Q1595" s="7" t="n">
        <v>1</v>
      </c>
      <c r="R1595" s="3" t="n">
        <f aca="false">IF(AND(Q1595=1,B1595-_xlfn.MINIFS($B$2:$B$2705,$A$2:$A$2705,A1595)&lt;10),1,0)</f>
        <v>0</v>
      </c>
      <c r="S1595" s="7" t="n">
        <v>0</v>
      </c>
      <c r="T1595" s="3" t="n">
        <f aca="false">_xlfn.MINIFS($B$2:$B$2705,$A$2:$A$2705,A1595)</f>
        <v>1969</v>
      </c>
      <c r="U1595" s="3" t="n">
        <f aca="false">B1595-T1595</f>
        <v>18</v>
      </c>
      <c r="V1595" s="3" t="str">
        <f aca="false">INDEX(Pop_Inputs!$Q$2:$Q$29,MATCH(C1595,Pop_Inputs!$A$2:$A$29,0))</f>
        <v>Canada</v>
      </c>
      <c r="W1595" s="29" t="n">
        <v>6942052</v>
      </c>
      <c r="X1595" s="3" t="n">
        <f aca="false">IF(W1595="","",LN(W1595))</f>
        <v>15.7531079660125</v>
      </c>
      <c r="Y1595" s="3" t="n">
        <f aca="false">IF(X1595="","",X1595-AVERAGEIFS($X$2:$X$2705,$B$2:$B$2705,B1595))</f>
        <v>-0.289172072535624</v>
      </c>
      <c r="Z1595" s="21" t="n">
        <f aca="false">P1595</f>
        <v>0.185855051120676</v>
      </c>
      <c r="AA1595" s="3" t="n">
        <f aca="false">R1595</f>
        <v>0</v>
      </c>
      <c r="AB1595" s="21" t="n">
        <f aca="false">P1595</f>
        <v>0.185855051120676</v>
      </c>
      <c r="AC1595" s="3" t="n">
        <f aca="false">Y1595</f>
        <v>-0.289172072535624</v>
      </c>
      <c r="AD1595" s="3" t="n">
        <f aca="false">R1595</f>
        <v>0</v>
      </c>
    </row>
    <row r="1596" customFormat="false" ht="15" hidden="false" customHeight="true" outlineLevel="0" collapsed="false">
      <c r="A1596" s="7" t="s">
        <v>71</v>
      </c>
      <c r="B1596" s="7" t="n">
        <v>1988</v>
      </c>
      <c r="C1596" s="7" t="s">
        <v>148</v>
      </c>
      <c r="D1596" s="7" t="n">
        <v>75</v>
      </c>
      <c r="E1596" s="7" t="n">
        <v>87</v>
      </c>
      <c r="F1596" s="3" t="n">
        <f aca="false">COUNTIFS($B$2:$B$2705,B1596,$C$2:$C$2705,C1596)</f>
        <v>2</v>
      </c>
      <c r="G1596" s="3" t="n">
        <f aca="false">MIN(INT((MIN(B1596,2020)-1900)/10)+1,12)</f>
        <v>9</v>
      </c>
      <c r="H1596" s="3" t="n">
        <f aca="false">(MIN(B1596,2020)-1900-10*(G1596-1))/10</f>
        <v>0.8</v>
      </c>
      <c r="I1596" s="20" t="n">
        <f aca="false">EXP(LN(INDEX(Pop_Inputs!$B$2:$N$29,MATCH(C1596,Pop_Inputs!$A$2:$A$29,0),G1596))*(1-H1596)+LN(INDEX(Pop_Inputs!$B$2:$N$29,MATCH(C1596,Pop_Inputs!$A$2:$A$29,0),G1596+1))*H1596)</f>
        <v>3374900.86284185</v>
      </c>
      <c r="J1596" s="20" t="n">
        <f aca="false">I1596/F1596</f>
        <v>1687450.43142093</v>
      </c>
      <c r="K1596" s="21" t="n">
        <f aca="false">D1596/(D1596+E1596)</f>
        <v>0.462962962962963</v>
      </c>
      <c r="L1596" s="21" t="n">
        <f aca="false">AVERAGEIFS($K$2:$K$2705,$B$2:$B$2705,B1596)</f>
        <v>0.499932148165844</v>
      </c>
      <c r="M1596" s="21" t="n">
        <f aca="false">K1596-L1596</f>
        <v>-0.0369691852028808</v>
      </c>
      <c r="N1596" s="21" t="n">
        <f aca="false">LN(J1596)</f>
        <v>14.3387293273246</v>
      </c>
      <c r="O1596" s="21" t="n">
        <f aca="false">AVERAGEIFS($N$2:$N$2705,$B$2:$B$2705,B1596)</f>
        <v>13.6361793776745</v>
      </c>
      <c r="P1596" s="21" t="n">
        <f aca="false">N1596-O1596</f>
        <v>0.702549949650113</v>
      </c>
      <c r="Q1596" s="7" t="n">
        <v>1</v>
      </c>
      <c r="R1596" s="3" t="n">
        <f aca="false">IF(AND(Q1596=1,B1596-_xlfn.MINIFS($B$2:$B$2705,$A$2:$A$2705,A1596)&lt;10),1,0)</f>
        <v>0</v>
      </c>
      <c r="S1596" s="7" t="n">
        <v>0</v>
      </c>
      <c r="T1596" s="3" t="n">
        <f aca="false">_xlfn.MINIFS($B$2:$B$2705,$A$2:$A$2705,A1596)</f>
        <v>1961</v>
      </c>
      <c r="U1596" s="3" t="n">
        <f aca="false">B1596-T1596</f>
        <v>27</v>
      </c>
      <c r="V1596" s="3" t="str">
        <f aca="false">INDEX(Pop_Inputs!$Q$2:$Q$29,MATCH(C1596,Pop_Inputs!$A$2:$A$29,0))</f>
        <v>West</v>
      </c>
      <c r="W1596" s="29" t="n">
        <v>11947388</v>
      </c>
      <c r="X1596" s="3" t="n">
        <f aca="false">IF(W1596="","",LN(W1596))</f>
        <v>16.2960232350444</v>
      </c>
      <c r="Y1596" s="3" t="n">
        <f aca="false">IF(X1596="","",X1596-AVERAGEIFS($X$2:$X$2705,$B$2:$B$2705,B1596))</f>
        <v>0.0793357169906166</v>
      </c>
      <c r="Z1596" s="21" t="n">
        <f aca="false">P1596</f>
        <v>0.702549949650113</v>
      </c>
      <c r="AA1596" s="3" t="n">
        <f aca="false">R1596</f>
        <v>0</v>
      </c>
      <c r="AB1596" s="21" t="n">
        <f aca="false">P1596</f>
        <v>0.702549949650113</v>
      </c>
      <c r="AC1596" s="3" t="n">
        <f aca="false">Y1596</f>
        <v>0.0793357169906166</v>
      </c>
      <c r="AD1596" s="3" t="n">
        <f aca="false">R1596</f>
        <v>0</v>
      </c>
    </row>
    <row r="1597" customFormat="false" ht="15" hidden="false" customHeight="true" outlineLevel="0" collapsed="false">
      <c r="A1597" s="7" t="s">
        <v>54</v>
      </c>
      <c r="B1597" s="7" t="n">
        <v>1988</v>
      </c>
      <c r="C1597" s="7" t="s">
        <v>141</v>
      </c>
      <c r="D1597" s="7" t="n">
        <v>54</v>
      </c>
      <c r="E1597" s="7" t="n">
        <v>106</v>
      </c>
      <c r="F1597" s="3" t="n">
        <f aca="false">COUNTIFS($B$2:$B$2705,B1597,$C$2:$C$2705,C1597)</f>
        <v>1</v>
      </c>
      <c r="G1597" s="3" t="n">
        <f aca="false">MIN(INT((MIN(B1597,2020)-1900)/10)+1,12)</f>
        <v>9</v>
      </c>
      <c r="H1597" s="3" t="n">
        <f aca="false">(MIN(B1597,2020)-1900-10*(G1597-1))/10</f>
        <v>0.8</v>
      </c>
      <c r="I1597" s="20" t="n">
        <f aca="false">EXP(LN(INDEX(Pop_Inputs!$B$2:$N$29,MATCH(C1597,Pop_Inputs!$A$2:$A$29,0),G1597))*(1-H1597)+LN(INDEX(Pop_Inputs!$B$2:$N$29,MATCH(C1597,Pop_Inputs!$A$2:$A$29,0),G1597+1))*H1597)</f>
        <v>400031.554768693</v>
      </c>
      <c r="J1597" s="20" t="n">
        <f aca="false">I1597/F1597</f>
        <v>400031.554768693</v>
      </c>
      <c r="K1597" s="21" t="n">
        <f aca="false">D1597/(D1597+E1597)</f>
        <v>0.3375</v>
      </c>
      <c r="L1597" s="21" t="n">
        <f aca="false">AVERAGEIFS($K$2:$K$2705,$B$2:$B$2705,B1597)</f>
        <v>0.499932148165844</v>
      </c>
      <c r="M1597" s="21" t="n">
        <f aca="false">K1597-L1597</f>
        <v>-0.162432148165844</v>
      </c>
      <c r="N1597" s="21" t="n">
        <f aca="false">LN(J1597)</f>
        <v>12.8992987099004</v>
      </c>
      <c r="O1597" s="21" t="n">
        <f aca="false">AVERAGEIFS($N$2:$N$2705,$B$2:$B$2705,B1597)</f>
        <v>13.6361793776745</v>
      </c>
      <c r="P1597" s="21" t="n">
        <f aca="false">N1597-O1597</f>
        <v>-0.736880667774059</v>
      </c>
      <c r="Q1597" s="7" t="n">
        <v>0</v>
      </c>
      <c r="R1597" s="3" t="n">
        <f aca="false">IF(AND(Q1597=1,B1597-_xlfn.MINIFS($B$2:$B$2705,$A$2:$A$2705,A1597)&lt;10),1,0)</f>
        <v>0</v>
      </c>
      <c r="S1597" s="7" t="n">
        <v>0</v>
      </c>
      <c r="T1597" s="3" t="n">
        <f aca="false">_xlfn.MINIFS($B$2:$B$2705,$A$2:$A$2705,A1597)</f>
        <v>1901</v>
      </c>
      <c r="U1597" s="3" t="n">
        <f aca="false">B1597-T1597</f>
        <v>87</v>
      </c>
      <c r="V1597" s="3" t="str">
        <f aca="false">INDEX(Pop_Inputs!$Q$2:$Q$29,MATCH(C1597,Pop_Inputs!$A$2:$A$29,0))</f>
        <v>South</v>
      </c>
      <c r="W1597" s="29" t="n">
        <v>12728174</v>
      </c>
      <c r="X1597" s="3" t="n">
        <f aca="false">IF(W1597="","",LN(W1597))</f>
        <v>16.3593285195537</v>
      </c>
      <c r="Y1597" s="3" t="n">
        <f aca="false">IF(X1597="","",X1597-AVERAGEIFS($X$2:$X$2705,$B$2:$B$2705,B1597))</f>
        <v>0.142641001499914</v>
      </c>
      <c r="Z1597" s="21" t="n">
        <f aca="false">P1597</f>
        <v>-0.736880667774059</v>
      </c>
      <c r="AA1597" s="3" t="n">
        <f aca="false">R1597</f>
        <v>0</v>
      </c>
      <c r="AB1597" s="21" t="n">
        <f aca="false">P1597</f>
        <v>-0.736880667774059</v>
      </c>
      <c r="AC1597" s="3" t="n">
        <f aca="false">Y1597</f>
        <v>0.142641001499914</v>
      </c>
      <c r="AD1597" s="3" t="n">
        <f aca="false">R1597</f>
        <v>0</v>
      </c>
    </row>
    <row r="1598" customFormat="false" ht="15" hidden="false" customHeight="true" outlineLevel="0" collapsed="false">
      <c r="A1598" s="7" t="s">
        <v>63</v>
      </c>
      <c r="B1598" s="7" t="n">
        <v>1988</v>
      </c>
      <c r="C1598" s="7" t="s">
        <v>149</v>
      </c>
      <c r="D1598" s="7" t="n">
        <v>54</v>
      </c>
      <c r="E1598" s="7" t="n">
        <v>107</v>
      </c>
      <c r="F1598" s="3" t="n">
        <f aca="false">COUNTIFS($B$2:$B$2705,B1598,$C$2:$C$2705,C1598)</f>
        <v>1</v>
      </c>
      <c r="G1598" s="3" t="n">
        <f aca="false">MIN(INT((MIN(B1598,2020)-1900)/10)+1,12)</f>
        <v>9</v>
      </c>
      <c r="H1598" s="3" t="n">
        <f aca="false">(MIN(B1598,2020)-1900-10*(G1598-1))/10</f>
        <v>0.8</v>
      </c>
      <c r="I1598" s="20" t="n">
        <f aca="false">EXP(LN(INDEX(Pop_Inputs!$B$2:$N$29,MATCH(C1598,Pop_Inputs!$A$2:$A$29,0),G1598))*(1-H1598)+LN(INDEX(Pop_Inputs!$B$2:$N$29,MATCH(C1598,Pop_Inputs!$A$2:$A$29,0),G1598+1))*H1598)</f>
        <v>745897.189167274</v>
      </c>
      <c r="J1598" s="20" t="n">
        <f aca="false">I1598/F1598</f>
        <v>745897.189167274</v>
      </c>
      <c r="K1598" s="21" t="n">
        <f aca="false">D1598/(D1598+E1598)</f>
        <v>0.335403726708075</v>
      </c>
      <c r="L1598" s="21" t="n">
        <f aca="false">AVERAGEIFS($K$2:$K$2705,$B$2:$B$2705,B1598)</f>
        <v>0.499932148165844</v>
      </c>
      <c r="M1598" s="21" t="n">
        <f aca="false">K1598-L1598</f>
        <v>-0.164528421457769</v>
      </c>
      <c r="N1598" s="21" t="n">
        <f aca="false">LN(J1598)</f>
        <v>13.5223430535587</v>
      </c>
      <c r="O1598" s="21" t="n">
        <f aca="false">AVERAGEIFS($N$2:$N$2705,$B$2:$B$2705,B1598)</f>
        <v>13.6361793776745</v>
      </c>
      <c r="P1598" s="21" t="n">
        <f aca="false">N1598-O1598</f>
        <v>-0.113836324115779</v>
      </c>
      <c r="Q1598" s="7" t="n">
        <v>0</v>
      </c>
      <c r="R1598" s="3" t="n">
        <f aca="false">IF(AND(Q1598=1,B1598-_xlfn.MINIFS($B$2:$B$2705,$A$2:$A$2705,A1598)&lt;10),1,0)</f>
        <v>0</v>
      </c>
      <c r="S1598" s="7" t="n">
        <v>0</v>
      </c>
      <c r="T1598" s="3" t="n">
        <f aca="false">_xlfn.MINIFS($B$2:$B$2705,$A$2:$A$2705,A1598)</f>
        <v>1901</v>
      </c>
      <c r="U1598" s="3" t="n">
        <f aca="false">B1598-T1598</f>
        <v>87</v>
      </c>
      <c r="V1598" s="3" t="str">
        <f aca="false">INDEX(Pop_Inputs!$Q$2:$Q$29,MATCH(C1598,Pop_Inputs!$A$2:$A$29,0))</f>
        <v>South</v>
      </c>
      <c r="W1598" s="29" t="n">
        <v>13532075</v>
      </c>
      <c r="X1598" s="3" t="n">
        <f aca="false">IF(W1598="","",LN(W1598))</f>
        <v>16.4205733512854</v>
      </c>
      <c r="Y1598" s="3" t="n">
        <f aca="false">IF(X1598="","",X1598-AVERAGEIFS($X$2:$X$2705,$B$2:$B$2705,B1598))</f>
        <v>0.203885833231553</v>
      </c>
      <c r="Z1598" s="21" t="n">
        <f aca="false">P1598</f>
        <v>-0.113836324115779</v>
      </c>
      <c r="AA1598" s="3" t="n">
        <f aca="false">R1598</f>
        <v>0</v>
      </c>
      <c r="AB1598" s="21" t="n">
        <f aca="false">P1598</f>
        <v>-0.113836324115779</v>
      </c>
      <c r="AC1598" s="3" t="n">
        <f aca="false">Y1598</f>
        <v>0.203885833231553</v>
      </c>
      <c r="AD1598" s="3" t="n">
        <f aca="false">R1598</f>
        <v>0</v>
      </c>
    </row>
    <row r="1599" customFormat="false" ht="15" hidden="false" customHeight="true" outlineLevel="0" collapsed="false">
      <c r="A1599" s="7" t="s">
        <v>64</v>
      </c>
      <c r="B1599" s="7" t="n">
        <v>1988</v>
      </c>
      <c r="C1599" s="7" t="s">
        <v>150</v>
      </c>
      <c r="D1599" s="7" t="n">
        <v>89</v>
      </c>
      <c r="E1599" s="7" t="n">
        <v>73</v>
      </c>
      <c r="F1599" s="3" t="n">
        <f aca="false">COUNTIFS($B$2:$B$2705,B1599,$C$2:$C$2705,C1599)</f>
        <v>1</v>
      </c>
      <c r="G1599" s="3" t="n">
        <f aca="false">MIN(INT((MIN(B1599,2020)-1900)/10)+1,12)</f>
        <v>9</v>
      </c>
      <c r="H1599" s="3" t="n">
        <f aca="false">(MIN(B1599,2020)-1900-10*(G1599-1))/10</f>
        <v>0.8</v>
      </c>
      <c r="I1599" s="20" t="n">
        <f aca="false">EXP(LN(INDEX(Pop_Inputs!$B$2:$N$29,MATCH(C1599,Pop_Inputs!$A$2:$A$29,0),G1599))*(1-H1599)+LN(INDEX(Pop_Inputs!$B$2:$N$29,MATCH(C1599,Pop_Inputs!$A$2:$A$29,0),G1599+1))*H1599)</f>
        <v>572007.23455349</v>
      </c>
      <c r="J1599" s="20" t="n">
        <f aca="false">I1599/F1599</f>
        <v>572007.23455349</v>
      </c>
      <c r="K1599" s="21" t="n">
        <f aca="false">D1599/(D1599+E1599)</f>
        <v>0.549382716049383</v>
      </c>
      <c r="L1599" s="21" t="n">
        <f aca="false">AVERAGEIFS($K$2:$K$2705,$B$2:$B$2705,B1599)</f>
        <v>0.499932148165844</v>
      </c>
      <c r="M1599" s="21" t="n">
        <f aca="false">K1599-L1599</f>
        <v>0.0494505678835389</v>
      </c>
      <c r="N1599" s="21" t="n">
        <f aca="false">LN(J1599)</f>
        <v>13.2569069181027</v>
      </c>
      <c r="O1599" s="21" t="n">
        <f aca="false">AVERAGEIFS($N$2:$N$2705,$B$2:$B$2705,B1599)</f>
        <v>13.6361793776745</v>
      </c>
      <c r="P1599" s="21" t="n">
        <f aca="false">N1599-O1599</f>
        <v>-0.379272459571764</v>
      </c>
      <c r="Q1599" s="7" t="n">
        <v>0</v>
      </c>
      <c r="R1599" s="3" t="n">
        <f aca="false">IF(AND(Q1599=1,B1599-_xlfn.MINIFS($B$2:$B$2705,$A$2:$A$2705,A1599)&lt;10),1,0)</f>
        <v>0</v>
      </c>
      <c r="S1599" s="7" t="n">
        <v>0</v>
      </c>
      <c r="T1599" s="3" t="n">
        <f aca="false">_xlfn.MINIFS($B$2:$B$2705,$A$2:$A$2705,A1599)</f>
        <v>1901</v>
      </c>
      <c r="U1599" s="3" t="n">
        <f aca="false">B1599-T1599</f>
        <v>87</v>
      </c>
      <c r="V1599" s="3" t="str">
        <f aca="false">INDEX(Pop_Inputs!$Q$2:$Q$29,MATCH(C1599,Pop_Inputs!$A$2:$A$29,0))</f>
        <v>Northeast</v>
      </c>
      <c r="W1599" s="29" t="n">
        <v>13896092</v>
      </c>
      <c r="X1599" s="3" t="n">
        <f aca="false">IF(W1599="","",LN(W1599))</f>
        <v>16.4471182074914</v>
      </c>
      <c r="Y1599" s="3" t="n">
        <f aca="false">IF(X1599="","",X1599-AVERAGEIFS($X$2:$X$2705,$B$2:$B$2705,B1599))</f>
        <v>0.230430689437615</v>
      </c>
      <c r="Z1599" s="21" t="n">
        <f aca="false">P1599</f>
        <v>-0.379272459571764</v>
      </c>
      <c r="AA1599" s="3" t="n">
        <f aca="false">R1599</f>
        <v>0</v>
      </c>
      <c r="AB1599" s="21" t="n">
        <f aca="false">P1599</f>
        <v>-0.379272459571764</v>
      </c>
      <c r="AC1599" s="3" t="n">
        <f aca="false">Y1599</f>
        <v>0.230430689437615</v>
      </c>
      <c r="AD1599" s="3" t="n">
        <f aca="false">R1599</f>
        <v>0</v>
      </c>
    </row>
    <row r="1600" customFormat="false" ht="15" hidden="false" customHeight="true" outlineLevel="0" collapsed="false">
      <c r="A1600" s="7" t="s">
        <v>56</v>
      </c>
      <c r="B1600" s="7" t="n">
        <v>1988</v>
      </c>
      <c r="C1600" s="7" t="s">
        <v>142</v>
      </c>
      <c r="D1600" s="7" t="n">
        <v>77</v>
      </c>
      <c r="E1600" s="7" t="n">
        <v>85</v>
      </c>
      <c r="F1600" s="3" t="n">
        <f aca="false">COUNTIFS($B$2:$B$2705,B1600,$C$2:$C$2705,C1600)</f>
        <v>2</v>
      </c>
      <c r="G1600" s="3" t="n">
        <f aca="false">MIN(INT((MIN(B1600,2020)-1900)/10)+1,12)</f>
        <v>9</v>
      </c>
      <c r="H1600" s="3" t="n">
        <f aca="false">(MIN(B1600,2020)-1900-10*(G1600-1))/10</f>
        <v>0.8</v>
      </c>
      <c r="I1600" s="20" t="n">
        <f aca="false">EXP(LN(INDEX(Pop_Inputs!$B$2:$N$29,MATCH(C1600,Pop_Inputs!$A$2:$A$29,0),G1600))*(1-H1600)+LN(INDEX(Pop_Inputs!$B$2:$N$29,MATCH(C1600,Pop_Inputs!$A$2:$A$29,0),G1600+1))*H1600)</f>
        <v>2826650.83423547</v>
      </c>
      <c r="J1600" s="20" t="n">
        <f aca="false">I1600/F1600</f>
        <v>1413325.41711774</v>
      </c>
      <c r="K1600" s="21" t="n">
        <f aca="false">D1600/(D1600+E1600)</f>
        <v>0.475308641975309</v>
      </c>
      <c r="L1600" s="21" t="n">
        <f aca="false">AVERAGEIFS($K$2:$K$2705,$B$2:$B$2705,B1600)</f>
        <v>0.499932148165844</v>
      </c>
      <c r="M1600" s="21" t="n">
        <f aca="false">K1600-L1600</f>
        <v>-0.0246235061905352</v>
      </c>
      <c r="N1600" s="21" t="n">
        <f aca="false">LN(J1600)</f>
        <v>14.1614559374284</v>
      </c>
      <c r="O1600" s="21" t="n">
        <f aca="false">AVERAGEIFS($N$2:$N$2705,$B$2:$B$2705,B1600)</f>
        <v>13.6361793776745</v>
      </c>
      <c r="P1600" s="21" t="n">
        <f aca="false">N1600-O1600</f>
        <v>0.525276559753902</v>
      </c>
      <c r="Q1600" s="7" t="n">
        <v>0</v>
      </c>
      <c r="R1600" s="3" t="n">
        <f aca="false">IF(AND(Q1600=1,B1600-_xlfn.MINIFS($B$2:$B$2705,$A$2:$A$2705,A1600)&lt;10),1,0)</f>
        <v>0</v>
      </c>
      <c r="S1600" s="7" t="n">
        <v>0</v>
      </c>
      <c r="T1600" s="3" t="n">
        <f aca="false">_xlfn.MINIFS($B$2:$B$2705,$A$2:$A$2705,A1600)</f>
        <v>1901</v>
      </c>
      <c r="U1600" s="3" t="n">
        <f aca="false">B1600-T1600</f>
        <v>87</v>
      </c>
      <c r="V1600" s="3" t="str">
        <f aca="false">INDEX(Pop_Inputs!$Q$2:$Q$29,MATCH(C1600,Pop_Inputs!$A$2:$A$29,0))</f>
        <v>Midwest</v>
      </c>
      <c r="W1600" s="29" t="n">
        <v>13119198</v>
      </c>
      <c r="X1600" s="3" t="n">
        <f aca="false">IF(W1600="","",LN(W1600))</f>
        <v>16.389587211563</v>
      </c>
      <c r="Y1600" s="3" t="n">
        <f aca="false">IF(X1600="","",X1600-AVERAGEIFS($X$2:$X$2705,$B$2:$B$2705,B1600))</f>
        <v>0.172899693509244</v>
      </c>
      <c r="Z1600" s="21" t="n">
        <f aca="false">P1600</f>
        <v>0.525276559753902</v>
      </c>
      <c r="AA1600" s="3" t="n">
        <f aca="false">R1600</f>
        <v>0</v>
      </c>
      <c r="AB1600" s="21" t="n">
        <f aca="false">P1600</f>
        <v>0.525276559753902</v>
      </c>
      <c r="AC1600" s="3" t="n">
        <f aca="false">Y1600</f>
        <v>0.172899693509244</v>
      </c>
      <c r="AD1600" s="3" t="n">
        <f aca="false">R1600</f>
        <v>0</v>
      </c>
    </row>
    <row r="1601" customFormat="false" ht="15" hidden="false" customHeight="true" outlineLevel="0" collapsed="false">
      <c r="A1601" s="7" t="s">
        <v>65</v>
      </c>
      <c r="B1601" s="7" t="n">
        <v>1988</v>
      </c>
      <c r="C1601" s="7" t="s">
        <v>142</v>
      </c>
      <c r="D1601" s="7" t="n">
        <v>71</v>
      </c>
      <c r="E1601" s="7" t="n">
        <v>90</v>
      </c>
      <c r="F1601" s="3" t="n">
        <f aca="false">COUNTIFS($B$2:$B$2705,B1601,$C$2:$C$2705,C1601)</f>
        <v>2</v>
      </c>
      <c r="G1601" s="3" t="n">
        <f aca="false">MIN(INT((MIN(B1601,2020)-1900)/10)+1,12)</f>
        <v>9</v>
      </c>
      <c r="H1601" s="3" t="n">
        <f aca="false">(MIN(B1601,2020)-1900-10*(G1601-1))/10</f>
        <v>0.8</v>
      </c>
      <c r="I1601" s="20" t="n">
        <f aca="false">EXP(LN(INDEX(Pop_Inputs!$B$2:$N$29,MATCH(C1601,Pop_Inputs!$A$2:$A$29,0),G1601))*(1-H1601)+LN(INDEX(Pop_Inputs!$B$2:$N$29,MATCH(C1601,Pop_Inputs!$A$2:$A$29,0),G1601+1))*H1601)</f>
        <v>2826650.83423547</v>
      </c>
      <c r="J1601" s="20" t="n">
        <f aca="false">I1601/F1601</f>
        <v>1413325.41711774</v>
      </c>
      <c r="K1601" s="21" t="n">
        <f aca="false">D1601/(D1601+E1601)</f>
        <v>0.440993788819876</v>
      </c>
      <c r="L1601" s="21" t="n">
        <f aca="false">AVERAGEIFS($K$2:$K$2705,$B$2:$B$2705,B1601)</f>
        <v>0.499932148165844</v>
      </c>
      <c r="M1601" s="21" t="n">
        <f aca="false">K1601-L1601</f>
        <v>-0.058938359345968</v>
      </c>
      <c r="N1601" s="21" t="n">
        <f aca="false">LN(J1601)</f>
        <v>14.1614559374284</v>
      </c>
      <c r="O1601" s="21" t="n">
        <f aca="false">AVERAGEIFS($N$2:$N$2705,$B$2:$B$2705,B1601)</f>
        <v>13.6361793776745</v>
      </c>
      <c r="P1601" s="21" t="n">
        <f aca="false">N1601-O1601</f>
        <v>0.525276559753902</v>
      </c>
      <c r="Q1601" s="7" t="n">
        <v>0</v>
      </c>
      <c r="R1601" s="3" t="n">
        <f aca="false">IF(AND(Q1601=1,B1601-_xlfn.MINIFS($B$2:$B$2705,$A$2:$A$2705,A1601)&lt;10),1,0)</f>
        <v>0</v>
      </c>
      <c r="S1601" s="7" t="n">
        <v>0</v>
      </c>
      <c r="T1601" s="3" t="n">
        <f aca="false">_xlfn.MINIFS($B$2:$B$2705,$A$2:$A$2705,A1601)</f>
        <v>1901</v>
      </c>
      <c r="U1601" s="3" t="n">
        <f aca="false">B1601-T1601</f>
        <v>87</v>
      </c>
      <c r="V1601" s="3" t="str">
        <f aca="false">INDEX(Pop_Inputs!$Q$2:$Q$29,MATCH(C1601,Pop_Inputs!$A$2:$A$29,0))</f>
        <v>Midwest</v>
      </c>
      <c r="W1601" s="29" t="n">
        <v>6390000</v>
      </c>
      <c r="X1601" s="3" t="n">
        <f aca="false">IF(W1601="","",LN(W1601))</f>
        <v>15.6702448263537</v>
      </c>
      <c r="Y1601" s="3" t="n">
        <f aca="false">IF(X1601="","",X1601-AVERAGEIFS($X$2:$X$2705,$B$2:$B$2705,B1601))</f>
        <v>-0.546442691700078</v>
      </c>
      <c r="Z1601" s="21" t="n">
        <f aca="false">P1601</f>
        <v>0.525276559753902</v>
      </c>
      <c r="AA1601" s="3" t="n">
        <f aca="false">R1601</f>
        <v>0</v>
      </c>
      <c r="AB1601" s="21" t="n">
        <f aca="false">P1601</f>
        <v>0.525276559753902</v>
      </c>
      <c r="AC1601" s="3" t="n">
        <f aca="false">Y1601</f>
        <v>-0.546442691700078</v>
      </c>
      <c r="AD1601" s="3" t="n">
        <f aca="false">R1601</f>
        <v>0</v>
      </c>
    </row>
    <row r="1602" customFormat="false" ht="15" hidden="false" customHeight="true" outlineLevel="0" collapsed="false">
      <c r="A1602" s="7" t="s">
        <v>57</v>
      </c>
      <c r="B1602" s="7" t="n">
        <v>1988</v>
      </c>
      <c r="C1602" s="7" t="s">
        <v>143</v>
      </c>
      <c r="D1602" s="7" t="n">
        <v>87</v>
      </c>
      <c r="E1602" s="7" t="n">
        <v>74</v>
      </c>
      <c r="F1602" s="3" t="n">
        <f aca="false">COUNTIFS($B$2:$B$2705,B1602,$C$2:$C$2705,C1602)</f>
        <v>1</v>
      </c>
      <c r="G1602" s="3" t="n">
        <f aca="false">MIN(INT((MIN(B1602,2020)-1900)/10)+1,12)</f>
        <v>9</v>
      </c>
      <c r="H1602" s="3" t="n">
        <f aca="false">(MIN(B1602,2020)-1900-10*(G1602-1))/10</f>
        <v>0.8</v>
      </c>
      <c r="I1602" s="20" t="n">
        <f aca="false">EXP(LN(INDEX(Pop_Inputs!$B$2:$N$29,MATCH(C1602,Pop_Inputs!$A$2:$A$29,0),G1602))*(1-H1602)+LN(INDEX(Pop_Inputs!$B$2:$N$29,MATCH(C1602,Pop_Inputs!$A$2:$A$29,0),G1602+1))*H1602)</f>
        <v>368226.591562436</v>
      </c>
      <c r="J1602" s="20" t="n">
        <f aca="false">I1602/F1602</f>
        <v>368226.591562436</v>
      </c>
      <c r="K1602" s="21" t="n">
        <f aca="false">D1602/(D1602+E1602)</f>
        <v>0.540372670807453</v>
      </c>
      <c r="L1602" s="21" t="n">
        <f aca="false">AVERAGEIFS($K$2:$K$2705,$B$2:$B$2705,B1602)</f>
        <v>0.499932148165844</v>
      </c>
      <c r="M1602" s="21" t="n">
        <f aca="false">K1602-L1602</f>
        <v>0.0404405226416096</v>
      </c>
      <c r="N1602" s="21" t="n">
        <f aca="false">LN(J1602)</f>
        <v>12.8164537656036</v>
      </c>
      <c r="O1602" s="21" t="n">
        <f aca="false">AVERAGEIFS($N$2:$N$2705,$B$2:$B$2705,B1602)</f>
        <v>13.6361793776745</v>
      </c>
      <c r="P1602" s="21" t="n">
        <f aca="false">N1602-O1602</f>
        <v>-0.819725612070858</v>
      </c>
      <c r="Q1602" s="7" t="n">
        <v>0</v>
      </c>
      <c r="R1602" s="3" t="n">
        <f aca="false">IF(AND(Q1602=1,B1602-_xlfn.MINIFS($B$2:$B$2705,$A$2:$A$2705,A1602)&lt;10),1,0)</f>
        <v>0</v>
      </c>
      <c r="S1602" s="7" t="n">
        <v>0</v>
      </c>
      <c r="T1602" s="3" t="n">
        <f aca="false">_xlfn.MINIFS($B$2:$B$2705,$A$2:$A$2705,A1602)</f>
        <v>1901</v>
      </c>
      <c r="U1602" s="3" t="n">
        <f aca="false">B1602-T1602</f>
        <v>87</v>
      </c>
      <c r="V1602" s="3" t="str">
        <f aca="false">INDEX(Pop_Inputs!$Q$2:$Q$29,MATCH(C1602,Pop_Inputs!$A$2:$A$29,0))</f>
        <v>Midwest</v>
      </c>
      <c r="W1602" s="29" t="n">
        <v>8888409</v>
      </c>
      <c r="X1602" s="3" t="n">
        <f aca="false">IF(W1602="","",LN(W1602))</f>
        <v>16.0002586263446</v>
      </c>
      <c r="Y1602" s="3" t="n">
        <f aca="false">IF(X1602="","",X1602-AVERAGEIFS($X$2:$X$2705,$B$2:$B$2705,B1602))</f>
        <v>-0.216428891709239</v>
      </c>
      <c r="Z1602" s="21" t="n">
        <f aca="false">P1602</f>
        <v>-0.819725612070858</v>
      </c>
      <c r="AA1602" s="3" t="n">
        <f aca="false">R1602</f>
        <v>0</v>
      </c>
      <c r="AB1602" s="21" t="n">
        <f aca="false">P1602</f>
        <v>-0.819725612070858</v>
      </c>
      <c r="AC1602" s="3" t="n">
        <f aca="false">Y1602</f>
        <v>-0.216428891709239</v>
      </c>
      <c r="AD1602" s="3" t="n">
        <f aca="false">R1602</f>
        <v>0</v>
      </c>
    </row>
    <row r="1603" customFormat="false" ht="15" hidden="false" customHeight="true" outlineLevel="0" collapsed="false">
      <c r="A1603" s="7" t="s">
        <v>66</v>
      </c>
      <c r="B1603" s="7" t="n">
        <v>1988</v>
      </c>
      <c r="C1603" s="7" t="s">
        <v>151</v>
      </c>
      <c r="D1603" s="7" t="n">
        <v>78</v>
      </c>
      <c r="E1603" s="7" t="n">
        <v>84</v>
      </c>
      <c r="F1603" s="3" t="n">
        <f aca="false">COUNTIFS($B$2:$B$2705,B1603,$C$2:$C$2705,C1603)</f>
        <v>1</v>
      </c>
      <c r="G1603" s="3" t="n">
        <f aca="false">MIN(INT((MIN(B1603,2020)-1900)/10)+1,12)</f>
        <v>9</v>
      </c>
      <c r="H1603" s="3" t="n">
        <f aca="false">(MIN(B1603,2020)-1900-10*(G1603-1))/10</f>
        <v>0.8</v>
      </c>
      <c r="I1603" s="20" t="n">
        <f aca="false">EXP(LN(INDEX(Pop_Inputs!$B$2:$N$29,MATCH(C1603,Pop_Inputs!$A$2:$A$29,0),G1603))*(1-H1603)+LN(INDEX(Pop_Inputs!$B$2:$N$29,MATCH(C1603,Pop_Inputs!$A$2:$A$29,0),G1603+1))*H1603)</f>
        <v>518575.608718501</v>
      </c>
      <c r="J1603" s="20" t="n">
        <f aca="false">I1603/F1603</f>
        <v>518575.608718501</v>
      </c>
      <c r="K1603" s="21" t="n">
        <f aca="false">D1603/(D1603+E1603)</f>
        <v>0.481481481481481</v>
      </c>
      <c r="L1603" s="21" t="n">
        <f aca="false">AVERAGEIFS($K$2:$K$2705,$B$2:$B$2705,B1603)</f>
        <v>0.499932148165844</v>
      </c>
      <c r="M1603" s="21" t="n">
        <f aca="false">K1603-L1603</f>
        <v>-0.0184506666843624</v>
      </c>
      <c r="N1603" s="21" t="n">
        <f aca="false">LN(J1603)</f>
        <v>13.1588411180429</v>
      </c>
      <c r="O1603" s="21" t="n">
        <f aca="false">AVERAGEIFS($N$2:$N$2705,$B$2:$B$2705,B1603)</f>
        <v>13.6361793776745</v>
      </c>
      <c r="P1603" s="21" t="n">
        <f aca="false">N1603-O1603</f>
        <v>-0.477338259631599</v>
      </c>
      <c r="Q1603" s="7" t="n">
        <v>0</v>
      </c>
      <c r="R1603" s="3" t="n">
        <f aca="false">IF(AND(Q1603=1,B1603-_xlfn.MINIFS($B$2:$B$2705,$A$2:$A$2705,A1603)&lt;10),1,0)</f>
        <v>0</v>
      </c>
      <c r="S1603" s="7" t="n">
        <v>0</v>
      </c>
      <c r="T1603" s="3" t="n">
        <f aca="false">_xlfn.MINIFS($B$2:$B$2705,$A$2:$A$2705,A1603)</f>
        <v>1901</v>
      </c>
      <c r="U1603" s="3" t="n">
        <f aca="false">B1603-T1603</f>
        <v>87</v>
      </c>
      <c r="V1603" s="3" t="str">
        <f aca="false">INDEX(Pop_Inputs!$Q$2:$Q$29,MATCH(C1603,Pop_Inputs!$A$2:$A$29,0))</f>
        <v>Midwest</v>
      </c>
      <c r="W1603" s="29" t="n">
        <v>8936500</v>
      </c>
      <c r="X1603" s="3" t="n">
        <f aca="false">IF(W1603="","",LN(W1603))</f>
        <v>16.0056545716126</v>
      </c>
      <c r="Y1603" s="3" t="n">
        <f aca="false">IF(X1603="","",X1603-AVERAGEIFS($X$2:$X$2705,$B$2:$B$2705,B1603))</f>
        <v>-0.211032946441225</v>
      </c>
      <c r="Z1603" s="21" t="n">
        <f aca="false">P1603</f>
        <v>-0.477338259631599</v>
      </c>
      <c r="AA1603" s="3" t="n">
        <f aca="false">R1603</f>
        <v>0</v>
      </c>
      <c r="AB1603" s="21" t="n">
        <f aca="false">P1603</f>
        <v>-0.477338259631599</v>
      </c>
      <c r="AC1603" s="3" t="n">
        <f aca="false">Y1603</f>
        <v>-0.211032946441225</v>
      </c>
      <c r="AD1603" s="3" t="n">
        <f aca="false">R1603</f>
        <v>0</v>
      </c>
    </row>
    <row r="1604" customFormat="false" ht="15" hidden="false" customHeight="true" outlineLevel="0" collapsed="false">
      <c r="A1604" s="7" t="s">
        <v>67</v>
      </c>
      <c r="B1604" s="7" t="n">
        <v>1988</v>
      </c>
      <c r="C1604" s="7" t="s">
        <v>152</v>
      </c>
      <c r="D1604" s="7" t="n">
        <v>88</v>
      </c>
      <c r="E1604" s="7" t="n">
        <v>74</v>
      </c>
      <c r="F1604" s="3" t="n">
        <f aca="false">COUNTIFS($B$2:$B$2705,B1604,$C$2:$C$2705,C1604)</f>
        <v>1</v>
      </c>
      <c r="G1604" s="3" t="n">
        <f aca="false">MIN(INT((MIN(B1604,2020)-1900)/10)+1,12)</f>
        <v>9</v>
      </c>
      <c r="H1604" s="3" t="n">
        <f aca="false">(MIN(B1604,2020)-1900-10*(G1604-1))/10</f>
        <v>0.8</v>
      </c>
      <c r="I1604" s="20" t="n">
        <f aca="false">EXP(LN(INDEX(Pop_Inputs!$B$2:$N$29,MATCH(C1604,Pop_Inputs!$A$2:$A$29,0),G1604))*(1-H1604)+LN(INDEX(Pop_Inputs!$B$2:$N$29,MATCH(C1604,Pop_Inputs!$A$2:$A$29,0),G1604+1))*H1604)</f>
        <v>1060877.88454953</v>
      </c>
      <c r="J1604" s="20" t="n">
        <f aca="false">I1604/F1604</f>
        <v>1060877.88454953</v>
      </c>
      <c r="K1604" s="21" t="n">
        <f aca="false">D1604/(D1604+E1604)</f>
        <v>0.54320987654321</v>
      </c>
      <c r="L1604" s="21" t="n">
        <f aca="false">AVERAGEIFS($K$2:$K$2705,$B$2:$B$2705,B1604)</f>
        <v>0.499932148165844</v>
      </c>
      <c r="M1604" s="21" t="n">
        <f aca="false">K1604-L1604</f>
        <v>0.043277728377366</v>
      </c>
      <c r="N1604" s="21" t="n">
        <f aca="false">LN(J1604)</f>
        <v>13.8746073162969</v>
      </c>
      <c r="O1604" s="21" t="n">
        <f aca="false">AVERAGEIFS($N$2:$N$2705,$B$2:$B$2705,B1604)</f>
        <v>13.6361793776745</v>
      </c>
      <c r="P1604" s="21" t="n">
        <f aca="false">N1604-O1604</f>
        <v>0.238427938622438</v>
      </c>
      <c r="Q1604" s="7" t="n">
        <v>0</v>
      </c>
      <c r="R1604" s="3" t="n">
        <f aca="false">IF(AND(Q1604=1,B1604-_xlfn.MINIFS($B$2:$B$2705,$A$2:$A$2705,A1604)&lt;10),1,0)</f>
        <v>0</v>
      </c>
      <c r="S1604" s="7" t="n">
        <v>0</v>
      </c>
      <c r="T1604" s="3" t="n">
        <f aca="false">_xlfn.MINIFS($B$2:$B$2705,$A$2:$A$2705,A1604)</f>
        <v>1901</v>
      </c>
      <c r="U1604" s="3" t="n">
        <f aca="false">B1604-T1604</f>
        <v>87</v>
      </c>
      <c r="V1604" s="3" t="str">
        <f aca="false">INDEX(Pop_Inputs!$Q$2:$Q$29,MATCH(C1604,Pop_Inputs!$A$2:$A$29,0))</f>
        <v>Midwest</v>
      </c>
      <c r="W1604" s="29" t="n">
        <v>12869571</v>
      </c>
      <c r="X1604" s="3" t="n">
        <f aca="false">IF(W1604="","",LN(W1604))</f>
        <v>16.3703762456834</v>
      </c>
      <c r="Y1604" s="3" t="n">
        <f aca="false">IF(X1604="","",X1604-AVERAGEIFS($X$2:$X$2705,$B$2:$B$2705,B1604))</f>
        <v>0.153688727629614</v>
      </c>
      <c r="Z1604" s="21" t="n">
        <f aca="false">P1604</f>
        <v>0.238427938622438</v>
      </c>
      <c r="AA1604" s="3" t="n">
        <f aca="false">R1604</f>
        <v>0</v>
      </c>
      <c r="AB1604" s="21" t="n">
        <f aca="false">P1604</f>
        <v>0.238427938622438</v>
      </c>
      <c r="AC1604" s="3" t="n">
        <f aca="false">Y1604</f>
        <v>0.153688727629614</v>
      </c>
      <c r="AD1604" s="3" t="n">
        <f aca="false">R1604</f>
        <v>0</v>
      </c>
    </row>
    <row r="1605" customFormat="false" ht="15" hidden="false" customHeight="true" outlineLevel="0" collapsed="false">
      <c r="A1605" s="7" t="s">
        <v>74</v>
      </c>
      <c r="B1605" s="7" t="n">
        <v>1988</v>
      </c>
      <c r="C1605" s="7" t="s">
        <v>156</v>
      </c>
      <c r="D1605" s="7" t="n">
        <v>82</v>
      </c>
      <c r="E1605" s="7" t="n">
        <v>80</v>
      </c>
      <c r="F1605" s="3" t="n">
        <f aca="false">COUNTIFS($B$2:$B$2705,B1605,$C$2:$C$2705,C1605)</f>
        <v>1</v>
      </c>
      <c r="G1605" s="3" t="n">
        <f aca="false">MIN(INT((MIN(B1605,2020)-1900)/10)+1,12)</f>
        <v>9</v>
      </c>
      <c r="H1605" s="3" t="n">
        <f aca="false">(MIN(B1605,2020)-1900-10*(G1605-1))/10</f>
        <v>0.8</v>
      </c>
      <c r="I1605" s="20" t="n">
        <f aca="false">EXP(LN(INDEX(Pop_Inputs!$B$2:$N$29,MATCH(C1605,Pop_Inputs!$A$2:$A$29,0),G1605))*(1-H1605)+LN(INDEX(Pop_Inputs!$B$2:$N$29,MATCH(C1605,Pop_Inputs!$A$2:$A$29,0),G1605+1))*H1605)</f>
        <v>1623407.64963701</v>
      </c>
      <c r="J1605" s="20" t="n">
        <f aca="false">I1605/F1605</f>
        <v>1623407.64963701</v>
      </c>
      <c r="K1605" s="21" t="n">
        <f aca="false">D1605/(D1605+E1605)</f>
        <v>0.506172839506173</v>
      </c>
      <c r="L1605" s="21" t="n">
        <f aca="false">AVERAGEIFS($K$2:$K$2705,$B$2:$B$2705,B1605)</f>
        <v>0.499932148165844</v>
      </c>
      <c r="M1605" s="21" t="n">
        <f aca="false">K1605-L1605</f>
        <v>0.00624069134032906</v>
      </c>
      <c r="N1605" s="21" t="n">
        <f aca="false">LN(J1605)</f>
        <v>14.3000379854067</v>
      </c>
      <c r="O1605" s="21" t="n">
        <f aca="false">AVERAGEIFS($N$2:$N$2705,$B$2:$B$2705,B1605)</f>
        <v>13.6361793776745</v>
      </c>
      <c r="P1605" s="21" t="n">
        <f aca="false">N1605-O1605</f>
        <v>0.663858607732156</v>
      </c>
      <c r="Q1605" s="7" t="n">
        <v>1</v>
      </c>
      <c r="R1605" s="3" t="n">
        <f aca="false">IF(AND(Q1605=1,B1605-_xlfn.MINIFS($B$2:$B$2705,$A$2:$A$2705,A1605)&lt;10),1,0)</f>
        <v>0</v>
      </c>
      <c r="S1605" s="7" t="n">
        <v>0</v>
      </c>
      <c r="T1605" s="3" t="n">
        <f aca="false">_xlfn.MINIFS($B$2:$B$2705,$A$2:$A$2705,A1605)</f>
        <v>1962</v>
      </c>
      <c r="U1605" s="3" t="n">
        <f aca="false">B1605-T1605</f>
        <v>26</v>
      </c>
      <c r="V1605" s="3" t="str">
        <f aca="false">INDEX(Pop_Inputs!$Q$2:$Q$29,MATCH(C1605,Pop_Inputs!$A$2:$A$29,0))</f>
        <v>South</v>
      </c>
      <c r="W1605" s="29" t="n">
        <v>12286167</v>
      </c>
      <c r="X1605" s="3" t="n">
        <f aca="false">IF(W1605="","",LN(W1605))</f>
        <v>16.3239845533208</v>
      </c>
      <c r="Y1605" s="3" t="n">
        <f aca="false">IF(X1605="","",X1605-AVERAGEIFS($X$2:$X$2705,$B$2:$B$2705,B1605))</f>
        <v>0.107297035266981</v>
      </c>
      <c r="Z1605" s="21" t="n">
        <f aca="false">P1605</f>
        <v>0.663858607732156</v>
      </c>
      <c r="AA1605" s="3" t="n">
        <f aca="false">R1605</f>
        <v>0</v>
      </c>
      <c r="AB1605" s="21" t="n">
        <f aca="false">P1605</f>
        <v>0.663858607732156</v>
      </c>
      <c r="AC1605" s="3" t="n">
        <f aca="false">Y1605</f>
        <v>0.107297035266981</v>
      </c>
      <c r="AD1605" s="3" t="n">
        <f aca="false">R1605</f>
        <v>0</v>
      </c>
    </row>
    <row r="1606" customFormat="false" ht="15" hidden="false" customHeight="true" outlineLevel="0" collapsed="false">
      <c r="A1606" s="7" t="s">
        <v>76</v>
      </c>
      <c r="B1606" s="7" t="n">
        <v>1988</v>
      </c>
      <c r="C1606" s="7" t="s">
        <v>157</v>
      </c>
      <c r="D1606" s="7" t="n">
        <v>84</v>
      </c>
      <c r="E1606" s="7" t="n">
        <v>77</v>
      </c>
      <c r="F1606" s="3" t="n">
        <f aca="false">COUNTIFS($B$2:$B$2705,B1606,$C$2:$C$2705,C1606)</f>
        <v>1</v>
      </c>
      <c r="G1606" s="3" t="n">
        <f aca="false">MIN(INT((MIN(B1606,2020)-1900)/10)+1,12)</f>
        <v>9</v>
      </c>
      <c r="H1606" s="3" t="n">
        <f aca="false">(MIN(B1606,2020)-1900-10*(G1606-1))/10</f>
        <v>0.8</v>
      </c>
      <c r="I1606" s="20" t="n">
        <f aca="false">EXP(LN(INDEX(Pop_Inputs!$B$2:$N$29,MATCH(C1606,Pop_Inputs!$A$2:$A$29,0),G1606))*(1-H1606)+LN(INDEX(Pop_Inputs!$B$2:$N$29,MATCH(C1606,Pop_Inputs!$A$2:$A$29,0),G1606+1))*H1606)</f>
        <v>437718.014966624</v>
      </c>
      <c r="J1606" s="20" t="n">
        <f aca="false">I1606/F1606</f>
        <v>437718.014966624</v>
      </c>
      <c r="K1606" s="21" t="n">
        <f aca="false">D1606/(D1606+E1606)</f>
        <v>0.521739130434783</v>
      </c>
      <c r="L1606" s="21" t="n">
        <f aca="false">AVERAGEIFS($K$2:$K$2705,$B$2:$B$2705,B1606)</f>
        <v>0.499932148165844</v>
      </c>
      <c r="M1606" s="21" t="n">
        <f aca="false">K1606-L1606</f>
        <v>0.0218069822689388</v>
      </c>
      <c r="N1606" s="21" t="n">
        <f aca="false">LN(J1606)</f>
        <v>12.9893301805834</v>
      </c>
      <c r="O1606" s="21" t="n">
        <f aca="false">AVERAGEIFS($N$2:$N$2705,$B$2:$B$2705,B1606)</f>
        <v>13.6361793776745</v>
      </c>
      <c r="P1606" s="21" t="n">
        <f aca="false">N1606-O1606</f>
        <v>-0.646849197091125</v>
      </c>
      <c r="Q1606" s="7" t="n">
        <v>1</v>
      </c>
      <c r="R1606" s="3" t="n">
        <f aca="false">IF(AND(Q1606=1,B1606-_xlfn.MINIFS($B$2:$B$2705,$A$2:$A$2705,A1606)&lt;10),1,0)</f>
        <v>0</v>
      </c>
      <c r="S1606" s="7" t="n">
        <v>0</v>
      </c>
      <c r="T1606" s="3" t="n">
        <f aca="false">_xlfn.MINIFS($B$2:$B$2705,$A$2:$A$2705,A1606)</f>
        <v>1969</v>
      </c>
      <c r="U1606" s="3" t="n">
        <f aca="false">B1606-T1606</f>
        <v>19</v>
      </c>
      <c r="V1606" s="3" t="str">
        <f aca="false">INDEX(Pop_Inputs!$Q$2:$Q$29,MATCH(C1606,Pop_Inputs!$A$2:$A$29,0))</f>
        <v>Midwest</v>
      </c>
      <c r="W1606" s="29" t="n">
        <v>14556562</v>
      </c>
      <c r="X1606" s="3" t="n">
        <f aca="false">IF(W1606="","",LN(W1606))</f>
        <v>16.493552446477</v>
      </c>
      <c r="Y1606" s="3" t="n">
        <f aca="false">IF(X1606="","",X1606-AVERAGEIFS($X$2:$X$2705,$B$2:$B$2705,B1606))</f>
        <v>0.276864928423169</v>
      </c>
      <c r="Z1606" s="21" t="n">
        <f aca="false">P1606</f>
        <v>-0.646849197091125</v>
      </c>
      <c r="AA1606" s="3" t="n">
        <f aca="false">R1606</f>
        <v>0</v>
      </c>
      <c r="AB1606" s="21" t="n">
        <f aca="false">P1606</f>
        <v>-0.646849197091125</v>
      </c>
      <c r="AC1606" s="3" t="n">
        <f aca="false">Y1606</f>
        <v>0.276864928423169</v>
      </c>
      <c r="AD1606" s="3" t="n">
        <f aca="false">R1606</f>
        <v>0</v>
      </c>
    </row>
    <row r="1607" customFormat="false" ht="15" hidden="false" customHeight="true" outlineLevel="0" collapsed="false">
      <c r="A1607" s="7" t="s">
        <v>62</v>
      </c>
      <c r="B1607" s="7" t="n">
        <v>1988</v>
      </c>
      <c r="C1607" s="7" t="s">
        <v>148</v>
      </c>
      <c r="D1607" s="7" t="n">
        <v>94</v>
      </c>
      <c r="E1607" s="7" t="n">
        <v>67</v>
      </c>
      <c r="F1607" s="3" t="n">
        <f aca="false">COUNTIFS($B$2:$B$2705,B1607,$C$2:$C$2705,C1607)</f>
        <v>2</v>
      </c>
      <c r="G1607" s="3" t="n">
        <f aca="false">MIN(INT((MIN(B1607,2020)-1900)/10)+1,12)</f>
        <v>9</v>
      </c>
      <c r="H1607" s="3" t="n">
        <f aca="false">(MIN(B1607,2020)-1900-10*(G1607-1))/10</f>
        <v>0.8</v>
      </c>
      <c r="I1607" s="20" t="n">
        <f aca="false">EXP(LN(INDEX(Pop_Inputs!$B$2:$N$29,MATCH(C1607,Pop_Inputs!$A$2:$A$29,0),G1607))*(1-H1607)+LN(INDEX(Pop_Inputs!$B$2:$N$29,MATCH(C1607,Pop_Inputs!$A$2:$A$29,0),G1607+1))*H1607)</f>
        <v>3374900.86284185</v>
      </c>
      <c r="J1607" s="20" t="n">
        <f aca="false">I1607/F1607</f>
        <v>1687450.43142093</v>
      </c>
      <c r="K1607" s="21" t="n">
        <f aca="false">D1607/(D1607+E1607)</f>
        <v>0.583850931677019</v>
      </c>
      <c r="L1607" s="21" t="n">
        <f aca="false">AVERAGEIFS($K$2:$K$2705,$B$2:$B$2705,B1607)</f>
        <v>0.499932148165844</v>
      </c>
      <c r="M1607" s="21" t="n">
        <f aca="false">K1607-L1607</f>
        <v>0.0839187835111748</v>
      </c>
      <c r="N1607" s="21" t="n">
        <f aca="false">LN(J1607)</f>
        <v>14.3387293273246</v>
      </c>
      <c r="O1607" s="21" t="n">
        <f aca="false">AVERAGEIFS($N$2:$N$2705,$B$2:$B$2705,B1607)</f>
        <v>13.6361793776745</v>
      </c>
      <c r="P1607" s="21" t="n">
        <f aca="false">N1607-O1607</f>
        <v>0.702549949650113</v>
      </c>
      <c r="Q1607" s="7" t="n">
        <v>0</v>
      </c>
      <c r="R1607" s="3" t="n">
        <f aca="false">IF(AND(Q1607=1,B1607-_xlfn.MINIFS($B$2:$B$2705,$A$2:$A$2705,A1607)&lt;10),1,0)</f>
        <v>0</v>
      </c>
      <c r="S1607" s="7" t="n">
        <v>0</v>
      </c>
      <c r="T1607" s="3" t="n">
        <f aca="false">_xlfn.MINIFS($B$2:$B$2705,$A$2:$A$2705,A1607)</f>
        <v>1901</v>
      </c>
      <c r="U1607" s="3" t="n">
        <f aca="false">B1607-T1607</f>
        <v>87</v>
      </c>
      <c r="V1607" s="3" t="str">
        <f aca="false">INDEX(Pop_Inputs!$Q$2:$Q$29,MATCH(C1607,Pop_Inputs!$A$2:$A$29,0))</f>
        <v>West</v>
      </c>
      <c r="W1607" s="29" t="n">
        <v>16850515</v>
      </c>
      <c r="X1607" s="3" t="n">
        <f aca="false">IF(W1607="","",LN(W1607))</f>
        <v>16.6398917780938</v>
      </c>
      <c r="Y1607" s="3" t="n">
        <f aca="false">IF(X1607="","",X1607-AVERAGEIFS($X$2:$X$2705,$B$2:$B$2705,B1607))</f>
        <v>0.423204260040006</v>
      </c>
      <c r="Z1607" s="21" t="n">
        <f aca="false">P1607</f>
        <v>0.702549949650113</v>
      </c>
      <c r="AA1607" s="3" t="n">
        <f aca="false">R1607</f>
        <v>0</v>
      </c>
      <c r="AB1607" s="21" t="n">
        <f aca="false">P1607</f>
        <v>0.702549949650113</v>
      </c>
      <c r="AC1607" s="3" t="n">
        <f aca="false">Y1607</f>
        <v>0.423204260040006</v>
      </c>
      <c r="AD1607" s="3" t="n">
        <f aca="false">R1607</f>
        <v>0</v>
      </c>
    </row>
    <row r="1608" customFormat="false" ht="15" hidden="false" customHeight="true" outlineLevel="0" collapsed="false">
      <c r="A1608" s="7" t="s">
        <v>77</v>
      </c>
      <c r="B1608" s="7" t="n">
        <v>1988</v>
      </c>
      <c r="C1608" s="7" t="s">
        <v>158</v>
      </c>
      <c r="D1608" s="7" t="n">
        <v>87</v>
      </c>
      <c r="E1608" s="7" t="n">
        <v>75</v>
      </c>
      <c r="F1608" s="3" t="n">
        <f aca="false">COUNTIFS($B$2:$B$2705,B1608,$C$2:$C$2705,C1608)</f>
        <v>1</v>
      </c>
      <c r="G1608" s="3" t="n">
        <f aca="false">MIN(INT((MIN(B1608,2020)-1900)/10)+1,12)</f>
        <v>9</v>
      </c>
      <c r="H1608" s="3" t="n">
        <f aca="false">(MIN(B1608,2020)-1900-10*(G1608-1))/10</f>
        <v>0.8</v>
      </c>
      <c r="I1608" s="20" t="n">
        <f aca="false">EXP(LN(INDEX(Pop_Inputs!$B$2:$N$29,MATCH(C1608,Pop_Inputs!$A$2:$A$29,0),G1608))*(1-H1608)+LN(INDEX(Pop_Inputs!$B$2:$N$29,MATCH(C1608,Pop_Inputs!$A$2:$A$29,0),G1608+1))*H1608)</f>
        <v>629704.458268607</v>
      </c>
      <c r="J1608" s="20" t="n">
        <f aca="false">I1608/F1608</f>
        <v>629704.458268607</v>
      </c>
      <c r="K1608" s="21" t="n">
        <f aca="false">D1608/(D1608+E1608)</f>
        <v>0.537037037037037</v>
      </c>
      <c r="L1608" s="21" t="n">
        <f aca="false">AVERAGEIFS($K$2:$K$2705,$B$2:$B$2705,B1608)</f>
        <v>0.499932148165844</v>
      </c>
      <c r="M1608" s="21" t="n">
        <f aca="false">K1608-L1608</f>
        <v>0.0371048888711933</v>
      </c>
      <c r="N1608" s="21" t="n">
        <f aca="false">LN(J1608)</f>
        <v>13.35300587444</v>
      </c>
      <c r="O1608" s="21" t="n">
        <f aca="false">AVERAGEIFS($N$2:$N$2705,$B$2:$B$2705,B1608)</f>
        <v>13.6361793776745</v>
      </c>
      <c r="P1608" s="21" t="n">
        <f aca="false">N1608-O1608</f>
        <v>-0.283173503234471</v>
      </c>
      <c r="Q1608" s="7" t="n">
        <v>1</v>
      </c>
      <c r="R1608" s="3" t="n">
        <f aca="false">IF(AND(Q1608=1,B1608-_xlfn.MINIFS($B$2:$B$2705,$A$2:$A$2705,A1608)&lt;10),1,0)</f>
        <v>0</v>
      </c>
      <c r="S1608" s="7" t="n">
        <v>0</v>
      </c>
      <c r="T1608" s="3" t="n">
        <f aca="false">_xlfn.MINIFS($B$2:$B$2705,$A$2:$A$2705,A1608)</f>
        <v>1969</v>
      </c>
      <c r="U1608" s="3" t="n">
        <f aca="false">B1608-T1608</f>
        <v>19</v>
      </c>
      <c r="V1608" s="3" t="str">
        <f aca="false">INDEX(Pop_Inputs!$Q$2:$Q$29,MATCH(C1608,Pop_Inputs!$A$2:$A$29,0))</f>
        <v>Midwest</v>
      </c>
      <c r="W1608" s="29" t="n">
        <v>8402000</v>
      </c>
      <c r="X1608" s="3" t="n">
        <f aca="false">IF(W1608="","",LN(W1608))</f>
        <v>15.9439803307115</v>
      </c>
      <c r="Y1608" s="3" t="n">
        <f aca="false">IF(X1608="","",X1608-AVERAGEIFS($X$2:$X$2705,$B$2:$B$2705,B1608))</f>
        <v>-0.272707187342331</v>
      </c>
      <c r="Z1608" s="21" t="n">
        <f aca="false">P1608</f>
        <v>-0.283173503234471</v>
      </c>
      <c r="AA1608" s="3" t="n">
        <f aca="false">R1608</f>
        <v>0</v>
      </c>
      <c r="AB1608" s="21" t="n">
        <f aca="false">P1608</f>
        <v>-0.283173503234471</v>
      </c>
      <c r="AC1608" s="3" t="n">
        <f aca="false">Y1608</f>
        <v>-0.272707187342331</v>
      </c>
      <c r="AD1608" s="3" t="n">
        <f aca="false">R1608</f>
        <v>0</v>
      </c>
    </row>
    <row r="1609" customFormat="false" ht="15" hidden="false" customHeight="true" outlineLevel="0" collapsed="false">
      <c r="A1609" s="7" t="s">
        <v>68</v>
      </c>
      <c r="B1609" s="7" t="n">
        <v>1988</v>
      </c>
      <c r="C1609" s="7" t="s">
        <v>153</v>
      </c>
      <c r="D1609" s="7" t="n">
        <v>91</v>
      </c>
      <c r="E1609" s="7" t="n">
        <v>71</v>
      </c>
      <c r="F1609" s="3" t="n">
        <f aca="false">COUNTIFS($B$2:$B$2705,B1609,$C$2:$C$2705,C1609)</f>
        <v>1</v>
      </c>
      <c r="G1609" s="3" t="n">
        <f aca="false">MIN(INT((MIN(B1609,2020)-1900)/10)+1,12)</f>
        <v>9</v>
      </c>
      <c r="H1609" s="3" t="n">
        <f aca="false">(MIN(B1609,2020)-1900-10*(G1609-1))/10</f>
        <v>0.8</v>
      </c>
      <c r="I1609" s="20" t="n">
        <f aca="false">EXP(LN(INDEX(Pop_Inputs!$B$2:$N$29,MATCH(C1609,Pop_Inputs!$A$2:$A$29,0),G1609))*(1-H1609)+LN(INDEX(Pop_Inputs!$B$2:$N$29,MATCH(C1609,Pop_Inputs!$A$2:$A$29,0),G1609+1))*H1609)</f>
        <v>368895.173837514</v>
      </c>
      <c r="J1609" s="20" t="n">
        <f aca="false">I1609/F1609</f>
        <v>368895.173837514</v>
      </c>
      <c r="K1609" s="21" t="n">
        <f aca="false">D1609/(D1609+E1609)</f>
        <v>0.561728395061728</v>
      </c>
      <c r="L1609" s="21" t="n">
        <f aca="false">AVERAGEIFS($K$2:$K$2705,$B$2:$B$2705,B1609)</f>
        <v>0.499932148165844</v>
      </c>
      <c r="M1609" s="21" t="n">
        <f aca="false">K1609-L1609</f>
        <v>0.0617962468958846</v>
      </c>
      <c r="N1609" s="21" t="n">
        <f aca="false">LN(J1609)</f>
        <v>12.8182678009226</v>
      </c>
      <c r="O1609" s="21" t="n">
        <f aca="false">AVERAGEIFS($N$2:$N$2705,$B$2:$B$2705,B1609)</f>
        <v>13.6361793776745</v>
      </c>
      <c r="P1609" s="21" t="n">
        <f aca="false">N1609-O1609</f>
        <v>-0.817911576751854</v>
      </c>
      <c r="Q1609" s="7" t="n">
        <v>0</v>
      </c>
      <c r="R1609" s="3" t="n">
        <f aca="false">IF(AND(Q1609=1,B1609-_xlfn.MINIFS($B$2:$B$2705,$A$2:$A$2705,A1609)&lt;10),1,0)</f>
        <v>0</v>
      </c>
      <c r="S1609" s="7" t="n">
        <v>0</v>
      </c>
      <c r="T1609" s="3" t="n">
        <f aca="false">_xlfn.MINIFS($B$2:$B$2705,$A$2:$A$2705,A1609)</f>
        <v>1901</v>
      </c>
      <c r="U1609" s="3" t="n">
        <f aca="false">B1609-T1609</f>
        <v>87</v>
      </c>
      <c r="V1609" s="3" t="str">
        <f aca="false">INDEX(Pop_Inputs!$Q$2:$Q$29,MATCH(C1609,Pop_Inputs!$A$2:$A$29,0))</f>
        <v>Midwest</v>
      </c>
      <c r="W1609" s="29" t="n">
        <v>12462666</v>
      </c>
      <c r="X1609" s="3" t="n">
        <f aca="false">IF(W1609="","",LN(W1609))</f>
        <v>16.3382480131234</v>
      </c>
      <c r="Y1609" s="3" t="n">
        <f aca="false">IF(X1609="","",X1609-AVERAGEIFS($X$2:$X$2705,$B$2:$B$2705,B1609))</f>
        <v>0.121560495069605</v>
      </c>
      <c r="Z1609" s="21" t="n">
        <f aca="false">P1609</f>
        <v>-0.817911576751854</v>
      </c>
      <c r="AA1609" s="3" t="n">
        <f aca="false">R1609</f>
        <v>0</v>
      </c>
      <c r="AB1609" s="21" t="n">
        <f aca="false">P1609</f>
        <v>-0.817911576751854</v>
      </c>
      <c r="AC1609" s="3" t="n">
        <f aca="false">Y1609</f>
        <v>0.121560495069605</v>
      </c>
      <c r="AD1609" s="3" t="n">
        <f aca="false">R1609</f>
        <v>0</v>
      </c>
    </row>
    <row r="1610" customFormat="false" ht="15" hidden="false" customHeight="true" outlineLevel="0" collapsed="false">
      <c r="A1610" s="7" t="s">
        <v>75</v>
      </c>
      <c r="B1610" s="7" t="n">
        <v>1988</v>
      </c>
      <c r="C1610" s="7" t="s">
        <v>154</v>
      </c>
      <c r="D1610" s="7" t="n">
        <v>100</v>
      </c>
      <c r="E1610" s="7" t="n">
        <v>60</v>
      </c>
      <c r="F1610" s="3" t="n">
        <f aca="false">COUNTIFS($B$2:$B$2705,B1610,$C$2:$C$2705,C1610)</f>
        <v>2</v>
      </c>
      <c r="G1610" s="3" t="n">
        <f aca="false">MIN(INT((MIN(B1610,2020)-1900)/10)+1,12)</f>
        <v>9</v>
      </c>
      <c r="H1610" s="3" t="n">
        <f aca="false">(MIN(B1610,2020)-1900-10*(G1610-1))/10</f>
        <v>0.8</v>
      </c>
      <c r="I1610" s="20" t="n">
        <f aca="false">EXP(LN(INDEX(Pop_Inputs!$B$2:$N$29,MATCH(C1610,Pop_Inputs!$A$2:$A$29,0),G1610))*(1-H1610)+LN(INDEX(Pop_Inputs!$B$2:$N$29,MATCH(C1610,Pop_Inputs!$A$2:$A$29,0),G1610+1))*H1610)</f>
        <v>7271676.62533545</v>
      </c>
      <c r="J1610" s="20" t="n">
        <f aca="false">I1610/F1610</f>
        <v>3635838.31266773</v>
      </c>
      <c r="K1610" s="21" t="n">
        <f aca="false">D1610/(D1610+E1610)</f>
        <v>0.625</v>
      </c>
      <c r="L1610" s="21" t="n">
        <f aca="false">AVERAGEIFS($K$2:$K$2705,$B$2:$B$2705,B1610)</f>
        <v>0.499932148165844</v>
      </c>
      <c r="M1610" s="21" t="n">
        <f aca="false">K1610-L1610</f>
        <v>0.125067851834156</v>
      </c>
      <c r="N1610" s="21" t="n">
        <f aca="false">LN(J1610)</f>
        <v>15.1063502648275</v>
      </c>
      <c r="O1610" s="21" t="n">
        <f aca="false">AVERAGEIFS($N$2:$N$2705,$B$2:$B$2705,B1610)</f>
        <v>13.6361793776745</v>
      </c>
      <c r="P1610" s="21" t="n">
        <f aca="false">N1610-O1610</f>
        <v>1.47017088715303</v>
      </c>
      <c r="Q1610" s="7" t="n">
        <v>1</v>
      </c>
      <c r="R1610" s="3" t="n">
        <f aca="false">IF(AND(Q1610=1,B1610-_xlfn.MINIFS($B$2:$B$2705,$A$2:$A$2705,A1610)&lt;10),1,0)</f>
        <v>0</v>
      </c>
      <c r="S1610" s="7" t="n">
        <v>0</v>
      </c>
      <c r="T1610" s="3" t="n">
        <f aca="false">_xlfn.MINIFS($B$2:$B$2705,$A$2:$A$2705,A1610)</f>
        <v>1962</v>
      </c>
      <c r="U1610" s="3" t="n">
        <f aca="false">B1610-T1610</f>
        <v>26</v>
      </c>
      <c r="V1610" s="3" t="str">
        <f aca="false">INDEX(Pop_Inputs!$Q$2:$Q$29,MATCH(C1610,Pop_Inputs!$A$2:$A$29,0))</f>
        <v>Northeast</v>
      </c>
      <c r="W1610" s="29" t="n">
        <v>15269314</v>
      </c>
      <c r="X1610" s="3" t="n">
        <f aca="false">IF(W1610="","",LN(W1610))</f>
        <v>16.5413557514967</v>
      </c>
      <c r="Y1610" s="3" t="n">
        <f aca="false">IF(X1610="","",X1610-AVERAGEIFS($X$2:$X$2705,$B$2:$B$2705,B1610))</f>
        <v>0.324668233442942</v>
      </c>
      <c r="Z1610" s="21" t="n">
        <f aca="false">P1610</f>
        <v>1.47017088715303</v>
      </c>
      <c r="AA1610" s="3" t="n">
        <f aca="false">R1610</f>
        <v>0</v>
      </c>
      <c r="AB1610" s="21" t="n">
        <f aca="false">P1610</f>
        <v>1.47017088715303</v>
      </c>
      <c r="AC1610" s="3" t="n">
        <f aca="false">Y1610</f>
        <v>0.324668233442942</v>
      </c>
      <c r="AD1610" s="3" t="n">
        <f aca="false">R1610</f>
        <v>0</v>
      </c>
    </row>
    <row r="1611" customFormat="false" ht="15" hidden="false" customHeight="true" outlineLevel="0" collapsed="false">
      <c r="A1611" s="7" t="s">
        <v>70</v>
      </c>
      <c r="B1611" s="7" t="n">
        <v>1988</v>
      </c>
      <c r="C1611" s="7" t="s">
        <v>154</v>
      </c>
      <c r="D1611" s="7" t="n">
        <v>85</v>
      </c>
      <c r="E1611" s="7" t="n">
        <v>76</v>
      </c>
      <c r="F1611" s="3" t="n">
        <f aca="false">COUNTIFS($B$2:$B$2705,B1611,$C$2:$C$2705,C1611)</f>
        <v>2</v>
      </c>
      <c r="G1611" s="3" t="n">
        <f aca="false">MIN(INT((MIN(B1611,2020)-1900)/10)+1,12)</f>
        <v>9</v>
      </c>
      <c r="H1611" s="3" t="n">
        <f aca="false">(MIN(B1611,2020)-1900-10*(G1611-1))/10</f>
        <v>0.8</v>
      </c>
      <c r="I1611" s="20" t="n">
        <f aca="false">EXP(LN(INDEX(Pop_Inputs!$B$2:$N$29,MATCH(C1611,Pop_Inputs!$A$2:$A$29,0),G1611))*(1-H1611)+LN(INDEX(Pop_Inputs!$B$2:$N$29,MATCH(C1611,Pop_Inputs!$A$2:$A$29,0),G1611+1))*H1611)</f>
        <v>7271676.62533545</v>
      </c>
      <c r="J1611" s="20" t="n">
        <f aca="false">I1611/F1611</f>
        <v>3635838.31266773</v>
      </c>
      <c r="K1611" s="21" t="n">
        <f aca="false">D1611/(D1611+E1611)</f>
        <v>0.527950310559006</v>
      </c>
      <c r="L1611" s="21" t="n">
        <f aca="false">AVERAGEIFS($K$2:$K$2705,$B$2:$B$2705,B1611)</f>
        <v>0.499932148165844</v>
      </c>
      <c r="M1611" s="21" t="n">
        <f aca="false">K1611-L1611</f>
        <v>0.0280181623931624</v>
      </c>
      <c r="N1611" s="21" t="n">
        <f aca="false">LN(J1611)</f>
        <v>15.1063502648275</v>
      </c>
      <c r="O1611" s="21" t="n">
        <f aca="false">AVERAGEIFS($N$2:$N$2705,$B$2:$B$2705,B1611)</f>
        <v>13.6361793776745</v>
      </c>
      <c r="P1611" s="21" t="n">
        <f aca="false">N1611-O1611</f>
        <v>1.47017088715303</v>
      </c>
      <c r="Q1611" s="7" t="n">
        <v>0</v>
      </c>
      <c r="R1611" s="3" t="n">
        <f aca="false">IF(AND(Q1611=1,B1611-_xlfn.MINIFS($B$2:$B$2705,$A$2:$A$2705,A1611)&lt;10),1,0)</f>
        <v>0</v>
      </c>
      <c r="S1611" s="7" t="n">
        <v>1</v>
      </c>
      <c r="T1611" s="3" t="n">
        <f aca="false">_xlfn.MINIFS($B$2:$B$2705,$A$2:$A$2705,A1611)</f>
        <v>1903</v>
      </c>
      <c r="U1611" s="3" t="n">
        <f aca="false">B1611-T1611</f>
        <v>85</v>
      </c>
      <c r="V1611" s="3" t="str">
        <f aca="false">INDEX(Pop_Inputs!$Q$2:$Q$29,MATCH(C1611,Pop_Inputs!$A$2:$A$29,0))</f>
        <v>Northeast</v>
      </c>
      <c r="W1611" s="29" t="n">
        <v>19441152</v>
      </c>
      <c r="X1611" s="3" t="n">
        <f aca="false">IF(W1611="","",LN(W1611))</f>
        <v>16.7829026145001</v>
      </c>
      <c r="Y1611" s="3" t="n">
        <f aca="false">IF(X1611="","",X1611-AVERAGEIFS($X$2:$X$2705,$B$2:$B$2705,B1611))</f>
        <v>0.566215096446271</v>
      </c>
      <c r="Z1611" s="21" t="n">
        <f aca="false">P1611</f>
        <v>1.47017088715303</v>
      </c>
      <c r="AA1611" s="3" t="n">
        <f aca="false">R1611</f>
        <v>0</v>
      </c>
      <c r="AB1611" s="21" t="n">
        <f aca="false">P1611</f>
        <v>1.47017088715303</v>
      </c>
      <c r="AC1611" s="3" t="n">
        <f aca="false">Y1611</f>
        <v>0.566215096446271</v>
      </c>
      <c r="AD1611" s="3" t="n">
        <f aca="false">R1611</f>
        <v>0</v>
      </c>
    </row>
    <row r="1612" customFormat="false" ht="15" hidden="false" customHeight="true" outlineLevel="0" collapsed="false">
      <c r="A1612" s="7" t="s">
        <v>69</v>
      </c>
      <c r="B1612" s="7" t="n">
        <v>1988</v>
      </c>
      <c r="C1612" s="7" t="s">
        <v>253</v>
      </c>
      <c r="D1612" s="7" t="n">
        <v>104</v>
      </c>
      <c r="E1612" s="7" t="n">
        <v>58</v>
      </c>
      <c r="F1612" s="3" t="n">
        <f aca="false">COUNTIFS($B$2:$B$2705,B1612,$C$2:$C$2705,C1612)</f>
        <v>1</v>
      </c>
      <c r="G1612" s="3" t="n">
        <f aca="false">MIN(INT((MIN(B1612,2020)-1900)/10)+1,12)</f>
        <v>9</v>
      </c>
      <c r="H1612" s="3" t="n">
        <f aca="false">(MIN(B1612,2020)-1900-10*(G1612-1))/10</f>
        <v>0.8</v>
      </c>
      <c r="I1612" s="20" t="n">
        <f aca="false">EXP(LN(INDEX(Pop_Inputs!$B$2:$N$29,MATCH(C1612,Pop_Inputs!$A$2:$A$29,0),G1612))*(1-H1612)+LN(INDEX(Pop_Inputs!$B$2:$N$29,MATCH(C1612,Pop_Inputs!$A$2:$A$29,0),G1612+1))*H1612)</f>
        <v>365415.143641839</v>
      </c>
      <c r="J1612" s="20" t="n">
        <f aca="false">I1612/F1612</f>
        <v>365415.143641839</v>
      </c>
      <c r="K1612" s="21" t="n">
        <f aca="false">D1612/(D1612+E1612)</f>
        <v>0.641975308641975</v>
      </c>
      <c r="L1612" s="21" t="n">
        <f aca="false">AVERAGEIFS($K$2:$K$2705,$B$2:$B$2705,B1612)</f>
        <v>0.499932148165844</v>
      </c>
      <c r="M1612" s="21" t="n">
        <f aca="false">K1612-L1612</f>
        <v>0.142043160476131</v>
      </c>
      <c r="N1612" s="21" t="n">
        <f aca="false">LN(J1612)</f>
        <v>12.8087893660789</v>
      </c>
      <c r="O1612" s="21" t="n">
        <f aca="false">AVERAGEIFS($N$2:$N$2705,$B$2:$B$2705,B1612)</f>
        <v>13.6361793776745</v>
      </c>
      <c r="P1612" s="21" t="n">
        <f aca="false">N1612-O1612</f>
        <v>-0.827390011595636</v>
      </c>
      <c r="Q1612" s="7" t="n">
        <v>0</v>
      </c>
      <c r="R1612" s="3" t="n">
        <f aca="false">IF(AND(Q1612=1,B1612-_xlfn.MINIFS($B$2:$B$2705,$A$2:$A$2705,A1612)&lt;10),1,0)</f>
        <v>0</v>
      </c>
      <c r="S1612" s="7" t="n">
        <v>0</v>
      </c>
      <c r="T1612" s="3" t="n">
        <f aca="false">_xlfn.MINIFS($B$2:$B$2705,$A$2:$A$2705,A1612)</f>
        <v>1901</v>
      </c>
      <c r="U1612" s="3" t="n">
        <f aca="false">B1612-T1612</f>
        <v>87</v>
      </c>
      <c r="V1612" s="3" t="str">
        <f aca="false">INDEX(Pop_Inputs!$Q$2:$Q$29,MATCH(C1612,Pop_Inputs!$A$2:$A$29,0))</f>
        <v>West</v>
      </c>
      <c r="W1612" s="29" t="n">
        <v>9690000</v>
      </c>
      <c r="X1612" s="3" t="n">
        <f aca="false">IF(W1612="","",LN(W1612))</f>
        <v>16.086604983867</v>
      </c>
      <c r="Y1612" s="3" t="n">
        <f aca="false">IF(X1612="","",X1612-AVERAGEIFS($X$2:$X$2705,$B$2:$B$2705,B1612))</f>
        <v>-0.130082534186847</v>
      </c>
      <c r="Z1612" s="21" t="n">
        <f aca="false">P1612</f>
        <v>-0.827390011595636</v>
      </c>
      <c r="AA1612" s="3" t="n">
        <f aca="false">R1612</f>
        <v>0</v>
      </c>
      <c r="AB1612" s="21" t="n">
        <f aca="false">P1612</f>
        <v>-0.827390011595636</v>
      </c>
      <c r="AC1612" s="3" t="n">
        <f aca="false">Y1612</f>
        <v>-0.130082534186847</v>
      </c>
      <c r="AD1612" s="3" t="n">
        <f aca="false">R1612</f>
        <v>0</v>
      </c>
    </row>
    <row r="1613" customFormat="false" ht="15" hidden="false" customHeight="true" outlineLevel="0" collapsed="false">
      <c r="A1613" s="7" t="s">
        <v>60</v>
      </c>
      <c r="B1613" s="7" t="n">
        <v>1988</v>
      </c>
      <c r="C1613" s="7" t="s">
        <v>146</v>
      </c>
      <c r="D1613" s="7" t="n">
        <v>65</v>
      </c>
      <c r="E1613" s="7" t="n">
        <v>96</v>
      </c>
      <c r="F1613" s="3" t="n">
        <f aca="false">COUNTIFS($B$2:$B$2705,B1613,$C$2:$C$2705,C1613)</f>
        <v>1</v>
      </c>
      <c r="G1613" s="3" t="n">
        <f aca="false">MIN(INT((MIN(B1613,2020)-1900)/10)+1,12)</f>
        <v>9</v>
      </c>
      <c r="H1613" s="3" t="n">
        <f aca="false">(MIN(B1613,2020)-1900-10*(G1613-1))/10</f>
        <v>0.8</v>
      </c>
      <c r="I1613" s="20" t="n">
        <f aca="false">EXP(LN(INDEX(Pop_Inputs!$B$2:$N$29,MATCH(C1613,Pop_Inputs!$A$2:$A$29,0),G1613))*(1-H1613)+LN(INDEX(Pop_Inputs!$B$2:$N$29,MATCH(C1613,Pop_Inputs!$A$2:$A$29,0),G1613+1))*H1613)</f>
        <v>1605591.8818733</v>
      </c>
      <c r="J1613" s="20" t="n">
        <f aca="false">I1613/F1613</f>
        <v>1605591.8818733</v>
      </c>
      <c r="K1613" s="21" t="n">
        <f aca="false">D1613/(D1613+E1613)</f>
        <v>0.403726708074534</v>
      </c>
      <c r="L1613" s="21" t="n">
        <f aca="false">AVERAGEIFS($K$2:$K$2705,$B$2:$B$2705,B1613)</f>
        <v>0.499932148165844</v>
      </c>
      <c r="M1613" s="21" t="n">
        <f aca="false">K1613-L1613</f>
        <v>-0.0962054400913097</v>
      </c>
      <c r="N1613" s="21" t="n">
        <f aca="false">LN(J1613)</f>
        <v>14.2890030203188</v>
      </c>
      <c r="O1613" s="21" t="n">
        <f aca="false">AVERAGEIFS($N$2:$N$2705,$B$2:$B$2705,B1613)</f>
        <v>13.6361793776745</v>
      </c>
      <c r="P1613" s="21" t="n">
        <f aca="false">N1613-O1613</f>
        <v>0.652823642644261</v>
      </c>
      <c r="Q1613" s="7" t="n">
        <v>0</v>
      </c>
      <c r="R1613" s="3" t="n">
        <f aca="false">IF(AND(Q1613=1,B1613-_xlfn.MINIFS($B$2:$B$2705,$A$2:$A$2705,A1613)&lt;10),1,0)</f>
        <v>0</v>
      </c>
      <c r="S1613" s="7" t="n">
        <v>0</v>
      </c>
      <c r="T1613" s="3" t="n">
        <f aca="false">_xlfn.MINIFS($B$2:$B$2705,$A$2:$A$2705,A1613)</f>
        <v>1901</v>
      </c>
      <c r="U1613" s="3" t="n">
        <f aca="false">B1613-T1613</f>
        <v>87</v>
      </c>
      <c r="V1613" s="3" t="str">
        <f aca="false">INDEX(Pop_Inputs!$Q$2:$Q$29,MATCH(C1613,Pop_Inputs!$A$2:$A$29,0))</f>
        <v>Northeast</v>
      </c>
      <c r="W1613" s="29" t="n">
        <v>13838000</v>
      </c>
      <c r="X1613" s="3" t="n">
        <f aca="false">IF(W1613="","",LN(W1613))</f>
        <v>16.4429289890409</v>
      </c>
      <c r="Y1613" s="3" t="n">
        <f aca="false">IF(X1613="","",X1613-AVERAGEIFS($X$2:$X$2705,$B$2:$B$2705,B1613))</f>
        <v>0.226241470987098</v>
      </c>
      <c r="Z1613" s="21" t="n">
        <f aca="false">P1613</f>
        <v>0.652823642644261</v>
      </c>
      <c r="AA1613" s="3" t="n">
        <f aca="false">R1613</f>
        <v>0</v>
      </c>
      <c r="AB1613" s="21" t="n">
        <f aca="false">P1613</f>
        <v>0.652823642644261</v>
      </c>
      <c r="AC1613" s="3" t="n">
        <f aca="false">Y1613</f>
        <v>0.226241470987098</v>
      </c>
      <c r="AD1613" s="3" t="n">
        <f aca="false">R1613</f>
        <v>0</v>
      </c>
    </row>
    <row r="1614" customFormat="false" ht="15" hidden="false" customHeight="true" outlineLevel="0" collapsed="false">
      <c r="A1614" s="7" t="s">
        <v>58</v>
      </c>
      <c r="B1614" s="7" t="n">
        <v>1988</v>
      </c>
      <c r="C1614" s="7" t="s">
        <v>144</v>
      </c>
      <c r="D1614" s="7" t="n">
        <v>85</v>
      </c>
      <c r="E1614" s="7" t="n">
        <v>75</v>
      </c>
      <c r="F1614" s="3" t="n">
        <f aca="false">COUNTIFS($B$2:$B$2705,B1614,$C$2:$C$2705,C1614)</f>
        <v>1</v>
      </c>
      <c r="G1614" s="3" t="n">
        <f aca="false">MIN(INT((MIN(B1614,2020)-1900)/10)+1,12)</f>
        <v>9</v>
      </c>
      <c r="H1614" s="3" t="n">
        <f aca="false">(MIN(B1614,2020)-1900-10*(G1614-1))/10</f>
        <v>0.8</v>
      </c>
      <c r="I1614" s="20" t="n">
        <f aca="false">EXP(LN(INDEX(Pop_Inputs!$B$2:$N$29,MATCH(C1614,Pop_Inputs!$A$2:$A$29,0),G1614))*(1-H1614)+LN(INDEX(Pop_Inputs!$B$2:$N$29,MATCH(C1614,Pop_Inputs!$A$2:$A$29,0),G1614+1))*H1614)</f>
        <v>380109.049426177</v>
      </c>
      <c r="J1614" s="20" t="n">
        <f aca="false">I1614/F1614</f>
        <v>380109.049426177</v>
      </c>
      <c r="K1614" s="21" t="n">
        <f aca="false">D1614/(D1614+E1614)</f>
        <v>0.53125</v>
      </c>
      <c r="L1614" s="21" t="n">
        <f aca="false">AVERAGEIFS($K$2:$K$2705,$B$2:$B$2705,B1614)</f>
        <v>0.499932148165844</v>
      </c>
      <c r="M1614" s="21" t="n">
        <f aca="false">K1614-L1614</f>
        <v>0.0313178518341562</v>
      </c>
      <c r="N1614" s="21" t="n">
        <f aca="false">LN(J1614)</f>
        <v>12.8482134627081</v>
      </c>
      <c r="O1614" s="21" t="n">
        <f aca="false">AVERAGEIFS($N$2:$N$2705,$B$2:$B$2705,B1614)</f>
        <v>13.6361793776745</v>
      </c>
      <c r="P1614" s="21" t="n">
        <f aca="false">N1614-O1614</f>
        <v>-0.787965914966421</v>
      </c>
      <c r="Q1614" s="7" t="n">
        <v>0</v>
      </c>
      <c r="R1614" s="3" t="n">
        <f aca="false">IF(AND(Q1614=1,B1614-_xlfn.MINIFS($B$2:$B$2705,$A$2:$A$2705,A1614)&lt;10),1,0)</f>
        <v>0</v>
      </c>
      <c r="S1614" s="7" t="n">
        <v>0</v>
      </c>
      <c r="T1614" s="3" t="n">
        <f aca="false">_xlfn.MINIFS($B$2:$B$2705,$A$2:$A$2705,A1614)</f>
        <v>1901</v>
      </c>
      <c r="U1614" s="3" t="n">
        <f aca="false">B1614-T1614</f>
        <v>87</v>
      </c>
      <c r="V1614" s="3" t="str">
        <f aca="false">INDEX(Pop_Inputs!$Q$2:$Q$29,MATCH(C1614,Pop_Inputs!$A$2:$A$29,0))</f>
        <v>Northeast</v>
      </c>
      <c r="W1614" s="29" t="n">
        <v>5998500</v>
      </c>
      <c r="X1614" s="3" t="n">
        <f aca="false">IF(W1614="","",LN(W1614))</f>
        <v>15.6070199959371</v>
      </c>
      <c r="Y1614" s="3" t="n">
        <f aca="false">IF(X1614="","",X1614-AVERAGEIFS($X$2:$X$2705,$B$2:$B$2705,B1614))</f>
        <v>-0.609667522116675</v>
      </c>
      <c r="Z1614" s="21" t="n">
        <f aca="false">P1614</f>
        <v>-0.787965914966421</v>
      </c>
      <c r="AA1614" s="3" t="n">
        <f aca="false">R1614</f>
        <v>0</v>
      </c>
      <c r="AB1614" s="21" t="n">
        <f aca="false">P1614</f>
        <v>-0.787965914966421</v>
      </c>
      <c r="AC1614" s="3" t="n">
        <f aca="false">Y1614</f>
        <v>-0.609667522116675</v>
      </c>
      <c r="AD1614" s="3" t="n">
        <f aca="false">R1614</f>
        <v>0</v>
      </c>
    </row>
    <row r="1615" customFormat="false" ht="15" hidden="false" customHeight="true" outlineLevel="0" collapsed="false">
      <c r="A1615" s="7" t="s">
        <v>78</v>
      </c>
      <c r="B1615" s="7" t="n">
        <v>1988</v>
      </c>
      <c r="C1615" s="7" t="s">
        <v>159</v>
      </c>
      <c r="D1615" s="7" t="n">
        <v>83</v>
      </c>
      <c r="E1615" s="7" t="n">
        <v>78</v>
      </c>
      <c r="F1615" s="3" t="n">
        <f aca="false">COUNTIFS($B$2:$B$2705,B1615,$C$2:$C$2705,C1615)</f>
        <v>1</v>
      </c>
      <c r="G1615" s="3" t="n">
        <f aca="false">MIN(INT((MIN(B1615,2020)-1900)/10)+1,12)</f>
        <v>9</v>
      </c>
      <c r="H1615" s="3" t="n">
        <f aca="false">(MIN(B1615,2020)-1900-10*(G1615-1))/10</f>
        <v>0.8</v>
      </c>
      <c r="I1615" s="20" t="n">
        <f aca="false">EXP(LN(INDEX(Pop_Inputs!$B$2:$N$29,MATCH(C1615,Pop_Inputs!$A$2:$A$29,0),G1615))*(1-H1615)+LN(INDEX(Pop_Inputs!$B$2:$N$29,MATCH(C1615,Pop_Inputs!$A$2:$A$29,0),G1615+1))*H1615)</f>
        <v>1058973.71447713</v>
      </c>
      <c r="J1615" s="20" t="n">
        <f aca="false">I1615/F1615</f>
        <v>1058973.71447713</v>
      </c>
      <c r="K1615" s="21" t="n">
        <f aca="false">D1615/(D1615+E1615)</f>
        <v>0.515527950310559</v>
      </c>
      <c r="L1615" s="21" t="n">
        <f aca="false">AVERAGEIFS($K$2:$K$2705,$B$2:$B$2705,B1615)</f>
        <v>0.499932148165844</v>
      </c>
      <c r="M1615" s="21" t="n">
        <f aca="false">K1615-L1615</f>
        <v>0.0155958021447152</v>
      </c>
      <c r="N1615" s="21" t="n">
        <f aca="false">LN(J1615)</f>
        <v>13.8728108031963</v>
      </c>
      <c r="O1615" s="21" t="n">
        <f aca="false">AVERAGEIFS($N$2:$N$2705,$B$2:$B$2705,B1615)</f>
        <v>13.6361793776745</v>
      </c>
      <c r="P1615" s="21" t="n">
        <f aca="false">N1615-O1615</f>
        <v>0.236631425521795</v>
      </c>
      <c r="Q1615" s="7" t="n">
        <v>1</v>
      </c>
      <c r="R1615" s="3" t="n">
        <f aca="false">IF(AND(Q1615=1,B1615-_xlfn.MINIFS($B$2:$B$2705,$A$2:$A$2705,A1615)&lt;10),1,0)</f>
        <v>0</v>
      </c>
      <c r="S1615" s="7" t="n">
        <v>0</v>
      </c>
      <c r="T1615" s="3" t="n">
        <f aca="false">_xlfn.MINIFS($B$2:$B$2705,$A$2:$A$2705,A1615)</f>
        <v>1969</v>
      </c>
      <c r="U1615" s="3" t="n">
        <f aca="false">B1615-T1615</f>
        <v>19</v>
      </c>
      <c r="V1615" s="3" t="str">
        <f aca="false">INDEX(Pop_Inputs!$Q$2:$Q$29,MATCH(C1615,Pop_Inputs!$A$2:$A$29,0))</f>
        <v>West</v>
      </c>
      <c r="W1615" s="29" t="n">
        <v>9561002</v>
      </c>
      <c r="X1615" s="3" t="n">
        <f aca="false">IF(W1615="","",LN(W1615))</f>
        <v>16.0732030912507</v>
      </c>
      <c r="Y1615" s="3" t="n">
        <f aca="false">IF(X1615="","",X1615-AVERAGEIFS($X$2:$X$2705,$B$2:$B$2705,B1615))</f>
        <v>-0.143484426803095</v>
      </c>
      <c r="Z1615" s="21" t="n">
        <f aca="false">P1615</f>
        <v>0.236631425521795</v>
      </c>
      <c r="AA1615" s="3" t="n">
        <f aca="false">R1615</f>
        <v>0</v>
      </c>
      <c r="AB1615" s="21" t="n">
        <f aca="false">P1615</f>
        <v>0.236631425521795</v>
      </c>
      <c r="AC1615" s="3" t="n">
        <f aca="false">Y1615</f>
        <v>-0.143484426803095</v>
      </c>
      <c r="AD1615" s="3" t="n">
        <f aca="false">R1615</f>
        <v>0</v>
      </c>
    </row>
    <row r="1616" customFormat="false" ht="15" hidden="false" customHeight="true" outlineLevel="0" collapsed="false">
      <c r="A1616" s="7" t="s">
        <v>80</v>
      </c>
      <c r="B1616" s="7" t="n">
        <v>1988</v>
      </c>
      <c r="C1616" s="7" t="s">
        <v>161</v>
      </c>
      <c r="D1616" s="7" t="n">
        <v>68</v>
      </c>
      <c r="E1616" s="7" t="n">
        <v>93</v>
      </c>
      <c r="F1616" s="3" t="n">
        <f aca="false">COUNTIFS($B$2:$B$2705,B1616,$C$2:$C$2705,C1616)</f>
        <v>1</v>
      </c>
      <c r="G1616" s="3" t="n">
        <f aca="false">MIN(INT((MIN(B1616,2020)-1900)/10)+1,12)</f>
        <v>9</v>
      </c>
      <c r="H1616" s="3" t="n">
        <f aca="false">(MIN(B1616,2020)-1900-10*(G1616-1))/10</f>
        <v>0.8</v>
      </c>
      <c r="I1616" s="20" t="n">
        <f aca="false">EXP(LN(INDEX(Pop_Inputs!$B$2:$N$29,MATCH(C1616,Pop_Inputs!$A$2:$A$29,0),G1616))*(1-H1616)+LN(INDEX(Pop_Inputs!$B$2:$N$29,MATCH(C1616,Pop_Inputs!$A$2:$A$29,0),G1616+1))*H1616)</f>
        <v>511696.46506478</v>
      </c>
      <c r="J1616" s="20" t="n">
        <f aca="false">I1616/F1616</f>
        <v>511696.46506478</v>
      </c>
      <c r="K1616" s="21" t="n">
        <f aca="false">D1616/(D1616+E1616)</f>
        <v>0.422360248447205</v>
      </c>
      <c r="L1616" s="21" t="n">
        <f aca="false">AVERAGEIFS($K$2:$K$2705,$B$2:$B$2705,B1616)</f>
        <v>0.499932148165844</v>
      </c>
      <c r="M1616" s="21" t="n">
        <f aca="false">K1616-L1616</f>
        <v>-0.0775718997186388</v>
      </c>
      <c r="N1616" s="21" t="n">
        <f aca="false">LN(J1616)</f>
        <v>13.1454868865512</v>
      </c>
      <c r="O1616" s="21" t="n">
        <f aca="false">AVERAGEIFS($N$2:$N$2705,$B$2:$B$2705,B1616)</f>
        <v>13.6361793776745</v>
      </c>
      <c r="P1616" s="21" t="n">
        <f aca="false">N1616-O1616</f>
        <v>-0.490692491123316</v>
      </c>
      <c r="Q1616" s="7" t="n">
        <v>1</v>
      </c>
      <c r="R1616" s="3" t="n">
        <f aca="false">IF(AND(Q1616=1,B1616-_xlfn.MINIFS($B$2:$B$2705,$A$2:$A$2705,A1616)&lt;10),1,0)</f>
        <v>0</v>
      </c>
      <c r="S1616" s="7" t="n">
        <v>0</v>
      </c>
      <c r="T1616" s="3" t="n">
        <f aca="false">_xlfn.MINIFS($B$2:$B$2705,$A$2:$A$2705,A1616)</f>
        <v>1977</v>
      </c>
      <c r="U1616" s="3" t="n">
        <f aca="false">B1616-T1616</f>
        <v>11</v>
      </c>
      <c r="V1616" s="3" t="str">
        <f aca="false">INDEX(Pop_Inputs!$Q$2:$Q$29,MATCH(C1616,Pop_Inputs!$A$2:$A$29,0))</f>
        <v>West</v>
      </c>
      <c r="W1616" s="29" t="n">
        <v>7342450</v>
      </c>
      <c r="X1616" s="3" t="n">
        <f aca="false">IF(W1616="","",LN(W1616))</f>
        <v>15.809183132362</v>
      </c>
      <c r="Y1616" s="3" t="n">
        <f aca="false">IF(X1616="","",X1616-AVERAGEIFS($X$2:$X$2705,$B$2:$B$2705,B1616))</f>
        <v>-0.4075043856918</v>
      </c>
      <c r="Z1616" s="21" t="n">
        <f aca="false">P1616</f>
        <v>-0.490692491123316</v>
      </c>
      <c r="AA1616" s="3" t="n">
        <f aca="false">R1616</f>
        <v>0</v>
      </c>
      <c r="AB1616" s="21" t="n">
        <f aca="false">P1616</f>
        <v>-0.490692491123316</v>
      </c>
      <c r="AC1616" s="3" t="n">
        <f aca="false">Y1616</f>
        <v>-0.4075043856918</v>
      </c>
      <c r="AD1616" s="3" t="n">
        <f aca="false">R1616</f>
        <v>0</v>
      </c>
    </row>
    <row r="1617" customFormat="false" ht="15" hidden="false" customHeight="true" outlineLevel="0" collapsed="false">
      <c r="A1617" s="7" t="s">
        <v>61</v>
      </c>
      <c r="B1617" s="7" t="n">
        <v>1988</v>
      </c>
      <c r="C1617" s="7" t="s">
        <v>147</v>
      </c>
      <c r="D1617" s="7" t="n">
        <v>83</v>
      </c>
      <c r="E1617" s="7" t="n">
        <v>79</v>
      </c>
      <c r="F1617" s="3" t="n">
        <f aca="false">COUNTIFS($B$2:$B$2705,B1617,$C$2:$C$2705,C1617)</f>
        <v>1</v>
      </c>
      <c r="G1617" s="3" t="n">
        <f aca="false">MIN(INT((MIN(B1617,2020)-1900)/10)+1,12)</f>
        <v>9</v>
      </c>
      <c r="H1617" s="3" t="n">
        <f aca="false">(MIN(B1617,2020)-1900-10*(G1617-1))/10</f>
        <v>0.8</v>
      </c>
      <c r="I1617" s="20" t="n">
        <f aca="false">EXP(LN(INDEX(Pop_Inputs!$B$2:$N$29,MATCH(C1617,Pop_Inputs!$A$2:$A$29,0),G1617))*(1-H1617)+LN(INDEX(Pop_Inputs!$B$2:$N$29,MATCH(C1617,Pop_Inputs!$A$2:$A$29,0),G1617+1))*H1617)</f>
        <v>714729.6617922</v>
      </c>
      <c r="J1617" s="20" t="n">
        <f aca="false">I1617/F1617</f>
        <v>714729.6617922</v>
      </c>
      <c r="K1617" s="21" t="n">
        <f aca="false">D1617/(D1617+E1617)</f>
        <v>0.512345679012346</v>
      </c>
      <c r="L1617" s="21" t="n">
        <f aca="false">AVERAGEIFS($K$2:$K$2705,$B$2:$B$2705,B1617)</f>
        <v>0.499932148165844</v>
      </c>
      <c r="M1617" s="21" t="n">
        <f aca="false">K1617-L1617</f>
        <v>0.0124135308465019</v>
      </c>
      <c r="N1617" s="21" t="n">
        <f aca="false">LN(J1617)</f>
        <v>13.4796596547845</v>
      </c>
      <c r="O1617" s="21" t="n">
        <f aca="false">AVERAGEIFS($N$2:$N$2705,$B$2:$B$2705,B1617)</f>
        <v>13.6361793776745</v>
      </c>
      <c r="P1617" s="21" t="n">
        <f aca="false">N1617-O1617</f>
        <v>-0.156519722889968</v>
      </c>
      <c r="Q1617" s="7" t="n">
        <v>0</v>
      </c>
      <c r="R1617" s="3" t="n">
        <f aca="false">IF(AND(Q1617=1,B1617-_xlfn.MINIFS($B$2:$B$2705,$A$2:$A$2705,A1617)&lt;10),1,0)</f>
        <v>0</v>
      </c>
      <c r="S1617" s="7" t="n">
        <v>0</v>
      </c>
      <c r="T1617" s="3" t="n">
        <f aca="false">_xlfn.MINIFS($B$2:$B$2705,$A$2:$A$2705,A1617)</f>
        <v>1901</v>
      </c>
      <c r="U1617" s="3" t="n">
        <f aca="false">B1617-T1617</f>
        <v>87</v>
      </c>
      <c r="V1617" s="3" t="str">
        <f aca="false">INDEX(Pop_Inputs!$Q$2:$Q$29,MATCH(C1617,Pop_Inputs!$A$2:$A$29,0))</f>
        <v>West</v>
      </c>
      <c r="W1617" s="29" t="n">
        <v>12380000</v>
      </c>
      <c r="X1617" s="3" t="n">
        <f aca="false">IF(W1617="","",LN(W1617))</f>
        <v>16.3315928252207</v>
      </c>
      <c r="Y1617" s="3" t="n">
        <f aca="false">IF(X1617="","",X1617-AVERAGEIFS($X$2:$X$2705,$B$2:$B$2705,B1617))</f>
        <v>0.114905307166929</v>
      </c>
      <c r="Z1617" s="21" t="n">
        <f aca="false">P1617</f>
        <v>-0.156519722889968</v>
      </c>
      <c r="AA1617" s="3" t="n">
        <f aca="false">R1617</f>
        <v>0</v>
      </c>
      <c r="AB1617" s="21" t="n">
        <f aca="false">P1617</f>
        <v>-0.156519722889968</v>
      </c>
      <c r="AC1617" s="3" t="n">
        <f aca="false">Y1617</f>
        <v>0.114905307166929</v>
      </c>
      <c r="AD1617" s="3" t="n">
        <f aca="false">R1617</f>
        <v>0</v>
      </c>
    </row>
    <row r="1618" customFormat="false" ht="15" hidden="false" customHeight="true" outlineLevel="0" collapsed="false">
      <c r="A1618" s="7" t="s">
        <v>59</v>
      </c>
      <c r="B1618" s="7" t="n">
        <v>1988</v>
      </c>
      <c r="C1618" s="7" t="s">
        <v>145</v>
      </c>
      <c r="D1618" s="7" t="n">
        <v>76</v>
      </c>
      <c r="E1618" s="7" t="n">
        <v>86</v>
      </c>
      <c r="F1618" s="3" t="n">
        <f aca="false">COUNTIFS($B$2:$B$2705,B1618,$C$2:$C$2705,C1618)</f>
        <v>1</v>
      </c>
      <c r="G1618" s="3" t="n">
        <f aca="false">MIN(INT((MIN(B1618,2020)-1900)/10)+1,12)</f>
        <v>9</v>
      </c>
      <c r="H1618" s="3" t="n">
        <f aca="false">(MIN(B1618,2020)-1900-10*(G1618-1))/10</f>
        <v>0.8</v>
      </c>
      <c r="I1618" s="20" t="n">
        <f aca="false">EXP(LN(INDEX(Pop_Inputs!$B$2:$N$29,MATCH(C1618,Pop_Inputs!$A$2:$A$29,0),G1618))*(1-H1618)+LN(INDEX(Pop_Inputs!$B$2:$N$29,MATCH(C1618,Pop_Inputs!$A$2:$A$29,0),G1618+1))*H1618)</f>
        <v>407502.688398624</v>
      </c>
      <c r="J1618" s="20" t="n">
        <f aca="false">I1618/F1618</f>
        <v>407502.688398624</v>
      </c>
      <c r="K1618" s="21" t="n">
        <f aca="false">D1618/(D1618+E1618)</f>
        <v>0.469135802469136</v>
      </c>
      <c r="L1618" s="21" t="n">
        <f aca="false">AVERAGEIFS($K$2:$K$2705,$B$2:$B$2705,B1618)</f>
        <v>0.499932148165844</v>
      </c>
      <c r="M1618" s="21" t="n">
        <f aca="false">K1618-L1618</f>
        <v>-0.030796345696708</v>
      </c>
      <c r="N1618" s="21" t="n">
        <f aca="false">LN(J1618)</f>
        <v>12.9178028089385</v>
      </c>
      <c r="O1618" s="21" t="n">
        <f aca="false">AVERAGEIFS($N$2:$N$2705,$B$2:$B$2705,B1618)</f>
        <v>13.6361793776745</v>
      </c>
      <c r="P1618" s="21" t="n">
        <f aca="false">N1618-O1618</f>
        <v>-0.718376568735973</v>
      </c>
      <c r="Q1618" s="7" t="n">
        <v>0</v>
      </c>
      <c r="R1618" s="3" t="n">
        <f aca="false">IF(AND(Q1618=1,B1618-_xlfn.MINIFS($B$2:$B$2705,$A$2:$A$2705,A1618)&lt;10),1,0)</f>
        <v>0</v>
      </c>
      <c r="S1618" s="7" t="n">
        <v>0</v>
      </c>
      <c r="T1618" s="3" t="n">
        <f aca="false">_xlfn.MINIFS($B$2:$B$2705,$A$2:$A$2705,A1618)</f>
        <v>1901</v>
      </c>
      <c r="U1618" s="3" t="n">
        <f aca="false">B1618-T1618</f>
        <v>87</v>
      </c>
      <c r="V1618" s="3" t="str">
        <f aca="false">INDEX(Pop_Inputs!$Q$2:$Q$29,MATCH(C1618,Pop_Inputs!$A$2:$A$29,0))</f>
        <v>Midwest</v>
      </c>
      <c r="W1618" s="29" t="n">
        <v>12880000</v>
      </c>
      <c r="X1618" s="3" t="n">
        <f aca="false">IF(W1618="","",LN(W1618))</f>
        <v>16.3711862786405</v>
      </c>
      <c r="Y1618" s="3" t="n">
        <f aca="false">IF(X1618="","",X1618-AVERAGEIFS($X$2:$X$2705,$B$2:$B$2705,B1618))</f>
        <v>0.154498760586687</v>
      </c>
      <c r="Z1618" s="21" t="n">
        <f aca="false">P1618</f>
        <v>-0.718376568735973</v>
      </c>
      <c r="AA1618" s="3" t="n">
        <f aca="false">R1618</f>
        <v>0</v>
      </c>
      <c r="AB1618" s="21" t="n">
        <f aca="false">P1618</f>
        <v>-0.718376568735973</v>
      </c>
      <c r="AC1618" s="3" t="n">
        <f aca="false">Y1618</f>
        <v>0.154498760586687</v>
      </c>
      <c r="AD1618" s="3" t="n">
        <f aca="false">R1618</f>
        <v>0</v>
      </c>
    </row>
    <row r="1619" customFormat="false" ht="15" hidden="false" customHeight="true" outlineLevel="0" collapsed="false">
      <c r="A1619" s="7" t="s">
        <v>73</v>
      </c>
      <c r="B1619" s="7" t="n">
        <v>1988</v>
      </c>
      <c r="C1619" s="7" t="s">
        <v>155</v>
      </c>
      <c r="D1619" s="7" t="n">
        <v>70</v>
      </c>
      <c r="E1619" s="7" t="n">
        <v>91</v>
      </c>
      <c r="F1619" s="3" t="n">
        <f aca="false">COUNTIFS($B$2:$B$2705,B1619,$C$2:$C$2705,C1619)</f>
        <v>1</v>
      </c>
      <c r="G1619" s="3" t="n">
        <f aca="false">MIN(INT((MIN(B1619,2020)-1900)/10)+1,12)</f>
        <v>9</v>
      </c>
      <c r="H1619" s="3" t="n">
        <f aca="false">(MIN(B1619,2020)-1900-10*(G1619-1))/10</f>
        <v>0.8</v>
      </c>
      <c r="I1619" s="20" t="n">
        <f aca="false">EXP(LN(INDEX(Pop_Inputs!$B$2:$N$29,MATCH(C1619,Pop_Inputs!$A$2:$A$29,0),G1619))*(1-H1619)+LN(INDEX(Pop_Inputs!$B$2:$N$29,MATCH(C1619,Pop_Inputs!$A$2:$A$29,0),G1619+1))*H1619)</f>
        <v>985500.436822222</v>
      </c>
      <c r="J1619" s="20" t="n">
        <f aca="false">I1619/F1619</f>
        <v>985500.436822222</v>
      </c>
      <c r="K1619" s="21" t="n">
        <f aca="false">D1619/(D1619+E1619)</f>
        <v>0.434782608695652</v>
      </c>
      <c r="L1619" s="21" t="n">
        <f aca="false">AVERAGEIFS($K$2:$K$2705,$B$2:$B$2705,B1619)</f>
        <v>0.499932148165844</v>
      </c>
      <c r="M1619" s="21" t="n">
        <f aca="false">K1619-L1619</f>
        <v>-0.0651495394701916</v>
      </c>
      <c r="N1619" s="21" t="n">
        <f aca="false">LN(J1619)</f>
        <v>13.8009048488242</v>
      </c>
      <c r="O1619" s="21" t="n">
        <f aca="false">AVERAGEIFS($N$2:$N$2705,$B$2:$B$2705,B1619)</f>
        <v>13.6361793776745</v>
      </c>
      <c r="P1619" s="21" t="n">
        <f aca="false">N1619-O1619</f>
        <v>0.16472547114965</v>
      </c>
      <c r="Q1619" s="7" t="n">
        <v>1</v>
      </c>
      <c r="R1619" s="3" t="n">
        <f aca="false">IF(AND(Q1619=1,B1619-_xlfn.MINIFS($B$2:$B$2705,$A$2:$A$2705,A1619)&lt;10),1,0)</f>
        <v>0</v>
      </c>
      <c r="S1619" s="7" t="n">
        <v>0</v>
      </c>
      <c r="T1619" s="3" t="n">
        <f aca="false">_xlfn.MINIFS($B$2:$B$2705,$A$2:$A$2705,A1619)</f>
        <v>1961</v>
      </c>
      <c r="U1619" s="3" t="n">
        <f aca="false">B1619-T1619</f>
        <v>27</v>
      </c>
      <c r="V1619" s="3" t="str">
        <f aca="false">INDEX(Pop_Inputs!$Q$2:$Q$29,MATCH(C1619,Pop_Inputs!$A$2:$A$29,0))</f>
        <v>South</v>
      </c>
      <c r="W1619" s="29" t="n">
        <v>5342131</v>
      </c>
      <c r="X1619" s="3" t="n">
        <f aca="false">IF(W1619="","",LN(W1619))</f>
        <v>15.4911351950021</v>
      </c>
      <c r="Y1619" s="3" t="n">
        <f aca="false">IF(X1619="","",X1619-AVERAGEIFS($X$2:$X$2705,$B$2:$B$2705,B1619))</f>
        <v>-0.725552323051735</v>
      </c>
      <c r="Z1619" s="21" t="n">
        <f aca="false">P1619</f>
        <v>0.16472547114965</v>
      </c>
      <c r="AA1619" s="3" t="n">
        <f aca="false">R1619</f>
        <v>0</v>
      </c>
      <c r="AB1619" s="21" t="n">
        <f aca="false">P1619</f>
        <v>0.16472547114965</v>
      </c>
      <c r="AC1619" s="3" t="n">
        <f aca="false">Y1619</f>
        <v>-0.725552323051735</v>
      </c>
      <c r="AD1619" s="3" t="n">
        <f aca="false">R1619</f>
        <v>0</v>
      </c>
    </row>
    <row r="1620" customFormat="false" ht="15" hidden="false" customHeight="true" outlineLevel="0" collapsed="false">
      <c r="A1620" s="7" t="s">
        <v>81</v>
      </c>
      <c r="B1620" s="7" t="n">
        <v>1988</v>
      </c>
      <c r="C1620" s="7" t="s">
        <v>162</v>
      </c>
      <c r="D1620" s="7" t="n">
        <v>87</v>
      </c>
      <c r="E1620" s="7" t="n">
        <v>75</v>
      </c>
      <c r="F1620" s="3" t="n">
        <f aca="false">COUNTIFS($B$2:$B$2705,B1620,$C$2:$C$2705,C1620)</f>
        <v>1</v>
      </c>
      <c r="G1620" s="3" t="n">
        <f aca="false">MIN(INT((MIN(B1620,2020)-1900)/10)+1,12)</f>
        <v>9</v>
      </c>
      <c r="H1620" s="3" t="n">
        <f aca="false">(MIN(B1620,2020)-1900-10*(G1620-1))/10</f>
        <v>0.8</v>
      </c>
      <c r="I1620" s="20" t="n">
        <f aca="false">EXP(LN(INDEX(Pop_Inputs!$B$2:$N$29,MATCH(C1620,Pop_Inputs!$A$2:$A$29,0),G1620))*(1-H1620)+LN(INDEX(Pop_Inputs!$B$2:$N$29,MATCH(C1620,Pop_Inputs!$A$2:$A$29,0),G1620+1))*H1620)</f>
        <v>627988.744030273</v>
      </c>
      <c r="J1620" s="20" t="n">
        <f aca="false">I1620/F1620</f>
        <v>627988.744030273</v>
      </c>
      <c r="K1620" s="21" t="n">
        <f aca="false">D1620/(D1620+E1620)</f>
        <v>0.537037037037037</v>
      </c>
      <c r="L1620" s="21" t="n">
        <f aca="false">AVERAGEIFS($K$2:$K$2705,$B$2:$B$2705,B1620)</f>
        <v>0.499932148165844</v>
      </c>
      <c r="M1620" s="21" t="n">
        <f aca="false">K1620-L1620</f>
        <v>0.0371048888711933</v>
      </c>
      <c r="N1620" s="21" t="n">
        <f aca="false">LN(J1620)</f>
        <v>13.350277521771</v>
      </c>
      <c r="O1620" s="21" t="n">
        <f aca="false">AVERAGEIFS($N$2:$N$2705,$B$2:$B$2705,B1620)</f>
        <v>13.6361793776745</v>
      </c>
      <c r="P1620" s="21" t="n">
        <f aca="false">N1620-O1620</f>
        <v>-0.285901855903468</v>
      </c>
      <c r="Q1620" s="7" t="n">
        <v>1</v>
      </c>
      <c r="R1620" s="3" t="n">
        <f aca="false">IF(AND(Q1620=1,B1620-_xlfn.MINIFS($B$2:$B$2705,$A$2:$A$2705,A1620)&lt;10),1,0)</f>
        <v>0</v>
      </c>
      <c r="S1620" s="7" t="n">
        <v>0</v>
      </c>
      <c r="T1620" s="3" t="n">
        <f aca="false">_xlfn.MINIFS($B$2:$B$2705,$A$2:$A$2705,A1620)</f>
        <v>1977</v>
      </c>
      <c r="U1620" s="3" t="n">
        <f aca="false">B1620-T1620</f>
        <v>11</v>
      </c>
      <c r="V1620" s="3" t="str">
        <f aca="false">INDEX(Pop_Inputs!$Q$2:$Q$29,MATCH(C1620,Pop_Inputs!$A$2:$A$29,0))</f>
        <v>Canada</v>
      </c>
      <c r="W1620" s="29" t="n">
        <v>12241225</v>
      </c>
      <c r="X1620" s="3" t="n">
        <f aca="false">IF(W1620="","",LN(W1620))</f>
        <v>16.32031991174</v>
      </c>
      <c r="Y1620" s="3" t="n">
        <f aca="false">IF(X1620="","",X1620-AVERAGEIFS($X$2:$X$2705,$B$2:$B$2705,B1620))</f>
        <v>0.103632393686166</v>
      </c>
      <c r="Z1620" s="21" t="n">
        <f aca="false">P1620</f>
        <v>-0.285901855903468</v>
      </c>
      <c r="AA1620" s="3" t="n">
        <f aca="false">R1620</f>
        <v>0</v>
      </c>
      <c r="AB1620" s="21" t="n">
        <f aca="false">P1620</f>
        <v>-0.285901855903468</v>
      </c>
      <c r="AC1620" s="3" t="n">
        <f aca="false">Y1620</f>
        <v>0.103632393686166</v>
      </c>
      <c r="AD1620" s="3" t="n">
        <f aca="false">R1620</f>
        <v>0</v>
      </c>
    </row>
    <row r="1621" customFormat="false" ht="15" hidden="false" customHeight="true" outlineLevel="0" collapsed="false">
      <c r="A1621" s="7" t="s">
        <v>79</v>
      </c>
      <c r="B1621" s="7" t="n">
        <v>1988</v>
      </c>
      <c r="C1621" s="7" t="s">
        <v>254</v>
      </c>
      <c r="D1621" s="7" t="n">
        <v>81</v>
      </c>
      <c r="E1621" s="7" t="n">
        <v>81</v>
      </c>
      <c r="F1621" s="3" t="n">
        <f aca="false">COUNTIFS($B$2:$B$2705,B1621,$C$2:$C$2705,C1621)</f>
        <v>1</v>
      </c>
      <c r="G1621" s="3" t="n">
        <f aca="false">MIN(INT((MIN(B1621,2020)-1900)/10)+1,12)</f>
        <v>9</v>
      </c>
      <c r="H1621" s="3" t="n">
        <f aca="false">(MIN(B1621,2020)-1900-10*(G1621-1))/10</f>
        <v>0.8</v>
      </c>
      <c r="I1621" s="20" t="n">
        <f aca="false">EXP(LN(INDEX(Pop_Inputs!$B$2:$N$29,MATCH(C1621,Pop_Inputs!$A$2:$A$29,0),G1621))*(1-H1621)+LN(INDEX(Pop_Inputs!$B$2:$N$29,MATCH(C1621,Pop_Inputs!$A$2:$A$29,0),G1621+1))*H1621)</f>
        <v>1010091.68744568</v>
      </c>
      <c r="J1621" s="20" t="n">
        <f aca="false">I1621/F1621</f>
        <v>1010091.68744568</v>
      </c>
      <c r="K1621" s="21" t="n">
        <f aca="false">D1621/(D1621+E1621)</f>
        <v>0.5</v>
      </c>
      <c r="L1621" s="21" t="n">
        <f aca="false">AVERAGEIFS($K$2:$K$2705,$B$2:$B$2705,B1621)</f>
        <v>0.499932148165844</v>
      </c>
      <c r="M1621" s="21" t="n">
        <f aca="false">K1621-L1621</f>
        <v>6.78518341561962E-005</v>
      </c>
      <c r="N1621" s="21" t="n">
        <f aca="false">LN(J1621)</f>
        <v>13.8255516643464</v>
      </c>
      <c r="O1621" s="21" t="n">
        <f aca="false">AVERAGEIFS($N$2:$N$2705,$B$2:$B$2705,B1621)</f>
        <v>13.6361793776745</v>
      </c>
      <c r="P1621" s="21" t="n">
        <f aca="false">N1621-O1621</f>
        <v>0.189372286671908</v>
      </c>
      <c r="Q1621" s="7" t="n">
        <v>1</v>
      </c>
      <c r="R1621" s="3" t="n">
        <f aca="false">IF(AND(Q1621=1,B1621-_xlfn.MINIFS($B$2:$B$2705,$A$2:$A$2705,A1621)&lt;10),1,0)</f>
        <v>0</v>
      </c>
      <c r="S1621" s="7" t="n">
        <v>0</v>
      </c>
      <c r="T1621" s="3" t="n">
        <f aca="false">_xlfn.MINIFS($B$2:$B$2705,$A$2:$A$2705,A1621)</f>
        <v>1969</v>
      </c>
      <c r="U1621" s="3" t="n">
        <f aca="false">B1621-T1621</f>
        <v>19</v>
      </c>
      <c r="V1621" s="3" t="str">
        <f aca="false">INDEX(Pop_Inputs!$Q$2:$Q$29,MATCH(C1621,Pop_Inputs!$A$2:$A$29,0))</f>
        <v>Canada</v>
      </c>
      <c r="W1621" s="29" t="n">
        <v>9603333</v>
      </c>
      <c r="X1621" s="3" t="n">
        <f aca="false">IF(W1621="","",LN(W1621))</f>
        <v>16.0776207836824</v>
      </c>
      <c r="Y1621" s="3" t="n">
        <f aca="false">IF(X1621="","",X1621-AVERAGEIFS($X$2:$X$2705,$B$2:$B$2705,B1621))</f>
        <v>-0.139066734371365</v>
      </c>
      <c r="Z1621" s="21" t="n">
        <f aca="false">P1621</f>
        <v>0.189372286671908</v>
      </c>
      <c r="AA1621" s="3" t="n">
        <f aca="false">R1621</f>
        <v>0</v>
      </c>
      <c r="AB1621" s="21" t="n">
        <f aca="false">P1621</f>
        <v>0.189372286671908</v>
      </c>
      <c r="AC1621" s="3" t="n">
        <f aca="false">Y1621</f>
        <v>-0.139066734371365</v>
      </c>
      <c r="AD1621" s="3" t="n">
        <f aca="false">R1621</f>
        <v>0</v>
      </c>
    </row>
    <row r="1622" customFormat="false" ht="15" hidden="false" customHeight="true" outlineLevel="0" collapsed="false">
      <c r="A1622" s="7" t="s">
        <v>71</v>
      </c>
      <c r="B1622" s="7" t="n">
        <v>1989</v>
      </c>
      <c r="C1622" s="7" t="s">
        <v>148</v>
      </c>
      <c r="D1622" s="7" t="n">
        <v>91</v>
      </c>
      <c r="E1622" s="7" t="n">
        <v>71</v>
      </c>
      <c r="F1622" s="3" t="n">
        <f aca="false">COUNTIFS($B$2:$B$2705,B1622,$C$2:$C$2705,C1622)</f>
        <v>2</v>
      </c>
      <c r="G1622" s="3" t="n">
        <f aca="false">MIN(INT((MIN(B1622,2020)-1900)/10)+1,12)</f>
        <v>9</v>
      </c>
      <c r="H1622" s="3" t="n">
        <f aca="false">(MIN(B1622,2020)-1900-10*(G1622-1))/10</f>
        <v>0.9</v>
      </c>
      <c r="I1622" s="20" t="n">
        <f aca="false">EXP(LN(INDEX(Pop_Inputs!$B$2:$N$29,MATCH(C1622,Pop_Inputs!$A$2:$A$29,0),G1622))*(1-H1622)+LN(INDEX(Pop_Inputs!$B$2:$N$29,MATCH(C1622,Pop_Inputs!$A$2:$A$29,0),G1622+1))*H1622)</f>
        <v>3429704.46504466</v>
      </c>
      <c r="J1622" s="20" t="n">
        <f aca="false">I1622/F1622</f>
        <v>1714852.23252233</v>
      </c>
      <c r="K1622" s="21" t="n">
        <f aca="false">D1622/(D1622+E1622)</f>
        <v>0.561728395061728</v>
      </c>
      <c r="L1622" s="21" t="n">
        <f aca="false">AVERAGEIFS($K$2:$K$2705,$B$2:$B$2705,B1622)</f>
        <v>0.499914102269175</v>
      </c>
      <c r="M1622" s="21" t="n">
        <f aca="false">K1622-L1622</f>
        <v>0.0618142927925537</v>
      </c>
      <c r="N1622" s="21" t="n">
        <f aca="false">LN(J1622)</f>
        <v>14.3548374730755</v>
      </c>
      <c r="O1622" s="21" t="n">
        <f aca="false">AVERAGEIFS($N$2:$N$2705,$B$2:$B$2705,B1622)</f>
        <v>13.6363974739277</v>
      </c>
      <c r="P1622" s="21" t="n">
        <f aca="false">N1622-O1622</f>
        <v>0.718439999147742</v>
      </c>
      <c r="Q1622" s="7" t="n">
        <v>1</v>
      </c>
      <c r="R1622" s="3" t="n">
        <f aca="false">IF(AND(Q1622=1,B1622-_xlfn.MINIFS($B$2:$B$2705,$A$2:$A$2705,A1622)&lt;10),1,0)</f>
        <v>0</v>
      </c>
      <c r="S1622" s="7" t="n">
        <v>0</v>
      </c>
      <c r="T1622" s="3" t="n">
        <f aca="false">_xlfn.MINIFS($B$2:$B$2705,$A$2:$A$2705,A1622)</f>
        <v>1961</v>
      </c>
      <c r="U1622" s="3" t="n">
        <f aca="false">B1622-T1622</f>
        <v>28</v>
      </c>
      <c r="V1622" s="3" t="str">
        <f aca="false">INDEX(Pop_Inputs!$Q$2:$Q$29,MATCH(C1622,Pop_Inputs!$A$2:$A$29,0))</f>
        <v>West</v>
      </c>
      <c r="W1622" s="29" t="n">
        <v>15097833</v>
      </c>
      <c r="X1622" s="3" t="n">
        <f aca="false">IF(W1622="","",LN(W1622))</f>
        <v>16.5300617815528</v>
      </c>
      <c r="Y1622" s="3" t="n">
        <f aca="false">IF(X1622="","",X1622-AVERAGEIFS($X$2:$X$2705,$B$2:$B$2705,B1622))</f>
        <v>0.120667162584951</v>
      </c>
      <c r="Z1622" s="21" t="n">
        <f aca="false">P1622</f>
        <v>0.718439999147742</v>
      </c>
      <c r="AA1622" s="3" t="n">
        <f aca="false">R1622</f>
        <v>0</v>
      </c>
      <c r="AB1622" s="21" t="n">
        <f aca="false">P1622</f>
        <v>0.718439999147742</v>
      </c>
      <c r="AC1622" s="3" t="n">
        <f aca="false">Y1622</f>
        <v>0.120667162584951</v>
      </c>
      <c r="AD1622" s="3" t="n">
        <f aca="false">R1622</f>
        <v>0</v>
      </c>
    </row>
    <row r="1623" customFormat="false" ht="15" hidden="false" customHeight="true" outlineLevel="0" collapsed="false">
      <c r="A1623" s="7" t="s">
        <v>54</v>
      </c>
      <c r="B1623" s="7" t="n">
        <v>1989</v>
      </c>
      <c r="C1623" s="7" t="s">
        <v>141</v>
      </c>
      <c r="D1623" s="7" t="n">
        <v>63</v>
      </c>
      <c r="E1623" s="7" t="n">
        <v>97</v>
      </c>
      <c r="F1623" s="3" t="n">
        <f aca="false">COUNTIFS($B$2:$B$2705,B1623,$C$2:$C$2705,C1623)</f>
        <v>1</v>
      </c>
      <c r="G1623" s="3" t="n">
        <f aca="false">MIN(INT((MIN(B1623,2020)-1900)/10)+1,12)</f>
        <v>9</v>
      </c>
      <c r="H1623" s="3" t="n">
        <f aca="false">(MIN(B1623,2020)-1900-10*(G1623-1))/10</f>
        <v>0.9</v>
      </c>
      <c r="I1623" s="20" t="n">
        <f aca="false">EXP(LN(INDEX(Pop_Inputs!$B$2:$N$29,MATCH(C1623,Pop_Inputs!$A$2:$A$29,0),G1623))*(1-H1623)+LN(INDEX(Pop_Inputs!$B$2:$N$29,MATCH(C1623,Pop_Inputs!$A$2:$A$29,0),G1623+1))*H1623)</f>
        <v>397012.887845339</v>
      </c>
      <c r="J1623" s="20" t="n">
        <f aca="false">I1623/F1623</f>
        <v>397012.887845339</v>
      </c>
      <c r="K1623" s="21" t="n">
        <f aca="false">D1623/(D1623+E1623)</f>
        <v>0.39375</v>
      </c>
      <c r="L1623" s="21" t="n">
        <f aca="false">AVERAGEIFS($K$2:$K$2705,$B$2:$B$2705,B1623)</f>
        <v>0.499914102269175</v>
      </c>
      <c r="M1623" s="21" t="n">
        <f aca="false">K1623-L1623</f>
        <v>-0.106164102269175</v>
      </c>
      <c r="N1623" s="21" t="n">
        <f aca="false">LN(J1623)</f>
        <v>12.8917240222289</v>
      </c>
      <c r="O1623" s="21" t="n">
        <f aca="false">AVERAGEIFS($N$2:$N$2705,$B$2:$B$2705,B1623)</f>
        <v>13.6363974739277</v>
      </c>
      <c r="P1623" s="21" t="n">
        <f aca="false">N1623-O1623</f>
        <v>-0.744673451698823</v>
      </c>
      <c r="Q1623" s="7" t="n">
        <v>0</v>
      </c>
      <c r="R1623" s="3" t="n">
        <f aca="false">IF(AND(Q1623=1,B1623-_xlfn.MINIFS($B$2:$B$2705,$A$2:$A$2705,A1623)&lt;10),1,0)</f>
        <v>0</v>
      </c>
      <c r="S1623" s="7" t="n">
        <v>0</v>
      </c>
      <c r="T1623" s="3" t="n">
        <f aca="false">_xlfn.MINIFS($B$2:$B$2705,$A$2:$A$2705,A1623)</f>
        <v>1901</v>
      </c>
      <c r="U1623" s="3" t="n">
        <f aca="false">B1623-T1623</f>
        <v>88</v>
      </c>
      <c r="V1623" s="3" t="str">
        <f aca="false">INDEX(Pop_Inputs!$Q$2:$Q$29,MATCH(C1623,Pop_Inputs!$A$2:$A$29,0))</f>
        <v>South</v>
      </c>
      <c r="W1623" s="29" t="n">
        <v>11112334</v>
      </c>
      <c r="X1623" s="3" t="n">
        <f aca="false">IF(W1623="","",LN(W1623))</f>
        <v>16.22356622056</v>
      </c>
      <c r="Y1623" s="3" t="n">
        <f aca="false">IF(X1623="","",X1623-AVERAGEIFS($X$2:$X$2705,$B$2:$B$2705,B1623))</f>
        <v>-0.185828398407903</v>
      </c>
      <c r="Z1623" s="21" t="n">
        <f aca="false">P1623</f>
        <v>-0.744673451698823</v>
      </c>
      <c r="AA1623" s="3" t="n">
        <f aca="false">R1623</f>
        <v>0</v>
      </c>
      <c r="AB1623" s="21" t="n">
        <f aca="false">P1623</f>
        <v>-0.744673451698823</v>
      </c>
      <c r="AC1623" s="3" t="n">
        <f aca="false">Y1623</f>
        <v>-0.185828398407903</v>
      </c>
      <c r="AD1623" s="3" t="n">
        <f aca="false">R1623</f>
        <v>0</v>
      </c>
    </row>
    <row r="1624" customFormat="false" ht="15" hidden="false" customHeight="true" outlineLevel="0" collapsed="false">
      <c r="A1624" s="7" t="s">
        <v>63</v>
      </c>
      <c r="B1624" s="7" t="n">
        <v>1989</v>
      </c>
      <c r="C1624" s="7" t="s">
        <v>149</v>
      </c>
      <c r="D1624" s="7" t="n">
        <v>87</v>
      </c>
      <c r="E1624" s="7" t="n">
        <v>75</v>
      </c>
      <c r="F1624" s="3" t="n">
        <f aca="false">COUNTIFS($B$2:$B$2705,B1624,$C$2:$C$2705,C1624)</f>
        <v>1</v>
      </c>
      <c r="G1624" s="3" t="n">
        <f aca="false">MIN(INT((MIN(B1624,2020)-1900)/10)+1,12)</f>
        <v>9</v>
      </c>
      <c r="H1624" s="3" t="n">
        <f aca="false">(MIN(B1624,2020)-1900-10*(G1624-1))/10</f>
        <v>0.9</v>
      </c>
      <c r="I1624" s="20" t="n">
        <f aca="false">EXP(LN(INDEX(Pop_Inputs!$B$2:$N$29,MATCH(C1624,Pop_Inputs!$A$2:$A$29,0),G1624))*(1-H1624)+LN(INDEX(Pop_Inputs!$B$2:$N$29,MATCH(C1624,Pop_Inputs!$A$2:$A$29,0),G1624+1))*H1624)</f>
        <v>740939.116113978</v>
      </c>
      <c r="J1624" s="20" t="n">
        <f aca="false">I1624/F1624</f>
        <v>740939.116113978</v>
      </c>
      <c r="K1624" s="21" t="n">
        <f aca="false">D1624/(D1624+E1624)</f>
        <v>0.537037037037037</v>
      </c>
      <c r="L1624" s="21" t="n">
        <f aca="false">AVERAGEIFS($K$2:$K$2705,$B$2:$B$2705,B1624)</f>
        <v>0.499914102269175</v>
      </c>
      <c r="M1624" s="21" t="n">
        <f aca="false">K1624-L1624</f>
        <v>0.0371229347678623</v>
      </c>
      <c r="N1624" s="21" t="n">
        <f aca="false">LN(J1624)</f>
        <v>13.515673736414</v>
      </c>
      <c r="O1624" s="21" t="n">
        <f aca="false">AVERAGEIFS($N$2:$N$2705,$B$2:$B$2705,B1624)</f>
        <v>13.6363974739277</v>
      </c>
      <c r="P1624" s="21" t="n">
        <f aca="false">N1624-O1624</f>
        <v>-0.120723737513755</v>
      </c>
      <c r="Q1624" s="7" t="n">
        <v>0</v>
      </c>
      <c r="R1624" s="3" t="n">
        <f aca="false">IF(AND(Q1624=1,B1624-_xlfn.MINIFS($B$2:$B$2705,$A$2:$A$2705,A1624)&lt;10),1,0)</f>
        <v>0</v>
      </c>
      <c r="S1624" s="7" t="n">
        <v>0</v>
      </c>
      <c r="T1624" s="3" t="n">
        <f aca="false">_xlfn.MINIFS($B$2:$B$2705,$A$2:$A$2705,A1624)</f>
        <v>1901</v>
      </c>
      <c r="U1624" s="3" t="n">
        <f aca="false">B1624-T1624</f>
        <v>88</v>
      </c>
      <c r="V1624" s="3" t="str">
        <f aca="false">INDEX(Pop_Inputs!$Q$2:$Q$29,MATCH(C1624,Pop_Inputs!$A$2:$A$29,0))</f>
        <v>South</v>
      </c>
      <c r="W1624" s="29" t="n">
        <v>8275167</v>
      </c>
      <c r="X1624" s="3" t="n">
        <f aca="false">IF(W1624="","",LN(W1624))</f>
        <v>15.9287696602926</v>
      </c>
      <c r="Y1624" s="3" t="n">
        <f aca="false">IF(X1624="","",X1624-AVERAGEIFS($X$2:$X$2705,$B$2:$B$2705,B1624))</f>
        <v>-0.480624958675246</v>
      </c>
      <c r="Z1624" s="21" t="n">
        <f aca="false">P1624</f>
        <v>-0.120723737513755</v>
      </c>
      <c r="AA1624" s="3" t="n">
        <f aca="false">R1624</f>
        <v>0</v>
      </c>
      <c r="AB1624" s="21" t="n">
        <f aca="false">P1624</f>
        <v>-0.120723737513755</v>
      </c>
      <c r="AC1624" s="3" t="n">
        <f aca="false">Y1624</f>
        <v>-0.480624958675246</v>
      </c>
      <c r="AD1624" s="3" t="n">
        <f aca="false">R1624</f>
        <v>0</v>
      </c>
    </row>
    <row r="1625" customFormat="false" ht="15" hidden="false" customHeight="true" outlineLevel="0" collapsed="false">
      <c r="A1625" s="7" t="s">
        <v>64</v>
      </c>
      <c r="B1625" s="7" t="n">
        <v>1989</v>
      </c>
      <c r="C1625" s="7" t="s">
        <v>150</v>
      </c>
      <c r="D1625" s="7" t="n">
        <v>83</v>
      </c>
      <c r="E1625" s="7" t="n">
        <v>79</v>
      </c>
      <c r="F1625" s="3" t="n">
        <f aca="false">COUNTIFS($B$2:$B$2705,B1625,$C$2:$C$2705,C1625)</f>
        <v>1</v>
      </c>
      <c r="G1625" s="3" t="n">
        <f aca="false">MIN(INT((MIN(B1625,2020)-1900)/10)+1,12)</f>
        <v>9</v>
      </c>
      <c r="H1625" s="3" t="n">
        <f aca="false">(MIN(B1625,2020)-1900-10*(G1625-1))/10</f>
        <v>0.9</v>
      </c>
      <c r="I1625" s="20" t="n">
        <f aca="false">EXP(LN(INDEX(Pop_Inputs!$B$2:$N$29,MATCH(C1625,Pop_Inputs!$A$2:$A$29,0),G1625))*(1-H1625)+LN(INDEX(Pop_Inputs!$B$2:$N$29,MATCH(C1625,Pop_Inputs!$A$2:$A$29,0),G1625+1))*H1625)</f>
        <v>573143.987738754</v>
      </c>
      <c r="J1625" s="20" t="n">
        <f aca="false">I1625/F1625</f>
        <v>573143.987738754</v>
      </c>
      <c r="K1625" s="21" t="n">
        <f aca="false">D1625/(D1625+E1625)</f>
        <v>0.512345679012346</v>
      </c>
      <c r="L1625" s="21" t="n">
        <f aca="false">AVERAGEIFS($K$2:$K$2705,$B$2:$B$2705,B1625)</f>
        <v>0.499914102269175</v>
      </c>
      <c r="M1625" s="21" t="n">
        <f aca="false">K1625-L1625</f>
        <v>0.012431576743171</v>
      </c>
      <c r="N1625" s="21" t="n">
        <f aca="false">LN(J1625)</f>
        <v>13.2588922516316</v>
      </c>
      <c r="O1625" s="21" t="n">
        <f aca="false">AVERAGEIFS($N$2:$N$2705,$B$2:$B$2705,B1625)</f>
        <v>13.6363974739277</v>
      </c>
      <c r="P1625" s="21" t="n">
        <f aca="false">N1625-O1625</f>
        <v>-0.377505222296085</v>
      </c>
      <c r="Q1625" s="7" t="n">
        <v>0</v>
      </c>
      <c r="R1625" s="3" t="n">
        <f aca="false">IF(AND(Q1625=1,B1625-_xlfn.MINIFS($B$2:$B$2705,$A$2:$A$2705,A1625)&lt;10),1,0)</f>
        <v>0</v>
      </c>
      <c r="S1625" s="7" t="n">
        <v>0</v>
      </c>
      <c r="T1625" s="3" t="n">
        <f aca="false">_xlfn.MINIFS($B$2:$B$2705,$A$2:$A$2705,A1625)</f>
        <v>1901</v>
      </c>
      <c r="U1625" s="3" t="n">
        <f aca="false">B1625-T1625</f>
        <v>88</v>
      </c>
      <c r="V1625" s="3" t="str">
        <f aca="false">INDEX(Pop_Inputs!$Q$2:$Q$29,MATCH(C1625,Pop_Inputs!$A$2:$A$29,0))</f>
        <v>Northeast</v>
      </c>
      <c r="W1625" s="29" t="n">
        <v>17481748</v>
      </c>
      <c r="X1625" s="3" t="n">
        <f aca="false">IF(W1625="","",LN(W1625))</f>
        <v>16.676667923192</v>
      </c>
      <c r="Y1625" s="3" t="n">
        <f aca="false">IF(X1625="","",X1625-AVERAGEIFS($X$2:$X$2705,$B$2:$B$2705,B1625))</f>
        <v>0.267273304224105</v>
      </c>
      <c r="Z1625" s="21" t="n">
        <f aca="false">P1625</f>
        <v>-0.377505222296085</v>
      </c>
      <c r="AA1625" s="3" t="n">
        <f aca="false">R1625</f>
        <v>0</v>
      </c>
      <c r="AB1625" s="21" t="n">
        <f aca="false">P1625</f>
        <v>-0.377505222296085</v>
      </c>
      <c r="AC1625" s="3" t="n">
        <f aca="false">Y1625</f>
        <v>0.267273304224105</v>
      </c>
      <c r="AD1625" s="3" t="n">
        <f aca="false">R1625</f>
        <v>0</v>
      </c>
    </row>
    <row r="1626" customFormat="false" ht="15" hidden="false" customHeight="true" outlineLevel="0" collapsed="false">
      <c r="A1626" s="7" t="s">
        <v>56</v>
      </c>
      <c r="B1626" s="7" t="n">
        <v>1989</v>
      </c>
      <c r="C1626" s="7" t="s">
        <v>142</v>
      </c>
      <c r="D1626" s="7" t="n">
        <v>93</v>
      </c>
      <c r="E1626" s="7" t="n">
        <v>69</v>
      </c>
      <c r="F1626" s="3" t="n">
        <f aca="false">COUNTIFS($B$2:$B$2705,B1626,$C$2:$C$2705,C1626)</f>
        <v>2</v>
      </c>
      <c r="G1626" s="3" t="n">
        <f aca="false">MIN(INT((MIN(B1626,2020)-1900)/10)+1,12)</f>
        <v>9</v>
      </c>
      <c r="H1626" s="3" t="n">
        <f aca="false">(MIN(B1626,2020)-1900-10*(G1626-1))/10</f>
        <v>0.9</v>
      </c>
      <c r="I1626" s="20" t="n">
        <f aca="false">EXP(LN(INDEX(Pop_Inputs!$B$2:$N$29,MATCH(C1626,Pop_Inputs!$A$2:$A$29,0),G1626))*(1-H1626)+LN(INDEX(Pop_Inputs!$B$2:$N$29,MATCH(C1626,Pop_Inputs!$A$2:$A$29,0),G1626+1))*H1626)</f>
        <v>2805106.31174346</v>
      </c>
      <c r="J1626" s="20" t="n">
        <f aca="false">I1626/F1626</f>
        <v>1402553.15587173</v>
      </c>
      <c r="K1626" s="21" t="n">
        <f aca="false">D1626/(D1626+E1626)</f>
        <v>0.574074074074074</v>
      </c>
      <c r="L1626" s="21" t="n">
        <f aca="false">AVERAGEIFS($K$2:$K$2705,$B$2:$B$2705,B1626)</f>
        <v>0.499914102269175</v>
      </c>
      <c r="M1626" s="21" t="n">
        <f aca="false">K1626-L1626</f>
        <v>0.0741599718048993</v>
      </c>
      <c r="N1626" s="21" t="n">
        <f aca="false">LN(J1626)</f>
        <v>14.1538048164606</v>
      </c>
      <c r="O1626" s="21" t="n">
        <f aca="false">AVERAGEIFS($N$2:$N$2705,$B$2:$B$2705,B1626)</f>
        <v>13.6363974739277</v>
      </c>
      <c r="P1626" s="21" t="n">
        <f aca="false">N1626-O1626</f>
        <v>0.517407342532845</v>
      </c>
      <c r="Q1626" s="7" t="n">
        <v>0</v>
      </c>
      <c r="R1626" s="3" t="n">
        <f aca="false">IF(AND(Q1626=1,B1626-_xlfn.MINIFS($B$2:$B$2705,$A$2:$A$2705,A1626)&lt;10),1,0)</f>
        <v>0</v>
      </c>
      <c r="S1626" s="7" t="n">
        <v>0</v>
      </c>
      <c r="T1626" s="3" t="n">
        <f aca="false">_xlfn.MINIFS($B$2:$B$2705,$A$2:$A$2705,A1626)</f>
        <v>1901</v>
      </c>
      <c r="U1626" s="3" t="n">
        <f aca="false">B1626-T1626</f>
        <v>88</v>
      </c>
      <c r="V1626" s="3" t="str">
        <f aca="false">INDEX(Pop_Inputs!$Q$2:$Q$29,MATCH(C1626,Pop_Inputs!$A$2:$A$29,0))</f>
        <v>Midwest</v>
      </c>
      <c r="W1626" s="29" t="n">
        <v>10668000</v>
      </c>
      <c r="X1626" s="3" t="n">
        <f aca="false">IF(W1626="","",LN(W1626))</f>
        <v>16.182759164284</v>
      </c>
      <c r="Y1626" s="3" t="n">
        <f aca="false">IF(X1626="","",X1626-AVERAGEIFS($X$2:$X$2705,$B$2:$B$2705,B1626))</f>
        <v>-0.226635454683848</v>
      </c>
      <c r="Z1626" s="21" t="n">
        <f aca="false">P1626</f>
        <v>0.517407342532845</v>
      </c>
      <c r="AA1626" s="3" t="n">
        <f aca="false">R1626</f>
        <v>0</v>
      </c>
      <c r="AB1626" s="21" t="n">
        <f aca="false">P1626</f>
        <v>0.517407342532845</v>
      </c>
      <c r="AC1626" s="3" t="n">
        <f aca="false">Y1626</f>
        <v>-0.226635454683848</v>
      </c>
      <c r="AD1626" s="3" t="n">
        <f aca="false">R1626</f>
        <v>0</v>
      </c>
    </row>
    <row r="1627" customFormat="false" ht="15" hidden="false" customHeight="true" outlineLevel="0" collapsed="false">
      <c r="A1627" s="7" t="s">
        <v>65</v>
      </c>
      <c r="B1627" s="7" t="n">
        <v>1989</v>
      </c>
      <c r="C1627" s="7" t="s">
        <v>142</v>
      </c>
      <c r="D1627" s="7" t="n">
        <v>69</v>
      </c>
      <c r="E1627" s="7" t="n">
        <v>92</v>
      </c>
      <c r="F1627" s="3" t="n">
        <f aca="false">COUNTIFS($B$2:$B$2705,B1627,$C$2:$C$2705,C1627)</f>
        <v>2</v>
      </c>
      <c r="G1627" s="3" t="n">
        <f aca="false">MIN(INT((MIN(B1627,2020)-1900)/10)+1,12)</f>
        <v>9</v>
      </c>
      <c r="H1627" s="3" t="n">
        <f aca="false">(MIN(B1627,2020)-1900-10*(G1627-1))/10</f>
        <v>0.9</v>
      </c>
      <c r="I1627" s="20" t="n">
        <f aca="false">EXP(LN(INDEX(Pop_Inputs!$B$2:$N$29,MATCH(C1627,Pop_Inputs!$A$2:$A$29,0),G1627))*(1-H1627)+LN(INDEX(Pop_Inputs!$B$2:$N$29,MATCH(C1627,Pop_Inputs!$A$2:$A$29,0),G1627+1))*H1627)</f>
        <v>2805106.31174346</v>
      </c>
      <c r="J1627" s="20" t="n">
        <f aca="false">I1627/F1627</f>
        <v>1402553.15587173</v>
      </c>
      <c r="K1627" s="21" t="n">
        <f aca="false">D1627/(D1627+E1627)</f>
        <v>0.428571428571429</v>
      </c>
      <c r="L1627" s="21" t="n">
        <f aca="false">AVERAGEIFS($K$2:$K$2705,$B$2:$B$2705,B1627)</f>
        <v>0.499914102269175</v>
      </c>
      <c r="M1627" s="21" t="n">
        <f aca="false">K1627-L1627</f>
        <v>-0.0713426736977462</v>
      </c>
      <c r="N1627" s="21" t="n">
        <f aca="false">LN(J1627)</f>
        <v>14.1538048164606</v>
      </c>
      <c r="O1627" s="21" t="n">
        <f aca="false">AVERAGEIFS($N$2:$N$2705,$B$2:$B$2705,B1627)</f>
        <v>13.6363974739277</v>
      </c>
      <c r="P1627" s="21" t="n">
        <f aca="false">N1627-O1627</f>
        <v>0.517407342532845</v>
      </c>
      <c r="Q1627" s="7" t="n">
        <v>0</v>
      </c>
      <c r="R1627" s="3" t="n">
        <f aca="false">IF(AND(Q1627=1,B1627-_xlfn.MINIFS($B$2:$B$2705,$A$2:$A$2705,A1627)&lt;10),1,0)</f>
        <v>0</v>
      </c>
      <c r="S1627" s="7" t="n">
        <v>0</v>
      </c>
      <c r="T1627" s="3" t="n">
        <f aca="false">_xlfn.MINIFS($B$2:$B$2705,$A$2:$A$2705,A1627)</f>
        <v>1901</v>
      </c>
      <c r="U1627" s="3" t="n">
        <f aca="false">B1627-T1627</f>
        <v>88</v>
      </c>
      <c r="V1627" s="3" t="str">
        <f aca="false">INDEX(Pop_Inputs!$Q$2:$Q$29,MATCH(C1627,Pop_Inputs!$A$2:$A$29,0))</f>
        <v>Midwest</v>
      </c>
      <c r="W1627" s="29" t="n">
        <v>7265410</v>
      </c>
      <c r="X1627" s="3" t="n">
        <f aca="false">IF(W1627="","",LN(W1627))</f>
        <v>15.7986352883563</v>
      </c>
      <c r="Y1627" s="3" t="n">
        <f aca="false">IF(X1627="","",X1627-AVERAGEIFS($X$2:$X$2705,$B$2:$B$2705,B1627))</f>
        <v>-0.610759330611616</v>
      </c>
      <c r="Z1627" s="21" t="n">
        <f aca="false">P1627</f>
        <v>0.517407342532845</v>
      </c>
      <c r="AA1627" s="3" t="n">
        <f aca="false">R1627</f>
        <v>0</v>
      </c>
      <c r="AB1627" s="21" t="n">
        <f aca="false">P1627</f>
        <v>0.517407342532845</v>
      </c>
      <c r="AC1627" s="3" t="n">
        <f aca="false">Y1627</f>
        <v>-0.610759330611616</v>
      </c>
      <c r="AD1627" s="3" t="n">
        <f aca="false">R1627</f>
        <v>0</v>
      </c>
    </row>
    <row r="1628" customFormat="false" ht="15" hidden="false" customHeight="true" outlineLevel="0" collapsed="false">
      <c r="A1628" s="7" t="s">
        <v>57</v>
      </c>
      <c r="B1628" s="7" t="n">
        <v>1989</v>
      </c>
      <c r="C1628" s="7" t="s">
        <v>143</v>
      </c>
      <c r="D1628" s="7" t="n">
        <v>75</v>
      </c>
      <c r="E1628" s="7" t="n">
        <v>87</v>
      </c>
      <c r="F1628" s="3" t="n">
        <f aca="false">COUNTIFS($B$2:$B$2705,B1628,$C$2:$C$2705,C1628)</f>
        <v>1</v>
      </c>
      <c r="G1628" s="3" t="n">
        <f aca="false">MIN(INT((MIN(B1628,2020)-1900)/10)+1,12)</f>
        <v>9</v>
      </c>
      <c r="H1628" s="3" t="n">
        <f aca="false">(MIN(B1628,2020)-1900-10*(G1628-1))/10</f>
        <v>0.9</v>
      </c>
      <c r="I1628" s="20" t="n">
        <f aca="false">EXP(LN(INDEX(Pop_Inputs!$B$2:$N$29,MATCH(C1628,Pop_Inputs!$A$2:$A$29,0),G1628))*(1-H1628)+LN(INDEX(Pop_Inputs!$B$2:$N$29,MATCH(C1628,Pop_Inputs!$A$2:$A$29,0),G1628+1))*H1628)</f>
        <v>366127.311726931</v>
      </c>
      <c r="J1628" s="20" t="n">
        <f aca="false">I1628/F1628</f>
        <v>366127.311726931</v>
      </c>
      <c r="K1628" s="21" t="n">
        <f aca="false">D1628/(D1628+E1628)</f>
        <v>0.462962962962963</v>
      </c>
      <c r="L1628" s="21" t="n">
        <f aca="false">AVERAGEIFS($K$2:$K$2705,$B$2:$B$2705,B1628)</f>
        <v>0.499914102269175</v>
      </c>
      <c r="M1628" s="21" t="n">
        <f aca="false">K1628-L1628</f>
        <v>-0.0369511393062118</v>
      </c>
      <c r="N1628" s="21" t="n">
        <f aca="false">LN(J1628)</f>
        <v>12.8107363981475</v>
      </c>
      <c r="O1628" s="21" t="n">
        <f aca="false">AVERAGEIFS($N$2:$N$2705,$B$2:$B$2705,B1628)</f>
        <v>13.6363974739277</v>
      </c>
      <c r="P1628" s="21" t="n">
        <f aca="false">N1628-O1628</f>
        <v>-0.825661075780266</v>
      </c>
      <c r="Q1628" s="7" t="n">
        <v>0</v>
      </c>
      <c r="R1628" s="3" t="n">
        <f aca="false">IF(AND(Q1628=1,B1628-_xlfn.MINIFS($B$2:$B$2705,$A$2:$A$2705,A1628)&lt;10),1,0)</f>
        <v>0</v>
      </c>
      <c r="S1628" s="7" t="n">
        <v>0</v>
      </c>
      <c r="T1628" s="3" t="n">
        <f aca="false">_xlfn.MINIFS($B$2:$B$2705,$A$2:$A$2705,A1628)</f>
        <v>1901</v>
      </c>
      <c r="U1628" s="3" t="n">
        <f aca="false">B1628-T1628</f>
        <v>88</v>
      </c>
      <c r="V1628" s="3" t="str">
        <f aca="false">INDEX(Pop_Inputs!$Q$2:$Q$29,MATCH(C1628,Pop_Inputs!$A$2:$A$29,0))</f>
        <v>Midwest</v>
      </c>
      <c r="W1628" s="29" t="n">
        <v>11072000</v>
      </c>
      <c r="X1628" s="3" t="n">
        <f aca="false">IF(W1628="","",LN(W1628))</f>
        <v>16.2199299568396</v>
      </c>
      <c r="Y1628" s="3" t="n">
        <f aca="false">IF(X1628="","",X1628-AVERAGEIFS($X$2:$X$2705,$B$2:$B$2705,B1628))</f>
        <v>-0.189464662128302</v>
      </c>
      <c r="Z1628" s="21" t="n">
        <f aca="false">P1628</f>
        <v>-0.825661075780266</v>
      </c>
      <c r="AA1628" s="3" t="n">
        <f aca="false">R1628</f>
        <v>0</v>
      </c>
      <c r="AB1628" s="21" t="n">
        <f aca="false">P1628</f>
        <v>-0.825661075780266</v>
      </c>
      <c r="AC1628" s="3" t="n">
        <f aca="false">Y1628</f>
        <v>-0.189464662128302</v>
      </c>
      <c r="AD1628" s="3" t="n">
        <f aca="false">R1628</f>
        <v>0</v>
      </c>
    </row>
    <row r="1629" customFormat="false" ht="15" hidden="false" customHeight="true" outlineLevel="0" collapsed="false">
      <c r="A1629" s="7" t="s">
        <v>66</v>
      </c>
      <c r="B1629" s="7" t="n">
        <v>1989</v>
      </c>
      <c r="C1629" s="7" t="s">
        <v>151</v>
      </c>
      <c r="D1629" s="7" t="n">
        <v>73</v>
      </c>
      <c r="E1629" s="7" t="n">
        <v>89</v>
      </c>
      <c r="F1629" s="3" t="n">
        <f aca="false">COUNTIFS($B$2:$B$2705,B1629,$C$2:$C$2705,C1629)</f>
        <v>1</v>
      </c>
      <c r="G1629" s="3" t="n">
        <f aca="false">MIN(INT((MIN(B1629,2020)-1900)/10)+1,12)</f>
        <v>9</v>
      </c>
      <c r="H1629" s="3" t="n">
        <f aca="false">(MIN(B1629,2020)-1900-10*(G1629-1))/10</f>
        <v>0.9</v>
      </c>
      <c r="I1629" s="20" t="n">
        <f aca="false">EXP(LN(INDEX(Pop_Inputs!$B$2:$N$29,MATCH(C1629,Pop_Inputs!$A$2:$A$29,0),G1629))*(1-H1629)+LN(INDEX(Pop_Inputs!$B$2:$N$29,MATCH(C1629,Pop_Inputs!$A$2:$A$29,0),G1629+1))*H1629)</f>
        <v>512054.806615282</v>
      </c>
      <c r="J1629" s="20" t="n">
        <f aca="false">I1629/F1629</f>
        <v>512054.806615282</v>
      </c>
      <c r="K1629" s="21" t="n">
        <f aca="false">D1629/(D1629+E1629)</f>
        <v>0.450617283950617</v>
      </c>
      <c r="L1629" s="21" t="n">
        <f aca="false">AVERAGEIFS($K$2:$K$2705,$B$2:$B$2705,B1629)</f>
        <v>0.499914102269175</v>
      </c>
      <c r="M1629" s="21" t="n">
        <f aca="false">K1629-L1629</f>
        <v>-0.0492968183185575</v>
      </c>
      <c r="N1629" s="21" t="n">
        <f aca="false">LN(J1629)</f>
        <v>13.1461869424633</v>
      </c>
      <c r="O1629" s="21" t="n">
        <f aca="false">AVERAGEIFS($N$2:$N$2705,$B$2:$B$2705,B1629)</f>
        <v>13.6363974739277</v>
      </c>
      <c r="P1629" s="21" t="n">
        <f aca="false">N1629-O1629</f>
        <v>-0.490210531464435</v>
      </c>
      <c r="Q1629" s="7" t="n">
        <v>0</v>
      </c>
      <c r="R1629" s="3" t="n">
        <f aca="false">IF(AND(Q1629=1,B1629-_xlfn.MINIFS($B$2:$B$2705,$A$2:$A$2705,A1629)&lt;10),1,0)</f>
        <v>0</v>
      </c>
      <c r="S1629" s="7" t="n">
        <v>0</v>
      </c>
      <c r="T1629" s="3" t="n">
        <f aca="false">_xlfn.MINIFS($B$2:$B$2705,$A$2:$A$2705,A1629)</f>
        <v>1901</v>
      </c>
      <c r="U1629" s="3" t="n">
        <f aca="false">B1629-T1629</f>
        <v>88</v>
      </c>
      <c r="V1629" s="3" t="str">
        <f aca="false">INDEX(Pop_Inputs!$Q$2:$Q$29,MATCH(C1629,Pop_Inputs!$A$2:$A$29,0))</f>
        <v>Midwest</v>
      </c>
      <c r="W1629" s="29" t="n">
        <v>9094500</v>
      </c>
      <c r="X1629" s="3" t="n">
        <f aca="false">IF(W1629="","",LN(W1629))</f>
        <v>16.023180393162</v>
      </c>
      <c r="Y1629" s="3" t="n">
        <f aca="false">IF(X1629="","",X1629-AVERAGEIFS($X$2:$X$2705,$B$2:$B$2705,B1629))</f>
        <v>-0.386214225805858</v>
      </c>
      <c r="Z1629" s="21" t="n">
        <f aca="false">P1629</f>
        <v>-0.490210531464435</v>
      </c>
      <c r="AA1629" s="3" t="n">
        <f aca="false">R1629</f>
        <v>0</v>
      </c>
      <c r="AB1629" s="21" t="n">
        <f aca="false">P1629</f>
        <v>-0.490210531464435</v>
      </c>
      <c r="AC1629" s="3" t="n">
        <f aca="false">Y1629</f>
        <v>-0.386214225805858</v>
      </c>
      <c r="AD1629" s="3" t="n">
        <f aca="false">R1629</f>
        <v>0</v>
      </c>
    </row>
    <row r="1630" customFormat="false" ht="15" hidden="false" customHeight="true" outlineLevel="0" collapsed="false">
      <c r="A1630" s="7" t="s">
        <v>67</v>
      </c>
      <c r="B1630" s="7" t="n">
        <v>1989</v>
      </c>
      <c r="C1630" s="7" t="s">
        <v>152</v>
      </c>
      <c r="D1630" s="7" t="n">
        <v>59</v>
      </c>
      <c r="E1630" s="7" t="n">
        <v>103</v>
      </c>
      <c r="F1630" s="3" t="n">
        <f aca="false">COUNTIFS($B$2:$B$2705,B1630,$C$2:$C$2705,C1630)</f>
        <v>1</v>
      </c>
      <c r="G1630" s="3" t="n">
        <f aca="false">MIN(INT((MIN(B1630,2020)-1900)/10)+1,12)</f>
        <v>9</v>
      </c>
      <c r="H1630" s="3" t="n">
        <f aca="false">(MIN(B1630,2020)-1900-10*(G1630-1))/10</f>
        <v>0.9</v>
      </c>
      <c r="I1630" s="20" t="n">
        <f aca="false">EXP(LN(INDEX(Pop_Inputs!$B$2:$N$29,MATCH(C1630,Pop_Inputs!$A$2:$A$29,0),G1630))*(1-H1630)+LN(INDEX(Pop_Inputs!$B$2:$N$29,MATCH(C1630,Pop_Inputs!$A$2:$A$29,0),G1630+1))*H1630)</f>
        <v>1044296.35759774</v>
      </c>
      <c r="J1630" s="20" t="n">
        <f aca="false">I1630/F1630</f>
        <v>1044296.35759774</v>
      </c>
      <c r="K1630" s="21" t="n">
        <f aca="false">D1630/(D1630+E1630)</f>
        <v>0.364197530864198</v>
      </c>
      <c r="L1630" s="21" t="n">
        <f aca="false">AVERAGEIFS($K$2:$K$2705,$B$2:$B$2705,B1630)</f>
        <v>0.499914102269175</v>
      </c>
      <c r="M1630" s="21" t="n">
        <f aca="false">K1630-L1630</f>
        <v>-0.135716571404977</v>
      </c>
      <c r="N1630" s="21" t="n">
        <f aca="false">LN(J1630)</f>
        <v>13.8588538745728</v>
      </c>
      <c r="O1630" s="21" t="n">
        <f aca="false">AVERAGEIFS($N$2:$N$2705,$B$2:$B$2705,B1630)</f>
        <v>13.6363974739277</v>
      </c>
      <c r="P1630" s="21" t="n">
        <f aca="false">N1630-O1630</f>
        <v>0.22245640064504</v>
      </c>
      <c r="Q1630" s="7" t="n">
        <v>0</v>
      </c>
      <c r="R1630" s="3" t="n">
        <f aca="false">IF(AND(Q1630=1,B1630-_xlfn.MINIFS($B$2:$B$2705,$A$2:$A$2705,A1630)&lt;10),1,0)</f>
        <v>0</v>
      </c>
      <c r="S1630" s="7" t="n">
        <v>0</v>
      </c>
      <c r="T1630" s="3" t="n">
        <f aca="false">_xlfn.MINIFS($B$2:$B$2705,$A$2:$A$2705,A1630)</f>
        <v>1901</v>
      </c>
      <c r="U1630" s="3" t="n">
        <f aca="false">B1630-T1630</f>
        <v>88</v>
      </c>
      <c r="V1630" s="3" t="str">
        <f aca="false">INDEX(Pop_Inputs!$Q$2:$Q$29,MATCH(C1630,Pop_Inputs!$A$2:$A$29,0))</f>
        <v>Midwest</v>
      </c>
      <c r="W1630" s="29" t="n">
        <v>15146404</v>
      </c>
      <c r="X1630" s="3" t="n">
        <f aca="false">IF(W1630="","",LN(W1630))</f>
        <v>16.5332737020094</v>
      </c>
      <c r="Y1630" s="3" t="n">
        <f aca="false">IF(X1630="","",X1630-AVERAGEIFS($X$2:$X$2705,$B$2:$B$2705,B1630))</f>
        <v>0.123879083041508</v>
      </c>
      <c r="Z1630" s="21" t="n">
        <f aca="false">P1630</f>
        <v>0.22245640064504</v>
      </c>
      <c r="AA1630" s="3" t="n">
        <f aca="false">R1630</f>
        <v>0</v>
      </c>
      <c r="AB1630" s="21" t="n">
        <f aca="false">P1630</f>
        <v>0.22245640064504</v>
      </c>
      <c r="AC1630" s="3" t="n">
        <f aca="false">Y1630</f>
        <v>0.123879083041508</v>
      </c>
      <c r="AD1630" s="3" t="n">
        <f aca="false">R1630</f>
        <v>0</v>
      </c>
    </row>
    <row r="1631" customFormat="false" ht="15" hidden="false" customHeight="true" outlineLevel="0" collapsed="false">
      <c r="A1631" s="7" t="s">
        <v>74</v>
      </c>
      <c r="B1631" s="7" t="n">
        <v>1989</v>
      </c>
      <c r="C1631" s="7" t="s">
        <v>156</v>
      </c>
      <c r="D1631" s="7" t="n">
        <v>86</v>
      </c>
      <c r="E1631" s="7" t="n">
        <v>76</v>
      </c>
      <c r="F1631" s="3" t="n">
        <f aca="false">COUNTIFS($B$2:$B$2705,B1631,$C$2:$C$2705,C1631)</f>
        <v>1</v>
      </c>
      <c r="G1631" s="3" t="n">
        <f aca="false">MIN(INT((MIN(B1631,2020)-1900)/10)+1,12)</f>
        <v>9</v>
      </c>
      <c r="H1631" s="3" t="n">
        <f aca="false">(MIN(B1631,2020)-1900-10*(G1631-1))/10</f>
        <v>0.9</v>
      </c>
      <c r="I1631" s="20" t="n">
        <f aca="false">EXP(LN(INDEX(Pop_Inputs!$B$2:$N$29,MATCH(C1631,Pop_Inputs!$A$2:$A$29,0),G1631))*(1-H1631)+LN(INDEX(Pop_Inputs!$B$2:$N$29,MATCH(C1631,Pop_Inputs!$A$2:$A$29,0),G1631+1))*H1631)</f>
        <v>1626976.40220705</v>
      </c>
      <c r="J1631" s="20" t="n">
        <f aca="false">I1631/F1631</f>
        <v>1626976.40220705</v>
      </c>
      <c r="K1631" s="21" t="n">
        <f aca="false">D1631/(D1631+E1631)</f>
        <v>0.530864197530864</v>
      </c>
      <c r="L1631" s="21" t="n">
        <f aca="false">AVERAGEIFS($K$2:$K$2705,$B$2:$B$2705,B1631)</f>
        <v>0.499914102269175</v>
      </c>
      <c r="M1631" s="21" t="n">
        <f aca="false">K1631-L1631</f>
        <v>0.0309500952616895</v>
      </c>
      <c r="N1631" s="21" t="n">
        <f aca="false">LN(J1631)</f>
        <v>14.3022338822282</v>
      </c>
      <c r="O1631" s="21" t="n">
        <f aca="false">AVERAGEIFS($N$2:$N$2705,$B$2:$B$2705,B1631)</f>
        <v>13.6363974739277</v>
      </c>
      <c r="P1631" s="21" t="n">
        <f aca="false">N1631-O1631</f>
        <v>0.665836408300434</v>
      </c>
      <c r="Q1631" s="7" t="n">
        <v>1</v>
      </c>
      <c r="R1631" s="3" t="n">
        <f aca="false">IF(AND(Q1631=1,B1631-_xlfn.MINIFS($B$2:$B$2705,$A$2:$A$2705,A1631)&lt;10),1,0)</f>
        <v>0</v>
      </c>
      <c r="S1631" s="7" t="n">
        <v>0</v>
      </c>
      <c r="T1631" s="3" t="n">
        <f aca="false">_xlfn.MINIFS($B$2:$B$2705,$A$2:$A$2705,A1631)</f>
        <v>1962</v>
      </c>
      <c r="U1631" s="3" t="n">
        <f aca="false">B1631-T1631</f>
        <v>27</v>
      </c>
      <c r="V1631" s="3" t="str">
        <f aca="false">INDEX(Pop_Inputs!$Q$2:$Q$29,MATCH(C1631,Pop_Inputs!$A$2:$A$29,0))</f>
        <v>South</v>
      </c>
      <c r="W1631" s="29" t="n">
        <v>15029500</v>
      </c>
      <c r="X1631" s="3" t="n">
        <f aca="false">IF(W1631="","",LN(W1631))</f>
        <v>16.5255254943761</v>
      </c>
      <c r="Y1631" s="3" t="n">
        <f aca="false">IF(X1631="","",X1631-AVERAGEIFS($X$2:$X$2705,$B$2:$B$2705,B1631))</f>
        <v>0.116130875408182</v>
      </c>
      <c r="Z1631" s="21" t="n">
        <f aca="false">P1631</f>
        <v>0.665836408300434</v>
      </c>
      <c r="AA1631" s="3" t="n">
        <f aca="false">R1631</f>
        <v>0</v>
      </c>
      <c r="AB1631" s="21" t="n">
        <f aca="false">P1631</f>
        <v>0.665836408300434</v>
      </c>
      <c r="AC1631" s="3" t="n">
        <f aca="false">Y1631</f>
        <v>0.116130875408182</v>
      </c>
      <c r="AD1631" s="3" t="n">
        <f aca="false">R1631</f>
        <v>0</v>
      </c>
    </row>
    <row r="1632" customFormat="false" ht="15" hidden="false" customHeight="true" outlineLevel="0" collapsed="false">
      <c r="A1632" s="7" t="s">
        <v>76</v>
      </c>
      <c r="B1632" s="7" t="n">
        <v>1989</v>
      </c>
      <c r="C1632" s="7" t="s">
        <v>157</v>
      </c>
      <c r="D1632" s="7" t="n">
        <v>92</v>
      </c>
      <c r="E1632" s="7" t="n">
        <v>70</v>
      </c>
      <c r="F1632" s="3" t="n">
        <f aca="false">COUNTIFS($B$2:$B$2705,B1632,$C$2:$C$2705,C1632)</f>
        <v>1</v>
      </c>
      <c r="G1632" s="3" t="n">
        <f aca="false">MIN(INT((MIN(B1632,2020)-1900)/10)+1,12)</f>
        <v>9</v>
      </c>
      <c r="H1632" s="3" t="n">
        <f aca="false">(MIN(B1632,2020)-1900-10*(G1632-1))/10</f>
        <v>0.9</v>
      </c>
      <c r="I1632" s="20" t="n">
        <f aca="false">EXP(LN(INDEX(Pop_Inputs!$B$2:$N$29,MATCH(C1632,Pop_Inputs!$A$2:$A$29,0),G1632))*(1-H1632)+LN(INDEX(Pop_Inputs!$B$2:$N$29,MATCH(C1632,Pop_Inputs!$A$2:$A$29,0),G1632+1))*H1632)</f>
        <v>436430.11277943</v>
      </c>
      <c r="J1632" s="20" t="n">
        <f aca="false">I1632/F1632</f>
        <v>436430.11277943</v>
      </c>
      <c r="K1632" s="21" t="n">
        <f aca="false">D1632/(D1632+E1632)</f>
        <v>0.567901234567901</v>
      </c>
      <c r="L1632" s="21" t="n">
        <f aca="false">AVERAGEIFS($K$2:$K$2705,$B$2:$B$2705,B1632)</f>
        <v>0.499914102269175</v>
      </c>
      <c r="M1632" s="21" t="n">
        <f aca="false">K1632-L1632</f>
        <v>0.0679871322987264</v>
      </c>
      <c r="N1632" s="21" t="n">
        <f aca="false">LN(J1632)</f>
        <v>12.9863835332631</v>
      </c>
      <c r="O1632" s="21" t="n">
        <f aca="false">AVERAGEIFS($N$2:$N$2705,$B$2:$B$2705,B1632)</f>
        <v>13.6363974739277</v>
      </c>
      <c r="P1632" s="21" t="n">
        <f aca="false">N1632-O1632</f>
        <v>-0.650013940664621</v>
      </c>
      <c r="Q1632" s="7" t="n">
        <v>1</v>
      </c>
      <c r="R1632" s="3" t="n">
        <f aca="false">IF(AND(Q1632=1,B1632-_xlfn.MINIFS($B$2:$B$2705,$A$2:$A$2705,A1632)&lt;10),1,0)</f>
        <v>0</v>
      </c>
      <c r="S1632" s="7" t="n">
        <v>0</v>
      </c>
      <c r="T1632" s="3" t="n">
        <f aca="false">_xlfn.MINIFS($B$2:$B$2705,$A$2:$A$2705,A1632)</f>
        <v>1969</v>
      </c>
      <c r="U1632" s="3" t="n">
        <f aca="false">B1632-T1632</f>
        <v>20</v>
      </c>
      <c r="V1632" s="3" t="str">
        <f aca="false">INDEX(Pop_Inputs!$Q$2:$Q$29,MATCH(C1632,Pop_Inputs!$A$2:$A$29,0))</f>
        <v>Midwest</v>
      </c>
      <c r="W1632" s="29" t="n">
        <v>18683568</v>
      </c>
      <c r="X1632" s="3" t="n">
        <f aca="false">IF(W1632="","",LN(W1632))</f>
        <v>16.7431549789495</v>
      </c>
      <c r="Y1632" s="3" t="n">
        <f aca="false">IF(X1632="","",X1632-AVERAGEIFS($X$2:$X$2705,$B$2:$B$2705,B1632))</f>
        <v>0.333760359981657</v>
      </c>
      <c r="Z1632" s="21" t="n">
        <f aca="false">P1632</f>
        <v>-0.650013940664621</v>
      </c>
      <c r="AA1632" s="3" t="n">
        <f aca="false">R1632</f>
        <v>0</v>
      </c>
      <c r="AB1632" s="21" t="n">
        <f aca="false">P1632</f>
        <v>-0.650013940664621</v>
      </c>
      <c r="AC1632" s="3" t="n">
        <f aca="false">Y1632</f>
        <v>0.333760359981657</v>
      </c>
      <c r="AD1632" s="3" t="n">
        <f aca="false">R1632</f>
        <v>0</v>
      </c>
    </row>
    <row r="1633" customFormat="false" ht="15" hidden="false" customHeight="true" outlineLevel="0" collapsed="false">
      <c r="A1633" s="7" t="s">
        <v>62</v>
      </c>
      <c r="B1633" s="7" t="n">
        <v>1989</v>
      </c>
      <c r="C1633" s="7" t="s">
        <v>148</v>
      </c>
      <c r="D1633" s="7" t="n">
        <v>77</v>
      </c>
      <c r="E1633" s="7" t="n">
        <v>83</v>
      </c>
      <c r="F1633" s="3" t="n">
        <f aca="false">COUNTIFS($B$2:$B$2705,B1633,$C$2:$C$2705,C1633)</f>
        <v>2</v>
      </c>
      <c r="G1633" s="3" t="n">
        <f aca="false">MIN(INT((MIN(B1633,2020)-1900)/10)+1,12)</f>
        <v>9</v>
      </c>
      <c r="H1633" s="3" t="n">
        <f aca="false">(MIN(B1633,2020)-1900-10*(G1633-1))/10</f>
        <v>0.9</v>
      </c>
      <c r="I1633" s="20" t="n">
        <f aca="false">EXP(LN(INDEX(Pop_Inputs!$B$2:$N$29,MATCH(C1633,Pop_Inputs!$A$2:$A$29,0),G1633))*(1-H1633)+LN(INDEX(Pop_Inputs!$B$2:$N$29,MATCH(C1633,Pop_Inputs!$A$2:$A$29,0),G1633+1))*H1633)</f>
        <v>3429704.46504466</v>
      </c>
      <c r="J1633" s="20" t="n">
        <f aca="false">I1633/F1633</f>
        <v>1714852.23252233</v>
      </c>
      <c r="K1633" s="21" t="n">
        <f aca="false">D1633/(D1633+E1633)</f>
        <v>0.48125</v>
      </c>
      <c r="L1633" s="21" t="n">
        <f aca="false">AVERAGEIFS($K$2:$K$2705,$B$2:$B$2705,B1633)</f>
        <v>0.499914102269175</v>
      </c>
      <c r="M1633" s="21" t="n">
        <f aca="false">K1633-L1633</f>
        <v>-0.0186641022691748</v>
      </c>
      <c r="N1633" s="21" t="n">
        <f aca="false">LN(J1633)</f>
        <v>14.3548374730755</v>
      </c>
      <c r="O1633" s="21" t="n">
        <f aca="false">AVERAGEIFS($N$2:$N$2705,$B$2:$B$2705,B1633)</f>
        <v>13.6363974739277</v>
      </c>
      <c r="P1633" s="21" t="n">
        <f aca="false">N1633-O1633</f>
        <v>0.718439999147742</v>
      </c>
      <c r="Q1633" s="7" t="n">
        <v>0</v>
      </c>
      <c r="R1633" s="3" t="n">
        <f aca="false">IF(AND(Q1633=1,B1633-_xlfn.MINIFS($B$2:$B$2705,$A$2:$A$2705,A1633)&lt;10),1,0)</f>
        <v>0</v>
      </c>
      <c r="S1633" s="7" t="n">
        <v>0</v>
      </c>
      <c r="T1633" s="3" t="n">
        <f aca="false">_xlfn.MINIFS($B$2:$B$2705,$A$2:$A$2705,A1633)</f>
        <v>1901</v>
      </c>
      <c r="U1633" s="3" t="n">
        <f aca="false">B1633-T1633</f>
        <v>88</v>
      </c>
      <c r="V1633" s="3" t="str">
        <f aca="false">INDEX(Pop_Inputs!$Q$2:$Q$29,MATCH(C1633,Pop_Inputs!$A$2:$A$29,0))</f>
        <v>West</v>
      </c>
      <c r="W1633" s="29" t="n">
        <v>21071562</v>
      </c>
      <c r="X1633" s="3" t="n">
        <f aca="false">IF(W1633="","",LN(W1633))</f>
        <v>16.8634349168722</v>
      </c>
      <c r="Y1633" s="3" t="n">
        <f aca="false">IF(X1633="","",X1633-AVERAGEIFS($X$2:$X$2705,$B$2:$B$2705,B1633))</f>
        <v>0.454040297904285</v>
      </c>
      <c r="Z1633" s="21" t="n">
        <f aca="false">P1633</f>
        <v>0.718439999147742</v>
      </c>
      <c r="AA1633" s="3" t="n">
        <f aca="false">R1633</f>
        <v>0</v>
      </c>
      <c r="AB1633" s="21" t="n">
        <f aca="false">P1633</f>
        <v>0.718439999147742</v>
      </c>
      <c r="AC1633" s="3" t="n">
        <f aca="false">Y1633</f>
        <v>0.454040297904285</v>
      </c>
      <c r="AD1633" s="3" t="n">
        <f aca="false">R1633</f>
        <v>0</v>
      </c>
    </row>
    <row r="1634" customFormat="false" ht="15" hidden="false" customHeight="true" outlineLevel="0" collapsed="false">
      <c r="A1634" s="7" t="s">
        <v>77</v>
      </c>
      <c r="B1634" s="7" t="n">
        <v>1989</v>
      </c>
      <c r="C1634" s="7" t="s">
        <v>158</v>
      </c>
      <c r="D1634" s="7" t="n">
        <v>81</v>
      </c>
      <c r="E1634" s="7" t="n">
        <v>81</v>
      </c>
      <c r="F1634" s="3" t="n">
        <f aca="false">COUNTIFS($B$2:$B$2705,B1634,$C$2:$C$2705,C1634)</f>
        <v>1</v>
      </c>
      <c r="G1634" s="3" t="n">
        <f aca="false">MIN(INT((MIN(B1634,2020)-1900)/10)+1,12)</f>
        <v>9</v>
      </c>
      <c r="H1634" s="3" t="n">
        <f aca="false">(MIN(B1634,2020)-1900-10*(G1634-1))/10</f>
        <v>0.9</v>
      </c>
      <c r="I1634" s="20" t="n">
        <f aca="false">EXP(LN(INDEX(Pop_Inputs!$B$2:$N$29,MATCH(C1634,Pop_Inputs!$A$2:$A$29,0),G1634))*(1-H1634)+LN(INDEX(Pop_Inputs!$B$2:$N$29,MATCH(C1634,Pop_Inputs!$A$2:$A$29,0),G1634+1))*H1634)</f>
        <v>628895.709784232</v>
      </c>
      <c r="J1634" s="20" t="n">
        <f aca="false">I1634/F1634</f>
        <v>628895.709784232</v>
      </c>
      <c r="K1634" s="21" t="n">
        <f aca="false">D1634/(D1634+E1634)</f>
        <v>0.5</v>
      </c>
      <c r="L1634" s="21" t="n">
        <f aca="false">AVERAGEIFS($K$2:$K$2705,$B$2:$B$2705,B1634)</f>
        <v>0.499914102269175</v>
      </c>
      <c r="M1634" s="21" t="n">
        <f aca="false">K1634-L1634</f>
        <v>8.58977308252351E-005</v>
      </c>
      <c r="N1634" s="21" t="n">
        <f aca="false">LN(J1634)</f>
        <v>13.351720718731</v>
      </c>
      <c r="O1634" s="21" t="n">
        <f aca="false">AVERAGEIFS($N$2:$N$2705,$B$2:$B$2705,B1634)</f>
        <v>13.6363974739277</v>
      </c>
      <c r="P1634" s="21" t="n">
        <f aca="false">N1634-O1634</f>
        <v>-0.284676755196745</v>
      </c>
      <c r="Q1634" s="7" t="n">
        <v>1</v>
      </c>
      <c r="R1634" s="3" t="n">
        <f aca="false">IF(AND(Q1634=1,B1634-_xlfn.MINIFS($B$2:$B$2705,$A$2:$A$2705,A1634)&lt;10),1,0)</f>
        <v>0</v>
      </c>
      <c r="S1634" s="7" t="n">
        <v>0</v>
      </c>
      <c r="T1634" s="3" t="n">
        <f aca="false">_xlfn.MINIFS($B$2:$B$2705,$A$2:$A$2705,A1634)</f>
        <v>1969</v>
      </c>
      <c r="U1634" s="3" t="n">
        <f aca="false">B1634-T1634</f>
        <v>20</v>
      </c>
      <c r="V1634" s="3" t="str">
        <f aca="false">INDEX(Pop_Inputs!$Q$2:$Q$29,MATCH(C1634,Pop_Inputs!$A$2:$A$29,0))</f>
        <v>Midwest</v>
      </c>
      <c r="W1634" s="29" t="n">
        <v>11533000</v>
      </c>
      <c r="X1634" s="3" t="n">
        <f aca="false">IF(W1634="","",LN(W1634))</f>
        <v>16.2607230492081</v>
      </c>
      <c r="Y1634" s="3" t="n">
        <f aca="false">IF(X1634="","",X1634-AVERAGEIFS($X$2:$X$2705,$B$2:$B$2705,B1634))</f>
        <v>-0.148671569759816</v>
      </c>
      <c r="Z1634" s="21" t="n">
        <f aca="false">P1634</f>
        <v>-0.284676755196745</v>
      </c>
      <c r="AA1634" s="3" t="n">
        <f aca="false">R1634</f>
        <v>0</v>
      </c>
      <c r="AB1634" s="21" t="n">
        <f aca="false">P1634</f>
        <v>-0.284676755196745</v>
      </c>
      <c r="AC1634" s="3" t="n">
        <f aca="false">Y1634</f>
        <v>-0.148671569759816</v>
      </c>
      <c r="AD1634" s="3" t="n">
        <f aca="false">R1634</f>
        <v>0</v>
      </c>
    </row>
    <row r="1635" customFormat="false" ht="15" hidden="false" customHeight="true" outlineLevel="0" collapsed="false">
      <c r="A1635" s="7" t="s">
        <v>68</v>
      </c>
      <c r="B1635" s="7" t="n">
        <v>1989</v>
      </c>
      <c r="C1635" s="7" t="s">
        <v>153</v>
      </c>
      <c r="D1635" s="7" t="n">
        <v>80</v>
      </c>
      <c r="E1635" s="7" t="n">
        <v>82</v>
      </c>
      <c r="F1635" s="3" t="n">
        <f aca="false">COUNTIFS($B$2:$B$2705,B1635,$C$2:$C$2705,C1635)</f>
        <v>1</v>
      </c>
      <c r="G1635" s="3" t="n">
        <f aca="false">MIN(INT((MIN(B1635,2020)-1900)/10)+1,12)</f>
        <v>9</v>
      </c>
      <c r="H1635" s="3" t="n">
        <f aca="false">(MIN(B1635,2020)-1900-10*(G1635-1))/10</f>
        <v>0.9</v>
      </c>
      <c r="I1635" s="20" t="n">
        <f aca="false">EXP(LN(INDEX(Pop_Inputs!$B$2:$N$29,MATCH(C1635,Pop_Inputs!$A$2:$A$29,0),G1635))*(1-H1635)+LN(INDEX(Pop_Inputs!$B$2:$N$29,MATCH(C1635,Pop_Inputs!$A$2:$A$29,0),G1635+1))*H1635)</f>
        <v>368638.997969267</v>
      </c>
      <c r="J1635" s="20" t="n">
        <f aca="false">I1635/F1635</f>
        <v>368638.997969267</v>
      </c>
      <c r="K1635" s="21" t="n">
        <f aca="false">D1635/(D1635+E1635)</f>
        <v>0.493827160493827</v>
      </c>
      <c r="L1635" s="21" t="n">
        <f aca="false">AVERAGEIFS($K$2:$K$2705,$B$2:$B$2705,B1635)</f>
        <v>0.499914102269175</v>
      </c>
      <c r="M1635" s="21" t="n">
        <f aca="false">K1635-L1635</f>
        <v>-0.00608694177534763</v>
      </c>
      <c r="N1635" s="21" t="n">
        <f aca="false">LN(J1635)</f>
        <v>12.8175731188636</v>
      </c>
      <c r="O1635" s="21" t="n">
        <f aca="false">AVERAGEIFS($N$2:$N$2705,$B$2:$B$2705,B1635)</f>
        <v>13.6363974739277</v>
      </c>
      <c r="P1635" s="21" t="n">
        <f aca="false">N1635-O1635</f>
        <v>-0.818824355064146</v>
      </c>
      <c r="Q1635" s="7" t="n">
        <v>0</v>
      </c>
      <c r="R1635" s="3" t="n">
        <f aca="false">IF(AND(Q1635=1,B1635-_xlfn.MINIFS($B$2:$B$2705,$A$2:$A$2705,A1635)&lt;10),1,0)</f>
        <v>0</v>
      </c>
      <c r="S1635" s="7" t="n">
        <v>0</v>
      </c>
      <c r="T1635" s="3" t="n">
        <f aca="false">_xlfn.MINIFS($B$2:$B$2705,$A$2:$A$2705,A1635)</f>
        <v>1901</v>
      </c>
      <c r="U1635" s="3" t="n">
        <f aca="false">B1635-T1635</f>
        <v>88</v>
      </c>
      <c r="V1635" s="3" t="str">
        <f aca="false">INDEX(Pop_Inputs!$Q$2:$Q$29,MATCH(C1635,Pop_Inputs!$A$2:$A$29,0))</f>
        <v>Midwest</v>
      </c>
      <c r="W1635" s="29" t="n">
        <v>15531666</v>
      </c>
      <c r="X1635" s="3" t="n">
        <f aca="false">IF(W1635="","",LN(W1635))</f>
        <v>16.5583914656107</v>
      </c>
      <c r="Y1635" s="3" t="n">
        <f aca="false">IF(X1635="","",X1635-AVERAGEIFS($X$2:$X$2705,$B$2:$B$2705,B1635))</f>
        <v>0.148996846642831</v>
      </c>
      <c r="Z1635" s="21" t="n">
        <f aca="false">P1635</f>
        <v>-0.818824355064146</v>
      </c>
      <c r="AA1635" s="3" t="n">
        <f aca="false">R1635</f>
        <v>0</v>
      </c>
      <c r="AB1635" s="21" t="n">
        <f aca="false">P1635</f>
        <v>-0.818824355064146</v>
      </c>
      <c r="AC1635" s="3" t="n">
        <f aca="false">Y1635</f>
        <v>0.148996846642831</v>
      </c>
      <c r="AD1635" s="3" t="n">
        <f aca="false">R1635</f>
        <v>0</v>
      </c>
    </row>
    <row r="1636" customFormat="false" ht="15" hidden="false" customHeight="true" outlineLevel="0" collapsed="false">
      <c r="A1636" s="7" t="s">
        <v>75</v>
      </c>
      <c r="B1636" s="7" t="n">
        <v>1989</v>
      </c>
      <c r="C1636" s="7" t="s">
        <v>154</v>
      </c>
      <c r="D1636" s="7" t="n">
        <v>87</v>
      </c>
      <c r="E1636" s="7" t="n">
        <v>75</v>
      </c>
      <c r="F1636" s="3" t="n">
        <f aca="false">COUNTIFS($B$2:$B$2705,B1636,$C$2:$C$2705,C1636)</f>
        <v>2</v>
      </c>
      <c r="G1636" s="3" t="n">
        <f aca="false">MIN(INT((MIN(B1636,2020)-1900)/10)+1,12)</f>
        <v>9</v>
      </c>
      <c r="H1636" s="3" t="n">
        <f aca="false">(MIN(B1636,2020)-1900-10*(G1636-1))/10</f>
        <v>0.9</v>
      </c>
      <c r="I1636" s="20" t="n">
        <f aca="false">EXP(LN(INDEX(Pop_Inputs!$B$2:$N$29,MATCH(C1636,Pop_Inputs!$A$2:$A$29,0),G1636))*(1-H1636)+LN(INDEX(Pop_Inputs!$B$2:$N$29,MATCH(C1636,Pop_Inputs!$A$2:$A$29,0),G1636+1))*H1636)</f>
        <v>7297075.95385458</v>
      </c>
      <c r="J1636" s="20" t="n">
        <f aca="false">I1636/F1636</f>
        <v>3648537.97692729</v>
      </c>
      <c r="K1636" s="21" t="n">
        <f aca="false">D1636/(D1636+E1636)</f>
        <v>0.537037037037037</v>
      </c>
      <c r="L1636" s="21" t="n">
        <f aca="false">AVERAGEIFS($K$2:$K$2705,$B$2:$B$2705,B1636)</f>
        <v>0.499914102269175</v>
      </c>
      <c r="M1636" s="21" t="n">
        <f aca="false">K1636-L1636</f>
        <v>0.0371229347678623</v>
      </c>
      <c r="N1636" s="21" t="n">
        <f aca="false">LN(J1636)</f>
        <v>15.1098370910489</v>
      </c>
      <c r="O1636" s="21" t="n">
        <f aca="false">AVERAGEIFS($N$2:$N$2705,$B$2:$B$2705,B1636)</f>
        <v>13.6363974739277</v>
      </c>
      <c r="P1636" s="21" t="n">
        <f aca="false">N1636-O1636</f>
        <v>1.47343961712116</v>
      </c>
      <c r="Q1636" s="7" t="n">
        <v>1</v>
      </c>
      <c r="R1636" s="3" t="n">
        <f aca="false">IF(AND(Q1636=1,B1636-_xlfn.MINIFS($B$2:$B$2705,$A$2:$A$2705,A1636)&lt;10),1,0)</f>
        <v>0</v>
      </c>
      <c r="S1636" s="7" t="n">
        <v>0</v>
      </c>
      <c r="T1636" s="3" t="n">
        <f aca="false">_xlfn.MINIFS($B$2:$B$2705,$A$2:$A$2705,A1636)</f>
        <v>1962</v>
      </c>
      <c r="U1636" s="3" t="n">
        <f aca="false">B1636-T1636</f>
        <v>27</v>
      </c>
      <c r="V1636" s="3" t="str">
        <f aca="false">INDEX(Pop_Inputs!$Q$2:$Q$29,MATCH(C1636,Pop_Inputs!$A$2:$A$29,0))</f>
        <v>Northeast</v>
      </c>
      <c r="W1636" s="29" t="n">
        <v>19885071</v>
      </c>
      <c r="X1636" s="3" t="n">
        <f aca="false">IF(W1636="","",LN(W1636))</f>
        <v>16.8054798071481</v>
      </c>
      <c r="Y1636" s="3" t="n">
        <f aca="false">IF(X1636="","",X1636-AVERAGEIFS($X$2:$X$2705,$B$2:$B$2705,B1636))</f>
        <v>0.396085188180212</v>
      </c>
      <c r="Z1636" s="21" t="n">
        <f aca="false">P1636</f>
        <v>1.47343961712116</v>
      </c>
      <c r="AA1636" s="3" t="n">
        <f aca="false">R1636</f>
        <v>0</v>
      </c>
      <c r="AB1636" s="21" t="n">
        <f aca="false">P1636</f>
        <v>1.47343961712116</v>
      </c>
      <c r="AC1636" s="3" t="n">
        <f aca="false">Y1636</f>
        <v>0.396085188180212</v>
      </c>
      <c r="AD1636" s="3" t="n">
        <f aca="false">R1636</f>
        <v>0</v>
      </c>
    </row>
    <row r="1637" customFormat="false" ht="15" hidden="false" customHeight="true" outlineLevel="0" collapsed="false">
      <c r="A1637" s="7" t="s">
        <v>70</v>
      </c>
      <c r="B1637" s="7" t="n">
        <v>1989</v>
      </c>
      <c r="C1637" s="7" t="s">
        <v>154</v>
      </c>
      <c r="D1637" s="7" t="n">
        <v>74</v>
      </c>
      <c r="E1637" s="7" t="n">
        <v>87</v>
      </c>
      <c r="F1637" s="3" t="n">
        <f aca="false">COUNTIFS($B$2:$B$2705,B1637,$C$2:$C$2705,C1637)</f>
        <v>2</v>
      </c>
      <c r="G1637" s="3" t="n">
        <f aca="false">MIN(INT((MIN(B1637,2020)-1900)/10)+1,12)</f>
        <v>9</v>
      </c>
      <c r="H1637" s="3" t="n">
        <f aca="false">(MIN(B1637,2020)-1900-10*(G1637-1))/10</f>
        <v>0.9</v>
      </c>
      <c r="I1637" s="20" t="n">
        <f aca="false">EXP(LN(INDEX(Pop_Inputs!$B$2:$N$29,MATCH(C1637,Pop_Inputs!$A$2:$A$29,0),G1637))*(1-H1637)+LN(INDEX(Pop_Inputs!$B$2:$N$29,MATCH(C1637,Pop_Inputs!$A$2:$A$29,0),G1637+1))*H1637)</f>
        <v>7297075.95385458</v>
      </c>
      <c r="J1637" s="20" t="n">
        <f aca="false">I1637/F1637</f>
        <v>3648537.97692729</v>
      </c>
      <c r="K1637" s="21" t="n">
        <f aca="false">D1637/(D1637+E1637)</f>
        <v>0.459627329192547</v>
      </c>
      <c r="L1637" s="21" t="n">
        <f aca="false">AVERAGEIFS($K$2:$K$2705,$B$2:$B$2705,B1637)</f>
        <v>0.499914102269175</v>
      </c>
      <c r="M1637" s="21" t="n">
        <f aca="false">K1637-L1637</f>
        <v>-0.0402867730766282</v>
      </c>
      <c r="N1637" s="21" t="n">
        <f aca="false">LN(J1637)</f>
        <v>15.1098370910489</v>
      </c>
      <c r="O1637" s="21" t="n">
        <f aca="false">AVERAGEIFS($N$2:$N$2705,$B$2:$B$2705,B1637)</f>
        <v>13.6363974739277</v>
      </c>
      <c r="P1637" s="21" t="n">
        <f aca="false">N1637-O1637</f>
        <v>1.47343961712116</v>
      </c>
      <c r="Q1637" s="7" t="n">
        <v>0</v>
      </c>
      <c r="R1637" s="3" t="n">
        <f aca="false">IF(AND(Q1637=1,B1637-_xlfn.MINIFS($B$2:$B$2705,$A$2:$A$2705,A1637)&lt;10),1,0)</f>
        <v>0</v>
      </c>
      <c r="S1637" s="7" t="n">
        <v>1</v>
      </c>
      <c r="T1637" s="3" t="n">
        <f aca="false">_xlfn.MINIFS($B$2:$B$2705,$A$2:$A$2705,A1637)</f>
        <v>1903</v>
      </c>
      <c r="U1637" s="3" t="n">
        <f aca="false">B1637-T1637</f>
        <v>86</v>
      </c>
      <c r="V1637" s="3" t="str">
        <f aca="false">INDEX(Pop_Inputs!$Q$2:$Q$29,MATCH(C1637,Pop_Inputs!$A$2:$A$29,0))</f>
        <v>Northeast</v>
      </c>
      <c r="W1637" s="29" t="n">
        <v>17114375</v>
      </c>
      <c r="X1637" s="3" t="n">
        <f aca="false">IF(W1637="","",LN(W1637))</f>
        <v>16.6554293116051</v>
      </c>
      <c r="Y1637" s="3" t="n">
        <f aca="false">IF(X1637="","",X1637-AVERAGEIFS($X$2:$X$2705,$B$2:$B$2705,B1637))</f>
        <v>0.246034692637192</v>
      </c>
      <c r="Z1637" s="21" t="n">
        <f aca="false">P1637</f>
        <v>1.47343961712116</v>
      </c>
      <c r="AA1637" s="3" t="n">
        <f aca="false">R1637</f>
        <v>0</v>
      </c>
      <c r="AB1637" s="21" t="n">
        <f aca="false">P1637</f>
        <v>1.47343961712116</v>
      </c>
      <c r="AC1637" s="3" t="n">
        <f aca="false">Y1637</f>
        <v>0.246034692637192</v>
      </c>
      <c r="AD1637" s="3" t="n">
        <f aca="false">R1637</f>
        <v>0</v>
      </c>
    </row>
    <row r="1638" customFormat="false" ht="15" hidden="false" customHeight="true" outlineLevel="0" collapsed="false">
      <c r="A1638" s="7" t="s">
        <v>69</v>
      </c>
      <c r="B1638" s="7" t="n">
        <v>1989</v>
      </c>
      <c r="C1638" s="7" t="s">
        <v>253</v>
      </c>
      <c r="D1638" s="7" t="n">
        <v>99</v>
      </c>
      <c r="E1638" s="7" t="n">
        <v>63</v>
      </c>
      <c r="F1638" s="3" t="n">
        <f aca="false">COUNTIFS($B$2:$B$2705,B1638,$C$2:$C$2705,C1638)</f>
        <v>1</v>
      </c>
      <c r="G1638" s="3" t="n">
        <f aca="false">MIN(INT((MIN(B1638,2020)-1900)/10)+1,12)</f>
        <v>9</v>
      </c>
      <c r="H1638" s="3" t="n">
        <f aca="false">(MIN(B1638,2020)-1900-10*(G1638-1))/10</f>
        <v>0.9</v>
      </c>
      <c r="I1638" s="20" t="n">
        <f aca="false">EXP(LN(INDEX(Pop_Inputs!$B$2:$N$29,MATCH(C1638,Pop_Inputs!$A$2:$A$29,0),G1638))*(1-H1638)+LN(INDEX(Pop_Inputs!$B$2:$N$29,MATCH(C1638,Pop_Inputs!$A$2:$A$29,0),G1638+1))*H1638)</f>
        <v>368812.776215149</v>
      </c>
      <c r="J1638" s="20" t="n">
        <f aca="false">I1638/F1638</f>
        <v>368812.776215149</v>
      </c>
      <c r="K1638" s="21" t="n">
        <f aca="false">D1638/(D1638+E1638)</f>
        <v>0.611111111111111</v>
      </c>
      <c r="L1638" s="21" t="n">
        <f aca="false">AVERAGEIFS($K$2:$K$2705,$B$2:$B$2705,B1638)</f>
        <v>0.499914102269175</v>
      </c>
      <c r="M1638" s="21" t="n">
        <f aca="false">K1638-L1638</f>
        <v>0.111197008841936</v>
      </c>
      <c r="N1638" s="21" t="n">
        <f aca="false">LN(J1638)</f>
        <v>12.8180444127303</v>
      </c>
      <c r="O1638" s="21" t="n">
        <f aca="false">AVERAGEIFS($N$2:$N$2705,$B$2:$B$2705,B1638)</f>
        <v>13.6363974739277</v>
      </c>
      <c r="P1638" s="21" t="n">
        <f aca="false">N1638-O1638</f>
        <v>-0.818353061197396</v>
      </c>
      <c r="Q1638" s="7" t="n">
        <v>0</v>
      </c>
      <c r="R1638" s="3" t="n">
        <f aca="false">IF(AND(Q1638=1,B1638-_xlfn.MINIFS($B$2:$B$2705,$A$2:$A$2705,A1638)&lt;10),1,0)</f>
        <v>0</v>
      </c>
      <c r="S1638" s="7" t="n">
        <v>0</v>
      </c>
      <c r="T1638" s="3" t="n">
        <f aca="false">_xlfn.MINIFS($B$2:$B$2705,$A$2:$A$2705,A1638)</f>
        <v>1901</v>
      </c>
      <c r="U1638" s="3" t="n">
        <f aca="false">B1638-T1638</f>
        <v>88</v>
      </c>
      <c r="V1638" s="3" t="str">
        <f aca="false">INDEX(Pop_Inputs!$Q$2:$Q$29,MATCH(C1638,Pop_Inputs!$A$2:$A$29,0))</f>
        <v>West</v>
      </c>
      <c r="W1638" s="29" t="n">
        <v>15613070</v>
      </c>
      <c r="X1638" s="3" t="n">
        <f aca="false">IF(W1638="","",LN(W1638))</f>
        <v>16.5636189419569</v>
      </c>
      <c r="Y1638" s="3" t="n">
        <f aca="false">IF(X1638="","",X1638-AVERAGEIFS($X$2:$X$2705,$B$2:$B$2705,B1638))</f>
        <v>0.154224322989002</v>
      </c>
      <c r="Z1638" s="21" t="n">
        <f aca="false">P1638</f>
        <v>-0.818353061197396</v>
      </c>
      <c r="AA1638" s="3" t="n">
        <f aca="false">R1638</f>
        <v>0</v>
      </c>
      <c r="AB1638" s="21" t="n">
        <f aca="false">P1638</f>
        <v>-0.818353061197396</v>
      </c>
      <c r="AC1638" s="3" t="n">
        <f aca="false">Y1638</f>
        <v>0.154224322989002</v>
      </c>
      <c r="AD1638" s="3" t="n">
        <f aca="false">R1638</f>
        <v>0</v>
      </c>
    </row>
    <row r="1639" customFormat="false" ht="15" hidden="false" customHeight="true" outlineLevel="0" collapsed="false">
      <c r="A1639" s="7" t="s">
        <v>60</v>
      </c>
      <c r="B1639" s="7" t="n">
        <v>1989</v>
      </c>
      <c r="C1639" s="7" t="s">
        <v>146</v>
      </c>
      <c r="D1639" s="7" t="n">
        <v>67</v>
      </c>
      <c r="E1639" s="7" t="n">
        <v>95</v>
      </c>
      <c r="F1639" s="3" t="n">
        <f aca="false">COUNTIFS($B$2:$B$2705,B1639,$C$2:$C$2705,C1639)</f>
        <v>1</v>
      </c>
      <c r="G1639" s="3" t="n">
        <f aca="false">MIN(INT((MIN(B1639,2020)-1900)/10)+1,12)</f>
        <v>9</v>
      </c>
      <c r="H1639" s="3" t="n">
        <f aca="false">(MIN(B1639,2020)-1900-10*(G1639-1))/10</f>
        <v>0.9</v>
      </c>
      <c r="I1639" s="20" t="n">
        <f aca="false">EXP(LN(INDEX(Pop_Inputs!$B$2:$N$29,MATCH(C1639,Pop_Inputs!$A$2:$A$29,0),G1639))*(1-H1639)+LN(INDEX(Pop_Inputs!$B$2:$N$29,MATCH(C1639,Pop_Inputs!$A$2:$A$29,0),G1639+1))*H1639)</f>
        <v>1595553.05749606</v>
      </c>
      <c r="J1639" s="20" t="n">
        <f aca="false">I1639/F1639</f>
        <v>1595553.05749606</v>
      </c>
      <c r="K1639" s="21" t="n">
        <f aca="false">D1639/(D1639+E1639)</f>
        <v>0.41358024691358</v>
      </c>
      <c r="L1639" s="21" t="n">
        <f aca="false">AVERAGEIFS($K$2:$K$2705,$B$2:$B$2705,B1639)</f>
        <v>0.499914102269175</v>
      </c>
      <c r="M1639" s="21" t="n">
        <f aca="false">K1639-L1639</f>
        <v>-0.0863338553555945</v>
      </c>
      <c r="N1639" s="21" t="n">
        <f aca="false">LN(J1639)</f>
        <v>14.2827309786107</v>
      </c>
      <c r="O1639" s="21" t="n">
        <f aca="false">AVERAGEIFS($N$2:$N$2705,$B$2:$B$2705,B1639)</f>
        <v>13.6363974739277</v>
      </c>
      <c r="P1639" s="21" t="n">
        <f aca="false">N1639-O1639</f>
        <v>0.646333504683</v>
      </c>
      <c r="Q1639" s="7" t="n">
        <v>0</v>
      </c>
      <c r="R1639" s="3" t="n">
        <f aca="false">IF(AND(Q1639=1,B1639-_xlfn.MINIFS($B$2:$B$2705,$A$2:$A$2705,A1639)&lt;10),1,0)</f>
        <v>0</v>
      </c>
      <c r="S1639" s="7" t="n">
        <v>0</v>
      </c>
      <c r="T1639" s="3" t="n">
        <f aca="false">_xlfn.MINIFS($B$2:$B$2705,$A$2:$A$2705,A1639)</f>
        <v>1901</v>
      </c>
      <c r="U1639" s="3" t="n">
        <f aca="false">B1639-T1639</f>
        <v>88</v>
      </c>
      <c r="V1639" s="3" t="str">
        <f aca="false">INDEX(Pop_Inputs!$Q$2:$Q$29,MATCH(C1639,Pop_Inputs!$A$2:$A$29,0))</f>
        <v>Northeast</v>
      </c>
      <c r="W1639" s="29" t="n">
        <v>10604000</v>
      </c>
      <c r="X1639" s="3" t="n">
        <f aca="false">IF(W1639="","",LN(W1639))</f>
        <v>16.1767418463911</v>
      </c>
      <c r="Y1639" s="3" t="n">
        <f aca="false">IF(X1639="","",X1639-AVERAGEIFS($X$2:$X$2705,$B$2:$B$2705,B1639))</f>
        <v>-0.232652772576838</v>
      </c>
      <c r="Z1639" s="21" t="n">
        <f aca="false">P1639</f>
        <v>0.646333504683</v>
      </c>
      <c r="AA1639" s="3" t="n">
        <f aca="false">R1639</f>
        <v>0</v>
      </c>
      <c r="AB1639" s="21" t="n">
        <f aca="false">P1639</f>
        <v>0.646333504683</v>
      </c>
      <c r="AC1639" s="3" t="n">
        <f aca="false">Y1639</f>
        <v>-0.232652772576838</v>
      </c>
      <c r="AD1639" s="3" t="n">
        <f aca="false">R1639</f>
        <v>0</v>
      </c>
    </row>
    <row r="1640" customFormat="false" ht="15" hidden="false" customHeight="true" outlineLevel="0" collapsed="false">
      <c r="A1640" s="7" t="s">
        <v>58</v>
      </c>
      <c r="B1640" s="7" t="n">
        <v>1989</v>
      </c>
      <c r="C1640" s="7" t="s">
        <v>144</v>
      </c>
      <c r="D1640" s="7" t="n">
        <v>74</v>
      </c>
      <c r="E1640" s="7" t="n">
        <v>88</v>
      </c>
      <c r="F1640" s="3" t="n">
        <f aca="false">COUNTIFS($B$2:$B$2705,B1640,$C$2:$C$2705,C1640)</f>
        <v>1</v>
      </c>
      <c r="G1640" s="3" t="n">
        <f aca="false">MIN(INT((MIN(B1640,2020)-1900)/10)+1,12)</f>
        <v>9</v>
      </c>
      <c r="H1640" s="3" t="n">
        <f aca="false">(MIN(B1640,2020)-1900-10*(G1640-1))/10</f>
        <v>0.9</v>
      </c>
      <c r="I1640" s="20" t="n">
        <f aca="false">EXP(LN(INDEX(Pop_Inputs!$B$2:$N$29,MATCH(C1640,Pop_Inputs!$A$2:$A$29,0),G1640))*(1-H1640)+LN(INDEX(Pop_Inputs!$B$2:$N$29,MATCH(C1640,Pop_Inputs!$A$2:$A$29,0),G1640+1))*H1640)</f>
        <v>374959.137897325</v>
      </c>
      <c r="J1640" s="20" t="n">
        <f aca="false">I1640/F1640</f>
        <v>374959.137897325</v>
      </c>
      <c r="K1640" s="21" t="n">
        <f aca="false">D1640/(D1640+E1640)</f>
        <v>0.45679012345679</v>
      </c>
      <c r="L1640" s="21" t="n">
        <f aca="false">AVERAGEIFS($K$2:$K$2705,$B$2:$B$2705,B1640)</f>
        <v>0.499914102269175</v>
      </c>
      <c r="M1640" s="21" t="n">
        <f aca="false">K1640-L1640</f>
        <v>-0.0431239788123847</v>
      </c>
      <c r="N1640" s="21" t="n">
        <f aca="false">LN(J1640)</f>
        <v>12.8345723334082</v>
      </c>
      <c r="O1640" s="21" t="n">
        <f aca="false">AVERAGEIFS($N$2:$N$2705,$B$2:$B$2705,B1640)</f>
        <v>13.6363974739277</v>
      </c>
      <c r="P1640" s="21" t="n">
        <f aca="false">N1640-O1640</f>
        <v>-0.801825140519503</v>
      </c>
      <c r="Q1640" s="7" t="n">
        <v>0</v>
      </c>
      <c r="R1640" s="3" t="n">
        <f aca="false">IF(AND(Q1640=1,B1640-_xlfn.MINIFS($B$2:$B$2705,$A$2:$A$2705,A1640)&lt;10),1,0)</f>
        <v>0</v>
      </c>
      <c r="S1640" s="7" t="n">
        <v>0</v>
      </c>
      <c r="T1640" s="3" t="n">
        <f aca="false">_xlfn.MINIFS($B$2:$B$2705,$A$2:$A$2705,A1640)</f>
        <v>1901</v>
      </c>
      <c r="U1640" s="3" t="n">
        <f aca="false">B1640-T1640</f>
        <v>88</v>
      </c>
      <c r="V1640" s="3" t="str">
        <f aca="false">INDEX(Pop_Inputs!$Q$2:$Q$29,MATCH(C1640,Pop_Inputs!$A$2:$A$29,0))</f>
        <v>Northeast</v>
      </c>
      <c r="W1640" s="29" t="n">
        <v>12737500</v>
      </c>
      <c r="X1640" s="3" t="n">
        <f aca="false">IF(W1640="","",LN(W1640))</f>
        <v>16.3600609565131</v>
      </c>
      <c r="Y1640" s="3" t="n">
        <f aca="false">IF(X1640="","",X1640-AVERAGEIFS($X$2:$X$2705,$B$2:$B$2705,B1640))</f>
        <v>-0.0493336624547744</v>
      </c>
      <c r="Z1640" s="21" t="n">
        <f aca="false">P1640</f>
        <v>-0.801825140519503</v>
      </c>
      <c r="AA1640" s="3" t="n">
        <f aca="false">R1640</f>
        <v>0</v>
      </c>
      <c r="AB1640" s="21" t="n">
        <f aca="false">P1640</f>
        <v>-0.801825140519503</v>
      </c>
      <c r="AC1640" s="3" t="n">
        <f aca="false">Y1640</f>
        <v>-0.0493336624547744</v>
      </c>
      <c r="AD1640" s="3" t="n">
        <f aca="false">R1640</f>
        <v>0</v>
      </c>
    </row>
    <row r="1641" customFormat="false" ht="15" hidden="false" customHeight="true" outlineLevel="0" collapsed="false">
      <c r="A1641" s="7" t="s">
        <v>78</v>
      </c>
      <c r="B1641" s="7" t="n">
        <v>1989</v>
      </c>
      <c r="C1641" s="7" t="s">
        <v>159</v>
      </c>
      <c r="D1641" s="7" t="n">
        <v>89</v>
      </c>
      <c r="E1641" s="7" t="n">
        <v>73</v>
      </c>
      <c r="F1641" s="3" t="n">
        <f aca="false">COUNTIFS($B$2:$B$2705,B1641,$C$2:$C$2705,C1641)</f>
        <v>1</v>
      </c>
      <c r="G1641" s="3" t="n">
        <f aca="false">MIN(INT((MIN(B1641,2020)-1900)/10)+1,12)</f>
        <v>9</v>
      </c>
      <c r="H1641" s="3" t="n">
        <f aca="false">(MIN(B1641,2020)-1900-10*(G1641-1))/10</f>
        <v>0.9</v>
      </c>
      <c r="I1641" s="20" t="n">
        <f aca="false">EXP(LN(INDEX(Pop_Inputs!$B$2:$N$29,MATCH(C1641,Pop_Inputs!$A$2:$A$29,0),G1641))*(1-H1641)+LN(INDEX(Pop_Inputs!$B$2:$N$29,MATCH(C1641,Pop_Inputs!$A$2:$A$29,0),G1641+1))*H1641)</f>
        <v>1084454.79372764</v>
      </c>
      <c r="J1641" s="20" t="n">
        <f aca="false">I1641/F1641</f>
        <v>1084454.79372764</v>
      </c>
      <c r="K1641" s="21" t="n">
        <f aca="false">D1641/(D1641+E1641)</f>
        <v>0.549382716049383</v>
      </c>
      <c r="L1641" s="21" t="n">
        <f aca="false">AVERAGEIFS($K$2:$K$2705,$B$2:$B$2705,B1641)</f>
        <v>0.499914102269175</v>
      </c>
      <c r="M1641" s="21" t="n">
        <f aca="false">K1641-L1641</f>
        <v>0.049468613780208</v>
      </c>
      <c r="N1641" s="21" t="n">
        <f aca="false">LN(J1641)</f>
        <v>13.8965879244039</v>
      </c>
      <c r="O1641" s="21" t="n">
        <f aca="false">AVERAGEIFS($N$2:$N$2705,$B$2:$B$2705,B1641)</f>
        <v>13.6363974739277</v>
      </c>
      <c r="P1641" s="21" t="n">
        <f aca="false">N1641-O1641</f>
        <v>0.260190450476175</v>
      </c>
      <c r="Q1641" s="7" t="n">
        <v>1</v>
      </c>
      <c r="R1641" s="3" t="n">
        <f aca="false">IF(AND(Q1641=1,B1641-_xlfn.MINIFS($B$2:$B$2705,$A$2:$A$2705,A1641)&lt;10),1,0)</f>
        <v>0</v>
      </c>
      <c r="S1641" s="7" t="n">
        <v>0</v>
      </c>
      <c r="T1641" s="3" t="n">
        <f aca="false">_xlfn.MINIFS($B$2:$B$2705,$A$2:$A$2705,A1641)</f>
        <v>1969</v>
      </c>
      <c r="U1641" s="3" t="n">
        <f aca="false">B1641-T1641</f>
        <v>20</v>
      </c>
      <c r="V1641" s="3" t="str">
        <f aca="false">INDEX(Pop_Inputs!$Q$2:$Q$29,MATCH(C1641,Pop_Inputs!$A$2:$A$29,0))</f>
        <v>West</v>
      </c>
      <c r="W1641" s="29" t="n">
        <v>14195000</v>
      </c>
      <c r="X1641" s="3" t="n">
        <f aca="false">IF(W1641="","",LN(W1641))</f>
        <v>16.4684003478892</v>
      </c>
      <c r="Y1641" s="3" t="n">
        <f aca="false">IF(X1641="","",X1641-AVERAGEIFS($X$2:$X$2705,$B$2:$B$2705,B1641))</f>
        <v>0.0590057289213171</v>
      </c>
      <c r="Z1641" s="21" t="n">
        <f aca="false">P1641</f>
        <v>0.260190450476175</v>
      </c>
      <c r="AA1641" s="3" t="n">
        <f aca="false">R1641</f>
        <v>0</v>
      </c>
      <c r="AB1641" s="21" t="n">
        <f aca="false">P1641</f>
        <v>0.260190450476175</v>
      </c>
      <c r="AC1641" s="3" t="n">
        <f aca="false">Y1641</f>
        <v>0.0590057289213171</v>
      </c>
      <c r="AD1641" s="3" t="n">
        <f aca="false">R1641</f>
        <v>0</v>
      </c>
    </row>
    <row r="1642" customFormat="false" ht="15" hidden="false" customHeight="true" outlineLevel="0" collapsed="false">
      <c r="A1642" s="7" t="s">
        <v>80</v>
      </c>
      <c r="B1642" s="7" t="n">
        <v>1989</v>
      </c>
      <c r="C1642" s="7" t="s">
        <v>161</v>
      </c>
      <c r="D1642" s="7" t="n">
        <v>73</v>
      </c>
      <c r="E1642" s="7" t="n">
        <v>89</v>
      </c>
      <c r="F1642" s="3" t="n">
        <f aca="false">COUNTIFS($B$2:$B$2705,B1642,$C$2:$C$2705,C1642)</f>
        <v>1</v>
      </c>
      <c r="G1642" s="3" t="n">
        <f aca="false">MIN(INT((MIN(B1642,2020)-1900)/10)+1,12)</f>
        <v>9</v>
      </c>
      <c r="H1642" s="3" t="n">
        <f aca="false">(MIN(B1642,2020)-1900-10*(G1642-1))/10</f>
        <v>0.9</v>
      </c>
      <c r="I1642" s="20" t="n">
        <f aca="false">EXP(LN(INDEX(Pop_Inputs!$B$2:$N$29,MATCH(C1642,Pop_Inputs!$A$2:$A$29,0),G1642))*(1-H1642)+LN(INDEX(Pop_Inputs!$B$2:$N$29,MATCH(C1642,Pop_Inputs!$A$2:$A$29,0),G1642+1))*H1642)</f>
        <v>513972.669855002</v>
      </c>
      <c r="J1642" s="20" t="n">
        <f aca="false">I1642/F1642</f>
        <v>513972.669855002</v>
      </c>
      <c r="K1642" s="21" t="n">
        <f aca="false">D1642/(D1642+E1642)</f>
        <v>0.450617283950617</v>
      </c>
      <c r="L1642" s="21" t="n">
        <f aca="false">AVERAGEIFS($K$2:$K$2705,$B$2:$B$2705,B1642)</f>
        <v>0.499914102269175</v>
      </c>
      <c r="M1642" s="21" t="n">
        <f aca="false">K1642-L1642</f>
        <v>-0.0492968183185575</v>
      </c>
      <c r="N1642" s="21" t="n">
        <f aca="false">LN(J1642)</f>
        <v>13.1499253715353</v>
      </c>
      <c r="O1642" s="21" t="n">
        <f aca="false">AVERAGEIFS($N$2:$N$2705,$B$2:$B$2705,B1642)</f>
        <v>13.6363974739277</v>
      </c>
      <c r="P1642" s="21" t="n">
        <f aca="false">N1642-O1642</f>
        <v>-0.486472102392408</v>
      </c>
      <c r="Q1642" s="7" t="n">
        <v>1</v>
      </c>
      <c r="R1642" s="3" t="n">
        <f aca="false">IF(AND(Q1642=1,B1642-_xlfn.MINIFS($B$2:$B$2705,$A$2:$A$2705,A1642)&lt;10),1,0)</f>
        <v>0</v>
      </c>
      <c r="S1642" s="7" t="n">
        <v>0</v>
      </c>
      <c r="T1642" s="3" t="n">
        <f aca="false">_xlfn.MINIFS($B$2:$B$2705,$A$2:$A$2705,A1642)</f>
        <v>1977</v>
      </c>
      <c r="U1642" s="3" t="n">
        <f aca="false">B1642-T1642</f>
        <v>12</v>
      </c>
      <c r="V1642" s="3" t="str">
        <f aca="false">INDEX(Pop_Inputs!$Q$2:$Q$29,MATCH(C1642,Pop_Inputs!$A$2:$A$29,0))</f>
        <v>West</v>
      </c>
      <c r="W1642" s="29" t="n">
        <v>9779500</v>
      </c>
      <c r="X1642" s="3" t="n">
        <f aca="false">IF(W1642="","",LN(W1642))</f>
        <v>16.0957989159597</v>
      </c>
      <c r="Y1642" s="3" t="n">
        <f aca="false">IF(X1642="","",X1642-AVERAGEIFS($X$2:$X$2705,$B$2:$B$2705,B1642))</f>
        <v>-0.313595703008183</v>
      </c>
      <c r="Z1642" s="21" t="n">
        <f aca="false">P1642</f>
        <v>-0.486472102392408</v>
      </c>
      <c r="AA1642" s="3" t="n">
        <f aca="false">R1642</f>
        <v>0</v>
      </c>
      <c r="AB1642" s="21" t="n">
        <f aca="false">P1642</f>
        <v>-0.486472102392408</v>
      </c>
      <c r="AC1642" s="3" t="n">
        <f aca="false">Y1642</f>
        <v>-0.313595703008183</v>
      </c>
      <c r="AD1642" s="3" t="n">
        <f aca="false">R1642</f>
        <v>0</v>
      </c>
    </row>
    <row r="1643" customFormat="false" ht="15" hidden="false" customHeight="true" outlineLevel="0" collapsed="false">
      <c r="A1643" s="7" t="s">
        <v>61</v>
      </c>
      <c r="B1643" s="7" t="n">
        <v>1989</v>
      </c>
      <c r="C1643" s="7" t="s">
        <v>147</v>
      </c>
      <c r="D1643" s="7" t="n">
        <v>92</v>
      </c>
      <c r="E1643" s="7" t="n">
        <v>70</v>
      </c>
      <c r="F1643" s="3" t="n">
        <f aca="false">COUNTIFS($B$2:$B$2705,B1643,$C$2:$C$2705,C1643)</f>
        <v>1</v>
      </c>
      <c r="G1643" s="3" t="n">
        <f aca="false">MIN(INT((MIN(B1643,2020)-1900)/10)+1,12)</f>
        <v>9</v>
      </c>
      <c r="H1643" s="3" t="n">
        <f aca="false">(MIN(B1643,2020)-1900-10*(G1643-1))/10</f>
        <v>0.9</v>
      </c>
      <c r="I1643" s="20" t="n">
        <f aca="false">EXP(LN(INDEX(Pop_Inputs!$B$2:$N$29,MATCH(C1643,Pop_Inputs!$A$2:$A$29,0),G1643))*(1-H1643)+LN(INDEX(Pop_Inputs!$B$2:$N$29,MATCH(C1643,Pop_Inputs!$A$2:$A$29,0),G1643+1))*H1643)</f>
        <v>719329.528951383</v>
      </c>
      <c r="J1643" s="20" t="n">
        <f aca="false">I1643/F1643</f>
        <v>719329.528951383</v>
      </c>
      <c r="K1643" s="21" t="n">
        <f aca="false">D1643/(D1643+E1643)</f>
        <v>0.567901234567901</v>
      </c>
      <c r="L1643" s="21" t="n">
        <f aca="false">AVERAGEIFS($K$2:$K$2705,$B$2:$B$2705,B1643)</f>
        <v>0.499914102269175</v>
      </c>
      <c r="M1643" s="21" t="n">
        <f aca="false">K1643-L1643</f>
        <v>0.0679871322987264</v>
      </c>
      <c r="N1643" s="21" t="n">
        <f aca="false">LN(J1643)</f>
        <v>13.4860748473573</v>
      </c>
      <c r="O1643" s="21" t="n">
        <f aca="false">AVERAGEIFS($N$2:$N$2705,$B$2:$B$2705,B1643)</f>
        <v>13.6363974739277</v>
      </c>
      <c r="P1643" s="21" t="n">
        <f aca="false">N1643-O1643</f>
        <v>-0.150322626570432</v>
      </c>
      <c r="Q1643" s="7" t="n">
        <v>0</v>
      </c>
      <c r="R1643" s="3" t="n">
        <f aca="false">IF(AND(Q1643=1,B1643-_xlfn.MINIFS($B$2:$B$2705,$A$2:$A$2705,A1643)&lt;10),1,0)</f>
        <v>0</v>
      </c>
      <c r="S1643" s="7" t="n">
        <v>0</v>
      </c>
      <c r="T1643" s="3" t="n">
        <f aca="false">_xlfn.MINIFS($B$2:$B$2705,$A$2:$A$2705,A1643)</f>
        <v>1901</v>
      </c>
      <c r="U1643" s="3" t="n">
        <f aca="false">B1643-T1643</f>
        <v>88</v>
      </c>
      <c r="V1643" s="3" t="str">
        <f aca="false">INDEX(Pop_Inputs!$Q$2:$Q$29,MATCH(C1643,Pop_Inputs!$A$2:$A$29,0))</f>
        <v>West</v>
      </c>
      <c r="W1643" s="29" t="n">
        <v>14962834</v>
      </c>
      <c r="X1643" s="3" t="n">
        <f aca="false">IF(W1643="","",LN(W1643))</f>
        <v>16.5210799510721</v>
      </c>
      <c r="Y1643" s="3" t="n">
        <f aca="false">IF(X1643="","",X1643-AVERAGEIFS($X$2:$X$2705,$B$2:$B$2705,B1643))</f>
        <v>0.11168533210418</v>
      </c>
      <c r="Z1643" s="21" t="n">
        <f aca="false">P1643</f>
        <v>-0.150322626570432</v>
      </c>
      <c r="AA1643" s="3" t="n">
        <f aca="false">R1643</f>
        <v>0</v>
      </c>
      <c r="AB1643" s="21" t="n">
        <f aca="false">P1643</f>
        <v>-0.150322626570432</v>
      </c>
      <c r="AC1643" s="3" t="n">
        <f aca="false">Y1643</f>
        <v>0.11168533210418</v>
      </c>
      <c r="AD1643" s="3" t="n">
        <f aca="false">R1643</f>
        <v>0</v>
      </c>
    </row>
    <row r="1644" customFormat="false" ht="15" hidden="false" customHeight="true" outlineLevel="0" collapsed="false">
      <c r="A1644" s="7" t="s">
        <v>59</v>
      </c>
      <c r="B1644" s="7" t="n">
        <v>1989</v>
      </c>
      <c r="C1644" s="7" t="s">
        <v>145</v>
      </c>
      <c r="D1644" s="7" t="n">
        <v>86</v>
      </c>
      <c r="E1644" s="7" t="n">
        <v>76</v>
      </c>
      <c r="F1644" s="3" t="n">
        <f aca="false">COUNTIFS($B$2:$B$2705,B1644,$C$2:$C$2705,C1644)</f>
        <v>1</v>
      </c>
      <c r="G1644" s="3" t="n">
        <f aca="false">MIN(INT((MIN(B1644,2020)-1900)/10)+1,12)</f>
        <v>9</v>
      </c>
      <c r="H1644" s="3" t="n">
        <f aca="false">(MIN(B1644,2020)-1900-10*(G1644-1))/10</f>
        <v>0.9</v>
      </c>
      <c r="I1644" s="20" t="n">
        <f aca="false">EXP(LN(INDEX(Pop_Inputs!$B$2:$N$29,MATCH(C1644,Pop_Inputs!$A$2:$A$29,0),G1644))*(1-H1644)+LN(INDEX(Pop_Inputs!$B$2:$N$29,MATCH(C1644,Pop_Inputs!$A$2:$A$29,0),G1644+1))*H1644)</f>
        <v>402057.463489248</v>
      </c>
      <c r="J1644" s="20" t="n">
        <f aca="false">I1644/F1644</f>
        <v>402057.463489248</v>
      </c>
      <c r="K1644" s="21" t="n">
        <f aca="false">D1644/(D1644+E1644)</f>
        <v>0.530864197530864</v>
      </c>
      <c r="L1644" s="21" t="n">
        <f aca="false">AVERAGEIFS($K$2:$K$2705,$B$2:$B$2705,B1644)</f>
        <v>0.499914102269175</v>
      </c>
      <c r="M1644" s="21" t="n">
        <f aca="false">K1644-L1644</f>
        <v>0.0309500952616895</v>
      </c>
      <c r="N1644" s="21" t="n">
        <f aca="false">LN(J1644)</f>
        <v>12.9043503013887</v>
      </c>
      <c r="O1644" s="21" t="n">
        <f aca="false">AVERAGEIFS($N$2:$N$2705,$B$2:$B$2705,B1644)</f>
        <v>13.6363974739277</v>
      </c>
      <c r="P1644" s="21" t="n">
        <f aca="false">N1644-O1644</f>
        <v>-0.732047172538991</v>
      </c>
      <c r="Q1644" s="7" t="n">
        <v>0</v>
      </c>
      <c r="R1644" s="3" t="n">
        <f aca="false">IF(AND(Q1644=1,B1644-_xlfn.MINIFS($B$2:$B$2705,$A$2:$A$2705,A1644)&lt;10),1,0)</f>
        <v>0</v>
      </c>
      <c r="S1644" s="7" t="n">
        <v>0</v>
      </c>
      <c r="T1644" s="3" t="n">
        <f aca="false">_xlfn.MINIFS($B$2:$B$2705,$A$2:$A$2705,A1644)</f>
        <v>1901</v>
      </c>
      <c r="U1644" s="3" t="n">
        <f aca="false">B1644-T1644</f>
        <v>88</v>
      </c>
      <c r="V1644" s="3" t="str">
        <f aca="false">INDEX(Pop_Inputs!$Q$2:$Q$29,MATCH(C1644,Pop_Inputs!$A$2:$A$29,0))</f>
        <v>Midwest</v>
      </c>
      <c r="W1644" s="29" t="n">
        <v>16078833</v>
      </c>
      <c r="X1644" s="3" t="n">
        <f aca="false">IF(W1644="","",LN(W1644))</f>
        <v>16.5930142444546</v>
      </c>
      <c r="Y1644" s="3" t="n">
        <f aca="false">IF(X1644="","",X1644-AVERAGEIFS($X$2:$X$2705,$B$2:$B$2705,B1644))</f>
        <v>0.183619625486671</v>
      </c>
      <c r="Z1644" s="21" t="n">
        <f aca="false">P1644</f>
        <v>-0.732047172538991</v>
      </c>
      <c r="AA1644" s="3" t="n">
        <f aca="false">R1644</f>
        <v>0</v>
      </c>
      <c r="AB1644" s="21" t="n">
        <f aca="false">P1644</f>
        <v>-0.732047172538991</v>
      </c>
      <c r="AC1644" s="3" t="n">
        <f aca="false">Y1644</f>
        <v>0.183619625486671</v>
      </c>
      <c r="AD1644" s="3" t="n">
        <f aca="false">R1644</f>
        <v>0</v>
      </c>
    </row>
    <row r="1645" customFormat="false" ht="15" hidden="false" customHeight="true" outlineLevel="0" collapsed="false">
      <c r="A1645" s="7" t="s">
        <v>73</v>
      </c>
      <c r="B1645" s="7" t="n">
        <v>1989</v>
      </c>
      <c r="C1645" s="7" t="s">
        <v>155</v>
      </c>
      <c r="D1645" s="7" t="n">
        <v>83</v>
      </c>
      <c r="E1645" s="7" t="n">
        <v>79</v>
      </c>
      <c r="F1645" s="3" t="n">
        <f aca="false">COUNTIFS($B$2:$B$2705,B1645,$C$2:$C$2705,C1645)</f>
        <v>1</v>
      </c>
      <c r="G1645" s="3" t="n">
        <f aca="false">MIN(INT((MIN(B1645,2020)-1900)/10)+1,12)</f>
        <v>9</v>
      </c>
      <c r="H1645" s="3" t="n">
        <f aca="false">(MIN(B1645,2020)-1900-10*(G1645-1))/10</f>
        <v>0.9</v>
      </c>
      <c r="I1645" s="20" t="n">
        <f aca="false">EXP(LN(INDEX(Pop_Inputs!$B$2:$N$29,MATCH(C1645,Pop_Inputs!$A$2:$A$29,0),G1645))*(1-H1645)+LN(INDEX(Pop_Inputs!$B$2:$N$29,MATCH(C1645,Pop_Inputs!$A$2:$A$29,0),G1645+1))*H1645)</f>
        <v>996180.843707572</v>
      </c>
      <c r="J1645" s="20" t="n">
        <f aca="false">I1645/F1645</f>
        <v>996180.843707572</v>
      </c>
      <c r="K1645" s="21" t="n">
        <f aca="false">D1645/(D1645+E1645)</f>
        <v>0.512345679012346</v>
      </c>
      <c r="L1645" s="21" t="n">
        <f aca="false">AVERAGEIFS($K$2:$K$2705,$B$2:$B$2705,B1645)</f>
        <v>0.499914102269175</v>
      </c>
      <c r="M1645" s="21" t="n">
        <f aca="false">K1645-L1645</f>
        <v>0.012431576743171</v>
      </c>
      <c r="N1645" s="21" t="n">
        <f aca="false">LN(J1645)</f>
        <v>13.8116840900724</v>
      </c>
      <c r="O1645" s="21" t="n">
        <f aca="false">AVERAGEIFS($N$2:$N$2705,$B$2:$B$2705,B1645)</f>
        <v>13.6363974739277</v>
      </c>
      <c r="P1645" s="21" t="n">
        <f aca="false">N1645-O1645</f>
        <v>0.175286616144689</v>
      </c>
      <c r="Q1645" s="7" t="n">
        <v>1</v>
      </c>
      <c r="R1645" s="3" t="n">
        <f aca="false">IF(AND(Q1645=1,B1645-_xlfn.MINIFS($B$2:$B$2705,$A$2:$A$2705,A1645)&lt;10),1,0)</f>
        <v>0</v>
      </c>
      <c r="S1645" s="7" t="n">
        <v>0</v>
      </c>
      <c r="T1645" s="3" t="n">
        <f aca="false">_xlfn.MINIFS($B$2:$B$2705,$A$2:$A$2705,A1645)</f>
        <v>1961</v>
      </c>
      <c r="U1645" s="3" t="n">
        <f aca="false">B1645-T1645</f>
        <v>28</v>
      </c>
      <c r="V1645" s="3" t="str">
        <f aca="false">INDEX(Pop_Inputs!$Q$2:$Q$29,MATCH(C1645,Pop_Inputs!$A$2:$A$29,0))</f>
        <v>South</v>
      </c>
      <c r="W1645" s="29" t="n">
        <v>11893781</v>
      </c>
      <c r="X1645" s="3" t="n">
        <f aca="false">IF(W1645="","",LN(W1645))</f>
        <v>16.2915262164341</v>
      </c>
      <c r="Y1645" s="3" t="n">
        <f aca="false">IF(X1645="","",X1645-AVERAGEIFS($X$2:$X$2705,$B$2:$B$2705,B1645))</f>
        <v>-0.117868402533762</v>
      </c>
      <c r="Z1645" s="21" t="n">
        <f aca="false">P1645</f>
        <v>0.175286616144689</v>
      </c>
      <c r="AA1645" s="3" t="n">
        <f aca="false">R1645</f>
        <v>0</v>
      </c>
      <c r="AB1645" s="21" t="n">
        <f aca="false">P1645</f>
        <v>0.175286616144689</v>
      </c>
      <c r="AC1645" s="3" t="n">
        <f aca="false">Y1645</f>
        <v>-0.117868402533762</v>
      </c>
      <c r="AD1645" s="3" t="n">
        <f aca="false">R1645</f>
        <v>0</v>
      </c>
    </row>
    <row r="1646" customFormat="false" ht="15" hidden="false" customHeight="true" outlineLevel="0" collapsed="false">
      <c r="A1646" s="7" t="s">
        <v>81</v>
      </c>
      <c r="B1646" s="7" t="n">
        <v>1989</v>
      </c>
      <c r="C1646" s="7" t="s">
        <v>162</v>
      </c>
      <c r="D1646" s="7" t="n">
        <v>89</v>
      </c>
      <c r="E1646" s="7" t="n">
        <v>73</v>
      </c>
      <c r="F1646" s="3" t="n">
        <f aca="false">COUNTIFS($B$2:$B$2705,B1646,$C$2:$C$2705,C1646)</f>
        <v>1</v>
      </c>
      <c r="G1646" s="3" t="n">
        <f aca="false">MIN(INT((MIN(B1646,2020)-1900)/10)+1,12)</f>
        <v>9</v>
      </c>
      <c r="H1646" s="3" t="n">
        <f aca="false">(MIN(B1646,2020)-1900-10*(G1646-1))/10</f>
        <v>0.9</v>
      </c>
      <c r="I1646" s="20" t="n">
        <f aca="false">EXP(LN(INDEX(Pop_Inputs!$B$2:$N$29,MATCH(C1646,Pop_Inputs!$A$2:$A$29,0),G1646))*(1-H1646)+LN(INDEX(Pop_Inputs!$B$2:$N$29,MATCH(C1646,Pop_Inputs!$A$2:$A$29,0),G1646+1))*H1646)</f>
        <v>631681.017613411</v>
      </c>
      <c r="J1646" s="20" t="n">
        <f aca="false">I1646/F1646</f>
        <v>631681.017613411</v>
      </c>
      <c r="K1646" s="21" t="n">
        <f aca="false">D1646/(D1646+E1646)</f>
        <v>0.549382716049383</v>
      </c>
      <c r="L1646" s="21" t="n">
        <f aca="false">AVERAGEIFS($K$2:$K$2705,$B$2:$B$2705,B1646)</f>
        <v>0.499914102269175</v>
      </c>
      <c r="M1646" s="21" t="n">
        <f aca="false">K1646-L1646</f>
        <v>0.049468613780208</v>
      </c>
      <c r="N1646" s="21" t="n">
        <f aca="false">LN(J1646)</f>
        <v>13.3561398267494</v>
      </c>
      <c r="O1646" s="21" t="n">
        <f aca="false">AVERAGEIFS($N$2:$N$2705,$B$2:$B$2705,B1646)</f>
        <v>13.6363974739277</v>
      </c>
      <c r="P1646" s="21" t="n">
        <f aca="false">N1646-O1646</f>
        <v>-0.280257647178352</v>
      </c>
      <c r="Q1646" s="7" t="n">
        <v>1</v>
      </c>
      <c r="R1646" s="3" t="n">
        <f aca="false">IF(AND(Q1646=1,B1646-_xlfn.MINIFS($B$2:$B$2705,$A$2:$A$2705,A1646)&lt;10),1,0)</f>
        <v>0</v>
      </c>
      <c r="S1646" s="7" t="n">
        <v>0</v>
      </c>
      <c r="T1646" s="3" t="n">
        <f aca="false">_xlfn.MINIFS($B$2:$B$2705,$A$2:$A$2705,A1646)</f>
        <v>1977</v>
      </c>
      <c r="U1646" s="3" t="n">
        <f aca="false">B1646-T1646</f>
        <v>12</v>
      </c>
      <c r="V1646" s="3" t="str">
        <f aca="false">INDEX(Pop_Inputs!$Q$2:$Q$29,MATCH(C1646,Pop_Inputs!$A$2:$A$29,0))</f>
        <v>Canada</v>
      </c>
      <c r="W1646" s="29" t="n">
        <v>16261666</v>
      </c>
      <c r="X1646" s="3" t="n">
        <f aca="false">IF(W1646="","",LN(W1646))</f>
        <v>16.6043211168599</v>
      </c>
      <c r="Y1646" s="3" t="n">
        <f aca="false">IF(X1646="","",X1646-AVERAGEIFS($X$2:$X$2705,$B$2:$B$2705,B1646))</f>
        <v>0.194926497891977</v>
      </c>
      <c r="Z1646" s="21" t="n">
        <f aca="false">P1646</f>
        <v>-0.280257647178352</v>
      </c>
      <c r="AA1646" s="3" t="n">
        <f aca="false">R1646</f>
        <v>0</v>
      </c>
      <c r="AB1646" s="21" t="n">
        <f aca="false">P1646</f>
        <v>-0.280257647178352</v>
      </c>
      <c r="AC1646" s="3" t="n">
        <f aca="false">Y1646</f>
        <v>0.194926497891977</v>
      </c>
      <c r="AD1646" s="3" t="n">
        <f aca="false">R1646</f>
        <v>0</v>
      </c>
    </row>
    <row r="1647" customFormat="false" ht="15" hidden="false" customHeight="true" outlineLevel="0" collapsed="false">
      <c r="A1647" s="7" t="s">
        <v>79</v>
      </c>
      <c r="B1647" s="7" t="n">
        <v>1989</v>
      </c>
      <c r="C1647" s="7" t="s">
        <v>254</v>
      </c>
      <c r="D1647" s="7" t="n">
        <v>81</v>
      </c>
      <c r="E1647" s="7" t="n">
        <v>81</v>
      </c>
      <c r="F1647" s="3" t="n">
        <f aca="false">COUNTIFS($B$2:$B$2705,B1647,$C$2:$C$2705,C1647)</f>
        <v>1</v>
      </c>
      <c r="G1647" s="3" t="n">
        <f aca="false">MIN(INT((MIN(B1647,2020)-1900)/10)+1,12)</f>
        <v>9</v>
      </c>
      <c r="H1647" s="3" t="n">
        <f aca="false">(MIN(B1647,2020)-1900-10*(G1647-1))/10</f>
        <v>0.9</v>
      </c>
      <c r="I1647" s="20" t="n">
        <f aca="false">EXP(LN(INDEX(Pop_Inputs!$B$2:$N$29,MATCH(C1647,Pop_Inputs!$A$2:$A$29,0),G1647))*(1-H1647)+LN(INDEX(Pop_Inputs!$B$2:$N$29,MATCH(C1647,Pop_Inputs!$A$2:$A$29,0),G1647+1))*H1647)</f>
        <v>1013871.77058842</v>
      </c>
      <c r="J1647" s="20" t="n">
        <f aca="false">I1647/F1647</f>
        <v>1013871.77058842</v>
      </c>
      <c r="K1647" s="21" t="n">
        <f aca="false">D1647/(D1647+E1647)</f>
        <v>0.5</v>
      </c>
      <c r="L1647" s="21" t="n">
        <f aca="false">AVERAGEIFS($K$2:$K$2705,$B$2:$B$2705,B1647)</f>
        <v>0.499914102269175</v>
      </c>
      <c r="M1647" s="21" t="n">
        <f aca="false">K1647-L1647</f>
        <v>8.58977308252351E-005</v>
      </c>
      <c r="N1647" s="21" t="n">
        <f aca="false">LN(J1647)</f>
        <v>13.8292869961509</v>
      </c>
      <c r="O1647" s="21" t="n">
        <f aca="false">AVERAGEIFS($N$2:$N$2705,$B$2:$B$2705,B1647)</f>
        <v>13.6363974739277</v>
      </c>
      <c r="P1647" s="21" t="n">
        <f aca="false">N1647-O1647</f>
        <v>0.19288952222314</v>
      </c>
      <c r="Q1647" s="7" t="n">
        <v>1</v>
      </c>
      <c r="R1647" s="3" t="n">
        <f aca="false">IF(AND(Q1647=1,B1647-_xlfn.MINIFS($B$2:$B$2705,$A$2:$A$2705,A1647)&lt;10),1,0)</f>
        <v>0</v>
      </c>
      <c r="S1647" s="7" t="n">
        <v>0</v>
      </c>
      <c r="T1647" s="3" t="n">
        <f aca="false">_xlfn.MINIFS($B$2:$B$2705,$A$2:$A$2705,A1647)</f>
        <v>1969</v>
      </c>
      <c r="U1647" s="3" t="n">
        <f aca="false">B1647-T1647</f>
        <v>20</v>
      </c>
      <c r="V1647" s="3" t="str">
        <f aca="false">INDEX(Pop_Inputs!$Q$2:$Q$29,MATCH(C1647,Pop_Inputs!$A$2:$A$29,0))</f>
        <v>Canada</v>
      </c>
      <c r="W1647" s="29" t="n">
        <v>13807389</v>
      </c>
      <c r="X1647" s="3" t="n">
        <f aca="false">IF(W1647="","",LN(W1647))</f>
        <v>16.440714441616</v>
      </c>
      <c r="Y1647" s="3" t="n">
        <f aca="false">IF(X1647="","",X1647-AVERAGEIFS($X$2:$X$2705,$B$2:$B$2705,B1647))</f>
        <v>0.0313198226480935</v>
      </c>
      <c r="Z1647" s="21" t="n">
        <f aca="false">P1647</f>
        <v>0.19288952222314</v>
      </c>
      <c r="AA1647" s="3" t="n">
        <f aca="false">R1647</f>
        <v>0</v>
      </c>
      <c r="AB1647" s="21" t="n">
        <f aca="false">P1647</f>
        <v>0.19288952222314</v>
      </c>
      <c r="AC1647" s="3" t="n">
        <f aca="false">Y1647</f>
        <v>0.0313198226480935</v>
      </c>
      <c r="AD1647" s="3" t="n">
        <f aca="false">R1647</f>
        <v>0</v>
      </c>
    </row>
    <row r="1648" customFormat="false" ht="15" hidden="false" customHeight="true" outlineLevel="0" collapsed="false">
      <c r="A1648" s="7" t="s">
        <v>71</v>
      </c>
      <c r="B1648" s="7" t="n">
        <v>1990</v>
      </c>
      <c r="C1648" s="7" t="s">
        <v>148</v>
      </c>
      <c r="D1648" s="7" t="n">
        <v>80</v>
      </c>
      <c r="E1648" s="7" t="n">
        <v>82</v>
      </c>
      <c r="F1648" s="3" t="n">
        <f aca="false">COUNTIFS($B$2:$B$2705,B1648,$C$2:$C$2705,C1648)</f>
        <v>2</v>
      </c>
      <c r="G1648" s="3" t="n">
        <f aca="false">MIN(INT((MIN(B1648,2020)-1900)/10)+1,12)</f>
        <v>10</v>
      </c>
      <c r="H1648" s="3" t="n">
        <f aca="false">(MIN(B1648,2020)-1900-10*(G1648-1))/10</f>
        <v>0</v>
      </c>
      <c r="I1648" s="20" t="n">
        <f aca="false">EXP(LN(INDEX(Pop_Inputs!$B$2:$N$29,MATCH(C1648,Pop_Inputs!$A$2:$A$29,0),G1648))*(1-H1648)+LN(INDEX(Pop_Inputs!$B$2:$N$29,MATCH(C1648,Pop_Inputs!$A$2:$A$29,0),G1648+1))*H1648)</f>
        <v>3485398</v>
      </c>
      <c r="J1648" s="20" t="n">
        <f aca="false">I1648/F1648</f>
        <v>1742699</v>
      </c>
      <c r="K1648" s="21" t="n">
        <f aca="false">D1648/(D1648+E1648)</f>
        <v>0.493827160493827</v>
      </c>
      <c r="L1648" s="21" t="n">
        <f aca="false">AVERAGEIFS($K$2:$K$2705,$B$2:$B$2705,B1648)</f>
        <v>0.499985253608442</v>
      </c>
      <c r="M1648" s="21" t="n">
        <f aca="false">K1648-L1648</f>
        <v>-0.0061580931146149</v>
      </c>
      <c r="N1648" s="21" t="n">
        <f aca="false">LN(J1648)</f>
        <v>14.3709456188263</v>
      </c>
      <c r="O1648" s="21" t="n">
        <f aca="false">AVERAGEIFS($N$2:$N$2705,$B$2:$B$2705,B1648)</f>
        <v>13.636615570181</v>
      </c>
      <c r="P1648" s="21" t="n">
        <f aca="false">N1648-O1648</f>
        <v>0.734330048645372</v>
      </c>
      <c r="Q1648" s="7" t="n">
        <v>1</v>
      </c>
      <c r="R1648" s="3" t="n">
        <f aca="false">IF(AND(Q1648=1,B1648-_xlfn.MINIFS($B$2:$B$2705,$A$2:$A$2705,A1648)&lt;10),1,0)</f>
        <v>0</v>
      </c>
      <c r="S1648" s="7" t="n">
        <v>0</v>
      </c>
      <c r="T1648" s="3" t="n">
        <f aca="false">_xlfn.MINIFS($B$2:$B$2705,$A$2:$A$2705,A1648)</f>
        <v>1961</v>
      </c>
      <c r="U1648" s="3" t="n">
        <f aca="false">B1648-T1648</f>
        <v>29</v>
      </c>
      <c r="V1648" s="3" t="str">
        <f aca="false">INDEX(Pop_Inputs!$Q$2:$Q$29,MATCH(C1648,Pop_Inputs!$A$2:$A$29,0))</f>
        <v>West</v>
      </c>
      <c r="W1648" s="29" t="n">
        <v>21720000</v>
      </c>
      <c r="X1648" s="3" t="n">
        <f aca="false">IF(W1648="","",LN(W1648))</f>
        <v>16.89374405303</v>
      </c>
      <c r="Y1648" s="3" t="n">
        <f aca="false">IF(X1648="","",X1648-AVERAGEIFS($X$2:$X$2705,$B$2:$B$2705,B1648))</f>
        <v>0.266817301503927</v>
      </c>
      <c r="Z1648" s="21" t="n">
        <f aca="false">P1648</f>
        <v>0.734330048645372</v>
      </c>
      <c r="AA1648" s="3" t="n">
        <f aca="false">R1648</f>
        <v>0</v>
      </c>
      <c r="AB1648" s="21" t="n">
        <f aca="false">P1648</f>
        <v>0.734330048645372</v>
      </c>
      <c r="AC1648" s="3" t="n">
        <f aca="false">Y1648</f>
        <v>0.266817301503927</v>
      </c>
      <c r="AD1648" s="3" t="n">
        <f aca="false">R1648</f>
        <v>0</v>
      </c>
    </row>
    <row r="1649" customFormat="false" ht="15" hidden="false" customHeight="true" outlineLevel="0" collapsed="false">
      <c r="A1649" s="7" t="s">
        <v>54</v>
      </c>
      <c r="B1649" s="7" t="n">
        <v>1990</v>
      </c>
      <c r="C1649" s="7" t="s">
        <v>141</v>
      </c>
      <c r="D1649" s="7" t="n">
        <v>65</v>
      </c>
      <c r="E1649" s="7" t="n">
        <v>97</v>
      </c>
      <c r="F1649" s="3" t="n">
        <f aca="false">COUNTIFS($B$2:$B$2705,B1649,$C$2:$C$2705,C1649)</f>
        <v>1</v>
      </c>
      <c r="G1649" s="3" t="n">
        <f aca="false">MIN(INT((MIN(B1649,2020)-1900)/10)+1,12)</f>
        <v>10</v>
      </c>
      <c r="H1649" s="3" t="n">
        <f aca="false">(MIN(B1649,2020)-1900-10*(G1649-1))/10</f>
        <v>0</v>
      </c>
      <c r="I1649" s="20" t="n">
        <f aca="false">EXP(LN(INDEX(Pop_Inputs!$B$2:$N$29,MATCH(C1649,Pop_Inputs!$A$2:$A$29,0),G1649))*(1-H1649)+LN(INDEX(Pop_Inputs!$B$2:$N$29,MATCH(C1649,Pop_Inputs!$A$2:$A$29,0),G1649+1))*H1649)</f>
        <v>394017</v>
      </c>
      <c r="J1649" s="20" t="n">
        <f aca="false">I1649/F1649</f>
        <v>394017</v>
      </c>
      <c r="K1649" s="21" t="n">
        <f aca="false">D1649/(D1649+E1649)</f>
        <v>0.401234567901235</v>
      </c>
      <c r="L1649" s="21" t="n">
        <f aca="false">AVERAGEIFS($K$2:$K$2705,$B$2:$B$2705,B1649)</f>
        <v>0.499985253608442</v>
      </c>
      <c r="M1649" s="21" t="n">
        <f aca="false">K1649-L1649</f>
        <v>-0.0987506857072075</v>
      </c>
      <c r="N1649" s="21" t="n">
        <f aca="false">LN(J1649)</f>
        <v>12.8841493345574</v>
      </c>
      <c r="O1649" s="21" t="n">
        <f aca="false">AVERAGEIFS($N$2:$N$2705,$B$2:$B$2705,B1649)</f>
        <v>13.636615570181</v>
      </c>
      <c r="P1649" s="21" t="n">
        <f aca="false">N1649-O1649</f>
        <v>-0.752466235623588</v>
      </c>
      <c r="Q1649" s="7" t="n">
        <v>0</v>
      </c>
      <c r="R1649" s="3" t="n">
        <f aca="false">IF(AND(Q1649=1,B1649-_xlfn.MINIFS($B$2:$B$2705,$A$2:$A$2705,A1649)&lt;10),1,0)</f>
        <v>0</v>
      </c>
      <c r="S1649" s="7" t="n">
        <v>0</v>
      </c>
      <c r="T1649" s="3" t="n">
        <f aca="false">_xlfn.MINIFS($B$2:$B$2705,$A$2:$A$2705,A1649)</f>
        <v>1901</v>
      </c>
      <c r="U1649" s="3" t="n">
        <f aca="false">B1649-T1649</f>
        <v>89</v>
      </c>
      <c r="V1649" s="3" t="str">
        <f aca="false">INDEX(Pop_Inputs!$Q$2:$Q$29,MATCH(C1649,Pop_Inputs!$A$2:$A$29,0))</f>
        <v>South</v>
      </c>
      <c r="W1649" s="29" t="n">
        <v>14555501</v>
      </c>
      <c r="X1649" s="3" t="n">
        <f aca="false">IF(W1649="","",LN(W1649))</f>
        <v>16.4934795557306</v>
      </c>
      <c r="Y1649" s="3" t="n">
        <f aca="false">IF(X1649="","",X1649-AVERAGEIFS($X$2:$X$2705,$B$2:$B$2705,B1649))</f>
        <v>-0.133447195795501</v>
      </c>
      <c r="Z1649" s="21" t="n">
        <f aca="false">P1649</f>
        <v>-0.752466235623588</v>
      </c>
      <c r="AA1649" s="3" t="n">
        <f aca="false">R1649</f>
        <v>0</v>
      </c>
      <c r="AB1649" s="21" t="n">
        <f aca="false">P1649</f>
        <v>-0.752466235623588</v>
      </c>
      <c r="AC1649" s="3" t="n">
        <f aca="false">Y1649</f>
        <v>-0.133447195795501</v>
      </c>
      <c r="AD1649" s="3" t="n">
        <f aca="false">R1649</f>
        <v>0</v>
      </c>
    </row>
    <row r="1650" customFormat="false" ht="15" hidden="false" customHeight="true" outlineLevel="0" collapsed="false">
      <c r="A1650" s="7" t="s">
        <v>63</v>
      </c>
      <c r="B1650" s="7" t="n">
        <v>1990</v>
      </c>
      <c r="C1650" s="7" t="s">
        <v>149</v>
      </c>
      <c r="D1650" s="7" t="n">
        <v>76</v>
      </c>
      <c r="E1650" s="7" t="n">
        <v>85</v>
      </c>
      <c r="F1650" s="3" t="n">
        <f aca="false">COUNTIFS($B$2:$B$2705,B1650,$C$2:$C$2705,C1650)</f>
        <v>1</v>
      </c>
      <c r="G1650" s="3" t="n">
        <f aca="false">MIN(INT((MIN(B1650,2020)-1900)/10)+1,12)</f>
        <v>10</v>
      </c>
      <c r="H1650" s="3" t="n">
        <f aca="false">(MIN(B1650,2020)-1900-10*(G1650-1))/10</f>
        <v>0</v>
      </c>
      <c r="I1650" s="20" t="n">
        <f aca="false">EXP(LN(INDEX(Pop_Inputs!$B$2:$N$29,MATCH(C1650,Pop_Inputs!$A$2:$A$29,0),G1650))*(1-H1650)+LN(INDEX(Pop_Inputs!$B$2:$N$29,MATCH(C1650,Pop_Inputs!$A$2:$A$29,0),G1650+1))*H1650)</f>
        <v>736014.000000001</v>
      </c>
      <c r="J1650" s="20" t="n">
        <f aca="false">I1650/F1650</f>
        <v>736014.000000001</v>
      </c>
      <c r="K1650" s="21" t="n">
        <f aca="false">D1650/(D1650+E1650)</f>
        <v>0.472049689440994</v>
      </c>
      <c r="L1650" s="21" t="n">
        <f aca="false">AVERAGEIFS($K$2:$K$2705,$B$2:$B$2705,B1650)</f>
        <v>0.499985253608442</v>
      </c>
      <c r="M1650" s="21" t="n">
        <f aca="false">K1650-L1650</f>
        <v>-0.0279355641674482</v>
      </c>
      <c r="N1650" s="21" t="n">
        <f aca="false">LN(J1650)</f>
        <v>13.5090044192692</v>
      </c>
      <c r="O1650" s="21" t="n">
        <f aca="false">AVERAGEIFS($N$2:$N$2705,$B$2:$B$2705,B1650)</f>
        <v>13.636615570181</v>
      </c>
      <c r="P1650" s="21" t="n">
        <f aca="false">N1650-O1650</f>
        <v>-0.127611150911733</v>
      </c>
      <c r="Q1650" s="7" t="n">
        <v>0</v>
      </c>
      <c r="R1650" s="3" t="n">
        <f aca="false">IF(AND(Q1650=1,B1650-_xlfn.MINIFS($B$2:$B$2705,$A$2:$A$2705,A1650)&lt;10),1,0)</f>
        <v>0</v>
      </c>
      <c r="S1650" s="7" t="n">
        <v>0</v>
      </c>
      <c r="T1650" s="3" t="n">
        <f aca="false">_xlfn.MINIFS($B$2:$B$2705,$A$2:$A$2705,A1650)</f>
        <v>1901</v>
      </c>
      <c r="U1650" s="3" t="n">
        <f aca="false">B1650-T1650</f>
        <v>89</v>
      </c>
      <c r="V1650" s="3" t="str">
        <f aca="false">INDEX(Pop_Inputs!$Q$2:$Q$29,MATCH(C1650,Pop_Inputs!$A$2:$A$29,0))</f>
        <v>South</v>
      </c>
      <c r="W1650" s="29" t="n">
        <v>9680084</v>
      </c>
      <c r="X1650" s="3" t="n">
        <f aca="false">IF(W1650="","",LN(W1650))</f>
        <v>16.0855811369011</v>
      </c>
      <c r="Y1650" s="3" t="n">
        <f aca="false">IF(X1650="","",X1650-AVERAGEIFS($X$2:$X$2705,$B$2:$B$2705,B1650))</f>
        <v>-0.541345614625023</v>
      </c>
      <c r="Z1650" s="21" t="n">
        <f aca="false">P1650</f>
        <v>-0.127611150911733</v>
      </c>
      <c r="AA1650" s="3" t="n">
        <f aca="false">R1650</f>
        <v>0</v>
      </c>
      <c r="AB1650" s="21" t="n">
        <f aca="false">P1650</f>
        <v>-0.127611150911733</v>
      </c>
      <c r="AC1650" s="3" t="n">
        <f aca="false">Y1650</f>
        <v>-0.541345614625023</v>
      </c>
      <c r="AD1650" s="3" t="n">
        <f aca="false">R1650</f>
        <v>0</v>
      </c>
    </row>
    <row r="1651" customFormat="false" ht="15" hidden="false" customHeight="true" outlineLevel="0" collapsed="false">
      <c r="A1651" s="7" t="s">
        <v>64</v>
      </c>
      <c r="B1651" s="7" t="n">
        <v>1990</v>
      </c>
      <c r="C1651" s="7" t="s">
        <v>150</v>
      </c>
      <c r="D1651" s="7" t="n">
        <v>88</v>
      </c>
      <c r="E1651" s="7" t="n">
        <v>74</v>
      </c>
      <c r="F1651" s="3" t="n">
        <f aca="false">COUNTIFS($B$2:$B$2705,B1651,$C$2:$C$2705,C1651)</f>
        <v>1</v>
      </c>
      <c r="G1651" s="3" t="n">
        <f aca="false">MIN(INT((MIN(B1651,2020)-1900)/10)+1,12)</f>
        <v>10</v>
      </c>
      <c r="H1651" s="3" t="n">
        <f aca="false">(MIN(B1651,2020)-1900-10*(G1651-1))/10</f>
        <v>0</v>
      </c>
      <c r="I1651" s="20" t="n">
        <f aca="false">EXP(LN(INDEX(Pop_Inputs!$B$2:$N$29,MATCH(C1651,Pop_Inputs!$A$2:$A$29,0),G1651))*(1-H1651)+LN(INDEX(Pop_Inputs!$B$2:$N$29,MATCH(C1651,Pop_Inputs!$A$2:$A$29,0),G1651+1))*H1651)</f>
        <v>574283</v>
      </c>
      <c r="J1651" s="20" t="n">
        <f aca="false">I1651/F1651</f>
        <v>574283</v>
      </c>
      <c r="K1651" s="21" t="n">
        <f aca="false">D1651/(D1651+E1651)</f>
        <v>0.54320987654321</v>
      </c>
      <c r="L1651" s="21" t="n">
        <f aca="false">AVERAGEIFS($K$2:$K$2705,$B$2:$B$2705,B1651)</f>
        <v>0.499985253608442</v>
      </c>
      <c r="M1651" s="21" t="n">
        <f aca="false">K1651-L1651</f>
        <v>0.0432246229347678</v>
      </c>
      <c r="N1651" s="21" t="n">
        <f aca="false">LN(J1651)</f>
        <v>13.2608775851606</v>
      </c>
      <c r="O1651" s="21" t="n">
        <f aca="false">AVERAGEIFS($N$2:$N$2705,$B$2:$B$2705,B1651)</f>
        <v>13.636615570181</v>
      </c>
      <c r="P1651" s="21" t="n">
        <f aca="false">N1651-O1651</f>
        <v>-0.375737985020404</v>
      </c>
      <c r="Q1651" s="7" t="n">
        <v>0</v>
      </c>
      <c r="R1651" s="3" t="n">
        <f aca="false">IF(AND(Q1651=1,B1651-_xlfn.MINIFS($B$2:$B$2705,$A$2:$A$2705,A1651)&lt;10),1,0)</f>
        <v>0</v>
      </c>
      <c r="S1651" s="7" t="n">
        <v>0</v>
      </c>
      <c r="T1651" s="3" t="n">
        <f aca="false">_xlfn.MINIFS($B$2:$B$2705,$A$2:$A$2705,A1651)</f>
        <v>1901</v>
      </c>
      <c r="U1651" s="3" t="n">
        <f aca="false">B1651-T1651</f>
        <v>89</v>
      </c>
      <c r="V1651" s="3" t="str">
        <f aca="false">INDEX(Pop_Inputs!$Q$2:$Q$29,MATCH(C1651,Pop_Inputs!$A$2:$A$29,0))</f>
        <v>Northeast</v>
      </c>
      <c r="W1651" s="29" t="n">
        <v>20558333</v>
      </c>
      <c r="X1651" s="3" t="n">
        <f aca="false">IF(W1651="","",LN(W1651))</f>
        <v>16.8387769154976</v>
      </c>
      <c r="Y1651" s="3" t="n">
        <f aca="false">IF(X1651="","",X1651-AVERAGEIFS($X$2:$X$2705,$B$2:$B$2705,B1651))</f>
        <v>0.211850163971477</v>
      </c>
      <c r="Z1651" s="21" t="n">
        <f aca="false">P1651</f>
        <v>-0.375737985020404</v>
      </c>
      <c r="AA1651" s="3" t="n">
        <f aca="false">R1651</f>
        <v>0</v>
      </c>
      <c r="AB1651" s="21" t="n">
        <f aca="false">P1651</f>
        <v>-0.375737985020404</v>
      </c>
      <c r="AC1651" s="3" t="n">
        <f aca="false">Y1651</f>
        <v>0.211850163971477</v>
      </c>
      <c r="AD1651" s="3" t="n">
        <f aca="false">R1651</f>
        <v>0</v>
      </c>
    </row>
    <row r="1652" customFormat="false" ht="15" hidden="false" customHeight="true" outlineLevel="0" collapsed="false">
      <c r="A1652" s="7" t="s">
        <v>56</v>
      </c>
      <c r="B1652" s="7" t="n">
        <v>1990</v>
      </c>
      <c r="C1652" s="7" t="s">
        <v>142</v>
      </c>
      <c r="D1652" s="7" t="n">
        <v>77</v>
      </c>
      <c r="E1652" s="7" t="n">
        <v>85</v>
      </c>
      <c r="F1652" s="3" t="n">
        <f aca="false">COUNTIFS($B$2:$B$2705,B1652,$C$2:$C$2705,C1652)</f>
        <v>2</v>
      </c>
      <c r="G1652" s="3" t="n">
        <f aca="false">MIN(INT((MIN(B1652,2020)-1900)/10)+1,12)</f>
        <v>10</v>
      </c>
      <c r="H1652" s="3" t="n">
        <f aca="false">(MIN(B1652,2020)-1900-10*(G1652-1))/10</f>
        <v>0</v>
      </c>
      <c r="I1652" s="20" t="n">
        <f aca="false">EXP(LN(INDEX(Pop_Inputs!$B$2:$N$29,MATCH(C1652,Pop_Inputs!$A$2:$A$29,0),G1652))*(1-H1652)+LN(INDEX(Pop_Inputs!$B$2:$N$29,MATCH(C1652,Pop_Inputs!$A$2:$A$29,0),G1652+1))*H1652)</f>
        <v>2783726</v>
      </c>
      <c r="J1652" s="20" t="n">
        <f aca="false">I1652/F1652</f>
        <v>1391863</v>
      </c>
      <c r="K1652" s="21" t="n">
        <f aca="false">D1652/(D1652+E1652)</f>
        <v>0.475308641975309</v>
      </c>
      <c r="L1652" s="21" t="n">
        <f aca="false">AVERAGEIFS($K$2:$K$2705,$B$2:$B$2705,B1652)</f>
        <v>0.499985253608442</v>
      </c>
      <c r="M1652" s="21" t="n">
        <f aca="false">K1652-L1652</f>
        <v>-0.0246766116331334</v>
      </c>
      <c r="N1652" s="21" t="n">
        <f aca="false">LN(J1652)</f>
        <v>14.1461536954928</v>
      </c>
      <c r="O1652" s="21" t="n">
        <f aca="false">AVERAGEIFS($N$2:$N$2705,$B$2:$B$2705,B1652)</f>
        <v>13.636615570181</v>
      </c>
      <c r="P1652" s="21" t="n">
        <f aca="false">N1652-O1652</f>
        <v>0.509538125311785</v>
      </c>
      <c r="Q1652" s="7" t="n">
        <v>0</v>
      </c>
      <c r="R1652" s="3" t="n">
        <f aca="false">IF(AND(Q1652=1,B1652-_xlfn.MINIFS($B$2:$B$2705,$A$2:$A$2705,A1652)&lt;10),1,0)</f>
        <v>0</v>
      </c>
      <c r="S1652" s="7" t="n">
        <v>0</v>
      </c>
      <c r="T1652" s="3" t="n">
        <f aca="false">_xlfn.MINIFS($B$2:$B$2705,$A$2:$A$2705,A1652)</f>
        <v>1901</v>
      </c>
      <c r="U1652" s="3" t="n">
        <f aca="false">B1652-T1652</f>
        <v>89</v>
      </c>
      <c r="V1652" s="3" t="str">
        <f aca="false">INDEX(Pop_Inputs!$Q$2:$Q$29,MATCH(C1652,Pop_Inputs!$A$2:$A$29,0))</f>
        <v>Midwest</v>
      </c>
      <c r="W1652" s="29" t="n">
        <v>13624000</v>
      </c>
      <c r="X1652" s="3" t="n">
        <f aca="false">IF(W1652="","",LN(W1652))</f>
        <v>16.4273435013247</v>
      </c>
      <c r="Y1652" s="3" t="n">
        <f aca="false">IF(X1652="","",X1652-AVERAGEIFS($X$2:$X$2705,$B$2:$B$2705,B1652))</f>
        <v>-0.199583250201421</v>
      </c>
      <c r="Z1652" s="21" t="n">
        <f aca="false">P1652</f>
        <v>0.509538125311785</v>
      </c>
      <c r="AA1652" s="3" t="n">
        <f aca="false">R1652</f>
        <v>0</v>
      </c>
      <c r="AB1652" s="21" t="n">
        <f aca="false">P1652</f>
        <v>0.509538125311785</v>
      </c>
      <c r="AC1652" s="3" t="n">
        <f aca="false">Y1652</f>
        <v>-0.199583250201421</v>
      </c>
      <c r="AD1652" s="3" t="n">
        <f aca="false">R1652</f>
        <v>0</v>
      </c>
    </row>
    <row r="1653" customFormat="false" ht="15" hidden="false" customHeight="true" outlineLevel="0" collapsed="false">
      <c r="A1653" s="7" t="s">
        <v>65</v>
      </c>
      <c r="B1653" s="7" t="n">
        <v>1990</v>
      </c>
      <c r="C1653" s="7" t="s">
        <v>142</v>
      </c>
      <c r="D1653" s="7" t="n">
        <v>94</v>
      </c>
      <c r="E1653" s="7" t="n">
        <v>68</v>
      </c>
      <c r="F1653" s="3" t="n">
        <f aca="false">COUNTIFS($B$2:$B$2705,B1653,$C$2:$C$2705,C1653)</f>
        <v>2</v>
      </c>
      <c r="G1653" s="3" t="n">
        <f aca="false">MIN(INT((MIN(B1653,2020)-1900)/10)+1,12)</f>
        <v>10</v>
      </c>
      <c r="H1653" s="3" t="n">
        <f aca="false">(MIN(B1653,2020)-1900-10*(G1653-1))/10</f>
        <v>0</v>
      </c>
      <c r="I1653" s="20" t="n">
        <f aca="false">EXP(LN(INDEX(Pop_Inputs!$B$2:$N$29,MATCH(C1653,Pop_Inputs!$A$2:$A$29,0),G1653))*(1-H1653)+LN(INDEX(Pop_Inputs!$B$2:$N$29,MATCH(C1653,Pop_Inputs!$A$2:$A$29,0),G1653+1))*H1653)</f>
        <v>2783726</v>
      </c>
      <c r="J1653" s="20" t="n">
        <f aca="false">I1653/F1653</f>
        <v>1391863</v>
      </c>
      <c r="K1653" s="21" t="n">
        <f aca="false">D1653/(D1653+E1653)</f>
        <v>0.580246913580247</v>
      </c>
      <c r="L1653" s="21" t="n">
        <f aca="false">AVERAGEIFS($K$2:$K$2705,$B$2:$B$2705,B1653)</f>
        <v>0.499985253608442</v>
      </c>
      <c r="M1653" s="21" t="n">
        <f aca="false">K1653-L1653</f>
        <v>0.0802616599718049</v>
      </c>
      <c r="N1653" s="21" t="n">
        <f aca="false">LN(J1653)</f>
        <v>14.1461536954928</v>
      </c>
      <c r="O1653" s="21" t="n">
        <f aca="false">AVERAGEIFS($N$2:$N$2705,$B$2:$B$2705,B1653)</f>
        <v>13.636615570181</v>
      </c>
      <c r="P1653" s="21" t="n">
        <f aca="false">N1653-O1653</f>
        <v>0.509538125311785</v>
      </c>
      <c r="Q1653" s="7" t="n">
        <v>0</v>
      </c>
      <c r="R1653" s="3" t="n">
        <f aca="false">IF(AND(Q1653=1,B1653-_xlfn.MINIFS($B$2:$B$2705,$A$2:$A$2705,A1653)&lt;10),1,0)</f>
        <v>0</v>
      </c>
      <c r="S1653" s="7" t="n">
        <v>0</v>
      </c>
      <c r="T1653" s="3" t="n">
        <f aca="false">_xlfn.MINIFS($B$2:$B$2705,$A$2:$A$2705,A1653)</f>
        <v>1901</v>
      </c>
      <c r="U1653" s="3" t="n">
        <f aca="false">B1653-T1653</f>
        <v>89</v>
      </c>
      <c r="V1653" s="3" t="str">
        <f aca="false">INDEX(Pop_Inputs!$Q$2:$Q$29,MATCH(C1653,Pop_Inputs!$A$2:$A$29,0))</f>
        <v>Midwest</v>
      </c>
      <c r="W1653" s="29" t="n">
        <v>9491500</v>
      </c>
      <c r="X1653" s="3" t="n">
        <f aca="false">IF(W1653="","",LN(W1653))</f>
        <v>16.0659072192127</v>
      </c>
      <c r="Y1653" s="3" t="n">
        <f aca="false">IF(X1653="","",X1653-AVERAGEIFS($X$2:$X$2705,$B$2:$B$2705,B1653))</f>
        <v>-0.561019532313349</v>
      </c>
      <c r="Z1653" s="21" t="n">
        <f aca="false">P1653</f>
        <v>0.509538125311785</v>
      </c>
      <c r="AA1653" s="3" t="n">
        <f aca="false">R1653</f>
        <v>0</v>
      </c>
      <c r="AB1653" s="21" t="n">
        <f aca="false">P1653</f>
        <v>0.509538125311785</v>
      </c>
      <c r="AC1653" s="3" t="n">
        <f aca="false">Y1653</f>
        <v>-0.561019532313349</v>
      </c>
      <c r="AD1653" s="3" t="n">
        <f aca="false">R1653</f>
        <v>0</v>
      </c>
    </row>
    <row r="1654" customFormat="false" ht="15" hidden="false" customHeight="true" outlineLevel="0" collapsed="false">
      <c r="A1654" s="7" t="s">
        <v>57</v>
      </c>
      <c r="B1654" s="7" t="n">
        <v>1990</v>
      </c>
      <c r="C1654" s="7" t="s">
        <v>143</v>
      </c>
      <c r="D1654" s="7" t="n">
        <v>91</v>
      </c>
      <c r="E1654" s="7" t="n">
        <v>71</v>
      </c>
      <c r="F1654" s="3" t="n">
        <f aca="false">COUNTIFS($B$2:$B$2705,B1654,$C$2:$C$2705,C1654)</f>
        <v>1</v>
      </c>
      <c r="G1654" s="3" t="n">
        <f aca="false">MIN(INT((MIN(B1654,2020)-1900)/10)+1,12)</f>
        <v>10</v>
      </c>
      <c r="H1654" s="3" t="n">
        <f aca="false">(MIN(B1654,2020)-1900-10*(G1654-1))/10</f>
        <v>0</v>
      </c>
      <c r="I1654" s="20" t="n">
        <f aca="false">EXP(LN(INDEX(Pop_Inputs!$B$2:$N$29,MATCH(C1654,Pop_Inputs!$A$2:$A$29,0),G1654))*(1-H1654)+LN(INDEX(Pop_Inputs!$B$2:$N$29,MATCH(C1654,Pop_Inputs!$A$2:$A$29,0),G1654+1))*H1654)</f>
        <v>364040</v>
      </c>
      <c r="J1654" s="20" t="n">
        <f aca="false">I1654/F1654</f>
        <v>364040</v>
      </c>
      <c r="K1654" s="21" t="n">
        <f aca="false">D1654/(D1654+E1654)</f>
        <v>0.561728395061728</v>
      </c>
      <c r="L1654" s="21" t="n">
        <f aca="false">AVERAGEIFS($K$2:$K$2705,$B$2:$B$2705,B1654)</f>
        <v>0.499985253608442</v>
      </c>
      <c r="M1654" s="21" t="n">
        <f aca="false">K1654-L1654</f>
        <v>0.0617431414532864</v>
      </c>
      <c r="N1654" s="21" t="n">
        <f aca="false">LN(J1654)</f>
        <v>12.8050190306913</v>
      </c>
      <c r="O1654" s="21" t="n">
        <f aca="false">AVERAGEIFS($N$2:$N$2705,$B$2:$B$2705,B1654)</f>
        <v>13.636615570181</v>
      </c>
      <c r="P1654" s="21" t="n">
        <f aca="false">N1654-O1654</f>
        <v>-0.831596539489674</v>
      </c>
      <c r="Q1654" s="7" t="n">
        <v>0</v>
      </c>
      <c r="R1654" s="3" t="n">
        <f aca="false">IF(AND(Q1654=1,B1654-_xlfn.MINIFS($B$2:$B$2705,$A$2:$A$2705,A1654)&lt;10),1,0)</f>
        <v>0</v>
      </c>
      <c r="S1654" s="7" t="n">
        <v>0</v>
      </c>
      <c r="T1654" s="3" t="n">
        <f aca="false">_xlfn.MINIFS($B$2:$B$2705,$A$2:$A$2705,A1654)</f>
        <v>1901</v>
      </c>
      <c r="U1654" s="3" t="n">
        <f aca="false">B1654-T1654</f>
        <v>89</v>
      </c>
      <c r="V1654" s="3" t="str">
        <f aca="false">INDEX(Pop_Inputs!$Q$2:$Q$29,MATCH(C1654,Pop_Inputs!$A$2:$A$29,0))</f>
        <v>Midwest</v>
      </c>
      <c r="W1654" s="29" t="n">
        <v>14370000</v>
      </c>
      <c r="X1654" s="3" t="n">
        <f aca="false">IF(W1654="","",LN(W1654))</f>
        <v>16.4806532580552</v>
      </c>
      <c r="Y1654" s="3" t="n">
        <f aca="false">IF(X1654="","",X1654-AVERAGEIFS($X$2:$X$2705,$B$2:$B$2705,B1654))</f>
        <v>-0.146273493470872</v>
      </c>
      <c r="Z1654" s="21" t="n">
        <f aca="false">P1654</f>
        <v>-0.831596539489674</v>
      </c>
      <c r="AA1654" s="3" t="n">
        <f aca="false">R1654</f>
        <v>0</v>
      </c>
      <c r="AB1654" s="21" t="n">
        <f aca="false">P1654</f>
        <v>-0.831596539489674</v>
      </c>
      <c r="AC1654" s="3" t="n">
        <f aca="false">Y1654</f>
        <v>-0.146273493470872</v>
      </c>
      <c r="AD1654" s="3" t="n">
        <f aca="false">R1654</f>
        <v>0</v>
      </c>
    </row>
    <row r="1655" customFormat="false" ht="15" hidden="false" customHeight="true" outlineLevel="0" collapsed="false">
      <c r="A1655" s="7" t="s">
        <v>66</v>
      </c>
      <c r="B1655" s="7" t="n">
        <v>1990</v>
      </c>
      <c r="C1655" s="7" t="s">
        <v>151</v>
      </c>
      <c r="D1655" s="7" t="n">
        <v>77</v>
      </c>
      <c r="E1655" s="7" t="n">
        <v>85</v>
      </c>
      <c r="F1655" s="3" t="n">
        <f aca="false">COUNTIFS($B$2:$B$2705,B1655,$C$2:$C$2705,C1655)</f>
        <v>1</v>
      </c>
      <c r="G1655" s="3" t="n">
        <f aca="false">MIN(INT((MIN(B1655,2020)-1900)/10)+1,12)</f>
        <v>10</v>
      </c>
      <c r="H1655" s="3" t="n">
        <f aca="false">(MIN(B1655,2020)-1900-10*(G1655-1))/10</f>
        <v>0</v>
      </c>
      <c r="I1655" s="20" t="n">
        <f aca="false">EXP(LN(INDEX(Pop_Inputs!$B$2:$N$29,MATCH(C1655,Pop_Inputs!$A$2:$A$29,0),G1655))*(1-H1655)+LN(INDEX(Pop_Inputs!$B$2:$N$29,MATCH(C1655,Pop_Inputs!$A$2:$A$29,0),G1655+1))*H1655)</f>
        <v>505616</v>
      </c>
      <c r="J1655" s="20" t="n">
        <f aca="false">I1655/F1655</f>
        <v>505616</v>
      </c>
      <c r="K1655" s="21" t="n">
        <f aca="false">D1655/(D1655+E1655)</f>
        <v>0.475308641975309</v>
      </c>
      <c r="L1655" s="21" t="n">
        <f aca="false">AVERAGEIFS($K$2:$K$2705,$B$2:$B$2705,B1655)</f>
        <v>0.499985253608442</v>
      </c>
      <c r="M1655" s="21" t="n">
        <f aca="false">K1655-L1655</f>
        <v>-0.0246766116331334</v>
      </c>
      <c r="N1655" s="21" t="n">
        <f aca="false">LN(J1655)</f>
        <v>13.1335327668837</v>
      </c>
      <c r="O1655" s="21" t="n">
        <f aca="false">AVERAGEIFS($N$2:$N$2705,$B$2:$B$2705,B1655)</f>
        <v>13.636615570181</v>
      </c>
      <c r="P1655" s="21" t="n">
        <f aca="false">N1655-O1655</f>
        <v>-0.503082803297271</v>
      </c>
      <c r="Q1655" s="7" t="n">
        <v>0</v>
      </c>
      <c r="R1655" s="3" t="n">
        <f aca="false">IF(AND(Q1655=1,B1655-_xlfn.MINIFS($B$2:$B$2705,$A$2:$A$2705,A1655)&lt;10),1,0)</f>
        <v>0</v>
      </c>
      <c r="S1655" s="7" t="n">
        <v>0</v>
      </c>
      <c r="T1655" s="3" t="n">
        <f aca="false">_xlfn.MINIFS($B$2:$B$2705,$A$2:$A$2705,A1655)</f>
        <v>1901</v>
      </c>
      <c r="U1655" s="3" t="n">
        <f aca="false">B1655-T1655</f>
        <v>89</v>
      </c>
      <c r="V1655" s="3" t="str">
        <f aca="false">INDEX(Pop_Inputs!$Q$2:$Q$29,MATCH(C1655,Pop_Inputs!$A$2:$A$29,0))</f>
        <v>Midwest</v>
      </c>
      <c r="W1655" s="29" t="n">
        <v>14487000</v>
      </c>
      <c r="X1655" s="3" t="n">
        <f aca="false">IF(W1655="","",LN(W1655))</f>
        <v>16.4887622535238</v>
      </c>
      <c r="Y1655" s="3" t="n">
        <f aca="false">IF(X1655="","",X1655-AVERAGEIFS($X$2:$X$2705,$B$2:$B$2705,B1655))</f>
        <v>-0.138164498002293</v>
      </c>
      <c r="Z1655" s="21" t="n">
        <f aca="false">P1655</f>
        <v>-0.503082803297271</v>
      </c>
      <c r="AA1655" s="3" t="n">
        <f aca="false">R1655</f>
        <v>0</v>
      </c>
      <c r="AB1655" s="21" t="n">
        <f aca="false">P1655</f>
        <v>-0.503082803297271</v>
      </c>
      <c r="AC1655" s="3" t="n">
        <f aca="false">Y1655</f>
        <v>-0.138164498002293</v>
      </c>
      <c r="AD1655" s="3" t="n">
        <f aca="false">R1655</f>
        <v>0</v>
      </c>
    </row>
    <row r="1656" customFormat="false" ht="15" hidden="false" customHeight="true" outlineLevel="0" collapsed="false">
      <c r="A1656" s="7" t="s">
        <v>67</v>
      </c>
      <c r="B1656" s="7" t="n">
        <v>1990</v>
      </c>
      <c r="C1656" s="7" t="s">
        <v>152</v>
      </c>
      <c r="D1656" s="7" t="n">
        <v>79</v>
      </c>
      <c r="E1656" s="7" t="n">
        <v>83</v>
      </c>
      <c r="F1656" s="3" t="n">
        <f aca="false">COUNTIFS($B$2:$B$2705,B1656,$C$2:$C$2705,C1656)</f>
        <v>1</v>
      </c>
      <c r="G1656" s="3" t="n">
        <f aca="false">MIN(INT((MIN(B1656,2020)-1900)/10)+1,12)</f>
        <v>10</v>
      </c>
      <c r="H1656" s="3" t="n">
        <f aca="false">(MIN(B1656,2020)-1900-10*(G1656-1))/10</f>
        <v>0</v>
      </c>
      <c r="I1656" s="20" t="n">
        <f aca="false">EXP(LN(INDEX(Pop_Inputs!$B$2:$N$29,MATCH(C1656,Pop_Inputs!$A$2:$A$29,0),G1656))*(1-H1656)+LN(INDEX(Pop_Inputs!$B$2:$N$29,MATCH(C1656,Pop_Inputs!$A$2:$A$29,0),G1656+1))*H1656)</f>
        <v>1027974</v>
      </c>
      <c r="J1656" s="20" t="n">
        <f aca="false">I1656/F1656</f>
        <v>1027974</v>
      </c>
      <c r="K1656" s="21" t="n">
        <f aca="false">D1656/(D1656+E1656)</f>
        <v>0.487654320987654</v>
      </c>
      <c r="L1656" s="21" t="n">
        <f aca="false">AVERAGEIFS($K$2:$K$2705,$B$2:$B$2705,B1656)</f>
        <v>0.499985253608442</v>
      </c>
      <c r="M1656" s="21" t="n">
        <f aca="false">K1656-L1656</f>
        <v>-0.0123309326207877</v>
      </c>
      <c r="N1656" s="21" t="n">
        <f aca="false">LN(J1656)</f>
        <v>13.8431004328486</v>
      </c>
      <c r="O1656" s="21" t="n">
        <f aca="false">AVERAGEIFS($N$2:$N$2705,$B$2:$B$2705,B1656)</f>
        <v>13.636615570181</v>
      </c>
      <c r="P1656" s="21" t="n">
        <f aca="false">N1656-O1656</f>
        <v>0.206484862667644</v>
      </c>
      <c r="Q1656" s="7" t="n">
        <v>0</v>
      </c>
      <c r="R1656" s="3" t="n">
        <f aca="false">IF(AND(Q1656=1,B1656-_xlfn.MINIFS($B$2:$B$2705,$A$2:$A$2705,A1656)&lt;10),1,0)</f>
        <v>0</v>
      </c>
      <c r="S1656" s="7" t="n">
        <v>0</v>
      </c>
      <c r="T1656" s="3" t="n">
        <f aca="false">_xlfn.MINIFS($B$2:$B$2705,$A$2:$A$2705,A1656)</f>
        <v>1901</v>
      </c>
      <c r="U1656" s="3" t="n">
        <f aca="false">B1656-T1656</f>
        <v>89</v>
      </c>
      <c r="V1656" s="3" t="str">
        <f aca="false">INDEX(Pop_Inputs!$Q$2:$Q$29,MATCH(C1656,Pop_Inputs!$A$2:$A$29,0))</f>
        <v>Midwest</v>
      </c>
      <c r="W1656" s="29" t="n">
        <v>17593238</v>
      </c>
      <c r="X1656" s="3" t="n">
        <f aca="false">IF(W1656="","",LN(W1656))</f>
        <v>16.6830251816375</v>
      </c>
      <c r="Y1656" s="3" t="n">
        <f aca="false">IF(X1656="","",X1656-AVERAGEIFS($X$2:$X$2705,$B$2:$B$2705,B1656))</f>
        <v>0.0560984301113692</v>
      </c>
      <c r="Z1656" s="21" t="n">
        <f aca="false">P1656</f>
        <v>0.206484862667644</v>
      </c>
      <c r="AA1656" s="3" t="n">
        <f aca="false">R1656</f>
        <v>0</v>
      </c>
      <c r="AB1656" s="21" t="n">
        <f aca="false">P1656</f>
        <v>0.206484862667644</v>
      </c>
      <c r="AC1656" s="3" t="n">
        <f aca="false">Y1656</f>
        <v>0.0560984301113692</v>
      </c>
      <c r="AD1656" s="3" t="n">
        <f aca="false">R1656</f>
        <v>0</v>
      </c>
    </row>
    <row r="1657" customFormat="false" ht="15" hidden="false" customHeight="true" outlineLevel="0" collapsed="false">
      <c r="A1657" s="7" t="s">
        <v>74</v>
      </c>
      <c r="B1657" s="7" t="n">
        <v>1990</v>
      </c>
      <c r="C1657" s="7" t="s">
        <v>156</v>
      </c>
      <c r="D1657" s="7" t="n">
        <v>75</v>
      </c>
      <c r="E1657" s="7" t="n">
        <v>87</v>
      </c>
      <c r="F1657" s="3" t="n">
        <f aca="false">COUNTIFS($B$2:$B$2705,B1657,$C$2:$C$2705,C1657)</f>
        <v>1</v>
      </c>
      <c r="G1657" s="3" t="n">
        <f aca="false">MIN(INT((MIN(B1657,2020)-1900)/10)+1,12)</f>
        <v>10</v>
      </c>
      <c r="H1657" s="3" t="n">
        <f aca="false">(MIN(B1657,2020)-1900-10*(G1657-1))/10</f>
        <v>0</v>
      </c>
      <c r="I1657" s="20" t="n">
        <f aca="false">EXP(LN(INDEX(Pop_Inputs!$B$2:$N$29,MATCH(C1657,Pop_Inputs!$A$2:$A$29,0),G1657))*(1-H1657)+LN(INDEX(Pop_Inputs!$B$2:$N$29,MATCH(C1657,Pop_Inputs!$A$2:$A$29,0),G1657+1))*H1657)</f>
        <v>1630553</v>
      </c>
      <c r="J1657" s="20" t="n">
        <f aca="false">I1657/F1657</f>
        <v>1630553</v>
      </c>
      <c r="K1657" s="21" t="n">
        <f aca="false">D1657/(D1657+E1657)</f>
        <v>0.462962962962963</v>
      </c>
      <c r="L1657" s="21" t="n">
        <f aca="false">AVERAGEIFS($K$2:$K$2705,$B$2:$B$2705,B1657)</f>
        <v>0.499985253608442</v>
      </c>
      <c r="M1657" s="21" t="n">
        <f aca="false">K1657-L1657</f>
        <v>-0.0370222906454791</v>
      </c>
      <c r="N1657" s="21" t="n">
        <f aca="false">LN(J1657)</f>
        <v>14.3044297790497</v>
      </c>
      <c r="O1657" s="21" t="n">
        <f aca="false">AVERAGEIFS($N$2:$N$2705,$B$2:$B$2705,B1657)</f>
        <v>13.636615570181</v>
      </c>
      <c r="P1657" s="21" t="n">
        <f aca="false">N1657-O1657</f>
        <v>0.667814208868709</v>
      </c>
      <c r="Q1657" s="7" t="n">
        <v>1</v>
      </c>
      <c r="R1657" s="3" t="n">
        <f aca="false">IF(AND(Q1657=1,B1657-_xlfn.MINIFS($B$2:$B$2705,$A$2:$A$2705,A1657)&lt;10),1,0)</f>
        <v>0</v>
      </c>
      <c r="S1657" s="7" t="n">
        <v>0</v>
      </c>
      <c r="T1657" s="3" t="n">
        <f aca="false">_xlfn.MINIFS($B$2:$B$2705,$A$2:$A$2705,A1657)</f>
        <v>1962</v>
      </c>
      <c r="U1657" s="3" t="n">
        <f aca="false">B1657-T1657</f>
        <v>28</v>
      </c>
      <c r="V1657" s="3" t="str">
        <f aca="false">INDEX(Pop_Inputs!$Q$2:$Q$29,MATCH(C1657,Pop_Inputs!$A$2:$A$29,0))</f>
        <v>South</v>
      </c>
      <c r="W1657" s="29" t="n">
        <v>18330000</v>
      </c>
      <c r="X1657" s="3" t="n">
        <f aca="false">IF(W1657="","",LN(W1657))</f>
        <v>16.7240496198159</v>
      </c>
      <c r="Y1657" s="3" t="n">
        <f aca="false">IF(X1657="","",X1657-AVERAGEIFS($X$2:$X$2705,$B$2:$B$2705,B1657))</f>
        <v>0.0971228682898051</v>
      </c>
      <c r="Z1657" s="21" t="n">
        <f aca="false">P1657</f>
        <v>0.667814208868709</v>
      </c>
      <c r="AA1657" s="3" t="n">
        <f aca="false">R1657</f>
        <v>0</v>
      </c>
      <c r="AB1657" s="21" t="n">
        <f aca="false">P1657</f>
        <v>0.667814208868709</v>
      </c>
      <c r="AC1657" s="3" t="n">
        <f aca="false">Y1657</f>
        <v>0.0971228682898051</v>
      </c>
      <c r="AD1657" s="3" t="n">
        <f aca="false">R1657</f>
        <v>0</v>
      </c>
    </row>
    <row r="1658" customFormat="false" ht="15" hidden="false" customHeight="true" outlineLevel="0" collapsed="false">
      <c r="A1658" s="7" t="s">
        <v>76</v>
      </c>
      <c r="B1658" s="7" t="n">
        <v>1990</v>
      </c>
      <c r="C1658" s="7" t="s">
        <v>157</v>
      </c>
      <c r="D1658" s="7" t="n">
        <v>75</v>
      </c>
      <c r="E1658" s="7" t="n">
        <v>86</v>
      </c>
      <c r="F1658" s="3" t="n">
        <f aca="false">COUNTIFS($B$2:$B$2705,B1658,$C$2:$C$2705,C1658)</f>
        <v>1</v>
      </c>
      <c r="G1658" s="3" t="n">
        <f aca="false">MIN(INT((MIN(B1658,2020)-1900)/10)+1,12)</f>
        <v>10</v>
      </c>
      <c r="H1658" s="3" t="n">
        <f aca="false">(MIN(B1658,2020)-1900-10*(G1658-1))/10</f>
        <v>0</v>
      </c>
      <c r="I1658" s="20" t="n">
        <f aca="false">EXP(LN(INDEX(Pop_Inputs!$B$2:$N$29,MATCH(C1658,Pop_Inputs!$A$2:$A$29,0),G1658))*(1-H1658)+LN(INDEX(Pop_Inputs!$B$2:$N$29,MATCH(C1658,Pop_Inputs!$A$2:$A$29,0),G1658+1))*H1658)</f>
        <v>435146</v>
      </c>
      <c r="J1658" s="20" t="n">
        <f aca="false">I1658/F1658</f>
        <v>435146</v>
      </c>
      <c r="K1658" s="21" t="n">
        <f aca="false">D1658/(D1658+E1658)</f>
        <v>0.46583850931677</v>
      </c>
      <c r="L1658" s="21" t="n">
        <f aca="false">AVERAGEIFS($K$2:$K$2705,$B$2:$B$2705,B1658)</f>
        <v>0.499985253608442</v>
      </c>
      <c r="M1658" s="21" t="n">
        <f aca="false">K1658-L1658</f>
        <v>-0.0341467442916719</v>
      </c>
      <c r="N1658" s="21" t="n">
        <f aca="false">LN(J1658)</f>
        <v>12.9834368859428</v>
      </c>
      <c r="O1658" s="21" t="n">
        <f aca="false">AVERAGEIFS($N$2:$N$2705,$B$2:$B$2705,B1658)</f>
        <v>13.636615570181</v>
      </c>
      <c r="P1658" s="21" t="n">
        <f aca="false">N1658-O1658</f>
        <v>-0.653178684238119</v>
      </c>
      <c r="Q1658" s="7" t="n">
        <v>1</v>
      </c>
      <c r="R1658" s="3" t="n">
        <f aca="false">IF(AND(Q1658=1,B1658-_xlfn.MINIFS($B$2:$B$2705,$A$2:$A$2705,A1658)&lt;10),1,0)</f>
        <v>0</v>
      </c>
      <c r="S1658" s="7" t="n">
        <v>0</v>
      </c>
      <c r="T1658" s="3" t="n">
        <f aca="false">_xlfn.MINIFS($B$2:$B$2705,$A$2:$A$2705,A1658)</f>
        <v>1969</v>
      </c>
      <c r="U1658" s="3" t="n">
        <f aca="false">B1658-T1658</f>
        <v>21</v>
      </c>
      <c r="V1658" s="3" t="str">
        <f aca="false">INDEX(Pop_Inputs!$Q$2:$Q$29,MATCH(C1658,Pop_Inputs!$A$2:$A$29,0))</f>
        <v>Midwest</v>
      </c>
      <c r="W1658" s="29" t="n">
        <v>23361084</v>
      </c>
      <c r="X1658" s="3" t="n">
        <f aca="false">IF(W1658="","",LN(W1658))</f>
        <v>16.9665821189573</v>
      </c>
      <c r="Y1658" s="3" t="n">
        <f aca="false">IF(X1658="","",X1658-AVERAGEIFS($X$2:$X$2705,$B$2:$B$2705,B1658))</f>
        <v>0.33965536743117</v>
      </c>
      <c r="Z1658" s="21" t="n">
        <f aca="false">P1658</f>
        <v>-0.653178684238119</v>
      </c>
      <c r="AA1658" s="3" t="n">
        <f aca="false">R1658</f>
        <v>0</v>
      </c>
      <c r="AB1658" s="21" t="n">
        <f aca="false">P1658</f>
        <v>-0.653178684238119</v>
      </c>
      <c r="AC1658" s="3" t="n">
        <f aca="false">Y1658</f>
        <v>0.33965536743117</v>
      </c>
      <c r="AD1658" s="3" t="n">
        <f aca="false">R1658</f>
        <v>0</v>
      </c>
    </row>
    <row r="1659" customFormat="false" ht="15" hidden="false" customHeight="true" outlineLevel="0" collapsed="false">
      <c r="A1659" s="7" t="s">
        <v>62</v>
      </c>
      <c r="B1659" s="7" t="n">
        <v>1990</v>
      </c>
      <c r="C1659" s="7" t="s">
        <v>148</v>
      </c>
      <c r="D1659" s="7" t="n">
        <v>86</v>
      </c>
      <c r="E1659" s="7" t="n">
        <v>76</v>
      </c>
      <c r="F1659" s="3" t="n">
        <f aca="false">COUNTIFS($B$2:$B$2705,B1659,$C$2:$C$2705,C1659)</f>
        <v>2</v>
      </c>
      <c r="G1659" s="3" t="n">
        <f aca="false">MIN(INT((MIN(B1659,2020)-1900)/10)+1,12)</f>
        <v>10</v>
      </c>
      <c r="H1659" s="3" t="n">
        <f aca="false">(MIN(B1659,2020)-1900-10*(G1659-1))/10</f>
        <v>0</v>
      </c>
      <c r="I1659" s="20" t="n">
        <f aca="false">EXP(LN(INDEX(Pop_Inputs!$B$2:$N$29,MATCH(C1659,Pop_Inputs!$A$2:$A$29,0),G1659))*(1-H1659)+LN(INDEX(Pop_Inputs!$B$2:$N$29,MATCH(C1659,Pop_Inputs!$A$2:$A$29,0),G1659+1))*H1659)</f>
        <v>3485398</v>
      </c>
      <c r="J1659" s="20" t="n">
        <f aca="false">I1659/F1659</f>
        <v>1742699</v>
      </c>
      <c r="K1659" s="21" t="n">
        <f aca="false">D1659/(D1659+E1659)</f>
        <v>0.530864197530864</v>
      </c>
      <c r="L1659" s="21" t="n">
        <f aca="false">AVERAGEIFS($K$2:$K$2705,$B$2:$B$2705,B1659)</f>
        <v>0.499985253608442</v>
      </c>
      <c r="M1659" s="21" t="n">
        <f aca="false">K1659-L1659</f>
        <v>0.0308789439224222</v>
      </c>
      <c r="N1659" s="21" t="n">
        <f aca="false">LN(J1659)</f>
        <v>14.3709456188263</v>
      </c>
      <c r="O1659" s="21" t="n">
        <f aca="false">AVERAGEIFS($N$2:$N$2705,$B$2:$B$2705,B1659)</f>
        <v>13.636615570181</v>
      </c>
      <c r="P1659" s="21" t="n">
        <f aca="false">N1659-O1659</f>
        <v>0.734330048645372</v>
      </c>
      <c r="Q1659" s="7" t="n">
        <v>0</v>
      </c>
      <c r="R1659" s="3" t="n">
        <f aca="false">IF(AND(Q1659=1,B1659-_xlfn.MINIFS($B$2:$B$2705,$A$2:$A$2705,A1659)&lt;10),1,0)</f>
        <v>0</v>
      </c>
      <c r="S1659" s="7" t="n">
        <v>0</v>
      </c>
      <c r="T1659" s="3" t="n">
        <f aca="false">_xlfn.MINIFS($B$2:$B$2705,$A$2:$A$2705,A1659)</f>
        <v>1901</v>
      </c>
      <c r="U1659" s="3" t="n">
        <f aca="false">B1659-T1659</f>
        <v>89</v>
      </c>
      <c r="V1659" s="3" t="str">
        <f aca="false">INDEX(Pop_Inputs!$Q$2:$Q$29,MATCH(C1659,Pop_Inputs!$A$2:$A$29,0))</f>
        <v>West</v>
      </c>
      <c r="W1659" s="29" t="n">
        <v>21318704</v>
      </c>
      <c r="X1659" s="3" t="n">
        <f aca="false">IF(W1659="","",LN(W1659))</f>
        <v>16.8750953674218</v>
      </c>
      <c r="Y1659" s="3" t="n">
        <f aca="false">IF(X1659="","",X1659-AVERAGEIFS($X$2:$X$2705,$B$2:$B$2705,B1659))</f>
        <v>0.248168615895676</v>
      </c>
      <c r="Z1659" s="21" t="n">
        <f aca="false">P1659</f>
        <v>0.734330048645372</v>
      </c>
      <c r="AA1659" s="3" t="n">
        <f aca="false">R1659</f>
        <v>0</v>
      </c>
      <c r="AB1659" s="21" t="n">
        <f aca="false">P1659</f>
        <v>0.734330048645372</v>
      </c>
      <c r="AC1659" s="3" t="n">
        <f aca="false">Y1659</f>
        <v>0.248168615895676</v>
      </c>
      <c r="AD1659" s="3" t="n">
        <f aca="false">R1659</f>
        <v>0</v>
      </c>
    </row>
    <row r="1660" customFormat="false" ht="15" hidden="false" customHeight="true" outlineLevel="0" collapsed="false">
      <c r="A1660" s="7" t="s">
        <v>77</v>
      </c>
      <c r="B1660" s="7" t="n">
        <v>1990</v>
      </c>
      <c r="C1660" s="7" t="s">
        <v>158</v>
      </c>
      <c r="D1660" s="7" t="n">
        <v>74</v>
      </c>
      <c r="E1660" s="7" t="n">
        <v>88</v>
      </c>
      <c r="F1660" s="3" t="n">
        <f aca="false">COUNTIFS($B$2:$B$2705,B1660,$C$2:$C$2705,C1660)</f>
        <v>1</v>
      </c>
      <c r="G1660" s="3" t="n">
        <f aca="false">MIN(INT((MIN(B1660,2020)-1900)/10)+1,12)</f>
        <v>10</v>
      </c>
      <c r="H1660" s="3" t="n">
        <f aca="false">(MIN(B1660,2020)-1900-10*(G1660-1))/10</f>
        <v>0</v>
      </c>
      <c r="I1660" s="20" t="n">
        <f aca="false">EXP(LN(INDEX(Pop_Inputs!$B$2:$N$29,MATCH(C1660,Pop_Inputs!$A$2:$A$29,0),G1660))*(1-H1660)+LN(INDEX(Pop_Inputs!$B$2:$N$29,MATCH(C1660,Pop_Inputs!$A$2:$A$29,0),G1660+1))*H1660)</f>
        <v>628088</v>
      </c>
      <c r="J1660" s="20" t="n">
        <f aca="false">I1660/F1660</f>
        <v>628088</v>
      </c>
      <c r="K1660" s="21" t="n">
        <f aca="false">D1660/(D1660+E1660)</f>
        <v>0.45679012345679</v>
      </c>
      <c r="L1660" s="21" t="n">
        <f aca="false">AVERAGEIFS($K$2:$K$2705,$B$2:$B$2705,B1660)</f>
        <v>0.499985253608442</v>
      </c>
      <c r="M1660" s="21" t="n">
        <f aca="false">K1660-L1660</f>
        <v>-0.0431951301516519</v>
      </c>
      <c r="N1660" s="21" t="n">
        <f aca="false">LN(J1660)</f>
        <v>13.3504355630219</v>
      </c>
      <c r="O1660" s="21" t="n">
        <f aca="false">AVERAGEIFS($N$2:$N$2705,$B$2:$B$2705,B1660)</f>
        <v>13.636615570181</v>
      </c>
      <c r="P1660" s="21" t="n">
        <f aca="false">N1660-O1660</f>
        <v>-0.286180007159022</v>
      </c>
      <c r="Q1660" s="7" t="n">
        <v>1</v>
      </c>
      <c r="R1660" s="3" t="n">
        <f aca="false">IF(AND(Q1660=1,B1660-_xlfn.MINIFS($B$2:$B$2705,$A$2:$A$2705,A1660)&lt;10),1,0)</f>
        <v>0</v>
      </c>
      <c r="S1660" s="7" t="n">
        <v>0</v>
      </c>
      <c r="T1660" s="3" t="n">
        <f aca="false">_xlfn.MINIFS($B$2:$B$2705,$A$2:$A$2705,A1660)</f>
        <v>1969</v>
      </c>
      <c r="U1660" s="3" t="n">
        <f aca="false">B1660-T1660</f>
        <v>21</v>
      </c>
      <c r="V1660" s="3" t="str">
        <f aca="false">INDEX(Pop_Inputs!$Q$2:$Q$29,MATCH(C1660,Pop_Inputs!$A$2:$A$29,0))</f>
        <v>Midwest</v>
      </c>
      <c r="W1660" s="29" t="n">
        <v>19719167</v>
      </c>
      <c r="X1660" s="3" t="n">
        <f aca="false">IF(W1660="","",LN(W1660))</f>
        <v>16.7971016648673</v>
      </c>
      <c r="Y1660" s="3" t="n">
        <f aca="false">IF(X1660="","",X1660-AVERAGEIFS($X$2:$X$2705,$B$2:$B$2705,B1660))</f>
        <v>0.170174913341178</v>
      </c>
      <c r="Z1660" s="21" t="n">
        <f aca="false">P1660</f>
        <v>-0.286180007159022</v>
      </c>
      <c r="AA1660" s="3" t="n">
        <f aca="false">R1660</f>
        <v>0</v>
      </c>
      <c r="AB1660" s="21" t="n">
        <f aca="false">P1660</f>
        <v>-0.286180007159022</v>
      </c>
      <c r="AC1660" s="3" t="n">
        <f aca="false">Y1660</f>
        <v>0.170174913341178</v>
      </c>
      <c r="AD1660" s="3" t="n">
        <f aca="false">R1660</f>
        <v>0</v>
      </c>
    </row>
    <row r="1661" customFormat="false" ht="15" hidden="false" customHeight="true" outlineLevel="0" collapsed="false">
      <c r="A1661" s="7" t="s">
        <v>68</v>
      </c>
      <c r="B1661" s="7" t="n">
        <v>1990</v>
      </c>
      <c r="C1661" s="7" t="s">
        <v>153</v>
      </c>
      <c r="D1661" s="7" t="n">
        <v>74</v>
      </c>
      <c r="E1661" s="7" t="n">
        <v>88</v>
      </c>
      <c r="F1661" s="3" t="n">
        <f aca="false">COUNTIFS($B$2:$B$2705,B1661,$C$2:$C$2705,C1661)</f>
        <v>1</v>
      </c>
      <c r="G1661" s="3" t="n">
        <f aca="false">MIN(INT((MIN(B1661,2020)-1900)/10)+1,12)</f>
        <v>10</v>
      </c>
      <c r="H1661" s="3" t="n">
        <f aca="false">(MIN(B1661,2020)-1900-10*(G1661-1))/10</f>
        <v>0</v>
      </c>
      <c r="I1661" s="20" t="n">
        <f aca="false">EXP(LN(INDEX(Pop_Inputs!$B$2:$N$29,MATCH(C1661,Pop_Inputs!$A$2:$A$29,0),G1661))*(1-H1661)+LN(INDEX(Pop_Inputs!$B$2:$N$29,MATCH(C1661,Pop_Inputs!$A$2:$A$29,0),G1661+1))*H1661)</f>
        <v>368383</v>
      </c>
      <c r="J1661" s="20" t="n">
        <f aca="false">I1661/F1661</f>
        <v>368383</v>
      </c>
      <c r="K1661" s="21" t="n">
        <f aca="false">D1661/(D1661+E1661)</f>
        <v>0.45679012345679</v>
      </c>
      <c r="L1661" s="21" t="n">
        <f aca="false">AVERAGEIFS($K$2:$K$2705,$B$2:$B$2705,B1661)</f>
        <v>0.499985253608442</v>
      </c>
      <c r="M1661" s="21" t="n">
        <f aca="false">K1661-L1661</f>
        <v>-0.0431951301516519</v>
      </c>
      <c r="N1661" s="21" t="n">
        <f aca="false">LN(J1661)</f>
        <v>12.8168784368045</v>
      </c>
      <c r="O1661" s="21" t="n">
        <f aca="false">AVERAGEIFS($N$2:$N$2705,$B$2:$B$2705,B1661)</f>
        <v>13.636615570181</v>
      </c>
      <c r="P1661" s="21" t="n">
        <f aca="false">N1661-O1661</f>
        <v>-0.819737133376442</v>
      </c>
      <c r="Q1661" s="7" t="n">
        <v>0</v>
      </c>
      <c r="R1661" s="3" t="n">
        <f aca="false">IF(AND(Q1661=1,B1661-_xlfn.MINIFS($B$2:$B$2705,$A$2:$A$2705,A1661)&lt;10),1,0)</f>
        <v>0</v>
      </c>
      <c r="S1661" s="7" t="n">
        <v>0</v>
      </c>
      <c r="T1661" s="3" t="n">
        <f aca="false">_xlfn.MINIFS($B$2:$B$2705,$A$2:$A$2705,A1661)</f>
        <v>1901</v>
      </c>
      <c r="U1661" s="3" t="n">
        <f aca="false">B1661-T1661</f>
        <v>89</v>
      </c>
      <c r="V1661" s="3" t="str">
        <f aca="false">INDEX(Pop_Inputs!$Q$2:$Q$29,MATCH(C1661,Pop_Inputs!$A$2:$A$29,0))</f>
        <v>Midwest</v>
      </c>
      <c r="W1661" s="29" t="n">
        <v>14602000</v>
      </c>
      <c r="X1661" s="3" t="n">
        <f aca="false">IF(W1661="","",LN(W1661))</f>
        <v>16.4966690635982</v>
      </c>
      <c r="Y1661" s="3" t="n">
        <f aca="false">IF(X1661="","",X1661-AVERAGEIFS($X$2:$X$2705,$B$2:$B$2705,B1661))</f>
        <v>-0.130257687927912</v>
      </c>
      <c r="Z1661" s="21" t="n">
        <f aca="false">P1661</f>
        <v>-0.819737133376442</v>
      </c>
      <c r="AA1661" s="3" t="n">
        <f aca="false">R1661</f>
        <v>0</v>
      </c>
      <c r="AB1661" s="21" t="n">
        <f aca="false">P1661</f>
        <v>-0.819737133376442</v>
      </c>
      <c r="AC1661" s="3" t="n">
        <f aca="false">Y1661</f>
        <v>-0.130257687927912</v>
      </c>
      <c r="AD1661" s="3" t="n">
        <f aca="false">R1661</f>
        <v>0</v>
      </c>
    </row>
    <row r="1662" customFormat="false" ht="15" hidden="false" customHeight="true" outlineLevel="0" collapsed="false">
      <c r="A1662" s="7" t="s">
        <v>75</v>
      </c>
      <c r="B1662" s="7" t="n">
        <v>1990</v>
      </c>
      <c r="C1662" s="7" t="s">
        <v>154</v>
      </c>
      <c r="D1662" s="7" t="n">
        <v>91</v>
      </c>
      <c r="E1662" s="7" t="n">
        <v>71</v>
      </c>
      <c r="F1662" s="3" t="n">
        <f aca="false">COUNTIFS($B$2:$B$2705,B1662,$C$2:$C$2705,C1662)</f>
        <v>2</v>
      </c>
      <c r="G1662" s="3" t="n">
        <f aca="false">MIN(INT((MIN(B1662,2020)-1900)/10)+1,12)</f>
        <v>10</v>
      </c>
      <c r="H1662" s="3" t="n">
        <f aca="false">(MIN(B1662,2020)-1900-10*(G1662-1))/10</f>
        <v>0</v>
      </c>
      <c r="I1662" s="20" t="n">
        <f aca="false">EXP(LN(INDEX(Pop_Inputs!$B$2:$N$29,MATCH(C1662,Pop_Inputs!$A$2:$A$29,0),G1662))*(1-H1662)+LN(INDEX(Pop_Inputs!$B$2:$N$29,MATCH(C1662,Pop_Inputs!$A$2:$A$29,0),G1662+1))*H1662)</f>
        <v>7322564</v>
      </c>
      <c r="J1662" s="20" t="n">
        <f aca="false">I1662/F1662</f>
        <v>3661282</v>
      </c>
      <c r="K1662" s="21" t="n">
        <f aca="false">D1662/(D1662+E1662)</f>
        <v>0.561728395061728</v>
      </c>
      <c r="L1662" s="21" t="n">
        <f aca="false">AVERAGEIFS($K$2:$K$2705,$B$2:$B$2705,B1662)</f>
        <v>0.499985253608442</v>
      </c>
      <c r="M1662" s="21" t="n">
        <f aca="false">K1662-L1662</f>
        <v>0.0617431414532864</v>
      </c>
      <c r="N1662" s="21" t="n">
        <f aca="false">LN(J1662)</f>
        <v>15.1133239172702</v>
      </c>
      <c r="O1662" s="21" t="n">
        <f aca="false">AVERAGEIFS($N$2:$N$2705,$B$2:$B$2705,B1662)</f>
        <v>13.636615570181</v>
      </c>
      <c r="P1662" s="21" t="n">
        <f aca="false">N1662-O1662</f>
        <v>1.47670834708928</v>
      </c>
      <c r="Q1662" s="7" t="n">
        <v>1</v>
      </c>
      <c r="R1662" s="3" t="n">
        <f aca="false">IF(AND(Q1662=1,B1662-_xlfn.MINIFS($B$2:$B$2705,$A$2:$A$2705,A1662)&lt;10),1,0)</f>
        <v>0</v>
      </c>
      <c r="S1662" s="7" t="n">
        <v>0</v>
      </c>
      <c r="T1662" s="3" t="n">
        <f aca="false">_xlfn.MINIFS($B$2:$B$2705,$A$2:$A$2705,A1662)</f>
        <v>1962</v>
      </c>
      <c r="U1662" s="3" t="n">
        <f aca="false">B1662-T1662</f>
        <v>28</v>
      </c>
      <c r="V1662" s="3" t="str">
        <f aca="false">INDEX(Pop_Inputs!$Q$2:$Q$29,MATCH(C1662,Pop_Inputs!$A$2:$A$29,0))</f>
        <v>Northeast</v>
      </c>
      <c r="W1662" s="29" t="n">
        <v>21722834</v>
      </c>
      <c r="X1662" s="3" t="n">
        <f aca="false">IF(W1662="","",LN(W1662))</f>
        <v>16.8938745233398</v>
      </c>
      <c r="Y1662" s="3" t="n">
        <f aca="false">IF(X1662="","",X1662-AVERAGEIFS($X$2:$X$2705,$B$2:$B$2705,B1662))</f>
        <v>0.266947771813669</v>
      </c>
      <c r="Z1662" s="21" t="n">
        <f aca="false">P1662</f>
        <v>1.47670834708928</v>
      </c>
      <c r="AA1662" s="3" t="n">
        <f aca="false">R1662</f>
        <v>0</v>
      </c>
      <c r="AB1662" s="21" t="n">
        <f aca="false">P1662</f>
        <v>1.47670834708928</v>
      </c>
      <c r="AC1662" s="3" t="n">
        <f aca="false">Y1662</f>
        <v>0.266947771813669</v>
      </c>
      <c r="AD1662" s="3" t="n">
        <f aca="false">R1662</f>
        <v>0</v>
      </c>
    </row>
    <row r="1663" customFormat="false" ht="15" hidden="false" customHeight="true" outlineLevel="0" collapsed="false">
      <c r="A1663" s="7" t="s">
        <v>70</v>
      </c>
      <c r="B1663" s="7" t="n">
        <v>1990</v>
      </c>
      <c r="C1663" s="7" t="s">
        <v>154</v>
      </c>
      <c r="D1663" s="7" t="n">
        <v>67</v>
      </c>
      <c r="E1663" s="7" t="n">
        <v>95</v>
      </c>
      <c r="F1663" s="3" t="n">
        <f aca="false">COUNTIFS($B$2:$B$2705,B1663,$C$2:$C$2705,C1663)</f>
        <v>2</v>
      </c>
      <c r="G1663" s="3" t="n">
        <f aca="false">MIN(INT((MIN(B1663,2020)-1900)/10)+1,12)</f>
        <v>10</v>
      </c>
      <c r="H1663" s="3" t="n">
        <f aca="false">(MIN(B1663,2020)-1900-10*(G1663-1))/10</f>
        <v>0</v>
      </c>
      <c r="I1663" s="20" t="n">
        <f aca="false">EXP(LN(INDEX(Pop_Inputs!$B$2:$N$29,MATCH(C1663,Pop_Inputs!$A$2:$A$29,0),G1663))*(1-H1663)+LN(INDEX(Pop_Inputs!$B$2:$N$29,MATCH(C1663,Pop_Inputs!$A$2:$A$29,0),G1663+1))*H1663)</f>
        <v>7322564</v>
      </c>
      <c r="J1663" s="20" t="n">
        <f aca="false">I1663/F1663</f>
        <v>3661282</v>
      </c>
      <c r="K1663" s="21" t="n">
        <f aca="false">D1663/(D1663+E1663)</f>
        <v>0.41358024691358</v>
      </c>
      <c r="L1663" s="21" t="n">
        <f aca="false">AVERAGEIFS($K$2:$K$2705,$B$2:$B$2705,B1663)</f>
        <v>0.499985253608442</v>
      </c>
      <c r="M1663" s="21" t="n">
        <f aca="false">K1663-L1663</f>
        <v>-0.0864050066948618</v>
      </c>
      <c r="N1663" s="21" t="n">
        <f aca="false">LN(J1663)</f>
        <v>15.1133239172702</v>
      </c>
      <c r="O1663" s="21" t="n">
        <f aca="false">AVERAGEIFS($N$2:$N$2705,$B$2:$B$2705,B1663)</f>
        <v>13.636615570181</v>
      </c>
      <c r="P1663" s="21" t="n">
        <f aca="false">N1663-O1663</f>
        <v>1.47670834708928</v>
      </c>
      <c r="Q1663" s="7" t="n">
        <v>0</v>
      </c>
      <c r="R1663" s="3" t="n">
        <f aca="false">IF(AND(Q1663=1,B1663-_xlfn.MINIFS($B$2:$B$2705,$A$2:$A$2705,A1663)&lt;10),1,0)</f>
        <v>0</v>
      </c>
      <c r="S1663" s="7" t="n">
        <v>1</v>
      </c>
      <c r="T1663" s="3" t="n">
        <f aca="false">_xlfn.MINIFS($B$2:$B$2705,$A$2:$A$2705,A1663)</f>
        <v>1903</v>
      </c>
      <c r="U1663" s="3" t="n">
        <f aca="false">B1663-T1663</f>
        <v>87</v>
      </c>
      <c r="V1663" s="3" t="str">
        <f aca="false">INDEX(Pop_Inputs!$Q$2:$Q$29,MATCH(C1663,Pop_Inputs!$A$2:$A$29,0))</f>
        <v>Northeast</v>
      </c>
      <c r="W1663" s="29" t="n">
        <v>20912318</v>
      </c>
      <c r="X1663" s="3" t="n">
        <f aca="false">IF(W1663="","",LN(W1663))</f>
        <v>16.8558489213105</v>
      </c>
      <c r="Y1663" s="3" t="n">
        <f aca="false">IF(X1663="","",X1663-AVERAGEIFS($X$2:$X$2705,$B$2:$B$2705,B1663))</f>
        <v>0.228922169784394</v>
      </c>
      <c r="Z1663" s="21" t="n">
        <f aca="false">P1663</f>
        <v>1.47670834708928</v>
      </c>
      <c r="AA1663" s="3" t="n">
        <f aca="false">R1663</f>
        <v>0</v>
      </c>
      <c r="AB1663" s="21" t="n">
        <f aca="false">P1663</f>
        <v>1.47670834708928</v>
      </c>
      <c r="AC1663" s="3" t="n">
        <f aca="false">Y1663</f>
        <v>0.228922169784394</v>
      </c>
      <c r="AD1663" s="3" t="n">
        <f aca="false">R1663</f>
        <v>0</v>
      </c>
    </row>
    <row r="1664" customFormat="false" ht="15" hidden="false" customHeight="true" outlineLevel="0" collapsed="false">
      <c r="A1664" s="7" t="s">
        <v>69</v>
      </c>
      <c r="B1664" s="7" t="n">
        <v>1990</v>
      </c>
      <c r="C1664" s="7" t="s">
        <v>253</v>
      </c>
      <c r="D1664" s="7" t="n">
        <v>103</v>
      </c>
      <c r="E1664" s="7" t="n">
        <v>59</v>
      </c>
      <c r="F1664" s="3" t="n">
        <f aca="false">COUNTIFS($B$2:$B$2705,B1664,$C$2:$C$2705,C1664)</f>
        <v>1</v>
      </c>
      <c r="G1664" s="3" t="n">
        <f aca="false">MIN(INT((MIN(B1664,2020)-1900)/10)+1,12)</f>
        <v>10</v>
      </c>
      <c r="H1664" s="3" t="n">
        <f aca="false">(MIN(B1664,2020)-1900-10*(G1664-1))/10</f>
        <v>0</v>
      </c>
      <c r="I1664" s="20" t="n">
        <f aca="false">EXP(LN(INDEX(Pop_Inputs!$B$2:$N$29,MATCH(C1664,Pop_Inputs!$A$2:$A$29,0),G1664))*(1-H1664)+LN(INDEX(Pop_Inputs!$B$2:$N$29,MATCH(C1664,Pop_Inputs!$A$2:$A$29,0),G1664+1))*H1664)</f>
        <v>372242</v>
      </c>
      <c r="J1664" s="20" t="n">
        <f aca="false">I1664/F1664</f>
        <v>372242</v>
      </c>
      <c r="K1664" s="21" t="n">
        <f aca="false">D1664/(D1664+E1664)</f>
        <v>0.635802469135803</v>
      </c>
      <c r="L1664" s="21" t="n">
        <f aca="false">AVERAGEIFS($K$2:$K$2705,$B$2:$B$2705,B1664)</f>
        <v>0.499985253608442</v>
      </c>
      <c r="M1664" s="21" t="n">
        <f aca="false">K1664-L1664</f>
        <v>0.13581721552736</v>
      </c>
      <c r="N1664" s="21" t="n">
        <f aca="false">LN(J1664)</f>
        <v>12.8272994593818</v>
      </c>
      <c r="O1664" s="21" t="n">
        <f aca="false">AVERAGEIFS($N$2:$N$2705,$B$2:$B$2705,B1664)</f>
        <v>13.636615570181</v>
      </c>
      <c r="P1664" s="21" t="n">
        <f aca="false">N1664-O1664</f>
        <v>-0.809316110799157</v>
      </c>
      <c r="Q1664" s="7" t="n">
        <v>0</v>
      </c>
      <c r="R1664" s="3" t="n">
        <f aca="false">IF(AND(Q1664=1,B1664-_xlfn.MINIFS($B$2:$B$2705,$A$2:$A$2705,A1664)&lt;10),1,0)</f>
        <v>0</v>
      </c>
      <c r="S1664" s="7" t="n">
        <v>0</v>
      </c>
      <c r="T1664" s="3" t="n">
        <f aca="false">_xlfn.MINIFS($B$2:$B$2705,$A$2:$A$2705,A1664)</f>
        <v>1901</v>
      </c>
      <c r="U1664" s="3" t="n">
        <f aca="false">B1664-T1664</f>
        <v>89</v>
      </c>
      <c r="V1664" s="3" t="str">
        <f aca="false">INDEX(Pop_Inputs!$Q$2:$Q$29,MATCH(C1664,Pop_Inputs!$A$2:$A$29,0))</f>
        <v>West</v>
      </c>
      <c r="W1664" s="29" t="n">
        <v>19887501</v>
      </c>
      <c r="X1664" s="3" t="n">
        <f aca="false">IF(W1664="","",LN(W1664))</f>
        <v>16.805602001911</v>
      </c>
      <c r="Y1664" s="3" t="n">
        <f aca="false">IF(X1664="","",X1664-AVERAGEIFS($X$2:$X$2705,$B$2:$B$2705,B1664))</f>
        <v>0.178675250384938</v>
      </c>
      <c r="Z1664" s="21" t="n">
        <f aca="false">P1664</f>
        <v>-0.809316110799157</v>
      </c>
      <c r="AA1664" s="3" t="n">
        <f aca="false">R1664</f>
        <v>0</v>
      </c>
      <c r="AB1664" s="21" t="n">
        <f aca="false">P1664</f>
        <v>-0.809316110799157</v>
      </c>
      <c r="AC1664" s="3" t="n">
        <f aca="false">Y1664</f>
        <v>0.178675250384938</v>
      </c>
      <c r="AD1664" s="3" t="n">
        <f aca="false">R1664</f>
        <v>0</v>
      </c>
    </row>
    <row r="1665" customFormat="false" ht="15" hidden="false" customHeight="true" outlineLevel="0" collapsed="false">
      <c r="A1665" s="7" t="s">
        <v>60</v>
      </c>
      <c r="B1665" s="7" t="n">
        <v>1990</v>
      </c>
      <c r="C1665" s="7" t="s">
        <v>146</v>
      </c>
      <c r="D1665" s="7" t="n">
        <v>77</v>
      </c>
      <c r="E1665" s="7" t="n">
        <v>85</v>
      </c>
      <c r="F1665" s="3" t="n">
        <f aca="false">COUNTIFS($B$2:$B$2705,B1665,$C$2:$C$2705,C1665)</f>
        <v>1</v>
      </c>
      <c r="G1665" s="3" t="n">
        <f aca="false">MIN(INT((MIN(B1665,2020)-1900)/10)+1,12)</f>
        <v>10</v>
      </c>
      <c r="H1665" s="3" t="n">
        <f aca="false">(MIN(B1665,2020)-1900-10*(G1665-1))/10</f>
        <v>0</v>
      </c>
      <c r="I1665" s="20" t="n">
        <f aca="false">EXP(LN(INDEX(Pop_Inputs!$B$2:$N$29,MATCH(C1665,Pop_Inputs!$A$2:$A$29,0),G1665))*(1-H1665)+LN(INDEX(Pop_Inputs!$B$2:$N$29,MATCH(C1665,Pop_Inputs!$A$2:$A$29,0),G1665+1))*H1665)</f>
        <v>1585577</v>
      </c>
      <c r="J1665" s="20" t="n">
        <f aca="false">I1665/F1665</f>
        <v>1585577</v>
      </c>
      <c r="K1665" s="21" t="n">
        <f aca="false">D1665/(D1665+E1665)</f>
        <v>0.475308641975309</v>
      </c>
      <c r="L1665" s="21" t="n">
        <f aca="false">AVERAGEIFS($K$2:$K$2705,$B$2:$B$2705,B1665)</f>
        <v>0.499985253608442</v>
      </c>
      <c r="M1665" s="21" t="n">
        <f aca="false">K1665-L1665</f>
        <v>-0.0246766116331334</v>
      </c>
      <c r="N1665" s="21" t="n">
        <f aca="false">LN(J1665)</f>
        <v>14.2764589369027</v>
      </c>
      <c r="O1665" s="21" t="n">
        <f aca="false">AVERAGEIFS($N$2:$N$2705,$B$2:$B$2705,B1665)</f>
        <v>13.636615570181</v>
      </c>
      <c r="P1665" s="21" t="n">
        <f aca="false">N1665-O1665</f>
        <v>0.639843366721738</v>
      </c>
      <c r="Q1665" s="7" t="n">
        <v>0</v>
      </c>
      <c r="R1665" s="3" t="n">
        <f aca="false">IF(AND(Q1665=1,B1665-_xlfn.MINIFS($B$2:$B$2705,$A$2:$A$2705,A1665)&lt;10),1,0)</f>
        <v>0</v>
      </c>
      <c r="S1665" s="7" t="n">
        <v>0</v>
      </c>
      <c r="T1665" s="3" t="n">
        <f aca="false">_xlfn.MINIFS($B$2:$B$2705,$A$2:$A$2705,A1665)</f>
        <v>1901</v>
      </c>
      <c r="U1665" s="3" t="n">
        <f aca="false">B1665-T1665</f>
        <v>89</v>
      </c>
      <c r="V1665" s="3" t="str">
        <f aca="false">INDEX(Pop_Inputs!$Q$2:$Q$29,MATCH(C1665,Pop_Inputs!$A$2:$A$29,0))</f>
        <v>Northeast</v>
      </c>
      <c r="W1665" s="29" t="n">
        <v>13173667</v>
      </c>
      <c r="X1665" s="3" t="n">
        <f aca="false">IF(W1665="","",LN(W1665))</f>
        <v>16.3937304708024</v>
      </c>
      <c r="Y1665" s="3" t="n">
        <f aca="false">IF(X1665="","",X1665-AVERAGEIFS($X$2:$X$2705,$B$2:$B$2705,B1665))</f>
        <v>-0.233196280723654</v>
      </c>
      <c r="Z1665" s="21" t="n">
        <f aca="false">P1665</f>
        <v>0.639843366721738</v>
      </c>
      <c r="AA1665" s="3" t="n">
        <f aca="false">R1665</f>
        <v>0</v>
      </c>
      <c r="AB1665" s="21" t="n">
        <f aca="false">P1665</f>
        <v>0.639843366721738</v>
      </c>
      <c r="AC1665" s="3" t="n">
        <f aca="false">Y1665</f>
        <v>-0.233196280723654</v>
      </c>
      <c r="AD1665" s="3" t="n">
        <f aca="false">R1665</f>
        <v>0</v>
      </c>
    </row>
    <row r="1666" customFormat="false" ht="15" hidden="false" customHeight="true" outlineLevel="0" collapsed="false">
      <c r="A1666" s="7" t="s">
        <v>58</v>
      </c>
      <c r="B1666" s="7" t="n">
        <v>1990</v>
      </c>
      <c r="C1666" s="7" t="s">
        <v>144</v>
      </c>
      <c r="D1666" s="7" t="n">
        <v>95</v>
      </c>
      <c r="E1666" s="7" t="n">
        <v>67</v>
      </c>
      <c r="F1666" s="3" t="n">
        <f aca="false">COUNTIFS($B$2:$B$2705,B1666,$C$2:$C$2705,C1666)</f>
        <v>1</v>
      </c>
      <c r="G1666" s="3" t="n">
        <f aca="false">MIN(INT((MIN(B1666,2020)-1900)/10)+1,12)</f>
        <v>10</v>
      </c>
      <c r="H1666" s="3" t="n">
        <f aca="false">(MIN(B1666,2020)-1900-10*(G1666-1))/10</f>
        <v>0</v>
      </c>
      <c r="I1666" s="20" t="n">
        <f aca="false">EXP(LN(INDEX(Pop_Inputs!$B$2:$N$29,MATCH(C1666,Pop_Inputs!$A$2:$A$29,0),G1666))*(1-H1666)+LN(INDEX(Pop_Inputs!$B$2:$N$29,MATCH(C1666,Pop_Inputs!$A$2:$A$29,0),G1666+1))*H1666)</f>
        <v>369879</v>
      </c>
      <c r="J1666" s="20" t="n">
        <f aca="false">I1666/F1666</f>
        <v>369879</v>
      </c>
      <c r="K1666" s="21" t="n">
        <f aca="false">D1666/(D1666+E1666)</f>
        <v>0.58641975308642</v>
      </c>
      <c r="L1666" s="21" t="n">
        <f aca="false">AVERAGEIFS($K$2:$K$2705,$B$2:$B$2705,B1666)</f>
        <v>0.499985253608442</v>
      </c>
      <c r="M1666" s="21" t="n">
        <f aca="false">K1666-L1666</f>
        <v>0.0864344994779778</v>
      </c>
      <c r="N1666" s="21" t="n">
        <f aca="false">LN(J1666)</f>
        <v>12.8209312041084</v>
      </c>
      <c r="O1666" s="21" t="n">
        <f aca="false">AVERAGEIFS($N$2:$N$2705,$B$2:$B$2705,B1666)</f>
        <v>13.636615570181</v>
      </c>
      <c r="P1666" s="21" t="n">
        <f aca="false">N1666-O1666</f>
        <v>-0.815684366072585</v>
      </c>
      <c r="Q1666" s="7" t="n">
        <v>0</v>
      </c>
      <c r="R1666" s="3" t="n">
        <f aca="false">IF(AND(Q1666=1,B1666-_xlfn.MINIFS($B$2:$B$2705,$A$2:$A$2705,A1666)&lt;10),1,0)</f>
        <v>0</v>
      </c>
      <c r="S1666" s="7" t="n">
        <v>0</v>
      </c>
      <c r="T1666" s="3" t="n">
        <f aca="false">_xlfn.MINIFS($B$2:$B$2705,$A$2:$A$2705,A1666)</f>
        <v>1901</v>
      </c>
      <c r="U1666" s="3" t="n">
        <f aca="false">B1666-T1666</f>
        <v>89</v>
      </c>
      <c r="V1666" s="3" t="str">
        <f aca="false">INDEX(Pop_Inputs!$Q$2:$Q$29,MATCH(C1666,Pop_Inputs!$A$2:$A$29,0))</f>
        <v>Northeast</v>
      </c>
      <c r="W1666" s="29" t="n">
        <v>15556000</v>
      </c>
      <c r="X1666" s="3" t="n">
        <f aca="false">IF(W1666="","",LN(W1666))</f>
        <v>16.5599569742578</v>
      </c>
      <c r="Y1666" s="3" t="n">
        <f aca="false">IF(X1666="","",X1666-AVERAGEIFS($X$2:$X$2705,$B$2:$B$2705,B1666))</f>
        <v>-0.0669697772683051</v>
      </c>
      <c r="Z1666" s="21" t="n">
        <f aca="false">P1666</f>
        <v>-0.815684366072585</v>
      </c>
      <c r="AA1666" s="3" t="n">
        <f aca="false">R1666</f>
        <v>0</v>
      </c>
      <c r="AB1666" s="21" t="n">
        <f aca="false">P1666</f>
        <v>-0.815684366072585</v>
      </c>
      <c r="AC1666" s="3" t="n">
        <f aca="false">Y1666</f>
        <v>-0.0669697772683051</v>
      </c>
      <c r="AD1666" s="3" t="n">
        <f aca="false">R1666</f>
        <v>0</v>
      </c>
    </row>
    <row r="1667" customFormat="false" ht="15" hidden="false" customHeight="true" outlineLevel="0" collapsed="false">
      <c r="A1667" s="7" t="s">
        <v>78</v>
      </c>
      <c r="B1667" s="7" t="n">
        <v>1990</v>
      </c>
      <c r="C1667" s="7" t="s">
        <v>159</v>
      </c>
      <c r="D1667" s="7" t="n">
        <v>75</v>
      </c>
      <c r="E1667" s="7" t="n">
        <v>87</v>
      </c>
      <c r="F1667" s="3" t="n">
        <f aca="false">COUNTIFS($B$2:$B$2705,B1667,$C$2:$C$2705,C1667)</f>
        <v>1</v>
      </c>
      <c r="G1667" s="3" t="n">
        <f aca="false">MIN(INT((MIN(B1667,2020)-1900)/10)+1,12)</f>
        <v>10</v>
      </c>
      <c r="H1667" s="3" t="n">
        <f aca="false">(MIN(B1667,2020)-1900-10*(G1667-1))/10</f>
        <v>0</v>
      </c>
      <c r="I1667" s="20" t="n">
        <f aca="false">EXP(LN(INDEX(Pop_Inputs!$B$2:$N$29,MATCH(C1667,Pop_Inputs!$A$2:$A$29,0),G1667))*(1-H1667)+LN(INDEX(Pop_Inputs!$B$2:$N$29,MATCH(C1667,Pop_Inputs!$A$2:$A$29,0),G1667+1))*H1667)</f>
        <v>1110549</v>
      </c>
      <c r="J1667" s="20" t="n">
        <f aca="false">I1667/F1667</f>
        <v>1110549</v>
      </c>
      <c r="K1667" s="21" t="n">
        <f aca="false">D1667/(D1667+E1667)</f>
        <v>0.462962962962963</v>
      </c>
      <c r="L1667" s="21" t="n">
        <f aca="false">AVERAGEIFS($K$2:$K$2705,$B$2:$B$2705,B1667)</f>
        <v>0.499985253608442</v>
      </c>
      <c r="M1667" s="21" t="n">
        <f aca="false">K1667-L1667</f>
        <v>-0.0370222906454791</v>
      </c>
      <c r="N1667" s="21" t="n">
        <f aca="false">LN(J1667)</f>
        <v>13.9203650456115</v>
      </c>
      <c r="O1667" s="21" t="n">
        <f aca="false">AVERAGEIFS($N$2:$N$2705,$B$2:$B$2705,B1667)</f>
        <v>13.636615570181</v>
      </c>
      <c r="P1667" s="21" t="n">
        <f aca="false">N1667-O1667</f>
        <v>0.283749475430554</v>
      </c>
      <c r="Q1667" s="7" t="n">
        <v>1</v>
      </c>
      <c r="R1667" s="3" t="n">
        <f aca="false">IF(AND(Q1667=1,B1667-_xlfn.MINIFS($B$2:$B$2705,$A$2:$A$2705,A1667)&lt;10),1,0)</f>
        <v>0</v>
      </c>
      <c r="S1667" s="7" t="n">
        <v>0</v>
      </c>
      <c r="T1667" s="3" t="n">
        <f aca="false">_xlfn.MINIFS($B$2:$B$2705,$A$2:$A$2705,A1667)</f>
        <v>1969</v>
      </c>
      <c r="U1667" s="3" t="n">
        <f aca="false">B1667-T1667</f>
        <v>21</v>
      </c>
      <c r="V1667" s="3" t="str">
        <f aca="false">INDEX(Pop_Inputs!$Q$2:$Q$29,MATCH(C1667,Pop_Inputs!$A$2:$A$29,0))</f>
        <v>West</v>
      </c>
      <c r="W1667" s="29" t="n">
        <v>17588334</v>
      </c>
      <c r="X1667" s="3" t="n">
        <f aca="false">IF(W1667="","",LN(W1667))</f>
        <v>16.6827463993231</v>
      </c>
      <c r="Y1667" s="3" t="n">
        <f aca="false">IF(X1667="","",X1667-AVERAGEIFS($X$2:$X$2705,$B$2:$B$2705,B1667))</f>
        <v>0.0558196477970476</v>
      </c>
      <c r="Z1667" s="21" t="n">
        <f aca="false">P1667</f>
        <v>0.283749475430554</v>
      </c>
      <c r="AA1667" s="3" t="n">
        <f aca="false">R1667</f>
        <v>0</v>
      </c>
      <c r="AB1667" s="21" t="n">
        <f aca="false">P1667</f>
        <v>0.283749475430554</v>
      </c>
      <c r="AC1667" s="3" t="n">
        <f aca="false">Y1667</f>
        <v>0.0558196477970476</v>
      </c>
      <c r="AD1667" s="3" t="n">
        <f aca="false">R1667</f>
        <v>0</v>
      </c>
    </row>
    <row r="1668" customFormat="false" ht="15" hidden="false" customHeight="true" outlineLevel="0" collapsed="false">
      <c r="A1668" s="7" t="s">
        <v>80</v>
      </c>
      <c r="B1668" s="7" t="n">
        <v>1990</v>
      </c>
      <c r="C1668" s="7" t="s">
        <v>161</v>
      </c>
      <c r="D1668" s="7" t="n">
        <v>77</v>
      </c>
      <c r="E1668" s="7" t="n">
        <v>85</v>
      </c>
      <c r="F1668" s="3" t="n">
        <f aca="false">COUNTIFS($B$2:$B$2705,B1668,$C$2:$C$2705,C1668)</f>
        <v>1</v>
      </c>
      <c r="G1668" s="3" t="n">
        <f aca="false">MIN(INT((MIN(B1668,2020)-1900)/10)+1,12)</f>
        <v>10</v>
      </c>
      <c r="H1668" s="3" t="n">
        <f aca="false">(MIN(B1668,2020)-1900-10*(G1668-1))/10</f>
        <v>0</v>
      </c>
      <c r="I1668" s="20" t="n">
        <f aca="false">EXP(LN(INDEX(Pop_Inputs!$B$2:$N$29,MATCH(C1668,Pop_Inputs!$A$2:$A$29,0),G1668))*(1-H1668)+LN(INDEX(Pop_Inputs!$B$2:$N$29,MATCH(C1668,Pop_Inputs!$A$2:$A$29,0),G1668+1))*H1668)</f>
        <v>516259</v>
      </c>
      <c r="J1668" s="20" t="n">
        <f aca="false">I1668/F1668</f>
        <v>516259</v>
      </c>
      <c r="K1668" s="21" t="n">
        <f aca="false">D1668/(D1668+E1668)</f>
        <v>0.475308641975309</v>
      </c>
      <c r="L1668" s="21" t="n">
        <f aca="false">AVERAGEIFS($K$2:$K$2705,$B$2:$B$2705,B1668)</f>
        <v>0.499985253608442</v>
      </c>
      <c r="M1668" s="21" t="n">
        <f aca="false">K1668-L1668</f>
        <v>-0.0246766116331334</v>
      </c>
      <c r="N1668" s="21" t="n">
        <f aca="false">LN(J1668)</f>
        <v>13.1543638565195</v>
      </c>
      <c r="O1668" s="21" t="n">
        <f aca="false">AVERAGEIFS($N$2:$N$2705,$B$2:$B$2705,B1668)</f>
        <v>13.636615570181</v>
      </c>
      <c r="P1668" s="21" t="n">
        <f aca="false">N1668-O1668</f>
        <v>-0.482251713661503</v>
      </c>
      <c r="Q1668" s="7" t="n">
        <v>1</v>
      </c>
      <c r="R1668" s="3" t="n">
        <f aca="false">IF(AND(Q1668=1,B1668-_xlfn.MINIFS($B$2:$B$2705,$A$2:$A$2705,A1668)&lt;10),1,0)</f>
        <v>0</v>
      </c>
      <c r="S1668" s="7" t="n">
        <v>0</v>
      </c>
      <c r="T1668" s="3" t="n">
        <f aca="false">_xlfn.MINIFS($B$2:$B$2705,$A$2:$A$2705,A1668)</f>
        <v>1977</v>
      </c>
      <c r="U1668" s="3" t="n">
        <f aca="false">B1668-T1668</f>
        <v>13</v>
      </c>
      <c r="V1668" s="3" t="str">
        <f aca="false">INDEX(Pop_Inputs!$Q$2:$Q$29,MATCH(C1668,Pop_Inputs!$A$2:$A$29,0))</f>
        <v>West</v>
      </c>
      <c r="W1668" s="29" t="n">
        <v>12553667</v>
      </c>
      <c r="X1668" s="3" t="n">
        <f aca="false">IF(W1668="","",LN(W1668))</f>
        <v>16.3455233720976</v>
      </c>
      <c r="Y1668" s="3" t="n">
        <f aca="false">IF(X1668="","",X1668-AVERAGEIFS($X$2:$X$2705,$B$2:$B$2705,B1668))</f>
        <v>-0.2814033794285</v>
      </c>
      <c r="Z1668" s="21" t="n">
        <f aca="false">P1668</f>
        <v>-0.482251713661503</v>
      </c>
      <c r="AA1668" s="3" t="n">
        <f aca="false">R1668</f>
        <v>0</v>
      </c>
      <c r="AB1668" s="21" t="n">
        <f aca="false">P1668</f>
        <v>-0.482251713661503</v>
      </c>
      <c r="AC1668" s="3" t="n">
        <f aca="false">Y1668</f>
        <v>-0.2814033794285</v>
      </c>
      <c r="AD1668" s="3" t="n">
        <f aca="false">R1668</f>
        <v>0</v>
      </c>
    </row>
    <row r="1669" customFormat="false" ht="15" hidden="false" customHeight="true" outlineLevel="0" collapsed="false">
      <c r="A1669" s="7" t="s">
        <v>61</v>
      </c>
      <c r="B1669" s="7" t="n">
        <v>1990</v>
      </c>
      <c r="C1669" s="7" t="s">
        <v>147</v>
      </c>
      <c r="D1669" s="7" t="n">
        <v>85</v>
      </c>
      <c r="E1669" s="7" t="n">
        <v>77</v>
      </c>
      <c r="F1669" s="3" t="n">
        <f aca="false">COUNTIFS($B$2:$B$2705,B1669,$C$2:$C$2705,C1669)</f>
        <v>1</v>
      </c>
      <c r="G1669" s="3" t="n">
        <f aca="false">MIN(INT((MIN(B1669,2020)-1900)/10)+1,12)</f>
        <v>10</v>
      </c>
      <c r="H1669" s="3" t="n">
        <f aca="false">(MIN(B1669,2020)-1900-10*(G1669-1))/10</f>
        <v>0</v>
      </c>
      <c r="I1669" s="20" t="n">
        <f aca="false">EXP(LN(INDEX(Pop_Inputs!$B$2:$N$29,MATCH(C1669,Pop_Inputs!$A$2:$A$29,0),G1669))*(1-H1669)+LN(INDEX(Pop_Inputs!$B$2:$N$29,MATCH(C1669,Pop_Inputs!$A$2:$A$29,0),G1669+1))*H1669)</f>
        <v>723959</v>
      </c>
      <c r="J1669" s="20" t="n">
        <f aca="false">I1669/F1669</f>
        <v>723959</v>
      </c>
      <c r="K1669" s="21" t="n">
        <f aca="false">D1669/(D1669+E1669)</f>
        <v>0.524691358024691</v>
      </c>
      <c r="L1669" s="21" t="n">
        <f aca="false">AVERAGEIFS($K$2:$K$2705,$B$2:$B$2705,B1669)</f>
        <v>0.499985253608442</v>
      </c>
      <c r="M1669" s="21" t="n">
        <f aca="false">K1669-L1669</f>
        <v>0.0247061044162493</v>
      </c>
      <c r="N1669" s="21" t="n">
        <f aca="false">LN(J1669)</f>
        <v>13.4924900399301</v>
      </c>
      <c r="O1669" s="21" t="n">
        <f aca="false">AVERAGEIFS($N$2:$N$2705,$B$2:$B$2705,B1669)</f>
        <v>13.636615570181</v>
      </c>
      <c r="P1669" s="21" t="n">
        <f aca="false">N1669-O1669</f>
        <v>-0.144125530250896</v>
      </c>
      <c r="Q1669" s="7" t="n">
        <v>0</v>
      </c>
      <c r="R1669" s="3" t="n">
        <f aca="false">IF(AND(Q1669=1,B1669-_xlfn.MINIFS($B$2:$B$2705,$A$2:$A$2705,A1669)&lt;10),1,0)</f>
        <v>0</v>
      </c>
      <c r="S1669" s="7" t="n">
        <v>0</v>
      </c>
      <c r="T1669" s="3" t="n">
        <f aca="false">_xlfn.MINIFS($B$2:$B$2705,$A$2:$A$2705,A1669)</f>
        <v>1901</v>
      </c>
      <c r="U1669" s="3" t="n">
        <f aca="false">B1669-T1669</f>
        <v>89</v>
      </c>
      <c r="V1669" s="3" t="str">
        <f aca="false">INDEX(Pop_Inputs!$Q$2:$Q$29,MATCH(C1669,Pop_Inputs!$A$2:$A$29,0))</f>
        <v>West</v>
      </c>
      <c r="W1669" s="29" t="n">
        <v>19335333</v>
      </c>
      <c r="X1669" s="3" t="n">
        <f aca="false">IF(W1669="","",LN(W1669))</f>
        <v>16.7774447055284</v>
      </c>
      <c r="Y1669" s="3" t="n">
        <f aca="false">IF(X1669="","",X1669-AVERAGEIFS($X$2:$X$2705,$B$2:$B$2705,B1669))</f>
        <v>0.150517954002364</v>
      </c>
      <c r="Z1669" s="21" t="n">
        <f aca="false">P1669</f>
        <v>-0.144125530250896</v>
      </c>
      <c r="AA1669" s="3" t="n">
        <f aca="false">R1669</f>
        <v>0</v>
      </c>
      <c r="AB1669" s="21" t="n">
        <f aca="false">P1669</f>
        <v>-0.144125530250896</v>
      </c>
      <c r="AC1669" s="3" t="n">
        <f aca="false">Y1669</f>
        <v>0.150517954002364</v>
      </c>
      <c r="AD1669" s="3" t="n">
        <f aca="false">R1669</f>
        <v>0</v>
      </c>
    </row>
    <row r="1670" customFormat="false" ht="15" hidden="false" customHeight="true" outlineLevel="0" collapsed="false">
      <c r="A1670" s="7" t="s">
        <v>59</v>
      </c>
      <c r="B1670" s="7" t="n">
        <v>1990</v>
      </c>
      <c r="C1670" s="7" t="s">
        <v>145</v>
      </c>
      <c r="D1670" s="7" t="n">
        <v>70</v>
      </c>
      <c r="E1670" s="7" t="n">
        <v>92</v>
      </c>
      <c r="F1670" s="3" t="n">
        <f aca="false">COUNTIFS($B$2:$B$2705,B1670,$C$2:$C$2705,C1670)</f>
        <v>1</v>
      </c>
      <c r="G1670" s="3" t="n">
        <f aca="false">MIN(INT((MIN(B1670,2020)-1900)/10)+1,12)</f>
        <v>10</v>
      </c>
      <c r="H1670" s="3" t="n">
        <f aca="false">(MIN(B1670,2020)-1900-10*(G1670-1))/10</f>
        <v>0</v>
      </c>
      <c r="I1670" s="20" t="n">
        <f aca="false">EXP(LN(INDEX(Pop_Inputs!$B$2:$N$29,MATCH(C1670,Pop_Inputs!$A$2:$A$29,0),G1670))*(1-H1670)+LN(INDEX(Pop_Inputs!$B$2:$N$29,MATCH(C1670,Pop_Inputs!$A$2:$A$29,0),G1670+1))*H1670)</f>
        <v>396685</v>
      </c>
      <c r="J1670" s="20" t="n">
        <f aca="false">I1670/F1670</f>
        <v>396685</v>
      </c>
      <c r="K1670" s="21" t="n">
        <f aca="false">D1670/(D1670+E1670)</f>
        <v>0.432098765432099</v>
      </c>
      <c r="L1670" s="21" t="n">
        <f aca="false">AVERAGEIFS($K$2:$K$2705,$B$2:$B$2705,B1670)</f>
        <v>0.499985253608442</v>
      </c>
      <c r="M1670" s="21" t="n">
        <f aca="false">K1670-L1670</f>
        <v>-0.0678864881763433</v>
      </c>
      <c r="N1670" s="21" t="n">
        <f aca="false">LN(J1670)</f>
        <v>12.890897793839</v>
      </c>
      <c r="O1670" s="21" t="n">
        <f aca="false">AVERAGEIFS($N$2:$N$2705,$B$2:$B$2705,B1670)</f>
        <v>13.636615570181</v>
      </c>
      <c r="P1670" s="21" t="n">
        <f aca="false">N1670-O1670</f>
        <v>-0.74571777634201</v>
      </c>
      <c r="Q1670" s="7" t="n">
        <v>0</v>
      </c>
      <c r="R1670" s="3" t="n">
        <f aca="false">IF(AND(Q1670=1,B1670-_xlfn.MINIFS($B$2:$B$2705,$A$2:$A$2705,A1670)&lt;10),1,0)</f>
        <v>0</v>
      </c>
      <c r="S1670" s="7" t="n">
        <v>0</v>
      </c>
      <c r="T1670" s="3" t="n">
        <f aca="false">_xlfn.MINIFS($B$2:$B$2705,$A$2:$A$2705,A1670)</f>
        <v>1901</v>
      </c>
      <c r="U1670" s="3" t="n">
        <f aca="false">B1670-T1670</f>
        <v>89</v>
      </c>
      <c r="V1670" s="3" t="str">
        <f aca="false">INDEX(Pop_Inputs!$Q$2:$Q$29,MATCH(C1670,Pop_Inputs!$A$2:$A$29,0))</f>
        <v>Midwest</v>
      </c>
      <c r="W1670" s="29" t="n">
        <v>20523334</v>
      </c>
      <c r="X1670" s="3" t="n">
        <f aca="false">IF(W1670="","",LN(W1670))</f>
        <v>16.8370730407026</v>
      </c>
      <c r="Y1670" s="3" t="n">
        <f aca="false">IF(X1670="","",X1670-AVERAGEIFS($X$2:$X$2705,$B$2:$B$2705,B1670))</f>
        <v>0.210146289176553</v>
      </c>
      <c r="Z1670" s="21" t="n">
        <f aca="false">P1670</f>
        <v>-0.74571777634201</v>
      </c>
      <c r="AA1670" s="3" t="n">
        <f aca="false">R1670</f>
        <v>0</v>
      </c>
      <c r="AB1670" s="21" t="n">
        <f aca="false">P1670</f>
        <v>-0.74571777634201</v>
      </c>
      <c r="AC1670" s="3" t="n">
        <f aca="false">Y1670</f>
        <v>0.210146289176553</v>
      </c>
      <c r="AD1670" s="3" t="n">
        <f aca="false">R1670</f>
        <v>0</v>
      </c>
    </row>
    <row r="1671" customFormat="false" ht="15" hidden="false" customHeight="true" outlineLevel="0" collapsed="false">
      <c r="A1671" s="7" t="s">
        <v>73</v>
      </c>
      <c r="B1671" s="7" t="n">
        <v>1990</v>
      </c>
      <c r="C1671" s="7" t="s">
        <v>155</v>
      </c>
      <c r="D1671" s="7" t="n">
        <v>83</v>
      </c>
      <c r="E1671" s="7" t="n">
        <v>79</v>
      </c>
      <c r="F1671" s="3" t="n">
        <f aca="false">COUNTIFS($B$2:$B$2705,B1671,$C$2:$C$2705,C1671)</f>
        <v>1</v>
      </c>
      <c r="G1671" s="3" t="n">
        <f aca="false">MIN(INT((MIN(B1671,2020)-1900)/10)+1,12)</f>
        <v>10</v>
      </c>
      <c r="H1671" s="3" t="n">
        <f aca="false">(MIN(B1671,2020)-1900-10*(G1671-1))/10</f>
        <v>0</v>
      </c>
      <c r="I1671" s="20" t="n">
        <f aca="false">EXP(LN(INDEX(Pop_Inputs!$B$2:$N$29,MATCH(C1671,Pop_Inputs!$A$2:$A$29,0),G1671))*(1-H1671)+LN(INDEX(Pop_Inputs!$B$2:$N$29,MATCH(C1671,Pop_Inputs!$A$2:$A$29,0),G1671+1))*H1671)</f>
        <v>1006977</v>
      </c>
      <c r="J1671" s="20" t="n">
        <f aca="false">I1671/F1671</f>
        <v>1006977</v>
      </c>
      <c r="K1671" s="21" t="n">
        <f aca="false">D1671/(D1671+E1671)</f>
        <v>0.512345679012346</v>
      </c>
      <c r="L1671" s="21" t="n">
        <f aca="false">AVERAGEIFS($K$2:$K$2705,$B$2:$B$2705,B1671)</f>
        <v>0.499985253608442</v>
      </c>
      <c r="M1671" s="21" t="n">
        <f aca="false">K1671-L1671</f>
        <v>0.0123604254039037</v>
      </c>
      <c r="N1671" s="21" t="n">
        <f aca="false">LN(J1671)</f>
        <v>13.8224633313207</v>
      </c>
      <c r="O1671" s="21" t="n">
        <f aca="false">AVERAGEIFS($N$2:$N$2705,$B$2:$B$2705,B1671)</f>
        <v>13.636615570181</v>
      </c>
      <c r="P1671" s="21" t="n">
        <f aca="false">N1671-O1671</f>
        <v>0.185847761139728</v>
      </c>
      <c r="Q1671" s="7" t="n">
        <v>1</v>
      </c>
      <c r="R1671" s="3" t="n">
        <f aca="false">IF(AND(Q1671=1,B1671-_xlfn.MINIFS($B$2:$B$2705,$A$2:$A$2705,A1671)&lt;10),1,0)</f>
        <v>0</v>
      </c>
      <c r="S1671" s="7" t="n">
        <v>0</v>
      </c>
      <c r="T1671" s="3" t="n">
        <f aca="false">_xlfn.MINIFS($B$2:$B$2705,$A$2:$A$2705,A1671)</f>
        <v>1961</v>
      </c>
      <c r="U1671" s="3" t="n">
        <f aca="false">B1671-T1671</f>
        <v>29</v>
      </c>
      <c r="V1671" s="3" t="str">
        <f aca="false">INDEX(Pop_Inputs!$Q$2:$Q$29,MATCH(C1671,Pop_Inputs!$A$2:$A$29,0))</f>
        <v>South</v>
      </c>
      <c r="W1671" s="29" t="n">
        <v>14874372</v>
      </c>
      <c r="X1671" s="3" t="n">
        <f aca="false">IF(W1671="","",LN(W1671))</f>
        <v>16.5151502900173</v>
      </c>
      <c r="Y1671" s="3" t="n">
        <f aca="false">IF(X1671="","",X1671-AVERAGEIFS($X$2:$X$2705,$B$2:$B$2705,B1671))</f>
        <v>-0.111776461508736</v>
      </c>
      <c r="Z1671" s="21" t="n">
        <f aca="false">P1671</f>
        <v>0.185847761139728</v>
      </c>
      <c r="AA1671" s="3" t="n">
        <f aca="false">R1671</f>
        <v>0</v>
      </c>
      <c r="AB1671" s="21" t="n">
        <f aca="false">P1671</f>
        <v>0.185847761139728</v>
      </c>
      <c r="AC1671" s="3" t="n">
        <f aca="false">Y1671</f>
        <v>-0.111776461508736</v>
      </c>
      <c r="AD1671" s="3" t="n">
        <f aca="false">R1671</f>
        <v>0</v>
      </c>
    </row>
    <row r="1672" customFormat="false" ht="15" hidden="false" customHeight="true" outlineLevel="0" collapsed="false">
      <c r="A1672" s="7" t="s">
        <v>81</v>
      </c>
      <c r="B1672" s="7" t="n">
        <v>1990</v>
      </c>
      <c r="C1672" s="7" t="s">
        <v>162</v>
      </c>
      <c r="D1672" s="7" t="n">
        <v>86</v>
      </c>
      <c r="E1672" s="7" t="n">
        <v>76</v>
      </c>
      <c r="F1672" s="3" t="n">
        <f aca="false">COUNTIFS($B$2:$B$2705,B1672,$C$2:$C$2705,C1672)</f>
        <v>1</v>
      </c>
      <c r="G1672" s="3" t="n">
        <f aca="false">MIN(INT((MIN(B1672,2020)-1900)/10)+1,12)</f>
        <v>10</v>
      </c>
      <c r="H1672" s="3" t="n">
        <f aca="false">(MIN(B1672,2020)-1900-10*(G1672-1))/10</f>
        <v>0</v>
      </c>
      <c r="I1672" s="20" t="n">
        <f aca="false">EXP(LN(INDEX(Pop_Inputs!$B$2:$N$29,MATCH(C1672,Pop_Inputs!$A$2:$A$29,0),G1672))*(1-H1672)+LN(INDEX(Pop_Inputs!$B$2:$N$29,MATCH(C1672,Pop_Inputs!$A$2:$A$29,0),G1672+1))*H1672)</f>
        <v>635395</v>
      </c>
      <c r="J1672" s="20" t="n">
        <f aca="false">I1672/F1672</f>
        <v>635395</v>
      </c>
      <c r="K1672" s="21" t="n">
        <f aca="false">D1672/(D1672+E1672)</f>
        <v>0.530864197530864</v>
      </c>
      <c r="L1672" s="21" t="n">
        <f aca="false">AVERAGEIFS($K$2:$K$2705,$B$2:$B$2705,B1672)</f>
        <v>0.499985253608442</v>
      </c>
      <c r="M1672" s="21" t="n">
        <f aca="false">K1672-L1672</f>
        <v>0.0308789439224222</v>
      </c>
      <c r="N1672" s="21" t="n">
        <f aca="false">LN(J1672)</f>
        <v>13.3620021317277</v>
      </c>
      <c r="O1672" s="21" t="n">
        <f aca="false">AVERAGEIFS($N$2:$N$2705,$B$2:$B$2705,B1672)</f>
        <v>13.636615570181</v>
      </c>
      <c r="P1672" s="21" t="n">
        <f aca="false">N1672-O1672</f>
        <v>-0.274613438453235</v>
      </c>
      <c r="Q1672" s="7" t="n">
        <v>1</v>
      </c>
      <c r="R1672" s="3" t="n">
        <f aca="false">IF(AND(Q1672=1,B1672-_xlfn.MINIFS($B$2:$B$2705,$A$2:$A$2705,A1672)&lt;10),1,0)</f>
        <v>0</v>
      </c>
      <c r="S1672" s="7" t="n">
        <v>0</v>
      </c>
      <c r="T1672" s="3" t="n">
        <f aca="false">_xlfn.MINIFS($B$2:$B$2705,$A$2:$A$2705,A1672)</f>
        <v>1977</v>
      </c>
      <c r="U1672" s="3" t="n">
        <f aca="false">B1672-T1672</f>
        <v>13</v>
      </c>
      <c r="V1672" s="3" t="str">
        <f aca="false">INDEX(Pop_Inputs!$Q$2:$Q$29,MATCH(C1672,Pop_Inputs!$A$2:$A$29,0))</f>
        <v>Canada</v>
      </c>
      <c r="W1672" s="29" t="n">
        <v>17756834</v>
      </c>
      <c r="X1672" s="3" t="n">
        <f aca="false">IF(W1672="","",LN(W1672))</f>
        <v>16.6922810138713</v>
      </c>
      <c r="Y1672" s="3" t="n">
        <f aca="false">IF(X1672="","",X1672-AVERAGEIFS($X$2:$X$2705,$B$2:$B$2705,B1672))</f>
        <v>0.0653542623452204</v>
      </c>
      <c r="Z1672" s="21" t="n">
        <f aca="false">P1672</f>
        <v>-0.274613438453235</v>
      </c>
      <c r="AA1672" s="3" t="n">
        <f aca="false">R1672</f>
        <v>0</v>
      </c>
      <c r="AB1672" s="21" t="n">
        <f aca="false">P1672</f>
        <v>-0.274613438453235</v>
      </c>
      <c r="AC1672" s="3" t="n">
        <f aca="false">Y1672</f>
        <v>0.0653542623452204</v>
      </c>
      <c r="AD1672" s="3" t="n">
        <f aca="false">R1672</f>
        <v>0</v>
      </c>
    </row>
    <row r="1673" customFormat="false" ht="15" hidden="false" customHeight="true" outlineLevel="0" collapsed="false">
      <c r="A1673" s="7" t="s">
        <v>79</v>
      </c>
      <c r="B1673" s="7" t="n">
        <v>1990</v>
      </c>
      <c r="C1673" s="7" t="s">
        <v>254</v>
      </c>
      <c r="D1673" s="7" t="n">
        <v>85</v>
      </c>
      <c r="E1673" s="7" t="n">
        <v>77</v>
      </c>
      <c r="F1673" s="3" t="n">
        <f aca="false">COUNTIFS($B$2:$B$2705,B1673,$C$2:$C$2705,C1673)</f>
        <v>1</v>
      </c>
      <c r="G1673" s="3" t="n">
        <f aca="false">MIN(INT((MIN(B1673,2020)-1900)/10)+1,12)</f>
        <v>10</v>
      </c>
      <c r="H1673" s="3" t="n">
        <f aca="false">(MIN(B1673,2020)-1900-10*(G1673-1))/10</f>
        <v>0</v>
      </c>
      <c r="I1673" s="20" t="n">
        <f aca="false">EXP(LN(INDEX(Pop_Inputs!$B$2:$N$29,MATCH(C1673,Pop_Inputs!$A$2:$A$29,0),G1673))*(1-H1673)+LN(INDEX(Pop_Inputs!$B$2:$N$29,MATCH(C1673,Pop_Inputs!$A$2:$A$29,0),G1673+1))*H1673)</f>
        <v>1017666</v>
      </c>
      <c r="J1673" s="20" t="n">
        <f aca="false">I1673/F1673</f>
        <v>1017666</v>
      </c>
      <c r="K1673" s="21" t="n">
        <f aca="false">D1673/(D1673+E1673)</f>
        <v>0.524691358024691</v>
      </c>
      <c r="L1673" s="21" t="n">
        <f aca="false">AVERAGEIFS($K$2:$K$2705,$B$2:$B$2705,B1673)</f>
        <v>0.499985253608442</v>
      </c>
      <c r="M1673" s="21" t="n">
        <f aca="false">K1673-L1673</f>
        <v>0.0247061044162493</v>
      </c>
      <c r="N1673" s="21" t="n">
        <f aca="false">LN(J1673)</f>
        <v>13.8330223279553</v>
      </c>
      <c r="O1673" s="21" t="n">
        <f aca="false">AVERAGEIFS($N$2:$N$2705,$B$2:$B$2705,B1673)</f>
        <v>13.636615570181</v>
      </c>
      <c r="P1673" s="21" t="n">
        <f aca="false">N1673-O1673</f>
        <v>0.196406757774373</v>
      </c>
      <c r="Q1673" s="7" t="n">
        <v>1</v>
      </c>
      <c r="R1673" s="3" t="n">
        <f aca="false">IF(AND(Q1673=1,B1673-_xlfn.MINIFS($B$2:$B$2705,$A$2:$A$2705,A1673)&lt;10),1,0)</f>
        <v>0</v>
      </c>
      <c r="S1673" s="7" t="n">
        <v>0</v>
      </c>
      <c r="T1673" s="3" t="n">
        <f aca="false">_xlfn.MINIFS($B$2:$B$2705,$A$2:$A$2705,A1673)</f>
        <v>1969</v>
      </c>
      <c r="U1673" s="3" t="n">
        <f aca="false">B1673-T1673</f>
        <v>21</v>
      </c>
      <c r="V1673" s="3" t="str">
        <f aca="false">INDEX(Pop_Inputs!$Q$2:$Q$29,MATCH(C1673,Pop_Inputs!$A$2:$A$29,0))</f>
        <v>Canada</v>
      </c>
      <c r="W1673" s="29" t="n">
        <v>16586388</v>
      </c>
      <c r="X1673" s="3" t="n">
        <f aca="false">IF(W1673="","",LN(W1673))</f>
        <v>16.6240929169429</v>
      </c>
      <c r="Y1673" s="3" t="n">
        <f aca="false">IF(X1673="","",X1673-AVERAGEIFS($X$2:$X$2705,$B$2:$B$2705,B1673))</f>
        <v>-0.00283383458321396</v>
      </c>
      <c r="Z1673" s="21" t="n">
        <f aca="false">P1673</f>
        <v>0.196406757774373</v>
      </c>
      <c r="AA1673" s="3" t="n">
        <f aca="false">R1673</f>
        <v>0</v>
      </c>
      <c r="AB1673" s="21" t="n">
        <f aca="false">P1673</f>
        <v>0.196406757774373</v>
      </c>
      <c r="AC1673" s="3" t="n">
        <f aca="false">Y1673</f>
        <v>-0.00283383458321396</v>
      </c>
      <c r="AD1673" s="3" t="n">
        <f aca="false">R1673</f>
        <v>0</v>
      </c>
    </row>
    <row r="1674" customFormat="false" ht="15" hidden="false" customHeight="true" outlineLevel="0" collapsed="false">
      <c r="A1674" s="7" t="s">
        <v>71</v>
      </c>
      <c r="B1674" s="7" t="n">
        <v>1991</v>
      </c>
      <c r="C1674" s="7" t="s">
        <v>148</v>
      </c>
      <c r="D1674" s="7" t="n">
        <v>81</v>
      </c>
      <c r="E1674" s="7" t="n">
        <v>81</v>
      </c>
      <c r="F1674" s="3" t="n">
        <f aca="false">COUNTIFS($B$2:$B$2705,B1674,$C$2:$C$2705,C1674)</f>
        <v>2</v>
      </c>
      <c r="G1674" s="3" t="n">
        <f aca="false">MIN(INT((MIN(B1674,2020)-1900)/10)+1,12)</f>
        <v>10</v>
      </c>
      <c r="H1674" s="3" t="n">
        <f aca="false">(MIN(B1674,2020)-1900-10*(G1674-1))/10</f>
        <v>0.1</v>
      </c>
      <c r="I1674" s="20" t="n">
        <f aca="false">EXP(LN(INDEX(Pop_Inputs!$B$2:$N$29,MATCH(C1674,Pop_Inputs!$A$2:$A$29,0),G1674))*(1-H1674)+LN(INDEX(Pop_Inputs!$B$2:$N$29,MATCH(C1674,Pop_Inputs!$A$2:$A$29,0),G1674+1))*H1674)</f>
        <v>3505794.60579431</v>
      </c>
      <c r="J1674" s="20" t="n">
        <f aca="false">I1674/F1674</f>
        <v>1752897.30289715</v>
      </c>
      <c r="K1674" s="21" t="n">
        <f aca="false">D1674/(D1674+E1674)</f>
        <v>0.5</v>
      </c>
      <c r="L1674" s="21" t="n">
        <f aca="false">AVERAGEIFS($K$2:$K$2705,$B$2:$B$2705,B1674)</f>
        <v>0.499971926557072</v>
      </c>
      <c r="M1674" s="21" t="n">
        <f aca="false">K1674-L1674</f>
        <v>2.8073442928489E-005</v>
      </c>
      <c r="N1674" s="21" t="n">
        <f aca="false">LN(J1674)</f>
        <v>14.3767805785576</v>
      </c>
      <c r="O1674" s="21" t="n">
        <f aca="false">AVERAGEIFS($N$2:$N$2705,$B$2:$B$2705,B1674)</f>
        <v>13.643879242499</v>
      </c>
      <c r="P1674" s="21" t="n">
        <f aca="false">N1674-O1674</f>
        <v>0.732901336058612</v>
      </c>
      <c r="Q1674" s="7" t="n">
        <v>1</v>
      </c>
      <c r="R1674" s="3" t="n">
        <f aca="false">IF(AND(Q1674=1,B1674-_xlfn.MINIFS($B$2:$B$2705,$A$2:$A$2705,A1674)&lt;10),1,0)</f>
        <v>0</v>
      </c>
      <c r="S1674" s="7" t="n">
        <v>0</v>
      </c>
      <c r="T1674" s="3" t="n">
        <f aca="false">_xlfn.MINIFS($B$2:$B$2705,$A$2:$A$2705,A1674)</f>
        <v>1961</v>
      </c>
      <c r="U1674" s="3" t="n">
        <f aca="false">B1674-T1674</f>
        <v>30</v>
      </c>
      <c r="V1674" s="3" t="str">
        <f aca="false">INDEX(Pop_Inputs!$Q$2:$Q$29,MATCH(C1674,Pop_Inputs!$A$2:$A$29,0))</f>
        <v>West</v>
      </c>
      <c r="W1674" s="29" t="n">
        <v>33060001</v>
      </c>
      <c r="X1674" s="3" t="n">
        <f aca="false">IF(W1674="","",LN(W1674))</f>
        <v>17.3138346806052</v>
      </c>
      <c r="Y1674" s="3" t="n">
        <f aca="false">IF(X1674="","",X1674-AVERAGEIFS($X$2:$X$2705,$B$2:$B$2705,B1674))</f>
        <v>0.381518851387344</v>
      </c>
      <c r="Z1674" s="21" t="n">
        <f aca="false">P1674</f>
        <v>0.732901336058612</v>
      </c>
      <c r="AA1674" s="3" t="n">
        <f aca="false">R1674</f>
        <v>0</v>
      </c>
      <c r="AB1674" s="21" t="n">
        <f aca="false">P1674</f>
        <v>0.732901336058612</v>
      </c>
      <c r="AC1674" s="3" t="n">
        <f aca="false">Y1674</f>
        <v>0.381518851387344</v>
      </c>
      <c r="AD1674" s="3" t="n">
        <f aca="false">R1674</f>
        <v>0</v>
      </c>
    </row>
    <row r="1675" customFormat="false" ht="15" hidden="false" customHeight="true" outlineLevel="0" collapsed="false">
      <c r="A1675" s="7" t="s">
        <v>54</v>
      </c>
      <c r="B1675" s="7" t="n">
        <v>1991</v>
      </c>
      <c r="C1675" s="7" t="s">
        <v>141</v>
      </c>
      <c r="D1675" s="7" t="n">
        <v>94</v>
      </c>
      <c r="E1675" s="7" t="n">
        <v>68</v>
      </c>
      <c r="F1675" s="3" t="n">
        <f aca="false">COUNTIFS($B$2:$B$2705,B1675,$C$2:$C$2705,C1675)</f>
        <v>1</v>
      </c>
      <c r="G1675" s="3" t="n">
        <f aca="false">MIN(INT((MIN(B1675,2020)-1900)/10)+1,12)</f>
        <v>10</v>
      </c>
      <c r="H1675" s="3" t="n">
        <f aca="false">(MIN(B1675,2020)-1900-10*(G1675-1))/10</f>
        <v>0.1</v>
      </c>
      <c r="I1675" s="20" t="n">
        <f aca="false">EXP(LN(INDEX(Pop_Inputs!$B$2:$N$29,MATCH(C1675,Pop_Inputs!$A$2:$A$29,0),G1675))*(1-H1675)+LN(INDEX(Pop_Inputs!$B$2:$N$29,MATCH(C1675,Pop_Inputs!$A$2:$A$29,0),G1675+1))*H1675)</f>
        <v>396207.099659409</v>
      </c>
      <c r="J1675" s="20" t="n">
        <f aca="false">I1675/F1675</f>
        <v>396207.099659409</v>
      </c>
      <c r="K1675" s="21" t="n">
        <f aca="false">D1675/(D1675+E1675)</f>
        <v>0.580246913580247</v>
      </c>
      <c r="L1675" s="21" t="n">
        <f aca="false">AVERAGEIFS($K$2:$K$2705,$B$2:$B$2705,B1675)</f>
        <v>0.499971926557072</v>
      </c>
      <c r="M1675" s="21" t="n">
        <f aca="false">K1675-L1675</f>
        <v>0.0802749870231754</v>
      </c>
      <c r="N1675" s="21" t="n">
        <f aca="false">LN(J1675)</f>
        <v>12.8896923324687</v>
      </c>
      <c r="O1675" s="21" t="n">
        <f aca="false">AVERAGEIFS($N$2:$N$2705,$B$2:$B$2705,B1675)</f>
        <v>13.643879242499</v>
      </c>
      <c r="P1675" s="21" t="n">
        <f aca="false">N1675-O1675</f>
        <v>-0.754186910030287</v>
      </c>
      <c r="Q1675" s="7" t="n">
        <v>0</v>
      </c>
      <c r="R1675" s="3" t="n">
        <f aca="false">IF(AND(Q1675=1,B1675-_xlfn.MINIFS($B$2:$B$2705,$A$2:$A$2705,A1675)&lt;10),1,0)</f>
        <v>0</v>
      </c>
      <c r="S1675" s="7" t="n">
        <v>0</v>
      </c>
      <c r="T1675" s="3" t="n">
        <f aca="false">_xlfn.MINIFS($B$2:$B$2705,$A$2:$A$2705,A1675)</f>
        <v>1901</v>
      </c>
      <c r="U1675" s="3" t="n">
        <f aca="false">B1675-T1675</f>
        <v>90</v>
      </c>
      <c r="V1675" s="3" t="str">
        <f aca="false">INDEX(Pop_Inputs!$Q$2:$Q$29,MATCH(C1675,Pop_Inputs!$A$2:$A$29,0))</f>
        <v>South</v>
      </c>
      <c r="W1675" s="29" t="n">
        <v>18403500</v>
      </c>
      <c r="X1675" s="3" t="n">
        <f aca="false">IF(W1675="","",LN(W1675))</f>
        <v>16.7280514218815</v>
      </c>
      <c r="Y1675" s="3" t="n">
        <f aca="false">IF(X1675="","",X1675-AVERAGEIFS($X$2:$X$2705,$B$2:$B$2705,B1675))</f>
        <v>-0.204264407336357</v>
      </c>
      <c r="Z1675" s="21" t="n">
        <f aca="false">P1675</f>
        <v>-0.754186910030287</v>
      </c>
      <c r="AA1675" s="3" t="n">
        <f aca="false">R1675</f>
        <v>0</v>
      </c>
      <c r="AB1675" s="21" t="n">
        <f aca="false">P1675</f>
        <v>-0.754186910030287</v>
      </c>
      <c r="AC1675" s="3" t="n">
        <f aca="false">Y1675</f>
        <v>-0.204264407336357</v>
      </c>
      <c r="AD1675" s="3" t="n">
        <f aca="false">R1675</f>
        <v>0</v>
      </c>
    </row>
    <row r="1676" customFormat="false" ht="15" hidden="false" customHeight="true" outlineLevel="0" collapsed="false">
      <c r="A1676" s="7" t="s">
        <v>63</v>
      </c>
      <c r="B1676" s="7" t="n">
        <v>1991</v>
      </c>
      <c r="C1676" s="7" t="s">
        <v>149</v>
      </c>
      <c r="D1676" s="7" t="n">
        <v>67</v>
      </c>
      <c r="E1676" s="7" t="n">
        <v>95</v>
      </c>
      <c r="F1676" s="3" t="n">
        <f aca="false">COUNTIFS($B$2:$B$2705,B1676,$C$2:$C$2705,C1676)</f>
        <v>1</v>
      </c>
      <c r="G1676" s="3" t="n">
        <f aca="false">MIN(INT((MIN(B1676,2020)-1900)/10)+1,12)</f>
        <v>10</v>
      </c>
      <c r="H1676" s="3" t="n">
        <f aca="false">(MIN(B1676,2020)-1900-10*(G1676-1))/10</f>
        <v>0.1</v>
      </c>
      <c r="I1676" s="20" t="n">
        <f aca="false">EXP(LN(INDEX(Pop_Inputs!$B$2:$N$29,MATCH(C1676,Pop_Inputs!$A$2:$A$29,0),G1676))*(1-H1676)+LN(INDEX(Pop_Inputs!$B$2:$N$29,MATCH(C1676,Pop_Inputs!$A$2:$A$29,0),G1676+1))*H1676)</f>
        <v>727052.612030811</v>
      </c>
      <c r="J1676" s="20" t="n">
        <f aca="false">I1676/F1676</f>
        <v>727052.612030811</v>
      </c>
      <c r="K1676" s="21" t="n">
        <f aca="false">D1676/(D1676+E1676)</f>
        <v>0.41358024691358</v>
      </c>
      <c r="L1676" s="21" t="n">
        <f aca="false">AVERAGEIFS($K$2:$K$2705,$B$2:$B$2705,B1676)</f>
        <v>0.499971926557072</v>
      </c>
      <c r="M1676" s="21" t="n">
        <f aca="false">K1676-L1676</f>
        <v>-0.0863916796434913</v>
      </c>
      <c r="N1676" s="21" t="n">
        <f aca="false">LN(J1676)</f>
        <v>13.4967541225778</v>
      </c>
      <c r="O1676" s="21" t="n">
        <f aca="false">AVERAGEIFS($N$2:$N$2705,$B$2:$B$2705,B1676)</f>
        <v>13.643879242499</v>
      </c>
      <c r="P1676" s="21" t="n">
        <f aca="false">N1676-O1676</f>
        <v>-0.14712511992119</v>
      </c>
      <c r="Q1676" s="7" t="n">
        <v>0</v>
      </c>
      <c r="R1676" s="3" t="n">
        <f aca="false">IF(AND(Q1676=1,B1676-_xlfn.MINIFS($B$2:$B$2705,$A$2:$A$2705,A1676)&lt;10),1,0)</f>
        <v>0</v>
      </c>
      <c r="S1676" s="7" t="n">
        <v>0</v>
      </c>
      <c r="T1676" s="3" t="n">
        <f aca="false">_xlfn.MINIFS($B$2:$B$2705,$A$2:$A$2705,A1676)</f>
        <v>1901</v>
      </c>
      <c r="U1676" s="3" t="n">
        <f aca="false">B1676-T1676</f>
        <v>90</v>
      </c>
      <c r="V1676" s="3" t="str">
        <f aca="false">INDEX(Pop_Inputs!$Q$2:$Q$29,MATCH(C1676,Pop_Inputs!$A$2:$A$29,0))</f>
        <v>South</v>
      </c>
      <c r="W1676" s="29" t="n">
        <v>17519000</v>
      </c>
      <c r="X1676" s="3" t="n">
        <f aca="false">IF(W1676="","",LN(W1676))</f>
        <v>16.678796564218</v>
      </c>
      <c r="Y1676" s="3" t="n">
        <f aca="false">IF(X1676="","",X1676-AVERAGEIFS($X$2:$X$2705,$B$2:$B$2705,B1676))</f>
        <v>-0.253519264999884</v>
      </c>
      <c r="Z1676" s="21" t="n">
        <f aca="false">P1676</f>
        <v>-0.14712511992119</v>
      </c>
      <c r="AA1676" s="3" t="n">
        <f aca="false">R1676</f>
        <v>0</v>
      </c>
      <c r="AB1676" s="21" t="n">
        <f aca="false">P1676</f>
        <v>-0.14712511992119</v>
      </c>
      <c r="AC1676" s="3" t="n">
        <f aca="false">Y1676</f>
        <v>-0.253519264999884</v>
      </c>
      <c r="AD1676" s="3" t="n">
        <f aca="false">R1676</f>
        <v>0</v>
      </c>
    </row>
    <row r="1677" customFormat="false" ht="15" hidden="false" customHeight="true" outlineLevel="0" collapsed="false">
      <c r="A1677" s="7" t="s">
        <v>64</v>
      </c>
      <c r="B1677" s="7" t="n">
        <v>1991</v>
      </c>
      <c r="C1677" s="7" t="s">
        <v>150</v>
      </c>
      <c r="D1677" s="7" t="n">
        <v>84</v>
      </c>
      <c r="E1677" s="7" t="n">
        <v>78</v>
      </c>
      <c r="F1677" s="3" t="n">
        <f aca="false">COUNTIFS($B$2:$B$2705,B1677,$C$2:$C$2705,C1677)</f>
        <v>1</v>
      </c>
      <c r="G1677" s="3" t="n">
        <f aca="false">MIN(INT((MIN(B1677,2020)-1900)/10)+1,12)</f>
        <v>10</v>
      </c>
      <c r="H1677" s="3" t="n">
        <f aca="false">(MIN(B1677,2020)-1900-10*(G1677-1))/10</f>
        <v>0.1</v>
      </c>
      <c r="I1677" s="20" t="n">
        <f aca="false">EXP(LN(INDEX(Pop_Inputs!$B$2:$N$29,MATCH(C1677,Pop_Inputs!$A$2:$A$29,0),G1677))*(1-H1677)+LN(INDEX(Pop_Inputs!$B$2:$N$29,MATCH(C1677,Pop_Inputs!$A$2:$A$29,0),G1677+1))*H1677)</f>
        <v>575751.779783899</v>
      </c>
      <c r="J1677" s="20" t="n">
        <f aca="false">I1677/F1677</f>
        <v>575751.779783899</v>
      </c>
      <c r="K1677" s="21" t="n">
        <f aca="false">D1677/(D1677+E1677)</f>
        <v>0.518518518518519</v>
      </c>
      <c r="L1677" s="21" t="n">
        <f aca="false">AVERAGEIFS($K$2:$K$2705,$B$2:$B$2705,B1677)</f>
        <v>0.499971926557072</v>
      </c>
      <c r="M1677" s="21" t="n">
        <f aca="false">K1677-L1677</f>
        <v>0.018546591961447</v>
      </c>
      <c r="N1677" s="21" t="n">
        <f aca="false">LN(J1677)</f>
        <v>13.2634319089224</v>
      </c>
      <c r="O1677" s="21" t="n">
        <f aca="false">AVERAGEIFS($N$2:$N$2705,$B$2:$B$2705,B1677)</f>
        <v>13.643879242499</v>
      </c>
      <c r="P1677" s="21" t="n">
        <f aca="false">N1677-O1677</f>
        <v>-0.380447333576539</v>
      </c>
      <c r="Q1677" s="7" t="n">
        <v>0</v>
      </c>
      <c r="R1677" s="3" t="n">
        <f aca="false">IF(AND(Q1677=1,B1677-_xlfn.MINIFS($B$2:$B$2705,$A$2:$A$2705,A1677)&lt;10),1,0)</f>
        <v>0</v>
      </c>
      <c r="S1677" s="7" t="n">
        <v>0</v>
      </c>
      <c r="T1677" s="3" t="n">
        <f aca="false">_xlfn.MINIFS($B$2:$B$2705,$A$2:$A$2705,A1677)</f>
        <v>1901</v>
      </c>
      <c r="U1677" s="3" t="n">
        <f aca="false">B1677-T1677</f>
        <v>90</v>
      </c>
      <c r="V1677" s="3" t="str">
        <f aca="false">INDEX(Pop_Inputs!$Q$2:$Q$29,MATCH(C1677,Pop_Inputs!$A$2:$A$29,0))</f>
        <v>Northeast</v>
      </c>
      <c r="W1677" s="29" t="n">
        <v>35167500</v>
      </c>
      <c r="X1677" s="3" t="n">
        <f aca="false">IF(W1677="","",LN(W1677))</f>
        <v>17.375632918614</v>
      </c>
      <c r="Y1677" s="3" t="n">
        <f aca="false">IF(X1677="","",X1677-AVERAGEIFS($X$2:$X$2705,$B$2:$B$2705,B1677))</f>
        <v>0.443317089396146</v>
      </c>
      <c r="Z1677" s="21" t="n">
        <f aca="false">P1677</f>
        <v>-0.380447333576539</v>
      </c>
      <c r="AA1677" s="3" t="n">
        <f aca="false">R1677</f>
        <v>0</v>
      </c>
      <c r="AB1677" s="21" t="n">
        <f aca="false">P1677</f>
        <v>-0.380447333576539</v>
      </c>
      <c r="AC1677" s="3" t="n">
        <f aca="false">Y1677</f>
        <v>0.443317089396146</v>
      </c>
      <c r="AD1677" s="3" t="n">
        <f aca="false">R1677</f>
        <v>0</v>
      </c>
    </row>
    <row r="1678" customFormat="false" ht="15" hidden="false" customHeight="true" outlineLevel="0" collapsed="false">
      <c r="A1678" s="7" t="s">
        <v>56</v>
      </c>
      <c r="B1678" s="7" t="n">
        <v>1991</v>
      </c>
      <c r="C1678" s="7" t="s">
        <v>142</v>
      </c>
      <c r="D1678" s="7" t="n">
        <v>77</v>
      </c>
      <c r="E1678" s="7" t="n">
        <v>83</v>
      </c>
      <c r="F1678" s="3" t="n">
        <f aca="false">COUNTIFS($B$2:$B$2705,B1678,$C$2:$C$2705,C1678)</f>
        <v>2</v>
      </c>
      <c r="G1678" s="3" t="n">
        <f aca="false">MIN(INT((MIN(B1678,2020)-1900)/10)+1,12)</f>
        <v>10</v>
      </c>
      <c r="H1678" s="3" t="n">
        <f aca="false">(MIN(B1678,2020)-1900-10*(G1678-1))/10</f>
        <v>0.1</v>
      </c>
      <c r="I1678" s="20" t="n">
        <f aca="false">EXP(LN(INDEX(Pop_Inputs!$B$2:$N$29,MATCH(C1678,Pop_Inputs!$A$2:$A$29,0),G1678))*(1-H1678)+LN(INDEX(Pop_Inputs!$B$2:$N$29,MATCH(C1678,Pop_Inputs!$A$2:$A$29,0),G1678+1))*H1678)</f>
        <v>2794756.22963966</v>
      </c>
      <c r="J1678" s="20" t="n">
        <f aca="false">I1678/F1678</f>
        <v>1397378.11481983</v>
      </c>
      <c r="K1678" s="21" t="n">
        <f aca="false">D1678/(D1678+E1678)</f>
        <v>0.48125</v>
      </c>
      <c r="L1678" s="21" t="n">
        <f aca="false">AVERAGEIFS($K$2:$K$2705,$B$2:$B$2705,B1678)</f>
        <v>0.499971926557072</v>
      </c>
      <c r="M1678" s="21" t="n">
        <f aca="false">K1678-L1678</f>
        <v>-0.0187219265570715</v>
      </c>
      <c r="N1678" s="21" t="n">
        <f aca="false">LN(J1678)</f>
        <v>14.1501082636209</v>
      </c>
      <c r="O1678" s="21" t="n">
        <f aca="false">AVERAGEIFS($N$2:$N$2705,$B$2:$B$2705,B1678)</f>
        <v>13.643879242499</v>
      </c>
      <c r="P1678" s="21" t="n">
        <f aca="false">N1678-O1678</f>
        <v>0.506229021121937</v>
      </c>
      <c r="Q1678" s="7" t="n">
        <v>0</v>
      </c>
      <c r="R1678" s="3" t="n">
        <f aca="false">IF(AND(Q1678=1,B1678-_xlfn.MINIFS($B$2:$B$2705,$A$2:$A$2705,A1678)&lt;10),1,0)</f>
        <v>0</v>
      </c>
      <c r="S1678" s="7" t="n">
        <v>0</v>
      </c>
      <c r="T1678" s="3" t="n">
        <f aca="false">_xlfn.MINIFS($B$2:$B$2705,$A$2:$A$2705,A1678)</f>
        <v>1901</v>
      </c>
      <c r="U1678" s="3" t="n">
        <f aca="false">B1678-T1678</f>
        <v>90</v>
      </c>
      <c r="V1678" s="3" t="str">
        <f aca="false">INDEX(Pop_Inputs!$Q$2:$Q$29,MATCH(C1678,Pop_Inputs!$A$2:$A$29,0))</f>
        <v>Midwest</v>
      </c>
      <c r="W1678" s="29" t="n">
        <v>23175667</v>
      </c>
      <c r="X1678" s="3" t="n">
        <f aca="false">IF(W1678="","",LN(W1678))</f>
        <v>16.9586134500161</v>
      </c>
      <c r="Y1678" s="3" t="n">
        <f aca="false">IF(X1678="","",X1678-AVERAGEIFS($X$2:$X$2705,$B$2:$B$2705,B1678))</f>
        <v>0.0262976207982106</v>
      </c>
      <c r="Z1678" s="21" t="n">
        <f aca="false">P1678</f>
        <v>0.506229021121937</v>
      </c>
      <c r="AA1678" s="3" t="n">
        <f aca="false">R1678</f>
        <v>0</v>
      </c>
      <c r="AB1678" s="21" t="n">
        <f aca="false">P1678</f>
        <v>0.506229021121937</v>
      </c>
      <c r="AC1678" s="3" t="n">
        <f aca="false">Y1678</f>
        <v>0.0262976207982106</v>
      </c>
      <c r="AD1678" s="3" t="n">
        <f aca="false">R1678</f>
        <v>0</v>
      </c>
    </row>
    <row r="1679" customFormat="false" ht="15" hidden="false" customHeight="true" outlineLevel="0" collapsed="false">
      <c r="A1679" s="7" t="s">
        <v>65</v>
      </c>
      <c r="B1679" s="7" t="n">
        <v>1991</v>
      </c>
      <c r="C1679" s="7" t="s">
        <v>142</v>
      </c>
      <c r="D1679" s="7" t="n">
        <v>87</v>
      </c>
      <c r="E1679" s="7" t="n">
        <v>75</v>
      </c>
      <c r="F1679" s="3" t="n">
        <f aca="false">COUNTIFS($B$2:$B$2705,B1679,$C$2:$C$2705,C1679)</f>
        <v>2</v>
      </c>
      <c r="G1679" s="3" t="n">
        <f aca="false">MIN(INT((MIN(B1679,2020)-1900)/10)+1,12)</f>
        <v>10</v>
      </c>
      <c r="H1679" s="3" t="n">
        <f aca="false">(MIN(B1679,2020)-1900-10*(G1679-1))/10</f>
        <v>0.1</v>
      </c>
      <c r="I1679" s="20" t="n">
        <f aca="false">EXP(LN(INDEX(Pop_Inputs!$B$2:$N$29,MATCH(C1679,Pop_Inputs!$A$2:$A$29,0),G1679))*(1-H1679)+LN(INDEX(Pop_Inputs!$B$2:$N$29,MATCH(C1679,Pop_Inputs!$A$2:$A$29,0),G1679+1))*H1679)</f>
        <v>2794756.22963966</v>
      </c>
      <c r="J1679" s="20" t="n">
        <f aca="false">I1679/F1679</f>
        <v>1397378.11481983</v>
      </c>
      <c r="K1679" s="21" t="n">
        <f aca="false">D1679/(D1679+E1679)</f>
        <v>0.537037037037037</v>
      </c>
      <c r="L1679" s="21" t="n">
        <f aca="false">AVERAGEIFS($K$2:$K$2705,$B$2:$B$2705,B1679)</f>
        <v>0.499971926557072</v>
      </c>
      <c r="M1679" s="21" t="n">
        <f aca="false">K1679-L1679</f>
        <v>0.0370651104799656</v>
      </c>
      <c r="N1679" s="21" t="n">
        <f aca="false">LN(J1679)</f>
        <v>14.1501082636209</v>
      </c>
      <c r="O1679" s="21" t="n">
        <f aca="false">AVERAGEIFS($N$2:$N$2705,$B$2:$B$2705,B1679)</f>
        <v>13.643879242499</v>
      </c>
      <c r="P1679" s="21" t="n">
        <f aca="false">N1679-O1679</f>
        <v>0.506229021121937</v>
      </c>
      <c r="Q1679" s="7" t="n">
        <v>0</v>
      </c>
      <c r="R1679" s="3" t="n">
        <f aca="false">IF(AND(Q1679=1,B1679-_xlfn.MINIFS($B$2:$B$2705,$A$2:$A$2705,A1679)&lt;10),1,0)</f>
        <v>0</v>
      </c>
      <c r="S1679" s="7" t="n">
        <v>0</v>
      </c>
      <c r="T1679" s="3" t="n">
        <f aca="false">_xlfn.MINIFS($B$2:$B$2705,$A$2:$A$2705,A1679)</f>
        <v>1901</v>
      </c>
      <c r="U1679" s="3" t="n">
        <f aca="false">B1679-T1679</f>
        <v>90</v>
      </c>
      <c r="V1679" s="3" t="str">
        <f aca="false">INDEX(Pop_Inputs!$Q$2:$Q$29,MATCH(C1679,Pop_Inputs!$A$2:$A$29,0))</f>
        <v>Midwest</v>
      </c>
      <c r="W1679" s="29" t="n">
        <v>16919667</v>
      </c>
      <c r="X1679" s="3" t="n">
        <f aca="false">IF(W1679="","",LN(W1679))</f>
        <v>16.6439872310976</v>
      </c>
      <c r="Y1679" s="3" t="n">
        <f aca="false">IF(X1679="","",X1679-AVERAGEIFS($X$2:$X$2705,$B$2:$B$2705,B1679))</f>
        <v>-0.288328598120224</v>
      </c>
      <c r="Z1679" s="21" t="n">
        <f aca="false">P1679</f>
        <v>0.506229021121937</v>
      </c>
      <c r="AA1679" s="3" t="n">
        <f aca="false">R1679</f>
        <v>0</v>
      </c>
      <c r="AB1679" s="21" t="n">
        <f aca="false">P1679</f>
        <v>0.506229021121937</v>
      </c>
      <c r="AC1679" s="3" t="n">
        <f aca="false">Y1679</f>
        <v>-0.288328598120224</v>
      </c>
      <c r="AD1679" s="3" t="n">
        <f aca="false">R1679</f>
        <v>0</v>
      </c>
    </row>
    <row r="1680" customFormat="false" ht="15" hidden="false" customHeight="true" outlineLevel="0" collapsed="false">
      <c r="A1680" s="7" t="s">
        <v>57</v>
      </c>
      <c r="B1680" s="7" t="n">
        <v>1991</v>
      </c>
      <c r="C1680" s="7" t="s">
        <v>143</v>
      </c>
      <c r="D1680" s="7" t="n">
        <v>74</v>
      </c>
      <c r="E1680" s="7" t="n">
        <v>88</v>
      </c>
      <c r="F1680" s="3" t="n">
        <f aca="false">COUNTIFS($B$2:$B$2705,B1680,$C$2:$C$2705,C1680)</f>
        <v>1</v>
      </c>
      <c r="G1680" s="3" t="n">
        <f aca="false">MIN(INT((MIN(B1680,2020)-1900)/10)+1,12)</f>
        <v>10</v>
      </c>
      <c r="H1680" s="3" t="n">
        <f aca="false">(MIN(B1680,2020)-1900-10*(G1680-1))/10</f>
        <v>0.1</v>
      </c>
      <c r="I1680" s="20" t="n">
        <f aca="false">EXP(LN(INDEX(Pop_Inputs!$B$2:$N$29,MATCH(C1680,Pop_Inputs!$A$2:$A$29,0),G1680))*(1-H1680)+LN(INDEX(Pop_Inputs!$B$2:$N$29,MATCH(C1680,Pop_Inputs!$A$2:$A$29,0),G1680+1))*H1680)</f>
        <v>360623.789198362</v>
      </c>
      <c r="J1680" s="20" t="n">
        <f aca="false">I1680/F1680</f>
        <v>360623.789198362</v>
      </c>
      <c r="K1680" s="21" t="n">
        <f aca="false">D1680/(D1680+E1680)</f>
        <v>0.45679012345679</v>
      </c>
      <c r="L1680" s="21" t="n">
        <f aca="false">AVERAGEIFS($K$2:$K$2705,$B$2:$B$2705,B1680)</f>
        <v>0.499971926557072</v>
      </c>
      <c r="M1680" s="21" t="n">
        <f aca="false">K1680-L1680</f>
        <v>-0.0431818031002814</v>
      </c>
      <c r="N1680" s="21" t="n">
        <f aca="false">LN(J1680)</f>
        <v>12.79559055873</v>
      </c>
      <c r="O1680" s="21" t="n">
        <f aca="false">AVERAGEIFS($N$2:$N$2705,$B$2:$B$2705,B1680)</f>
        <v>13.643879242499</v>
      </c>
      <c r="P1680" s="21" t="n">
        <f aca="false">N1680-O1680</f>
        <v>-0.848288683768992</v>
      </c>
      <c r="Q1680" s="7" t="n">
        <v>0</v>
      </c>
      <c r="R1680" s="3" t="n">
        <f aca="false">IF(AND(Q1680=1,B1680-_xlfn.MINIFS($B$2:$B$2705,$A$2:$A$2705,A1680)&lt;10),1,0)</f>
        <v>0</v>
      </c>
      <c r="S1680" s="7" t="n">
        <v>0</v>
      </c>
      <c r="T1680" s="3" t="n">
        <f aca="false">_xlfn.MINIFS($B$2:$B$2705,$A$2:$A$2705,A1680)</f>
        <v>1901</v>
      </c>
      <c r="U1680" s="3" t="n">
        <f aca="false">B1680-T1680</f>
        <v>90</v>
      </c>
      <c r="V1680" s="3" t="str">
        <f aca="false">INDEX(Pop_Inputs!$Q$2:$Q$29,MATCH(C1680,Pop_Inputs!$A$2:$A$29,0))</f>
        <v>Midwest</v>
      </c>
      <c r="W1680" s="29" t="n">
        <v>26305333</v>
      </c>
      <c r="X1680" s="3" t="n">
        <f aca="false">IF(W1680="","",LN(W1680))</f>
        <v>17.0852822522572</v>
      </c>
      <c r="Y1680" s="3" t="n">
        <f aca="false">IF(X1680="","",X1680-AVERAGEIFS($X$2:$X$2705,$B$2:$B$2705,B1680))</f>
        <v>0.152966423039345</v>
      </c>
      <c r="Z1680" s="21" t="n">
        <f aca="false">P1680</f>
        <v>-0.848288683768992</v>
      </c>
      <c r="AA1680" s="3" t="n">
        <f aca="false">R1680</f>
        <v>0</v>
      </c>
      <c r="AB1680" s="21" t="n">
        <f aca="false">P1680</f>
        <v>-0.848288683768992</v>
      </c>
      <c r="AC1680" s="3" t="n">
        <f aca="false">Y1680</f>
        <v>0.152966423039345</v>
      </c>
      <c r="AD1680" s="3" t="n">
        <f aca="false">R1680</f>
        <v>0</v>
      </c>
    </row>
    <row r="1681" customFormat="false" ht="15" hidden="false" customHeight="true" outlineLevel="0" collapsed="false">
      <c r="A1681" s="7" t="s">
        <v>66</v>
      </c>
      <c r="B1681" s="7" t="n">
        <v>1991</v>
      </c>
      <c r="C1681" s="7" t="s">
        <v>151</v>
      </c>
      <c r="D1681" s="7" t="n">
        <v>57</v>
      </c>
      <c r="E1681" s="7" t="n">
        <v>105</v>
      </c>
      <c r="F1681" s="3" t="n">
        <f aca="false">COUNTIFS($B$2:$B$2705,B1681,$C$2:$C$2705,C1681)</f>
        <v>1</v>
      </c>
      <c r="G1681" s="3" t="n">
        <f aca="false">MIN(INT((MIN(B1681,2020)-1900)/10)+1,12)</f>
        <v>10</v>
      </c>
      <c r="H1681" s="3" t="n">
        <f aca="false">(MIN(B1681,2020)-1900-10*(G1681-1))/10</f>
        <v>0.1</v>
      </c>
      <c r="I1681" s="20" t="n">
        <f aca="false">EXP(LN(INDEX(Pop_Inputs!$B$2:$N$29,MATCH(C1681,Pop_Inputs!$A$2:$A$29,0),G1681))*(1-H1681)+LN(INDEX(Pop_Inputs!$B$2:$N$29,MATCH(C1681,Pop_Inputs!$A$2:$A$29,0),G1681+1))*H1681)</f>
        <v>502826.452876769</v>
      </c>
      <c r="J1681" s="20" t="n">
        <f aca="false">I1681/F1681</f>
        <v>502826.452876769</v>
      </c>
      <c r="K1681" s="21" t="n">
        <f aca="false">D1681/(D1681+E1681)</f>
        <v>0.351851851851852</v>
      </c>
      <c r="L1681" s="21" t="n">
        <f aca="false">AVERAGEIFS($K$2:$K$2705,$B$2:$B$2705,B1681)</f>
        <v>0.499971926557072</v>
      </c>
      <c r="M1681" s="21" t="n">
        <f aca="false">K1681-L1681</f>
        <v>-0.14812007470522</v>
      </c>
      <c r="N1681" s="21" t="n">
        <f aca="false">LN(J1681)</f>
        <v>13.1280003654455</v>
      </c>
      <c r="O1681" s="21" t="n">
        <f aca="false">AVERAGEIFS($N$2:$N$2705,$B$2:$B$2705,B1681)</f>
        <v>13.643879242499</v>
      </c>
      <c r="P1681" s="21" t="n">
        <f aca="false">N1681-O1681</f>
        <v>-0.515878877053465</v>
      </c>
      <c r="Q1681" s="7" t="n">
        <v>0</v>
      </c>
      <c r="R1681" s="3" t="n">
        <f aca="false">IF(AND(Q1681=1,B1681-_xlfn.MINIFS($B$2:$B$2705,$A$2:$A$2705,A1681)&lt;10),1,0)</f>
        <v>0</v>
      </c>
      <c r="S1681" s="7" t="n">
        <v>0</v>
      </c>
      <c r="T1681" s="3" t="n">
        <f aca="false">_xlfn.MINIFS($B$2:$B$2705,$A$2:$A$2705,A1681)</f>
        <v>1901</v>
      </c>
      <c r="U1681" s="3" t="n">
        <f aca="false">B1681-T1681</f>
        <v>90</v>
      </c>
      <c r="V1681" s="3" t="str">
        <f aca="false">INDEX(Pop_Inputs!$Q$2:$Q$29,MATCH(C1681,Pop_Inputs!$A$2:$A$29,0))</f>
        <v>Midwest</v>
      </c>
      <c r="W1681" s="29" t="n">
        <v>17635000</v>
      </c>
      <c r="X1681" s="3" t="n">
        <f aca="false">IF(W1681="","",LN(W1681))</f>
        <v>16.6853961216523</v>
      </c>
      <c r="Y1681" s="3" t="n">
        <f aca="false">IF(X1681="","",X1681-AVERAGEIFS($X$2:$X$2705,$B$2:$B$2705,B1681))</f>
        <v>-0.246919707565553</v>
      </c>
      <c r="Z1681" s="21" t="n">
        <f aca="false">P1681</f>
        <v>-0.515878877053465</v>
      </c>
      <c r="AA1681" s="3" t="n">
        <f aca="false">R1681</f>
        <v>0</v>
      </c>
      <c r="AB1681" s="21" t="n">
        <f aca="false">P1681</f>
        <v>-0.515878877053465</v>
      </c>
      <c r="AC1681" s="3" t="n">
        <f aca="false">Y1681</f>
        <v>-0.246919707565553</v>
      </c>
      <c r="AD1681" s="3" t="n">
        <f aca="false">R1681</f>
        <v>0</v>
      </c>
    </row>
    <row r="1682" customFormat="false" ht="15" hidden="false" customHeight="true" outlineLevel="0" collapsed="false">
      <c r="A1682" s="7" t="s">
        <v>67</v>
      </c>
      <c r="B1682" s="7" t="n">
        <v>1991</v>
      </c>
      <c r="C1682" s="7" t="s">
        <v>152</v>
      </c>
      <c r="D1682" s="7" t="n">
        <v>84</v>
      </c>
      <c r="E1682" s="7" t="n">
        <v>78</v>
      </c>
      <c r="F1682" s="3" t="n">
        <f aca="false">COUNTIFS($B$2:$B$2705,B1682,$C$2:$C$2705,C1682)</f>
        <v>1</v>
      </c>
      <c r="G1682" s="3" t="n">
        <f aca="false">MIN(INT((MIN(B1682,2020)-1900)/10)+1,12)</f>
        <v>10</v>
      </c>
      <c r="H1682" s="3" t="n">
        <f aca="false">(MIN(B1682,2020)-1900-10*(G1682-1))/10</f>
        <v>0.1</v>
      </c>
      <c r="I1682" s="20" t="n">
        <f aca="false">EXP(LN(INDEX(Pop_Inputs!$B$2:$N$29,MATCH(C1682,Pop_Inputs!$A$2:$A$29,0),G1682))*(1-H1682)+LN(INDEX(Pop_Inputs!$B$2:$N$29,MATCH(C1682,Pop_Inputs!$A$2:$A$29,0),G1682+1))*H1682)</f>
        <v>1020033.17664513</v>
      </c>
      <c r="J1682" s="20" t="n">
        <f aca="false">I1682/F1682</f>
        <v>1020033.17664513</v>
      </c>
      <c r="K1682" s="21" t="n">
        <f aca="false">D1682/(D1682+E1682)</f>
        <v>0.518518518518519</v>
      </c>
      <c r="L1682" s="21" t="n">
        <f aca="false">AVERAGEIFS($K$2:$K$2705,$B$2:$B$2705,B1682)</f>
        <v>0.499971926557072</v>
      </c>
      <c r="M1682" s="21" t="n">
        <f aca="false">K1682-L1682</f>
        <v>0.018546591961447</v>
      </c>
      <c r="N1682" s="21" t="n">
        <f aca="false">LN(J1682)</f>
        <v>13.8353457108542</v>
      </c>
      <c r="O1682" s="21" t="n">
        <f aca="false">AVERAGEIFS($N$2:$N$2705,$B$2:$B$2705,B1682)</f>
        <v>13.643879242499</v>
      </c>
      <c r="P1682" s="21" t="n">
        <f aca="false">N1682-O1682</f>
        <v>0.191466468355184</v>
      </c>
      <c r="Q1682" s="7" t="n">
        <v>0</v>
      </c>
      <c r="R1682" s="3" t="n">
        <f aca="false">IF(AND(Q1682=1,B1682-_xlfn.MINIFS($B$2:$B$2705,$A$2:$A$2705,A1682)&lt;10),1,0)</f>
        <v>0</v>
      </c>
      <c r="S1682" s="7" t="n">
        <v>0</v>
      </c>
      <c r="T1682" s="3" t="n">
        <f aca="false">_xlfn.MINIFS($B$2:$B$2705,$A$2:$A$2705,A1682)</f>
        <v>1901</v>
      </c>
      <c r="U1682" s="3" t="n">
        <f aca="false">B1682-T1682</f>
        <v>90</v>
      </c>
      <c r="V1682" s="3" t="str">
        <f aca="false">INDEX(Pop_Inputs!$Q$2:$Q$29,MATCH(C1682,Pop_Inputs!$A$2:$A$29,0))</f>
        <v>Midwest</v>
      </c>
      <c r="W1682" s="29" t="n">
        <v>23838333</v>
      </c>
      <c r="X1682" s="3" t="n">
        <f aca="false">IF(W1682="","",LN(W1682))</f>
        <v>16.98680547322</v>
      </c>
      <c r="Y1682" s="3" t="n">
        <f aca="false">IF(X1682="","",X1682-AVERAGEIFS($X$2:$X$2705,$B$2:$B$2705,B1682))</f>
        <v>0.054489644002107</v>
      </c>
      <c r="Z1682" s="21" t="n">
        <f aca="false">P1682</f>
        <v>0.191466468355184</v>
      </c>
      <c r="AA1682" s="3" t="n">
        <f aca="false">R1682</f>
        <v>0</v>
      </c>
      <c r="AB1682" s="21" t="n">
        <f aca="false">P1682</f>
        <v>0.191466468355184</v>
      </c>
      <c r="AC1682" s="3" t="n">
        <f aca="false">Y1682</f>
        <v>0.054489644002107</v>
      </c>
      <c r="AD1682" s="3" t="n">
        <f aca="false">R1682</f>
        <v>0</v>
      </c>
    </row>
    <row r="1683" customFormat="false" ht="15" hidden="false" customHeight="true" outlineLevel="0" collapsed="false">
      <c r="A1683" s="7" t="s">
        <v>74</v>
      </c>
      <c r="B1683" s="7" t="n">
        <v>1991</v>
      </c>
      <c r="C1683" s="7" t="s">
        <v>156</v>
      </c>
      <c r="D1683" s="7" t="n">
        <v>65</v>
      </c>
      <c r="E1683" s="7" t="n">
        <v>97</v>
      </c>
      <c r="F1683" s="3" t="n">
        <f aca="false">COUNTIFS($B$2:$B$2705,B1683,$C$2:$C$2705,C1683)</f>
        <v>1</v>
      </c>
      <c r="G1683" s="3" t="n">
        <f aca="false">MIN(INT((MIN(B1683,2020)-1900)/10)+1,12)</f>
        <v>10</v>
      </c>
      <c r="H1683" s="3" t="n">
        <f aca="false">(MIN(B1683,2020)-1900-10*(G1683-1))/10</f>
        <v>0.1</v>
      </c>
      <c r="I1683" s="20" t="n">
        <f aca="false">EXP(LN(INDEX(Pop_Inputs!$B$2:$N$29,MATCH(C1683,Pop_Inputs!$A$2:$A$29,0),G1683))*(1-H1683)+LN(INDEX(Pop_Inputs!$B$2:$N$29,MATCH(C1683,Pop_Inputs!$A$2:$A$29,0),G1683+1))*H1683)</f>
        <v>1660296.61180299</v>
      </c>
      <c r="J1683" s="20" t="n">
        <f aca="false">I1683/F1683</f>
        <v>1660296.61180299</v>
      </c>
      <c r="K1683" s="21" t="n">
        <f aca="false">D1683/(D1683+E1683)</f>
        <v>0.401234567901235</v>
      </c>
      <c r="L1683" s="21" t="n">
        <f aca="false">AVERAGEIFS($K$2:$K$2705,$B$2:$B$2705,B1683)</f>
        <v>0.499971926557072</v>
      </c>
      <c r="M1683" s="21" t="n">
        <f aca="false">K1683-L1683</f>
        <v>-0.0987373586558369</v>
      </c>
      <c r="N1683" s="21" t="n">
        <f aca="false">LN(J1683)</f>
        <v>14.3225068261801</v>
      </c>
      <c r="O1683" s="21" t="n">
        <f aca="false">AVERAGEIFS($N$2:$N$2705,$B$2:$B$2705,B1683)</f>
        <v>13.643879242499</v>
      </c>
      <c r="P1683" s="21" t="n">
        <f aca="false">N1683-O1683</f>
        <v>0.678627583681083</v>
      </c>
      <c r="Q1683" s="7" t="n">
        <v>1</v>
      </c>
      <c r="R1683" s="3" t="n">
        <f aca="false">IF(AND(Q1683=1,B1683-_xlfn.MINIFS($B$2:$B$2705,$A$2:$A$2705,A1683)&lt;10),1,0)</f>
        <v>0</v>
      </c>
      <c r="S1683" s="7" t="n">
        <v>0</v>
      </c>
      <c r="T1683" s="3" t="n">
        <f aca="false">_xlfn.MINIFS($B$2:$B$2705,$A$2:$A$2705,A1683)</f>
        <v>1962</v>
      </c>
      <c r="U1683" s="3" t="n">
        <f aca="false">B1683-T1683</f>
        <v>29</v>
      </c>
      <c r="V1683" s="3" t="str">
        <f aca="false">INDEX(Pop_Inputs!$Q$2:$Q$29,MATCH(C1683,Pop_Inputs!$A$2:$A$29,0))</f>
        <v>South</v>
      </c>
      <c r="W1683" s="29" t="n">
        <v>12852500</v>
      </c>
      <c r="X1683" s="3" t="n">
        <f aca="false">IF(W1683="","",LN(W1683))</f>
        <v>16.3690489029118</v>
      </c>
      <c r="Y1683" s="3" t="n">
        <f aca="false">IF(X1683="","",X1683-AVERAGEIFS($X$2:$X$2705,$B$2:$B$2705,B1683))</f>
        <v>-0.563266926306046</v>
      </c>
      <c r="Z1683" s="21" t="n">
        <f aca="false">P1683</f>
        <v>0.678627583681083</v>
      </c>
      <c r="AA1683" s="3" t="n">
        <f aca="false">R1683</f>
        <v>0</v>
      </c>
      <c r="AB1683" s="21" t="n">
        <f aca="false">P1683</f>
        <v>0.678627583681083</v>
      </c>
      <c r="AC1683" s="3" t="n">
        <f aca="false">Y1683</f>
        <v>-0.563266926306046</v>
      </c>
      <c r="AD1683" s="3" t="n">
        <f aca="false">R1683</f>
        <v>0</v>
      </c>
    </row>
    <row r="1684" customFormat="false" ht="15" hidden="false" customHeight="true" outlineLevel="0" collapsed="false">
      <c r="A1684" s="7" t="s">
        <v>76</v>
      </c>
      <c r="B1684" s="7" t="n">
        <v>1991</v>
      </c>
      <c r="C1684" s="7" t="s">
        <v>157</v>
      </c>
      <c r="D1684" s="7" t="n">
        <v>82</v>
      </c>
      <c r="E1684" s="7" t="n">
        <v>80</v>
      </c>
      <c r="F1684" s="3" t="n">
        <f aca="false">COUNTIFS($B$2:$B$2705,B1684,$C$2:$C$2705,C1684)</f>
        <v>1</v>
      </c>
      <c r="G1684" s="3" t="n">
        <f aca="false">MIN(INT((MIN(B1684,2020)-1900)/10)+1,12)</f>
        <v>10</v>
      </c>
      <c r="H1684" s="3" t="n">
        <f aca="false">(MIN(B1684,2020)-1900-10*(G1684-1))/10</f>
        <v>0.1</v>
      </c>
      <c r="I1684" s="20" t="n">
        <f aca="false">EXP(LN(INDEX(Pop_Inputs!$B$2:$N$29,MATCH(C1684,Pop_Inputs!$A$2:$A$29,0),G1684))*(1-H1684)+LN(INDEX(Pop_Inputs!$B$2:$N$29,MATCH(C1684,Pop_Inputs!$A$2:$A$29,0),G1684+1))*H1684)</f>
        <v>435781.704525858</v>
      </c>
      <c r="J1684" s="20" t="n">
        <f aca="false">I1684/F1684</f>
        <v>435781.704525858</v>
      </c>
      <c r="K1684" s="21" t="n">
        <f aca="false">D1684/(D1684+E1684)</f>
        <v>0.506172839506173</v>
      </c>
      <c r="L1684" s="21" t="n">
        <f aca="false">AVERAGEIFS($K$2:$K$2705,$B$2:$B$2705,B1684)</f>
        <v>0.499971926557072</v>
      </c>
      <c r="M1684" s="21" t="n">
        <f aca="false">K1684-L1684</f>
        <v>0.00620091294910136</v>
      </c>
      <c r="N1684" s="21" t="n">
        <f aca="false">LN(J1684)</f>
        <v>12.9848967192573</v>
      </c>
      <c r="O1684" s="21" t="n">
        <f aca="false">AVERAGEIFS($N$2:$N$2705,$B$2:$B$2705,B1684)</f>
        <v>13.643879242499</v>
      </c>
      <c r="P1684" s="21" t="n">
        <f aca="false">N1684-O1684</f>
        <v>-0.658982523241724</v>
      </c>
      <c r="Q1684" s="7" t="n">
        <v>1</v>
      </c>
      <c r="R1684" s="3" t="n">
        <f aca="false">IF(AND(Q1684=1,B1684-_xlfn.MINIFS($B$2:$B$2705,$A$2:$A$2705,A1684)&lt;10),1,0)</f>
        <v>0</v>
      </c>
      <c r="S1684" s="7" t="n">
        <v>0</v>
      </c>
      <c r="T1684" s="3" t="n">
        <f aca="false">_xlfn.MINIFS($B$2:$B$2705,$A$2:$A$2705,A1684)</f>
        <v>1969</v>
      </c>
      <c r="U1684" s="3" t="n">
        <f aca="false">B1684-T1684</f>
        <v>22</v>
      </c>
      <c r="V1684" s="3" t="str">
        <f aca="false">INDEX(Pop_Inputs!$Q$2:$Q$29,MATCH(C1684,Pop_Inputs!$A$2:$A$29,0))</f>
        <v>Midwest</v>
      </c>
      <c r="W1684" s="29" t="n">
        <v>26319834</v>
      </c>
      <c r="X1684" s="3" t="n">
        <f aca="false">IF(W1684="","",LN(W1684))</f>
        <v>17.0858333574106</v>
      </c>
      <c r="Y1684" s="3" t="n">
        <f aca="false">IF(X1684="","",X1684-AVERAGEIFS($X$2:$X$2705,$B$2:$B$2705,B1684))</f>
        <v>0.153517528192779</v>
      </c>
      <c r="Z1684" s="21" t="n">
        <f aca="false">P1684</f>
        <v>-0.658982523241724</v>
      </c>
      <c r="AA1684" s="3" t="n">
        <f aca="false">R1684</f>
        <v>0</v>
      </c>
      <c r="AB1684" s="21" t="n">
        <f aca="false">P1684</f>
        <v>-0.658982523241724</v>
      </c>
      <c r="AC1684" s="3" t="n">
        <f aca="false">Y1684</f>
        <v>0.153517528192779</v>
      </c>
      <c r="AD1684" s="3" t="n">
        <f aca="false">R1684</f>
        <v>0</v>
      </c>
    </row>
    <row r="1685" customFormat="false" ht="15" hidden="false" customHeight="true" outlineLevel="0" collapsed="false">
      <c r="A1685" s="7" t="s">
        <v>62</v>
      </c>
      <c r="B1685" s="7" t="n">
        <v>1991</v>
      </c>
      <c r="C1685" s="7" t="s">
        <v>148</v>
      </c>
      <c r="D1685" s="7" t="n">
        <v>93</v>
      </c>
      <c r="E1685" s="7" t="n">
        <v>69</v>
      </c>
      <c r="F1685" s="3" t="n">
        <f aca="false">COUNTIFS($B$2:$B$2705,B1685,$C$2:$C$2705,C1685)</f>
        <v>2</v>
      </c>
      <c r="G1685" s="3" t="n">
        <f aca="false">MIN(INT((MIN(B1685,2020)-1900)/10)+1,12)</f>
        <v>10</v>
      </c>
      <c r="H1685" s="3" t="n">
        <f aca="false">(MIN(B1685,2020)-1900-10*(G1685-1))/10</f>
        <v>0.1</v>
      </c>
      <c r="I1685" s="20" t="n">
        <f aca="false">EXP(LN(INDEX(Pop_Inputs!$B$2:$N$29,MATCH(C1685,Pop_Inputs!$A$2:$A$29,0),G1685))*(1-H1685)+LN(INDEX(Pop_Inputs!$B$2:$N$29,MATCH(C1685,Pop_Inputs!$A$2:$A$29,0),G1685+1))*H1685)</f>
        <v>3505794.60579431</v>
      </c>
      <c r="J1685" s="20" t="n">
        <f aca="false">I1685/F1685</f>
        <v>1752897.30289715</v>
      </c>
      <c r="K1685" s="21" t="n">
        <f aca="false">D1685/(D1685+E1685)</f>
        <v>0.574074074074074</v>
      </c>
      <c r="L1685" s="21" t="n">
        <f aca="false">AVERAGEIFS($K$2:$K$2705,$B$2:$B$2705,B1685)</f>
        <v>0.499971926557072</v>
      </c>
      <c r="M1685" s="21" t="n">
        <f aca="false">K1685-L1685</f>
        <v>0.0741021475170026</v>
      </c>
      <c r="N1685" s="21" t="n">
        <f aca="false">LN(J1685)</f>
        <v>14.3767805785576</v>
      </c>
      <c r="O1685" s="21" t="n">
        <f aca="false">AVERAGEIFS($N$2:$N$2705,$B$2:$B$2705,B1685)</f>
        <v>13.643879242499</v>
      </c>
      <c r="P1685" s="21" t="n">
        <f aca="false">N1685-O1685</f>
        <v>0.732901336058612</v>
      </c>
      <c r="Q1685" s="7" t="n">
        <v>0</v>
      </c>
      <c r="R1685" s="3" t="n">
        <f aca="false">IF(AND(Q1685=1,B1685-_xlfn.MINIFS($B$2:$B$2705,$A$2:$A$2705,A1685)&lt;10),1,0)</f>
        <v>0</v>
      </c>
      <c r="S1685" s="7" t="n">
        <v>0</v>
      </c>
      <c r="T1685" s="3" t="n">
        <f aca="false">_xlfn.MINIFS($B$2:$B$2705,$A$2:$A$2705,A1685)</f>
        <v>1901</v>
      </c>
      <c r="U1685" s="3" t="n">
        <f aca="false">B1685-T1685</f>
        <v>90</v>
      </c>
      <c r="V1685" s="3" t="str">
        <f aca="false">INDEX(Pop_Inputs!$Q$2:$Q$29,MATCH(C1685,Pop_Inputs!$A$2:$A$29,0))</f>
        <v>West</v>
      </c>
      <c r="W1685" s="29" t="n">
        <v>32790664</v>
      </c>
      <c r="X1685" s="3" t="n">
        <f aca="false">IF(W1685="","",LN(W1685))</f>
        <v>17.305654398692</v>
      </c>
      <c r="Y1685" s="3" t="n">
        <f aca="false">IF(X1685="","",X1685-AVERAGEIFS($X$2:$X$2705,$B$2:$B$2705,B1685))</f>
        <v>0.373338569474203</v>
      </c>
      <c r="Z1685" s="21" t="n">
        <f aca="false">P1685</f>
        <v>0.732901336058612</v>
      </c>
      <c r="AA1685" s="3" t="n">
        <f aca="false">R1685</f>
        <v>0</v>
      </c>
      <c r="AB1685" s="21" t="n">
        <f aca="false">P1685</f>
        <v>0.732901336058612</v>
      </c>
      <c r="AC1685" s="3" t="n">
        <f aca="false">Y1685</f>
        <v>0.373338569474203</v>
      </c>
      <c r="AD1685" s="3" t="n">
        <f aca="false">R1685</f>
        <v>0</v>
      </c>
    </row>
    <row r="1686" customFormat="false" ht="15" hidden="false" customHeight="true" outlineLevel="0" collapsed="false">
      <c r="A1686" s="7" t="s">
        <v>77</v>
      </c>
      <c r="B1686" s="7" t="n">
        <v>1991</v>
      </c>
      <c r="C1686" s="7" t="s">
        <v>158</v>
      </c>
      <c r="D1686" s="7" t="n">
        <v>83</v>
      </c>
      <c r="E1686" s="7" t="n">
        <v>79</v>
      </c>
      <c r="F1686" s="3" t="n">
        <f aca="false">COUNTIFS($B$2:$B$2705,B1686,$C$2:$C$2705,C1686)</f>
        <v>1</v>
      </c>
      <c r="G1686" s="3" t="n">
        <f aca="false">MIN(INT((MIN(B1686,2020)-1900)/10)+1,12)</f>
        <v>10</v>
      </c>
      <c r="H1686" s="3" t="n">
        <f aca="false">(MIN(B1686,2020)-1900-10*(G1686-1))/10</f>
        <v>0.1</v>
      </c>
      <c r="I1686" s="20" t="n">
        <f aca="false">EXP(LN(INDEX(Pop_Inputs!$B$2:$N$29,MATCH(C1686,Pop_Inputs!$A$2:$A$29,0),G1686))*(1-H1686)+LN(INDEX(Pop_Inputs!$B$2:$N$29,MATCH(C1686,Pop_Inputs!$A$2:$A$29,0),G1686+1))*H1686)</f>
        <v>624904.983495097</v>
      </c>
      <c r="J1686" s="20" t="n">
        <f aca="false">I1686/F1686</f>
        <v>624904.983495097</v>
      </c>
      <c r="K1686" s="21" t="n">
        <f aca="false">D1686/(D1686+E1686)</f>
        <v>0.512345679012346</v>
      </c>
      <c r="L1686" s="21" t="n">
        <f aca="false">AVERAGEIFS($K$2:$K$2705,$B$2:$B$2705,B1686)</f>
        <v>0.499971926557072</v>
      </c>
      <c r="M1686" s="21" t="n">
        <f aca="false">K1686-L1686</f>
        <v>0.0123737524552742</v>
      </c>
      <c r="N1686" s="21" t="n">
        <f aca="false">LN(J1686)</f>
        <v>13.3453548907535</v>
      </c>
      <c r="O1686" s="21" t="n">
        <f aca="false">AVERAGEIFS($N$2:$N$2705,$B$2:$B$2705,B1686)</f>
        <v>13.643879242499</v>
      </c>
      <c r="P1686" s="21" t="n">
        <f aca="false">N1686-O1686</f>
        <v>-0.298524351745472</v>
      </c>
      <c r="Q1686" s="7" t="n">
        <v>1</v>
      </c>
      <c r="R1686" s="3" t="n">
        <f aca="false">IF(AND(Q1686=1,B1686-_xlfn.MINIFS($B$2:$B$2705,$A$2:$A$2705,A1686)&lt;10),1,0)</f>
        <v>0</v>
      </c>
      <c r="S1686" s="7" t="n">
        <v>0</v>
      </c>
      <c r="T1686" s="3" t="n">
        <f aca="false">_xlfn.MINIFS($B$2:$B$2705,$A$2:$A$2705,A1686)</f>
        <v>1969</v>
      </c>
      <c r="U1686" s="3" t="n">
        <f aca="false">B1686-T1686</f>
        <v>22</v>
      </c>
      <c r="V1686" s="3" t="str">
        <f aca="false">INDEX(Pop_Inputs!$Q$2:$Q$29,MATCH(C1686,Pop_Inputs!$A$2:$A$29,0))</f>
        <v>Midwest</v>
      </c>
      <c r="W1686" s="29" t="n">
        <v>23115500</v>
      </c>
      <c r="X1686" s="3" t="n">
        <f aca="false">IF(W1686="","",LN(W1686))</f>
        <v>16.9560139461461</v>
      </c>
      <c r="Y1686" s="3" t="n">
        <f aca="false">IF(X1686="","",X1686-AVERAGEIFS($X$2:$X$2705,$B$2:$B$2705,B1686))</f>
        <v>0.0236981169282302</v>
      </c>
      <c r="Z1686" s="21" t="n">
        <f aca="false">P1686</f>
        <v>-0.298524351745472</v>
      </c>
      <c r="AA1686" s="3" t="n">
        <f aca="false">R1686</f>
        <v>0</v>
      </c>
      <c r="AB1686" s="21" t="n">
        <f aca="false">P1686</f>
        <v>-0.298524351745472</v>
      </c>
      <c r="AC1686" s="3" t="n">
        <f aca="false">Y1686</f>
        <v>0.0236981169282302</v>
      </c>
      <c r="AD1686" s="3" t="n">
        <f aca="false">R1686</f>
        <v>0</v>
      </c>
    </row>
    <row r="1687" customFormat="false" ht="15" hidden="false" customHeight="true" outlineLevel="0" collapsed="false">
      <c r="A1687" s="7" t="s">
        <v>68</v>
      </c>
      <c r="B1687" s="7" t="n">
        <v>1991</v>
      </c>
      <c r="C1687" s="7" t="s">
        <v>153</v>
      </c>
      <c r="D1687" s="7" t="n">
        <v>95</v>
      </c>
      <c r="E1687" s="7" t="n">
        <v>67</v>
      </c>
      <c r="F1687" s="3" t="n">
        <f aca="false">COUNTIFS($B$2:$B$2705,B1687,$C$2:$C$2705,C1687)</f>
        <v>1</v>
      </c>
      <c r="G1687" s="3" t="n">
        <f aca="false">MIN(INT((MIN(B1687,2020)-1900)/10)+1,12)</f>
        <v>10</v>
      </c>
      <c r="H1687" s="3" t="n">
        <f aca="false">(MIN(B1687,2020)-1900-10*(G1687-1))/10</f>
        <v>0.1</v>
      </c>
      <c r="I1687" s="20" t="n">
        <f aca="false">EXP(LN(INDEX(Pop_Inputs!$B$2:$N$29,MATCH(C1687,Pop_Inputs!$A$2:$A$29,0),G1687))*(1-H1687)+LN(INDEX(Pop_Inputs!$B$2:$N$29,MATCH(C1687,Pop_Inputs!$A$2:$A$29,0),G1687+1))*H1687)</f>
        <v>369782.336307103</v>
      </c>
      <c r="J1687" s="20" t="n">
        <f aca="false">I1687/F1687</f>
        <v>369782.336307103</v>
      </c>
      <c r="K1687" s="21" t="n">
        <f aca="false">D1687/(D1687+E1687)</f>
        <v>0.58641975308642</v>
      </c>
      <c r="L1687" s="21" t="n">
        <f aca="false">AVERAGEIFS($K$2:$K$2705,$B$2:$B$2705,B1687)</f>
        <v>0.499971926557072</v>
      </c>
      <c r="M1687" s="21" t="n">
        <f aca="false">K1687-L1687</f>
        <v>0.0864478265293483</v>
      </c>
      <c r="N1687" s="21" t="n">
        <f aca="false">LN(J1687)</f>
        <v>12.8206698312646</v>
      </c>
      <c r="O1687" s="21" t="n">
        <f aca="false">AVERAGEIFS($N$2:$N$2705,$B$2:$B$2705,B1687)</f>
        <v>13.643879242499</v>
      </c>
      <c r="P1687" s="21" t="n">
        <f aca="false">N1687-O1687</f>
        <v>-0.823209411234366</v>
      </c>
      <c r="Q1687" s="7" t="n">
        <v>0</v>
      </c>
      <c r="R1687" s="3" t="n">
        <f aca="false">IF(AND(Q1687=1,B1687-_xlfn.MINIFS($B$2:$B$2705,$A$2:$A$2705,A1687)&lt;10),1,0)</f>
        <v>0</v>
      </c>
      <c r="S1687" s="7" t="n">
        <v>0</v>
      </c>
      <c r="T1687" s="3" t="n">
        <f aca="false">_xlfn.MINIFS($B$2:$B$2705,$A$2:$A$2705,A1687)</f>
        <v>1901</v>
      </c>
      <c r="U1687" s="3" t="n">
        <f aca="false">B1687-T1687</f>
        <v>90</v>
      </c>
      <c r="V1687" s="3" t="str">
        <f aca="false">INDEX(Pop_Inputs!$Q$2:$Q$29,MATCH(C1687,Pop_Inputs!$A$2:$A$29,0))</f>
        <v>Midwest</v>
      </c>
      <c r="W1687" s="29" t="n">
        <v>23361833</v>
      </c>
      <c r="X1687" s="3" t="n">
        <f aca="false">IF(W1687="","",LN(W1687))</f>
        <v>16.9666141803116</v>
      </c>
      <c r="Y1687" s="3" t="n">
        <f aca="false">IF(X1687="","",X1687-AVERAGEIFS($X$2:$X$2705,$B$2:$B$2705,B1687))</f>
        <v>0.0342983510938026</v>
      </c>
      <c r="Z1687" s="21" t="n">
        <f aca="false">P1687</f>
        <v>-0.823209411234366</v>
      </c>
      <c r="AA1687" s="3" t="n">
        <f aca="false">R1687</f>
        <v>0</v>
      </c>
      <c r="AB1687" s="21" t="n">
        <f aca="false">P1687</f>
        <v>-0.823209411234366</v>
      </c>
      <c r="AC1687" s="3" t="n">
        <f aca="false">Y1687</f>
        <v>0.0342983510938026</v>
      </c>
      <c r="AD1687" s="3" t="n">
        <f aca="false">R1687</f>
        <v>0</v>
      </c>
    </row>
    <row r="1688" customFormat="false" ht="15" hidden="false" customHeight="true" outlineLevel="0" collapsed="false">
      <c r="A1688" s="7" t="s">
        <v>75</v>
      </c>
      <c r="B1688" s="7" t="n">
        <v>1991</v>
      </c>
      <c r="C1688" s="7" t="s">
        <v>154</v>
      </c>
      <c r="D1688" s="7" t="n">
        <v>77</v>
      </c>
      <c r="E1688" s="7" t="n">
        <v>84</v>
      </c>
      <c r="F1688" s="3" t="n">
        <f aca="false">COUNTIFS($B$2:$B$2705,B1688,$C$2:$C$2705,C1688)</f>
        <v>2</v>
      </c>
      <c r="G1688" s="3" t="n">
        <f aca="false">MIN(INT((MIN(B1688,2020)-1900)/10)+1,12)</f>
        <v>10</v>
      </c>
      <c r="H1688" s="3" t="n">
        <f aca="false">(MIN(B1688,2020)-1900-10*(G1688-1))/10</f>
        <v>0.1</v>
      </c>
      <c r="I1688" s="20" t="n">
        <f aca="false">EXP(LN(INDEX(Pop_Inputs!$B$2:$N$29,MATCH(C1688,Pop_Inputs!$A$2:$A$29,0),G1688))*(1-H1688)+LN(INDEX(Pop_Inputs!$B$2:$N$29,MATCH(C1688,Pop_Inputs!$A$2:$A$29,0),G1688+1))*H1688)</f>
        <v>7388406.34535132</v>
      </c>
      <c r="J1688" s="20" t="n">
        <f aca="false">I1688/F1688</f>
        <v>3694203.17267566</v>
      </c>
      <c r="K1688" s="21" t="n">
        <f aca="false">D1688/(D1688+E1688)</f>
        <v>0.478260869565217</v>
      </c>
      <c r="L1688" s="21" t="n">
        <f aca="false">AVERAGEIFS($K$2:$K$2705,$B$2:$B$2705,B1688)</f>
        <v>0.499971926557072</v>
      </c>
      <c r="M1688" s="21" t="n">
        <f aca="false">K1688-L1688</f>
        <v>-0.0217110569918541</v>
      </c>
      <c r="N1688" s="21" t="n">
        <f aca="false">LN(J1688)</f>
        <v>15.1222754389532</v>
      </c>
      <c r="O1688" s="21" t="n">
        <f aca="false">AVERAGEIFS($N$2:$N$2705,$B$2:$B$2705,B1688)</f>
        <v>13.643879242499</v>
      </c>
      <c r="P1688" s="21" t="n">
        <f aca="false">N1688-O1688</f>
        <v>1.47839619645418</v>
      </c>
      <c r="Q1688" s="7" t="n">
        <v>1</v>
      </c>
      <c r="R1688" s="3" t="n">
        <f aca="false">IF(AND(Q1688=1,B1688-_xlfn.MINIFS($B$2:$B$2705,$A$2:$A$2705,A1688)&lt;10),1,0)</f>
        <v>0</v>
      </c>
      <c r="S1688" s="7" t="n">
        <v>0</v>
      </c>
      <c r="T1688" s="3" t="n">
        <f aca="false">_xlfn.MINIFS($B$2:$B$2705,$A$2:$A$2705,A1688)</f>
        <v>1962</v>
      </c>
      <c r="U1688" s="3" t="n">
        <f aca="false">B1688-T1688</f>
        <v>29</v>
      </c>
      <c r="V1688" s="3" t="str">
        <f aca="false">INDEX(Pop_Inputs!$Q$2:$Q$29,MATCH(C1688,Pop_Inputs!$A$2:$A$29,0))</f>
        <v>Northeast</v>
      </c>
      <c r="W1688" s="29" t="n">
        <v>32590001</v>
      </c>
      <c r="X1688" s="3" t="n">
        <f aca="false">IF(W1688="","",LN(W1688))</f>
        <v>17.299516081498</v>
      </c>
      <c r="Y1688" s="3" t="n">
        <f aca="false">IF(X1688="","",X1688-AVERAGEIFS($X$2:$X$2705,$B$2:$B$2705,B1688))</f>
        <v>0.36720025228016</v>
      </c>
      <c r="Z1688" s="21" t="n">
        <f aca="false">P1688</f>
        <v>1.47839619645418</v>
      </c>
      <c r="AA1688" s="3" t="n">
        <f aca="false">R1688</f>
        <v>0</v>
      </c>
      <c r="AB1688" s="21" t="n">
        <f aca="false">P1688</f>
        <v>1.47839619645418</v>
      </c>
      <c r="AC1688" s="3" t="n">
        <f aca="false">Y1688</f>
        <v>0.36720025228016</v>
      </c>
      <c r="AD1688" s="3" t="n">
        <f aca="false">R1688</f>
        <v>0</v>
      </c>
    </row>
    <row r="1689" customFormat="false" ht="15" hidden="false" customHeight="true" outlineLevel="0" collapsed="false">
      <c r="A1689" s="7" t="s">
        <v>70</v>
      </c>
      <c r="B1689" s="7" t="n">
        <v>1991</v>
      </c>
      <c r="C1689" s="7" t="s">
        <v>154</v>
      </c>
      <c r="D1689" s="7" t="n">
        <v>71</v>
      </c>
      <c r="E1689" s="7" t="n">
        <v>91</v>
      </c>
      <c r="F1689" s="3" t="n">
        <f aca="false">COUNTIFS($B$2:$B$2705,B1689,$C$2:$C$2705,C1689)</f>
        <v>2</v>
      </c>
      <c r="G1689" s="3" t="n">
        <f aca="false">MIN(INT((MIN(B1689,2020)-1900)/10)+1,12)</f>
        <v>10</v>
      </c>
      <c r="H1689" s="3" t="n">
        <f aca="false">(MIN(B1689,2020)-1900-10*(G1689-1))/10</f>
        <v>0.1</v>
      </c>
      <c r="I1689" s="20" t="n">
        <f aca="false">EXP(LN(INDEX(Pop_Inputs!$B$2:$N$29,MATCH(C1689,Pop_Inputs!$A$2:$A$29,0),G1689))*(1-H1689)+LN(INDEX(Pop_Inputs!$B$2:$N$29,MATCH(C1689,Pop_Inputs!$A$2:$A$29,0),G1689+1))*H1689)</f>
        <v>7388406.34535132</v>
      </c>
      <c r="J1689" s="20" t="n">
        <f aca="false">I1689/F1689</f>
        <v>3694203.17267566</v>
      </c>
      <c r="K1689" s="21" t="n">
        <f aca="false">D1689/(D1689+E1689)</f>
        <v>0.438271604938272</v>
      </c>
      <c r="L1689" s="21" t="n">
        <f aca="false">AVERAGEIFS($K$2:$K$2705,$B$2:$B$2705,B1689)</f>
        <v>0.499971926557072</v>
      </c>
      <c r="M1689" s="21" t="n">
        <f aca="false">K1689-L1689</f>
        <v>-0.0617003216187999</v>
      </c>
      <c r="N1689" s="21" t="n">
        <f aca="false">LN(J1689)</f>
        <v>15.1222754389532</v>
      </c>
      <c r="O1689" s="21" t="n">
        <f aca="false">AVERAGEIFS($N$2:$N$2705,$B$2:$B$2705,B1689)</f>
        <v>13.643879242499</v>
      </c>
      <c r="P1689" s="21" t="n">
        <f aca="false">N1689-O1689</f>
        <v>1.47839619645418</v>
      </c>
      <c r="Q1689" s="7" t="n">
        <v>0</v>
      </c>
      <c r="R1689" s="3" t="n">
        <f aca="false">IF(AND(Q1689=1,B1689-_xlfn.MINIFS($B$2:$B$2705,$A$2:$A$2705,A1689)&lt;10),1,0)</f>
        <v>0</v>
      </c>
      <c r="S1689" s="7" t="n">
        <v>1</v>
      </c>
      <c r="T1689" s="3" t="n">
        <f aca="false">_xlfn.MINIFS($B$2:$B$2705,$A$2:$A$2705,A1689)</f>
        <v>1903</v>
      </c>
      <c r="U1689" s="3" t="n">
        <f aca="false">B1689-T1689</f>
        <v>88</v>
      </c>
      <c r="V1689" s="3" t="str">
        <f aca="false">INDEX(Pop_Inputs!$Q$2:$Q$29,MATCH(C1689,Pop_Inputs!$A$2:$A$29,0))</f>
        <v>Northeast</v>
      </c>
      <c r="W1689" s="29" t="n">
        <v>27344168</v>
      </c>
      <c r="X1689" s="3" t="n">
        <f aca="false">IF(W1689="","",LN(W1689))</f>
        <v>17.1240138282625</v>
      </c>
      <c r="Y1689" s="3" t="n">
        <f aca="false">IF(X1689="","",X1689-AVERAGEIFS($X$2:$X$2705,$B$2:$B$2705,B1689))</f>
        <v>0.191697999044621</v>
      </c>
      <c r="Z1689" s="21" t="n">
        <f aca="false">P1689</f>
        <v>1.47839619645418</v>
      </c>
      <c r="AA1689" s="3" t="n">
        <f aca="false">R1689</f>
        <v>0</v>
      </c>
      <c r="AB1689" s="21" t="n">
        <f aca="false">P1689</f>
        <v>1.47839619645418</v>
      </c>
      <c r="AC1689" s="3" t="n">
        <f aca="false">Y1689</f>
        <v>0.191697999044621</v>
      </c>
      <c r="AD1689" s="3" t="n">
        <f aca="false">R1689</f>
        <v>0</v>
      </c>
    </row>
    <row r="1690" customFormat="false" ht="15" hidden="false" customHeight="true" outlineLevel="0" collapsed="false">
      <c r="A1690" s="7" t="s">
        <v>69</v>
      </c>
      <c r="B1690" s="7" t="n">
        <v>1991</v>
      </c>
      <c r="C1690" s="7" t="s">
        <v>253</v>
      </c>
      <c r="D1690" s="7" t="n">
        <v>84</v>
      </c>
      <c r="E1690" s="7" t="n">
        <v>78</v>
      </c>
      <c r="F1690" s="3" t="n">
        <f aca="false">COUNTIFS($B$2:$B$2705,B1690,$C$2:$C$2705,C1690)</f>
        <v>1</v>
      </c>
      <c r="G1690" s="3" t="n">
        <f aca="false">MIN(INT((MIN(B1690,2020)-1900)/10)+1,12)</f>
        <v>10</v>
      </c>
      <c r="H1690" s="3" t="n">
        <f aca="false">(MIN(B1690,2020)-1900-10*(G1690-1))/10</f>
        <v>0.1</v>
      </c>
      <c r="I1690" s="20" t="n">
        <f aca="false">EXP(LN(INDEX(Pop_Inputs!$B$2:$N$29,MATCH(C1690,Pop_Inputs!$A$2:$A$29,0),G1690))*(1-H1690)+LN(INDEX(Pop_Inputs!$B$2:$N$29,MATCH(C1690,Pop_Inputs!$A$2:$A$29,0),G1690+1))*H1690)</f>
        <v>374880.434499065</v>
      </c>
      <c r="J1690" s="20" t="n">
        <f aca="false">I1690/F1690</f>
        <v>374880.434499065</v>
      </c>
      <c r="K1690" s="21" t="n">
        <f aca="false">D1690/(D1690+E1690)</f>
        <v>0.518518518518519</v>
      </c>
      <c r="L1690" s="21" t="n">
        <f aca="false">AVERAGEIFS($K$2:$K$2705,$B$2:$B$2705,B1690)</f>
        <v>0.499971926557072</v>
      </c>
      <c r="M1690" s="21" t="n">
        <f aca="false">K1690-L1690</f>
        <v>0.018546591961447</v>
      </c>
      <c r="N1690" s="21" t="n">
        <f aca="false">LN(J1690)</f>
        <v>12.834362412776</v>
      </c>
      <c r="O1690" s="21" t="n">
        <f aca="false">AVERAGEIFS($N$2:$N$2705,$B$2:$B$2705,B1690)</f>
        <v>13.643879242499</v>
      </c>
      <c r="P1690" s="21" t="n">
        <f aca="false">N1690-O1690</f>
        <v>-0.809516829722966</v>
      </c>
      <c r="Q1690" s="7" t="n">
        <v>0</v>
      </c>
      <c r="R1690" s="3" t="n">
        <f aca="false">IF(AND(Q1690=1,B1690-_xlfn.MINIFS($B$2:$B$2705,$A$2:$A$2705,A1690)&lt;10),1,0)</f>
        <v>0</v>
      </c>
      <c r="S1690" s="7" t="n">
        <v>0</v>
      </c>
      <c r="T1690" s="3" t="n">
        <f aca="false">_xlfn.MINIFS($B$2:$B$2705,$A$2:$A$2705,A1690)</f>
        <v>1901</v>
      </c>
      <c r="U1690" s="3" t="n">
        <f aca="false">B1690-T1690</f>
        <v>90</v>
      </c>
      <c r="V1690" s="3" t="str">
        <f aca="false">INDEX(Pop_Inputs!$Q$2:$Q$29,MATCH(C1690,Pop_Inputs!$A$2:$A$29,0))</f>
        <v>West</v>
      </c>
      <c r="W1690" s="29" t="n">
        <v>36999167</v>
      </c>
      <c r="X1690" s="3" t="n">
        <f aca="false">IF(W1690="","",LN(W1690))</f>
        <v>17.4264059568416</v>
      </c>
      <c r="Y1690" s="3" t="n">
        <f aca="false">IF(X1690="","",X1690-AVERAGEIFS($X$2:$X$2705,$B$2:$B$2705,B1690))</f>
        <v>0.494090127623711</v>
      </c>
      <c r="Z1690" s="21" t="n">
        <f aca="false">P1690</f>
        <v>-0.809516829722966</v>
      </c>
      <c r="AA1690" s="3" t="n">
        <f aca="false">R1690</f>
        <v>0</v>
      </c>
      <c r="AB1690" s="21" t="n">
        <f aca="false">P1690</f>
        <v>-0.809516829722966</v>
      </c>
      <c r="AC1690" s="3" t="n">
        <f aca="false">Y1690</f>
        <v>0.494090127623711</v>
      </c>
      <c r="AD1690" s="3" t="n">
        <f aca="false">R1690</f>
        <v>0</v>
      </c>
    </row>
    <row r="1691" customFormat="false" ht="15" hidden="false" customHeight="true" outlineLevel="0" collapsed="false">
      <c r="A1691" s="7" t="s">
        <v>60</v>
      </c>
      <c r="B1691" s="7" t="n">
        <v>1991</v>
      </c>
      <c r="C1691" s="7" t="s">
        <v>146</v>
      </c>
      <c r="D1691" s="7" t="n">
        <v>78</v>
      </c>
      <c r="E1691" s="7" t="n">
        <v>84</v>
      </c>
      <c r="F1691" s="3" t="n">
        <f aca="false">COUNTIFS($B$2:$B$2705,B1691,$C$2:$C$2705,C1691)</f>
        <v>1</v>
      </c>
      <c r="G1691" s="3" t="n">
        <f aca="false">MIN(INT((MIN(B1691,2020)-1900)/10)+1,12)</f>
        <v>10</v>
      </c>
      <c r="H1691" s="3" t="n">
        <f aca="false">(MIN(B1691,2020)-1900-10*(G1691-1))/10</f>
        <v>0.1</v>
      </c>
      <c r="I1691" s="20" t="n">
        <f aca="false">EXP(LN(INDEX(Pop_Inputs!$B$2:$N$29,MATCH(C1691,Pop_Inputs!$A$2:$A$29,0),G1691))*(1-H1691)+LN(INDEX(Pop_Inputs!$B$2:$N$29,MATCH(C1691,Pop_Inputs!$A$2:$A$29,0),G1691+1))*H1691)</f>
        <v>1578639.2791921</v>
      </c>
      <c r="J1691" s="20" t="n">
        <f aca="false">I1691/F1691</f>
        <v>1578639.2791921</v>
      </c>
      <c r="K1691" s="21" t="n">
        <f aca="false">D1691/(D1691+E1691)</f>
        <v>0.481481481481481</v>
      </c>
      <c r="L1691" s="21" t="n">
        <f aca="false">AVERAGEIFS($K$2:$K$2705,$B$2:$B$2705,B1691)</f>
        <v>0.499971926557072</v>
      </c>
      <c r="M1691" s="21" t="n">
        <f aca="false">K1691-L1691</f>
        <v>-0.0184904450755901</v>
      </c>
      <c r="N1691" s="21" t="n">
        <f aca="false">LN(J1691)</f>
        <v>14.2720738182427</v>
      </c>
      <c r="O1691" s="21" t="n">
        <f aca="false">AVERAGEIFS($N$2:$N$2705,$B$2:$B$2705,B1691)</f>
        <v>13.643879242499</v>
      </c>
      <c r="P1691" s="21" t="n">
        <f aca="false">N1691-O1691</f>
        <v>0.628194575743668</v>
      </c>
      <c r="Q1691" s="7" t="n">
        <v>0</v>
      </c>
      <c r="R1691" s="3" t="n">
        <f aca="false">IF(AND(Q1691=1,B1691-_xlfn.MINIFS($B$2:$B$2705,$A$2:$A$2705,A1691)&lt;10),1,0)</f>
        <v>0</v>
      </c>
      <c r="S1691" s="7" t="n">
        <v>0</v>
      </c>
      <c r="T1691" s="3" t="n">
        <f aca="false">_xlfn.MINIFS($B$2:$B$2705,$A$2:$A$2705,A1691)</f>
        <v>1901</v>
      </c>
      <c r="U1691" s="3" t="n">
        <f aca="false">B1691-T1691</f>
        <v>90</v>
      </c>
      <c r="V1691" s="3" t="str">
        <f aca="false">INDEX(Pop_Inputs!$Q$2:$Q$29,MATCH(C1691,Pop_Inputs!$A$2:$A$29,0))</f>
        <v>Northeast</v>
      </c>
      <c r="W1691" s="29" t="n">
        <v>22487332</v>
      </c>
      <c r="X1691" s="3" t="n">
        <f aca="false">IF(W1691="","",LN(W1691))</f>
        <v>16.9284626863959</v>
      </c>
      <c r="Y1691" s="3" t="n">
        <f aca="false">IF(X1691="","",X1691-AVERAGEIFS($X$2:$X$2705,$B$2:$B$2705,B1691))</f>
        <v>-0.00385314282194216</v>
      </c>
      <c r="Z1691" s="21" t="n">
        <f aca="false">P1691</f>
        <v>0.628194575743668</v>
      </c>
      <c r="AA1691" s="3" t="n">
        <f aca="false">R1691</f>
        <v>0</v>
      </c>
      <c r="AB1691" s="21" t="n">
        <f aca="false">P1691</f>
        <v>0.628194575743668</v>
      </c>
      <c r="AC1691" s="3" t="n">
        <f aca="false">Y1691</f>
        <v>-0.00385314282194216</v>
      </c>
      <c r="AD1691" s="3" t="n">
        <f aca="false">R1691</f>
        <v>0</v>
      </c>
    </row>
    <row r="1692" customFormat="false" ht="15" hidden="false" customHeight="true" outlineLevel="0" collapsed="false">
      <c r="A1692" s="7" t="s">
        <v>58</v>
      </c>
      <c r="B1692" s="7" t="n">
        <v>1991</v>
      </c>
      <c r="C1692" s="7" t="s">
        <v>144</v>
      </c>
      <c r="D1692" s="7" t="n">
        <v>98</v>
      </c>
      <c r="E1692" s="7" t="n">
        <v>64</v>
      </c>
      <c r="F1692" s="3" t="n">
        <f aca="false">COUNTIFS($B$2:$B$2705,B1692,$C$2:$C$2705,C1692)</f>
        <v>1</v>
      </c>
      <c r="G1692" s="3" t="n">
        <f aca="false">MIN(INT((MIN(B1692,2020)-1900)/10)+1,12)</f>
        <v>10</v>
      </c>
      <c r="H1692" s="3" t="n">
        <f aca="false">(MIN(B1692,2020)-1900-10*(G1692-1))/10</f>
        <v>0.1</v>
      </c>
      <c r="I1692" s="20" t="n">
        <f aca="false">EXP(LN(INDEX(Pop_Inputs!$B$2:$N$29,MATCH(C1692,Pop_Inputs!$A$2:$A$29,0),G1692))*(1-H1692)+LN(INDEX(Pop_Inputs!$B$2:$N$29,MATCH(C1692,Pop_Inputs!$A$2:$A$29,0),G1692+1))*H1692)</f>
        <v>366185.799272753</v>
      </c>
      <c r="J1692" s="20" t="n">
        <f aca="false">I1692/F1692</f>
        <v>366185.799272753</v>
      </c>
      <c r="K1692" s="21" t="n">
        <f aca="false">D1692/(D1692+E1692)</f>
        <v>0.604938271604938</v>
      </c>
      <c r="L1692" s="21" t="n">
        <f aca="false">AVERAGEIFS($K$2:$K$2705,$B$2:$B$2705,B1692)</f>
        <v>0.499971926557072</v>
      </c>
      <c r="M1692" s="21" t="n">
        <f aca="false">K1692-L1692</f>
        <v>0.104966345047867</v>
      </c>
      <c r="N1692" s="21" t="n">
        <f aca="false">LN(J1692)</f>
        <v>12.8108961318599</v>
      </c>
      <c r="O1692" s="21" t="n">
        <f aca="false">AVERAGEIFS($N$2:$N$2705,$B$2:$B$2705,B1692)</f>
        <v>13.643879242499</v>
      </c>
      <c r="P1692" s="21" t="n">
        <f aca="false">N1692-O1692</f>
        <v>-0.832983110639068</v>
      </c>
      <c r="Q1692" s="7" t="n">
        <v>0</v>
      </c>
      <c r="R1692" s="3" t="n">
        <f aca="false">IF(AND(Q1692=1,B1692-_xlfn.MINIFS($B$2:$B$2705,$A$2:$A$2705,A1692)&lt;10),1,0)</f>
        <v>0</v>
      </c>
      <c r="S1692" s="7" t="n">
        <v>0</v>
      </c>
      <c r="T1692" s="3" t="n">
        <f aca="false">_xlfn.MINIFS($B$2:$B$2705,$A$2:$A$2705,A1692)</f>
        <v>1901</v>
      </c>
      <c r="U1692" s="3" t="n">
        <f aca="false">B1692-T1692</f>
        <v>90</v>
      </c>
      <c r="V1692" s="3" t="str">
        <f aca="false">INDEX(Pop_Inputs!$Q$2:$Q$29,MATCH(C1692,Pop_Inputs!$A$2:$A$29,0))</f>
        <v>Northeast</v>
      </c>
      <c r="W1692" s="29" t="n">
        <v>23634667</v>
      </c>
      <c r="X1692" s="3" t="n">
        <f aca="false">IF(W1692="","",LN(W1692))</f>
        <v>16.9782251328358</v>
      </c>
      <c r="Y1692" s="3" t="n">
        <f aca="false">IF(X1692="","",X1692-AVERAGEIFS($X$2:$X$2705,$B$2:$B$2705,B1692))</f>
        <v>0.0459093036179965</v>
      </c>
      <c r="Z1692" s="21" t="n">
        <f aca="false">P1692</f>
        <v>-0.832983110639068</v>
      </c>
      <c r="AA1692" s="3" t="n">
        <f aca="false">R1692</f>
        <v>0</v>
      </c>
      <c r="AB1692" s="21" t="n">
        <f aca="false">P1692</f>
        <v>-0.832983110639068</v>
      </c>
      <c r="AC1692" s="3" t="n">
        <f aca="false">Y1692</f>
        <v>0.0459093036179965</v>
      </c>
      <c r="AD1692" s="3" t="n">
        <f aca="false">R1692</f>
        <v>0</v>
      </c>
    </row>
    <row r="1693" customFormat="false" ht="15" hidden="false" customHeight="true" outlineLevel="0" collapsed="false">
      <c r="A1693" s="7" t="s">
        <v>78</v>
      </c>
      <c r="B1693" s="7" t="n">
        <v>1991</v>
      </c>
      <c r="C1693" s="7" t="s">
        <v>159</v>
      </c>
      <c r="D1693" s="7" t="n">
        <v>84</v>
      </c>
      <c r="E1693" s="7" t="n">
        <v>78</v>
      </c>
      <c r="F1693" s="3" t="n">
        <f aca="false">COUNTIFS($B$2:$B$2705,B1693,$C$2:$C$2705,C1693)</f>
        <v>1</v>
      </c>
      <c r="G1693" s="3" t="n">
        <f aca="false">MIN(INT((MIN(B1693,2020)-1900)/10)+1,12)</f>
        <v>10</v>
      </c>
      <c r="H1693" s="3" t="n">
        <f aca="false">(MIN(B1693,2020)-1900-10*(G1693-1))/10</f>
        <v>0.1</v>
      </c>
      <c r="I1693" s="20" t="n">
        <f aca="false">EXP(LN(INDEX(Pop_Inputs!$B$2:$N$29,MATCH(C1693,Pop_Inputs!$A$2:$A$29,0),G1693))*(1-H1693)+LN(INDEX(Pop_Inputs!$B$2:$N$29,MATCH(C1693,Pop_Inputs!$A$2:$A$29,0),G1693+1))*H1693)</f>
        <v>1121349.00096169</v>
      </c>
      <c r="J1693" s="20" t="n">
        <f aca="false">I1693/F1693</f>
        <v>1121349.00096169</v>
      </c>
      <c r="K1693" s="21" t="n">
        <f aca="false">D1693/(D1693+E1693)</f>
        <v>0.518518518518519</v>
      </c>
      <c r="L1693" s="21" t="n">
        <f aca="false">AVERAGEIFS($K$2:$K$2705,$B$2:$B$2705,B1693)</f>
        <v>0.499971926557072</v>
      </c>
      <c r="M1693" s="21" t="n">
        <f aca="false">K1693-L1693</f>
        <v>0.018546591961447</v>
      </c>
      <c r="N1693" s="21" t="n">
        <f aca="false">LN(J1693)</f>
        <v>13.9300429836294</v>
      </c>
      <c r="O1693" s="21" t="n">
        <f aca="false">AVERAGEIFS($N$2:$N$2705,$B$2:$B$2705,B1693)</f>
        <v>13.643879242499</v>
      </c>
      <c r="P1693" s="21" t="n">
        <f aca="false">N1693-O1693</f>
        <v>0.286163741130448</v>
      </c>
      <c r="Q1693" s="7" t="n">
        <v>1</v>
      </c>
      <c r="R1693" s="3" t="n">
        <f aca="false">IF(AND(Q1693=1,B1693-_xlfn.MINIFS($B$2:$B$2705,$A$2:$A$2705,A1693)&lt;10),1,0)</f>
        <v>0</v>
      </c>
      <c r="S1693" s="7" t="n">
        <v>0</v>
      </c>
      <c r="T1693" s="3" t="n">
        <f aca="false">_xlfn.MINIFS($B$2:$B$2705,$A$2:$A$2705,A1693)</f>
        <v>1969</v>
      </c>
      <c r="U1693" s="3" t="n">
        <f aca="false">B1693-T1693</f>
        <v>22</v>
      </c>
      <c r="V1693" s="3" t="str">
        <f aca="false">INDEX(Pop_Inputs!$Q$2:$Q$29,MATCH(C1693,Pop_Inputs!$A$2:$A$29,0))</f>
        <v>West</v>
      </c>
      <c r="W1693" s="29" t="n">
        <v>22150001</v>
      </c>
      <c r="X1693" s="3" t="n">
        <f aca="false">IF(W1693="","",LN(W1693))</f>
        <v>16.9133480996021</v>
      </c>
      <c r="Y1693" s="3" t="n">
        <f aca="false">IF(X1693="","",X1693-AVERAGEIFS($X$2:$X$2705,$B$2:$B$2705,B1693))</f>
        <v>-0.0189677296156958</v>
      </c>
      <c r="Z1693" s="21" t="n">
        <f aca="false">P1693</f>
        <v>0.286163741130448</v>
      </c>
      <c r="AA1693" s="3" t="n">
        <f aca="false">R1693</f>
        <v>0</v>
      </c>
      <c r="AB1693" s="21" t="n">
        <f aca="false">P1693</f>
        <v>0.286163741130448</v>
      </c>
      <c r="AC1693" s="3" t="n">
        <f aca="false">Y1693</f>
        <v>-0.0189677296156958</v>
      </c>
      <c r="AD1693" s="3" t="n">
        <f aca="false">R1693</f>
        <v>0</v>
      </c>
    </row>
    <row r="1694" customFormat="false" ht="15" hidden="false" customHeight="true" outlineLevel="0" collapsed="false">
      <c r="A1694" s="7" t="s">
        <v>80</v>
      </c>
      <c r="B1694" s="7" t="n">
        <v>1991</v>
      </c>
      <c r="C1694" s="7" t="s">
        <v>161</v>
      </c>
      <c r="D1694" s="7" t="n">
        <v>83</v>
      </c>
      <c r="E1694" s="7" t="n">
        <v>79</v>
      </c>
      <c r="F1694" s="3" t="n">
        <f aca="false">COUNTIFS($B$2:$B$2705,B1694,$C$2:$C$2705,C1694)</f>
        <v>1</v>
      </c>
      <c r="G1694" s="3" t="n">
        <f aca="false">MIN(INT((MIN(B1694,2020)-1900)/10)+1,12)</f>
        <v>10</v>
      </c>
      <c r="H1694" s="3" t="n">
        <f aca="false">(MIN(B1694,2020)-1900-10*(G1694-1))/10</f>
        <v>0.1</v>
      </c>
      <c r="I1694" s="20" t="n">
        <f aca="false">EXP(LN(INDEX(Pop_Inputs!$B$2:$N$29,MATCH(C1694,Pop_Inputs!$A$2:$A$29,0),G1694))*(1-H1694)+LN(INDEX(Pop_Inputs!$B$2:$N$29,MATCH(C1694,Pop_Inputs!$A$2:$A$29,0),G1694+1))*H1694)</f>
        <v>520787.500683603</v>
      </c>
      <c r="J1694" s="20" t="n">
        <f aca="false">I1694/F1694</f>
        <v>520787.500683603</v>
      </c>
      <c r="K1694" s="21" t="n">
        <f aca="false">D1694/(D1694+E1694)</f>
        <v>0.512345679012346</v>
      </c>
      <c r="L1694" s="21" t="n">
        <f aca="false">AVERAGEIFS($K$2:$K$2705,$B$2:$B$2705,B1694)</f>
        <v>0.499971926557072</v>
      </c>
      <c r="M1694" s="21" t="n">
        <f aca="false">K1694-L1694</f>
        <v>0.0123737524552742</v>
      </c>
      <c r="N1694" s="21" t="n">
        <f aca="false">LN(J1694)</f>
        <v>13.163097369365</v>
      </c>
      <c r="O1694" s="21" t="n">
        <f aca="false">AVERAGEIFS($N$2:$N$2705,$B$2:$B$2705,B1694)</f>
        <v>13.643879242499</v>
      </c>
      <c r="P1694" s="21" t="n">
        <f aca="false">N1694-O1694</f>
        <v>-0.48078187313399</v>
      </c>
      <c r="Q1694" s="7" t="n">
        <v>1</v>
      </c>
      <c r="R1694" s="3" t="n">
        <f aca="false">IF(AND(Q1694=1,B1694-_xlfn.MINIFS($B$2:$B$2705,$A$2:$A$2705,A1694)&lt;10),1,0)</f>
        <v>0</v>
      </c>
      <c r="S1694" s="7" t="n">
        <v>0</v>
      </c>
      <c r="T1694" s="3" t="n">
        <f aca="false">_xlfn.MINIFS($B$2:$B$2705,$A$2:$A$2705,A1694)</f>
        <v>1977</v>
      </c>
      <c r="U1694" s="3" t="n">
        <f aca="false">B1694-T1694</f>
        <v>14</v>
      </c>
      <c r="V1694" s="3" t="str">
        <f aca="false">INDEX(Pop_Inputs!$Q$2:$Q$29,MATCH(C1694,Pop_Inputs!$A$2:$A$29,0))</f>
        <v>West</v>
      </c>
      <c r="W1694" s="29" t="n">
        <v>15691833</v>
      </c>
      <c r="X1694" s="3" t="n">
        <f aca="false">IF(W1694="","",LN(W1694))</f>
        <v>16.5686509438894</v>
      </c>
      <c r="Y1694" s="3" t="n">
        <f aca="false">IF(X1694="","",X1694-AVERAGEIFS($X$2:$X$2705,$B$2:$B$2705,B1694))</f>
        <v>-0.363664885328429</v>
      </c>
      <c r="Z1694" s="21" t="n">
        <f aca="false">P1694</f>
        <v>-0.48078187313399</v>
      </c>
      <c r="AA1694" s="3" t="n">
        <f aca="false">R1694</f>
        <v>0</v>
      </c>
      <c r="AB1694" s="21" t="n">
        <f aca="false">P1694</f>
        <v>-0.48078187313399</v>
      </c>
      <c r="AC1694" s="3" t="n">
        <f aca="false">Y1694</f>
        <v>-0.363664885328429</v>
      </c>
      <c r="AD1694" s="3" t="n">
        <f aca="false">R1694</f>
        <v>0</v>
      </c>
    </row>
    <row r="1695" customFormat="false" ht="15" hidden="false" customHeight="true" outlineLevel="0" collapsed="false">
      <c r="A1695" s="7" t="s">
        <v>61</v>
      </c>
      <c r="B1695" s="7" t="n">
        <v>1991</v>
      </c>
      <c r="C1695" s="7" t="s">
        <v>147</v>
      </c>
      <c r="D1695" s="7" t="n">
        <v>75</v>
      </c>
      <c r="E1695" s="7" t="n">
        <v>87</v>
      </c>
      <c r="F1695" s="3" t="n">
        <f aca="false">COUNTIFS($B$2:$B$2705,B1695,$C$2:$C$2705,C1695)</f>
        <v>1</v>
      </c>
      <c r="G1695" s="3" t="n">
        <f aca="false">MIN(INT((MIN(B1695,2020)-1900)/10)+1,12)</f>
        <v>10</v>
      </c>
      <c r="H1695" s="3" t="n">
        <f aca="false">(MIN(B1695,2020)-1900-10*(G1695-1))/10</f>
        <v>0.1</v>
      </c>
      <c r="I1695" s="20" t="n">
        <f aca="false">EXP(LN(INDEX(Pop_Inputs!$B$2:$N$29,MATCH(C1695,Pop_Inputs!$A$2:$A$29,0),G1695))*(1-H1695)+LN(INDEX(Pop_Inputs!$B$2:$N$29,MATCH(C1695,Pop_Inputs!$A$2:$A$29,0),G1695+1))*H1695)</f>
        <v>729070.876126434</v>
      </c>
      <c r="J1695" s="20" t="n">
        <f aca="false">I1695/F1695</f>
        <v>729070.876126434</v>
      </c>
      <c r="K1695" s="21" t="n">
        <f aca="false">D1695/(D1695+E1695)</f>
        <v>0.462962962962963</v>
      </c>
      <c r="L1695" s="21" t="n">
        <f aca="false">AVERAGEIFS($K$2:$K$2705,$B$2:$B$2705,B1695)</f>
        <v>0.499971926557072</v>
      </c>
      <c r="M1695" s="21" t="n">
        <f aca="false">K1695-L1695</f>
        <v>-0.0370089635941085</v>
      </c>
      <c r="N1695" s="21" t="n">
        <f aca="false">LN(J1695)</f>
        <v>13.4995262300323</v>
      </c>
      <c r="O1695" s="21" t="n">
        <f aca="false">AVERAGEIFS($N$2:$N$2705,$B$2:$B$2705,B1695)</f>
        <v>13.643879242499</v>
      </c>
      <c r="P1695" s="21" t="n">
        <f aca="false">N1695-O1695</f>
        <v>-0.144353012466711</v>
      </c>
      <c r="Q1695" s="7" t="n">
        <v>0</v>
      </c>
      <c r="R1695" s="3" t="n">
        <f aca="false">IF(AND(Q1695=1,B1695-_xlfn.MINIFS($B$2:$B$2705,$A$2:$A$2705,A1695)&lt;10),1,0)</f>
        <v>0</v>
      </c>
      <c r="S1695" s="7" t="n">
        <v>0</v>
      </c>
      <c r="T1695" s="3" t="n">
        <f aca="false">_xlfn.MINIFS($B$2:$B$2705,$A$2:$A$2705,A1695)</f>
        <v>1901</v>
      </c>
      <c r="U1695" s="3" t="n">
        <f aca="false">B1695-T1695</f>
        <v>90</v>
      </c>
      <c r="V1695" s="3" t="str">
        <f aca="false">INDEX(Pop_Inputs!$Q$2:$Q$29,MATCH(C1695,Pop_Inputs!$A$2:$A$29,0))</f>
        <v>West</v>
      </c>
      <c r="W1695" s="29" t="n">
        <v>30967666</v>
      </c>
      <c r="X1695" s="3" t="n">
        <f aca="false">IF(W1695="","",LN(W1695))</f>
        <v>17.2484541858547</v>
      </c>
      <c r="Y1695" s="3" t="n">
        <f aca="false">IF(X1695="","",X1695-AVERAGEIFS($X$2:$X$2705,$B$2:$B$2705,B1695))</f>
        <v>0.316138356636827</v>
      </c>
      <c r="Z1695" s="21" t="n">
        <f aca="false">P1695</f>
        <v>-0.144353012466711</v>
      </c>
      <c r="AA1695" s="3" t="n">
        <f aca="false">R1695</f>
        <v>0</v>
      </c>
      <c r="AB1695" s="21" t="n">
        <f aca="false">P1695</f>
        <v>-0.144353012466711</v>
      </c>
      <c r="AC1695" s="3" t="n">
        <f aca="false">Y1695</f>
        <v>0.316138356636827</v>
      </c>
      <c r="AD1695" s="3" t="n">
        <f aca="false">R1695</f>
        <v>0</v>
      </c>
    </row>
    <row r="1696" customFormat="false" ht="15" hidden="false" customHeight="true" outlineLevel="0" collapsed="false">
      <c r="A1696" s="7" t="s">
        <v>59</v>
      </c>
      <c r="B1696" s="7" t="n">
        <v>1991</v>
      </c>
      <c r="C1696" s="7" t="s">
        <v>145</v>
      </c>
      <c r="D1696" s="7" t="n">
        <v>84</v>
      </c>
      <c r="E1696" s="7" t="n">
        <v>78</v>
      </c>
      <c r="F1696" s="3" t="n">
        <f aca="false">COUNTIFS($B$2:$B$2705,B1696,$C$2:$C$2705,C1696)</f>
        <v>1</v>
      </c>
      <c r="G1696" s="3" t="n">
        <f aca="false">MIN(INT((MIN(B1696,2020)-1900)/10)+1,12)</f>
        <v>10</v>
      </c>
      <c r="H1696" s="3" t="n">
        <f aca="false">(MIN(B1696,2020)-1900-10*(G1696-1))/10</f>
        <v>0.1</v>
      </c>
      <c r="I1696" s="20" t="n">
        <f aca="false">EXP(LN(INDEX(Pop_Inputs!$B$2:$N$29,MATCH(C1696,Pop_Inputs!$A$2:$A$29,0),G1696))*(1-H1696)+LN(INDEX(Pop_Inputs!$B$2:$N$29,MATCH(C1696,Pop_Inputs!$A$2:$A$29,0),G1696+1))*H1696)</f>
        <v>391545.922323108</v>
      </c>
      <c r="J1696" s="20" t="n">
        <f aca="false">I1696/F1696</f>
        <v>391545.922323108</v>
      </c>
      <c r="K1696" s="21" t="n">
        <f aca="false">D1696/(D1696+E1696)</f>
        <v>0.518518518518519</v>
      </c>
      <c r="L1696" s="21" t="n">
        <f aca="false">AVERAGEIFS($K$2:$K$2705,$B$2:$B$2705,B1696)</f>
        <v>0.499971926557072</v>
      </c>
      <c r="M1696" s="21" t="n">
        <f aca="false">K1696-L1696</f>
        <v>0.018546591961447</v>
      </c>
      <c r="N1696" s="21" t="n">
        <f aca="false">LN(J1696)</f>
        <v>12.8778580859328</v>
      </c>
      <c r="O1696" s="21" t="n">
        <f aca="false">AVERAGEIFS($N$2:$N$2705,$B$2:$B$2705,B1696)</f>
        <v>13.643879242499</v>
      </c>
      <c r="P1696" s="21" t="n">
        <f aca="false">N1696-O1696</f>
        <v>-0.766021156566161</v>
      </c>
      <c r="Q1696" s="7" t="n">
        <v>0</v>
      </c>
      <c r="R1696" s="3" t="n">
        <f aca="false">IF(AND(Q1696=1,B1696-_xlfn.MINIFS($B$2:$B$2705,$A$2:$A$2705,A1696)&lt;10),1,0)</f>
        <v>0</v>
      </c>
      <c r="S1696" s="7" t="n">
        <v>0</v>
      </c>
      <c r="T1696" s="3" t="n">
        <f aca="false">_xlfn.MINIFS($B$2:$B$2705,$A$2:$A$2705,A1696)</f>
        <v>1901</v>
      </c>
      <c r="U1696" s="3" t="n">
        <f aca="false">B1696-T1696</f>
        <v>90</v>
      </c>
      <c r="V1696" s="3" t="str">
        <f aca="false">INDEX(Pop_Inputs!$Q$2:$Q$29,MATCH(C1696,Pop_Inputs!$A$2:$A$29,0))</f>
        <v>Midwest</v>
      </c>
      <c r="W1696" s="29" t="n">
        <v>21860001</v>
      </c>
      <c r="X1696" s="3" t="n">
        <f aca="false">IF(W1696="","",LN(W1696))</f>
        <v>16.9001690864583</v>
      </c>
      <c r="Y1696" s="3" t="n">
        <f aca="false">IF(X1696="","",X1696-AVERAGEIFS($X$2:$X$2705,$B$2:$B$2705,B1696))</f>
        <v>-0.0321467427595223</v>
      </c>
      <c r="Z1696" s="21" t="n">
        <f aca="false">P1696</f>
        <v>-0.766021156566161</v>
      </c>
      <c r="AA1696" s="3" t="n">
        <f aca="false">R1696</f>
        <v>0</v>
      </c>
      <c r="AB1696" s="21" t="n">
        <f aca="false">P1696</f>
        <v>-0.766021156566161</v>
      </c>
      <c r="AC1696" s="3" t="n">
        <f aca="false">Y1696</f>
        <v>-0.0321467427595223</v>
      </c>
      <c r="AD1696" s="3" t="n">
        <f aca="false">R1696</f>
        <v>0</v>
      </c>
    </row>
    <row r="1697" customFormat="false" ht="15" hidden="false" customHeight="true" outlineLevel="0" collapsed="false">
      <c r="A1697" s="7" t="s">
        <v>73</v>
      </c>
      <c r="B1697" s="7" t="n">
        <v>1991</v>
      </c>
      <c r="C1697" s="7" t="s">
        <v>155</v>
      </c>
      <c r="D1697" s="7" t="n">
        <v>85</v>
      </c>
      <c r="E1697" s="7" t="n">
        <v>77</v>
      </c>
      <c r="F1697" s="3" t="n">
        <f aca="false">COUNTIFS($B$2:$B$2705,B1697,$C$2:$C$2705,C1697)</f>
        <v>1</v>
      </c>
      <c r="G1697" s="3" t="n">
        <f aca="false">MIN(INT((MIN(B1697,2020)-1900)/10)+1,12)</f>
        <v>10</v>
      </c>
      <c r="H1697" s="3" t="n">
        <f aca="false">(MIN(B1697,2020)-1900-10*(G1697-1))/10</f>
        <v>0.1</v>
      </c>
      <c r="I1697" s="20" t="n">
        <f aca="false">EXP(LN(INDEX(Pop_Inputs!$B$2:$N$29,MATCH(C1697,Pop_Inputs!$A$2:$A$29,0),G1697))*(1-H1697)+LN(INDEX(Pop_Inputs!$B$2:$N$29,MATCH(C1697,Pop_Inputs!$A$2:$A$29,0),G1697+1))*H1697)</f>
        <v>1023812.52392352</v>
      </c>
      <c r="J1697" s="20" t="n">
        <f aca="false">I1697/F1697</f>
        <v>1023812.52392352</v>
      </c>
      <c r="K1697" s="21" t="n">
        <f aca="false">D1697/(D1697+E1697)</f>
        <v>0.524691358024691</v>
      </c>
      <c r="L1697" s="21" t="n">
        <f aca="false">AVERAGEIFS($K$2:$K$2705,$B$2:$B$2705,B1697)</f>
        <v>0.499971926557072</v>
      </c>
      <c r="M1697" s="21" t="n">
        <f aca="false">K1697-L1697</f>
        <v>0.0247194314676198</v>
      </c>
      <c r="N1697" s="21" t="n">
        <f aca="false">LN(J1697)</f>
        <v>13.8390439857141</v>
      </c>
      <c r="O1697" s="21" t="n">
        <f aca="false">AVERAGEIFS($N$2:$N$2705,$B$2:$B$2705,B1697)</f>
        <v>13.643879242499</v>
      </c>
      <c r="P1697" s="21" t="n">
        <f aca="false">N1697-O1697</f>
        <v>0.195164743215097</v>
      </c>
      <c r="Q1697" s="7" t="n">
        <v>1</v>
      </c>
      <c r="R1697" s="3" t="n">
        <f aca="false">IF(AND(Q1697=1,B1697-_xlfn.MINIFS($B$2:$B$2705,$A$2:$A$2705,A1697)&lt;10),1,0)</f>
        <v>0</v>
      </c>
      <c r="S1697" s="7" t="n">
        <v>0</v>
      </c>
      <c r="T1697" s="3" t="n">
        <f aca="false">_xlfn.MINIFS($B$2:$B$2705,$A$2:$A$2705,A1697)</f>
        <v>1961</v>
      </c>
      <c r="U1697" s="3" t="n">
        <f aca="false">B1697-T1697</f>
        <v>30</v>
      </c>
      <c r="V1697" s="3" t="str">
        <f aca="false">INDEX(Pop_Inputs!$Q$2:$Q$29,MATCH(C1697,Pop_Inputs!$A$2:$A$29,0))</f>
        <v>South</v>
      </c>
      <c r="W1697" s="29" t="n">
        <v>18224500</v>
      </c>
      <c r="X1697" s="3" t="n">
        <f aca="false">IF(W1697="","",LN(W1697))</f>
        <v>16.7182774006404</v>
      </c>
      <c r="Y1697" s="3" t="n">
        <f aca="false">IF(X1697="","",X1697-AVERAGEIFS($X$2:$X$2705,$B$2:$B$2705,B1697))</f>
        <v>-0.214038428577439</v>
      </c>
      <c r="Z1697" s="21" t="n">
        <f aca="false">P1697</f>
        <v>0.195164743215097</v>
      </c>
      <c r="AA1697" s="3" t="n">
        <f aca="false">R1697</f>
        <v>0</v>
      </c>
      <c r="AB1697" s="21" t="n">
        <f aca="false">P1697</f>
        <v>0.195164743215097</v>
      </c>
      <c r="AC1697" s="3" t="n">
        <f aca="false">Y1697</f>
        <v>-0.214038428577439</v>
      </c>
      <c r="AD1697" s="3" t="n">
        <f aca="false">R1697</f>
        <v>0</v>
      </c>
    </row>
    <row r="1698" customFormat="false" ht="15" hidden="false" customHeight="true" outlineLevel="0" collapsed="false">
      <c r="A1698" s="7" t="s">
        <v>81</v>
      </c>
      <c r="B1698" s="7" t="n">
        <v>1991</v>
      </c>
      <c r="C1698" s="7" t="s">
        <v>162</v>
      </c>
      <c r="D1698" s="7" t="n">
        <v>91</v>
      </c>
      <c r="E1698" s="7" t="n">
        <v>71</v>
      </c>
      <c r="F1698" s="3" t="n">
        <f aca="false">COUNTIFS($B$2:$B$2705,B1698,$C$2:$C$2705,C1698)</f>
        <v>1</v>
      </c>
      <c r="G1698" s="3" t="n">
        <f aca="false">MIN(INT((MIN(B1698,2020)-1900)/10)+1,12)</f>
        <v>10</v>
      </c>
      <c r="H1698" s="3" t="n">
        <f aca="false">(MIN(B1698,2020)-1900-10*(G1698-1))/10</f>
        <v>0.1</v>
      </c>
      <c r="I1698" s="20" t="n">
        <f aca="false">EXP(LN(INDEX(Pop_Inputs!$B$2:$N$29,MATCH(C1698,Pop_Inputs!$A$2:$A$29,0),G1698))*(1-H1698)+LN(INDEX(Pop_Inputs!$B$2:$N$29,MATCH(C1698,Pop_Inputs!$A$2:$A$29,0),G1698+1))*H1698)</f>
        <v>728133.037401339</v>
      </c>
      <c r="J1698" s="20" t="n">
        <f aca="false">I1698/F1698</f>
        <v>728133.037401339</v>
      </c>
      <c r="K1698" s="21" t="n">
        <f aca="false">D1698/(D1698+E1698)</f>
        <v>0.561728395061728</v>
      </c>
      <c r="L1698" s="21" t="n">
        <f aca="false">AVERAGEIFS($K$2:$K$2705,$B$2:$B$2705,B1698)</f>
        <v>0.499971926557072</v>
      </c>
      <c r="M1698" s="21" t="n">
        <f aca="false">K1698-L1698</f>
        <v>0.0617564685046569</v>
      </c>
      <c r="N1698" s="21" t="n">
        <f aca="false">LN(J1698)</f>
        <v>13.4982390541664</v>
      </c>
      <c r="O1698" s="21" t="n">
        <f aca="false">AVERAGEIFS($N$2:$N$2705,$B$2:$B$2705,B1698)</f>
        <v>13.643879242499</v>
      </c>
      <c r="P1698" s="21" t="n">
        <f aca="false">N1698-O1698</f>
        <v>-0.145640188332592</v>
      </c>
      <c r="Q1698" s="7" t="n">
        <v>1</v>
      </c>
      <c r="R1698" s="3" t="n">
        <f aca="false">IF(AND(Q1698=1,B1698-_xlfn.MINIFS($B$2:$B$2705,$A$2:$A$2705,A1698)&lt;10),1,0)</f>
        <v>0</v>
      </c>
      <c r="S1698" s="7" t="n">
        <v>0</v>
      </c>
      <c r="T1698" s="3" t="n">
        <f aca="false">_xlfn.MINIFS($B$2:$B$2705,$A$2:$A$2705,A1698)</f>
        <v>1977</v>
      </c>
      <c r="U1698" s="3" t="n">
        <f aca="false">B1698-T1698</f>
        <v>14</v>
      </c>
      <c r="V1698" s="3" t="str">
        <f aca="false">INDEX(Pop_Inputs!$Q$2:$Q$29,MATCH(C1698,Pop_Inputs!$A$2:$A$29,0))</f>
        <v>Canada</v>
      </c>
      <c r="W1698" s="29" t="n">
        <v>19902417</v>
      </c>
      <c r="X1698" s="3" t="n">
        <f aca="false">IF(W1698="","",LN(W1698))</f>
        <v>16.8063517396058</v>
      </c>
      <c r="Y1698" s="3" t="n">
        <f aca="false">IF(X1698="","",X1698-AVERAGEIFS($X$2:$X$2705,$B$2:$B$2705,B1698))</f>
        <v>-0.12596408961203</v>
      </c>
      <c r="Z1698" s="21" t="n">
        <f aca="false">P1698</f>
        <v>-0.145640188332592</v>
      </c>
      <c r="AA1698" s="3" t="n">
        <f aca="false">R1698</f>
        <v>0</v>
      </c>
      <c r="AB1698" s="21" t="n">
        <f aca="false">P1698</f>
        <v>-0.145640188332592</v>
      </c>
      <c r="AC1698" s="3" t="n">
        <f aca="false">Y1698</f>
        <v>-0.12596408961203</v>
      </c>
      <c r="AD1698" s="3" t="n">
        <f aca="false">R1698</f>
        <v>0</v>
      </c>
    </row>
    <row r="1699" customFormat="false" ht="15" hidden="false" customHeight="true" outlineLevel="0" collapsed="false">
      <c r="A1699" s="7" t="s">
        <v>79</v>
      </c>
      <c r="B1699" s="7" t="n">
        <v>1991</v>
      </c>
      <c r="C1699" s="7" t="s">
        <v>254</v>
      </c>
      <c r="D1699" s="7" t="n">
        <v>71</v>
      </c>
      <c r="E1699" s="7" t="n">
        <v>90</v>
      </c>
      <c r="F1699" s="3" t="n">
        <f aca="false">COUNTIFS($B$2:$B$2705,B1699,$C$2:$C$2705,C1699)</f>
        <v>1</v>
      </c>
      <c r="G1699" s="3" t="n">
        <f aca="false">MIN(INT((MIN(B1699,2020)-1900)/10)+1,12)</f>
        <v>10</v>
      </c>
      <c r="H1699" s="3" t="n">
        <f aca="false">(MIN(B1699,2020)-1900-10*(G1699-1))/10</f>
        <v>0.1</v>
      </c>
      <c r="I1699" s="20" t="n">
        <f aca="false">EXP(LN(INDEX(Pop_Inputs!$B$2:$N$29,MATCH(C1699,Pop_Inputs!$A$2:$A$29,0),G1699))*(1-H1699)+LN(INDEX(Pop_Inputs!$B$2:$N$29,MATCH(C1699,Pop_Inputs!$A$2:$A$29,0),G1699+1))*H1699)</f>
        <v>1019831.9375098</v>
      </c>
      <c r="J1699" s="20" t="n">
        <f aca="false">I1699/F1699</f>
        <v>1019831.9375098</v>
      </c>
      <c r="K1699" s="21" t="n">
        <f aca="false">D1699/(D1699+E1699)</f>
        <v>0.440993788819876</v>
      </c>
      <c r="L1699" s="21" t="n">
        <f aca="false">AVERAGEIFS($K$2:$K$2705,$B$2:$B$2705,B1699)</f>
        <v>0.499971926557072</v>
      </c>
      <c r="M1699" s="21" t="n">
        <f aca="false">K1699-L1699</f>
        <v>-0.0589781377371957</v>
      </c>
      <c r="N1699" s="21" t="n">
        <f aca="false">LN(J1699)</f>
        <v>13.8351484045376</v>
      </c>
      <c r="O1699" s="21" t="n">
        <f aca="false">AVERAGEIFS($N$2:$N$2705,$B$2:$B$2705,B1699)</f>
        <v>13.643879242499</v>
      </c>
      <c r="P1699" s="21" t="n">
        <f aca="false">N1699-O1699</f>
        <v>0.191269162038624</v>
      </c>
      <c r="Q1699" s="7" t="n">
        <v>1</v>
      </c>
      <c r="R1699" s="3" t="n">
        <f aca="false">IF(AND(Q1699=1,B1699-_xlfn.MINIFS($B$2:$B$2705,$A$2:$A$2705,A1699)&lt;10),1,0)</f>
        <v>0</v>
      </c>
      <c r="S1699" s="7" t="n">
        <v>0</v>
      </c>
      <c r="T1699" s="3" t="n">
        <f aca="false">_xlfn.MINIFS($B$2:$B$2705,$A$2:$A$2705,A1699)</f>
        <v>1969</v>
      </c>
      <c r="U1699" s="3" t="n">
        <f aca="false">B1699-T1699</f>
        <v>22</v>
      </c>
      <c r="V1699" s="3" t="str">
        <f aca="false">INDEX(Pop_Inputs!$Q$2:$Q$29,MATCH(C1699,Pop_Inputs!$A$2:$A$29,0))</f>
        <v>Canada</v>
      </c>
      <c r="W1699" s="29" t="n">
        <v>10732333</v>
      </c>
      <c r="X1699" s="3" t="n">
        <f aca="false">IF(W1699="","",LN(W1699))</f>
        <v>16.1887715187455</v>
      </c>
      <c r="Y1699" s="3" t="n">
        <f aca="false">IF(X1699="","",X1699-AVERAGEIFS($X$2:$X$2705,$B$2:$B$2705,B1699))</f>
        <v>-0.743544310472352</v>
      </c>
      <c r="Z1699" s="21" t="n">
        <f aca="false">P1699</f>
        <v>0.191269162038624</v>
      </c>
      <c r="AA1699" s="3" t="n">
        <f aca="false">R1699</f>
        <v>0</v>
      </c>
      <c r="AB1699" s="21" t="n">
        <f aca="false">P1699</f>
        <v>0.191269162038624</v>
      </c>
      <c r="AC1699" s="3" t="n">
        <f aca="false">Y1699</f>
        <v>-0.743544310472352</v>
      </c>
      <c r="AD1699" s="3" t="n">
        <f aca="false">R1699</f>
        <v>0</v>
      </c>
    </row>
    <row r="1700" customFormat="false" ht="15" hidden="false" customHeight="true" outlineLevel="0" collapsed="false">
      <c r="A1700" s="7" t="s">
        <v>71</v>
      </c>
      <c r="B1700" s="7" t="n">
        <v>1992</v>
      </c>
      <c r="C1700" s="7" t="s">
        <v>148</v>
      </c>
      <c r="D1700" s="7" t="n">
        <v>72</v>
      </c>
      <c r="E1700" s="7" t="n">
        <v>90</v>
      </c>
      <c r="F1700" s="3" t="n">
        <f aca="false">COUNTIFS($B$2:$B$2705,B1700,$C$2:$C$2705,C1700)</f>
        <v>2</v>
      </c>
      <c r="G1700" s="3" t="n">
        <f aca="false">MIN(INT((MIN(B1700,2020)-1900)/10)+1,12)</f>
        <v>10</v>
      </c>
      <c r="H1700" s="3" t="n">
        <f aca="false">(MIN(B1700,2020)-1900-10*(G1700-1))/10</f>
        <v>0.2</v>
      </c>
      <c r="I1700" s="20" t="n">
        <f aca="false">EXP(LN(INDEX(Pop_Inputs!$B$2:$N$29,MATCH(C1700,Pop_Inputs!$A$2:$A$29,0),G1700))*(1-H1700)+LN(INDEX(Pop_Inputs!$B$2:$N$29,MATCH(C1700,Pop_Inputs!$A$2:$A$29,0),G1700+1))*H1700)</f>
        <v>3526310.57285752</v>
      </c>
      <c r="J1700" s="20" t="n">
        <f aca="false">I1700/F1700</f>
        <v>1763155.28642876</v>
      </c>
      <c r="K1700" s="21" t="n">
        <f aca="false">D1700/(D1700+E1700)</f>
        <v>0.444444444444444</v>
      </c>
      <c r="L1700" s="21" t="n">
        <f aca="false">AVERAGEIFS($K$2:$K$2705,$B$2:$B$2705,B1700)</f>
        <v>0.5</v>
      </c>
      <c r="M1700" s="21" t="n">
        <f aca="false">K1700-L1700</f>
        <v>-0.0555555555555556</v>
      </c>
      <c r="N1700" s="21" t="n">
        <f aca="false">LN(J1700)</f>
        <v>14.3826155382888</v>
      </c>
      <c r="O1700" s="21" t="n">
        <f aca="false">AVERAGEIFS($N$2:$N$2705,$B$2:$B$2705,B1700)</f>
        <v>13.651142914817</v>
      </c>
      <c r="P1700" s="21" t="n">
        <f aca="false">N1700-O1700</f>
        <v>0.731472623471847</v>
      </c>
      <c r="Q1700" s="7" t="n">
        <v>1</v>
      </c>
      <c r="R1700" s="3" t="n">
        <f aca="false">IF(AND(Q1700=1,B1700-_xlfn.MINIFS($B$2:$B$2705,$A$2:$A$2705,A1700)&lt;10),1,0)</f>
        <v>0</v>
      </c>
      <c r="S1700" s="7" t="n">
        <v>0</v>
      </c>
      <c r="T1700" s="3" t="n">
        <f aca="false">_xlfn.MINIFS($B$2:$B$2705,$A$2:$A$2705,A1700)</f>
        <v>1961</v>
      </c>
      <c r="U1700" s="3" t="n">
        <f aca="false">B1700-T1700</f>
        <v>31</v>
      </c>
      <c r="V1700" s="3" t="str">
        <f aca="false">INDEX(Pop_Inputs!$Q$2:$Q$29,MATCH(C1700,Pop_Inputs!$A$2:$A$29,0))</f>
        <v>West</v>
      </c>
      <c r="W1700" s="29" t="n">
        <v>34749334</v>
      </c>
      <c r="X1700" s="3" t="n">
        <f aca="false">IF(W1700="","",LN(W1700))</f>
        <v>17.3636709643238</v>
      </c>
      <c r="Y1700" s="3" t="n">
        <f aca="false">IF(X1700="","",X1700-AVERAGEIFS($X$2:$X$2705,$B$2:$B$2705,B1700))</f>
        <v>0.168493157375437</v>
      </c>
      <c r="Z1700" s="21" t="n">
        <f aca="false">P1700</f>
        <v>0.731472623471847</v>
      </c>
      <c r="AA1700" s="3" t="n">
        <f aca="false">R1700</f>
        <v>0</v>
      </c>
      <c r="AB1700" s="21" t="n">
        <f aca="false">P1700</f>
        <v>0.731472623471847</v>
      </c>
      <c r="AC1700" s="3" t="n">
        <f aca="false">Y1700</f>
        <v>0.168493157375437</v>
      </c>
      <c r="AD1700" s="3" t="n">
        <f aca="false">R1700</f>
        <v>0</v>
      </c>
    </row>
    <row r="1701" customFormat="false" ht="15" hidden="false" customHeight="true" outlineLevel="0" collapsed="false">
      <c r="A1701" s="7" t="s">
        <v>54</v>
      </c>
      <c r="B1701" s="7" t="n">
        <v>1992</v>
      </c>
      <c r="C1701" s="7" t="s">
        <v>141</v>
      </c>
      <c r="D1701" s="7" t="n">
        <v>98</v>
      </c>
      <c r="E1701" s="7" t="n">
        <v>64</v>
      </c>
      <c r="F1701" s="3" t="n">
        <f aca="false">COUNTIFS($B$2:$B$2705,B1701,$C$2:$C$2705,C1701)</f>
        <v>1</v>
      </c>
      <c r="G1701" s="3" t="n">
        <f aca="false">MIN(INT((MIN(B1701,2020)-1900)/10)+1,12)</f>
        <v>10</v>
      </c>
      <c r="H1701" s="3" t="n">
        <f aca="false">(MIN(B1701,2020)-1900-10*(G1701-1))/10</f>
        <v>0.2</v>
      </c>
      <c r="I1701" s="20" t="n">
        <f aca="false">EXP(LN(INDEX(Pop_Inputs!$B$2:$N$29,MATCH(C1701,Pop_Inputs!$A$2:$A$29,0),G1701))*(1-H1701)+LN(INDEX(Pop_Inputs!$B$2:$N$29,MATCH(C1701,Pop_Inputs!$A$2:$A$29,0),G1701+1))*H1701)</f>
        <v>398409.372744121</v>
      </c>
      <c r="J1701" s="20" t="n">
        <f aca="false">I1701/F1701</f>
        <v>398409.372744121</v>
      </c>
      <c r="K1701" s="21" t="n">
        <f aca="false">D1701/(D1701+E1701)</f>
        <v>0.604938271604938</v>
      </c>
      <c r="L1701" s="21" t="n">
        <f aca="false">AVERAGEIFS($K$2:$K$2705,$B$2:$B$2705,B1701)</f>
        <v>0.5</v>
      </c>
      <c r="M1701" s="21" t="n">
        <f aca="false">K1701-L1701</f>
        <v>0.104938271604938</v>
      </c>
      <c r="N1701" s="21" t="n">
        <f aca="false">LN(J1701)</f>
        <v>12.89523533038</v>
      </c>
      <c r="O1701" s="21" t="n">
        <f aca="false">AVERAGEIFS($N$2:$N$2705,$B$2:$B$2705,B1701)</f>
        <v>13.651142914817</v>
      </c>
      <c r="P1701" s="21" t="n">
        <f aca="false">N1701-O1701</f>
        <v>-0.755907584436992</v>
      </c>
      <c r="Q1701" s="7" t="n">
        <v>0</v>
      </c>
      <c r="R1701" s="3" t="n">
        <f aca="false">IF(AND(Q1701=1,B1701-_xlfn.MINIFS($B$2:$B$2705,$A$2:$A$2705,A1701)&lt;10),1,0)</f>
        <v>0</v>
      </c>
      <c r="S1701" s="7" t="n">
        <v>0</v>
      </c>
      <c r="T1701" s="3" t="n">
        <f aca="false">_xlfn.MINIFS($B$2:$B$2705,$A$2:$A$2705,A1701)</f>
        <v>1901</v>
      </c>
      <c r="U1701" s="3" t="n">
        <f aca="false">B1701-T1701</f>
        <v>91</v>
      </c>
      <c r="V1701" s="3" t="str">
        <f aca="false">INDEX(Pop_Inputs!$Q$2:$Q$29,MATCH(C1701,Pop_Inputs!$A$2:$A$29,0))</f>
        <v>South</v>
      </c>
      <c r="W1701" s="29" t="n">
        <v>34625333</v>
      </c>
      <c r="X1701" s="3" t="n">
        <f aca="false">IF(W1701="","",LN(W1701))</f>
        <v>17.3600961397541</v>
      </c>
      <c r="Y1701" s="3" t="n">
        <f aca="false">IF(X1701="","",X1701-AVERAGEIFS($X$2:$X$2705,$B$2:$B$2705,B1701))</f>
        <v>0.164918332805698</v>
      </c>
      <c r="Z1701" s="21" t="n">
        <f aca="false">P1701</f>
        <v>-0.755907584436992</v>
      </c>
      <c r="AA1701" s="3" t="n">
        <f aca="false">R1701</f>
        <v>0</v>
      </c>
      <c r="AB1701" s="21" t="n">
        <f aca="false">P1701</f>
        <v>-0.755907584436992</v>
      </c>
      <c r="AC1701" s="3" t="n">
        <f aca="false">Y1701</f>
        <v>0.164918332805698</v>
      </c>
      <c r="AD1701" s="3" t="n">
        <f aca="false">R1701</f>
        <v>0</v>
      </c>
    </row>
    <row r="1702" customFormat="false" ht="15" hidden="false" customHeight="true" outlineLevel="0" collapsed="false">
      <c r="A1702" s="7" t="s">
        <v>63</v>
      </c>
      <c r="B1702" s="7" t="n">
        <v>1992</v>
      </c>
      <c r="C1702" s="7" t="s">
        <v>149</v>
      </c>
      <c r="D1702" s="7" t="n">
        <v>89</v>
      </c>
      <c r="E1702" s="7" t="n">
        <v>73</v>
      </c>
      <c r="F1702" s="3" t="n">
        <f aca="false">COUNTIFS($B$2:$B$2705,B1702,$C$2:$C$2705,C1702)</f>
        <v>1</v>
      </c>
      <c r="G1702" s="3" t="n">
        <f aca="false">MIN(INT((MIN(B1702,2020)-1900)/10)+1,12)</f>
        <v>10</v>
      </c>
      <c r="H1702" s="3" t="n">
        <f aca="false">(MIN(B1702,2020)-1900-10*(G1702-1))/10</f>
        <v>0.2</v>
      </c>
      <c r="I1702" s="20" t="n">
        <f aca="false">EXP(LN(INDEX(Pop_Inputs!$B$2:$N$29,MATCH(C1702,Pop_Inputs!$A$2:$A$29,0),G1702))*(1-H1702)+LN(INDEX(Pop_Inputs!$B$2:$N$29,MATCH(C1702,Pop_Inputs!$A$2:$A$29,0),G1702+1))*H1702)</f>
        <v>718200.334043679</v>
      </c>
      <c r="J1702" s="20" t="n">
        <f aca="false">I1702/F1702</f>
        <v>718200.334043679</v>
      </c>
      <c r="K1702" s="21" t="n">
        <f aca="false">D1702/(D1702+E1702)</f>
        <v>0.549382716049383</v>
      </c>
      <c r="L1702" s="21" t="n">
        <f aca="false">AVERAGEIFS($K$2:$K$2705,$B$2:$B$2705,B1702)</f>
        <v>0.5</v>
      </c>
      <c r="M1702" s="21" t="n">
        <f aca="false">K1702-L1702</f>
        <v>0.0493827160493827</v>
      </c>
      <c r="N1702" s="21" t="n">
        <f aca="false">LN(J1702)</f>
        <v>13.4845038258863</v>
      </c>
      <c r="O1702" s="21" t="n">
        <f aca="false">AVERAGEIFS($N$2:$N$2705,$B$2:$B$2705,B1702)</f>
        <v>13.651142914817</v>
      </c>
      <c r="P1702" s="21" t="n">
        <f aca="false">N1702-O1702</f>
        <v>-0.166639088930655</v>
      </c>
      <c r="Q1702" s="7" t="n">
        <v>0</v>
      </c>
      <c r="R1702" s="3" t="n">
        <f aca="false">IF(AND(Q1702=1,B1702-_xlfn.MINIFS($B$2:$B$2705,$A$2:$A$2705,A1702)&lt;10),1,0)</f>
        <v>0</v>
      </c>
      <c r="S1702" s="7" t="n">
        <v>0</v>
      </c>
      <c r="T1702" s="3" t="n">
        <f aca="false">_xlfn.MINIFS($B$2:$B$2705,$A$2:$A$2705,A1702)</f>
        <v>1901</v>
      </c>
      <c r="U1702" s="3" t="n">
        <f aca="false">B1702-T1702</f>
        <v>91</v>
      </c>
      <c r="V1702" s="3" t="str">
        <f aca="false">INDEX(Pop_Inputs!$Q$2:$Q$29,MATCH(C1702,Pop_Inputs!$A$2:$A$29,0))</f>
        <v>South</v>
      </c>
      <c r="W1702" s="29" t="n">
        <v>23780667</v>
      </c>
      <c r="X1702" s="3" t="n">
        <f aca="false">IF(W1702="","",LN(W1702))</f>
        <v>16.984383497614</v>
      </c>
      <c r="Y1702" s="3" t="n">
        <f aca="false">IF(X1702="","",X1702-AVERAGEIFS($X$2:$X$2705,$B$2:$B$2705,B1702))</f>
        <v>-0.210794309334315</v>
      </c>
      <c r="Z1702" s="21" t="n">
        <f aca="false">P1702</f>
        <v>-0.166639088930655</v>
      </c>
      <c r="AA1702" s="3" t="n">
        <f aca="false">R1702</f>
        <v>0</v>
      </c>
      <c r="AB1702" s="21" t="n">
        <f aca="false">P1702</f>
        <v>-0.166639088930655</v>
      </c>
      <c r="AC1702" s="3" t="n">
        <f aca="false">Y1702</f>
        <v>-0.210794309334315</v>
      </c>
      <c r="AD1702" s="3" t="n">
        <f aca="false">R1702</f>
        <v>0</v>
      </c>
    </row>
    <row r="1703" customFormat="false" ht="15" hidden="false" customHeight="true" outlineLevel="0" collapsed="false">
      <c r="A1703" s="7" t="s">
        <v>64</v>
      </c>
      <c r="B1703" s="7" t="n">
        <v>1992</v>
      </c>
      <c r="C1703" s="7" t="s">
        <v>150</v>
      </c>
      <c r="D1703" s="7" t="n">
        <v>73</v>
      </c>
      <c r="E1703" s="7" t="n">
        <v>89</v>
      </c>
      <c r="F1703" s="3" t="n">
        <f aca="false">COUNTIFS($B$2:$B$2705,B1703,$C$2:$C$2705,C1703)</f>
        <v>1</v>
      </c>
      <c r="G1703" s="3" t="n">
        <f aca="false">MIN(INT((MIN(B1703,2020)-1900)/10)+1,12)</f>
        <v>10</v>
      </c>
      <c r="H1703" s="3" t="n">
        <f aca="false">(MIN(B1703,2020)-1900-10*(G1703-1))/10</f>
        <v>0.2</v>
      </c>
      <c r="I1703" s="20" t="n">
        <f aca="false">EXP(LN(INDEX(Pop_Inputs!$B$2:$N$29,MATCH(C1703,Pop_Inputs!$A$2:$A$29,0),G1703))*(1-H1703)+LN(INDEX(Pop_Inputs!$B$2:$N$29,MATCH(C1703,Pop_Inputs!$A$2:$A$29,0),G1703+1))*H1703)</f>
        <v>577224.316102563</v>
      </c>
      <c r="J1703" s="20" t="n">
        <f aca="false">I1703/F1703</f>
        <v>577224.316102563</v>
      </c>
      <c r="K1703" s="21" t="n">
        <f aca="false">D1703/(D1703+E1703)</f>
        <v>0.450617283950617</v>
      </c>
      <c r="L1703" s="21" t="n">
        <f aca="false">AVERAGEIFS($K$2:$K$2705,$B$2:$B$2705,B1703)</f>
        <v>0.5</v>
      </c>
      <c r="M1703" s="21" t="n">
        <f aca="false">K1703-L1703</f>
        <v>-0.0493827160493827</v>
      </c>
      <c r="N1703" s="21" t="n">
        <f aca="false">LN(J1703)</f>
        <v>13.2659862326843</v>
      </c>
      <c r="O1703" s="21" t="n">
        <f aca="false">AVERAGEIFS($N$2:$N$2705,$B$2:$B$2705,B1703)</f>
        <v>13.651142914817</v>
      </c>
      <c r="P1703" s="21" t="n">
        <f aca="false">N1703-O1703</f>
        <v>-0.385156682132676</v>
      </c>
      <c r="Q1703" s="7" t="n">
        <v>0</v>
      </c>
      <c r="R1703" s="3" t="n">
        <f aca="false">IF(AND(Q1703=1,B1703-_xlfn.MINIFS($B$2:$B$2705,$A$2:$A$2705,A1703)&lt;10),1,0)</f>
        <v>0</v>
      </c>
      <c r="S1703" s="7" t="n">
        <v>0</v>
      </c>
      <c r="T1703" s="3" t="n">
        <f aca="false">_xlfn.MINIFS($B$2:$B$2705,$A$2:$A$2705,A1703)</f>
        <v>1901</v>
      </c>
      <c r="U1703" s="3" t="n">
        <f aca="false">B1703-T1703</f>
        <v>91</v>
      </c>
      <c r="V1703" s="3" t="str">
        <f aca="false">INDEX(Pop_Inputs!$Q$2:$Q$29,MATCH(C1703,Pop_Inputs!$A$2:$A$29,0))</f>
        <v>Northeast</v>
      </c>
      <c r="W1703" s="29" t="n">
        <v>43610584</v>
      </c>
      <c r="X1703" s="3" t="n">
        <f aca="false">IF(W1703="","",LN(W1703))</f>
        <v>17.5908104311533</v>
      </c>
      <c r="Y1703" s="3" t="n">
        <f aca="false">IF(X1703="","",X1703-AVERAGEIFS($X$2:$X$2705,$B$2:$B$2705,B1703))</f>
        <v>0.395632624204918</v>
      </c>
      <c r="Z1703" s="21" t="n">
        <f aca="false">P1703</f>
        <v>-0.385156682132676</v>
      </c>
      <c r="AA1703" s="3" t="n">
        <f aca="false">R1703</f>
        <v>0</v>
      </c>
      <c r="AB1703" s="21" t="n">
        <f aca="false">P1703</f>
        <v>-0.385156682132676</v>
      </c>
      <c r="AC1703" s="3" t="n">
        <f aca="false">Y1703</f>
        <v>0.395632624204918</v>
      </c>
      <c r="AD1703" s="3" t="n">
        <f aca="false">R1703</f>
        <v>0</v>
      </c>
    </row>
    <row r="1704" customFormat="false" ht="15" hidden="false" customHeight="true" outlineLevel="0" collapsed="false">
      <c r="A1704" s="7" t="s">
        <v>56</v>
      </c>
      <c r="B1704" s="7" t="n">
        <v>1992</v>
      </c>
      <c r="C1704" s="7" t="s">
        <v>142</v>
      </c>
      <c r="D1704" s="7" t="n">
        <v>78</v>
      </c>
      <c r="E1704" s="7" t="n">
        <v>84</v>
      </c>
      <c r="F1704" s="3" t="n">
        <f aca="false">COUNTIFS($B$2:$B$2705,B1704,$C$2:$C$2705,C1704)</f>
        <v>2</v>
      </c>
      <c r="G1704" s="3" t="n">
        <f aca="false">MIN(INT((MIN(B1704,2020)-1900)/10)+1,12)</f>
        <v>10</v>
      </c>
      <c r="H1704" s="3" t="n">
        <f aca="false">(MIN(B1704,2020)-1900-10*(G1704-1))/10</f>
        <v>0.2</v>
      </c>
      <c r="I1704" s="20" t="n">
        <f aca="false">EXP(LN(INDEX(Pop_Inputs!$B$2:$N$29,MATCH(C1704,Pop_Inputs!$A$2:$A$29,0),G1704))*(1-H1704)+LN(INDEX(Pop_Inputs!$B$2:$N$29,MATCH(C1704,Pop_Inputs!$A$2:$A$29,0),G1704+1))*H1704)</f>
        <v>2805830.16543642</v>
      </c>
      <c r="J1704" s="20" t="n">
        <f aca="false">I1704/F1704</f>
        <v>1402915.08271821</v>
      </c>
      <c r="K1704" s="21" t="n">
        <f aca="false">D1704/(D1704+E1704)</f>
        <v>0.481481481481481</v>
      </c>
      <c r="L1704" s="21" t="n">
        <f aca="false">AVERAGEIFS($K$2:$K$2705,$B$2:$B$2705,B1704)</f>
        <v>0.5</v>
      </c>
      <c r="M1704" s="21" t="n">
        <f aca="false">K1704-L1704</f>
        <v>-0.0185185185185185</v>
      </c>
      <c r="N1704" s="21" t="n">
        <f aca="false">LN(J1704)</f>
        <v>14.1540628317491</v>
      </c>
      <c r="O1704" s="21" t="n">
        <f aca="false">AVERAGEIFS($N$2:$N$2705,$B$2:$B$2705,B1704)</f>
        <v>13.651142914817</v>
      </c>
      <c r="P1704" s="21" t="n">
        <f aca="false">N1704-O1704</f>
        <v>0.502919916932084</v>
      </c>
      <c r="Q1704" s="7" t="n">
        <v>0</v>
      </c>
      <c r="R1704" s="3" t="n">
        <f aca="false">IF(AND(Q1704=1,B1704-_xlfn.MINIFS($B$2:$B$2705,$A$2:$A$2705,A1704)&lt;10),1,0)</f>
        <v>0</v>
      </c>
      <c r="S1704" s="7" t="n">
        <v>0</v>
      </c>
      <c r="T1704" s="3" t="n">
        <f aca="false">_xlfn.MINIFS($B$2:$B$2705,$A$2:$A$2705,A1704)</f>
        <v>1901</v>
      </c>
      <c r="U1704" s="3" t="n">
        <f aca="false">B1704-T1704</f>
        <v>91</v>
      </c>
      <c r="V1704" s="3" t="str">
        <f aca="false">INDEX(Pop_Inputs!$Q$2:$Q$29,MATCH(C1704,Pop_Inputs!$A$2:$A$29,0))</f>
        <v>Midwest</v>
      </c>
      <c r="W1704" s="29" t="n">
        <v>29829686</v>
      </c>
      <c r="X1704" s="3" t="n">
        <f aca="false">IF(W1704="","",LN(W1704))</f>
        <v>17.2110146301197</v>
      </c>
      <c r="Y1704" s="3" t="n">
        <f aca="false">IF(X1704="","",X1704-AVERAGEIFS($X$2:$X$2705,$B$2:$B$2705,B1704))</f>
        <v>0.0158368231713872</v>
      </c>
      <c r="Z1704" s="21" t="n">
        <f aca="false">P1704</f>
        <v>0.502919916932084</v>
      </c>
      <c r="AA1704" s="3" t="n">
        <f aca="false">R1704</f>
        <v>0</v>
      </c>
      <c r="AB1704" s="21" t="n">
        <f aca="false">P1704</f>
        <v>0.502919916932084</v>
      </c>
      <c r="AC1704" s="3" t="n">
        <f aca="false">Y1704</f>
        <v>0.0158368231713872</v>
      </c>
      <c r="AD1704" s="3" t="n">
        <f aca="false">R1704</f>
        <v>0</v>
      </c>
    </row>
    <row r="1705" customFormat="false" ht="15" hidden="false" customHeight="true" outlineLevel="0" collapsed="false">
      <c r="A1705" s="7" t="s">
        <v>65</v>
      </c>
      <c r="B1705" s="7" t="n">
        <v>1992</v>
      </c>
      <c r="C1705" s="7" t="s">
        <v>142</v>
      </c>
      <c r="D1705" s="7" t="n">
        <v>86</v>
      </c>
      <c r="E1705" s="7" t="n">
        <v>76</v>
      </c>
      <c r="F1705" s="3" t="n">
        <f aca="false">COUNTIFS($B$2:$B$2705,B1705,$C$2:$C$2705,C1705)</f>
        <v>2</v>
      </c>
      <c r="G1705" s="3" t="n">
        <f aca="false">MIN(INT((MIN(B1705,2020)-1900)/10)+1,12)</f>
        <v>10</v>
      </c>
      <c r="H1705" s="3" t="n">
        <f aca="false">(MIN(B1705,2020)-1900-10*(G1705-1))/10</f>
        <v>0.2</v>
      </c>
      <c r="I1705" s="20" t="n">
        <f aca="false">EXP(LN(INDEX(Pop_Inputs!$B$2:$N$29,MATCH(C1705,Pop_Inputs!$A$2:$A$29,0),G1705))*(1-H1705)+LN(INDEX(Pop_Inputs!$B$2:$N$29,MATCH(C1705,Pop_Inputs!$A$2:$A$29,0),G1705+1))*H1705)</f>
        <v>2805830.16543642</v>
      </c>
      <c r="J1705" s="20" t="n">
        <f aca="false">I1705/F1705</f>
        <v>1402915.08271821</v>
      </c>
      <c r="K1705" s="21" t="n">
        <f aca="false">D1705/(D1705+E1705)</f>
        <v>0.530864197530864</v>
      </c>
      <c r="L1705" s="21" t="n">
        <f aca="false">AVERAGEIFS($K$2:$K$2705,$B$2:$B$2705,B1705)</f>
        <v>0.5</v>
      </c>
      <c r="M1705" s="21" t="n">
        <f aca="false">K1705-L1705</f>
        <v>0.0308641975308642</v>
      </c>
      <c r="N1705" s="21" t="n">
        <f aca="false">LN(J1705)</f>
        <v>14.1540628317491</v>
      </c>
      <c r="O1705" s="21" t="n">
        <f aca="false">AVERAGEIFS($N$2:$N$2705,$B$2:$B$2705,B1705)</f>
        <v>13.651142914817</v>
      </c>
      <c r="P1705" s="21" t="n">
        <f aca="false">N1705-O1705</f>
        <v>0.502919916932084</v>
      </c>
      <c r="Q1705" s="7" t="n">
        <v>0</v>
      </c>
      <c r="R1705" s="3" t="n">
        <f aca="false">IF(AND(Q1705=1,B1705-_xlfn.MINIFS($B$2:$B$2705,$A$2:$A$2705,A1705)&lt;10),1,0)</f>
        <v>0</v>
      </c>
      <c r="S1705" s="7" t="n">
        <v>0</v>
      </c>
      <c r="T1705" s="3" t="n">
        <f aca="false">_xlfn.MINIFS($B$2:$B$2705,$A$2:$A$2705,A1705)</f>
        <v>1901</v>
      </c>
      <c r="U1705" s="3" t="n">
        <f aca="false">B1705-T1705</f>
        <v>91</v>
      </c>
      <c r="V1705" s="3" t="str">
        <f aca="false">INDEX(Pop_Inputs!$Q$2:$Q$29,MATCH(C1705,Pop_Inputs!$A$2:$A$29,0))</f>
        <v>Midwest</v>
      </c>
      <c r="W1705" s="29" t="n">
        <v>30160833</v>
      </c>
      <c r="X1705" s="3" t="n">
        <f aca="false">IF(W1705="","",LN(W1705))</f>
        <v>17.222054720086</v>
      </c>
      <c r="Y1705" s="3" t="n">
        <f aca="false">IF(X1705="","",X1705-AVERAGEIFS($X$2:$X$2705,$B$2:$B$2705,B1705))</f>
        <v>0.0268769131376665</v>
      </c>
      <c r="Z1705" s="21" t="n">
        <f aca="false">P1705</f>
        <v>0.502919916932084</v>
      </c>
      <c r="AA1705" s="3" t="n">
        <f aca="false">R1705</f>
        <v>0</v>
      </c>
      <c r="AB1705" s="21" t="n">
        <f aca="false">P1705</f>
        <v>0.502919916932084</v>
      </c>
      <c r="AC1705" s="3" t="n">
        <f aca="false">Y1705</f>
        <v>0.0268769131376665</v>
      </c>
      <c r="AD1705" s="3" t="n">
        <f aca="false">R1705</f>
        <v>0</v>
      </c>
    </row>
    <row r="1706" customFormat="false" ht="15" hidden="false" customHeight="true" outlineLevel="0" collapsed="false">
      <c r="A1706" s="7" t="s">
        <v>57</v>
      </c>
      <c r="B1706" s="7" t="n">
        <v>1992</v>
      </c>
      <c r="C1706" s="7" t="s">
        <v>143</v>
      </c>
      <c r="D1706" s="7" t="n">
        <v>90</v>
      </c>
      <c r="E1706" s="7" t="n">
        <v>72</v>
      </c>
      <c r="F1706" s="3" t="n">
        <f aca="false">COUNTIFS($B$2:$B$2705,B1706,$C$2:$C$2705,C1706)</f>
        <v>1</v>
      </c>
      <c r="G1706" s="3" t="n">
        <f aca="false">MIN(INT((MIN(B1706,2020)-1900)/10)+1,12)</f>
        <v>10</v>
      </c>
      <c r="H1706" s="3" t="n">
        <f aca="false">(MIN(B1706,2020)-1900-10*(G1706-1))/10</f>
        <v>0.2</v>
      </c>
      <c r="I1706" s="20" t="n">
        <f aca="false">EXP(LN(INDEX(Pop_Inputs!$B$2:$N$29,MATCH(C1706,Pop_Inputs!$A$2:$A$29,0),G1706))*(1-H1706)+LN(INDEX(Pop_Inputs!$B$2:$N$29,MATCH(C1706,Pop_Inputs!$A$2:$A$29,0),G1706+1))*H1706)</f>
        <v>357239.636676697</v>
      </c>
      <c r="J1706" s="20" t="n">
        <f aca="false">I1706/F1706</f>
        <v>357239.636676697</v>
      </c>
      <c r="K1706" s="21" t="n">
        <f aca="false">D1706/(D1706+E1706)</f>
        <v>0.555555555555556</v>
      </c>
      <c r="L1706" s="21" t="n">
        <f aca="false">AVERAGEIFS($K$2:$K$2705,$B$2:$B$2705,B1706)</f>
        <v>0.5</v>
      </c>
      <c r="M1706" s="21" t="n">
        <f aca="false">K1706-L1706</f>
        <v>0.0555555555555556</v>
      </c>
      <c r="N1706" s="21" t="n">
        <f aca="false">LN(J1706)</f>
        <v>12.7861620867687</v>
      </c>
      <c r="O1706" s="21" t="n">
        <f aca="false">AVERAGEIFS($N$2:$N$2705,$B$2:$B$2705,B1706)</f>
        <v>13.651142914817</v>
      </c>
      <c r="P1706" s="21" t="n">
        <f aca="false">N1706-O1706</f>
        <v>-0.864980828048314</v>
      </c>
      <c r="Q1706" s="7" t="n">
        <v>0</v>
      </c>
      <c r="R1706" s="3" t="n">
        <f aca="false">IF(AND(Q1706=1,B1706-_xlfn.MINIFS($B$2:$B$2705,$A$2:$A$2705,A1706)&lt;10),1,0)</f>
        <v>0</v>
      </c>
      <c r="S1706" s="7" t="n">
        <v>0</v>
      </c>
      <c r="T1706" s="3" t="n">
        <f aca="false">_xlfn.MINIFS($B$2:$B$2705,$A$2:$A$2705,A1706)</f>
        <v>1901</v>
      </c>
      <c r="U1706" s="3" t="n">
        <f aca="false">B1706-T1706</f>
        <v>91</v>
      </c>
      <c r="V1706" s="3" t="str">
        <f aca="false">INDEX(Pop_Inputs!$Q$2:$Q$29,MATCH(C1706,Pop_Inputs!$A$2:$A$29,0))</f>
        <v>Midwest</v>
      </c>
      <c r="W1706" s="29" t="n">
        <v>35931499</v>
      </c>
      <c r="X1706" s="3" t="n">
        <f aca="false">IF(W1706="","",LN(W1706))</f>
        <v>17.3971248782306</v>
      </c>
      <c r="Y1706" s="3" t="n">
        <f aca="false">IF(X1706="","",X1706-AVERAGEIFS($X$2:$X$2705,$B$2:$B$2705,B1706))</f>
        <v>0.201947071282227</v>
      </c>
      <c r="Z1706" s="21" t="n">
        <f aca="false">P1706</f>
        <v>-0.864980828048314</v>
      </c>
      <c r="AA1706" s="3" t="n">
        <f aca="false">R1706</f>
        <v>0</v>
      </c>
      <c r="AB1706" s="21" t="n">
        <f aca="false">P1706</f>
        <v>-0.864980828048314</v>
      </c>
      <c r="AC1706" s="3" t="n">
        <f aca="false">Y1706</f>
        <v>0.201947071282227</v>
      </c>
      <c r="AD1706" s="3" t="n">
        <f aca="false">R1706</f>
        <v>0</v>
      </c>
    </row>
    <row r="1707" customFormat="false" ht="15" hidden="false" customHeight="true" outlineLevel="0" collapsed="false">
      <c r="A1707" s="7" t="s">
        <v>66</v>
      </c>
      <c r="B1707" s="7" t="n">
        <v>1992</v>
      </c>
      <c r="C1707" s="7" t="s">
        <v>151</v>
      </c>
      <c r="D1707" s="7" t="n">
        <v>76</v>
      </c>
      <c r="E1707" s="7" t="n">
        <v>86</v>
      </c>
      <c r="F1707" s="3" t="n">
        <f aca="false">COUNTIFS($B$2:$B$2705,B1707,$C$2:$C$2705,C1707)</f>
        <v>1</v>
      </c>
      <c r="G1707" s="3" t="n">
        <f aca="false">MIN(INT((MIN(B1707,2020)-1900)/10)+1,12)</f>
        <v>10</v>
      </c>
      <c r="H1707" s="3" t="n">
        <f aca="false">(MIN(B1707,2020)-1900-10*(G1707-1))/10</f>
        <v>0.2</v>
      </c>
      <c r="I1707" s="20" t="n">
        <f aca="false">EXP(LN(INDEX(Pop_Inputs!$B$2:$N$29,MATCH(C1707,Pop_Inputs!$A$2:$A$29,0),G1707))*(1-H1707)+LN(INDEX(Pop_Inputs!$B$2:$N$29,MATCH(C1707,Pop_Inputs!$A$2:$A$29,0),G1707+1))*H1707)</f>
        <v>500052.29603619</v>
      </c>
      <c r="J1707" s="20" t="n">
        <f aca="false">I1707/F1707</f>
        <v>500052.29603619</v>
      </c>
      <c r="K1707" s="21" t="n">
        <f aca="false">D1707/(D1707+E1707)</f>
        <v>0.469135802469136</v>
      </c>
      <c r="L1707" s="21" t="n">
        <f aca="false">AVERAGEIFS($K$2:$K$2705,$B$2:$B$2705,B1707)</f>
        <v>0.5</v>
      </c>
      <c r="M1707" s="21" t="n">
        <f aca="false">K1707-L1707</f>
        <v>-0.0308641975308642</v>
      </c>
      <c r="N1707" s="21" t="n">
        <f aca="false">LN(J1707)</f>
        <v>13.1224679640073</v>
      </c>
      <c r="O1707" s="21" t="n">
        <f aca="false">AVERAGEIFS($N$2:$N$2705,$B$2:$B$2705,B1707)</f>
        <v>13.651142914817</v>
      </c>
      <c r="P1707" s="21" t="n">
        <f aca="false">N1707-O1707</f>
        <v>-0.528674950809663</v>
      </c>
      <c r="Q1707" s="7" t="n">
        <v>0</v>
      </c>
      <c r="R1707" s="3" t="n">
        <f aca="false">IF(AND(Q1707=1,B1707-_xlfn.MINIFS($B$2:$B$2705,$A$2:$A$2705,A1707)&lt;10),1,0)</f>
        <v>0</v>
      </c>
      <c r="S1707" s="7" t="n">
        <v>0</v>
      </c>
      <c r="T1707" s="3" t="n">
        <f aca="false">_xlfn.MINIFS($B$2:$B$2705,$A$2:$A$2705,A1707)</f>
        <v>1901</v>
      </c>
      <c r="U1707" s="3" t="n">
        <f aca="false">B1707-T1707</f>
        <v>91</v>
      </c>
      <c r="V1707" s="3" t="str">
        <f aca="false">INDEX(Pop_Inputs!$Q$2:$Q$29,MATCH(C1707,Pop_Inputs!$A$2:$A$29,0))</f>
        <v>Midwest</v>
      </c>
      <c r="W1707" s="29" t="n">
        <v>9373044</v>
      </c>
      <c r="X1707" s="3" t="n">
        <f aca="false">IF(W1707="","",LN(W1707))</f>
        <v>16.0533484680524</v>
      </c>
      <c r="Y1707" s="3" t="n">
        <f aca="false">IF(X1707="","",X1707-AVERAGEIFS($X$2:$X$2705,$B$2:$B$2705,B1707))</f>
        <v>-1.14182933889596</v>
      </c>
      <c r="Z1707" s="21" t="n">
        <f aca="false">P1707</f>
        <v>-0.528674950809663</v>
      </c>
      <c r="AA1707" s="3" t="n">
        <f aca="false">R1707</f>
        <v>0</v>
      </c>
      <c r="AB1707" s="21" t="n">
        <f aca="false">P1707</f>
        <v>-0.528674950809663</v>
      </c>
      <c r="AC1707" s="3" t="n">
        <f aca="false">Y1707</f>
        <v>-1.14182933889596</v>
      </c>
      <c r="AD1707" s="3" t="n">
        <f aca="false">R1707</f>
        <v>0</v>
      </c>
    </row>
    <row r="1708" customFormat="false" ht="15" hidden="false" customHeight="true" outlineLevel="0" collapsed="false">
      <c r="A1708" s="7" t="s">
        <v>67</v>
      </c>
      <c r="B1708" s="7" t="n">
        <v>1992</v>
      </c>
      <c r="C1708" s="7" t="s">
        <v>152</v>
      </c>
      <c r="D1708" s="7" t="n">
        <v>75</v>
      </c>
      <c r="E1708" s="7" t="n">
        <v>87</v>
      </c>
      <c r="F1708" s="3" t="n">
        <f aca="false">COUNTIFS($B$2:$B$2705,B1708,$C$2:$C$2705,C1708)</f>
        <v>1</v>
      </c>
      <c r="G1708" s="3" t="n">
        <f aca="false">MIN(INT((MIN(B1708,2020)-1900)/10)+1,12)</f>
        <v>10</v>
      </c>
      <c r="H1708" s="3" t="n">
        <f aca="false">(MIN(B1708,2020)-1900-10*(G1708-1))/10</f>
        <v>0.2</v>
      </c>
      <c r="I1708" s="20" t="n">
        <f aca="false">EXP(LN(INDEX(Pop_Inputs!$B$2:$N$29,MATCH(C1708,Pop_Inputs!$A$2:$A$29,0),G1708))*(1-H1708)+LN(INDEX(Pop_Inputs!$B$2:$N$29,MATCH(C1708,Pop_Inputs!$A$2:$A$29,0),G1708+1))*H1708)</f>
        <v>1012153.69402023</v>
      </c>
      <c r="J1708" s="20" t="n">
        <f aca="false">I1708/F1708</f>
        <v>1012153.69402023</v>
      </c>
      <c r="K1708" s="21" t="n">
        <f aca="false">D1708/(D1708+E1708)</f>
        <v>0.462962962962963</v>
      </c>
      <c r="L1708" s="21" t="n">
        <f aca="false">AVERAGEIFS($K$2:$K$2705,$B$2:$B$2705,B1708)</f>
        <v>0.5</v>
      </c>
      <c r="M1708" s="21" t="n">
        <f aca="false">K1708-L1708</f>
        <v>-0.037037037037037</v>
      </c>
      <c r="N1708" s="21" t="n">
        <f aca="false">LN(J1708)</f>
        <v>13.8275909888597</v>
      </c>
      <c r="O1708" s="21" t="n">
        <f aca="false">AVERAGEIFS($N$2:$N$2705,$B$2:$B$2705,B1708)</f>
        <v>13.651142914817</v>
      </c>
      <c r="P1708" s="21" t="n">
        <f aca="false">N1708-O1708</f>
        <v>0.176448074042721</v>
      </c>
      <c r="Q1708" s="7" t="n">
        <v>0</v>
      </c>
      <c r="R1708" s="3" t="n">
        <f aca="false">IF(AND(Q1708=1,B1708-_xlfn.MINIFS($B$2:$B$2705,$A$2:$A$2705,A1708)&lt;10),1,0)</f>
        <v>0</v>
      </c>
      <c r="S1708" s="7" t="n">
        <v>0</v>
      </c>
      <c r="T1708" s="3" t="n">
        <f aca="false">_xlfn.MINIFS($B$2:$B$2705,$A$2:$A$2705,A1708)</f>
        <v>1901</v>
      </c>
      <c r="U1708" s="3" t="n">
        <f aca="false">B1708-T1708</f>
        <v>91</v>
      </c>
      <c r="V1708" s="3" t="str">
        <f aca="false">INDEX(Pop_Inputs!$Q$2:$Q$29,MATCH(C1708,Pop_Inputs!$A$2:$A$29,0))</f>
        <v>Midwest</v>
      </c>
      <c r="W1708" s="29" t="n">
        <v>27322834</v>
      </c>
      <c r="X1708" s="3" t="n">
        <f aca="false">IF(W1708="","",LN(W1708))</f>
        <v>17.1232333208155</v>
      </c>
      <c r="Y1708" s="3" t="n">
        <f aca="false">IF(X1708="","",X1708-AVERAGEIFS($X$2:$X$2705,$B$2:$B$2705,B1708))</f>
        <v>-0.0719444861328888</v>
      </c>
      <c r="Z1708" s="21" t="n">
        <f aca="false">P1708</f>
        <v>0.176448074042721</v>
      </c>
      <c r="AA1708" s="3" t="n">
        <f aca="false">R1708</f>
        <v>0</v>
      </c>
      <c r="AB1708" s="21" t="n">
        <f aca="false">P1708</f>
        <v>0.176448074042721</v>
      </c>
      <c r="AC1708" s="3" t="n">
        <f aca="false">Y1708</f>
        <v>-0.0719444861328888</v>
      </c>
      <c r="AD1708" s="3" t="n">
        <f aca="false">R1708</f>
        <v>0</v>
      </c>
    </row>
    <row r="1709" customFormat="false" ht="15" hidden="false" customHeight="true" outlineLevel="0" collapsed="false">
      <c r="A1709" s="7" t="s">
        <v>74</v>
      </c>
      <c r="B1709" s="7" t="n">
        <v>1992</v>
      </c>
      <c r="C1709" s="7" t="s">
        <v>156</v>
      </c>
      <c r="D1709" s="7" t="n">
        <v>81</v>
      </c>
      <c r="E1709" s="7" t="n">
        <v>81</v>
      </c>
      <c r="F1709" s="3" t="n">
        <f aca="false">COUNTIFS($B$2:$B$2705,B1709,$C$2:$C$2705,C1709)</f>
        <v>1</v>
      </c>
      <c r="G1709" s="3" t="n">
        <f aca="false">MIN(INT((MIN(B1709,2020)-1900)/10)+1,12)</f>
        <v>10</v>
      </c>
      <c r="H1709" s="3" t="n">
        <f aca="false">(MIN(B1709,2020)-1900-10*(G1709-1))/10</f>
        <v>0.2</v>
      </c>
      <c r="I1709" s="20" t="n">
        <f aca="false">EXP(LN(INDEX(Pop_Inputs!$B$2:$N$29,MATCH(C1709,Pop_Inputs!$A$2:$A$29,0),G1709))*(1-H1709)+LN(INDEX(Pop_Inputs!$B$2:$N$29,MATCH(C1709,Pop_Inputs!$A$2:$A$29,0),G1709+1))*H1709)</f>
        <v>1690582.78949809</v>
      </c>
      <c r="J1709" s="20" t="n">
        <f aca="false">I1709/F1709</f>
        <v>1690582.78949809</v>
      </c>
      <c r="K1709" s="21" t="n">
        <f aca="false">D1709/(D1709+E1709)</f>
        <v>0.5</v>
      </c>
      <c r="L1709" s="21" t="n">
        <f aca="false">AVERAGEIFS($K$2:$K$2705,$B$2:$B$2705,B1709)</f>
        <v>0.5</v>
      </c>
      <c r="M1709" s="21" t="n">
        <f aca="false">K1709-L1709</f>
        <v>0</v>
      </c>
      <c r="N1709" s="21" t="n">
        <f aca="false">LN(J1709)</f>
        <v>14.3405838733105</v>
      </c>
      <c r="O1709" s="21" t="n">
        <f aca="false">AVERAGEIFS($N$2:$N$2705,$B$2:$B$2705,B1709)</f>
        <v>13.651142914817</v>
      </c>
      <c r="P1709" s="21" t="n">
        <f aca="false">N1709-O1709</f>
        <v>0.689440958493449</v>
      </c>
      <c r="Q1709" s="7" t="n">
        <v>1</v>
      </c>
      <c r="R1709" s="3" t="n">
        <f aca="false">IF(AND(Q1709=1,B1709-_xlfn.MINIFS($B$2:$B$2705,$A$2:$A$2705,A1709)&lt;10),1,0)</f>
        <v>0</v>
      </c>
      <c r="S1709" s="7" t="n">
        <v>0</v>
      </c>
      <c r="T1709" s="3" t="n">
        <f aca="false">_xlfn.MINIFS($B$2:$B$2705,$A$2:$A$2705,A1709)</f>
        <v>1962</v>
      </c>
      <c r="U1709" s="3" t="n">
        <f aca="false">B1709-T1709</f>
        <v>30</v>
      </c>
      <c r="V1709" s="3" t="str">
        <f aca="false">INDEX(Pop_Inputs!$Q$2:$Q$29,MATCH(C1709,Pop_Inputs!$A$2:$A$29,0))</f>
        <v>South</v>
      </c>
      <c r="W1709" s="29" t="n">
        <v>15407500</v>
      </c>
      <c r="X1709" s="3" t="n">
        <f aca="false">IF(W1709="","",LN(W1709))</f>
        <v>16.5503649618185</v>
      </c>
      <c r="Y1709" s="3" t="n">
        <f aca="false">IF(X1709="","",X1709-AVERAGEIFS($X$2:$X$2705,$B$2:$B$2705,B1709))</f>
        <v>-0.644812845129817</v>
      </c>
      <c r="Z1709" s="21" t="n">
        <f aca="false">P1709</f>
        <v>0.689440958493449</v>
      </c>
      <c r="AA1709" s="3" t="n">
        <f aca="false">R1709</f>
        <v>0</v>
      </c>
      <c r="AB1709" s="21" t="n">
        <f aca="false">P1709</f>
        <v>0.689440958493449</v>
      </c>
      <c r="AC1709" s="3" t="n">
        <f aca="false">Y1709</f>
        <v>-0.644812845129817</v>
      </c>
      <c r="AD1709" s="3" t="n">
        <f aca="false">R1709</f>
        <v>0</v>
      </c>
    </row>
    <row r="1710" customFormat="false" ht="15" hidden="false" customHeight="true" outlineLevel="0" collapsed="false">
      <c r="A1710" s="7" t="s">
        <v>76</v>
      </c>
      <c r="B1710" s="7" t="n">
        <v>1992</v>
      </c>
      <c r="C1710" s="7" t="s">
        <v>157</v>
      </c>
      <c r="D1710" s="7" t="n">
        <v>72</v>
      </c>
      <c r="E1710" s="7" t="n">
        <v>90</v>
      </c>
      <c r="F1710" s="3" t="n">
        <f aca="false">COUNTIFS($B$2:$B$2705,B1710,$C$2:$C$2705,C1710)</f>
        <v>1</v>
      </c>
      <c r="G1710" s="3" t="n">
        <f aca="false">MIN(INT((MIN(B1710,2020)-1900)/10)+1,12)</f>
        <v>10</v>
      </c>
      <c r="H1710" s="3" t="n">
        <f aca="false">(MIN(B1710,2020)-1900-10*(G1710-1))/10</f>
        <v>0.2</v>
      </c>
      <c r="I1710" s="20" t="n">
        <f aca="false">EXP(LN(INDEX(Pop_Inputs!$B$2:$N$29,MATCH(C1710,Pop_Inputs!$A$2:$A$29,0),G1710))*(1-H1710)+LN(INDEX(Pop_Inputs!$B$2:$N$29,MATCH(C1710,Pop_Inputs!$A$2:$A$29,0),G1710+1))*H1710)</f>
        <v>436418.337752069</v>
      </c>
      <c r="J1710" s="20" t="n">
        <f aca="false">I1710/F1710</f>
        <v>436418.337752069</v>
      </c>
      <c r="K1710" s="21" t="n">
        <f aca="false">D1710/(D1710+E1710)</f>
        <v>0.444444444444444</v>
      </c>
      <c r="L1710" s="21" t="n">
        <f aca="false">AVERAGEIFS($K$2:$K$2705,$B$2:$B$2705,B1710)</f>
        <v>0.5</v>
      </c>
      <c r="M1710" s="21" t="n">
        <f aca="false">K1710-L1710</f>
        <v>-0.0555555555555556</v>
      </c>
      <c r="N1710" s="21" t="n">
        <f aca="false">LN(J1710)</f>
        <v>12.9863565525717</v>
      </c>
      <c r="O1710" s="21" t="n">
        <f aca="false">AVERAGEIFS($N$2:$N$2705,$B$2:$B$2705,B1710)</f>
        <v>13.651142914817</v>
      </c>
      <c r="P1710" s="21" t="n">
        <f aca="false">N1710-O1710</f>
        <v>-0.664786362245335</v>
      </c>
      <c r="Q1710" s="7" t="n">
        <v>1</v>
      </c>
      <c r="R1710" s="3" t="n">
        <f aca="false">IF(AND(Q1710=1,B1710-_xlfn.MINIFS($B$2:$B$2705,$A$2:$A$2705,A1710)&lt;10),1,0)</f>
        <v>0</v>
      </c>
      <c r="S1710" s="7" t="n">
        <v>0</v>
      </c>
      <c r="T1710" s="3" t="n">
        <f aca="false">_xlfn.MINIFS($B$2:$B$2705,$A$2:$A$2705,A1710)</f>
        <v>1969</v>
      </c>
      <c r="U1710" s="3" t="n">
        <f aca="false">B1710-T1710</f>
        <v>23</v>
      </c>
      <c r="V1710" s="3" t="str">
        <f aca="false">INDEX(Pop_Inputs!$Q$2:$Q$29,MATCH(C1710,Pop_Inputs!$A$2:$A$29,0))</f>
        <v>Midwest</v>
      </c>
      <c r="W1710" s="29" t="n">
        <v>33893834</v>
      </c>
      <c r="X1710" s="3" t="n">
        <f aca="false">IF(W1710="","",LN(W1710))</f>
        <v>17.3387436679015</v>
      </c>
      <c r="Y1710" s="3" t="n">
        <f aca="false">IF(X1710="","",X1710-AVERAGEIFS($X$2:$X$2705,$B$2:$B$2705,B1710))</f>
        <v>0.14356586095311</v>
      </c>
      <c r="Z1710" s="21" t="n">
        <f aca="false">P1710</f>
        <v>-0.664786362245335</v>
      </c>
      <c r="AA1710" s="3" t="n">
        <f aca="false">R1710</f>
        <v>0</v>
      </c>
      <c r="AB1710" s="21" t="n">
        <f aca="false">P1710</f>
        <v>-0.664786362245335</v>
      </c>
      <c r="AC1710" s="3" t="n">
        <f aca="false">Y1710</f>
        <v>0.14356586095311</v>
      </c>
      <c r="AD1710" s="3" t="n">
        <f aca="false">R1710</f>
        <v>0</v>
      </c>
    </row>
    <row r="1711" customFormat="false" ht="15" hidden="false" customHeight="true" outlineLevel="0" collapsed="false">
      <c r="A1711" s="7" t="s">
        <v>62</v>
      </c>
      <c r="B1711" s="7" t="n">
        <v>1992</v>
      </c>
      <c r="C1711" s="7" t="s">
        <v>148</v>
      </c>
      <c r="D1711" s="7" t="n">
        <v>63</v>
      </c>
      <c r="E1711" s="7" t="n">
        <v>99</v>
      </c>
      <c r="F1711" s="3" t="n">
        <f aca="false">COUNTIFS($B$2:$B$2705,B1711,$C$2:$C$2705,C1711)</f>
        <v>2</v>
      </c>
      <c r="G1711" s="3" t="n">
        <f aca="false">MIN(INT((MIN(B1711,2020)-1900)/10)+1,12)</f>
        <v>10</v>
      </c>
      <c r="H1711" s="3" t="n">
        <f aca="false">(MIN(B1711,2020)-1900-10*(G1711-1))/10</f>
        <v>0.2</v>
      </c>
      <c r="I1711" s="20" t="n">
        <f aca="false">EXP(LN(INDEX(Pop_Inputs!$B$2:$N$29,MATCH(C1711,Pop_Inputs!$A$2:$A$29,0),G1711))*(1-H1711)+LN(INDEX(Pop_Inputs!$B$2:$N$29,MATCH(C1711,Pop_Inputs!$A$2:$A$29,0),G1711+1))*H1711)</f>
        <v>3526310.57285752</v>
      </c>
      <c r="J1711" s="20" t="n">
        <f aca="false">I1711/F1711</f>
        <v>1763155.28642876</v>
      </c>
      <c r="K1711" s="21" t="n">
        <f aca="false">D1711/(D1711+E1711)</f>
        <v>0.388888888888889</v>
      </c>
      <c r="L1711" s="21" t="n">
        <f aca="false">AVERAGEIFS($K$2:$K$2705,$B$2:$B$2705,B1711)</f>
        <v>0.5</v>
      </c>
      <c r="M1711" s="21" t="n">
        <f aca="false">K1711-L1711</f>
        <v>-0.111111111111111</v>
      </c>
      <c r="N1711" s="21" t="n">
        <f aca="false">LN(J1711)</f>
        <v>14.3826155382888</v>
      </c>
      <c r="O1711" s="21" t="n">
        <f aca="false">AVERAGEIFS($N$2:$N$2705,$B$2:$B$2705,B1711)</f>
        <v>13.651142914817</v>
      </c>
      <c r="P1711" s="21" t="n">
        <f aca="false">N1711-O1711</f>
        <v>0.731472623471847</v>
      </c>
      <c r="Q1711" s="7" t="n">
        <v>0</v>
      </c>
      <c r="R1711" s="3" t="n">
        <f aca="false">IF(AND(Q1711=1,B1711-_xlfn.MINIFS($B$2:$B$2705,$A$2:$A$2705,A1711)&lt;10),1,0)</f>
        <v>0</v>
      </c>
      <c r="S1711" s="7" t="n">
        <v>0</v>
      </c>
      <c r="T1711" s="3" t="n">
        <f aca="false">_xlfn.MINIFS($B$2:$B$2705,$A$2:$A$2705,A1711)</f>
        <v>1901</v>
      </c>
      <c r="U1711" s="3" t="n">
        <f aca="false">B1711-T1711</f>
        <v>91</v>
      </c>
      <c r="V1711" s="3" t="str">
        <f aca="false">INDEX(Pop_Inputs!$Q$2:$Q$29,MATCH(C1711,Pop_Inputs!$A$2:$A$29,0))</f>
        <v>West</v>
      </c>
      <c r="W1711" s="29" t="n">
        <v>44788166</v>
      </c>
      <c r="X1711" s="3" t="n">
        <f aca="false">IF(W1711="","",LN(W1711))</f>
        <v>17.6174545107053</v>
      </c>
      <c r="Y1711" s="3" t="n">
        <f aca="false">IF(X1711="","",X1711-AVERAGEIFS($X$2:$X$2705,$B$2:$B$2705,B1711))</f>
        <v>0.422276703756921</v>
      </c>
      <c r="Z1711" s="21" t="n">
        <f aca="false">P1711</f>
        <v>0.731472623471847</v>
      </c>
      <c r="AA1711" s="3" t="n">
        <f aca="false">R1711</f>
        <v>0</v>
      </c>
      <c r="AB1711" s="21" t="n">
        <f aca="false">P1711</f>
        <v>0.731472623471847</v>
      </c>
      <c r="AC1711" s="3" t="n">
        <f aca="false">Y1711</f>
        <v>0.422276703756921</v>
      </c>
      <c r="AD1711" s="3" t="n">
        <f aca="false">R1711</f>
        <v>0</v>
      </c>
    </row>
    <row r="1712" customFormat="false" ht="15" hidden="false" customHeight="true" outlineLevel="0" collapsed="false">
      <c r="A1712" s="7" t="s">
        <v>77</v>
      </c>
      <c r="B1712" s="7" t="n">
        <v>1992</v>
      </c>
      <c r="C1712" s="7" t="s">
        <v>158</v>
      </c>
      <c r="D1712" s="7" t="n">
        <v>92</v>
      </c>
      <c r="E1712" s="7" t="n">
        <v>70</v>
      </c>
      <c r="F1712" s="3" t="n">
        <f aca="false">COUNTIFS($B$2:$B$2705,B1712,$C$2:$C$2705,C1712)</f>
        <v>1</v>
      </c>
      <c r="G1712" s="3" t="n">
        <f aca="false">MIN(INT((MIN(B1712,2020)-1900)/10)+1,12)</f>
        <v>10</v>
      </c>
      <c r="H1712" s="3" t="n">
        <f aca="false">(MIN(B1712,2020)-1900-10*(G1712-1))/10</f>
        <v>0.2</v>
      </c>
      <c r="I1712" s="20" t="n">
        <f aca="false">EXP(LN(INDEX(Pop_Inputs!$B$2:$N$29,MATCH(C1712,Pop_Inputs!$A$2:$A$29,0),G1712))*(1-H1712)+LN(INDEX(Pop_Inputs!$B$2:$N$29,MATCH(C1712,Pop_Inputs!$A$2:$A$29,0),G1712+1))*H1712)</f>
        <v>621738.097841399</v>
      </c>
      <c r="J1712" s="20" t="n">
        <f aca="false">I1712/F1712</f>
        <v>621738.097841399</v>
      </c>
      <c r="K1712" s="21" t="n">
        <f aca="false">D1712/(D1712+E1712)</f>
        <v>0.567901234567901</v>
      </c>
      <c r="L1712" s="21" t="n">
        <f aca="false">AVERAGEIFS($K$2:$K$2705,$B$2:$B$2705,B1712)</f>
        <v>0.5</v>
      </c>
      <c r="M1712" s="21" t="n">
        <f aca="false">K1712-L1712</f>
        <v>0.0679012345679012</v>
      </c>
      <c r="N1712" s="21" t="n">
        <f aca="false">LN(J1712)</f>
        <v>13.3402742184851</v>
      </c>
      <c r="O1712" s="21" t="n">
        <f aca="false">AVERAGEIFS($N$2:$N$2705,$B$2:$B$2705,B1712)</f>
        <v>13.651142914817</v>
      </c>
      <c r="P1712" s="21" t="n">
        <f aca="false">N1712-O1712</f>
        <v>-0.310868696331927</v>
      </c>
      <c r="Q1712" s="7" t="n">
        <v>1</v>
      </c>
      <c r="R1712" s="3" t="n">
        <f aca="false">IF(AND(Q1712=1,B1712-_xlfn.MINIFS($B$2:$B$2705,$A$2:$A$2705,A1712)&lt;10),1,0)</f>
        <v>0</v>
      </c>
      <c r="S1712" s="7" t="n">
        <v>0</v>
      </c>
      <c r="T1712" s="3" t="n">
        <f aca="false">_xlfn.MINIFS($B$2:$B$2705,$A$2:$A$2705,A1712)</f>
        <v>1969</v>
      </c>
      <c r="U1712" s="3" t="n">
        <f aca="false">B1712-T1712</f>
        <v>23</v>
      </c>
      <c r="V1712" s="3" t="str">
        <f aca="false">INDEX(Pop_Inputs!$Q$2:$Q$29,MATCH(C1712,Pop_Inputs!$A$2:$A$29,0))</f>
        <v>Midwest</v>
      </c>
      <c r="W1712" s="29" t="n">
        <v>31013667</v>
      </c>
      <c r="X1712" s="3" t="n">
        <f aca="false">IF(W1712="","",LN(W1712))</f>
        <v>17.2499385362621</v>
      </c>
      <c r="Y1712" s="3" t="n">
        <f aca="false">IF(X1712="","",X1712-AVERAGEIFS($X$2:$X$2705,$B$2:$B$2705,B1712))</f>
        <v>0.0547607293137595</v>
      </c>
      <c r="Z1712" s="21" t="n">
        <f aca="false">P1712</f>
        <v>-0.310868696331927</v>
      </c>
      <c r="AA1712" s="3" t="n">
        <f aca="false">R1712</f>
        <v>0</v>
      </c>
      <c r="AB1712" s="21" t="n">
        <f aca="false">P1712</f>
        <v>-0.310868696331927</v>
      </c>
      <c r="AC1712" s="3" t="n">
        <f aca="false">Y1712</f>
        <v>0.0547607293137595</v>
      </c>
      <c r="AD1712" s="3" t="n">
        <f aca="false">R1712</f>
        <v>0</v>
      </c>
    </row>
    <row r="1713" customFormat="false" ht="15" hidden="false" customHeight="true" outlineLevel="0" collapsed="false">
      <c r="A1713" s="7" t="s">
        <v>68</v>
      </c>
      <c r="B1713" s="7" t="n">
        <v>1992</v>
      </c>
      <c r="C1713" s="7" t="s">
        <v>153</v>
      </c>
      <c r="D1713" s="7" t="n">
        <v>90</v>
      </c>
      <c r="E1713" s="7" t="n">
        <v>72</v>
      </c>
      <c r="F1713" s="3" t="n">
        <f aca="false">COUNTIFS($B$2:$B$2705,B1713,$C$2:$C$2705,C1713)</f>
        <v>1</v>
      </c>
      <c r="G1713" s="3" t="n">
        <f aca="false">MIN(INT((MIN(B1713,2020)-1900)/10)+1,12)</f>
        <v>10</v>
      </c>
      <c r="H1713" s="3" t="n">
        <f aca="false">(MIN(B1713,2020)-1900-10*(G1713-1))/10</f>
        <v>0.2</v>
      </c>
      <c r="I1713" s="20" t="n">
        <f aca="false">EXP(LN(INDEX(Pop_Inputs!$B$2:$N$29,MATCH(C1713,Pop_Inputs!$A$2:$A$29,0),G1713))*(1-H1713)+LN(INDEX(Pop_Inputs!$B$2:$N$29,MATCH(C1713,Pop_Inputs!$A$2:$A$29,0),G1713+1))*H1713)</f>
        <v>371186.988120351</v>
      </c>
      <c r="J1713" s="20" t="n">
        <f aca="false">I1713/F1713</f>
        <v>371186.988120351</v>
      </c>
      <c r="K1713" s="21" t="n">
        <f aca="false">D1713/(D1713+E1713)</f>
        <v>0.555555555555556</v>
      </c>
      <c r="L1713" s="21" t="n">
        <f aca="false">AVERAGEIFS($K$2:$K$2705,$B$2:$B$2705,B1713)</f>
        <v>0.5</v>
      </c>
      <c r="M1713" s="21" t="n">
        <f aca="false">K1713-L1713</f>
        <v>0.0555555555555556</v>
      </c>
      <c r="N1713" s="21" t="n">
        <f aca="false">LN(J1713)</f>
        <v>12.8244612257247</v>
      </c>
      <c r="O1713" s="21" t="n">
        <f aca="false">AVERAGEIFS($N$2:$N$2705,$B$2:$B$2705,B1713)</f>
        <v>13.651142914817</v>
      </c>
      <c r="P1713" s="21" t="n">
        <f aca="false">N1713-O1713</f>
        <v>-0.826681689092297</v>
      </c>
      <c r="Q1713" s="7" t="n">
        <v>0</v>
      </c>
      <c r="R1713" s="3" t="n">
        <f aca="false">IF(AND(Q1713=1,B1713-_xlfn.MINIFS($B$2:$B$2705,$A$2:$A$2705,A1713)&lt;10),1,0)</f>
        <v>0</v>
      </c>
      <c r="S1713" s="7" t="n">
        <v>0</v>
      </c>
      <c r="T1713" s="3" t="n">
        <f aca="false">_xlfn.MINIFS($B$2:$B$2705,$A$2:$A$2705,A1713)</f>
        <v>1901</v>
      </c>
      <c r="U1713" s="3" t="n">
        <f aca="false">B1713-T1713</f>
        <v>91</v>
      </c>
      <c r="V1713" s="3" t="str">
        <f aca="false">INDEX(Pop_Inputs!$Q$2:$Q$29,MATCH(C1713,Pop_Inputs!$A$2:$A$29,0))</f>
        <v>Midwest</v>
      </c>
      <c r="W1713" s="29" t="n">
        <v>28027834</v>
      </c>
      <c r="X1713" s="3" t="n">
        <f aca="false">IF(W1713="","",LN(W1713))</f>
        <v>17.1487086458062</v>
      </c>
      <c r="Y1713" s="3" t="n">
        <f aca="false">IF(X1713="","",X1713-AVERAGEIFS($X$2:$X$2705,$B$2:$B$2705,B1713))</f>
        <v>-0.0464691611421095</v>
      </c>
      <c r="Z1713" s="21" t="n">
        <f aca="false">P1713</f>
        <v>-0.826681689092297</v>
      </c>
      <c r="AA1713" s="3" t="n">
        <f aca="false">R1713</f>
        <v>0</v>
      </c>
      <c r="AB1713" s="21" t="n">
        <f aca="false">P1713</f>
        <v>-0.826681689092297</v>
      </c>
      <c r="AC1713" s="3" t="n">
        <f aca="false">Y1713</f>
        <v>-0.0464691611421095</v>
      </c>
      <c r="AD1713" s="3" t="n">
        <f aca="false">R1713</f>
        <v>0</v>
      </c>
    </row>
    <row r="1714" customFormat="false" ht="15" hidden="false" customHeight="true" outlineLevel="0" collapsed="false">
      <c r="A1714" s="7" t="s">
        <v>75</v>
      </c>
      <c r="B1714" s="7" t="n">
        <v>1992</v>
      </c>
      <c r="C1714" s="7" t="s">
        <v>154</v>
      </c>
      <c r="D1714" s="7" t="n">
        <v>72</v>
      </c>
      <c r="E1714" s="7" t="n">
        <v>90</v>
      </c>
      <c r="F1714" s="3" t="n">
        <f aca="false">COUNTIFS($B$2:$B$2705,B1714,$C$2:$C$2705,C1714)</f>
        <v>2</v>
      </c>
      <c r="G1714" s="3" t="n">
        <f aca="false">MIN(INT((MIN(B1714,2020)-1900)/10)+1,12)</f>
        <v>10</v>
      </c>
      <c r="H1714" s="3" t="n">
        <f aca="false">(MIN(B1714,2020)-1900-10*(G1714-1))/10</f>
        <v>0.2</v>
      </c>
      <c r="I1714" s="20" t="n">
        <f aca="false">EXP(LN(INDEX(Pop_Inputs!$B$2:$N$29,MATCH(C1714,Pop_Inputs!$A$2:$A$29,0),G1714))*(1-H1714)+LN(INDEX(Pop_Inputs!$B$2:$N$29,MATCH(C1714,Pop_Inputs!$A$2:$A$29,0),G1714+1))*H1714)</f>
        <v>7454840.72573865</v>
      </c>
      <c r="J1714" s="20" t="n">
        <f aca="false">I1714/F1714</f>
        <v>3727420.36286933</v>
      </c>
      <c r="K1714" s="21" t="n">
        <f aca="false">D1714/(D1714+E1714)</f>
        <v>0.444444444444444</v>
      </c>
      <c r="L1714" s="21" t="n">
        <f aca="false">AVERAGEIFS($K$2:$K$2705,$B$2:$B$2705,B1714)</f>
        <v>0.5</v>
      </c>
      <c r="M1714" s="21" t="n">
        <f aca="false">K1714-L1714</f>
        <v>-0.0555555555555556</v>
      </c>
      <c r="N1714" s="21" t="n">
        <f aca="false">LN(J1714)</f>
        <v>15.1312269606361</v>
      </c>
      <c r="O1714" s="21" t="n">
        <f aca="false">AVERAGEIFS($N$2:$N$2705,$B$2:$B$2705,B1714)</f>
        <v>13.651142914817</v>
      </c>
      <c r="P1714" s="21" t="n">
        <f aca="false">N1714-O1714</f>
        <v>1.48008404581908</v>
      </c>
      <c r="Q1714" s="7" t="n">
        <v>1</v>
      </c>
      <c r="R1714" s="3" t="n">
        <f aca="false">IF(AND(Q1714=1,B1714-_xlfn.MINIFS($B$2:$B$2705,$A$2:$A$2705,A1714)&lt;10),1,0)</f>
        <v>0</v>
      </c>
      <c r="S1714" s="7" t="n">
        <v>0</v>
      </c>
      <c r="T1714" s="3" t="n">
        <f aca="false">_xlfn.MINIFS($B$2:$B$2705,$A$2:$A$2705,A1714)</f>
        <v>1962</v>
      </c>
      <c r="U1714" s="3" t="n">
        <f aca="false">B1714-T1714</f>
        <v>30</v>
      </c>
      <c r="V1714" s="3" t="str">
        <f aca="false">INDEX(Pop_Inputs!$Q$2:$Q$29,MATCH(C1714,Pop_Inputs!$A$2:$A$29,0))</f>
        <v>Northeast</v>
      </c>
      <c r="W1714" s="29" t="n">
        <v>44602002</v>
      </c>
      <c r="X1714" s="3" t="n">
        <f aca="false">IF(W1714="","",LN(W1714))</f>
        <v>17.6132893038752</v>
      </c>
      <c r="Y1714" s="3" t="n">
        <f aca="false">IF(X1714="","",X1714-AVERAGEIFS($X$2:$X$2705,$B$2:$B$2705,B1714))</f>
        <v>0.418111496926887</v>
      </c>
      <c r="Z1714" s="21" t="n">
        <f aca="false">P1714</f>
        <v>1.48008404581908</v>
      </c>
      <c r="AA1714" s="3" t="n">
        <f aca="false">R1714</f>
        <v>0</v>
      </c>
      <c r="AB1714" s="21" t="n">
        <f aca="false">P1714</f>
        <v>1.48008404581908</v>
      </c>
      <c r="AC1714" s="3" t="n">
        <f aca="false">Y1714</f>
        <v>0.418111496926887</v>
      </c>
      <c r="AD1714" s="3" t="n">
        <f aca="false">R1714</f>
        <v>0</v>
      </c>
    </row>
    <row r="1715" customFormat="false" ht="15" hidden="false" customHeight="true" outlineLevel="0" collapsed="false">
      <c r="A1715" s="7" t="s">
        <v>70</v>
      </c>
      <c r="B1715" s="7" t="n">
        <v>1992</v>
      </c>
      <c r="C1715" s="7" t="s">
        <v>154</v>
      </c>
      <c r="D1715" s="7" t="n">
        <v>76</v>
      </c>
      <c r="E1715" s="7" t="n">
        <v>86</v>
      </c>
      <c r="F1715" s="3" t="n">
        <f aca="false">COUNTIFS($B$2:$B$2705,B1715,$C$2:$C$2705,C1715)</f>
        <v>2</v>
      </c>
      <c r="G1715" s="3" t="n">
        <f aca="false">MIN(INT((MIN(B1715,2020)-1900)/10)+1,12)</f>
        <v>10</v>
      </c>
      <c r="H1715" s="3" t="n">
        <f aca="false">(MIN(B1715,2020)-1900-10*(G1715-1))/10</f>
        <v>0.2</v>
      </c>
      <c r="I1715" s="20" t="n">
        <f aca="false">EXP(LN(INDEX(Pop_Inputs!$B$2:$N$29,MATCH(C1715,Pop_Inputs!$A$2:$A$29,0),G1715))*(1-H1715)+LN(INDEX(Pop_Inputs!$B$2:$N$29,MATCH(C1715,Pop_Inputs!$A$2:$A$29,0),G1715+1))*H1715)</f>
        <v>7454840.72573865</v>
      </c>
      <c r="J1715" s="20" t="n">
        <f aca="false">I1715/F1715</f>
        <v>3727420.36286933</v>
      </c>
      <c r="K1715" s="21" t="n">
        <f aca="false">D1715/(D1715+E1715)</f>
        <v>0.469135802469136</v>
      </c>
      <c r="L1715" s="21" t="n">
        <f aca="false">AVERAGEIFS($K$2:$K$2705,$B$2:$B$2705,B1715)</f>
        <v>0.5</v>
      </c>
      <c r="M1715" s="21" t="n">
        <f aca="false">K1715-L1715</f>
        <v>-0.0308641975308642</v>
      </c>
      <c r="N1715" s="21" t="n">
        <f aca="false">LN(J1715)</f>
        <v>15.1312269606361</v>
      </c>
      <c r="O1715" s="21" t="n">
        <f aca="false">AVERAGEIFS($N$2:$N$2705,$B$2:$B$2705,B1715)</f>
        <v>13.651142914817</v>
      </c>
      <c r="P1715" s="21" t="n">
        <f aca="false">N1715-O1715</f>
        <v>1.48008404581908</v>
      </c>
      <c r="Q1715" s="7" t="n">
        <v>0</v>
      </c>
      <c r="R1715" s="3" t="n">
        <f aca="false">IF(AND(Q1715=1,B1715-_xlfn.MINIFS($B$2:$B$2705,$A$2:$A$2705,A1715)&lt;10),1,0)</f>
        <v>0</v>
      </c>
      <c r="S1715" s="7" t="n">
        <v>1</v>
      </c>
      <c r="T1715" s="3" t="n">
        <f aca="false">_xlfn.MINIFS($B$2:$B$2705,$A$2:$A$2705,A1715)</f>
        <v>1903</v>
      </c>
      <c r="U1715" s="3" t="n">
        <f aca="false">B1715-T1715</f>
        <v>89</v>
      </c>
      <c r="V1715" s="3" t="str">
        <f aca="false">INDEX(Pop_Inputs!$Q$2:$Q$29,MATCH(C1715,Pop_Inputs!$A$2:$A$29,0))</f>
        <v>Northeast</v>
      </c>
      <c r="W1715" s="29" t="n">
        <v>37543334</v>
      </c>
      <c r="X1715" s="3" t="n">
        <f aca="false">IF(W1715="","",LN(W1715))</f>
        <v>17.441006397113</v>
      </c>
      <c r="Y1715" s="3" t="n">
        <f aca="false">IF(X1715="","",X1715-AVERAGEIFS($X$2:$X$2705,$B$2:$B$2705,B1715))</f>
        <v>0.245828590164678</v>
      </c>
      <c r="Z1715" s="21" t="n">
        <f aca="false">P1715</f>
        <v>1.48008404581908</v>
      </c>
      <c r="AA1715" s="3" t="n">
        <f aca="false">R1715</f>
        <v>0</v>
      </c>
      <c r="AB1715" s="21" t="n">
        <f aca="false">P1715</f>
        <v>1.48008404581908</v>
      </c>
      <c r="AC1715" s="3" t="n">
        <f aca="false">Y1715</f>
        <v>0.245828590164678</v>
      </c>
      <c r="AD1715" s="3" t="n">
        <f aca="false">R1715</f>
        <v>0</v>
      </c>
    </row>
    <row r="1716" customFormat="false" ht="15" hidden="false" customHeight="true" outlineLevel="0" collapsed="false">
      <c r="A1716" s="7" t="s">
        <v>69</v>
      </c>
      <c r="B1716" s="7" t="n">
        <v>1992</v>
      </c>
      <c r="C1716" s="7" t="s">
        <v>253</v>
      </c>
      <c r="D1716" s="7" t="n">
        <v>96</v>
      </c>
      <c r="E1716" s="7" t="n">
        <v>66</v>
      </c>
      <c r="F1716" s="3" t="n">
        <f aca="false">COUNTIFS($B$2:$B$2705,B1716,$C$2:$C$2705,C1716)</f>
        <v>1</v>
      </c>
      <c r="G1716" s="3" t="n">
        <f aca="false">MIN(INT((MIN(B1716,2020)-1900)/10)+1,12)</f>
        <v>10</v>
      </c>
      <c r="H1716" s="3" t="n">
        <f aca="false">(MIN(B1716,2020)-1900-10*(G1716-1))/10</f>
        <v>0.2</v>
      </c>
      <c r="I1716" s="20" t="n">
        <f aca="false">EXP(LN(INDEX(Pop_Inputs!$B$2:$N$29,MATCH(C1716,Pop_Inputs!$A$2:$A$29,0),G1716))*(1-H1716)+LN(INDEX(Pop_Inputs!$B$2:$N$29,MATCH(C1716,Pop_Inputs!$A$2:$A$29,0),G1716+1))*H1716)</f>
        <v>377537.570102803</v>
      </c>
      <c r="J1716" s="20" t="n">
        <f aca="false">I1716/F1716</f>
        <v>377537.570102803</v>
      </c>
      <c r="K1716" s="21" t="n">
        <f aca="false">D1716/(D1716+E1716)</f>
        <v>0.592592592592593</v>
      </c>
      <c r="L1716" s="21" t="n">
        <f aca="false">AVERAGEIFS($K$2:$K$2705,$B$2:$B$2705,B1716)</f>
        <v>0.5</v>
      </c>
      <c r="M1716" s="21" t="n">
        <f aca="false">K1716-L1716</f>
        <v>0.0925925925925926</v>
      </c>
      <c r="N1716" s="21" t="n">
        <f aca="false">LN(J1716)</f>
        <v>12.8414253661702</v>
      </c>
      <c r="O1716" s="21" t="n">
        <f aca="false">AVERAGEIFS($N$2:$N$2705,$B$2:$B$2705,B1716)</f>
        <v>13.651142914817</v>
      </c>
      <c r="P1716" s="21" t="n">
        <f aca="false">N1716-O1716</f>
        <v>-0.809717548646781</v>
      </c>
      <c r="Q1716" s="7" t="n">
        <v>0</v>
      </c>
      <c r="R1716" s="3" t="n">
        <f aca="false">IF(AND(Q1716=1,B1716-_xlfn.MINIFS($B$2:$B$2705,$A$2:$A$2705,A1716)&lt;10),1,0)</f>
        <v>0</v>
      </c>
      <c r="S1716" s="7" t="n">
        <v>0</v>
      </c>
      <c r="T1716" s="3" t="n">
        <f aca="false">_xlfn.MINIFS($B$2:$B$2705,$A$2:$A$2705,A1716)</f>
        <v>1901</v>
      </c>
      <c r="U1716" s="3" t="n">
        <f aca="false">B1716-T1716</f>
        <v>91</v>
      </c>
      <c r="V1716" s="3" t="str">
        <f aca="false">INDEX(Pop_Inputs!$Q$2:$Q$29,MATCH(C1716,Pop_Inputs!$A$2:$A$29,0))</f>
        <v>West</v>
      </c>
      <c r="W1716" s="29" t="n">
        <v>41035000</v>
      </c>
      <c r="X1716" s="3" t="n">
        <f aca="false">IF(W1716="","",LN(W1716))</f>
        <v>17.529935919046</v>
      </c>
      <c r="Y1716" s="3" t="n">
        <f aca="false">IF(X1716="","",X1716-AVERAGEIFS($X$2:$X$2705,$B$2:$B$2705,B1716))</f>
        <v>0.3347581120976</v>
      </c>
      <c r="Z1716" s="21" t="n">
        <f aca="false">P1716</f>
        <v>-0.809717548646781</v>
      </c>
      <c r="AA1716" s="3" t="n">
        <f aca="false">R1716</f>
        <v>0</v>
      </c>
      <c r="AB1716" s="21" t="n">
        <f aca="false">P1716</f>
        <v>-0.809717548646781</v>
      </c>
      <c r="AC1716" s="3" t="n">
        <f aca="false">Y1716</f>
        <v>0.3347581120976</v>
      </c>
      <c r="AD1716" s="3" t="n">
        <f aca="false">R1716</f>
        <v>0</v>
      </c>
    </row>
    <row r="1717" customFormat="false" ht="15" hidden="false" customHeight="true" outlineLevel="0" collapsed="false">
      <c r="A1717" s="7" t="s">
        <v>60</v>
      </c>
      <c r="B1717" s="7" t="n">
        <v>1992</v>
      </c>
      <c r="C1717" s="7" t="s">
        <v>146</v>
      </c>
      <c r="D1717" s="7" t="n">
        <v>70</v>
      </c>
      <c r="E1717" s="7" t="n">
        <v>92</v>
      </c>
      <c r="F1717" s="3" t="n">
        <f aca="false">COUNTIFS($B$2:$B$2705,B1717,$C$2:$C$2705,C1717)</f>
        <v>1</v>
      </c>
      <c r="G1717" s="3" t="n">
        <f aca="false">MIN(INT((MIN(B1717,2020)-1900)/10)+1,12)</f>
        <v>10</v>
      </c>
      <c r="H1717" s="3" t="n">
        <f aca="false">(MIN(B1717,2020)-1900-10*(G1717-1))/10</f>
        <v>0.2</v>
      </c>
      <c r="I1717" s="20" t="n">
        <f aca="false">EXP(LN(INDEX(Pop_Inputs!$B$2:$N$29,MATCH(C1717,Pop_Inputs!$A$2:$A$29,0),G1717))*(1-H1717)+LN(INDEX(Pop_Inputs!$B$2:$N$29,MATCH(C1717,Pop_Inputs!$A$2:$A$29,0),G1717+1))*H1717)</f>
        <v>1571731.91450693</v>
      </c>
      <c r="J1717" s="20" t="n">
        <f aca="false">I1717/F1717</f>
        <v>1571731.91450693</v>
      </c>
      <c r="K1717" s="21" t="n">
        <f aca="false">D1717/(D1717+E1717)</f>
        <v>0.432098765432099</v>
      </c>
      <c r="L1717" s="21" t="n">
        <f aca="false">AVERAGEIFS($K$2:$K$2705,$B$2:$B$2705,B1717)</f>
        <v>0.5</v>
      </c>
      <c r="M1717" s="21" t="n">
        <f aca="false">K1717-L1717</f>
        <v>-0.0679012345679013</v>
      </c>
      <c r="N1717" s="21" t="n">
        <f aca="false">LN(J1717)</f>
        <v>14.2676886995826</v>
      </c>
      <c r="O1717" s="21" t="n">
        <f aca="false">AVERAGEIFS($N$2:$N$2705,$B$2:$B$2705,B1717)</f>
        <v>13.651142914817</v>
      </c>
      <c r="P1717" s="21" t="n">
        <f aca="false">N1717-O1717</f>
        <v>0.616545784765592</v>
      </c>
      <c r="Q1717" s="7" t="n">
        <v>0</v>
      </c>
      <c r="R1717" s="3" t="n">
        <f aca="false">IF(AND(Q1717=1,B1717-_xlfn.MINIFS($B$2:$B$2705,$A$2:$A$2705,A1717)&lt;10),1,0)</f>
        <v>0</v>
      </c>
      <c r="S1717" s="7" t="n">
        <v>0</v>
      </c>
      <c r="T1717" s="3" t="n">
        <f aca="false">_xlfn.MINIFS($B$2:$B$2705,$A$2:$A$2705,A1717)</f>
        <v>1901</v>
      </c>
      <c r="U1717" s="3" t="n">
        <f aca="false">B1717-T1717</f>
        <v>91</v>
      </c>
      <c r="V1717" s="3" t="str">
        <f aca="false">INDEX(Pop_Inputs!$Q$2:$Q$29,MATCH(C1717,Pop_Inputs!$A$2:$A$29,0))</f>
        <v>Northeast</v>
      </c>
      <c r="W1717" s="29" t="n">
        <v>24383834</v>
      </c>
      <c r="X1717" s="3" t="n">
        <f aca="false">IF(W1717="","",LN(W1717))</f>
        <v>17.0094309297026</v>
      </c>
      <c r="Y1717" s="3" t="n">
        <f aca="false">IF(X1717="","",X1717-AVERAGEIFS($X$2:$X$2705,$B$2:$B$2705,B1717))</f>
        <v>-0.185746877245798</v>
      </c>
      <c r="Z1717" s="21" t="n">
        <f aca="false">P1717</f>
        <v>0.616545784765592</v>
      </c>
      <c r="AA1717" s="3" t="n">
        <f aca="false">R1717</f>
        <v>0</v>
      </c>
      <c r="AB1717" s="21" t="n">
        <f aca="false">P1717</f>
        <v>0.616545784765592</v>
      </c>
      <c r="AC1717" s="3" t="n">
        <f aca="false">Y1717</f>
        <v>-0.185746877245798</v>
      </c>
      <c r="AD1717" s="3" t="n">
        <f aca="false">R1717</f>
        <v>0</v>
      </c>
    </row>
    <row r="1718" customFormat="false" ht="15" hidden="false" customHeight="true" outlineLevel="0" collapsed="false">
      <c r="A1718" s="7" t="s">
        <v>58</v>
      </c>
      <c r="B1718" s="7" t="n">
        <v>1992</v>
      </c>
      <c r="C1718" s="7" t="s">
        <v>144</v>
      </c>
      <c r="D1718" s="7" t="n">
        <v>96</v>
      </c>
      <c r="E1718" s="7" t="n">
        <v>66</v>
      </c>
      <c r="F1718" s="3" t="n">
        <f aca="false">COUNTIFS($B$2:$B$2705,B1718,$C$2:$C$2705,C1718)</f>
        <v>1</v>
      </c>
      <c r="G1718" s="3" t="n">
        <f aca="false">MIN(INT((MIN(B1718,2020)-1900)/10)+1,12)</f>
        <v>10</v>
      </c>
      <c r="H1718" s="3" t="n">
        <f aca="false">(MIN(B1718,2020)-1900-10*(G1718-1))/10</f>
        <v>0.2</v>
      </c>
      <c r="I1718" s="20" t="n">
        <f aca="false">EXP(LN(INDEX(Pop_Inputs!$B$2:$N$29,MATCH(C1718,Pop_Inputs!$A$2:$A$29,0),G1718))*(1-H1718)+LN(INDEX(Pop_Inputs!$B$2:$N$29,MATCH(C1718,Pop_Inputs!$A$2:$A$29,0),G1718+1))*H1718)</f>
        <v>362529.474744511</v>
      </c>
      <c r="J1718" s="20" t="n">
        <f aca="false">I1718/F1718</f>
        <v>362529.474744511</v>
      </c>
      <c r="K1718" s="21" t="n">
        <f aca="false">D1718/(D1718+E1718)</f>
        <v>0.592592592592593</v>
      </c>
      <c r="L1718" s="21" t="n">
        <f aca="false">AVERAGEIFS($K$2:$K$2705,$B$2:$B$2705,B1718)</f>
        <v>0.5</v>
      </c>
      <c r="M1718" s="21" t="n">
        <f aca="false">K1718-L1718</f>
        <v>0.0925925925925926</v>
      </c>
      <c r="N1718" s="21" t="n">
        <f aca="false">LN(J1718)</f>
        <v>12.8008610596114</v>
      </c>
      <c r="O1718" s="21" t="n">
        <f aca="false">AVERAGEIFS($N$2:$N$2705,$B$2:$B$2705,B1718)</f>
        <v>13.651142914817</v>
      </c>
      <c r="P1718" s="21" t="n">
        <f aca="false">N1718-O1718</f>
        <v>-0.850281855205555</v>
      </c>
      <c r="Q1718" s="7" t="n">
        <v>0</v>
      </c>
      <c r="R1718" s="3" t="n">
        <f aca="false">IF(AND(Q1718=1,B1718-_xlfn.MINIFS($B$2:$B$2705,$A$2:$A$2705,A1718)&lt;10),1,0)</f>
        <v>0</v>
      </c>
      <c r="S1718" s="7" t="n">
        <v>0</v>
      </c>
      <c r="T1718" s="3" t="n">
        <f aca="false">_xlfn.MINIFS($B$2:$B$2705,$A$2:$A$2705,A1718)</f>
        <v>1901</v>
      </c>
      <c r="U1718" s="3" t="n">
        <f aca="false">B1718-T1718</f>
        <v>91</v>
      </c>
      <c r="V1718" s="3" t="str">
        <f aca="false">INDEX(Pop_Inputs!$Q$2:$Q$29,MATCH(C1718,Pop_Inputs!$A$2:$A$29,0))</f>
        <v>Northeast</v>
      </c>
      <c r="W1718" s="29" t="n">
        <v>33944167</v>
      </c>
      <c r="X1718" s="3" t="n">
        <f aca="false">IF(W1718="","",LN(W1718))</f>
        <v>17.3402275857202</v>
      </c>
      <c r="Y1718" s="3" t="n">
        <f aca="false">IF(X1718="","",X1718-AVERAGEIFS($X$2:$X$2705,$B$2:$B$2705,B1718))</f>
        <v>0.145049778771863</v>
      </c>
      <c r="Z1718" s="21" t="n">
        <f aca="false">P1718</f>
        <v>-0.850281855205555</v>
      </c>
      <c r="AA1718" s="3" t="n">
        <f aca="false">R1718</f>
        <v>0</v>
      </c>
      <c r="AB1718" s="21" t="n">
        <f aca="false">P1718</f>
        <v>-0.850281855205555</v>
      </c>
      <c r="AC1718" s="3" t="n">
        <f aca="false">Y1718</f>
        <v>0.145049778771863</v>
      </c>
      <c r="AD1718" s="3" t="n">
        <f aca="false">R1718</f>
        <v>0</v>
      </c>
    </row>
    <row r="1719" customFormat="false" ht="15" hidden="false" customHeight="true" outlineLevel="0" collapsed="false">
      <c r="A1719" s="7" t="s">
        <v>78</v>
      </c>
      <c r="B1719" s="7" t="n">
        <v>1992</v>
      </c>
      <c r="C1719" s="7" t="s">
        <v>159</v>
      </c>
      <c r="D1719" s="7" t="n">
        <v>82</v>
      </c>
      <c r="E1719" s="7" t="n">
        <v>80</v>
      </c>
      <c r="F1719" s="3" t="n">
        <f aca="false">COUNTIFS($B$2:$B$2705,B1719,$C$2:$C$2705,C1719)</f>
        <v>1</v>
      </c>
      <c r="G1719" s="3" t="n">
        <f aca="false">MIN(INT((MIN(B1719,2020)-1900)/10)+1,12)</f>
        <v>10</v>
      </c>
      <c r="H1719" s="3" t="n">
        <f aca="false">(MIN(B1719,2020)-1900-10*(G1719-1))/10</f>
        <v>0.2</v>
      </c>
      <c r="I1719" s="20" t="n">
        <f aca="false">EXP(LN(INDEX(Pop_Inputs!$B$2:$N$29,MATCH(C1719,Pop_Inputs!$A$2:$A$29,0),G1719))*(1-H1719)+LN(INDEX(Pop_Inputs!$B$2:$N$29,MATCH(C1719,Pop_Inputs!$A$2:$A$29,0),G1719+1))*H1719)</f>
        <v>1132254.03107632</v>
      </c>
      <c r="J1719" s="20" t="n">
        <f aca="false">I1719/F1719</f>
        <v>1132254.03107632</v>
      </c>
      <c r="K1719" s="21" t="n">
        <f aca="false">D1719/(D1719+E1719)</f>
        <v>0.506172839506173</v>
      </c>
      <c r="L1719" s="21" t="n">
        <f aca="false">AVERAGEIFS($K$2:$K$2705,$B$2:$B$2705,B1719)</f>
        <v>0.5</v>
      </c>
      <c r="M1719" s="21" t="n">
        <f aca="false">K1719-L1719</f>
        <v>0.00617283950617287</v>
      </c>
      <c r="N1719" s="21" t="n">
        <f aca="false">LN(J1719)</f>
        <v>13.9397209216473</v>
      </c>
      <c r="O1719" s="21" t="n">
        <f aca="false">AVERAGEIFS($N$2:$N$2705,$B$2:$B$2705,B1719)</f>
        <v>13.651142914817</v>
      </c>
      <c r="P1719" s="21" t="n">
        <f aca="false">N1719-O1719</f>
        <v>0.288578006830335</v>
      </c>
      <c r="Q1719" s="7" t="n">
        <v>1</v>
      </c>
      <c r="R1719" s="3" t="n">
        <f aca="false">IF(AND(Q1719=1,B1719-_xlfn.MINIFS($B$2:$B$2705,$A$2:$A$2705,A1719)&lt;10),1,0)</f>
        <v>0</v>
      </c>
      <c r="S1719" s="7" t="n">
        <v>0</v>
      </c>
      <c r="T1719" s="3" t="n">
        <f aca="false">_xlfn.MINIFS($B$2:$B$2705,$A$2:$A$2705,A1719)</f>
        <v>1969</v>
      </c>
      <c r="U1719" s="3" t="n">
        <f aca="false">B1719-T1719</f>
        <v>23</v>
      </c>
      <c r="V1719" s="3" t="str">
        <f aca="false">INDEX(Pop_Inputs!$Q$2:$Q$29,MATCH(C1719,Pop_Inputs!$A$2:$A$29,0))</f>
        <v>West</v>
      </c>
      <c r="W1719" s="29" t="n">
        <v>26854167</v>
      </c>
      <c r="X1719" s="3" t="n">
        <f aca="false">IF(W1719="","",LN(W1719))</f>
        <v>17.1059315624083</v>
      </c>
      <c r="Y1719" s="3" t="n">
        <f aca="false">IF(X1719="","",X1719-AVERAGEIFS($X$2:$X$2705,$B$2:$B$2705,B1719))</f>
        <v>-0.0892462445400568</v>
      </c>
      <c r="Z1719" s="21" t="n">
        <f aca="false">P1719</f>
        <v>0.288578006830335</v>
      </c>
      <c r="AA1719" s="3" t="n">
        <f aca="false">R1719</f>
        <v>0</v>
      </c>
      <c r="AB1719" s="21" t="n">
        <f aca="false">P1719</f>
        <v>0.288578006830335</v>
      </c>
      <c r="AC1719" s="3" t="n">
        <f aca="false">Y1719</f>
        <v>-0.0892462445400568</v>
      </c>
      <c r="AD1719" s="3" t="n">
        <f aca="false">R1719</f>
        <v>0</v>
      </c>
    </row>
    <row r="1720" customFormat="false" ht="15" hidden="false" customHeight="true" outlineLevel="0" collapsed="false">
      <c r="A1720" s="7" t="s">
        <v>80</v>
      </c>
      <c r="B1720" s="7" t="n">
        <v>1992</v>
      </c>
      <c r="C1720" s="7" t="s">
        <v>161</v>
      </c>
      <c r="D1720" s="7" t="n">
        <v>64</v>
      </c>
      <c r="E1720" s="7" t="n">
        <v>98</v>
      </c>
      <c r="F1720" s="3" t="n">
        <f aca="false">COUNTIFS($B$2:$B$2705,B1720,$C$2:$C$2705,C1720)</f>
        <v>1</v>
      </c>
      <c r="G1720" s="3" t="n">
        <f aca="false">MIN(INT((MIN(B1720,2020)-1900)/10)+1,12)</f>
        <v>10</v>
      </c>
      <c r="H1720" s="3" t="n">
        <f aca="false">(MIN(B1720,2020)-1900-10*(G1720-1))/10</f>
        <v>0.2</v>
      </c>
      <c r="I1720" s="20" t="n">
        <f aca="false">EXP(LN(INDEX(Pop_Inputs!$B$2:$N$29,MATCH(C1720,Pop_Inputs!$A$2:$A$29,0),G1720))*(1-H1720)+LN(INDEX(Pop_Inputs!$B$2:$N$29,MATCH(C1720,Pop_Inputs!$A$2:$A$29,0),G1720+1))*H1720)</f>
        <v>525355.724293957</v>
      </c>
      <c r="J1720" s="20" t="n">
        <f aca="false">I1720/F1720</f>
        <v>525355.724293957</v>
      </c>
      <c r="K1720" s="21" t="n">
        <f aca="false">D1720/(D1720+E1720)</f>
        <v>0.395061728395062</v>
      </c>
      <c r="L1720" s="21" t="n">
        <f aca="false">AVERAGEIFS($K$2:$K$2705,$B$2:$B$2705,B1720)</f>
        <v>0.5</v>
      </c>
      <c r="M1720" s="21" t="n">
        <f aca="false">K1720-L1720</f>
        <v>-0.104938271604938</v>
      </c>
      <c r="N1720" s="21" t="n">
        <f aca="false">LN(J1720)</f>
        <v>13.1718308822105</v>
      </c>
      <c r="O1720" s="21" t="n">
        <f aca="false">AVERAGEIFS($N$2:$N$2705,$B$2:$B$2705,B1720)</f>
        <v>13.651142914817</v>
      </c>
      <c r="P1720" s="21" t="n">
        <f aca="false">N1720-O1720</f>
        <v>-0.479312032606483</v>
      </c>
      <c r="Q1720" s="7" t="n">
        <v>1</v>
      </c>
      <c r="R1720" s="3" t="n">
        <f aca="false">IF(AND(Q1720=1,B1720-_xlfn.MINIFS($B$2:$B$2705,$A$2:$A$2705,A1720)&lt;10),1,0)</f>
        <v>0</v>
      </c>
      <c r="S1720" s="7" t="n">
        <v>0</v>
      </c>
      <c r="T1720" s="3" t="n">
        <f aca="false">_xlfn.MINIFS($B$2:$B$2705,$A$2:$A$2705,A1720)</f>
        <v>1977</v>
      </c>
      <c r="U1720" s="3" t="n">
        <f aca="false">B1720-T1720</f>
        <v>15</v>
      </c>
      <c r="V1720" s="3" t="str">
        <f aca="false">INDEX(Pop_Inputs!$Q$2:$Q$29,MATCH(C1720,Pop_Inputs!$A$2:$A$29,0))</f>
        <v>West</v>
      </c>
      <c r="W1720" s="29" t="n">
        <v>23179833</v>
      </c>
      <c r="X1720" s="3" t="n">
        <f aca="false">IF(W1720="","",LN(W1720))</f>
        <v>16.9587931913633</v>
      </c>
      <c r="Y1720" s="3" t="n">
        <f aca="false">IF(X1720="","",X1720-AVERAGEIFS($X$2:$X$2705,$B$2:$B$2705,B1720))</f>
        <v>-0.236384615585049</v>
      </c>
      <c r="Z1720" s="21" t="n">
        <f aca="false">P1720</f>
        <v>-0.479312032606483</v>
      </c>
      <c r="AA1720" s="3" t="n">
        <f aca="false">R1720</f>
        <v>0</v>
      </c>
      <c r="AB1720" s="21" t="n">
        <f aca="false">P1720</f>
        <v>-0.479312032606483</v>
      </c>
      <c r="AC1720" s="3" t="n">
        <f aca="false">Y1720</f>
        <v>-0.236384615585049</v>
      </c>
      <c r="AD1720" s="3" t="n">
        <f aca="false">R1720</f>
        <v>0</v>
      </c>
    </row>
    <row r="1721" customFormat="false" ht="15" hidden="false" customHeight="true" outlineLevel="0" collapsed="false">
      <c r="A1721" s="7" t="s">
        <v>61</v>
      </c>
      <c r="B1721" s="7" t="n">
        <v>1992</v>
      </c>
      <c r="C1721" s="7" t="s">
        <v>147</v>
      </c>
      <c r="D1721" s="7" t="n">
        <v>72</v>
      </c>
      <c r="E1721" s="7" t="n">
        <v>90</v>
      </c>
      <c r="F1721" s="3" t="n">
        <f aca="false">COUNTIFS($B$2:$B$2705,B1721,$C$2:$C$2705,C1721)</f>
        <v>1</v>
      </c>
      <c r="G1721" s="3" t="n">
        <f aca="false">MIN(INT((MIN(B1721,2020)-1900)/10)+1,12)</f>
        <v>10</v>
      </c>
      <c r="H1721" s="3" t="n">
        <f aca="false">(MIN(B1721,2020)-1900-10*(G1721-1))/10</f>
        <v>0.2</v>
      </c>
      <c r="I1721" s="20" t="n">
        <f aca="false">EXP(LN(INDEX(Pop_Inputs!$B$2:$N$29,MATCH(C1721,Pop_Inputs!$A$2:$A$29,0),G1721))*(1-H1721)+LN(INDEX(Pop_Inputs!$B$2:$N$29,MATCH(C1721,Pop_Inputs!$A$2:$A$29,0),G1721+1))*H1721)</f>
        <v>734218.847221688</v>
      </c>
      <c r="J1721" s="20" t="n">
        <f aca="false">I1721/F1721</f>
        <v>734218.847221688</v>
      </c>
      <c r="K1721" s="21" t="n">
        <f aca="false">D1721/(D1721+E1721)</f>
        <v>0.444444444444444</v>
      </c>
      <c r="L1721" s="21" t="n">
        <f aca="false">AVERAGEIFS($K$2:$K$2705,$B$2:$B$2705,B1721)</f>
        <v>0.5</v>
      </c>
      <c r="M1721" s="21" t="n">
        <f aca="false">K1721-L1721</f>
        <v>-0.0555555555555556</v>
      </c>
      <c r="N1721" s="21" t="n">
        <f aca="false">LN(J1721)</f>
        <v>13.5065624201345</v>
      </c>
      <c r="O1721" s="21" t="n">
        <f aca="false">AVERAGEIFS($N$2:$N$2705,$B$2:$B$2705,B1721)</f>
        <v>13.651142914817</v>
      </c>
      <c r="P1721" s="21" t="n">
        <f aca="false">N1721-O1721</f>
        <v>-0.144580494682531</v>
      </c>
      <c r="Q1721" s="7" t="n">
        <v>0</v>
      </c>
      <c r="R1721" s="3" t="n">
        <f aca="false">IF(AND(Q1721=1,B1721-_xlfn.MINIFS($B$2:$B$2705,$A$2:$A$2705,A1721)&lt;10),1,0)</f>
        <v>0</v>
      </c>
      <c r="S1721" s="7" t="n">
        <v>0</v>
      </c>
      <c r="T1721" s="3" t="n">
        <f aca="false">_xlfn.MINIFS($B$2:$B$2705,$A$2:$A$2705,A1721)</f>
        <v>1901</v>
      </c>
      <c r="U1721" s="3" t="n">
        <f aca="false">B1721-T1721</f>
        <v>91</v>
      </c>
      <c r="V1721" s="3" t="str">
        <f aca="false">INDEX(Pop_Inputs!$Q$2:$Q$29,MATCH(C1721,Pop_Inputs!$A$2:$A$29,0))</f>
        <v>West</v>
      </c>
      <c r="W1721" s="29" t="n">
        <v>33163168</v>
      </c>
      <c r="X1721" s="3" t="n">
        <f aca="false">IF(W1721="","",LN(W1721))</f>
        <v>17.3169504204593</v>
      </c>
      <c r="Y1721" s="3" t="n">
        <f aca="false">IF(X1721="","",X1721-AVERAGEIFS($X$2:$X$2705,$B$2:$B$2705,B1721))</f>
        <v>0.121772613510984</v>
      </c>
      <c r="Z1721" s="21" t="n">
        <f aca="false">P1721</f>
        <v>-0.144580494682531</v>
      </c>
      <c r="AA1721" s="3" t="n">
        <f aca="false">R1721</f>
        <v>0</v>
      </c>
      <c r="AB1721" s="21" t="n">
        <f aca="false">P1721</f>
        <v>-0.144580494682531</v>
      </c>
      <c r="AC1721" s="3" t="n">
        <f aca="false">Y1721</f>
        <v>0.121772613510984</v>
      </c>
      <c r="AD1721" s="3" t="n">
        <f aca="false">R1721</f>
        <v>0</v>
      </c>
    </row>
    <row r="1722" customFormat="false" ht="15" hidden="false" customHeight="true" outlineLevel="0" collapsed="false">
      <c r="A1722" s="7" t="s">
        <v>59</v>
      </c>
      <c r="B1722" s="7" t="n">
        <v>1992</v>
      </c>
      <c r="C1722" s="7" t="s">
        <v>145</v>
      </c>
      <c r="D1722" s="7" t="n">
        <v>83</v>
      </c>
      <c r="E1722" s="7" t="n">
        <v>79</v>
      </c>
      <c r="F1722" s="3" t="n">
        <f aca="false">COUNTIFS($B$2:$B$2705,B1722,$C$2:$C$2705,C1722)</f>
        <v>1</v>
      </c>
      <c r="G1722" s="3" t="n">
        <f aca="false">MIN(INT((MIN(B1722,2020)-1900)/10)+1,12)</f>
        <v>10</v>
      </c>
      <c r="H1722" s="3" t="n">
        <f aca="false">(MIN(B1722,2020)-1900-10*(G1722-1))/10</f>
        <v>0.2</v>
      </c>
      <c r="I1722" s="20" t="n">
        <f aca="false">EXP(LN(INDEX(Pop_Inputs!$B$2:$N$29,MATCH(C1722,Pop_Inputs!$A$2:$A$29,0),G1722))*(1-H1722)+LN(INDEX(Pop_Inputs!$B$2:$N$29,MATCH(C1722,Pop_Inputs!$A$2:$A$29,0),G1722+1))*H1722)</f>
        <v>386473.421701989</v>
      </c>
      <c r="J1722" s="20" t="n">
        <f aca="false">I1722/F1722</f>
        <v>386473.421701989</v>
      </c>
      <c r="K1722" s="21" t="n">
        <f aca="false">D1722/(D1722+E1722)</f>
        <v>0.512345679012346</v>
      </c>
      <c r="L1722" s="21" t="n">
        <f aca="false">AVERAGEIFS($K$2:$K$2705,$B$2:$B$2705,B1722)</f>
        <v>0.5</v>
      </c>
      <c r="M1722" s="21" t="n">
        <f aca="false">K1722-L1722</f>
        <v>0.0123456790123457</v>
      </c>
      <c r="N1722" s="21" t="n">
        <f aca="false">LN(J1722)</f>
        <v>12.8648183780267</v>
      </c>
      <c r="O1722" s="21" t="n">
        <f aca="false">AVERAGEIFS($N$2:$N$2705,$B$2:$B$2705,B1722)</f>
        <v>13.651142914817</v>
      </c>
      <c r="P1722" s="21" t="n">
        <f aca="false">N1722-O1722</f>
        <v>-0.786324536790318</v>
      </c>
      <c r="Q1722" s="7" t="n">
        <v>0</v>
      </c>
      <c r="R1722" s="3" t="n">
        <f aca="false">IF(AND(Q1722=1,B1722-_xlfn.MINIFS($B$2:$B$2705,$A$2:$A$2705,A1722)&lt;10),1,0)</f>
        <v>0</v>
      </c>
      <c r="S1722" s="7" t="n">
        <v>0</v>
      </c>
      <c r="T1722" s="3" t="n">
        <f aca="false">_xlfn.MINIFS($B$2:$B$2705,$A$2:$A$2705,A1722)</f>
        <v>1901</v>
      </c>
      <c r="U1722" s="3" t="n">
        <f aca="false">B1722-T1722</f>
        <v>91</v>
      </c>
      <c r="V1722" s="3" t="str">
        <f aca="false">INDEX(Pop_Inputs!$Q$2:$Q$29,MATCH(C1722,Pop_Inputs!$A$2:$A$29,0))</f>
        <v>Midwest</v>
      </c>
      <c r="W1722" s="29" t="n">
        <v>27583836</v>
      </c>
      <c r="X1722" s="3" t="n">
        <f aca="false">IF(W1722="","",LN(W1722))</f>
        <v>17.1327405069522</v>
      </c>
      <c r="Y1722" s="3" t="n">
        <f aca="false">IF(X1722="","",X1722-AVERAGEIFS($X$2:$X$2705,$B$2:$B$2705,B1722))</f>
        <v>-0.0624372999961054</v>
      </c>
      <c r="Z1722" s="21" t="n">
        <f aca="false">P1722</f>
        <v>-0.786324536790318</v>
      </c>
      <c r="AA1722" s="3" t="n">
        <f aca="false">R1722</f>
        <v>0</v>
      </c>
      <c r="AB1722" s="21" t="n">
        <f aca="false">P1722</f>
        <v>-0.786324536790318</v>
      </c>
      <c r="AC1722" s="3" t="n">
        <f aca="false">Y1722</f>
        <v>-0.0624372999961054</v>
      </c>
      <c r="AD1722" s="3" t="n">
        <f aca="false">R1722</f>
        <v>0</v>
      </c>
    </row>
    <row r="1723" customFormat="false" ht="15" hidden="false" customHeight="true" outlineLevel="0" collapsed="false">
      <c r="A1723" s="7" t="s">
        <v>73</v>
      </c>
      <c r="B1723" s="7" t="n">
        <v>1992</v>
      </c>
      <c r="C1723" s="7" t="s">
        <v>155</v>
      </c>
      <c r="D1723" s="7" t="n">
        <v>77</v>
      </c>
      <c r="E1723" s="7" t="n">
        <v>85</v>
      </c>
      <c r="F1723" s="3" t="n">
        <f aca="false">COUNTIFS($B$2:$B$2705,B1723,$C$2:$C$2705,C1723)</f>
        <v>1</v>
      </c>
      <c r="G1723" s="3" t="n">
        <f aca="false">MIN(INT((MIN(B1723,2020)-1900)/10)+1,12)</f>
        <v>10</v>
      </c>
      <c r="H1723" s="3" t="n">
        <f aca="false">(MIN(B1723,2020)-1900-10*(G1723-1))/10</f>
        <v>0.2</v>
      </c>
      <c r="I1723" s="20" t="n">
        <f aca="false">EXP(LN(INDEX(Pop_Inputs!$B$2:$N$29,MATCH(C1723,Pop_Inputs!$A$2:$A$29,0),G1723))*(1-H1723)+LN(INDEX(Pop_Inputs!$B$2:$N$29,MATCH(C1723,Pop_Inputs!$A$2:$A$29,0),G1723+1))*H1723)</f>
        <v>1040929.51888936</v>
      </c>
      <c r="J1723" s="20" t="n">
        <f aca="false">I1723/F1723</f>
        <v>1040929.51888936</v>
      </c>
      <c r="K1723" s="21" t="n">
        <f aca="false">D1723/(D1723+E1723)</f>
        <v>0.475308641975309</v>
      </c>
      <c r="L1723" s="21" t="n">
        <f aca="false">AVERAGEIFS($K$2:$K$2705,$B$2:$B$2705,B1723)</f>
        <v>0.5</v>
      </c>
      <c r="M1723" s="21" t="n">
        <f aca="false">K1723-L1723</f>
        <v>-0.0246913580246914</v>
      </c>
      <c r="N1723" s="21" t="n">
        <f aca="false">LN(J1723)</f>
        <v>13.8556246401075</v>
      </c>
      <c r="O1723" s="21" t="n">
        <f aca="false">AVERAGEIFS($N$2:$N$2705,$B$2:$B$2705,B1723)</f>
        <v>13.651142914817</v>
      </c>
      <c r="P1723" s="21" t="n">
        <f aca="false">N1723-O1723</f>
        <v>0.204481725290464</v>
      </c>
      <c r="Q1723" s="7" t="n">
        <v>1</v>
      </c>
      <c r="R1723" s="3" t="n">
        <f aca="false">IF(AND(Q1723=1,B1723-_xlfn.MINIFS($B$2:$B$2705,$A$2:$A$2705,A1723)&lt;10),1,0)</f>
        <v>0</v>
      </c>
      <c r="S1723" s="7" t="n">
        <v>0</v>
      </c>
      <c r="T1723" s="3" t="n">
        <f aca="false">_xlfn.MINIFS($B$2:$B$2705,$A$2:$A$2705,A1723)</f>
        <v>1961</v>
      </c>
      <c r="U1723" s="3" t="n">
        <f aca="false">B1723-T1723</f>
        <v>31</v>
      </c>
      <c r="V1723" s="3" t="str">
        <f aca="false">INDEX(Pop_Inputs!$Q$2:$Q$29,MATCH(C1723,Pop_Inputs!$A$2:$A$29,0))</f>
        <v>South</v>
      </c>
      <c r="W1723" s="29" t="n">
        <v>30128167</v>
      </c>
      <c r="X1723" s="3" t="n">
        <f aca="false">IF(W1723="","",LN(W1723))</f>
        <v>17.2209710728802</v>
      </c>
      <c r="Y1723" s="3" t="n">
        <f aca="false">IF(X1723="","",X1723-AVERAGEIFS($X$2:$X$2705,$B$2:$B$2705,B1723))</f>
        <v>0.0257932659318207</v>
      </c>
      <c r="Z1723" s="21" t="n">
        <f aca="false">P1723</f>
        <v>0.204481725290464</v>
      </c>
      <c r="AA1723" s="3" t="n">
        <f aca="false">R1723</f>
        <v>0</v>
      </c>
      <c r="AB1723" s="21" t="n">
        <f aca="false">P1723</f>
        <v>0.204481725290464</v>
      </c>
      <c r="AC1723" s="3" t="n">
        <f aca="false">Y1723</f>
        <v>0.0257932659318207</v>
      </c>
      <c r="AD1723" s="3" t="n">
        <f aca="false">R1723</f>
        <v>0</v>
      </c>
    </row>
    <row r="1724" customFormat="false" ht="15" hidden="false" customHeight="true" outlineLevel="0" collapsed="false">
      <c r="A1724" s="7" t="s">
        <v>81</v>
      </c>
      <c r="B1724" s="7" t="n">
        <v>1992</v>
      </c>
      <c r="C1724" s="7" t="s">
        <v>162</v>
      </c>
      <c r="D1724" s="7" t="n">
        <v>96</v>
      </c>
      <c r="E1724" s="7" t="n">
        <v>66</v>
      </c>
      <c r="F1724" s="3" t="n">
        <f aca="false">COUNTIFS($B$2:$B$2705,B1724,$C$2:$C$2705,C1724)</f>
        <v>1</v>
      </c>
      <c r="G1724" s="3" t="n">
        <f aca="false">MIN(INT((MIN(B1724,2020)-1900)/10)+1,12)</f>
        <v>10</v>
      </c>
      <c r="H1724" s="3" t="n">
        <f aca="false">(MIN(B1724,2020)-1900-10*(G1724-1))/10</f>
        <v>0.2</v>
      </c>
      <c r="I1724" s="20" t="n">
        <f aca="false">EXP(LN(INDEX(Pop_Inputs!$B$2:$N$29,MATCH(C1724,Pop_Inputs!$A$2:$A$29,0),G1724))*(1-H1724)+LN(INDEX(Pop_Inputs!$B$2:$N$29,MATCH(C1724,Pop_Inputs!$A$2:$A$29,0),G1724+1))*H1724)</f>
        <v>834406.503285832</v>
      </c>
      <c r="J1724" s="20" t="n">
        <f aca="false">I1724/F1724</f>
        <v>834406.503285832</v>
      </c>
      <c r="K1724" s="21" t="n">
        <f aca="false">D1724/(D1724+E1724)</f>
        <v>0.592592592592593</v>
      </c>
      <c r="L1724" s="21" t="n">
        <f aca="false">AVERAGEIFS($K$2:$K$2705,$B$2:$B$2705,B1724)</f>
        <v>0.5</v>
      </c>
      <c r="M1724" s="21" t="n">
        <f aca="false">K1724-L1724</f>
        <v>0.0925925925925926</v>
      </c>
      <c r="N1724" s="21" t="n">
        <f aca="false">LN(J1724)</f>
        <v>13.634475976605</v>
      </c>
      <c r="O1724" s="21" t="n">
        <f aca="false">AVERAGEIFS($N$2:$N$2705,$B$2:$B$2705,B1724)</f>
        <v>13.651142914817</v>
      </c>
      <c r="P1724" s="21" t="n">
        <f aca="false">N1724-O1724</f>
        <v>-0.0166669382119533</v>
      </c>
      <c r="Q1724" s="7" t="n">
        <v>1</v>
      </c>
      <c r="R1724" s="3" t="n">
        <f aca="false">IF(AND(Q1724=1,B1724-_xlfn.MINIFS($B$2:$B$2705,$A$2:$A$2705,A1724)&lt;10),1,0)</f>
        <v>0</v>
      </c>
      <c r="S1724" s="7" t="n">
        <v>0</v>
      </c>
      <c r="T1724" s="3" t="n">
        <f aca="false">_xlfn.MINIFS($B$2:$B$2705,$A$2:$A$2705,A1724)</f>
        <v>1977</v>
      </c>
      <c r="U1724" s="3" t="n">
        <f aca="false">B1724-T1724</f>
        <v>15</v>
      </c>
      <c r="V1724" s="3" t="str">
        <f aca="false">INDEX(Pop_Inputs!$Q$2:$Q$29,MATCH(C1724,Pop_Inputs!$A$2:$A$29,0))</f>
        <v>Canada</v>
      </c>
      <c r="W1724" s="29" t="n">
        <v>44788666</v>
      </c>
      <c r="X1724" s="3" t="n">
        <f aca="false">IF(W1724="","",LN(W1724))</f>
        <v>17.6174656743061</v>
      </c>
      <c r="Y1724" s="3" t="n">
        <f aca="false">IF(X1724="","",X1724-AVERAGEIFS($X$2:$X$2705,$B$2:$B$2705,B1724))</f>
        <v>0.422287867357795</v>
      </c>
      <c r="Z1724" s="21" t="n">
        <f aca="false">P1724</f>
        <v>-0.0166669382119533</v>
      </c>
      <c r="AA1724" s="3" t="n">
        <f aca="false">R1724</f>
        <v>0</v>
      </c>
      <c r="AB1724" s="21" t="n">
        <f aca="false">P1724</f>
        <v>-0.0166669382119533</v>
      </c>
      <c r="AC1724" s="3" t="n">
        <f aca="false">Y1724</f>
        <v>0.422287867357795</v>
      </c>
      <c r="AD1724" s="3" t="n">
        <f aca="false">R1724</f>
        <v>0</v>
      </c>
    </row>
    <row r="1725" customFormat="false" ht="15" hidden="false" customHeight="true" outlineLevel="0" collapsed="false">
      <c r="A1725" s="7" t="s">
        <v>79</v>
      </c>
      <c r="B1725" s="7" t="n">
        <v>1992</v>
      </c>
      <c r="C1725" s="7" t="s">
        <v>254</v>
      </c>
      <c r="D1725" s="7" t="n">
        <v>87</v>
      </c>
      <c r="E1725" s="7" t="n">
        <v>75</v>
      </c>
      <c r="F1725" s="3" t="n">
        <f aca="false">COUNTIFS($B$2:$B$2705,B1725,$C$2:$C$2705,C1725)</f>
        <v>1</v>
      </c>
      <c r="G1725" s="3" t="n">
        <f aca="false">MIN(INT((MIN(B1725,2020)-1900)/10)+1,12)</f>
        <v>10</v>
      </c>
      <c r="H1725" s="3" t="n">
        <f aca="false">(MIN(B1725,2020)-1900-10*(G1725-1))/10</f>
        <v>0.2</v>
      </c>
      <c r="I1725" s="20" t="n">
        <f aca="false">EXP(LN(INDEX(Pop_Inputs!$B$2:$N$29,MATCH(C1725,Pop_Inputs!$A$2:$A$29,0),G1725))*(1-H1725)+LN(INDEX(Pop_Inputs!$B$2:$N$29,MATCH(C1725,Pop_Inputs!$A$2:$A$29,0),G1725+1))*H1725)</f>
        <v>1022002.48486734</v>
      </c>
      <c r="J1725" s="20" t="n">
        <f aca="false">I1725/F1725</f>
        <v>1022002.48486734</v>
      </c>
      <c r="K1725" s="21" t="n">
        <f aca="false">D1725/(D1725+E1725)</f>
        <v>0.537037037037037</v>
      </c>
      <c r="L1725" s="21" t="n">
        <f aca="false">AVERAGEIFS($K$2:$K$2705,$B$2:$B$2705,B1725)</f>
        <v>0.5</v>
      </c>
      <c r="M1725" s="21" t="n">
        <f aca="false">K1725-L1725</f>
        <v>0.0370370370370371</v>
      </c>
      <c r="N1725" s="21" t="n">
        <f aca="false">LN(J1725)</f>
        <v>13.8372744811199</v>
      </c>
      <c r="O1725" s="21" t="n">
        <f aca="false">AVERAGEIFS($N$2:$N$2705,$B$2:$B$2705,B1725)</f>
        <v>13.651142914817</v>
      </c>
      <c r="P1725" s="21" t="n">
        <f aca="false">N1725-O1725</f>
        <v>0.186131566302874</v>
      </c>
      <c r="Q1725" s="7" t="n">
        <v>1</v>
      </c>
      <c r="R1725" s="3" t="n">
        <f aca="false">IF(AND(Q1725=1,B1725-_xlfn.MINIFS($B$2:$B$2705,$A$2:$A$2705,A1725)&lt;10),1,0)</f>
        <v>0</v>
      </c>
      <c r="S1725" s="7" t="n">
        <v>0</v>
      </c>
      <c r="T1725" s="3" t="n">
        <f aca="false">_xlfn.MINIFS($B$2:$B$2705,$A$2:$A$2705,A1725)</f>
        <v>1969</v>
      </c>
      <c r="U1725" s="3" t="n">
        <f aca="false">B1725-T1725</f>
        <v>23</v>
      </c>
      <c r="V1725" s="3" t="str">
        <f aca="false">INDEX(Pop_Inputs!$Q$2:$Q$29,MATCH(C1725,Pop_Inputs!$A$2:$A$29,0))</f>
        <v>Canada</v>
      </c>
      <c r="W1725" s="29" t="n">
        <v>15822334</v>
      </c>
      <c r="X1725" s="3" t="n">
        <f aca="false">IF(W1725="","",LN(W1725))</f>
        <v>16.5769330441877</v>
      </c>
      <c r="Y1725" s="3" t="n">
        <f aca="false">IF(X1725="","",X1725-AVERAGEIFS($X$2:$X$2705,$B$2:$B$2705,B1725))</f>
        <v>-0.618244762760632</v>
      </c>
      <c r="Z1725" s="21" t="n">
        <f aca="false">P1725</f>
        <v>0.186131566302874</v>
      </c>
      <c r="AA1725" s="3" t="n">
        <f aca="false">R1725</f>
        <v>0</v>
      </c>
      <c r="AB1725" s="21" t="n">
        <f aca="false">P1725</f>
        <v>0.186131566302874</v>
      </c>
      <c r="AC1725" s="3" t="n">
        <f aca="false">Y1725</f>
        <v>-0.618244762760632</v>
      </c>
      <c r="AD1725" s="3" t="n">
        <f aca="false">R1725</f>
        <v>0</v>
      </c>
    </row>
    <row r="1726" customFormat="false" ht="15" hidden="false" customHeight="true" outlineLevel="0" collapsed="false">
      <c r="A1726" s="7" t="s">
        <v>71</v>
      </c>
      <c r="B1726" s="7" t="n">
        <v>1993</v>
      </c>
      <c r="C1726" s="7" t="s">
        <v>148</v>
      </c>
      <c r="D1726" s="7" t="n">
        <v>71</v>
      </c>
      <c r="E1726" s="7" t="n">
        <v>91</v>
      </c>
      <c r="F1726" s="3" t="n">
        <f aca="false">COUNTIFS($B$2:$B$2705,B1726,$C$2:$C$2705,C1726)</f>
        <v>2</v>
      </c>
      <c r="G1726" s="3" t="n">
        <f aca="false">MIN(INT((MIN(B1726,2020)-1900)/10)+1,12)</f>
        <v>10</v>
      </c>
      <c r="H1726" s="3" t="n">
        <f aca="false">(MIN(B1726,2020)-1900-10*(G1726-1))/10</f>
        <v>0.3</v>
      </c>
      <c r="I1726" s="20" t="n">
        <f aca="false">EXP(LN(INDEX(Pop_Inputs!$B$2:$N$29,MATCH(C1726,Pop_Inputs!$A$2:$A$29,0),G1726))*(1-H1726)+LN(INDEX(Pop_Inputs!$B$2:$N$29,MATCH(C1726,Pop_Inputs!$A$2:$A$29,0),G1726+1))*H1726)</f>
        <v>3546946.59969372</v>
      </c>
      <c r="J1726" s="20" t="n">
        <f aca="false">I1726/F1726</f>
        <v>1773473.29984686</v>
      </c>
      <c r="K1726" s="21" t="n">
        <f aca="false">D1726/(D1726+E1726)</f>
        <v>0.438271604938272</v>
      </c>
      <c r="L1726" s="21" t="n">
        <f aca="false">AVERAGEIFS($K$2:$K$2705,$B$2:$B$2705,B1726)</f>
        <v>0.5</v>
      </c>
      <c r="M1726" s="21" t="n">
        <f aca="false">K1726-L1726</f>
        <v>-0.0617283950617284</v>
      </c>
      <c r="N1726" s="21" t="n">
        <f aca="false">LN(J1726)</f>
        <v>14.3884504980201</v>
      </c>
      <c r="O1726" s="21" t="n">
        <f aca="false">AVERAGEIFS($N$2:$N$2705,$B$2:$B$2705,B1726)</f>
        <v>13.6078014701731</v>
      </c>
      <c r="P1726" s="21" t="n">
        <f aca="false">N1726-O1726</f>
        <v>0.780649027846977</v>
      </c>
      <c r="Q1726" s="7" t="n">
        <v>1</v>
      </c>
      <c r="R1726" s="3" t="n">
        <f aca="false">IF(AND(Q1726=1,B1726-_xlfn.MINIFS($B$2:$B$2705,$A$2:$A$2705,A1726)&lt;10),1,0)</f>
        <v>0</v>
      </c>
      <c r="S1726" s="7" t="n">
        <v>0</v>
      </c>
      <c r="T1726" s="3" t="n">
        <f aca="false">_xlfn.MINIFS($B$2:$B$2705,$A$2:$A$2705,A1726)</f>
        <v>1961</v>
      </c>
      <c r="U1726" s="3" t="n">
        <f aca="false">B1726-T1726</f>
        <v>32</v>
      </c>
      <c r="V1726" s="3" t="str">
        <f aca="false">INDEX(Pop_Inputs!$Q$2:$Q$29,MATCH(C1726,Pop_Inputs!$A$2:$A$29,0))</f>
        <v>West</v>
      </c>
      <c r="W1726" s="29" t="n">
        <v>28588334</v>
      </c>
      <c r="X1726" s="3" t="n">
        <f aca="false">IF(W1726="","",LN(W1726))</f>
        <v>17.1685092904775</v>
      </c>
      <c r="Y1726" s="3" t="n">
        <f aca="false">IF(X1726="","",X1726-AVERAGEIFS($X$2:$X$2705,$B$2:$B$2705,B1726))</f>
        <v>-0.0699960569722897</v>
      </c>
      <c r="Z1726" s="21" t="n">
        <f aca="false">P1726</f>
        <v>0.780649027846977</v>
      </c>
      <c r="AA1726" s="3" t="n">
        <f aca="false">R1726</f>
        <v>0</v>
      </c>
      <c r="AB1726" s="21" t="n">
        <f aca="false">P1726</f>
        <v>0.780649027846977</v>
      </c>
      <c r="AC1726" s="3" t="n">
        <f aca="false">Y1726</f>
        <v>-0.0699960569722897</v>
      </c>
      <c r="AD1726" s="3" t="n">
        <f aca="false">R1726</f>
        <v>0</v>
      </c>
    </row>
    <row r="1727" customFormat="false" ht="15" hidden="false" customHeight="true" outlineLevel="0" collapsed="false">
      <c r="A1727" s="7" t="s">
        <v>54</v>
      </c>
      <c r="B1727" s="7" t="n">
        <v>1993</v>
      </c>
      <c r="C1727" s="7" t="s">
        <v>141</v>
      </c>
      <c r="D1727" s="7" t="n">
        <v>104</v>
      </c>
      <c r="E1727" s="7" t="n">
        <v>58</v>
      </c>
      <c r="F1727" s="3" t="n">
        <f aca="false">COUNTIFS($B$2:$B$2705,B1727,$C$2:$C$2705,C1727)</f>
        <v>1</v>
      </c>
      <c r="G1727" s="3" t="n">
        <f aca="false">MIN(INT((MIN(B1727,2020)-1900)/10)+1,12)</f>
        <v>10</v>
      </c>
      <c r="H1727" s="3" t="n">
        <f aca="false">(MIN(B1727,2020)-1900-10*(G1727-1))/10</f>
        <v>0.3</v>
      </c>
      <c r="I1727" s="20" t="n">
        <f aca="false">EXP(LN(INDEX(Pop_Inputs!$B$2:$N$29,MATCH(C1727,Pop_Inputs!$A$2:$A$29,0),G1727))*(1-H1727)+LN(INDEX(Pop_Inputs!$B$2:$N$29,MATCH(C1727,Pop_Inputs!$A$2:$A$29,0),G1727+1))*H1727)</f>
        <v>400623.886918767</v>
      </c>
      <c r="J1727" s="20" t="n">
        <f aca="false">I1727/F1727</f>
        <v>400623.886918767</v>
      </c>
      <c r="K1727" s="21" t="n">
        <f aca="false">D1727/(D1727+E1727)</f>
        <v>0.641975308641975</v>
      </c>
      <c r="L1727" s="21" t="n">
        <f aca="false">AVERAGEIFS($K$2:$K$2705,$B$2:$B$2705,B1727)</f>
        <v>0.5</v>
      </c>
      <c r="M1727" s="21" t="n">
        <f aca="false">K1727-L1727</f>
        <v>0.141975308641975</v>
      </c>
      <c r="N1727" s="21" t="n">
        <f aca="false">LN(J1727)</f>
        <v>12.9007783282913</v>
      </c>
      <c r="O1727" s="21" t="n">
        <f aca="false">AVERAGEIFS($N$2:$N$2705,$B$2:$B$2705,B1727)</f>
        <v>13.6078014701731</v>
      </c>
      <c r="P1727" s="21" t="n">
        <f aca="false">N1727-O1727</f>
        <v>-0.707023141881804</v>
      </c>
      <c r="Q1727" s="7" t="n">
        <v>0</v>
      </c>
      <c r="R1727" s="3" t="n">
        <f aca="false">IF(AND(Q1727=1,B1727-_xlfn.MINIFS($B$2:$B$2705,$A$2:$A$2705,A1727)&lt;10),1,0)</f>
        <v>0</v>
      </c>
      <c r="S1727" s="7" t="n">
        <v>0</v>
      </c>
      <c r="T1727" s="3" t="n">
        <f aca="false">_xlfn.MINIFS($B$2:$B$2705,$A$2:$A$2705,A1727)</f>
        <v>1901</v>
      </c>
      <c r="U1727" s="3" t="n">
        <f aca="false">B1727-T1727</f>
        <v>92</v>
      </c>
      <c r="V1727" s="3" t="str">
        <f aca="false">INDEX(Pop_Inputs!$Q$2:$Q$29,MATCH(C1727,Pop_Inputs!$A$2:$A$29,0))</f>
        <v>South</v>
      </c>
      <c r="W1727" s="29" t="n">
        <v>41641417</v>
      </c>
      <c r="X1727" s="3" t="n">
        <f aca="false">IF(W1727="","",LN(W1727))</f>
        <v>17.5446058309111</v>
      </c>
      <c r="Y1727" s="3" t="n">
        <f aca="false">IF(X1727="","",X1727-AVERAGEIFS($X$2:$X$2705,$B$2:$B$2705,B1727))</f>
        <v>0.306100483461325</v>
      </c>
      <c r="Z1727" s="21" t="n">
        <f aca="false">P1727</f>
        <v>-0.707023141881804</v>
      </c>
      <c r="AA1727" s="3" t="n">
        <f aca="false">R1727</f>
        <v>0</v>
      </c>
      <c r="AB1727" s="21" t="n">
        <f aca="false">P1727</f>
        <v>-0.707023141881804</v>
      </c>
      <c r="AC1727" s="3" t="n">
        <f aca="false">Y1727</f>
        <v>0.306100483461325</v>
      </c>
      <c r="AD1727" s="3" t="n">
        <f aca="false">R1727</f>
        <v>0</v>
      </c>
    </row>
    <row r="1728" customFormat="false" ht="15" hidden="false" customHeight="true" outlineLevel="0" collapsed="false">
      <c r="A1728" s="7" t="s">
        <v>63</v>
      </c>
      <c r="B1728" s="7" t="n">
        <v>1993</v>
      </c>
      <c r="C1728" s="7" t="s">
        <v>149</v>
      </c>
      <c r="D1728" s="7" t="n">
        <v>85</v>
      </c>
      <c r="E1728" s="7" t="n">
        <v>77</v>
      </c>
      <c r="F1728" s="3" t="n">
        <f aca="false">COUNTIFS($B$2:$B$2705,B1728,$C$2:$C$2705,C1728)</f>
        <v>1</v>
      </c>
      <c r="G1728" s="3" t="n">
        <f aca="false">MIN(INT((MIN(B1728,2020)-1900)/10)+1,12)</f>
        <v>10</v>
      </c>
      <c r="H1728" s="3" t="n">
        <f aca="false">(MIN(B1728,2020)-1900-10*(G1728-1))/10</f>
        <v>0.3</v>
      </c>
      <c r="I1728" s="20" t="n">
        <f aca="false">EXP(LN(INDEX(Pop_Inputs!$B$2:$N$29,MATCH(C1728,Pop_Inputs!$A$2:$A$29,0),G1728))*(1-H1728)+LN(INDEX(Pop_Inputs!$B$2:$N$29,MATCH(C1728,Pop_Inputs!$A$2:$A$29,0),G1728+1))*H1728)</f>
        <v>709455.837562676</v>
      </c>
      <c r="J1728" s="20" t="n">
        <f aca="false">I1728/F1728</f>
        <v>709455.837562676</v>
      </c>
      <c r="K1728" s="21" t="n">
        <f aca="false">D1728/(D1728+E1728)</f>
        <v>0.524691358024691</v>
      </c>
      <c r="L1728" s="21" t="n">
        <f aca="false">AVERAGEIFS($K$2:$K$2705,$B$2:$B$2705,B1728)</f>
        <v>0.5</v>
      </c>
      <c r="M1728" s="21" t="n">
        <f aca="false">K1728-L1728</f>
        <v>0.0246913580246914</v>
      </c>
      <c r="N1728" s="21" t="n">
        <f aca="false">LN(J1728)</f>
        <v>13.4722535291949</v>
      </c>
      <c r="O1728" s="21" t="n">
        <f aca="false">AVERAGEIFS($N$2:$N$2705,$B$2:$B$2705,B1728)</f>
        <v>13.6078014701731</v>
      </c>
      <c r="P1728" s="21" t="n">
        <f aca="false">N1728-O1728</f>
        <v>-0.135547940978224</v>
      </c>
      <c r="Q1728" s="7" t="n">
        <v>0</v>
      </c>
      <c r="R1728" s="3" t="n">
        <f aca="false">IF(AND(Q1728=1,B1728-_xlfn.MINIFS($B$2:$B$2705,$A$2:$A$2705,A1728)&lt;10),1,0)</f>
        <v>0</v>
      </c>
      <c r="S1728" s="7" t="n">
        <v>0</v>
      </c>
      <c r="T1728" s="3" t="n">
        <f aca="false">_xlfn.MINIFS($B$2:$B$2705,$A$2:$A$2705,A1728)</f>
        <v>1901</v>
      </c>
      <c r="U1728" s="3" t="n">
        <f aca="false">B1728-T1728</f>
        <v>92</v>
      </c>
      <c r="V1728" s="3" t="str">
        <f aca="false">INDEX(Pop_Inputs!$Q$2:$Q$29,MATCH(C1728,Pop_Inputs!$A$2:$A$29,0))</f>
        <v>South</v>
      </c>
      <c r="W1728" s="29" t="n">
        <v>29096500</v>
      </c>
      <c r="X1728" s="3" t="n">
        <f aca="false">IF(W1728="","",LN(W1728))</f>
        <v>17.186128449994</v>
      </c>
      <c r="Y1728" s="3" t="n">
        <f aca="false">IF(X1728="","",X1728-AVERAGEIFS($X$2:$X$2705,$B$2:$B$2705,B1728))</f>
        <v>-0.0523768974557548</v>
      </c>
      <c r="Z1728" s="21" t="n">
        <f aca="false">P1728</f>
        <v>-0.135547940978224</v>
      </c>
      <c r="AA1728" s="3" t="n">
        <f aca="false">R1728</f>
        <v>0</v>
      </c>
      <c r="AB1728" s="21" t="n">
        <f aca="false">P1728</f>
        <v>-0.135547940978224</v>
      </c>
      <c r="AC1728" s="3" t="n">
        <f aca="false">Y1728</f>
        <v>-0.0523768974557548</v>
      </c>
      <c r="AD1728" s="3" t="n">
        <f aca="false">R1728</f>
        <v>0</v>
      </c>
    </row>
    <row r="1729" customFormat="false" ht="15" hidden="false" customHeight="true" outlineLevel="0" collapsed="false">
      <c r="A1729" s="7" t="s">
        <v>64</v>
      </c>
      <c r="B1729" s="7" t="n">
        <v>1993</v>
      </c>
      <c r="C1729" s="7" t="s">
        <v>150</v>
      </c>
      <c r="D1729" s="7" t="n">
        <v>80</v>
      </c>
      <c r="E1729" s="7" t="n">
        <v>82</v>
      </c>
      <c r="F1729" s="3" t="n">
        <f aca="false">COUNTIFS($B$2:$B$2705,B1729,$C$2:$C$2705,C1729)</f>
        <v>1</v>
      </c>
      <c r="G1729" s="3" t="n">
        <f aca="false">MIN(INT((MIN(B1729,2020)-1900)/10)+1,12)</f>
        <v>10</v>
      </c>
      <c r="H1729" s="3" t="n">
        <f aca="false">(MIN(B1729,2020)-1900-10*(G1729-1))/10</f>
        <v>0.3</v>
      </c>
      <c r="I1729" s="20" t="n">
        <f aca="false">EXP(LN(INDEX(Pop_Inputs!$B$2:$N$29,MATCH(C1729,Pop_Inputs!$A$2:$A$29,0),G1729))*(1-H1729)+LN(INDEX(Pop_Inputs!$B$2:$N$29,MATCH(C1729,Pop_Inputs!$A$2:$A$29,0),G1729+1))*H1729)</f>
        <v>578700.618563659</v>
      </c>
      <c r="J1729" s="20" t="n">
        <f aca="false">I1729/F1729</f>
        <v>578700.618563659</v>
      </c>
      <c r="K1729" s="21" t="n">
        <f aca="false">D1729/(D1729+E1729)</f>
        <v>0.493827160493827</v>
      </c>
      <c r="L1729" s="21" t="n">
        <f aca="false">AVERAGEIFS($K$2:$K$2705,$B$2:$B$2705,B1729)</f>
        <v>0.5</v>
      </c>
      <c r="M1729" s="21" t="n">
        <f aca="false">K1729-L1729</f>
        <v>-0.00617283950617287</v>
      </c>
      <c r="N1729" s="21" t="n">
        <f aca="false">LN(J1729)</f>
        <v>13.2685405564462</v>
      </c>
      <c r="O1729" s="21" t="n">
        <f aca="false">AVERAGEIFS($N$2:$N$2705,$B$2:$B$2705,B1729)</f>
        <v>13.6078014701731</v>
      </c>
      <c r="P1729" s="21" t="n">
        <f aca="false">N1729-O1729</f>
        <v>-0.339260913726921</v>
      </c>
      <c r="Q1729" s="7" t="n">
        <v>0</v>
      </c>
      <c r="R1729" s="3" t="n">
        <f aca="false">IF(AND(Q1729=1,B1729-_xlfn.MINIFS($B$2:$B$2705,$A$2:$A$2705,A1729)&lt;10),1,0)</f>
        <v>0</v>
      </c>
      <c r="S1729" s="7" t="n">
        <v>0</v>
      </c>
      <c r="T1729" s="3" t="n">
        <f aca="false">_xlfn.MINIFS($B$2:$B$2705,$A$2:$A$2705,A1729)</f>
        <v>1901</v>
      </c>
      <c r="U1729" s="3" t="n">
        <f aca="false">B1729-T1729</f>
        <v>92</v>
      </c>
      <c r="V1729" s="3" t="str">
        <f aca="false">INDEX(Pop_Inputs!$Q$2:$Q$29,MATCH(C1729,Pop_Inputs!$A$2:$A$29,0))</f>
        <v>Northeast</v>
      </c>
      <c r="W1729" s="29" t="n">
        <v>37120583</v>
      </c>
      <c r="X1729" s="3" t="n">
        <f aca="false">IF(W1729="","",LN(W1729))</f>
        <v>17.4296821715779</v>
      </c>
      <c r="Y1729" s="3" t="n">
        <f aca="false">IF(X1729="","",X1729-AVERAGEIFS($X$2:$X$2705,$B$2:$B$2705,B1729))</f>
        <v>0.191176824128128</v>
      </c>
      <c r="Z1729" s="21" t="n">
        <f aca="false">P1729</f>
        <v>-0.339260913726921</v>
      </c>
      <c r="AA1729" s="3" t="n">
        <f aca="false">R1729</f>
        <v>0</v>
      </c>
      <c r="AB1729" s="21" t="n">
        <f aca="false">P1729</f>
        <v>-0.339260913726921</v>
      </c>
      <c r="AC1729" s="3" t="n">
        <f aca="false">Y1729</f>
        <v>0.191176824128128</v>
      </c>
      <c r="AD1729" s="3" t="n">
        <f aca="false">R1729</f>
        <v>0</v>
      </c>
    </row>
    <row r="1730" customFormat="false" ht="15" hidden="false" customHeight="true" outlineLevel="0" collapsed="false">
      <c r="A1730" s="7" t="s">
        <v>56</v>
      </c>
      <c r="B1730" s="7" t="n">
        <v>1993</v>
      </c>
      <c r="C1730" s="7" t="s">
        <v>142</v>
      </c>
      <c r="D1730" s="7" t="n">
        <v>84</v>
      </c>
      <c r="E1730" s="7" t="n">
        <v>78</v>
      </c>
      <c r="F1730" s="3" t="n">
        <f aca="false">COUNTIFS($B$2:$B$2705,B1730,$C$2:$C$2705,C1730)</f>
        <v>2</v>
      </c>
      <c r="G1730" s="3" t="n">
        <f aca="false">MIN(INT((MIN(B1730,2020)-1900)/10)+1,12)</f>
        <v>10</v>
      </c>
      <c r="H1730" s="3" t="n">
        <f aca="false">(MIN(B1730,2020)-1900-10*(G1730-1))/10</f>
        <v>0.3</v>
      </c>
      <c r="I1730" s="20" t="n">
        <f aca="false">EXP(LN(INDEX(Pop_Inputs!$B$2:$N$29,MATCH(C1730,Pop_Inputs!$A$2:$A$29,0),G1730))*(1-H1730)+LN(INDEX(Pop_Inputs!$B$2:$N$29,MATCH(C1730,Pop_Inputs!$A$2:$A$29,0),G1730+1))*H1730)</f>
        <v>2816947.98057147</v>
      </c>
      <c r="J1730" s="20" t="n">
        <f aca="false">I1730/F1730</f>
        <v>1408473.99028573</v>
      </c>
      <c r="K1730" s="21" t="n">
        <f aca="false">D1730/(D1730+E1730)</f>
        <v>0.518518518518519</v>
      </c>
      <c r="L1730" s="21" t="n">
        <f aca="false">AVERAGEIFS($K$2:$K$2705,$B$2:$B$2705,B1730)</f>
        <v>0.5</v>
      </c>
      <c r="M1730" s="21" t="n">
        <f aca="false">K1730-L1730</f>
        <v>0.0185185185185185</v>
      </c>
      <c r="N1730" s="21" t="n">
        <f aca="false">LN(J1730)</f>
        <v>14.1580173998773</v>
      </c>
      <c r="O1730" s="21" t="n">
        <f aca="false">AVERAGEIFS($N$2:$N$2705,$B$2:$B$2705,B1730)</f>
        <v>13.6078014701731</v>
      </c>
      <c r="P1730" s="21" t="n">
        <f aca="false">N1730-O1730</f>
        <v>0.550215929704127</v>
      </c>
      <c r="Q1730" s="7" t="n">
        <v>0</v>
      </c>
      <c r="R1730" s="3" t="n">
        <f aca="false">IF(AND(Q1730=1,B1730-_xlfn.MINIFS($B$2:$B$2705,$A$2:$A$2705,A1730)&lt;10),1,0)</f>
        <v>0</v>
      </c>
      <c r="S1730" s="7" t="n">
        <v>0</v>
      </c>
      <c r="T1730" s="3" t="n">
        <f aca="false">_xlfn.MINIFS($B$2:$B$2705,$A$2:$A$2705,A1730)</f>
        <v>1901</v>
      </c>
      <c r="U1730" s="3" t="n">
        <f aca="false">B1730-T1730</f>
        <v>92</v>
      </c>
      <c r="V1730" s="3" t="str">
        <f aca="false">INDEX(Pop_Inputs!$Q$2:$Q$29,MATCH(C1730,Pop_Inputs!$A$2:$A$29,0))</f>
        <v>Midwest</v>
      </c>
      <c r="W1730" s="29" t="n">
        <v>39386666</v>
      </c>
      <c r="X1730" s="3" t="n">
        <f aca="false">IF(W1730="","",LN(W1730))</f>
        <v>17.4889378905931</v>
      </c>
      <c r="Y1730" s="3" t="n">
        <f aca="false">IF(X1730="","",X1730-AVERAGEIFS($X$2:$X$2705,$B$2:$B$2705,B1730))</f>
        <v>0.250432543143308</v>
      </c>
      <c r="Z1730" s="21" t="n">
        <f aca="false">P1730</f>
        <v>0.550215929704127</v>
      </c>
      <c r="AA1730" s="3" t="n">
        <f aca="false">R1730</f>
        <v>0</v>
      </c>
      <c r="AB1730" s="21" t="n">
        <f aca="false">P1730</f>
        <v>0.550215929704127</v>
      </c>
      <c r="AC1730" s="3" t="n">
        <f aca="false">Y1730</f>
        <v>0.250432543143308</v>
      </c>
      <c r="AD1730" s="3" t="n">
        <f aca="false">R1730</f>
        <v>0</v>
      </c>
    </row>
    <row r="1731" customFormat="false" ht="15" hidden="false" customHeight="true" outlineLevel="0" collapsed="false">
      <c r="A1731" s="7" t="s">
        <v>65</v>
      </c>
      <c r="B1731" s="7" t="n">
        <v>1993</v>
      </c>
      <c r="C1731" s="7" t="s">
        <v>142</v>
      </c>
      <c r="D1731" s="7" t="n">
        <v>94</v>
      </c>
      <c r="E1731" s="7" t="n">
        <v>68</v>
      </c>
      <c r="F1731" s="3" t="n">
        <f aca="false">COUNTIFS($B$2:$B$2705,B1731,$C$2:$C$2705,C1731)</f>
        <v>2</v>
      </c>
      <c r="G1731" s="3" t="n">
        <f aca="false">MIN(INT((MIN(B1731,2020)-1900)/10)+1,12)</f>
        <v>10</v>
      </c>
      <c r="H1731" s="3" t="n">
        <f aca="false">(MIN(B1731,2020)-1900-10*(G1731-1))/10</f>
        <v>0.3</v>
      </c>
      <c r="I1731" s="20" t="n">
        <f aca="false">EXP(LN(INDEX(Pop_Inputs!$B$2:$N$29,MATCH(C1731,Pop_Inputs!$A$2:$A$29,0),G1731))*(1-H1731)+LN(INDEX(Pop_Inputs!$B$2:$N$29,MATCH(C1731,Pop_Inputs!$A$2:$A$29,0),G1731+1))*H1731)</f>
        <v>2816947.98057147</v>
      </c>
      <c r="J1731" s="20" t="n">
        <f aca="false">I1731/F1731</f>
        <v>1408473.99028573</v>
      </c>
      <c r="K1731" s="21" t="n">
        <f aca="false">D1731/(D1731+E1731)</f>
        <v>0.580246913580247</v>
      </c>
      <c r="L1731" s="21" t="n">
        <f aca="false">AVERAGEIFS($K$2:$K$2705,$B$2:$B$2705,B1731)</f>
        <v>0.5</v>
      </c>
      <c r="M1731" s="21" t="n">
        <f aca="false">K1731-L1731</f>
        <v>0.0802469135802469</v>
      </c>
      <c r="N1731" s="21" t="n">
        <f aca="false">LN(J1731)</f>
        <v>14.1580173998773</v>
      </c>
      <c r="O1731" s="21" t="n">
        <f aca="false">AVERAGEIFS($N$2:$N$2705,$B$2:$B$2705,B1731)</f>
        <v>13.6078014701731</v>
      </c>
      <c r="P1731" s="21" t="n">
        <f aca="false">N1731-O1731</f>
        <v>0.550215929704127</v>
      </c>
      <c r="Q1731" s="7" t="n">
        <v>0</v>
      </c>
      <c r="R1731" s="3" t="n">
        <f aca="false">IF(AND(Q1731=1,B1731-_xlfn.MINIFS($B$2:$B$2705,$A$2:$A$2705,A1731)&lt;10),1,0)</f>
        <v>0</v>
      </c>
      <c r="S1731" s="7" t="n">
        <v>0</v>
      </c>
      <c r="T1731" s="3" t="n">
        <f aca="false">_xlfn.MINIFS($B$2:$B$2705,$A$2:$A$2705,A1731)</f>
        <v>1901</v>
      </c>
      <c r="U1731" s="3" t="n">
        <f aca="false">B1731-T1731</f>
        <v>92</v>
      </c>
      <c r="V1731" s="3" t="str">
        <f aca="false">INDEX(Pop_Inputs!$Q$2:$Q$29,MATCH(C1731,Pop_Inputs!$A$2:$A$29,0))</f>
        <v>Midwest</v>
      </c>
      <c r="W1731" s="29" t="n">
        <v>39696166</v>
      </c>
      <c r="X1731" s="3" t="n">
        <f aca="false">IF(W1731="","",LN(W1731))</f>
        <v>17.4967651666865</v>
      </c>
      <c r="Y1731" s="3" t="n">
        <f aca="false">IF(X1731="","",X1731-AVERAGEIFS($X$2:$X$2705,$B$2:$B$2705,B1731))</f>
        <v>0.258259819236738</v>
      </c>
      <c r="Z1731" s="21" t="n">
        <f aca="false">P1731</f>
        <v>0.550215929704127</v>
      </c>
      <c r="AA1731" s="3" t="n">
        <f aca="false">R1731</f>
        <v>0</v>
      </c>
      <c r="AB1731" s="21" t="n">
        <f aca="false">P1731</f>
        <v>0.550215929704127</v>
      </c>
      <c r="AC1731" s="3" t="n">
        <f aca="false">Y1731</f>
        <v>0.258259819236738</v>
      </c>
      <c r="AD1731" s="3" t="n">
        <f aca="false">R1731</f>
        <v>0</v>
      </c>
    </row>
    <row r="1732" customFormat="false" ht="15" hidden="false" customHeight="true" outlineLevel="0" collapsed="false">
      <c r="A1732" s="7" t="s">
        <v>57</v>
      </c>
      <c r="B1732" s="7" t="n">
        <v>1993</v>
      </c>
      <c r="C1732" s="7" t="s">
        <v>143</v>
      </c>
      <c r="D1732" s="7" t="n">
        <v>73</v>
      </c>
      <c r="E1732" s="7" t="n">
        <v>89</v>
      </c>
      <c r="F1732" s="3" t="n">
        <f aca="false">COUNTIFS($B$2:$B$2705,B1732,$C$2:$C$2705,C1732)</f>
        <v>1</v>
      </c>
      <c r="G1732" s="3" t="n">
        <f aca="false">MIN(INT((MIN(B1732,2020)-1900)/10)+1,12)</f>
        <v>10</v>
      </c>
      <c r="H1732" s="3" t="n">
        <f aca="false">(MIN(B1732,2020)-1900-10*(G1732-1))/10</f>
        <v>0.3</v>
      </c>
      <c r="I1732" s="20" t="n">
        <f aca="false">EXP(LN(INDEX(Pop_Inputs!$B$2:$N$29,MATCH(C1732,Pop_Inputs!$A$2:$A$29,0),G1732))*(1-H1732)+LN(INDEX(Pop_Inputs!$B$2:$N$29,MATCH(C1732,Pop_Inputs!$A$2:$A$29,0),G1732+1))*H1732)</f>
        <v>353887.241594869</v>
      </c>
      <c r="J1732" s="20" t="n">
        <f aca="false">I1732/F1732</f>
        <v>353887.241594869</v>
      </c>
      <c r="K1732" s="21" t="n">
        <f aca="false">D1732/(D1732+E1732)</f>
        <v>0.450617283950617</v>
      </c>
      <c r="L1732" s="21" t="n">
        <f aca="false">AVERAGEIFS($K$2:$K$2705,$B$2:$B$2705,B1732)</f>
        <v>0.5</v>
      </c>
      <c r="M1732" s="21" t="n">
        <f aca="false">K1732-L1732</f>
        <v>-0.0493827160493827</v>
      </c>
      <c r="N1732" s="21" t="n">
        <f aca="false">LN(J1732)</f>
        <v>12.7767336148074</v>
      </c>
      <c r="O1732" s="21" t="n">
        <f aca="false">AVERAGEIFS($N$2:$N$2705,$B$2:$B$2705,B1732)</f>
        <v>13.6078014701731</v>
      </c>
      <c r="P1732" s="21" t="n">
        <f aca="false">N1732-O1732</f>
        <v>-0.83106785536574</v>
      </c>
      <c r="Q1732" s="7" t="n">
        <v>0</v>
      </c>
      <c r="R1732" s="3" t="n">
        <f aca="false">IF(AND(Q1732=1,B1732-_xlfn.MINIFS($B$2:$B$2705,$A$2:$A$2705,A1732)&lt;10),1,0)</f>
        <v>0</v>
      </c>
      <c r="S1732" s="7" t="n">
        <v>0</v>
      </c>
      <c r="T1732" s="3" t="n">
        <f aca="false">_xlfn.MINIFS($B$2:$B$2705,$A$2:$A$2705,A1732)</f>
        <v>1901</v>
      </c>
      <c r="U1732" s="3" t="n">
        <f aca="false">B1732-T1732</f>
        <v>92</v>
      </c>
      <c r="V1732" s="3" t="str">
        <f aca="false">INDEX(Pop_Inputs!$Q$2:$Q$29,MATCH(C1732,Pop_Inputs!$A$2:$A$29,0))</f>
        <v>Midwest</v>
      </c>
      <c r="W1732" s="29" t="n">
        <v>44879666</v>
      </c>
      <c r="X1732" s="3" t="n">
        <f aca="false">IF(W1732="","",LN(W1732))</f>
        <v>17.6194953770833</v>
      </c>
      <c r="Y1732" s="3" t="n">
        <f aca="false">IF(X1732="","",X1732-AVERAGEIFS($X$2:$X$2705,$B$2:$B$2705,B1732))</f>
        <v>0.380990029633509</v>
      </c>
      <c r="Z1732" s="21" t="n">
        <f aca="false">P1732</f>
        <v>-0.83106785536574</v>
      </c>
      <c r="AA1732" s="3" t="n">
        <f aca="false">R1732</f>
        <v>0</v>
      </c>
      <c r="AB1732" s="21" t="n">
        <f aca="false">P1732</f>
        <v>-0.83106785536574</v>
      </c>
      <c r="AC1732" s="3" t="n">
        <f aca="false">Y1732</f>
        <v>0.380990029633509</v>
      </c>
      <c r="AD1732" s="3" t="n">
        <f aca="false">R1732</f>
        <v>0</v>
      </c>
    </row>
    <row r="1733" customFormat="false" ht="15" hidden="false" customHeight="true" outlineLevel="0" collapsed="false">
      <c r="A1733" s="7" t="s">
        <v>66</v>
      </c>
      <c r="B1733" s="7" t="n">
        <v>1993</v>
      </c>
      <c r="C1733" s="7" t="s">
        <v>151</v>
      </c>
      <c r="D1733" s="7" t="n">
        <v>76</v>
      </c>
      <c r="E1733" s="7" t="n">
        <v>86</v>
      </c>
      <c r="F1733" s="3" t="n">
        <f aca="false">COUNTIFS($B$2:$B$2705,B1733,$C$2:$C$2705,C1733)</f>
        <v>1</v>
      </c>
      <c r="G1733" s="3" t="n">
        <f aca="false">MIN(INT((MIN(B1733,2020)-1900)/10)+1,12)</f>
        <v>10</v>
      </c>
      <c r="H1733" s="3" t="n">
        <f aca="false">(MIN(B1733,2020)-1900-10*(G1733-1))/10</f>
        <v>0.3</v>
      </c>
      <c r="I1733" s="20" t="n">
        <f aca="false">EXP(LN(INDEX(Pop_Inputs!$B$2:$N$29,MATCH(C1733,Pop_Inputs!$A$2:$A$29,0),G1733))*(1-H1733)+LN(INDEX(Pop_Inputs!$B$2:$N$29,MATCH(C1733,Pop_Inputs!$A$2:$A$29,0),G1733+1))*H1733)</f>
        <v>497293.444568132</v>
      </c>
      <c r="J1733" s="20" t="n">
        <f aca="false">I1733/F1733</f>
        <v>497293.444568132</v>
      </c>
      <c r="K1733" s="21" t="n">
        <f aca="false">D1733/(D1733+E1733)</f>
        <v>0.469135802469136</v>
      </c>
      <c r="L1733" s="21" t="n">
        <f aca="false">AVERAGEIFS($K$2:$K$2705,$B$2:$B$2705,B1733)</f>
        <v>0.5</v>
      </c>
      <c r="M1733" s="21" t="n">
        <f aca="false">K1733-L1733</f>
        <v>-0.0308641975308642</v>
      </c>
      <c r="N1733" s="21" t="n">
        <f aca="false">LN(J1733)</f>
        <v>13.1169355625692</v>
      </c>
      <c r="O1733" s="21" t="n">
        <f aca="false">AVERAGEIFS($N$2:$N$2705,$B$2:$B$2705,B1733)</f>
        <v>13.6078014701731</v>
      </c>
      <c r="P1733" s="21" t="n">
        <f aca="false">N1733-O1733</f>
        <v>-0.490865907603967</v>
      </c>
      <c r="Q1733" s="7" t="n">
        <v>0</v>
      </c>
      <c r="R1733" s="3" t="n">
        <f aca="false">IF(AND(Q1733=1,B1733-_xlfn.MINIFS($B$2:$B$2705,$A$2:$A$2705,A1733)&lt;10),1,0)</f>
        <v>0</v>
      </c>
      <c r="S1733" s="7" t="n">
        <v>0</v>
      </c>
      <c r="T1733" s="3" t="n">
        <f aca="false">_xlfn.MINIFS($B$2:$B$2705,$A$2:$A$2705,A1733)</f>
        <v>1901</v>
      </c>
      <c r="U1733" s="3" t="n">
        <f aca="false">B1733-T1733</f>
        <v>92</v>
      </c>
      <c r="V1733" s="3" t="str">
        <f aca="false">INDEX(Pop_Inputs!$Q$2:$Q$29,MATCH(C1733,Pop_Inputs!$A$2:$A$29,0))</f>
        <v>Midwest</v>
      </c>
      <c r="W1733" s="29" t="n">
        <v>18561000</v>
      </c>
      <c r="X1733" s="3" t="n">
        <f aca="false">IF(W1733="","",LN(W1733))</f>
        <v>16.7365731631812</v>
      </c>
      <c r="Y1733" s="3" t="n">
        <f aca="false">IF(X1733="","",X1733-AVERAGEIFS($X$2:$X$2705,$B$2:$B$2705,B1733))</f>
        <v>-0.501932184268544</v>
      </c>
      <c r="Z1733" s="21" t="n">
        <f aca="false">P1733</f>
        <v>-0.490865907603967</v>
      </c>
      <c r="AA1733" s="3" t="n">
        <f aca="false">R1733</f>
        <v>0</v>
      </c>
      <c r="AB1733" s="21" t="n">
        <f aca="false">P1733</f>
        <v>-0.490865907603967</v>
      </c>
      <c r="AC1733" s="3" t="n">
        <f aca="false">Y1733</f>
        <v>-0.501932184268544</v>
      </c>
      <c r="AD1733" s="3" t="n">
        <f aca="false">R1733</f>
        <v>0</v>
      </c>
    </row>
    <row r="1734" customFormat="false" ht="15" hidden="false" customHeight="true" outlineLevel="0" collapsed="false">
      <c r="A1734" s="7" t="s">
        <v>82</v>
      </c>
      <c r="B1734" s="7" t="n">
        <v>1993</v>
      </c>
      <c r="C1734" s="7" t="s">
        <v>163</v>
      </c>
      <c r="D1734" s="7" t="n">
        <v>67</v>
      </c>
      <c r="E1734" s="7" t="n">
        <v>95</v>
      </c>
      <c r="F1734" s="3" t="n">
        <f aca="false">COUNTIFS($B$2:$B$2705,B1734,$C$2:$C$2705,C1734)</f>
        <v>1</v>
      </c>
      <c r="G1734" s="3" t="n">
        <f aca="false">MIN(INT((MIN(B1734,2020)-1900)/10)+1,12)</f>
        <v>10</v>
      </c>
      <c r="H1734" s="3" t="n">
        <f aca="false">(MIN(B1734,2020)-1900-10*(G1734-1))/10</f>
        <v>0.3</v>
      </c>
      <c r="I1734" s="20" t="n">
        <f aca="false">EXP(LN(INDEX(Pop_Inputs!$B$2:$N$29,MATCH(C1734,Pop_Inputs!$A$2:$A$29,0),G1734))*(1-H1734)+LN(INDEX(Pop_Inputs!$B$2:$N$29,MATCH(C1734,Pop_Inputs!$A$2:$A$29,0),G1734+1))*H1734)</f>
        <v>492176.722186882</v>
      </c>
      <c r="J1734" s="20" t="n">
        <f aca="false">I1734/F1734</f>
        <v>492176.722186882</v>
      </c>
      <c r="K1734" s="21" t="n">
        <f aca="false">D1734/(D1734+E1734)</f>
        <v>0.41358024691358</v>
      </c>
      <c r="L1734" s="21" t="n">
        <f aca="false">AVERAGEIFS($K$2:$K$2705,$B$2:$B$2705,B1734)</f>
        <v>0.5</v>
      </c>
      <c r="M1734" s="21" t="n">
        <f aca="false">K1734-L1734</f>
        <v>-0.0864197530864198</v>
      </c>
      <c r="N1734" s="21" t="n">
        <f aca="false">LN(J1734)</f>
        <v>13.1065931224174</v>
      </c>
      <c r="O1734" s="21" t="n">
        <f aca="false">AVERAGEIFS($N$2:$N$2705,$B$2:$B$2705,B1734)</f>
        <v>13.6078014701731</v>
      </c>
      <c r="P1734" s="21" t="n">
        <f aca="false">N1734-O1734</f>
        <v>-0.501208347755727</v>
      </c>
      <c r="Q1734" s="7" t="n">
        <v>1</v>
      </c>
      <c r="R1734" s="3" t="n">
        <f aca="false">IF(AND(Q1734=1,B1734-_xlfn.MINIFS($B$2:$B$2705,$A$2:$A$2705,A1734)&lt;10),1,0)</f>
        <v>1</v>
      </c>
      <c r="S1734" s="7" t="n">
        <v>0</v>
      </c>
      <c r="T1734" s="3" t="n">
        <f aca="false">_xlfn.MINIFS($B$2:$B$2705,$A$2:$A$2705,A1734)</f>
        <v>1993</v>
      </c>
      <c r="U1734" s="3" t="n">
        <f aca="false">B1734-T1734</f>
        <v>0</v>
      </c>
      <c r="V1734" s="3" t="str">
        <f aca="false">INDEX(Pop_Inputs!$Q$2:$Q$29,MATCH(C1734,Pop_Inputs!$A$2:$A$29,0))</f>
        <v>West</v>
      </c>
      <c r="W1734" s="29" t="n">
        <v>10353500</v>
      </c>
      <c r="X1734" s="3" t="n">
        <f aca="false">IF(W1734="","",LN(W1734))</f>
        <v>16.1528351847622</v>
      </c>
      <c r="Y1734" s="3" t="n">
        <f aca="false">IF(X1734="","",X1734-AVERAGEIFS($X$2:$X$2705,$B$2:$B$2705,B1734))</f>
        <v>-1.08567016268756</v>
      </c>
      <c r="Z1734" s="21" t="n">
        <f aca="false">P1734</f>
        <v>-0.501208347755727</v>
      </c>
      <c r="AA1734" s="3" t="n">
        <f aca="false">R1734</f>
        <v>1</v>
      </c>
      <c r="AB1734" s="21" t="n">
        <f aca="false">P1734</f>
        <v>-0.501208347755727</v>
      </c>
      <c r="AC1734" s="3" t="n">
        <f aca="false">Y1734</f>
        <v>-1.08567016268756</v>
      </c>
      <c r="AD1734" s="3" t="n">
        <f aca="false">R1734</f>
        <v>1</v>
      </c>
    </row>
    <row r="1735" customFormat="false" ht="15" hidden="false" customHeight="true" outlineLevel="0" collapsed="false">
      <c r="A1735" s="7" t="s">
        <v>67</v>
      </c>
      <c r="B1735" s="7" t="n">
        <v>1993</v>
      </c>
      <c r="C1735" s="7" t="s">
        <v>152</v>
      </c>
      <c r="D1735" s="7" t="n">
        <v>85</v>
      </c>
      <c r="E1735" s="7" t="n">
        <v>77</v>
      </c>
      <c r="F1735" s="3" t="n">
        <f aca="false">COUNTIFS($B$2:$B$2705,B1735,$C$2:$C$2705,C1735)</f>
        <v>1</v>
      </c>
      <c r="G1735" s="3" t="n">
        <f aca="false">MIN(INT((MIN(B1735,2020)-1900)/10)+1,12)</f>
        <v>10</v>
      </c>
      <c r="H1735" s="3" t="n">
        <f aca="false">(MIN(B1735,2020)-1900-10*(G1735-1))/10</f>
        <v>0.3</v>
      </c>
      <c r="I1735" s="20" t="n">
        <f aca="false">EXP(LN(INDEX(Pop_Inputs!$B$2:$N$29,MATCH(C1735,Pop_Inputs!$A$2:$A$29,0),G1735))*(1-H1735)+LN(INDEX(Pop_Inputs!$B$2:$N$29,MATCH(C1735,Pop_Inputs!$A$2:$A$29,0),G1735+1))*H1735)</f>
        <v>1004335.07828462</v>
      </c>
      <c r="J1735" s="20" t="n">
        <f aca="false">I1735/F1735</f>
        <v>1004335.07828462</v>
      </c>
      <c r="K1735" s="21" t="n">
        <f aca="false">D1735/(D1735+E1735)</f>
        <v>0.524691358024691</v>
      </c>
      <c r="L1735" s="21" t="n">
        <f aca="false">AVERAGEIFS($K$2:$K$2705,$B$2:$B$2705,B1735)</f>
        <v>0.5</v>
      </c>
      <c r="M1735" s="21" t="n">
        <f aca="false">K1735-L1735</f>
        <v>0.0246913580246914</v>
      </c>
      <c r="N1735" s="21" t="n">
        <f aca="false">LN(J1735)</f>
        <v>13.8198362668653</v>
      </c>
      <c r="O1735" s="21" t="n">
        <f aca="false">AVERAGEIFS($N$2:$N$2705,$B$2:$B$2705,B1735)</f>
        <v>13.6078014701731</v>
      </c>
      <c r="P1735" s="21" t="n">
        <f aca="false">N1735-O1735</f>
        <v>0.21203479669215</v>
      </c>
      <c r="Q1735" s="7" t="n">
        <v>0</v>
      </c>
      <c r="R1735" s="3" t="n">
        <f aca="false">IF(AND(Q1735=1,B1735-_xlfn.MINIFS($B$2:$B$2705,$A$2:$A$2705,A1735)&lt;10),1,0)</f>
        <v>0</v>
      </c>
      <c r="S1735" s="7" t="n">
        <v>0</v>
      </c>
      <c r="T1735" s="3" t="n">
        <f aca="false">_xlfn.MINIFS($B$2:$B$2705,$A$2:$A$2705,A1735)</f>
        <v>1901</v>
      </c>
      <c r="U1735" s="3" t="n">
        <f aca="false">B1735-T1735</f>
        <v>92</v>
      </c>
      <c r="V1735" s="3" t="str">
        <f aca="false">INDEX(Pop_Inputs!$Q$2:$Q$29,MATCH(C1735,Pop_Inputs!$A$2:$A$29,0))</f>
        <v>Midwest</v>
      </c>
      <c r="W1735" s="29" t="n">
        <v>38150165</v>
      </c>
      <c r="X1735" s="3" t="n">
        <f aca="false">IF(W1735="","",LN(W1735))</f>
        <v>17.4570406407182</v>
      </c>
      <c r="Y1735" s="3" t="n">
        <f aca="false">IF(X1735="","",X1735-AVERAGEIFS($X$2:$X$2705,$B$2:$B$2705,B1735))</f>
        <v>0.218535293268374</v>
      </c>
      <c r="Z1735" s="21" t="n">
        <f aca="false">P1735</f>
        <v>0.21203479669215</v>
      </c>
      <c r="AA1735" s="3" t="n">
        <f aca="false">R1735</f>
        <v>0</v>
      </c>
      <c r="AB1735" s="21" t="n">
        <f aca="false">P1735</f>
        <v>0.21203479669215</v>
      </c>
      <c r="AC1735" s="3" t="n">
        <f aca="false">Y1735</f>
        <v>0.218535293268374</v>
      </c>
      <c r="AD1735" s="3" t="n">
        <f aca="false">R1735</f>
        <v>0</v>
      </c>
    </row>
    <row r="1736" customFormat="false" ht="15" hidden="false" customHeight="true" outlineLevel="0" collapsed="false">
      <c r="A1736" s="7" t="s">
        <v>83</v>
      </c>
      <c r="B1736" s="7" t="n">
        <v>1993</v>
      </c>
      <c r="C1736" s="7" t="s">
        <v>164</v>
      </c>
      <c r="D1736" s="7" t="n">
        <v>64</v>
      </c>
      <c r="E1736" s="7" t="n">
        <v>98</v>
      </c>
      <c r="F1736" s="3" t="n">
        <f aca="false">COUNTIFS($B$2:$B$2705,B1736,$C$2:$C$2705,C1736)</f>
        <v>1</v>
      </c>
      <c r="G1736" s="3" t="n">
        <f aca="false">MIN(INT((MIN(B1736,2020)-1900)/10)+1,12)</f>
        <v>10</v>
      </c>
      <c r="H1736" s="3" t="n">
        <f aca="false">(MIN(B1736,2020)-1900-10*(G1736-1))/10</f>
        <v>0.3</v>
      </c>
      <c r="I1736" s="20" t="n">
        <f aca="false">EXP(LN(INDEX(Pop_Inputs!$B$2:$N$29,MATCH(C1736,Pop_Inputs!$A$2:$A$29,0),G1736))*(1-H1736)+LN(INDEX(Pop_Inputs!$B$2:$N$29,MATCH(C1736,Pop_Inputs!$A$2:$A$29,0),G1736+1))*H1736)</f>
        <v>359790.349005743</v>
      </c>
      <c r="J1736" s="20" t="n">
        <f aca="false">I1736/F1736</f>
        <v>359790.349005743</v>
      </c>
      <c r="K1736" s="21" t="n">
        <f aca="false">D1736/(D1736+E1736)</f>
        <v>0.395061728395062</v>
      </c>
      <c r="L1736" s="21" t="n">
        <f aca="false">AVERAGEIFS($K$2:$K$2705,$B$2:$B$2705,B1736)</f>
        <v>0.5</v>
      </c>
      <c r="M1736" s="21" t="n">
        <f aca="false">K1736-L1736</f>
        <v>-0.104938271604938</v>
      </c>
      <c r="N1736" s="21" t="n">
        <f aca="false">LN(J1736)</f>
        <v>12.7932767769197</v>
      </c>
      <c r="O1736" s="21" t="n">
        <f aca="false">AVERAGEIFS($N$2:$N$2705,$B$2:$B$2705,B1736)</f>
        <v>13.6078014701731</v>
      </c>
      <c r="P1736" s="21" t="n">
        <f aca="false">N1736-O1736</f>
        <v>-0.814524693253471</v>
      </c>
      <c r="Q1736" s="7" t="n">
        <v>1</v>
      </c>
      <c r="R1736" s="3" t="n">
        <f aca="false">IF(AND(Q1736=1,B1736-_xlfn.MINIFS($B$2:$B$2705,$A$2:$A$2705,A1736)&lt;10),1,0)</f>
        <v>1</v>
      </c>
      <c r="S1736" s="7" t="n">
        <v>0</v>
      </c>
      <c r="T1736" s="3" t="n">
        <f aca="false">_xlfn.MINIFS($B$2:$B$2705,$A$2:$A$2705,A1736)</f>
        <v>1993</v>
      </c>
      <c r="U1736" s="3" t="n">
        <f aca="false">B1736-T1736</f>
        <v>0</v>
      </c>
      <c r="V1736" s="3" t="str">
        <f aca="false">INDEX(Pop_Inputs!$Q$2:$Q$29,MATCH(C1736,Pop_Inputs!$A$2:$A$29,0))</f>
        <v>South</v>
      </c>
      <c r="W1736" s="29" t="n">
        <v>19330545</v>
      </c>
      <c r="X1736" s="3" t="n">
        <f aca="false">IF(W1736="","",LN(W1736))</f>
        <v>16.7771970453034</v>
      </c>
      <c r="Y1736" s="3" t="n">
        <f aca="false">IF(X1736="","",X1736-AVERAGEIFS($X$2:$X$2705,$B$2:$B$2705,B1736))</f>
        <v>-0.461308302146424</v>
      </c>
      <c r="Z1736" s="21" t="n">
        <f aca="false">P1736</f>
        <v>-0.814524693253471</v>
      </c>
      <c r="AA1736" s="3" t="n">
        <f aca="false">R1736</f>
        <v>1</v>
      </c>
      <c r="AB1736" s="21" t="n">
        <f aca="false">P1736</f>
        <v>-0.814524693253471</v>
      </c>
      <c r="AC1736" s="3" t="n">
        <f aca="false">Y1736</f>
        <v>-0.461308302146424</v>
      </c>
      <c r="AD1736" s="3" t="n">
        <f aca="false">R1736</f>
        <v>1</v>
      </c>
    </row>
    <row r="1737" customFormat="false" ht="15" hidden="false" customHeight="true" outlineLevel="0" collapsed="false">
      <c r="A1737" s="7" t="s">
        <v>74</v>
      </c>
      <c r="B1737" s="7" t="n">
        <v>1993</v>
      </c>
      <c r="C1737" s="7" t="s">
        <v>156</v>
      </c>
      <c r="D1737" s="7" t="n">
        <v>85</v>
      </c>
      <c r="E1737" s="7" t="n">
        <v>77</v>
      </c>
      <c r="F1737" s="3" t="n">
        <f aca="false">COUNTIFS($B$2:$B$2705,B1737,$C$2:$C$2705,C1737)</f>
        <v>1</v>
      </c>
      <c r="G1737" s="3" t="n">
        <f aca="false">MIN(INT((MIN(B1737,2020)-1900)/10)+1,12)</f>
        <v>10</v>
      </c>
      <c r="H1737" s="3" t="n">
        <f aca="false">(MIN(B1737,2020)-1900-10*(G1737-1))/10</f>
        <v>0.3</v>
      </c>
      <c r="I1737" s="20" t="n">
        <f aca="false">EXP(LN(INDEX(Pop_Inputs!$B$2:$N$29,MATCH(C1737,Pop_Inputs!$A$2:$A$29,0),G1737))*(1-H1737)+LN(INDEX(Pop_Inputs!$B$2:$N$29,MATCH(C1737,Pop_Inputs!$A$2:$A$29,0),G1737+1))*H1737)</f>
        <v>1721421.43026086</v>
      </c>
      <c r="J1737" s="20" t="n">
        <f aca="false">I1737/F1737</f>
        <v>1721421.43026086</v>
      </c>
      <c r="K1737" s="21" t="n">
        <f aca="false">D1737/(D1737+E1737)</f>
        <v>0.524691358024691</v>
      </c>
      <c r="L1737" s="21" t="n">
        <f aca="false">AVERAGEIFS($K$2:$K$2705,$B$2:$B$2705,B1737)</f>
        <v>0.5</v>
      </c>
      <c r="M1737" s="21" t="n">
        <f aca="false">K1737-L1737</f>
        <v>0.0246913580246914</v>
      </c>
      <c r="N1737" s="21" t="n">
        <f aca="false">LN(J1737)</f>
        <v>14.3586609204408</v>
      </c>
      <c r="O1737" s="21" t="n">
        <f aca="false">AVERAGEIFS($N$2:$N$2705,$B$2:$B$2705,B1737)</f>
        <v>13.6078014701731</v>
      </c>
      <c r="P1737" s="21" t="n">
        <f aca="false">N1737-O1737</f>
        <v>0.750859450267713</v>
      </c>
      <c r="Q1737" s="7" t="n">
        <v>1</v>
      </c>
      <c r="R1737" s="3" t="n">
        <f aca="false">IF(AND(Q1737=1,B1737-_xlfn.MINIFS($B$2:$B$2705,$A$2:$A$2705,A1737)&lt;10),1,0)</f>
        <v>0</v>
      </c>
      <c r="S1737" s="7" t="n">
        <v>0</v>
      </c>
      <c r="T1737" s="3" t="n">
        <f aca="false">_xlfn.MINIFS($B$2:$B$2705,$A$2:$A$2705,A1737)</f>
        <v>1962</v>
      </c>
      <c r="U1737" s="3" t="n">
        <f aca="false">B1737-T1737</f>
        <v>31</v>
      </c>
      <c r="V1737" s="3" t="str">
        <f aca="false">INDEX(Pop_Inputs!$Q$2:$Q$29,MATCH(C1737,Pop_Inputs!$A$2:$A$29,0))</f>
        <v>South</v>
      </c>
      <c r="W1737" s="29" t="n">
        <v>30210500</v>
      </c>
      <c r="X1737" s="3" t="n">
        <f aca="false">IF(W1737="","",LN(W1737))</f>
        <v>17.2237001040369</v>
      </c>
      <c r="Y1737" s="3" t="n">
        <f aca="false">IF(X1737="","",X1737-AVERAGEIFS($X$2:$X$2705,$B$2:$B$2705,B1737))</f>
        <v>-0.0148052434128978</v>
      </c>
      <c r="Z1737" s="21" t="n">
        <f aca="false">P1737</f>
        <v>0.750859450267713</v>
      </c>
      <c r="AA1737" s="3" t="n">
        <f aca="false">R1737</f>
        <v>0</v>
      </c>
      <c r="AB1737" s="21" t="n">
        <f aca="false">P1737</f>
        <v>0.750859450267713</v>
      </c>
      <c r="AC1737" s="3" t="n">
        <f aca="false">Y1737</f>
        <v>-0.0148052434128978</v>
      </c>
      <c r="AD1737" s="3" t="n">
        <f aca="false">R1737</f>
        <v>0</v>
      </c>
    </row>
    <row r="1738" customFormat="false" ht="15" hidden="false" customHeight="true" outlineLevel="0" collapsed="false">
      <c r="A1738" s="7" t="s">
        <v>76</v>
      </c>
      <c r="B1738" s="7" t="n">
        <v>1993</v>
      </c>
      <c r="C1738" s="7" t="s">
        <v>157</v>
      </c>
      <c r="D1738" s="7" t="n">
        <v>84</v>
      </c>
      <c r="E1738" s="7" t="n">
        <v>78</v>
      </c>
      <c r="F1738" s="3" t="n">
        <f aca="false">COUNTIFS($B$2:$B$2705,B1738,$C$2:$C$2705,C1738)</f>
        <v>1</v>
      </c>
      <c r="G1738" s="3" t="n">
        <f aca="false">MIN(INT((MIN(B1738,2020)-1900)/10)+1,12)</f>
        <v>10</v>
      </c>
      <c r="H1738" s="3" t="n">
        <f aca="false">(MIN(B1738,2020)-1900-10*(G1738-1))/10</f>
        <v>0.3</v>
      </c>
      <c r="I1738" s="20" t="n">
        <f aca="false">EXP(LN(INDEX(Pop_Inputs!$B$2:$N$29,MATCH(C1738,Pop_Inputs!$A$2:$A$29,0),G1738))*(1-H1738)+LN(INDEX(Pop_Inputs!$B$2:$N$29,MATCH(C1738,Pop_Inputs!$A$2:$A$29,0),G1738+1))*H1738)</f>
        <v>437055.901035373</v>
      </c>
      <c r="J1738" s="20" t="n">
        <f aca="false">I1738/F1738</f>
        <v>437055.901035373</v>
      </c>
      <c r="K1738" s="21" t="n">
        <f aca="false">D1738/(D1738+E1738)</f>
        <v>0.518518518518519</v>
      </c>
      <c r="L1738" s="21" t="n">
        <f aca="false">AVERAGEIFS($K$2:$K$2705,$B$2:$B$2705,B1738)</f>
        <v>0.5</v>
      </c>
      <c r="M1738" s="21" t="n">
        <f aca="false">K1738-L1738</f>
        <v>0.0185185185185185</v>
      </c>
      <c r="N1738" s="21" t="n">
        <f aca="false">LN(J1738)</f>
        <v>12.9878163858861</v>
      </c>
      <c r="O1738" s="21" t="n">
        <f aca="false">AVERAGEIFS($N$2:$N$2705,$B$2:$B$2705,B1738)</f>
        <v>13.6078014701731</v>
      </c>
      <c r="P1738" s="21" t="n">
        <f aca="false">N1738-O1738</f>
        <v>-0.61998508428705</v>
      </c>
      <c r="Q1738" s="7" t="n">
        <v>1</v>
      </c>
      <c r="R1738" s="3" t="n">
        <f aca="false">IF(AND(Q1738=1,B1738-_xlfn.MINIFS($B$2:$B$2705,$A$2:$A$2705,A1738)&lt;10),1,0)</f>
        <v>0</v>
      </c>
      <c r="S1738" s="7" t="n">
        <v>0</v>
      </c>
      <c r="T1738" s="3" t="n">
        <f aca="false">_xlfn.MINIFS($B$2:$B$2705,$A$2:$A$2705,A1738)</f>
        <v>1969</v>
      </c>
      <c r="U1738" s="3" t="n">
        <f aca="false">B1738-T1738</f>
        <v>24</v>
      </c>
      <c r="V1738" s="3" t="str">
        <f aca="false">INDEX(Pop_Inputs!$Q$2:$Q$29,MATCH(C1738,Pop_Inputs!$A$2:$A$29,0))</f>
        <v>Midwest</v>
      </c>
      <c r="W1738" s="29" t="n">
        <v>41346167</v>
      </c>
      <c r="X1738" s="3" t="n">
        <f aca="false">IF(W1738="","",LN(W1738))</f>
        <v>17.537490278644</v>
      </c>
      <c r="Y1738" s="3" t="n">
        <f aca="false">IF(X1738="","",X1738-AVERAGEIFS($X$2:$X$2705,$B$2:$B$2705,B1738))</f>
        <v>0.298984931194262</v>
      </c>
      <c r="Z1738" s="21" t="n">
        <f aca="false">P1738</f>
        <v>-0.61998508428705</v>
      </c>
      <c r="AA1738" s="3" t="n">
        <f aca="false">R1738</f>
        <v>0</v>
      </c>
      <c r="AB1738" s="21" t="n">
        <f aca="false">P1738</f>
        <v>-0.61998508428705</v>
      </c>
      <c r="AC1738" s="3" t="n">
        <f aca="false">Y1738</f>
        <v>0.298984931194262</v>
      </c>
      <c r="AD1738" s="3" t="n">
        <f aca="false">R1738</f>
        <v>0</v>
      </c>
    </row>
    <row r="1739" customFormat="false" ht="15" hidden="false" customHeight="true" outlineLevel="0" collapsed="false">
      <c r="A1739" s="7" t="s">
        <v>62</v>
      </c>
      <c r="B1739" s="7" t="n">
        <v>1993</v>
      </c>
      <c r="C1739" s="7" t="s">
        <v>148</v>
      </c>
      <c r="D1739" s="7" t="n">
        <v>81</v>
      </c>
      <c r="E1739" s="7" t="n">
        <v>81</v>
      </c>
      <c r="F1739" s="3" t="n">
        <f aca="false">COUNTIFS($B$2:$B$2705,B1739,$C$2:$C$2705,C1739)</f>
        <v>2</v>
      </c>
      <c r="G1739" s="3" t="n">
        <f aca="false">MIN(INT((MIN(B1739,2020)-1900)/10)+1,12)</f>
        <v>10</v>
      </c>
      <c r="H1739" s="3" t="n">
        <f aca="false">(MIN(B1739,2020)-1900-10*(G1739-1))/10</f>
        <v>0.3</v>
      </c>
      <c r="I1739" s="20" t="n">
        <f aca="false">EXP(LN(INDEX(Pop_Inputs!$B$2:$N$29,MATCH(C1739,Pop_Inputs!$A$2:$A$29,0),G1739))*(1-H1739)+LN(INDEX(Pop_Inputs!$B$2:$N$29,MATCH(C1739,Pop_Inputs!$A$2:$A$29,0),G1739+1))*H1739)</f>
        <v>3546946.59969372</v>
      </c>
      <c r="J1739" s="20" t="n">
        <f aca="false">I1739/F1739</f>
        <v>1773473.29984686</v>
      </c>
      <c r="K1739" s="21" t="n">
        <f aca="false">D1739/(D1739+E1739)</f>
        <v>0.5</v>
      </c>
      <c r="L1739" s="21" t="n">
        <f aca="false">AVERAGEIFS($K$2:$K$2705,$B$2:$B$2705,B1739)</f>
        <v>0.5</v>
      </c>
      <c r="M1739" s="21" t="n">
        <f aca="false">K1739-L1739</f>
        <v>0</v>
      </c>
      <c r="N1739" s="21" t="n">
        <f aca="false">LN(J1739)</f>
        <v>14.3884504980201</v>
      </c>
      <c r="O1739" s="21" t="n">
        <f aca="false">AVERAGEIFS($N$2:$N$2705,$B$2:$B$2705,B1739)</f>
        <v>13.6078014701731</v>
      </c>
      <c r="P1739" s="21" t="n">
        <f aca="false">N1739-O1739</f>
        <v>0.780649027846977</v>
      </c>
      <c r="Q1739" s="7" t="n">
        <v>0</v>
      </c>
      <c r="R1739" s="3" t="n">
        <f aca="false">IF(AND(Q1739=1,B1739-_xlfn.MINIFS($B$2:$B$2705,$A$2:$A$2705,A1739)&lt;10),1,0)</f>
        <v>0</v>
      </c>
      <c r="S1739" s="7" t="n">
        <v>0</v>
      </c>
      <c r="T1739" s="3" t="n">
        <f aca="false">_xlfn.MINIFS($B$2:$B$2705,$A$2:$A$2705,A1739)</f>
        <v>1901</v>
      </c>
      <c r="U1739" s="3" t="n">
        <f aca="false">B1739-T1739</f>
        <v>92</v>
      </c>
      <c r="V1739" s="3" t="str">
        <f aca="false">INDEX(Pop_Inputs!$Q$2:$Q$29,MATCH(C1739,Pop_Inputs!$A$2:$A$29,0))</f>
        <v>West</v>
      </c>
      <c r="W1739" s="29" t="n">
        <v>39331999</v>
      </c>
      <c r="X1739" s="3" t="n">
        <f aca="false">IF(W1739="","",LN(W1739))</f>
        <v>17.4875489694576</v>
      </c>
      <c r="Y1739" s="3" t="n">
        <f aca="false">IF(X1739="","",X1739-AVERAGEIFS($X$2:$X$2705,$B$2:$B$2705,B1739))</f>
        <v>0.249043622007815</v>
      </c>
      <c r="Z1739" s="21" t="n">
        <f aca="false">P1739</f>
        <v>0.780649027846977</v>
      </c>
      <c r="AA1739" s="3" t="n">
        <f aca="false">R1739</f>
        <v>0</v>
      </c>
      <c r="AB1739" s="21" t="n">
        <f aca="false">P1739</f>
        <v>0.780649027846977</v>
      </c>
      <c r="AC1739" s="3" t="n">
        <f aca="false">Y1739</f>
        <v>0.249043622007815</v>
      </c>
      <c r="AD1739" s="3" t="n">
        <f aca="false">R1739</f>
        <v>0</v>
      </c>
    </row>
    <row r="1740" customFormat="false" ht="15" hidden="false" customHeight="true" outlineLevel="0" collapsed="false">
      <c r="A1740" s="7" t="s">
        <v>77</v>
      </c>
      <c r="B1740" s="7" t="n">
        <v>1993</v>
      </c>
      <c r="C1740" s="7" t="s">
        <v>158</v>
      </c>
      <c r="D1740" s="7" t="n">
        <v>69</v>
      </c>
      <c r="E1740" s="7" t="n">
        <v>93</v>
      </c>
      <c r="F1740" s="3" t="n">
        <f aca="false">COUNTIFS($B$2:$B$2705,B1740,$C$2:$C$2705,C1740)</f>
        <v>1</v>
      </c>
      <c r="G1740" s="3" t="n">
        <f aca="false">MIN(INT((MIN(B1740,2020)-1900)/10)+1,12)</f>
        <v>10</v>
      </c>
      <c r="H1740" s="3" t="n">
        <f aca="false">(MIN(B1740,2020)-1900-10*(G1740-1))/10</f>
        <v>0.3</v>
      </c>
      <c r="I1740" s="20" t="n">
        <f aca="false">EXP(LN(INDEX(Pop_Inputs!$B$2:$N$29,MATCH(C1740,Pop_Inputs!$A$2:$A$29,0),G1740))*(1-H1740)+LN(INDEX(Pop_Inputs!$B$2:$N$29,MATCH(C1740,Pop_Inputs!$A$2:$A$29,0),G1740+1))*H1740)</f>
        <v>618587.261291177</v>
      </c>
      <c r="J1740" s="20" t="n">
        <f aca="false">I1740/F1740</f>
        <v>618587.261291177</v>
      </c>
      <c r="K1740" s="21" t="n">
        <f aca="false">D1740/(D1740+E1740)</f>
        <v>0.425925925925926</v>
      </c>
      <c r="L1740" s="21" t="n">
        <f aca="false">AVERAGEIFS($K$2:$K$2705,$B$2:$B$2705,B1740)</f>
        <v>0.5</v>
      </c>
      <c r="M1740" s="21" t="n">
        <f aca="false">K1740-L1740</f>
        <v>-0.0740740740740741</v>
      </c>
      <c r="N1740" s="21" t="n">
        <f aca="false">LN(J1740)</f>
        <v>13.3351935462166</v>
      </c>
      <c r="O1740" s="21" t="n">
        <f aca="false">AVERAGEIFS($N$2:$N$2705,$B$2:$B$2705,B1740)</f>
        <v>13.6078014701731</v>
      </c>
      <c r="P1740" s="21" t="n">
        <f aca="false">N1740-O1740</f>
        <v>-0.272607923956487</v>
      </c>
      <c r="Q1740" s="7" t="n">
        <v>1</v>
      </c>
      <c r="R1740" s="3" t="n">
        <f aca="false">IF(AND(Q1740=1,B1740-_xlfn.MINIFS($B$2:$B$2705,$A$2:$A$2705,A1740)&lt;10),1,0)</f>
        <v>0</v>
      </c>
      <c r="S1740" s="7" t="n">
        <v>0</v>
      </c>
      <c r="T1740" s="3" t="n">
        <f aca="false">_xlfn.MINIFS($B$2:$B$2705,$A$2:$A$2705,A1740)</f>
        <v>1969</v>
      </c>
      <c r="U1740" s="3" t="n">
        <f aca="false">B1740-T1740</f>
        <v>24</v>
      </c>
      <c r="V1740" s="3" t="str">
        <f aca="false">INDEX(Pop_Inputs!$Q$2:$Q$29,MATCH(C1740,Pop_Inputs!$A$2:$A$29,0))</f>
        <v>Midwest</v>
      </c>
      <c r="W1740" s="29" t="n">
        <v>23806834</v>
      </c>
      <c r="X1740" s="3" t="n">
        <f aca="false">IF(W1740="","",LN(W1740))</f>
        <v>16.9854832402812</v>
      </c>
      <c r="Y1740" s="3" t="n">
        <f aca="false">IF(X1740="","",X1740-AVERAGEIFS($X$2:$X$2705,$B$2:$B$2705,B1740))</f>
        <v>-0.253022107168551</v>
      </c>
      <c r="Z1740" s="21" t="n">
        <f aca="false">P1740</f>
        <v>-0.272607923956487</v>
      </c>
      <c r="AA1740" s="3" t="n">
        <f aca="false">R1740</f>
        <v>0</v>
      </c>
      <c r="AB1740" s="21" t="n">
        <f aca="false">P1740</f>
        <v>-0.272607923956487</v>
      </c>
      <c r="AC1740" s="3" t="n">
        <f aca="false">Y1740</f>
        <v>-0.253022107168551</v>
      </c>
      <c r="AD1740" s="3" t="n">
        <f aca="false">R1740</f>
        <v>0</v>
      </c>
    </row>
    <row r="1741" customFormat="false" ht="15" hidden="false" customHeight="true" outlineLevel="0" collapsed="false">
      <c r="A1741" s="7" t="s">
        <v>68</v>
      </c>
      <c r="B1741" s="7" t="n">
        <v>1993</v>
      </c>
      <c r="C1741" s="7" t="s">
        <v>153</v>
      </c>
      <c r="D1741" s="7" t="n">
        <v>71</v>
      </c>
      <c r="E1741" s="7" t="n">
        <v>91</v>
      </c>
      <c r="F1741" s="3" t="n">
        <f aca="false">COUNTIFS($B$2:$B$2705,B1741,$C$2:$C$2705,C1741)</f>
        <v>1</v>
      </c>
      <c r="G1741" s="3" t="n">
        <f aca="false">MIN(INT((MIN(B1741,2020)-1900)/10)+1,12)</f>
        <v>10</v>
      </c>
      <c r="H1741" s="3" t="n">
        <f aca="false">(MIN(B1741,2020)-1900-10*(G1741-1))/10</f>
        <v>0.3</v>
      </c>
      <c r="I1741" s="20" t="n">
        <f aca="false">EXP(LN(INDEX(Pop_Inputs!$B$2:$N$29,MATCH(C1741,Pop_Inputs!$A$2:$A$29,0),G1741))*(1-H1741)+LN(INDEX(Pop_Inputs!$B$2:$N$29,MATCH(C1741,Pop_Inputs!$A$2:$A$29,0),G1741+1))*H1741)</f>
        <v>372596.975631177</v>
      </c>
      <c r="J1741" s="20" t="n">
        <f aca="false">I1741/F1741</f>
        <v>372596.975631177</v>
      </c>
      <c r="K1741" s="21" t="n">
        <f aca="false">D1741/(D1741+E1741)</f>
        <v>0.438271604938272</v>
      </c>
      <c r="L1741" s="21" t="n">
        <f aca="false">AVERAGEIFS($K$2:$K$2705,$B$2:$B$2705,B1741)</f>
        <v>0.5</v>
      </c>
      <c r="M1741" s="21" t="n">
        <f aca="false">K1741-L1741</f>
        <v>-0.0617283950617284</v>
      </c>
      <c r="N1741" s="21" t="n">
        <f aca="false">LN(J1741)</f>
        <v>12.8282526201848</v>
      </c>
      <c r="O1741" s="21" t="n">
        <f aca="false">AVERAGEIFS($N$2:$N$2705,$B$2:$B$2705,B1741)</f>
        <v>13.6078014701731</v>
      </c>
      <c r="P1741" s="21" t="n">
        <f aca="false">N1741-O1741</f>
        <v>-0.779548849988332</v>
      </c>
      <c r="Q1741" s="7" t="n">
        <v>0</v>
      </c>
      <c r="R1741" s="3" t="n">
        <f aca="false">IF(AND(Q1741=1,B1741-_xlfn.MINIFS($B$2:$B$2705,$A$2:$A$2705,A1741)&lt;10),1,0)</f>
        <v>0</v>
      </c>
      <c r="S1741" s="7" t="n">
        <v>0</v>
      </c>
      <c r="T1741" s="3" t="n">
        <f aca="false">_xlfn.MINIFS($B$2:$B$2705,$A$2:$A$2705,A1741)</f>
        <v>1901</v>
      </c>
      <c r="U1741" s="3" t="n">
        <f aca="false">B1741-T1741</f>
        <v>92</v>
      </c>
      <c r="V1741" s="3" t="str">
        <f aca="false">INDEX(Pop_Inputs!$Q$2:$Q$29,MATCH(C1741,Pop_Inputs!$A$2:$A$29,0))</f>
        <v>Midwest</v>
      </c>
      <c r="W1741" s="29" t="n">
        <v>28217933</v>
      </c>
      <c r="X1741" s="3" t="n">
        <f aca="false">IF(W1741="","",LN(W1741))</f>
        <v>17.1554682557815</v>
      </c>
      <c r="Y1741" s="3" t="n">
        <f aca="false">IF(X1741="","",X1741-AVERAGEIFS($X$2:$X$2705,$B$2:$B$2705,B1741))</f>
        <v>-0.0830370916683236</v>
      </c>
      <c r="Z1741" s="21" t="n">
        <f aca="false">P1741</f>
        <v>-0.779548849988332</v>
      </c>
      <c r="AA1741" s="3" t="n">
        <f aca="false">R1741</f>
        <v>0</v>
      </c>
      <c r="AB1741" s="21" t="n">
        <f aca="false">P1741</f>
        <v>-0.779548849988332</v>
      </c>
      <c r="AC1741" s="3" t="n">
        <f aca="false">Y1741</f>
        <v>-0.0830370916683236</v>
      </c>
      <c r="AD1741" s="3" t="n">
        <f aca="false">R1741</f>
        <v>0</v>
      </c>
    </row>
    <row r="1742" customFormat="false" ht="15" hidden="false" customHeight="true" outlineLevel="0" collapsed="false">
      <c r="A1742" s="7" t="s">
        <v>75</v>
      </c>
      <c r="B1742" s="7" t="n">
        <v>1993</v>
      </c>
      <c r="C1742" s="7" t="s">
        <v>154</v>
      </c>
      <c r="D1742" s="7" t="n">
        <v>59</v>
      </c>
      <c r="E1742" s="7" t="n">
        <v>103</v>
      </c>
      <c r="F1742" s="3" t="n">
        <f aca="false">COUNTIFS($B$2:$B$2705,B1742,$C$2:$C$2705,C1742)</f>
        <v>2</v>
      </c>
      <c r="G1742" s="3" t="n">
        <f aca="false">MIN(INT((MIN(B1742,2020)-1900)/10)+1,12)</f>
        <v>10</v>
      </c>
      <c r="H1742" s="3" t="n">
        <f aca="false">(MIN(B1742,2020)-1900-10*(G1742-1))/10</f>
        <v>0.3</v>
      </c>
      <c r="I1742" s="20" t="n">
        <f aca="false">EXP(LN(INDEX(Pop_Inputs!$B$2:$N$29,MATCH(C1742,Pop_Inputs!$A$2:$A$29,0),G1742))*(1-H1742)+LN(INDEX(Pop_Inputs!$B$2:$N$29,MATCH(C1742,Pop_Inputs!$A$2:$A$29,0),G1742+1))*H1742)</f>
        <v>7521872.46456716</v>
      </c>
      <c r="J1742" s="20" t="n">
        <f aca="false">I1742/F1742</f>
        <v>3760936.23228358</v>
      </c>
      <c r="K1742" s="21" t="n">
        <f aca="false">D1742/(D1742+E1742)</f>
        <v>0.364197530864198</v>
      </c>
      <c r="L1742" s="21" t="n">
        <f aca="false">AVERAGEIFS($K$2:$K$2705,$B$2:$B$2705,B1742)</f>
        <v>0.5</v>
      </c>
      <c r="M1742" s="21" t="n">
        <f aca="false">K1742-L1742</f>
        <v>-0.135802469135802</v>
      </c>
      <c r="N1742" s="21" t="n">
        <f aca="false">LN(J1742)</f>
        <v>15.140178482319</v>
      </c>
      <c r="O1742" s="21" t="n">
        <f aca="false">AVERAGEIFS($N$2:$N$2705,$B$2:$B$2705,B1742)</f>
        <v>13.6078014701731</v>
      </c>
      <c r="P1742" s="21" t="n">
        <f aca="false">N1742-O1742</f>
        <v>1.53237701214587</v>
      </c>
      <c r="Q1742" s="7" t="n">
        <v>1</v>
      </c>
      <c r="R1742" s="3" t="n">
        <f aca="false">IF(AND(Q1742=1,B1742-_xlfn.MINIFS($B$2:$B$2705,$A$2:$A$2705,A1742)&lt;10),1,0)</f>
        <v>0</v>
      </c>
      <c r="S1742" s="7" t="n">
        <v>0</v>
      </c>
      <c r="T1742" s="3" t="n">
        <f aca="false">_xlfn.MINIFS($B$2:$B$2705,$A$2:$A$2705,A1742)</f>
        <v>1962</v>
      </c>
      <c r="U1742" s="3" t="n">
        <f aca="false">B1742-T1742</f>
        <v>31</v>
      </c>
      <c r="V1742" s="3" t="str">
        <f aca="false">INDEX(Pop_Inputs!$Q$2:$Q$29,MATCH(C1742,Pop_Inputs!$A$2:$A$29,0))</f>
        <v>Northeast</v>
      </c>
      <c r="W1742" s="29" t="n">
        <v>39043667</v>
      </c>
      <c r="X1742" s="3" t="n">
        <f aca="false">IF(W1742="","",LN(W1742))</f>
        <v>17.4801912444014</v>
      </c>
      <c r="Y1742" s="3" t="n">
        <f aca="false">IF(X1742="","",X1742-AVERAGEIFS($X$2:$X$2705,$B$2:$B$2705,B1742))</f>
        <v>0.241685896951587</v>
      </c>
      <c r="Z1742" s="21" t="n">
        <f aca="false">P1742</f>
        <v>1.53237701214587</v>
      </c>
      <c r="AA1742" s="3" t="n">
        <f aca="false">R1742</f>
        <v>0</v>
      </c>
      <c r="AB1742" s="21" t="n">
        <f aca="false">P1742</f>
        <v>1.53237701214587</v>
      </c>
      <c r="AC1742" s="3" t="n">
        <f aca="false">Y1742</f>
        <v>0.241685896951587</v>
      </c>
      <c r="AD1742" s="3" t="n">
        <f aca="false">R1742</f>
        <v>0</v>
      </c>
    </row>
    <row r="1743" customFormat="false" ht="15" hidden="false" customHeight="true" outlineLevel="0" collapsed="false">
      <c r="A1743" s="7" t="s">
        <v>70</v>
      </c>
      <c r="B1743" s="7" t="n">
        <v>1993</v>
      </c>
      <c r="C1743" s="7" t="s">
        <v>154</v>
      </c>
      <c r="D1743" s="7" t="n">
        <v>88</v>
      </c>
      <c r="E1743" s="7" t="n">
        <v>74</v>
      </c>
      <c r="F1743" s="3" t="n">
        <f aca="false">COUNTIFS($B$2:$B$2705,B1743,$C$2:$C$2705,C1743)</f>
        <v>2</v>
      </c>
      <c r="G1743" s="3" t="n">
        <f aca="false">MIN(INT((MIN(B1743,2020)-1900)/10)+1,12)</f>
        <v>10</v>
      </c>
      <c r="H1743" s="3" t="n">
        <f aca="false">(MIN(B1743,2020)-1900-10*(G1743-1))/10</f>
        <v>0.3</v>
      </c>
      <c r="I1743" s="20" t="n">
        <f aca="false">EXP(LN(INDEX(Pop_Inputs!$B$2:$N$29,MATCH(C1743,Pop_Inputs!$A$2:$A$29,0),G1743))*(1-H1743)+LN(INDEX(Pop_Inputs!$B$2:$N$29,MATCH(C1743,Pop_Inputs!$A$2:$A$29,0),G1743+1))*H1743)</f>
        <v>7521872.46456716</v>
      </c>
      <c r="J1743" s="20" t="n">
        <f aca="false">I1743/F1743</f>
        <v>3760936.23228358</v>
      </c>
      <c r="K1743" s="21" t="n">
        <f aca="false">D1743/(D1743+E1743)</f>
        <v>0.54320987654321</v>
      </c>
      <c r="L1743" s="21" t="n">
        <f aca="false">AVERAGEIFS($K$2:$K$2705,$B$2:$B$2705,B1743)</f>
        <v>0.5</v>
      </c>
      <c r="M1743" s="21" t="n">
        <f aca="false">K1743-L1743</f>
        <v>0.0432098765432098</v>
      </c>
      <c r="N1743" s="21" t="n">
        <f aca="false">LN(J1743)</f>
        <v>15.140178482319</v>
      </c>
      <c r="O1743" s="21" t="n">
        <f aca="false">AVERAGEIFS($N$2:$N$2705,$B$2:$B$2705,B1743)</f>
        <v>13.6078014701731</v>
      </c>
      <c r="P1743" s="21" t="n">
        <f aca="false">N1743-O1743</f>
        <v>1.53237701214587</v>
      </c>
      <c r="Q1743" s="7" t="n">
        <v>0</v>
      </c>
      <c r="R1743" s="3" t="n">
        <f aca="false">IF(AND(Q1743=1,B1743-_xlfn.MINIFS($B$2:$B$2705,$A$2:$A$2705,A1743)&lt;10),1,0)</f>
        <v>0</v>
      </c>
      <c r="S1743" s="7" t="n">
        <v>1</v>
      </c>
      <c r="T1743" s="3" t="n">
        <f aca="false">_xlfn.MINIFS($B$2:$B$2705,$A$2:$A$2705,A1743)</f>
        <v>1903</v>
      </c>
      <c r="U1743" s="3" t="n">
        <f aca="false">B1743-T1743</f>
        <v>90</v>
      </c>
      <c r="V1743" s="3" t="str">
        <f aca="false">INDEX(Pop_Inputs!$Q$2:$Q$29,MATCH(C1743,Pop_Inputs!$A$2:$A$29,0))</f>
        <v>Northeast</v>
      </c>
      <c r="W1743" s="29" t="n">
        <v>42974900</v>
      </c>
      <c r="X1743" s="3" t="n">
        <f aca="false">IF(W1743="","",LN(W1743))</f>
        <v>17.5761267822962</v>
      </c>
      <c r="Y1743" s="3" t="n">
        <f aca="false">IF(X1743="","",X1743-AVERAGEIFS($X$2:$X$2705,$B$2:$B$2705,B1743))</f>
        <v>0.337621434846437</v>
      </c>
      <c r="Z1743" s="21" t="n">
        <f aca="false">P1743</f>
        <v>1.53237701214587</v>
      </c>
      <c r="AA1743" s="3" t="n">
        <f aca="false">R1743</f>
        <v>0</v>
      </c>
      <c r="AB1743" s="21" t="n">
        <f aca="false">P1743</f>
        <v>1.53237701214587</v>
      </c>
      <c r="AC1743" s="3" t="n">
        <f aca="false">Y1743</f>
        <v>0.337621434846437</v>
      </c>
      <c r="AD1743" s="3" t="n">
        <f aca="false">R1743</f>
        <v>0</v>
      </c>
    </row>
    <row r="1744" customFormat="false" ht="15" hidden="false" customHeight="true" outlineLevel="0" collapsed="false">
      <c r="A1744" s="7" t="s">
        <v>69</v>
      </c>
      <c r="B1744" s="7" t="n">
        <v>1993</v>
      </c>
      <c r="C1744" s="7" t="s">
        <v>253</v>
      </c>
      <c r="D1744" s="7" t="n">
        <v>68</v>
      </c>
      <c r="E1744" s="7" t="n">
        <v>94</v>
      </c>
      <c r="F1744" s="3" t="n">
        <f aca="false">COUNTIFS($B$2:$B$2705,B1744,$C$2:$C$2705,C1744)</f>
        <v>1</v>
      </c>
      <c r="G1744" s="3" t="n">
        <f aca="false">MIN(INT((MIN(B1744,2020)-1900)/10)+1,12)</f>
        <v>10</v>
      </c>
      <c r="H1744" s="3" t="n">
        <f aca="false">(MIN(B1744,2020)-1900-10*(G1744-1))/10</f>
        <v>0.3</v>
      </c>
      <c r="I1744" s="20" t="n">
        <f aca="false">EXP(LN(INDEX(Pop_Inputs!$B$2:$N$29,MATCH(C1744,Pop_Inputs!$A$2:$A$29,0),G1744))*(1-H1744)+LN(INDEX(Pop_Inputs!$B$2:$N$29,MATCH(C1744,Pop_Inputs!$A$2:$A$29,0),G1744+1))*H1744)</f>
        <v>380213.5393638</v>
      </c>
      <c r="J1744" s="20" t="n">
        <f aca="false">I1744/F1744</f>
        <v>380213.5393638</v>
      </c>
      <c r="K1744" s="21" t="n">
        <f aca="false">D1744/(D1744+E1744)</f>
        <v>0.419753086419753</v>
      </c>
      <c r="L1744" s="21" t="n">
        <f aca="false">AVERAGEIFS($K$2:$K$2705,$B$2:$B$2705,B1744)</f>
        <v>0.5</v>
      </c>
      <c r="M1744" s="21" t="n">
        <f aca="false">K1744-L1744</f>
        <v>-0.0802469135802469</v>
      </c>
      <c r="N1744" s="21" t="n">
        <f aca="false">LN(J1744)</f>
        <v>12.8484883195644</v>
      </c>
      <c r="O1744" s="21" t="n">
        <f aca="false">AVERAGEIFS($N$2:$N$2705,$B$2:$B$2705,B1744)</f>
        <v>13.6078014701731</v>
      </c>
      <c r="P1744" s="21" t="n">
        <f aca="false">N1744-O1744</f>
        <v>-0.759313150608699</v>
      </c>
      <c r="Q1744" s="7" t="n">
        <v>0</v>
      </c>
      <c r="R1744" s="3" t="n">
        <f aca="false">IF(AND(Q1744=1,B1744-_xlfn.MINIFS($B$2:$B$2705,$A$2:$A$2705,A1744)&lt;10),1,0)</f>
        <v>0</v>
      </c>
      <c r="S1744" s="7" t="n">
        <v>0</v>
      </c>
      <c r="T1744" s="3" t="n">
        <f aca="false">_xlfn.MINIFS($B$2:$B$2705,$A$2:$A$2705,A1744)</f>
        <v>1901</v>
      </c>
      <c r="U1744" s="3" t="n">
        <f aca="false">B1744-T1744</f>
        <v>92</v>
      </c>
      <c r="V1744" s="3" t="str">
        <f aca="false">INDEX(Pop_Inputs!$Q$2:$Q$29,MATCH(C1744,Pop_Inputs!$A$2:$A$29,0))</f>
        <v>West</v>
      </c>
      <c r="W1744" s="29" t="n">
        <v>37812333</v>
      </c>
      <c r="X1744" s="3" t="n">
        <f aca="false">IF(W1744="","",LN(W1744))</f>
        <v>17.4481458772167</v>
      </c>
      <c r="Y1744" s="3" t="n">
        <f aca="false">IF(X1744="","",X1744-AVERAGEIFS($X$2:$X$2705,$B$2:$B$2705,B1744))</f>
        <v>0.20964052976688</v>
      </c>
      <c r="Z1744" s="21" t="n">
        <f aca="false">P1744</f>
        <v>-0.759313150608699</v>
      </c>
      <c r="AA1744" s="3" t="n">
        <f aca="false">R1744</f>
        <v>0</v>
      </c>
      <c r="AB1744" s="21" t="n">
        <f aca="false">P1744</f>
        <v>-0.759313150608699</v>
      </c>
      <c r="AC1744" s="3" t="n">
        <f aca="false">Y1744</f>
        <v>0.20964052976688</v>
      </c>
      <c r="AD1744" s="3" t="n">
        <f aca="false">R1744</f>
        <v>0</v>
      </c>
    </row>
    <row r="1745" customFormat="false" ht="15" hidden="false" customHeight="true" outlineLevel="0" collapsed="false">
      <c r="A1745" s="7" t="s">
        <v>60</v>
      </c>
      <c r="B1745" s="7" t="n">
        <v>1993</v>
      </c>
      <c r="C1745" s="7" t="s">
        <v>146</v>
      </c>
      <c r="D1745" s="7" t="n">
        <v>97</v>
      </c>
      <c r="E1745" s="7" t="n">
        <v>65</v>
      </c>
      <c r="F1745" s="3" t="n">
        <f aca="false">COUNTIFS($B$2:$B$2705,B1745,$C$2:$C$2705,C1745)</f>
        <v>1</v>
      </c>
      <c r="G1745" s="3" t="n">
        <f aca="false">MIN(INT((MIN(B1745,2020)-1900)/10)+1,12)</f>
        <v>10</v>
      </c>
      <c r="H1745" s="3" t="n">
        <f aca="false">(MIN(B1745,2020)-1900-10*(G1745-1))/10</f>
        <v>0.3</v>
      </c>
      <c r="I1745" s="20" t="n">
        <f aca="false">EXP(LN(INDEX(Pop_Inputs!$B$2:$N$29,MATCH(C1745,Pop_Inputs!$A$2:$A$29,0),G1745))*(1-H1745)+LN(INDEX(Pop_Inputs!$B$2:$N$29,MATCH(C1745,Pop_Inputs!$A$2:$A$29,0),G1745+1))*H1745)</f>
        <v>1564854.77312072</v>
      </c>
      <c r="J1745" s="20" t="n">
        <f aca="false">I1745/F1745</f>
        <v>1564854.77312072</v>
      </c>
      <c r="K1745" s="21" t="n">
        <f aca="false">D1745/(D1745+E1745)</f>
        <v>0.598765432098765</v>
      </c>
      <c r="L1745" s="21" t="n">
        <f aca="false">AVERAGEIFS($K$2:$K$2705,$B$2:$B$2705,B1745)</f>
        <v>0.5</v>
      </c>
      <c r="M1745" s="21" t="n">
        <f aca="false">K1745-L1745</f>
        <v>0.0987654320987654</v>
      </c>
      <c r="N1745" s="21" t="n">
        <f aca="false">LN(J1745)</f>
        <v>14.2633035809225</v>
      </c>
      <c r="O1745" s="21" t="n">
        <f aca="false">AVERAGEIFS($N$2:$N$2705,$B$2:$B$2705,B1745)</f>
        <v>13.6078014701731</v>
      </c>
      <c r="P1745" s="21" t="n">
        <f aca="false">N1745-O1745</f>
        <v>0.655502110749412</v>
      </c>
      <c r="Q1745" s="7" t="n">
        <v>0</v>
      </c>
      <c r="R1745" s="3" t="n">
        <f aca="false">IF(AND(Q1745=1,B1745-_xlfn.MINIFS($B$2:$B$2705,$A$2:$A$2705,A1745)&lt;10),1,0)</f>
        <v>0</v>
      </c>
      <c r="S1745" s="7" t="n">
        <v>0</v>
      </c>
      <c r="T1745" s="3" t="n">
        <f aca="false">_xlfn.MINIFS($B$2:$B$2705,$A$2:$A$2705,A1745)</f>
        <v>1901</v>
      </c>
      <c r="U1745" s="3" t="n">
        <f aca="false">B1745-T1745</f>
        <v>92</v>
      </c>
      <c r="V1745" s="3" t="str">
        <f aca="false">INDEX(Pop_Inputs!$Q$2:$Q$29,MATCH(C1745,Pop_Inputs!$A$2:$A$29,0))</f>
        <v>Northeast</v>
      </c>
      <c r="W1745" s="29" t="n">
        <v>28538334</v>
      </c>
      <c r="X1745" s="3" t="n">
        <f aca="false">IF(W1745="","",LN(W1745))</f>
        <v>17.1667587940975</v>
      </c>
      <c r="Y1745" s="3" t="n">
        <f aca="false">IF(X1745="","",X1745-AVERAGEIFS($X$2:$X$2705,$B$2:$B$2705,B1745))</f>
        <v>-0.0717465533522876</v>
      </c>
      <c r="Z1745" s="21" t="n">
        <f aca="false">P1745</f>
        <v>0.655502110749412</v>
      </c>
      <c r="AA1745" s="3" t="n">
        <f aca="false">R1745</f>
        <v>0</v>
      </c>
      <c r="AB1745" s="21" t="n">
        <f aca="false">P1745</f>
        <v>0.655502110749412</v>
      </c>
      <c r="AC1745" s="3" t="n">
        <f aca="false">Y1745</f>
        <v>-0.0717465533522876</v>
      </c>
      <c r="AD1745" s="3" t="n">
        <f aca="false">R1745</f>
        <v>0</v>
      </c>
    </row>
    <row r="1746" customFormat="false" ht="15" hidden="false" customHeight="true" outlineLevel="0" collapsed="false">
      <c r="A1746" s="7" t="s">
        <v>58</v>
      </c>
      <c r="B1746" s="7" t="n">
        <v>1993</v>
      </c>
      <c r="C1746" s="7" t="s">
        <v>144</v>
      </c>
      <c r="D1746" s="7" t="n">
        <v>75</v>
      </c>
      <c r="E1746" s="7" t="n">
        <v>87</v>
      </c>
      <c r="F1746" s="3" t="n">
        <f aca="false">COUNTIFS($B$2:$B$2705,B1746,$C$2:$C$2705,C1746)</f>
        <v>1</v>
      </c>
      <c r="G1746" s="3" t="n">
        <f aca="false">MIN(INT((MIN(B1746,2020)-1900)/10)+1,12)</f>
        <v>10</v>
      </c>
      <c r="H1746" s="3" t="n">
        <f aca="false">(MIN(B1746,2020)-1900-10*(G1746-1))/10</f>
        <v>0.3</v>
      </c>
      <c r="I1746" s="20" t="n">
        <f aca="false">EXP(LN(INDEX(Pop_Inputs!$B$2:$N$29,MATCH(C1746,Pop_Inputs!$A$2:$A$29,0),G1746))*(1-H1746)+LN(INDEX(Pop_Inputs!$B$2:$N$29,MATCH(C1746,Pop_Inputs!$A$2:$A$29,0),G1746+1))*H1746)</f>
        <v>358909.658210521</v>
      </c>
      <c r="J1746" s="20" t="n">
        <f aca="false">I1746/F1746</f>
        <v>358909.658210521</v>
      </c>
      <c r="K1746" s="21" t="n">
        <f aca="false">D1746/(D1746+E1746)</f>
        <v>0.462962962962963</v>
      </c>
      <c r="L1746" s="21" t="n">
        <f aca="false">AVERAGEIFS($K$2:$K$2705,$B$2:$B$2705,B1746)</f>
        <v>0.5</v>
      </c>
      <c r="M1746" s="21" t="n">
        <f aca="false">K1746-L1746</f>
        <v>-0.037037037037037</v>
      </c>
      <c r="N1746" s="21" t="n">
        <f aca="false">LN(J1746)</f>
        <v>12.790825987363</v>
      </c>
      <c r="O1746" s="21" t="n">
        <f aca="false">AVERAGEIFS($N$2:$N$2705,$B$2:$B$2705,B1746)</f>
        <v>13.6078014701731</v>
      </c>
      <c r="P1746" s="21" t="n">
        <f aca="false">N1746-O1746</f>
        <v>-0.81697548281015</v>
      </c>
      <c r="Q1746" s="7" t="n">
        <v>0</v>
      </c>
      <c r="R1746" s="3" t="n">
        <f aca="false">IF(AND(Q1746=1,B1746-_xlfn.MINIFS($B$2:$B$2705,$A$2:$A$2705,A1746)&lt;10),1,0)</f>
        <v>0</v>
      </c>
      <c r="S1746" s="7" t="n">
        <v>0</v>
      </c>
      <c r="T1746" s="3" t="n">
        <f aca="false">_xlfn.MINIFS($B$2:$B$2705,$A$2:$A$2705,A1746)</f>
        <v>1901</v>
      </c>
      <c r="U1746" s="3" t="n">
        <f aca="false">B1746-T1746</f>
        <v>92</v>
      </c>
      <c r="V1746" s="3" t="str">
        <f aca="false">INDEX(Pop_Inputs!$Q$2:$Q$29,MATCH(C1746,Pop_Inputs!$A$2:$A$29,0))</f>
        <v>Northeast</v>
      </c>
      <c r="W1746" s="29" t="n">
        <v>24822467</v>
      </c>
      <c r="X1746" s="3" t="n">
        <f aca="false">IF(W1746="","",LN(W1746))</f>
        <v>17.02725972845</v>
      </c>
      <c r="Y1746" s="3" t="n">
        <f aca="false">IF(X1746="","",X1746-AVERAGEIFS($X$2:$X$2705,$B$2:$B$2705,B1746))</f>
        <v>-0.211245618999794</v>
      </c>
      <c r="Z1746" s="21" t="n">
        <f aca="false">P1746</f>
        <v>-0.81697548281015</v>
      </c>
      <c r="AA1746" s="3" t="n">
        <f aca="false">R1746</f>
        <v>0</v>
      </c>
      <c r="AB1746" s="21" t="n">
        <f aca="false">P1746</f>
        <v>-0.81697548281015</v>
      </c>
      <c r="AC1746" s="3" t="n">
        <f aca="false">Y1746</f>
        <v>-0.211245618999794</v>
      </c>
      <c r="AD1746" s="3" t="n">
        <f aca="false">R1746</f>
        <v>0</v>
      </c>
    </row>
    <row r="1747" customFormat="false" ht="15" hidden="false" customHeight="true" outlineLevel="0" collapsed="false">
      <c r="A1747" s="7" t="s">
        <v>78</v>
      </c>
      <c r="B1747" s="7" t="n">
        <v>1993</v>
      </c>
      <c r="C1747" s="7" t="s">
        <v>159</v>
      </c>
      <c r="D1747" s="7" t="n">
        <v>61</v>
      </c>
      <c r="E1747" s="7" t="n">
        <v>101</v>
      </c>
      <c r="F1747" s="3" t="n">
        <f aca="false">COUNTIFS($B$2:$B$2705,B1747,$C$2:$C$2705,C1747)</f>
        <v>1</v>
      </c>
      <c r="G1747" s="3" t="n">
        <f aca="false">MIN(INT((MIN(B1747,2020)-1900)/10)+1,12)</f>
        <v>10</v>
      </c>
      <c r="H1747" s="3" t="n">
        <f aca="false">(MIN(B1747,2020)-1900-10*(G1747-1))/10</f>
        <v>0.3</v>
      </c>
      <c r="I1747" s="20" t="n">
        <f aca="false">EXP(LN(INDEX(Pop_Inputs!$B$2:$N$29,MATCH(C1747,Pop_Inputs!$A$2:$A$29,0),G1747))*(1-H1747)+LN(INDEX(Pop_Inputs!$B$2:$N$29,MATCH(C1747,Pop_Inputs!$A$2:$A$29,0),G1747+1))*H1747)</f>
        <v>1143265.11174408</v>
      </c>
      <c r="J1747" s="20" t="n">
        <f aca="false">I1747/F1747</f>
        <v>1143265.11174408</v>
      </c>
      <c r="K1747" s="21" t="n">
        <f aca="false">D1747/(D1747+E1747)</f>
        <v>0.376543209876543</v>
      </c>
      <c r="L1747" s="21" t="n">
        <f aca="false">AVERAGEIFS($K$2:$K$2705,$B$2:$B$2705,B1747)</f>
        <v>0.5</v>
      </c>
      <c r="M1747" s="21" t="n">
        <f aca="false">K1747-L1747</f>
        <v>-0.123456790123457</v>
      </c>
      <c r="N1747" s="21" t="n">
        <f aca="false">LN(J1747)</f>
        <v>13.9493988596652</v>
      </c>
      <c r="O1747" s="21" t="n">
        <f aca="false">AVERAGEIFS($N$2:$N$2705,$B$2:$B$2705,B1747)</f>
        <v>13.6078014701731</v>
      </c>
      <c r="P1747" s="21" t="n">
        <f aca="false">N1747-O1747</f>
        <v>0.341597389492121</v>
      </c>
      <c r="Q1747" s="7" t="n">
        <v>1</v>
      </c>
      <c r="R1747" s="3" t="n">
        <f aca="false">IF(AND(Q1747=1,B1747-_xlfn.MINIFS($B$2:$B$2705,$A$2:$A$2705,A1747)&lt;10),1,0)</f>
        <v>0</v>
      </c>
      <c r="S1747" s="7" t="n">
        <v>0</v>
      </c>
      <c r="T1747" s="3" t="n">
        <f aca="false">_xlfn.MINIFS($B$2:$B$2705,$A$2:$A$2705,A1747)</f>
        <v>1969</v>
      </c>
      <c r="U1747" s="3" t="n">
        <f aca="false">B1747-T1747</f>
        <v>24</v>
      </c>
      <c r="V1747" s="3" t="str">
        <f aca="false">INDEX(Pop_Inputs!$Q$2:$Q$29,MATCH(C1747,Pop_Inputs!$A$2:$A$29,0))</f>
        <v>West</v>
      </c>
      <c r="W1747" s="29" t="n">
        <v>25511333</v>
      </c>
      <c r="X1747" s="3" t="n">
        <f aca="false">IF(W1747="","",LN(W1747))</f>
        <v>17.0546333427708</v>
      </c>
      <c r="Y1747" s="3" t="n">
        <f aca="false">IF(X1747="","",X1747-AVERAGEIFS($X$2:$X$2705,$B$2:$B$2705,B1747))</f>
        <v>-0.183872004678946</v>
      </c>
      <c r="Z1747" s="21" t="n">
        <f aca="false">P1747</f>
        <v>0.341597389492121</v>
      </c>
      <c r="AA1747" s="3" t="n">
        <f aca="false">R1747</f>
        <v>0</v>
      </c>
      <c r="AB1747" s="21" t="n">
        <f aca="false">P1747</f>
        <v>0.341597389492121</v>
      </c>
      <c r="AC1747" s="3" t="n">
        <f aca="false">Y1747</f>
        <v>-0.183872004678946</v>
      </c>
      <c r="AD1747" s="3" t="n">
        <f aca="false">R1747</f>
        <v>0</v>
      </c>
    </row>
    <row r="1748" customFormat="false" ht="15" hidden="false" customHeight="true" outlineLevel="0" collapsed="false">
      <c r="A1748" s="7" t="s">
        <v>80</v>
      </c>
      <c r="B1748" s="7" t="n">
        <v>1993</v>
      </c>
      <c r="C1748" s="7" t="s">
        <v>161</v>
      </c>
      <c r="D1748" s="7" t="n">
        <v>82</v>
      </c>
      <c r="E1748" s="7" t="n">
        <v>80</v>
      </c>
      <c r="F1748" s="3" t="n">
        <f aca="false">COUNTIFS($B$2:$B$2705,B1748,$C$2:$C$2705,C1748)</f>
        <v>1</v>
      </c>
      <c r="G1748" s="3" t="n">
        <f aca="false">MIN(INT((MIN(B1748,2020)-1900)/10)+1,12)</f>
        <v>10</v>
      </c>
      <c r="H1748" s="3" t="n">
        <f aca="false">(MIN(B1748,2020)-1900-10*(G1748-1))/10</f>
        <v>0.3</v>
      </c>
      <c r="I1748" s="20" t="n">
        <f aca="false">EXP(LN(INDEX(Pop_Inputs!$B$2:$N$29,MATCH(C1748,Pop_Inputs!$A$2:$A$29,0),G1748))*(1-H1748)+LN(INDEX(Pop_Inputs!$B$2:$N$29,MATCH(C1748,Pop_Inputs!$A$2:$A$29,0),G1748+1))*H1748)</f>
        <v>529964.01927109</v>
      </c>
      <c r="J1748" s="20" t="n">
        <f aca="false">I1748/F1748</f>
        <v>529964.01927109</v>
      </c>
      <c r="K1748" s="21" t="n">
        <f aca="false">D1748/(D1748+E1748)</f>
        <v>0.506172839506173</v>
      </c>
      <c r="L1748" s="21" t="n">
        <f aca="false">AVERAGEIFS($K$2:$K$2705,$B$2:$B$2705,B1748)</f>
        <v>0.5</v>
      </c>
      <c r="M1748" s="21" t="n">
        <f aca="false">K1748-L1748</f>
        <v>0.00617283950617287</v>
      </c>
      <c r="N1748" s="21" t="n">
        <f aca="false">LN(J1748)</f>
        <v>13.180564395056</v>
      </c>
      <c r="O1748" s="21" t="n">
        <f aca="false">AVERAGEIFS($N$2:$N$2705,$B$2:$B$2705,B1748)</f>
        <v>13.6078014701731</v>
      </c>
      <c r="P1748" s="21" t="n">
        <f aca="false">N1748-O1748</f>
        <v>-0.42723707511708</v>
      </c>
      <c r="Q1748" s="7" t="n">
        <v>1</v>
      </c>
      <c r="R1748" s="3" t="n">
        <f aca="false">IF(AND(Q1748=1,B1748-_xlfn.MINIFS($B$2:$B$2705,$A$2:$A$2705,A1748)&lt;10),1,0)</f>
        <v>0</v>
      </c>
      <c r="S1748" s="7" t="n">
        <v>0</v>
      </c>
      <c r="T1748" s="3" t="n">
        <f aca="false">_xlfn.MINIFS($B$2:$B$2705,$A$2:$A$2705,A1748)</f>
        <v>1977</v>
      </c>
      <c r="U1748" s="3" t="n">
        <f aca="false">B1748-T1748</f>
        <v>16</v>
      </c>
      <c r="V1748" s="3" t="str">
        <f aca="false">INDEX(Pop_Inputs!$Q$2:$Q$29,MATCH(C1748,Pop_Inputs!$A$2:$A$29,0))</f>
        <v>West</v>
      </c>
      <c r="W1748" s="29" t="n">
        <v>32696333</v>
      </c>
      <c r="X1748" s="3" t="n">
        <f aca="false">IF(W1748="","",LN(W1748))</f>
        <v>17.3027734889065</v>
      </c>
      <c r="Y1748" s="3" t="n">
        <f aca="false">IF(X1748="","",X1748-AVERAGEIFS($X$2:$X$2705,$B$2:$B$2705,B1748))</f>
        <v>0.0642681414566866</v>
      </c>
      <c r="Z1748" s="21" t="n">
        <f aca="false">P1748</f>
        <v>-0.42723707511708</v>
      </c>
      <c r="AA1748" s="3" t="n">
        <f aca="false">R1748</f>
        <v>0</v>
      </c>
      <c r="AB1748" s="21" t="n">
        <f aca="false">P1748</f>
        <v>-0.42723707511708</v>
      </c>
      <c r="AC1748" s="3" t="n">
        <f aca="false">Y1748</f>
        <v>0.0642681414566866</v>
      </c>
      <c r="AD1748" s="3" t="n">
        <f aca="false">R1748</f>
        <v>0</v>
      </c>
    </row>
    <row r="1749" customFormat="false" ht="15" hidden="false" customHeight="true" outlineLevel="0" collapsed="false">
      <c r="A1749" s="7" t="s">
        <v>61</v>
      </c>
      <c r="B1749" s="7" t="n">
        <v>1993</v>
      </c>
      <c r="C1749" s="7" t="s">
        <v>147</v>
      </c>
      <c r="D1749" s="7" t="n">
        <v>103</v>
      </c>
      <c r="E1749" s="7" t="n">
        <v>59</v>
      </c>
      <c r="F1749" s="3" t="n">
        <f aca="false">COUNTIFS($B$2:$B$2705,B1749,$C$2:$C$2705,C1749)</f>
        <v>1</v>
      </c>
      <c r="G1749" s="3" t="n">
        <f aca="false">MIN(INT((MIN(B1749,2020)-1900)/10)+1,12)</f>
        <v>10</v>
      </c>
      <c r="H1749" s="3" t="n">
        <f aca="false">(MIN(B1749,2020)-1900-10*(G1749-1))/10</f>
        <v>0.3</v>
      </c>
      <c r="I1749" s="20" t="n">
        <f aca="false">EXP(LN(INDEX(Pop_Inputs!$B$2:$N$29,MATCH(C1749,Pop_Inputs!$A$2:$A$29,0),G1749))*(1-H1749)+LN(INDEX(Pop_Inputs!$B$2:$N$29,MATCH(C1749,Pop_Inputs!$A$2:$A$29,0),G1749+1))*H1749)</f>
        <v>739403.168152415</v>
      </c>
      <c r="J1749" s="20" t="n">
        <f aca="false">I1749/F1749</f>
        <v>739403.168152415</v>
      </c>
      <c r="K1749" s="21" t="n">
        <f aca="false">D1749/(D1749+E1749)</f>
        <v>0.635802469135803</v>
      </c>
      <c r="L1749" s="21" t="n">
        <f aca="false">AVERAGEIFS($K$2:$K$2705,$B$2:$B$2705,B1749)</f>
        <v>0.5</v>
      </c>
      <c r="M1749" s="21" t="n">
        <f aca="false">K1749-L1749</f>
        <v>0.135802469135803</v>
      </c>
      <c r="N1749" s="21" t="n">
        <f aca="false">LN(J1749)</f>
        <v>13.5135986102367</v>
      </c>
      <c r="O1749" s="21" t="n">
        <f aca="false">AVERAGEIFS($N$2:$N$2705,$B$2:$B$2705,B1749)</f>
        <v>13.6078014701731</v>
      </c>
      <c r="P1749" s="21" t="n">
        <f aca="false">N1749-O1749</f>
        <v>-0.0942028599364573</v>
      </c>
      <c r="Q1749" s="7" t="n">
        <v>0</v>
      </c>
      <c r="R1749" s="3" t="n">
        <f aca="false">IF(AND(Q1749=1,B1749-_xlfn.MINIFS($B$2:$B$2705,$A$2:$A$2705,A1749)&lt;10),1,0)</f>
        <v>0</v>
      </c>
      <c r="S1749" s="7" t="n">
        <v>0</v>
      </c>
      <c r="T1749" s="3" t="n">
        <f aca="false">_xlfn.MINIFS($B$2:$B$2705,$A$2:$A$2705,A1749)</f>
        <v>1901</v>
      </c>
      <c r="U1749" s="3" t="n">
        <f aca="false">B1749-T1749</f>
        <v>92</v>
      </c>
      <c r="V1749" s="3" t="str">
        <f aca="false">INDEX(Pop_Inputs!$Q$2:$Q$29,MATCH(C1749,Pop_Inputs!$A$2:$A$29,0))</f>
        <v>West</v>
      </c>
      <c r="W1749" s="29" t="n">
        <v>35050000</v>
      </c>
      <c r="X1749" s="3" t="n">
        <f aca="false">IF(W1749="","",LN(W1749))</f>
        <v>17.3722861714449</v>
      </c>
      <c r="Y1749" s="3" t="n">
        <f aca="false">IF(X1749="","",X1749-AVERAGEIFS($X$2:$X$2705,$B$2:$B$2705,B1749))</f>
        <v>0.133780823995096</v>
      </c>
      <c r="Z1749" s="21" t="n">
        <f aca="false">P1749</f>
        <v>-0.0942028599364573</v>
      </c>
      <c r="AA1749" s="3" t="n">
        <f aca="false">R1749</f>
        <v>0</v>
      </c>
      <c r="AB1749" s="21" t="n">
        <f aca="false">P1749</f>
        <v>-0.0942028599364573</v>
      </c>
      <c r="AC1749" s="3" t="n">
        <f aca="false">Y1749</f>
        <v>0.133780823995096</v>
      </c>
      <c r="AD1749" s="3" t="n">
        <f aca="false">R1749</f>
        <v>0</v>
      </c>
    </row>
    <row r="1750" customFormat="false" ht="15" hidden="false" customHeight="true" outlineLevel="0" collapsed="false">
      <c r="A1750" s="7" t="s">
        <v>59</v>
      </c>
      <c r="B1750" s="7" t="n">
        <v>1993</v>
      </c>
      <c r="C1750" s="7" t="s">
        <v>145</v>
      </c>
      <c r="D1750" s="7" t="n">
        <v>87</v>
      </c>
      <c r="E1750" s="7" t="n">
        <v>75</v>
      </c>
      <c r="F1750" s="3" t="n">
        <f aca="false">COUNTIFS($B$2:$B$2705,B1750,$C$2:$C$2705,C1750)</f>
        <v>1</v>
      </c>
      <c r="G1750" s="3" t="n">
        <f aca="false">MIN(INT((MIN(B1750,2020)-1900)/10)+1,12)</f>
        <v>10</v>
      </c>
      <c r="H1750" s="3" t="n">
        <f aca="false">(MIN(B1750,2020)-1900-10*(G1750-1))/10</f>
        <v>0.3</v>
      </c>
      <c r="I1750" s="20" t="n">
        <f aca="false">EXP(LN(INDEX(Pop_Inputs!$B$2:$N$29,MATCH(C1750,Pop_Inputs!$A$2:$A$29,0),G1750))*(1-H1750)+LN(INDEX(Pop_Inputs!$B$2:$N$29,MATCH(C1750,Pop_Inputs!$A$2:$A$29,0),G1750+1))*H1750)</f>
        <v>381466.635626939</v>
      </c>
      <c r="J1750" s="20" t="n">
        <f aca="false">I1750/F1750</f>
        <v>381466.635626939</v>
      </c>
      <c r="K1750" s="21" t="n">
        <f aca="false">D1750/(D1750+E1750)</f>
        <v>0.537037037037037</v>
      </c>
      <c r="L1750" s="21" t="n">
        <f aca="false">AVERAGEIFS($K$2:$K$2705,$B$2:$B$2705,B1750)</f>
        <v>0.5</v>
      </c>
      <c r="M1750" s="21" t="n">
        <f aca="false">K1750-L1750</f>
        <v>0.0370370370370371</v>
      </c>
      <c r="N1750" s="21" t="n">
        <f aca="false">LN(J1750)</f>
        <v>12.8517786701205</v>
      </c>
      <c r="O1750" s="21" t="n">
        <f aca="false">AVERAGEIFS($N$2:$N$2705,$B$2:$B$2705,B1750)</f>
        <v>13.6078014701731</v>
      </c>
      <c r="P1750" s="21" t="n">
        <f aca="false">N1750-O1750</f>
        <v>-0.75602280005258</v>
      </c>
      <c r="Q1750" s="7" t="n">
        <v>0</v>
      </c>
      <c r="R1750" s="3" t="n">
        <f aca="false">IF(AND(Q1750=1,B1750-_xlfn.MINIFS($B$2:$B$2705,$A$2:$A$2705,A1750)&lt;10),1,0)</f>
        <v>0</v>
      </c>
      <c r="S1750" s="7" t="n">
        <v>0</v>
      </c>
      <c r="T1750" s="3" t="n">
        <f aca="false">_xlfn.MINIFS($B$2:$B$2705,$A$2:$A$2705,A1750)</f>
        <v>1901</v>
      </c>
      <c r="U1750" s="3" t="n">
        <f aca="false">B1750-T1750</f>
        <v>92</v>
      </c>
      <c r="V1750" s="3" t="str">
        <f aca="false">INDEX(Pop_Inputs!$Q$2:$Q$29,MATCH(C1750,Pop_Inputs!$A$2:$A$29,0))</f>
        <v>Midwest</v>
      </c>
      <c r="W1750" s="29" t="n">
        <v>23367334</v>
      </c>
      <c r="X1750" s="3" t="n">
        <f aca="false">IF(W1750="","",LN(W1750))</f>
        <v>16.96684962213</v>
      </c>
      <c r="Y1750" s="3" t="n">
        <f aca="false">IF(X1750="","",X1750-AVERAGEIFS($X$2:$X$2705,$B$2:$B$2705,B1750))</f>
        <v>-0.271655725319732</v>
      </c>
      <c r="Z1750" s="21" t="n">
        <f aca="false">P1750</f>
        <v>-0.75602280005258</v>
      </c>
      <c r="AA1750" s="3" t="n">
        <f aca="false">R1750</f>
        <v>0</v>
      </c>
      <c r="AB1750" s="21" t="n">
        <f aca="false">P1750</f>
        <v>-0.75602280005258</v>
      </c>
      <c r="AC1750" s="3" t="n">
        <f aca="false">Y1750</f>
        <v>-0.271655725319732</v>
      </c>
      <c r="AD1750" s="3" t="n">
        <f aca="false">R1750</f>
        <v>0</v>
      </c>
    </row>
    <row r="1751" customFormat="false" ht="15" hidden="false" customHeight="true" outlineLevel="0" collapsed="false">
      <c r="A1751" s="7" t="s">
        <v>73</v>
      </c>
      <c r="B1751" s="7" t="n">
        <v>1993</v>
      </c>
      <c r="C1751" s="7" t="s">
        <v>155</v>
      </c>
      <c r="D1751" s="7" t="n">
        <v>86</v>
      </c>
      <c r="E1751" s="7" t="n">
        <v>76</v>
      </c>
      <c r="F1751" s="3" t="n">
        <f aca="false">COUNTIFS($B$2:$B$2705,B1751,$C$2:$C$2705,C1751)</f>
        <v>1</v>
      </c>
      <c r="G1751" s="3" t="n">
        <f aca="false">MIN(INT((MIN(B1751,2020)-1900)/10)+1,12)</f>
        <v>10</v>
      </c>
      <c r="H1751" s="3" t="n">
        <f aca="false">(MIN(B1751,2020)-1900-10*(G1751-1))/10</f>
        <v>0.3</v>
      </c>
      <c r="I1751" s="20" t="n">
        <f aca="false">EXP(LN(INDEX(Pop_Inputs!$B$2:$N$29,MATCH(C1751,Pop_Inputs!$A$2:$A$29,0),G1751))*(1-H1751)+LN(INDEX(Pop_Inputs!$B$2:$N$29,MATCH(C1751,Pop_Inputs!$A$2:$A$29,0),G1751+1))*H1751)</f>
        <v>1058332.69077706</v>
      </c>
      <c r="J1751" s="20" t="n">
        <f aca="false">I1751/F1751</f>
        <v>1058332.69077706</v>
      </c>
      <c r="K1751" s="21" t="n">
        <f aca="false">D1751/(D1751+E1751)</f>
        <v>0.530864197530864</v>
      </c>
      <c r="L1751" s="21" t="n">
        <f aca="false">AVERAGEIFS($K$2:$K$2705,$B$2:$B$2705,B1751)</f>
        <v>0.5</v>
      </c>
      <c r="M1751" s="21" t="n">
        <f aca="false">K1751-L1751</f>
        <v>0.0308641975308642</v>
      </c>
      <c r="N1751" s="21" t="n">
        <f aca="false">LN(J1751)</f>
        <v>13.8722052945008</v>
      </c>
      <c r="O1751" s="21" t="n">
        <f aca="false">AVERAGEIFS($N$2:$N$2705,$B$2:$B$2705,B1751)</f>
        <v>13.6078014701731</v>
      </c>
      <c r="P1751" s="21" t="n">
        <f aca="false">N1751-O1751</f>
        <v>0.264403824327722</v>
      </c>
      <c r="Q1751" s="7" t="n">
        <v>1</v>
      </c>
      <c r="R1751" s="3" t="n">
        <f aca="false">IF(AND(Q1751=1,B1751-_xlfn.MINIFS($B$2:$B$2705,$A$2:$A$2705,A1751)&lt;10),1,0)</f>
        <v>0</v>
      </c>
      <c r="S1751" s="7" t="n">
        <v>0</v>
      </c>
      <c r="T1751" s="3" t="n">
        <f aca="false">_xlfn.MINIFS($B$2:$B$2705,$A$2:$A$2705,A1751)</f>
        <v>1961</v>
      </c>
      <c r="U1751" s="3" t="n">
        <f aca="false">B1751-T1751</f>
        <v>32</v>
      </c>
      <c r="V1751" s="3" t="str">
        <f aca="false">INDEX(Pop_Inputs!$Q$2:$Q$29,MATCH(C1751,Pop_Inputs!$A$2:$A$29,0))</f>
        <v>South</v>
      </c>
      <c r="W1751" s="29" t="n">
        <v>36376959</v>
      </c>
      <c r="X1751" s="3" t="n">
        <f aca="false">IF(W1751="","",LN(W1751))</f>
        <v>17.4094461376759</v>
      </c>
      <c r="Y1751" s="3" t="n">
        <f aca="false">IF(X1751="","",X1751-AVERAGEIFS($X$2:$X$2705,$B$2:$B$2705,B1751))</f>
        <v>0.170940790226091</v>
      </c>
      <c r="Z1751" s="21" t="n">
        <f aca="false">P1751</f>
        <v>0.264403824327722</v>
      </c>
      <c r="AA1751" s="3" t="n">
        <f aca="false">R1751</f>
        <v>0</v>
      </c>
      <c r="AB1751" s="21" t="n">
        <f aca="false">P1751</f>
        <v>0.264403824327722</v>
      </c>
      <c r="AC1751" s="3" t="n">
        <f aca="false">Y1751</f>
        <v>0.170940790226091</v>
      </c>
      <c r="AD1751" s="3" t="n">
        <f aca="false">R1751</f>
        <v>0</v>
      </c>
    </row>
    <row r="1752" customFormat="false" ht="15" hidden="false" customHeight="true" outlineLevel="0" collapsed="false">
      <c r="A1752" s="7" t="s">
        <v>81</v>
      </c>
      <c r="B1752" s="7" t="n">
        <v>1993</v>
      </c>
      <c r="C1752" s="7" t="s">
        <v>162</v>
      </c>
      <c r="D1752" s="7" t="n">
        <v>95</v>
      </c>
      <c r="E1752" s="7" t="n">
        <v>67</v>
      </c>
      <c r="F1752" s="3" t="n">
        <f aca="false">COUNTIFS($B$2:$B$2705,B1752,$C$2:$C$2705,C1752)</f>
        <v>1</v>
      </c>
      <c r="G1752" s="3" t="n">
        <f aca="false">MIN(INT((MIN(B1752,2020)-1900)/10)+1,12)</f>
        <v>10</v>
      </c>
      <c r="H1752" s="3" t="n">
        <f aca="false">(MIN(B1752,2020)-1900-10*(G1752-1))/10</f>
        <v>0.3</v>
      </c>
      <c r="I1752" s="20" t="n">
        <f aca="false">EXP(LN(INDEX(Pop_Inputs!$B$2:$N$29,MATCH(C1752,Pop_Inputs!$A$2:$A$29,0),G1752))*(1-H1752)+LN(INDEX(Pop_Inputs!$B$2:$N$29,MATCH(C1752,Pop_Inputs!$A$2:$A$29,0),G1752+1))*H1752)</f>
        <v>956190.938967006</v>
      </c>
      <c r="J1752" s="20" t="n">
        <f aca="false">I1752/F1752</f>
        <v>956190.938967006</v>
      </c>
      <c r="K1752" s="21" t="n">
        <f aca="false">D1752/(D1752+E1752)</f>
        <v>0.58641975308642</v>
      </c>
      <c r="L1752" s="21" t="n">
        <f aca="false">AVERAGEIFS($K$2:$K$2705,$B$2:$B$2705,B1752)</f>
        <v>0.5</v>
      </c>
      <c r="M1752" s="21" t="n">
        <f aca="false">K1752-L1752</f>
        <v>0.0864197530864198</v>
      </c>
      <c r="N1752" s="21" t="n">
        <f aca="false">LN(J1752)</f>
        <v>13.7707128990437</v>
      </c>
      <c r="O1752" s="21" t="n">
        <f aca="false">AVERAGEIFS($N$2:$N$2705,$B$2:$B$2705,B1752)</f>
        <v>13.6078014701731</v>
      </c>
      <c r="P1752" s="21" t="n">
        <f aca="false">N1752-O1752</f>
        <v>0.162911428870578</v>
      </c>
      <c r="Q1752" s="7" t="n">
        <v>1</v>
      </c>
      <c r="R1752" s="3" t="n">
        <f aca="false">IF(AND(Q1752=1,B1752-_xlfn.MINIFS($B$2:$B$2705,$A$2:$A$2705,A1752)&lt;10),1,0)</f>
        <v>0</v>
      </c>
      <c r="S1752" s="7" t="n">
        <v>0</v>
      </c>
      <c r="T1752" s="3" t="n">
        <f aca="false">_xlfn.MINIFS($B$2:$B$2705,$A$2:$A$2705,A1752)</f>
        <v>1977</v>
      </c>
      <c r="U1752" s="3" t="n">
        <f aca="false">B1752-T1752</f>
        <v>16</v>
      </c>
      <c r="V1752" s="3" t="str">
        <f aca="false">INDEX(Pop_Inputs!$Q$2:$Q$29,MATCH(C1752,Pop_Inputs!$A$2:$A$29,0))</f>
        <v>Canada</v>
      </c>
      <c r="W1752" s="29" t="n">
        <v>47279166</v>
      </c>
      <c r="X1752" s="3" t="n">
        <f aca="false">IF(W1752="","",LN(W1752))</f>
        <v>17.6715802913126</v>
      </c>
      <c r="Y1752" s="3" t="n">
        <f aca="false">IF(X1752="","",X1752-AVERAGEIFS($X$2:$X$2705,$B$2:$B$2705,B1752))</f>
        <v>0.433074943862852</v>
      </c>
      <c r="Z1752" s="21" t="n">
        <f aca="false">P1752</f>
        <v>0.162911428870578</v>
      </c>
      <c r="AA1752" s="3" t="n">
        <f aca="false">R1752</f>
        <v>0</v>
      </c>
      <c r="AB1752" s="21" t="n">
        <f aca="false">P1752</f>
        <v>0.162911428870578</v>
      </c>
      <c r="AC1752" s="3" t="n">
        <f aca="false">Y1752</f>
        <v>0.433074943862852</v>
      </c>
      <c r="AD1752" s="3" t="n">
        <f aca="false">R1752</f>
        <v>0</v>
      </c>
    </row>
    <row r="1753" customFormat="false" ht="15" hidden="false" customHeight="true" outlineLevel="0" collapsed="false">
      <c r="A1753" s="7" t="s">
        <v>79</v>
      </c>
      <c r="B1753" s="7" t="n">
        <v>1993</v>
      </c>
      <c r="C1753" s="7" t="s">
        <v>254</v>
      </c>
      <c r="D1753" s="7" t="n">
        <v>94</v>
      </c>
      <c r="E1753" s="7" t="n">
        <v>68</v>
      </c>
      <c r="F1753" s="3" t="n">
        <f aca="false">COUNTIFS($B$2:$B$2705,B1753,$C$2:$C$2705,C1753)</f>
        <v>1</v>
      </c>
      <c r="G1753" s="3" t="n">
        <f aca="false">MIN(INT((MIN(B1753,2020)-1900)/10)+1,12)</f>
        <v>10</v>
      </c>
      <c r="H1753" s="3" t="n">
        <f aca="false">(MIN(B1753,2020)-1900-10*(G1753-1))/10</f>
        <v>0.3</v>
      </c>
      <c r="I1753" s="20" t="n">
        <f aca="false">EXP(LN(INDEX(Pop_Inputs!$B$2:$N$29,MATCH(C1753,Pop_Inputs!$A$2:$A$29,0),G1753))*(1-H1753)+LN(INDEX(Pop_Inputs!$B$2:$N$29,MATCH(C1753,Pop_Inputs!$A$2:$A$29,0),G1753+1))*H1753)</f>
        <v>1024177.65188391</v>
      </c>
      <c r="J1753" s="20" t="n">
        <f aca="false">I1753/F1753</f>
        <v>1024177.65188391</v>
      </c>
      <c r="K1753" s="21" t="n">
        <f aca="false">D1753/(D1753+E1753)</f>
        <v>0.580246913580247</v>
      </c>
      <c r="L1753" s="21" t="n">
        <f aca="false">AVERAGEIFS($K$2:$K$2705,$B$2:$B$2705,B1753)</f>
        <v>0.5</v>
      </c>
      <c r="M1753" s="21" t="n">
        <f aca="false">K1753-L1753</f>
        <v>0.0802469135802469</v>
      </c>
      <c r="N1753" s="21" t="n">
        <f aca="false">LN(J1753)</f>
        <v>13.8394005577021</v>
      </c>
      <c r="O1753" s="21" t="n">
        <f aca="false">AVERAGEIFS($N$2:$N$2705,$B$2:$B$2705,B1753)</f>
        <v>13.6078014701731</v>
      </c>
      <c r="P1753" s="21" t="n">
        <f aca="false">N1753-O1753</f>
        <v>0.231599087529018</v>
      </c>
      <c r="Q1753" s="7" t="n">
        <v>1</v>
      </c>
      <c r="R1753" s="3" t="n">
        <f aca="false">IF(AND(Q1753=1,B1753-_xlfn.MINIFS($B$2:$B$2705,$A$2:$A$2705,A1753)&lt;10),1,0)</f>
        <v>0</v>
      </c>
      <c r="S1753" s="7" t="n">
        <v>0</v>
      </c>
      <c r="T1753" s="3" t="n">
        <f aca="false">_xlfn.MINIFS($B$2:$B$2705,$A$2:$A$2705,A1753)</f>
        <v>1969</v>
      </c>
      <c r="U1753" s="3" t="n">
        <f aca="false">B1753-T1753</f>
        <v>24</v>
      </c>
      <c r="V1753" s="3" t="str">
        <f aca="false">INDEX(Pop_Inputs!$Q$2:$Q$29,MATCH(C1753,Pop_Inputs!$A$2:$A$29,0))</f>
        <v>Canada</v>
      </c>
      <c r="W1753" s="29" t="n">
        <v>18899333</v>
      </c>
      <c r="X1753" s="3" t="n">
        <f aca="false">IF(W1753="","",LN(W1753))</f>
        <v>16.7546371884018</v>
      </c>
      <c r="Y1753" s="3" t="n">
        <f aca="false">IF(X1753="","",X1753-AVERAGEIFS($X$2:$X$2705,$B$2:$B$2705,B1753))</f>
        <v>-0.48386815904794</v>
      </c>
      <c r="Z1753" s="21" t="n">
        <f aca="false">P1753</f>
        <v>0.231599087529018</v>
      </c>
      <c r="AA1753" s="3" t="n">
        <f aca="false">R1753</f>
        <v>0</v>
      </c>
      <c r="AB1753" s="21" t="n">
        <f aca="false">P1753</f>
        <v>0.231599087529018</v>
      </c>
      <c r="AC1753" s="3" t="n">
        <f aca="false">Y1753</f>
        <v>-0.48386815904794</v>
      </c>
      <c r="AD1753" s="3" t="n">
        <f aca="false">R1753</f>
        <v>0</v>
      </c>
    </row>
    <row r="1754" customFormat="false" ht="15" hidden="false" customHeight="true" outlineLevel="0" collapsed="false">
      <c r="A1754" s="7" t="s">
        <v>71</v>
      </c>
      <c r="B1754" s="7" t="n">
        <v>1994</v>
      </c>
      <c r="C1754" s="7" t="s">
        <v>148</v>
      </c>
      <c r="D1754" s="7" t="n">
        <v>47</v>
      </c>
      <c r="E1754" s="7" t="n">
        <v>68</v>
      </c>
      <c r="F1754" s="3" t="n">
        <f aca="false">COUNTIFS($B$2:$B$2705,B1754,$C$2:$C$2705,C1754)</f>
        <v>2</v>
      </c>
      <c r="G1754" s="3" t="n">
        <f aca="false">MIN(INT((MIN(B1754,2020)-1900)/10)+1,12)</f>
        <v>10</v>
      </c>
      <c r="H1754" s="3" t="n">
        <f aca="false">(MIN(B1754,2020)-1900-10*(G1754-1))/10</f>
        <v>0.4</v>
      </c>
      <c r="I1754" s="20" t="n">
        <f aca="false">EXP(LN(INDEX(Pop_Inputs!$B$2:$N$29,MATCH(C1754,Pop_Inputs!$A$2:$A$29,0),G1754))*(1-H1754)+LN(INDEX(Pop_Inputs!$B$2:$N$29,MATCH(C1754,Pop_Inputs!$A$2:$A$29,0),G1754+1))*H1754)</f>
        <v>3567703.38889467</v>
      </c>
      <c r="J1754" s="20" t="n">
        <f aca="false">I1754/F1754</f>
        <v>1783851.69444734</v>
      </c>
      <c r="K1754" s="21" t="n">
        <f aca="false">D1754/(D1754+E1754)</f>
        <v>0.408695652173913</v>
      </c>
      <c r="L1754" s="21" t="n">
        <f aca="false">AVERAGEIFS($K$2:$K$2705,$B$2:$B$2705,B1754)</f>
        <v>0.500257436761862</v>
      </c>
      <c r="M1754" s="21" t="n">
        <f aca="false">K1754-L1754</f>
        <v>-0.0915617845879485</v>
      </c>
      <c r="N1754" s="21" t="n">
        <f aca="false">LN(J1754)</f>
        <v>14.3942854577514</v>
      </c>
      <c r="O1754" s="21" t="n">
        <f aca="false">AVERAGEIFS($N$2:$N$2705,$B$2:$B$2705,B1754)</f>
        <v>13.6151937292317</v>
      </c>
      <c r="P1754" s="21" t="n">
        <f aca="false">N1754-O1754</f>
        <v>0.779091728519667</v>
      </c>
      <c r="Q1754" s="7" t="n">
        <v>1</v>
      </c>
      <c r="R1754" s="3" t="n">
        <f aca="false">IF(AND(Q1754=1,B1754-_xlfn.MINIFS($B$2:$B$2705,$A$2:$A$2705,A1754)&lt;10),1,0)</f>
        <v>0</v>
      </c>
      <c r="S1754" s="7" t="n">
        <v>0</v>
      </c>
      <c r="T1754" s="3" t="n">
        <f aca="false">_xlfn.MINIFS($B$2:$B$2705,$A$2:$A$2705,A1754)</f>
        <v>1961</v>
      </c>
      <c r="U1754" s="3" t="n">
        <f aca="false">B1754-T1754</f>
        <v>33</v>
      </c>
      <c r="V1754" s="3" t="str">
        <f aca="false">INDEX(Pop_Inputs!$Q$2:$Q$29,MATCH(C1754,Pop_Inputs!$A$2:$A$29,0))</f>
        <v>West</v>
      </c>
      <c r="W1754" s="29" t="n">
        <v>25156218</v>
      </c>
      <c r="X1754" s="3" t="n">
        <f aca="false">IF(W1754="","",LN(W1754))</f>
        <v>17.0406156605326</v>
      </c>
      <c r="Y1754" s="3" t="n">
        <f aca="false">IF(X1754="","",X1754-AVERAGEIFS($X$2:$X$2705,$B$2:$B$2705,B1754))</f>
        <v>-0.239580694587872</v>
      </c>
      <c r="Z1754" s="21" t="n">
        <f aca="false">P1754</f>
        <v>0.779091728519667</v>
      </c>
      <c r="AA1754" s="3" t="n">
        <f aca="false">R1754</f>
        <v>0</v>
      </c>
      <c r="AB1754" s="21" t="n">
        <f aca="false">P1754</f>
        <v>0.779091728519667</v>
      </c>
      <c r="AC1754" s="3" t="n">
        <f aca="false">Y1754</f>
        <v>-0.239580694587872</v>
      </c>
      <c r="AD1754" s="3" t="n">
        <f aca="false">R1754</f>
        <v>0</v>
      </c>
    </row>
    <row r="1755" customFormat="false" ht="15" hidden="false" customHeight="true" outlineLevel="0" collapsed="false">
      <c r="A1755" s="7" t="s">
        <v>54</v>
      </c>
      <c r="B1755" s="7" t="n">
        <v>1994</v>
      </c>
      <c r="C1755" s="7" t="s">
        <v>141</v>
      </c>
      <c r="D1755" s="7" t="n">
        <v>68</v>
      </c>
      <c r="E1755" s="7" t="n">
        <v>46</v>
      </c>
      <c r="F1755" s="3" t="n">
        <f aca="false">COUNTIFS($B$2:$B$2705,B1755,$C$2:$C$2705,C1755)</f>
        <v>1</v>
      </c>
      <c r="G1755" s="3" t="n">
        <f aca="false">MIN(INT((MIN(B1755,2020)-1900)/10)+1,12)</f>
        <v>10</v>
      </c>
      <c r="H1755" s="3" t="n">
        <f aca="false">(MIN(B1755,2020)-1900-10*(G1755-1))/10</f>
        <v>0.4</v>
      </c>
      <c r="I1755" s="20" t="n">
        <f aca="false">EXP(LN(INDEX(Pop_Inputs!$B$2:$N$29,MATCH(C1755,Pop_Inputs!$A$2:$A$29,0),G1755))*(1-H1755)+LN(INDEX(Pop_Inputs!$B$2:$N$29,MATCH(C1755,Pop_Inputs!$A$2:$A$29,0),G1755+1))*H1755)</f>
        <v>402850.710224086</v>
      </c>
      <c r="J1755" s="20" t="n">
        <f aca="false">I1755/F1755</f>
        <v>402850.710224086</v>
      </c>
      <c r="K1755" s="21" t="n">
        <f aca="false">D1755/(D1755+E1755)</f>
        <v>0.596491228070175</v>
      </c>
      <c r="L1755" s="21" t="n">
        <f aca="false">AVERAGEIFS($K$2:$K$2705,$B$2:$B$2705,B1755)</f>
        <v>0.500257436761862</v>
      </c>
      <c r="M1755" s="21" t="n">
        <f aca="false">K1755-L1755</f>
        <v>0.0962337913083139</v>
      </c>
      <c r="N1755" s="21" t="n">
        <f aca="false">LN(J1755)</f>
        <v>12.9063213262026</v>
      </c>
      <c r="O1755" s="21" t="n">
        <f aca="false">AVERAGEIFS($N$2:$N$2705,$B$2:$B$2705,B1755)</f>
        <v>13.6151937292317</v>
      </c>
      <c r="P1755" s="21" t="n">
        <f aca="false">N1755-O1755</f>
        <v>-0.708872403029051</v>
      </c>
      <c r="Q1755" s="7" t="n">
        <v>0</v>
      </c>
      <c r="R1755" s="3" t="n">
        <f aca="false">IF(AND(Q1755=1,B1755-_xlfn.MINIFS($B$2:$B$2705,$A$2:$A$2705,A1755)&lt;10),1,0)</f>
        <v>0</v>
      </c>
      <c r="S1755" s="7" t="n">
        <v>0</v>
      </c>
      <c r="T1755" s="3" t="n">
        <f aca="false">_xlfn.MINIFS($B$2:$B$2705,$A$2:$A$2705,A1755)</f>
        <v>1901</v>
      </c>
      <c r="U1755" s="3" t="n">
        <f aca="false">B1755-T1755</f>
        <v>93</v>
      </c>
      <c r="V1755" s="3" t="str">
        <f aca="false">INDEX(Pop_Inputs!$Q$2:$Q$29,MATCH(C1755,Pop_Inputs!$A$2:$A$29,0))</f>
        <v>South</v>
      </c>
      <c r="W1755" s="29" t="n">
        <v>49383513</v>
      </c>
      <c r="X1755" s="3" t="n">
        <f aca="false">IF(W1755="","",LN(W1755))</f>
        <v>17.7151271815136</v>
      </c>
      <c r="Y1755" s="3" t="n">
        <f aca="false">IF(X1755="","",X1755-AVERAGEIFS($X$2:$X$2705,$B$2:$B$2705,B1755))</f>
        <v>0.43493082639316</v>
      </c>
      <c r="Z1755" s="21" t="n">
        <f aca="false">P1755</f>
        <v>-0.708872403029051</v>
      </c>
      <c r="AA1755" s="3" t="n">
        <f aca="false">R1755</f>
        <v>0</v>
      </c>
      <c r="AB1755" s="21" t="n">
        <f aca="false">P1755</f>
        <v>-0.708872403029051</v>
      </c>
      <c r="AC1755" s="3" t="n">
        <f aca="false">Y1755</f>
        <v>0.43493082639316</v>
      </c>
      <c r="AD1755" s="3" t="n">
        <f aca="false">R1755</f>
        <v>0</v>
      </c>
    </row>
    <row r="1756" customFormat="false" ht="15" hidden="false" customHeight="true" outlineLevel="0" collapsed="false">
      <c r="A1756" s="7" t="s">
        <v>63</v>
      </c>
      <c r="B1756" s="7" t="n">
        <v>1994</v>
      </c>
      <c r="C1756" s="7" t="s">
        <v>149</v>
      </c>
      <c r="D1756" s="7" t="n">
        <v>63</v>
      </c>
      <c r="E1756" s="7" t="n">
        <v>49</v>
      </c>
      <c r="F1756" s="3" t="n">
        <f aca="false">COUNTIFS($B$2:$B$2705,B1756,$C$2:$C$2705,C1756)</f>
        <v>1</v>
      </c>
      <c r="G1756" s="3" t="n">
        <f aca="false">MIN(INT((MIN(B1756,2020)-1900)/10)+1,12)</f>
        <v>10</v>
      </c>
      <c r="H1756" s="3" t="n">
        <f aca="false">(MIN(B1756,2020)-1900-10*(G1756-1))/10</f>
        <v>0.4</v>
      </c>
      <c r="I1756" s="20" t="n">
        <f aca="false">EXP(LN(INDEX(Pop_Inputs!$B$2:$N$29,MATCH(C1756,Pop_Inputs!$A$2:$A$29,0),G1756))*(1-H1756)+LN(INDEX(Pop_Inputs!$B$2:$N$29,MATCH(C1756,Pop_Inputs!$A$2:$A$29,0),G1756+1))*H1756)</f>
        <v>700817.81028683</v>
      </c>
      <c r="J1756" s="20" t="n">
        <f aca="false">I1756/F1756</f>
        <v>700817.81028683</v>
      </c>
      <c r="K1756" s="21" t="n">
        <f aca="false">D1756/(D1756+E1756)</f>
        <v>0.5625</v>
      </c>
      <c r="L1756" s="21" t="n">
        <f aca="false">AVERAGEIFS($K$2:$K$2705,$B$2:$B$2705,B1756)</f>
        <v>0.500257436761862</v>
      </c>
      <c r="M1756" s="21" t="n">
        <f aca="false">K1756-L1756</f>
        <v>0.0622425632381385</v>
      </c>
      <c r="N1756" s="21" t="n">
        <f aca="false">LN(J1756)</f>
        <v>13.4600032325035</v>
      </c>
      <c r="O1756" s="21" t="n">
        <f aca="false">AVERAGEIFS($N$2:$N$2705,$B$2:$B$2705,B1756)</f>
        <v>13.6151937292317</v>
      </c>
      <c r="P1756" s="21" t="n">
        <f aca="false">N1756-O1756</f>
        <v>-0.155190496728231</v>
      </c>
      <c r="Q1756" s="7" t="n">
        <v>0</v>
      </c>
      <c r="R1756" s="3" t="n">
        <f aca="false">IF(AND(Q1756=1,B1756-_xlfn.MINIFS($B$2:$B$2705,$A$2:$A$2705,A1756)&lt;10),1,0)</f>
        <v>0</v>
      </c>
      <c r="S1756" s="7" t="n">
        <v>0</v>
      </c>
      <c r="T1756" s="3" t="n">
        <f aca="false">_xlfn.MINIFS($B$2:$B$2705,$A$2:$A$2705,A1756)</f>
        <v>1901</v>
      </c>
      <c r="U1756" s="3" t="n">
        <f aca="false">B1756-T1756</f>
        <v>93</v>
      </c>
      <c r="V1756" s="3" t="str">
        <f aca="false">INDEX(Pop_Inputs!$Q$2:$Q$29,MATCH(C1756,Pop_Inputs!$A$2:$A$29,0))</f>
        <v>South</v>
      </c>
      <c r="W1756" s="29" t="n">
        <v>38849769</v>
      </c>
      <c r="X1756" s="3" t="n">
        <f aca="false">IF(W1756="","",LN(W1756))</f>
        <v>17.4752126888143</v>
      </c>
      <c r="Y1756" s="3" t="n">
        <f aca="false">IF(X1756="","",X1756-AVERAGEIFS($X$2:$X$2705,$B$2:$B$2705,B1756))</f>
        <v>0.195016333693822</v>
      </c>
      <c r="Z1756" s="21" t="n">
        <f aca="false">P1756</f>
        <v>-0.155190496728231</v>
      </c>
      <c r="AA1756" s="3" t="n">
        <f aca="false">R1756</f>
        <v>0</v>
      </c>
      <c r="AB1756" s="21" t="n">
        <f aca="false">P1756</f>
        <v>-0.155190496728231</v>
      </c>
      <c r="AC1756" s="3" t="n">
        <f aca="false">Y1756</f>
        <v>0.195016333693822</v>
      </c>
      <c r="AD1756" s="3" t="n">
        <f aca="false">R1756</f>
        <v>0</v>
      </c>
    </row>
    <row r="1757" customFormat="false" ht="15" hidden="false" customHeight="true" outlineLevel="0" collapsed="false">
      <c r="A1757" s="7" t="s">
        <v>64</v>
      </c>
      <c r="B1757" s="7" t="n">
        <v>1994</v>
      </c>
      <c r="C1757" s="7" t="s">
        <v>150</v>
      </c>
      <c r="D1757" s="7" t="n">
        <v>54</v>
      </c>
      <c r="E1757" s="7" t="n">
        <v>61</v>
      </c>
      <c r="F1757" s="3" t="n">
        <f aca="false">COUNTIFS($B$2:$B$2705,B1757,$C$2:$C$2705,C1757)</f>
        <v>1</v>
      </c>
      <c r="G1757" s="3" t="n">
        <f aca="false">MIN(INT((MIN(B1757,2020)-1900)/10)+1,12)</f>
        <v>10</v>
      </c>
      <c r="H1757" s="3" t="n">
        <f aca="false">(MIN(B1757,2020)-1900-10*(G1757-1))/10</f>
        <v>0.4</v>
      </c>
      <c r="I1757" s="20" t="n">
        <f aca="false">EXP(LN(INDEX(Pop_Inputs!$B$2:$N$29,MATCH(C1757,Pop_Inputs!$A$2:$A$29,0),G1757))*(1-H1757)+LN(INDEX(Pop_Inputs!$B$2:$N$29,MATCH(C1757,Pop_Inputs!$A$2:$A$29,0),G1757+1))*H1757)</f>
        <v>580180.696799436</v>
      </c>
      <c r="J1757" s="20" t="n">
        <f aca="false">I1757/F1757</f>
        <v>580180.696799436</v>
      </c>
      <c r="K1757" s="21" t="n">
        <f aca="false">D1757/(D1757+E1757)</f>
        <v>0.469565217391304</v>
      </c>
      <c r="L1757" s="21" t="n">
        <f aca="false">AVERAGEIFS($K$2:$K$2705,$B$2:$B$2705,B1757)</f>
        <v>0.500257436761862</v>
      </c>
      <c r="M1757" s="21" t="n">
        <f aca="false">K1757-L1757</f>
        <v>-0.0306922193705572</v>
      </c>
      <c r="N1757" s="21" t="n">
        <f aca="false">LN(J1757)</f>
        <v>13.2710948802081</v>
      </c>
      <c r="O1757" s="21" t="n">
        <f aca="false">AVERAGEIFS($N$2:$N$2705,$B$2:$B$2705,B1757)</f>
        <v>13.6151937292317</v>
      </c>
      <c r="P1757" s="21" t="n">
        <f aca="false">N1757-O1757</f>
        <v>-0.344098849023604</v>
      </c>
      <c r="Q1757" s="7" t="n">
        <v>0</v>
      </c>
      <c r="R1757" s="3" t="n">
        <f aca="false">IF(AND(Q1757=1,B1757-_xlfn.MINIFS($B$2:$B$2705,$A$2:$A$2705,A1757)&lt;10),1,0)</f>
        <v>0</v>
      </c>
      <c r="S1757" s="7" t="n">
        <v>0</v>
      </c>
      <c r="T1757" s="3" t="n">
        <f aca="false">_xlfn.MINIFS($B$2:$B$2705,$A$2:$A$2705,A1757)</f>
        <v>1901</v>
      </c>
      <c r="U1757" s="3" t="n">
        <f aca="false">B1757-T1757</f>
        <v>93</v>
      </c>
      <c r="V1757" s="3" t="str">
        <f aca="false">INDEX(Pop_Inputs!$Q$2:$Q$29,MATCH(C1757,Pop_Inputs!$A$2:$A$29,0))</f>
        <v>Northeast</v>
      </c>
      <c r="W1757" s="29" t="n">
        <v>37859084</v>
      </c>
      <c r="X1757" s="3" t="n">
        <f aca="false">IF(W1757="","",LN(W1757))</f>
        <v>17.4493815090523</v>
      </c>
      <c r="Y1757" s="3" t="n">
        <f aca="false">IF(X1757="","",X1757-AVERAGEIFS($X$2:$X$2705,$B$2:$B$2705,B1757))</f>
        <v>0.169185153931856</v>
      </c>
      <c r="Z1757" s="21" t="n">
        <f aca="false">P1757</f>
        <v>-0.344098849023604</v>
      </c>
      <c r="AA1757" s="3" t="n">
        <f aca="false">R1757</f>
        <v>0</v>
      </c>
      <c r="AB1757" s="21" t="n">
        <f aca="false">P1757</f>
        <v>-0.344098849023604</v>
      </c>
      <c r="AC1757" s="3" t="n">
        <f aca="false">Y1757</f>
        <v>0.169185153931856</v>
      </c>
      <c r="AD1757" s="3" t="n">
        <f aca="false">R1757</f>
        <v>0</v>
      </c>
    </row>
    <row r="1758" customFormat="false" ht="15" hidden="false" customHeight="true" outlineLevel="0" collapsed="false">
      <c r="A1758" s="7" t="s">
        <v>56</v>
      </c>
      <c r="B1758" s="7" t="n">
        <v>1994</v>
      </c>
      <c r="C1758" s="7" t="s">
        <v>142</v>
      </c>
      <c r="D1758" s="7" t="n">
        <v>49</v>
      </c>
      <c r="E1758" s="7" t="n">
        <v>64</v>
      </c>
      <c r="F1758" s="3" t="n">
        <f aca="false">COUNTIFS($B$2:$B$2705,B1758,$C$2:$C$2705,C1758)</f>
        <v>2</v>
      </c>
      <c r="G1758" s="3" t="n">
        <f aca="false">MIN(INT((MIN(B1758,2020)-1900)/10)+1,12)</f>
        <v>10</v>
      </c>
      <c r="H1758" s="3" t="n">
        <f aca="false">(MIN(B1758,2020)-1900-10*(G1758-1))/10</f>
        <v>0.4</v>
      </c>
      <c r="I1758" s="20" t="n">
        <f aca="false">EXP(LN(INDEX(Pop_Inputs!$B$2:$N$29,MATCH(C1758,Pop_Inputs!$A$2:$A$29,0),G1758))*(1-H1758)+LN(INDEX(Pop_Inputs!$B$2:$N$29,MATCH(C1758,Pop_Inputs!$A$2:$A$29,0),G1758+1))*H1758)</f>
        <v>2828109.8489122</v>
      </c>
      <c r="J1758" s="20" t="n">
        <f aca="false">I1758/F1758</f>
        <v>1414054.9244561</v>
      </c>
      <c r="K1758" s="21" t="n">
        <f aca="false">D1758/(D1758+E1758)</f>
        <v>0.433628318584071</v>
      </c>
      <c r="L1758" s="21" t="n">
        <f aca="false">AVERAGEIFS($K$2:$K$2705,$B$2:$B$2705,B1758)</f>
        <v>0.500257436761862</v>
      </c>
      <c r="M1758" s="21" t="n">
        <f aca="false">K1758-L1758</f>
        <v>-0.0666291181777907</v>
      </c>
      <c r="N1758" s="21" t="n">
        <f aca="false">LN(J1758)</f>
        <v>14.1619719680054</v>
      </c>
      <c r="O1758" s="21" t="n">
        <f aca="false">AVERAGEIFS($N$2:$N$2705,$B$2:$B$2705,B1758)</f>
        <v>13.6151937292317</v>
      </c>
      <c r="P1758" s="21" t="n">
        <f aca="false">N1758-O1758</f>
        <v>0.546778238773729</v>
      </c>
      <c r="Q1758" s="7" t="n">
        <v>0</v>
      </c>
      <c r="R1758" s="3" t="n">
        <f aca="false">IF(AND(Q1758=1,B1758-_xlfn.MINIFS($B$2:$B$2705,$A$2:$A$2705,A1758)&lt;10),1,0)</f>
        <v>0</v>
      </c>
      <c r="S1758" s="7" t="n">
        <v>0</v>
      </c>
      <c r="T1758" s="3" t="n">
        <f aca="false">_xlfn.MINIFS($B$2:$B$2705,$A$2:$A$2705,A1758)</f>
        <v>1901</v>
      </c>
      <c r="U1758" s="3" t="n">
        <f aca="false">B1758-T1758</f>
        <v>93</v>
      </c>
      <c r="V1758" s="3" t="str">
        <f aca="false">INDEX(Pop_Inputs!$Q$2:$Q$29,MATCH(C1758,Pop_Inputs!$A$2:$A$29,0))</f>
        <v>Midwest</v>
      </c>
      <c r="W1758" s="29" t="n">
        <v>36287333</v>
      </c>
      <c r="X1758" s="3" t="n">
        <f aca="false">IF(W1758="","",LN(W1758))</f>
        <v>17.4069792851687</v>
      </c>
      <c r="Y1758" s="3" t="n">
        <f aca="false">IF(X1758="","",X1758-AVERAGEIFS($X$2:$X$2705,$B$2:$B$2705,B1758))</f>
        <v>0.126782930048226</v>
      </c>
      <c r="Z1758" s="21" t="n">
        <f aca="false">P1758</f>
        <v>0.546778238773729</v>
      </c>
      <c r="AA1758" s="3" t="n">
        <f aca="false">R1758</f>
        <v>0</v>
      </c>
      <c r="AB1758" s="21" t="n">
        <f aca="false">P1758</f>
        <v>0.546778238773729</v>
      </c>
      <c r="AC1758" s="3" t="n">
        <f aca="false">Y1758</f>
        <v>0.126782930048226</v>
      </c>
      <c r="AD1758" s="3" t="n">
        <f aca="false">R1758</f>
        <v>0</v>
      </c>
    </row>
    <row r="1759" customFormat="false" ht="15" hidden="false" customHeight="true" outlineLevel="0" collapsed="false">
      <c r="A1759" s="7" t="s">
        <v>65</v>
      </c>
      <c r="B1759" s="7" t="n">
        <v>1994</v>
      </c>
      <c r="C1759" s="7" t="s">
        <v>142</v>
      </c>
      <c r="D1759" s="7" t="n">
        <v>67</v>
      </c>
      <c r="E1759" s="7" t="n">
        <v>46</v>
      </c>
      <c r="F1759" s="3" t="n">
        <f aca="false">COUNTIFS($B$2:$B$2705,B1759,$C$2:$C$2705,C1759)</f>
        <v>2</v>
      </c>
      <c r="G1759" s="3" t="n">
        <f aca="false">MIN(INT((MIN(B1759,2020)-1900)/10)+1,12)</f>
        <v>10</v>
      </c>
      <c r="H1759" s="3" t="n">
        <f aca="false">(MIN(B1759,2020)-1900-10*(G1759-1))/10</f>
        <v>0.4</v>
      </c>
      <c r="I1759" s="20" t="n">
        <f aca="false">EXP(LN(INDEX(Pop_Inputs!$B$2:$N$29,MATCH(C1759,Pop_Inputs!$A$2:$A$29,0),G1759))*(1-H1759)+LN(INDEX(Pop_Inputs!$B$2:$N$29,MATCH(C1759,Pop_Inputs!$A$2:$A$29,0),G1759+1))*H1759)</f>
        <v>2828109.8489122</v>
      </c>
      <c r="J1759" s="20" t="n">
        <f aca="false">I1759/F1759</f>
        <v>1414054.9244561</v>
      </c>
      <c r="K1759" s="21" t="n">
        <f aca="false">D1759/(D1759+E1759)</f>
        <v>0.592920353982301</v>
      </c>
      <c r="L1759" s="21" t="n">
        <f aca="false">AVERAGEIFS($K$2:$K$2705,$B$2:$B$2705,B1759)</f>
        <v>0.500257436761862</v>
      </c>
      <c r="M1759" s="21" t="n">
        <f aca="false">K1759-L1759</f>
        <v>0.0926629172204394</v>
      </c>
      <c r="N1759" s="21" t="n">
        <f aca="false">LN(J1759)</f>
        <v>14.1619719680054</v>
      </c>
      <c r="O1759" s="21" t="n">
        <f aca="false">AVERAGEIFS($N$2:$N$2705,$B$2:$B$2705,B1759)</f>
        <v>13.6151937292317</v>
      </c>
      <c r="P1759" s="21" t="n">
        <f aca="false">N1759-O1759</f>
        <v>0.546778238773729</v>
      </c>
      <c r="Q1759" s="7" t="n">
        <v>0</v>
      </c>
      <c r="R1759" s="3" t="n">
        <f aca="false">IF(AND(Q1759=1,B1759-_xlfn.MINIFS($B$2:$B$2705,$A$2:$A$2705,A1759)&lt;10),1,0)</f>
        <v>0</v>
      </c>
      <c r="S1759" s="7" t="n">
        <v>0</v>
      </c>
      <c r="T1759" s="3" t="n">
        <f aca="false">_xlfn.MINIFS($B$2:$B$2705,$A$2:$A$2705,A1759)</f>
        <v>1901</v>
      </c>
      <c r="U1759" s="3" t="n">
        <f aca="false">B1759-T1759</f>
        <v>93</v>
      </c>
      <c r="V1759" s="3" t="str">
        <f aca="false">INDEX(Pop_Inputs!$Q$2:$Q$29,MATCH(C1759,Pop_Inputs!$A$2:$A$29,0))</f>
        <v>Midwest</v>
      </c>
      <c r="W1759" s="29" t="n">
        <v>39183836</v>
      </c>
      <c r="X1759" s="3" t="n">
        <f aca="false">IF(W1759="","",LN(W1759))</f>
        <v>17.4837748727835</v>
      </c>
      <c r="Y1759" s="3" t="n">
        <f aca="false">IF(X1759="","",X1759-AVERAGEIFS($X$2:$X$2705,$B$2:$B$2705,B1759))</f>
        <v>0.203578517663054</v>
      </c>
      <c r="Z1759" s="21" t="n">
        <f aca="false">P1759</f>
        <v>0.546778238773729</v>
      </c>
      <c r="AA1759" s="3" t="n">
        <f aca="false">R1759</f>
        <v>0</v>
      </c>
      <c r="AB1759" s="21" t="n">
        <f aca="false">P1759</f>
        <v>0.546778238773729</v>
      </c>
      <c r="AC1759" s="3" t="n">
        <f aca="false">Y1759</f>
        <v>0.203578517663054</v>
      </c>
      <c r="AD1759" s="3" t="n">
        <f aca="false">R1759</f>
        <v>0</v>
      </c>
    </row>
    <row r="1760" customFormat="false" ht="15" hidden="false" customHeight="true" outlineLevel="0" collapsed="false">
      <c r="A1760" s="7" t="s">
        <v>57</v>
      </c>
      <c r="B1760" s="7" t="n">
        <v>1994</v>
      </c>
      <c r="C1760" s="7" t="s">
        <v>143</v>
      </c>
      <c r="D1760" s="7" t="n">
        <v>66</v>
      </c>
      <c r="E1760" s="7" t="n">
        <v>48</v>
      </c>
      <c r="F1760" s="3" t="n">
        <f aca="false">COUNTIFS($B$2:$B$2705,B1760,$C$2:$C$2705,C1760)</f>
        <v>1</v>
      </c>
      <c r="G1760" s="3" t="n">
        <f aca="false">MIN(INT((MIN(B1760,2020)-1900)/10)+1,12)</f>
        <v>10</v>
      </c>
      <c r="H1760" s="3" t="n">
        <f aca="false">(MIN(B1760,2020)-1900-10*(G1760-1))/10</f>
        <v>0.4</v>
      </c>
      <c r="I1760" s="20" t="n">
        <f aca="false">EXP(LN(INDEX(Pop_Inputs!$B$2:$N$29,MATCH(C1760,Pop_Inputs!$A$2:$A$29,0),G1760))*(1-H1760)+LN(INDEX(Pop_Inputs!$B$2:$N$29,MATCH(C1760,Pop_Inputs!$A$2:$A$29,0),G1760+1))*H1760)</f>
        <v>350566.30593588</v>
      </c>
      <c r="J1760" s="20" t="n">
        <f aca="false">I1760/F1760</f>
        <v>350566.30593588</v>
      </c>
      <c r="K1760" s="21" t="n">
        <f aca="false">D1760/(D1760+E1760)</f>
        <v>0.578947368421053</v>
      </c>
      <c r="L1760" s="21" t="n">
        <f aca="false">AVERAGEIFS($K$2:$K$2705,$B$2:$B$2705,B1760)</f>
        <v>0.500257436761862</v>
      </c>
      <c r="M1760" s="21" t="n">
        <f aca="false">K1760-L1760</f>
        <v>0.0786899316591911</v>
      </c>
      <c r="N1760" s="21" t="n">
        <f aca="false">LN(J1760)</f>
        <v>12.7673051428461</v>
      </c>
      <c r="O1760" s="21" t="n">
        <f aca="false">AVERAGEIFS($N$2:$N$2705,$B$2:$B$2705,B1760)</f>
        <v>13.6151937292317</v>
      </c>
      <c r="P1760" s="21" t="n">
        <f aca="false">N1760-O1760</f>
        <v>-0.847888586385608</v>
      </c>
      <c r="Q1760" s="7" t="n">
        <v>0</v>
      </c>
      <c r="R1760" s="3" t="n">
        <f aca="false">IF(AND(Q1760=1,B1760-_xlfn.MINIFS($B$2:$B$2705,$A$2:$A$2705,A1760)&lt;10),1,0)</f>
        <v>0</v>
      </c>
      <c r="S1760" s="7" t="n">
        <v>0</v>
      </c>
      <c r="T1760" s="3" t="n">
        <f aca="false">_xlfn.MINIFS($B$2:$B$2705,$A$2:$A$2705,A1760)</f>
        <v>1901</v>
      </c>
      <c r="U1760" s="3" t="n">
        <f aca="false">B1760-T1760</f>
        <v>93</v>
      </c>
      <c r="V1760" s="3" t="str">
        <f aca="false">INDEX(Pop_Inputs!$Q$2:$Q$29,MATCH(C1760,Pop_Inputs!$A$2:$A$29,0))</f>
        <v>Midwest</v>
      </c>
      <c r="W1760" s="29" t="n">
        <v>40961833</v>
      </c>
      <c r="X1760" s="3" t="n">
        <f aca="false">IF(W1760="","",LN(W1760))</f>
        <v>17.5281512886708</v>
      </c>
      <c r="Y1760" s="3" t="n">
        <f aca="false">IF(X1760="","",X1760-AVERAGEIFS($X$2:$X$2705,$B$2:$B$2705,B1760))</f>
        <v>0.247954933550311</v>
      </c>
      <c r="Z1760" s="21" t="n">
        <f aca="false">P1760</f>
        <v>-0.847888586385608</v>
      </c>
      <c r="AA1760" s="3" t="n">
        <f aca="false">R1760</f>
        <v>0</v>
      </c>
      <c r="AB1760" s="21" t="n">
        <f aca="false">P1760</f>
        <v>-0.847888586385608</v>
      </c>
      <c r="AC1760" s="3" t="n">
        <f aca="false">Y1760</f>
        <v>0.247954933550311</v>
      </c>
      <c r="AD1760" s="3" t="n">
        <f aca="false">R1760</f>
        <v>0</v>
      </c>
    </row>
    <row r="1761" customFormat="false" ht="15" hidden="false" customHeight="true" outlineLevel="0" collapsed="false">
      <c r="A1761" s="7" t="s">
        <v>66</v>
      </c>
      <c r="B1761" s="7" t="n">
        <v>1994</v>
      </c>
      <c r="C1761" s="7" t="s">
        <v>151</v>
      </c>
      <c r="D1761" s="7" t="n">
        <v>66</v>
      </c>
      <c r="E1761" s="7" t="n">
        <v>47</v>
      </c>
      <c r="F1761" s="3" t="n">
        <f aca="false">COUNTIFS($B$2:$B$2705,B1761,$C$2:$C$2705,C1761)</f>
        <v>1</v>
      </c>
      <c r="G1761" s="3" t="n">
        <f aca="false">MIN(INT((MIN(B1761,2020)-1900)/10)+1,12)</f>
        <v>10</v>
      </c>
      <c r="H1761" s="3" t="n">
        <f aca="false">(MIN(B1761,2020)-1900-10*(G1761-1))/10</f>
        <v>0.4</v>
      </c>
      <c r="I1761" s="20" t="n">
        <f aca="false">EXP(LN(INDEX(Pop_Inputs!$B$2:$N$29,MATCH(C1761,Pop_Inputs!$A$2:$A$29,0),G1761))*(1-H1761)+LN(INDEX(Pop_Inputs!$B$2:$N$29,MATCH(C1761,Pop_Inputs!$A$2:$A$29,0),G1761+1))*H1761)</f>
        <v>494549.814030933</v>
      </c>
      <c r="J1761" s="20" t="n">
        <f aca="false">I1761/F1761</f>
        <v>494549.814030933</v>
      </c>
      <c r="K1761" s="21" t="n">
        <f aca="false">D1761/(D1761+E1761)</f>
        <v>0.584070796460177</v>
      </c>
      <c r="L1761" s="21" t="n">
        <f aca="false">AVERAGEIFS($K$2:$K$2705,$B$2:$B$2705,B1761)</f>
        <v>0.500257436761862</v>
      </c>
      <c r="M1761" s="21" t="n">
        <f aca="false">K1761-L1761</f>
        <v>0.0838133596983155</v>
      </c>
      <c r="N1761" s="21" t="n">
        <f aca="false">LN(J1761)</f>
        <v>13.111403161131</v>
      </c>
      <c r="O1761" s="21" t="n">
        <f aca="false">AVERAGEIFS($N$2:$N$2705,$B$2:$B$2705,B1761)</f>
        <v>13.6151937292317</v>
      </c>
      <c r="P1761" s="21" t="n">
        <f aca="false">N1761-O1761</f>
        <v>-0.503790568100708</v>
      </c>
      <c r="Q1761" s="7" t="n">
        <v>0</v>
      </c>
      <c r="R1761" s="3" t="n">
        <f aca="false">IF(AND(Q1761=1,B1761-_xlfn.MINIFS($B$2:$B$2705,$A$2:$A$2705,A1761)&lt;10),1,0)</f>
        <v>0</v>
      </c>
      <c r="S1761" s="7" t="n">
        <v>0</v>
      </c>
      <c r="T1761" s="3" t="n">
        <f aca="false">_xlfn.MINIFS($B$2:$B$2705,$A$2:$A$2705,A1761)</f>
        <v>1901</v>
      </c>
      <c r="U1761" s="3" t="n">
        <f aca="false">B1761-T1761</f>
        <v>93</v>
      </c>
      <c r="V1761" s="3" t="str">
        <f aca="false">INDEX(Pop_Inputs!$Q$2:$Q$29,MATCH(C1761,Pop_Inputs!$A$2:$A$29,0))</f>
        <v>Midwest</v>
      </c>
      <c r="W1761" s="29" t="n">
        <v>30490500</v>
      </c>
      <c r="X1761" s="3" t="n">
        <f aca="false">IF(W1761="","",LN(W1761))</f>
        <v>17.2329257176493</v>
      </c>
      <c r="Y1761" s="3" t="n">
        <f aca="false">IF(X1761="","",X1761-AVERAGEIFS($X$2:$X$2705,$B$2:$B$2705,B1761))</f>
        <v>-0.0472706374712217</v>
      </c>
      <c r="Z1761" s="21" t="n">
        <f aca="false">P1761</f>
        <v>-0.503790568100708</v>
      </c>
      <c r="AA1761" s="3" t="n">
        <f aca="false">R1761</f>
        <v>0</v>
      </c>
      <c r="AB1761" s="21" t="n">
        <f aca="false">P1761</f>
        <v>-0.503790568100708</v>
      </c>
      <c r="AC1761" s="3" t="n">
        <f aca="false">Y1761</f>
        <v>-0.0472706374712217</v>
      </c>
      <c r="AD1761" s="3" t="n">
        <f aca="false">R1761</f>
        <v>0</v>
      </c>
    </row>
    <row r="1762" customFormat="false" ht="15" hidden="false" customHeight="true" outlineLevel="0" collapsed="false">
      <c r="A1762" s="7" t="s">
        <v>82</v>
      </c>
      <c r="B1762" s="7" t="n">
        <v>1994</v>
      </c>
      <c r="C1762" s="7" t="s">
        <v>163</v>
      </c>
      <c r="D1762" s="7" t="n">
        <v>53</v>
      </c>
      <c r="E1762" s="7" t="n">
        <v>64</v>
      </c>
      <c r="F1762" s="3" t="n">
        <f aca="false">COUNTIFS($B$2:$B$2705,B1762,$C$2:$C$2705,C1762)</f>
        <v>1</v>
      </c>
      <c r="G1762" s="3" t="n">
        <f aca="false">MIN(INT((MIN(B1762,2020)-1900)/10)+1,12)</f>
        <v>10</v>
      </c>
      <c r="H1762" s="3" t="n">
        <f aca="false">(MIN(B1762,2020)-1900-10*(G1762-1))/10</f>
        <v>0.4</v>
      </c>
      <c r="I1762" s="20" t="n">
        <f aca="false">EXP(LN(INDEX(Pop_Inputs!$B$2:$N$29,MATCH(C1762,Pop_Inputs!$A$2:$A$29,0),G1762))*(1-H1762)+LN(INDEX(Pop_Inputs!$B$2:$N$29,MATCH(C1762,Pop_Inputs!$A$2:$A$29,0),G1762+1))*H1762)</f>
        <v>500649.164934943</v>
      </c>
      <c r="J1762" s="20" t="n">
        <f aca="false">I1762/F1762</f>
        <v>500649.164934943</v>
      </c>
      <c r="K1762" s="21" t="n">
        <f aca="false">D1762/(D1762+E1762)</f>
        <v>0.452991452991453</v>
      </c>
      <c r="L1762" s="21" t="n">
        <f aca="false">AVERAGEIFS($K$2:$K$2705,$B$2:$B$2705,B1762)</f>
        <v>0.500257436761862</v>
      </c>
      <c r="M1762" s="21" t="n">
        <f aca="false">K1762-L1762</f>
        <v>-0.0472659837704085</v>
      </c>
      <c r="N1762" s="21" t="n">
        <f aca="false">LN(J1762)</f>
        <v>13.1236608651728</v>
      </c>
      <c r="O1762" s="21" t="n">
        <f aca="false">AVERAGEIFS($N$2:$N$2705,$B$2:$B$2705,B1762)</f>
        <v>13.6151937292317</v>
      </c>
      <c r="P1762" s="21" t="n">
        <f aca="false">N1762-O1762</f>
        <v>-0.491532864058893</v>
      </c>
      <c r="Q1762" s="7" t="n">
        <v>1</v>
      </c>
      <c r="R1762" s="3" t="n">
        <f aca="false">IF(AND(Q1762=1,B1762-_xlfn.MINIFS($B$2:$B$2705,$A$2:$A$2705,A1762)&lt;10),1,0)</f>
        <v>1</v>
      </c>
      <c r="S1762" s="7" t="n">
        <v>0</v>
      </c>
      <c r="T1762" s="3" t="n">
        <f aca="false">_xlfn.MINIFS($B$2:$B$2705,$A$2:$A$2705,A1762)</f>
        <v>1993</v>
      </c>
      <c r="U1762" s="3" t="n">
        <f aca="false">B1762-T1762</f>
        <v>1</v>
      </c>
      <c r="V1762" s="3" t="str">
        <f aca="false">INDEX(Pop_Inputs!$Q$2:$Q$29,MATCH(C1762,Pop_Inputs!$A$2:$A$29,0))</f>
        <v>West</v>
      </c>
      <c r="W1762" s="29" t="n">
        <v>23887333</v>
      </c>
      <c r="X1762" s="3" t="n">
        <f aca="false">IF(W1762="","",LN(W1762))</f>
        <v>16.9888588764021</v>
      </c>
      <c r="Y1762" s="3" t="n">
        <f aca="false">IF(X1762="","",X1762-AVERAGEIFS($X$2:$X$2705,$B$2:$B$2705,B1762))</f>
        <v>-0.29133747871839</v>
      </c>
      <c r="Z1762" s="21" t="n">
        <f aca="false">P1762</f>
        <v>-0.491532864058893</v>
      </c>
      <c r="AA1762" s="3" t="n">
        <f aca="false">R1762</f>
        <v>1</v>
      </c>
      <c r="AB1762" s="21" t="n">
        <f aca="false">P1762</f>
        <v>-0.491532864058893</v>
      </c>
      <c r="AC1762" s="3" t="n">
        <f aca="false">Y1762</f>
        <v>-0.29133747871839</v>
      </c>
      <c r="AD1762" s="3" t="n">
        <f aca="false">R1762</f>
        <v>1</v>
      </c>
    </row>
    <row r="1763" customFormat="false" ht="15" hidden="false" customHeight="true" outlineLevel="0" collapsed="false">
      <c r="A1763" s="7" t="s">
        <v>67</v>
      </c>
      <c r="B1763" s="7" t="n">
        <v>1994</v>
      </c>
      <c r="C1763" s="7" t="s">
        <v>152</v>
      </c>
      <c r="D1763" s="7" t="n">
        <v>53</v>
      </c>
      <c r="E1763" s="7" t="n">
        <v>62</v>
      </c>
      <c r="F1763" s="3" t="n">
        <f aca="false">COUNTIFS($B$2:$B$2705,B1763,$C$2:$C$2705,C1763)</f>
        <v>1</v>
      </c>
      <c r="G1763" s="3" t="n">
        <f aca="false">MIN(INT((MIN(B1763,2020)-1900)/10)+1,12)</f>
        <v>10</v>
      </c>
      <c r="H1763" s="3" t="n">
        <f aca="false">(MIN(B1763,2020)-1900-10*(G1763-1))/10</f>
        <v>0.4</v>
      </c>
      <c r="I1763" s="20" t="n">
        <f aca="false">EXP(LN(INDEX(Pop_Inputs!$B$2:$N$29,MATCH(C1763,Pop_Inputs!$A$2:$A$29,0),G1763))*(1-H1763)+LN(INDEX(Pop_Inputs!$B$2:$N$29,MATCH(C1763,Pop_Inputs!$A$2:$A$29,0),G1763+1))*H1763)</f>
        <v>996576.859257911</v>
      </c>
      <c r="J1763" s="20" t="n">
        <f aca="false">I1763/F1763</f>
        <v>996576.859257911</v>
      </c>
      <c r="K1763" s="21" t="n">
        <f aca="false">D1763/(D1763+E1763)</f>
        <v>0.460869565217391</v>
      </c>
      <c r="L1763" s="21" t="n">
        <f aca="false">AVERAGEIFS($K$2:$K$2705,$B$2:$B$2705,B1763)</f>
        <v>0.500257436761862</v>
      </c>
      <c r="M1763" s="21" t="n">
        <f aca="false">K1763-L1763</f>
        <v>-0.0393878715444702</v>
      </c>
      <c r="N1763" s="21" t="n">
        <f aca="false">LN(J1763)</f>
        <v>13.8120815448708</v>
      </c>
      <c r="O1763" s="21" t="n">
        <f aca="false">AVERAGEIFS($N$2:$N$2705,$B$2:$B$2705,B1763)</f>
        <v>13.6151937292317</v>
      </c>
      <c r="P1763" s="21" t="n">
        <f aca="false">N1763-O1763</f>
        <v>0.19688781563914</v>
      </c>
      <c r="Q1763" s="7" t="n">
        <v>0</v>
      </c>
      <c r="R1763" s="3" t="n">
        <f aca="false">IF(AND(Q1763=1,B1763-_xlfn.MINIFS($B$2:$B$2705,$A$2:$A$2705,A1763)&lt;10),1,0)</f>
        <v>0</v>
      </c>
      <c r="S1763" s="7" t="n">
        <v>0</v>
      </c>
      <c r="T1763" s="3" t="n">
        <f aca="false">_xlfn.MINIFS($B$2:$B$2705,$A$2:$A$2705,A1763)</f>
        <v>1901</v>
      </c>
      <c r="U1763" s="3" t="n">
        <f aca="false">B1763-T1763</f>
        <v>93</v>
      </c>
      <c r="V1763" s="3" t="str">
        <f aca="false">INDEX(Pop_Inputs!$Q$2:$Q$29,MATCH(C1763,Pop_Inputs!$A$2:$A$29,0))</f>
        <v>Midwest</v>
      </c>
      <c r="W1763" s="29" t="n">
        <v>41446501</v>
      </c>
      <c r="X1763" s="3" t="n">
        <f aca="false">IF(W1763="","",LN(W1763))</f>
        <v>17.5399140210247</v>
      </c>
      <c r="Y1763" s="3" t="n">
        <f aca="false">IF(X1763="","",X1763-AVERAGEIFS($X$2:$X$2705,$B$2:$B$2705,B1763))</f>
        <v>0.259717665904169</v>
      </c>
      <c r="Z1763" s="21" t="n">
        <f aca="false">P1763</f>
        <v>0.19688781563914</v>
      </c>
      <c r="AA1763" s="3" t="n">
        <f aca="false">R1763</f>
        <v>0</v>
      </c>
      <c r="AB1763" s="21" t="n">
        <f aca="false">P1763</f>
        <v>0.19688781563914</v>
      </c>
      <c r="AC1763" s="3" t="n">
        <f aca="false">Y1763</f>
        <v>0.259717665904169</v>
      </c>
      <c r="AD1763" s="3" t="n">
        <f aca="false">R1763</f>
        <v>0</v>
      </c>
    </row>
    <row r="1764" customFormat="false" ht="15" hidden="false" customHeight="true" outlineLevel="0" collapsed="false">
      <c r="A1764" s="7" t="s">
        <v>83</v>
      </c>
      <c r="B1764" s="7" t="n">
        <v>1994</v>
      </c>
      <c r="C1764" s="7" t="s">
        <v>164</v>
      </c>
      <c r="D1764" s="7" t="n">
        <v>51</v>
      </c>
      <c r="E1764" s="7" t="n">
        <v>64</v>
      </c>
      <c r="F1764" s="3" t="n">
        <f aca="false">COUNTIFS($B$2:$B$2705,B1764,$C$2:$C$2705,C1764)</f>
        <v>1</v>
      </c>
      <c r="G1764" s="3" t="n">
        <f aca="false">MIN(INT((MIN(B1764,2020)-1900)/10)+1,12)</f>
        <v>10</v>
      </c>
      <c r="H1764" s="3" t="n">
        <f aca="false">(MIN(B1764,2020)-1900-10*(G1764-1))/10</f>
        <v>0.4</v>
      </c>
      <c r="I1764" s="20" t="n">
        <f aca="false">EXP(LN(INDEX(Pop_Inputs!$B$2:$N$29,MATCH(C1764,Pop_Inputs!$A$2:$A$29,0),G1764))*(1-H1764)+LN(INDEX(Pop_Inputs!$B$2:$N$29,MATCH(C1764,Pop_Inputs!$A$2:$A$29,0),G1764+1))*H1764)</f>
        <v>360171.940004362</v>
      </c>
      <c r="J1764" s="20" t="n">
        <f aca="false">I1764/F1764</f>
        <v>360171.940004362</v>
      </c>
      <c r="K1764" s="21" t="n">
        <f aca="false">D1764/(D1764+E1764)</f>
        <v>0.443478260869565</v>
      </c>
      <c r="L1764" s="21" t="n">
        <f aca="false">AVERAGEIFS($K$2:$K$2705,$B$2:$B$2705,B1764)</f>
        <v>0.500257436761862</v>
      </c>
      <c r="M1764" s="21" t="n">
        <f aca="false">K1764-L1764</f>
        <v>-0.0567791758922963</v>
      </c>
      <c r="N1764" s="21" t="n">
        <f aca="false">LN(J1764)</f>
        <v>12.7943368075356</v>
      </c>
      <c r="O1764" s="21" t="n">
        <f aca="false">AVERAGEIFS($N$2:$N$2705,$B$2:$B$2705,B1764)</f>
        <v>13.6151937292317</v>
      </c>
      <c r="P1764" s="21" t="n">
        <f aca="false">N1764-O1764</f>
        <v>-0.820856921696056</v>
      </c>
      <c r="Q1764" s="7" t="n">
        <v>1</v>
      </c>
      <c r="R1764" s="3" t="n">
        <f aca="false">IF(AND(Q1764=1,B1764-_xlfn.MINIFS($B$2:$B$2705,$A$2:$A$2705,A1764)&lt;10),1,0)</f>
        <v>1</v>
      </c>
      <c r="S1764" s="7" t="n">
        <v>0</v>
      </c>
      <c r="T1764" s="3" t="n">
        <f aca="false">_xlfn.MINIFS($B$2:$B$2705,$A$2:$A$2705,A1764)</f>
        <v>1993</v>
      </c>
      <c r="U1764" s="3" t="n">
        <f aca="false">B1764-T1764</f>
        <v>1</v>
      </c>
      <c r="V1764" s="3" t="str">
        <f aca="false">INDEX(Pop_Inputs!$Q$2:$Q$29,MATCH(C1764,Pop_Inputs!$A$2:$A$29,0))</f>
        <v>South</v>
      </c>
      <c r="W1764" s="29" t="n">
        <v>21633000</v>
      </c>
      <c r="X1764" s="3" t="n">
        <f aca="false">IF(W1764="","",LN(W1764))</f>
        <v>16.889730484567</v>
      </c>
      <c r="Y1764" s="3" t="n">
        <f aca="false">IF(X1764="","",X1764-AVERAGEIFS($X$2:$X$2705,$B$2:$B$2705,B1764))</f>
        <v>-0.390465870553477</v>
      </c>
      <c r="Z1764" s="21" t="n">
        <f aca="false">P1764</f>
        <v>-0.820856921696056</v>
      </c>
      <c r="AA1764" s="3" t="n">
        <f aca="false">R1764</f>
        <v>1</v>
      </c>
      <c r="AB1764" s="21" t="n">
        <f aca="false">P1764</f>
        <v>-0.820856921696056</v>
      </c>
      <c r="AC1764" s="3" t="n">
        <f aca="false">Y1764</f>
        <v>-0.390465870553477</v>
      </c>
      <c r="AD1764" s="3" t="n">
        <f aca="false">R1764</f>
        <v>1</v>
      </c>
    </row>
    <row r="1765" customFormat="false" ht="15" hidden="false" customHeight="true" outlineLevel="0" collapsed="false">
      <c r="A1765" s="7" t="s">
        <v>74</v>
      </c>
      <c r="B1765" s="7" t="n">
        <v>1994</v>
      </c>
      <c r="C1765" s="7" t="s">
        <v>156</v>
      </c>
      <c r="D1765" s="7" t="n">
        <v>66</v>
      </c>
      <c r="E1765" s="7" t="n">
        <v>49</v>
      </c>
      <c r="F1765" s="3" t="n">
        <f aca="false">COUNTIFS($B$2:$B$2705,B1765,$C$2:$C$2705,C1765)</f>
        <v>1</v>
      </c>
      <c r="G1765" s="3" t="n">
        <f aca="false">MIN(INT((MIN(B1765,2020)-1900)/10)+1,12)</f>
        <v>10</v>
      </c>
      <c r="H1765" s="3" t="n">
        <f aca="false">(MIN(B1765,2020)-1900-10*(G1765-1))/10</f>
        <v>0.4</v>
      </c>
      <c r="I1765" s="20" t="n">
        <f aca="false">EXP(LN(INDEX(Pop_Inputs!$B$2:$N$29,MATCH(C1765,Pop_Inputs!$A$2:$A$29,0),G1765))*(1-H1765)+LN(INDEX(Pop_Inputs!$B$2:$N$29,MATCH(C1765,Pop_Inputs!$A$2:$A$29,0),G1765+1))*H1765)</f>
        <v>1752822.61180542</v>
      </c>
      <c r="J1765" s="20" t="n">
        <f aca="false">I1765/F1765</f>
        <v>1752822.61180542</v>
      </c>
      <c r="K1765" s="21" t="n">
        <f aca="false">D1765/(D1765+E1765)</f>
        <v>0.573913043478261</v>
      </c>
      <c r="L1765" s="21" t="n">
        <f aca="false">AVERAGEIFS($K$2:$K$2705,$B$2:$B$2705,B1765)</f>
        <v>0.500257436761862</v>
      </c>
      <c r="M1765" s="21" t="n">
        <f aca="false">K1765-L1765</f>
        <v>0.0736556067163994</v>
      </c>
      <c r="N1765" s="21" t="n">
        <f aca="false">LN(J1765)</f>
        <v>14.3767379675712</v>
      </c>
      <c r="O1765" s="21" t="n">
        <f aca="false">AVERAGEIFS($N$2:$N$2705,$B$2:$B$2705,B1765)</f>
        <v>13.6151937292317</v>
      </c>
      <c r="P1765" s="21" t="n">
        <f aca="false">N1765-O1765</f>
        <v>0.761544238339537</v>
      </c>
      <c r="Q1765" s="7" t="n">
        <v>1</v>
      </c>
      <c r="R1765" s="3" t="n">
        <f aca="false">IF(AND(Q1765=1,B1765-_xlfn.MINIFS($B$2:$B$2705,$A$2:$A$2705,A1765)&lt;10),1,0)</f>
        <v>0</v>
      </c>
      <c r="S1765" s="7" t="n">
        <v>0</v>
      </c>
      <c r="T1765" s="3" t="n">
        <f aca="false">_xlfn.MINIFS($B$2:$B$2705,$A$2:$A$2705,A1765)</f>
        <v>1962</v>
      </c>
      <c r="U1765" s="3" t="n">
        <f aca="false">B1765-T1765</f>
        <v>32</v>
      </c>
      <c r="V1765" s="3" t="str">
        <f aca="false">INDEX(Pop_Inputs!$Q$2:$Q$29,MATCH(C1765,Pop_Inputs!$A$2:$A$29,0))</f>
        <v>South</v>
      </c>
      <c r="W1765" s="29" t="n">
        <v>33126000</v>
      </c>
      <c r="X1765" s="3" t="n">
        <f aca="false">IF(W1765="","",LN(W1765))</f>
        <v>17.3158290304942</v>
      </c>
      <c r="Y1765" s="3" t="n">
        <f aca="false">IF(X1765="","",X1765-AVERAGEIFS($X$2:$X$2705,$B$2:$B$2705,B1765))</f>
        <v>0.0356326753737513</v>
      </c>
      <c r="Z1765" s="21" t="n">
        <f aca="false">P1765</f>
        <v>0.761544238339537</v>
      </c>
      <c r="AA1765" s="3" t="n">
        <f aca="false">R1765</f>
        <v>0</v>
      </c>
      <c r="AB1765" s="21" t="n">
        <f aca="false">P1765</f>
        <v>0.761544238339537</v>
      </c>
      <c r="AC1765" s="3" t="n">
        <f aca="false">Y1765</f>
        <v>0.0356326753737513</v>
      </c>
      <c r="AD1765" s="3" t="n">
        <f aca="false">R1765</f>
        <v>0</v>
      </c>
    </row>
    <row r="1766" customFormat="false" ht="15" hidden="false" customHeight="true" outlineLevel="0" collapsed="false">
      <c r="A1766" s="7" t="s">
        <v>76</v>
      </c>
      <c r="B1766" s="7" t="n">
        <v>1994</v>
      </c>
      <c r="C1766" s="7" t="s">
        <v>157</v>
      </c>
      <c r="D1766" s="7" t="n">
        <v>64</v>
      </c>
      <c r="E1766" s="7" t="n">
        <v>51</v>
      </c>
      <c r="F1766" s="3" t="n">
        <f aca="false">COUNTIFS($B$2:$B$2705,B1766,$C$2:$C$2705,C1766)</f>
        <v>1</v>
      </c>
      <c r="G1766" s="3" t="n">
        <f aca="false">MIN(INT((MIN(B1766,2020)-1900)/10)+1,12)</f>
        <v>10</v>
      </c>
      <c r="H1766" s="3" t="n">
        <f aca="false">(MIN(B1766,2020)-1900-10*(G1766-1))/10</f>
        <v>0.4</v>
      </c>
      <c r="I1766" s="20" t="n">
        <f aca="false">EXP(LN(INDEX(Pop_Inputs!$B$2:$N$29,MATCH(C1766,Pop_Inputs!$A$2:$A$29,0),G1766))*(1-H1766)+LN(INDEX(Pop_Inputs!$B$2:$N$29,MATCH(C1766,Pop_Inputs!$A$2:$A$29,0),G1766+1))*H1766)</f>
        <v>437694.395734488</v>
      </c>
      <c r="J1766" s="20" t="n">
        <f aca="false">I1766/F1766</f>
        <v>437694.395734488</v>
      </c>
      <c r="K1766" s="21" t="n">
        <f aca="false">D1766/(D1766+E1766)</f>
        <v>0.556521739130435</v>
      </c>
      <c r="L1766" s="21" t="n">
        <f aca="false">AVERAGEIFS($K$2:$K$2705,$B$2:$B$2705,B1766)</f>
        <v>0.500257436761862</v>
      </c>
      <c r="M1766" s="21" t="n">
        <f aca="false">K1766-L1766</f>
        <v>0.0562643023685733</v>
      </c>
      <c r="N1766" s="21" t="n">
        <f aca="false">LN(J1766)</f>
        <v>12.9892762192005</v>
      </c>
      <c r="O1766" s="21" t="n">
        <f aca="false">AVERAGEIFS($N$2:$N$2705,$B$2:$B$2705,B1766)</f>
        <v>13.6151937292317</v>
      </c>
      <c r="P1766" s="21" t="n">
        <f aca="false">N1766-O1766</f>
        <v>-0.625917510031204</v>
      </c>
      <c r="Q1766" s="7" t="n">
        <v>1</v>
      </c>
      <c r="R1766" s="3" t="n">
        <f aca="false">IF(AND(Q1766=1,B1766-_xlfn.MINIFS($B$2:$B$2705,$A$2:$A$2705,A1766)&lt;10),1,0)</f>
        <v>0</v>
      </c>
      <c r="S1766" s="7" t="n">
        <v>0</v>
      </c>
      <c r="T1766" s="3" t="n">
        <f aca="false">_xlfn.MINIFS($B$2:$B$2705,$A$2:$A$2705,A1766)</f>
        <v>1969</v>
      </c>
      <c r="U1766" s="3" t="n">
        <f aca="false">B1766-T1766</f>
        <v>25</v>
      </c>
      <c r="V1766" s="3" t="str">
        <f aca="false">INDEX(Pop_Inputs!$Q$2:$Q$29,MATCH(C1766,Pop_Inputs!$A$2:$A$29,0))</f>
        <v>Midwest</v>
      </c>
      <c r="W1766" s="29" t="n">
        <v>40541334</v>
      </c>
      <c r="X1766" s="3" t="n">
        <f aca="false">IF(W1766="","",LN(W1766))</f>
        <v>17.5178326042188</v>
      </c>
      <c r="Y1766" s="3" t="n">
        <f aca="false">IF(X1766="","",X1766-AVERAGEIFS($X$2:$X$2705,$B$2:$B$2705,B1766))</f>
        <v>0.237636249098337</v>
      </c>
      <c r="Z1766" s="21" t="n">
        <f aca="false">P1766</f>
        <v>-0.625917510031204</v>
      </c>
      <c r="AA1766" s="3" t="n">
        <f aca="false">R1766</f>
        <v>0</v>
      </c>
      <c r="AB1766" s="21" t="n">
        <f aca="false">P1766</f>
        <v>-0.625917510031204</v>
      </c>
      <c r="AC1766" s="3" t="n">
        <f aca="false">Y1766</f>
        <v>0.237636249098337</v>
      </c>
      <c r="AD1766" s="3" t="n">
        <f aca="false">R1766</f>
        <v>0</v>
      </c>
    </row>
    <row r="1767" customFormat="false" ht="15" hidden="false" customHeight="true" outlineLevel="0" collapsed="false">
      <c r="A1767" s="7" t="s">
        <v>62</v>
      </c>
      <c r="B1767" s="7" t="n">
        <v>1994</v>
      </c>
      <c r="C1767" s="7" t="s">
        <v>148</v>
      </c>
      <c r="D1767" s="7" t="n">
        <v>58</v>
      </c>
      <c r="E1767" s="7" t="n">
        <v>56</v>
      </c>
      <c r="F1767" s="3" t="n">
        <f aca="false">COUNTIFS($B$2:$B$2705,B1767,$C$2:$C$2705,C1767)</f>
        <v>2</v>
      </c>
      <c r="G1767" s="3" t="n">
        <f aca="false">MIN(INT((MIN(B1767,2020)-1900)/10)+1,12)</f>
        <v>10</v>
      </c>
      <c r="H1767" s="3" t="n">
        <f aca="false">(MIN(B1767,2020)-1900-10*(G1767-1))/10</f>
        <v>0.4</v>
      </c>
      <c r="I1767" s="20" t="n">
        <f aca="false">EXP(LN(INDEX(Pop_Inputs!$B$2:$N$29,MATCH(C1767,Pop_Inputs!$A$2:$A$29,0),G1767))*(1-H1767)+LN(INDEX(Pop_Inputs!$B$2:$N$29,MATCH(C1767,Pop_Inputs!$A$2:$A$29,0),G1767+1))*H1767)</f>
        <v>3567703.38889467</v>
      </c>
      <c r="J1767" s="20" t="n">
        <f aca="false">I1767/F1767</f>
        <v>1783851.69444734</v>
      </c>
      <c r="K1767" s="21" t="n">
        <f aca="false">D1767/(D1767+E1767)</f>
        <v>0.508771929824561</v>
      </c>
      <c r="L1767" s="21" t="n">
        <f aca="false">AVERAGEIFS($K$2:$K$2705,$B$2:$B$2705,B1767)</f>
        <v>0.500257436761862</v>
      </c>
      <c r="M1767" s="21" t="n">
        <f aca="false">K1767-L1767</f>
        <v>0.00851449306269991</v>
      </c>
      <c r="N1767" s="21" t="n">
        <f aca="false">LN(J1767)</f>
        <v>14.3942854577514</v>
      </c>
      <c r="O1767" s="21" t="n">
        <f aca="false">AVERAGEIFS($N$2:$N$2705,$B$2:$B$2705,B1767)</f>
        <v>13.6151937292317</v>
      </c>
      <c r="P1767" s="21" t="n">
        <f aca="false">N1767-O1767</f>
        <v>0.779091728519667</v>
      </c>
      <c r="Q1767" s="7" t="n">
        <v>0</v>
      </c>
      <c r="R1767" s="3" t="n">
        <f aca="false">IF(AND(Q1767=1,B1767-_xlfn.MINIFS($B$2:$B$2705,$A$2:$A$2705,A1767)&lt;10),1,0)</f>
        <v>0</v>
      </c>
      <c r="S1767" s="7" t="n">
        <v>0</v>
      </c>
      <c r="T1767" s="3" t="n">
        <f aca="false">_xlfn.MINIFS($B$2:$B$2705,$A$2:$A$2705,A1767)</f>
        <v>1901</v>
      </c>
      <c r="U1767" s="3" t="n">
        <f aca="false">B1767-T1767</f>
        <v>93</v>
      </c>
      <c r="V1767" s="3" t="str">
        <f aca="false">INDEX(Pop_Inputs!$Q$2:$Q$29,MATCH(C1767,Pop_Inputs!$A$2:$A$29,0))</f>
        <v>West</v>
      </c>
      <c r="W1767" s="29" t="n">
        <v>38000001</v>
      </c>
      <c r="X1767" s="3" t="n">
        <f aca="false">IF(W1767="","",LN(W1767))</f>
        <v>17.4530967440064</v>
      </c>
      <c r="Y1767" s="3" t="n">
        <f aca="false">IF(X1767="","",X1767-AVERAGEIFS($X$2:$X$2705,$B$2:$B$2705,B1767))</f>
        <v>0.172900388885964</v>
      </c>
      <c r="Z1767" s="21" t="n">
        <f aca="false">P1767</f>
        <v>0.779091728519667</v>
      </c>
      <c r="AA1767" s="3" t="n">
        <f aca="false">R1767</f>
        <v>0</v>
      </c>
      <c r="AB1767" s="21" t="n">
        <f aca="false">P1767</f>
        <v>0.779091728519667</v>
      </c>
      <c r="AC1767" s="3" t="n">
        <f aca="false">Y1767</f>
        <v>0.172900388885964</v>
      </c>
      <c r="AD1767" s="3" t="n">
        <f aca="false">R1767</f>
        <v>0</v>
      </c>
    </row>
    <row r="1768" customFormat="false" ht="15" hidden="false" customHeight="true" outlineLevel="0" collapsed="false">
      <c r="A1768" s="7" t="s">
        <v>77</v>
      </c>
      <c r="B1768" s="7" t="n">
        <v>1994</v>
      </c>
      <c r="C1768" s="7" t="s">
        <v>158</v>
      </c>
      <c r="D1768" s="7" t="n">
        <v>53</v>
      </c>
      <c r="E1768" s="7" t="n">
        <v>62</v>
      </c>
      <c r="F1768" s="3" t="n">
        <f aca="false">COUNTIFS($B$2:$B$2705,B1768,$C$2:$C$2705,C1768)</f>
        <v>1</v>
      </c>
      <c r="G1768" s="3" t="n">
        <f aca="false">MIN(INT((MIN(B1768,2020)-1900)/10)+1,12)</f>
        <v>10</v>
      </c>
      <c r="H1768" s="3" t="n">
        <f aca="false">(MIN(B1768,2020)-1900-10*(G1768-1))/10</f>
        <v>0.4</v>
      </c>
      <c r="I1768" s="20" t="n">
        <f aca="false">EXP(LN(INDEX(Pop_Inputs!$B$2:$N$29,MATCH(C1768,Pop_Inputs!$A$2:$A$29,0),G1768))*(1-H1768)+LN(INDEX(Pop_Inputs!$B$2:$N$29,MATCH(C1768,Pop_Inputs!$A$2:$A$29,0),G1768+1))*H1768)</f>
        <v>615452.392510986</v>
      </c>
      <c r="J1768" s="20" t="n">
        <f aca="false">I1768/F1768</f>
        <v>615452.392510986</v>
      </c>
      <c r="K1768" s="21" t="n">
        <f aca="false">D1768/(D1768+E1768)</f>
        <v>0.460869565217391</v>
      </c>
      <c r="L1768" s="21" t="n">
        <f aca="false">AVERAGEIFS($K$2:$K$2705,$B$2:$B$2705,B1768)</f>
        <v>0.500257436761862</v>
      </c>
      <c r="M1768" s="21" t="n">
        <f aca="false">K1768-L1768</f>
        <v>-0.0393878715444702</v>
      </c>
      <c r="N1768" s="21" t="n">
        <f aca="false">LN(J1768)</f>
        <v>13.3301128739482</v>
      </c>
      <c r="O1768" s="21" t="n">
        <f aca="false">AVERAGEIFS($N$2:$N$2705,$B$2:$B$2705,B1768)</f>
        <v>13.6151937292317</v>
      </c>
      <c r="P1768" s="21" t="n">
        <f aca="false">N1768-O1768</f>
        <v>-0.285080855283487</v>
      </c>
      <c r="Q1768" s="7" t="n">
        <v>1</v>
      </c>
      <c r="R1768" s="3" t="n">
        <f aca="false">IF(AND(Q1768=1,B1768-_xlfn.MINIFS($B$2:$B$2705,$A$2:$A$2705,A1768)&lt;10),1,0)</f>
        <v>0</v>
      </c>
      <c r="S1768" s="7" t="n">
        <v>0</v>
      </c>
      <c r="T1768" s="3" t="n">
        <f aca="false">_xlfn.MINIFS($B$2:$B$2705,$A$2:$A$2705,A1768)</f>
        <v>1969</v>
      </c>
      <c r="U1768" s="3" t="n">
        <f aca="false">B1768-T1768</f>
        <v>25</v>
      </c>
      <c r="V1768" s="3" t="str">
        <f aca="false">INDEX(Pop_Inputs!$Q$2:$Q$29,MATCH(C1768,Pop_Inputs!$A$2:$A$29,0))</f>
        <v>Midwest</v>
      </c>
      <c r="W1768" s="29" t="n">
        <v>24350500</v>
      </c>
      <c r="X1768" s="3" t="n">
        <f aca="false">IF(W1768="","",LN(W1768))</f>
        <v>17.008062941163</v>
      </c>
      <c r="Y1768" s="3" t="n">
        <f aca="false">IF(X1768="","",X1768-AVERAGEIFS($X$2:$X$2705,$B$2:$B$2705,B1768))</f>
        <v>-0.272133413957526</v>
      </c>
      <c r="Z1768" s="21" t="n">
        <f aca="false">P1768</f>
        <v>-0.285080855283487</v>
      </c>
      <c r="AA1768" s="3" t="n">
        <f aca="false">R1768</f>
        <v>0</v>
      </c>
      <c r="AB1768" s="21" t="n">
        <f aca="false">P1768</f>
        <v>-0.285080855283487</v>
      </c>
      <c r="AC1768" s="3" t="n">
        <f aca="false">Y1768</f>
        <v>-0.272133413957526</v>
      </c>
      <c r="AD1768" s="3" t="n">
        <f aca="false">R1768</f>
        <v>0</v>
      </c>
    </row>
    <row r="1769" customFormat="false" ht="15" hidden="false" customHeight="true" outlineLevel="0" collapsed="false">
      <c r="A1769" s="7" t="s">
        <v>68</v>
      </c>
      <c r="B1769" s="7" t="n">
        <v>1994</v>
      </c>
      <c r="C1769" s="7" t="s">
        <v>153</v>
      </c>
      <c r="D1769" s="7" t="n">
        <v>53</v>
      </c>
      <c r="E1769" s="7" t="n">
        <v>60</v>
      </c>
      <c r="F1769" s="3" t="n">
        <f aca="false">COUNTIFS($B$2:$B$2705,B1769,$C$2:$C$2705,C1769)</f>
        <v>1</v>
      </c>
      <c r="G1769" s="3" t="n">
        <f aca="false">MIN(INT((MIN(B1769,2020)-1900)/10)+1,12)</f>
        <v>10</v>
      </c>
      <c r="H1769" s="3" t="n">
        <f aca="false">(MIN(B1769,2020)-1900-10*(G1769-1))/10</f>
        <v>0.4</v>
      </c>
      <c r="I1769" s="20" t="n">
        <f aca="false">EXP(LN(INDEX(Pop_Inputs!$B$2:$N$29,MATCH(C1769,Pop_Inputs!$A$2:$A$29,0),G1769))*(1-H1769)+LN(INDEX(Pop_Inputs!$B$2:$N$29,MATCH(C1769,Pop_Inputs!$A$2:$A$29,0),G1769+1))*H1769)</f>
        <v>374012.319107716</v>
      </c>
      <c r="J1769" s="20" t="n">
        <f aca="false">I1769/F1769</f>
        <v>374012.319107716</v>
      </c>
      <c r="K1769" s="21" t="n">
        <f aca="false">D1769/(D1769+E1769)</f>
        <v>0.469026548672566</v>
      </c>
      <c r="L1769" s="21" t="n">
        <f aca="false">AVERAGEIFS($K$2:$K$2705,$B$2:$B$2705,B1769)</f>
        <v>0.500257436761862</v>
      </c>
      <c r="M1769" s="21" t="n">
        <f aca="false">K1769-L1769</f>
        <v>-0.0312308880892951</v>
      </c>
      <c r="N1769" s="21" t="n">
        <f aca="false">LN(J1769)</f>
        <v>12.8320440146449</v>
      </c>
      <c r="O1769" s="21" t="n">
        <f aca="false">AVERAGEIFS($N$2:$N$2705,$B$2:$B$2705,B1769)</f>
        <v>13.6151937292317</v>
      </c>
      <c r="P1769" s="21" t="n">
        <f aca="false">N1769-O1769</f>
        <v>-0.783149714586806</v>
      </c>
      <c r="Q1769" s="7" t="n">
        <v>0</v>
      </c>
      <c r="R1769" s="3" t="n">
        <f aca="false">IF(AND(Q1769=1,B1769-_xlfn.MINIFS($B$2:$B$2705,$A$2:$A$2705,A1769)&lt;10),1,0)</f>
        <v>0</v>
      </c>
      <c r="S1769" s="7" t="n">
        <v>0</v>
      </c>
      <c r="T1769" s="3" t="n">
        <f aca="false">_xlfn.MINIFS($B$2:$B$2705,$A$2:$A$2705,A1769)</f>
        <v>1901</v>
      </c>
      <c r="U1769" s="3" t="n">
        <f aca="false">B1769-T1769</f>
        <v>93</v>
      </c>
      <c r="V1769" s="3" t="str">
        <f aca="false">INDEX(Pop_Inputs!$Q$2:$Q$29,MATCH(C1769,Pop_Inputs!$A$2:$A$29,0))</f>
        <v>Midwest</v>
      </c>
      <c r="W1769" s="29" t="n">
        <v>28438500</v>
      </c>
      <c r="X1769" s="3" t="n">
        <f aca="false">IF(W1769="","",LN(W1769))</f>
        <v>17.1632544188923</v>
      </c>
      <c r="Y1769" s="3" t="n">
        <f aca="false">IF(X1769="","",X1769-AVERAGEIFS($X$2:$X$2705,$B$2:$B$2705,B1769))</f>
        <v>-0.116941936228145</v>
      </c>
      <c r="Z1769" s="21" t="n">
        <f aca="false">P1769</f>
        <v>-0.783149714586806</v>
      </c>
      <c r="AA1769" s="3" t="n">
        <f aca="false">R1769</f>
        <v>0</v>
      </c>
      <c r="AB1769" s="21" t="n">
        <f aca="false">P1769</f>
        <v>-0.783149714586806</v>
      </c>
      <c r="AC1769" s="3" t="n">
        <f aca="false">Y1769</f>
        <v>-0.116941936228145</v>
      </c>
      <c r="AD1769" s="3" t="n">
        <f aca="false">R1769</f>
        <v>0</v>
      </c>
    </row>
    <row r="1770" customFormat="false" ht="15" hidden="false" customHeight="true" outlineLevel="0" collapsed="false">
      <c r="A1770" s="7" t="s">
        <v>75</v>
      </c>
      <c r="B1770" s="7" t="n">
        <v>1994</v>
      </c>
      <c r="C1770" s="7" t="s">
        <v>154</v>
      </c>
      <c r="D1770" s="7" t="n">
        <v>55</v>
      </c>
      <c r="E1770" s="7" t="n">
        <v>58</v>
      </c>
      <c r="F1770" s="3" t="n">
        <f aca="false">COUNTIFS($B$2:$B$2705,B1770,$C$2:$C$2705,C1770)</f>
        <v>2</v>
      </c>
      <c r="G1770" s="3" t="n">
        <f aca="false">MIN(INT((MIN(B1770,2020)-1900)/10)+1,12)</f>
        <v>10</v>
      </c>
      <c r="H1770" s="3" t="n">
        <f aca="false">(MIN(B1770,2020)-1900-10*(G1770-1))/10</f>
        <v>0.4</v>
      </c>
      <c r="I1770" s="20" t="n">
        <f aca="false">EXP(LN(INDEX(Pop_Inputs!$B$2:$N$29,MATCH(C1770,Pop_Inputs!$A$2:$A$29,0),G1770))*(1-H1770)+LN(INDEX(Pop_Inputs!$B$2:$N$29,MATCH(C1770,Pop_Inputs!$A$2:$A$29,0),G1770+1))*H1770)</f>
        <v>7589506.93310859</v>
      </c>
      <c r="J1770" s="20" t="n">
        <f aca="false">I1770/F1770</f>
        <v>3794753.4665543</v>
      </c>
      <c r="K1770" s="21" t="n">
        <f aca="false">D1770/(D1770+E1770)</f>
        <v>0.486725663716814</v>
      </c>
      <c r="L1770" s="21" t="n">
        <f aca="false">AVERAGEIFS($K$2:$K$2705,$B$2:$B$2705,B1770)</f>
        <v>0.500257436761862</v>
      </c>
      <c r="M1770" s="21" t="n">
        <f aca="false">K1770-L1770</f>
        <v>-0.0135317730450474</v>
      </c>
      <c r="N1770" s="21" t="n">
        <f aca="false">LN(J1770)</f>
        <v>15.1491300040019</v>
      </c>
      <c r="O1770" s="21" t="n">
        <f aca="false">AVERAGEIFS($N$2:$N$2705,$B$2:$B$2705,B1770)</f>
        <v>13.6151937292317</v>
      </c>
      <c r="P1770" s="21" t="n">
        <f aca="false">N1770-O1770</f>
        <v>1.53393627477022</v>
      </c>
      <c r="Q1770" s="7" t="n">
        <v>1</v>
      </c>
      <c r="R1770" s="3" t="n">
        <f aca="false">IF(AND(Q1770=1,B1770-_xlfn.MINIFS($B$2:$B$2705,$A$2:$A$2705,A1770)&lt;10),1,0)</f>
        <v>0</v>
      </c>
      <c r="S1770" s="7" t="n">
        <v>0</v>
      </c>
      <c r="T1770" s="3" t="n">
        <f aca="false">_xlfn.MINIFS($B$2:$B$2705,$A$2:$A$2705,A1770)</f>
        <v>1962</v>
      </c>
      <c r="U1770" s="3" t="n">
        <f aca="false">B1770-T1770</f>
        <v>32</v>
      </c>
      <c r="V1770" s="3" t="str">
        <f aca="false">INDEX(Pop_Inputs!$Q$2:$Q$29,MATCH(C1770,Pop_Inputs!$A$2:$A$29,0))</f>
        <v>Northeast</v>
      </c>
      <c r="W1770" s="29" t="n">
        <v>30956583</v>
      </c>
      <c r="X1770" s="3" t="n">
        <f aca="false">IF(W1770="","",LN(W1770))</f>
        <v>17.2480962323777</v>
      </c>
      <c r="Y1770" s="3" t="n">
        <f aca="false">IF(X1770="","",X1770-AVERAGEIFS($X$2:$X$2705,$B$2:$B$2705,B1770))</f>
        <v>-0.032100122742758</v>
      </c>
      <c r="Z1770" s="21" t="n">
        <f aca="false">P1770</f>
        <v>1.53393627477022</v>
      </c>
      <c r="AA1770" s="3" t="n">
        <f aca="false">R1770</f>
        <v>0</v>
      </c>
      <c r="AB1770" s="21" t="n">
        <f aca="false">P1770</f>
        <v>1.53393627477022</v>
      </c>
      <c r="AC1770" s="3" t="n">
        <f aca="false">Y1770</f>
        <v>-0.032100122742758</v>
      </c>
      <c r="AD1770" s="3" t="n">
        <f aca="false">R1770</f>
        <v>0</v>
      </c>
    </row>
    <row r="1771" customFormat="false" ht="15" hidden="false" customHeight="true" outlineLevel="0" collapsed="false">
      <c r="A1771" s="7" t="s">
        <v>70</v>
      </c>
      <c r="B1771" s="7" t="n">
        <v>1994</v>
      </c>
      <c r="C1771" s="7" t="s">
        <v>154</v>
      </c>
      <c r="D1771" s="7" t="n">
        <v>70</v>
      </c>
      <c r="E1771" s="7" t="n">
        <v>43</v>
      </c>
      <c r="F1771" s="3" t="n">
        <f aca="false">COUNTIFS($B$2:$B$2705,B1771,$C$2:$C$2705,C1771)</f>
        <v>2</v>
      </c>
      <c r="G1771" s="3" t="n">
        <f aca="false">MIN(INT((MIN(B1771,2020)-1900)/10)+1,12)</f>
        <v>10</v>
      </c>
      <c r="H1771" s="3" t="n">
        <f aca="false">(MIN(B1771,2020)-1900-10*(G1771-1))/10</f>
        <v>0.4</v>
      </c>
      <c r="I1771" s="20" t="n">
        <f aca="false">EXP(LN(INDEX(Pop_Inputs!$B$2:$N$29,MATCH(C1771,Pop_Inputs!$A$2:$A$29,0),G1771))*(1-H1771)+LN(INDEX(Pop_Inputs!$B$2:$N$29,MATCH(C1771,Pop_Inputs!$A$2:$A$29,0),G1771+1))*H1771)</f>
        <v>7589506.93310859</v>
      </c>
      <c r="J1771" s="20" t="n">
        <f aca="false">I1771/F1771</f>
        <v>3794753.4665543</v>
      </c>
      <c r="K1771" s="21" t="n">
        <f aca="false">D1771/(D1771+E1771)</f>
        <v>0.619469026548673</v>
      </c>
      <c r="L1771" s="21" t="n">
        <f aca="false">AVERAGEIFS($K$2:$K$2705,$B$2:$B$2705,B1771)</f>
        <v>0.500257436761862</v>
      </c>
      <c r="M1771" s="21" t="n">
        <f aca="false">K1771-L1771</f>
        <v>0.119211589786811</v>
      </c>
      <c r="N1771" s="21" t="n">
        <f aca="false">LN(J1771)</f>
        <v>15.1491300040019</v>
      </c>
      <c r="O1771" s="21" t="n">
        <f aca="false">AVERAGEIFS($N$2:$N$2705,$B$2:$B$2705,B1771)</f>
        <v>13.6151937292317</v>
      </c>
      <c r="P1771" s="21" t="n">
        <f aca="false">N1771-O1771</f>
        <v>1.53393627477022</v>
      </c>
      <c r="Q1771" s="7" t="n">
        <v>0</v>
      </c>
      <c r="R1771" s="3" t="n">
        <f aca="false">IF(AND(Q1771=1,B1771-_xlfn.MINIFS($B$2:$B$2705,$A$2:$A$2705,A1771)&lt;10),1,0)</f>
        <v>0</v>
      </c>
      <c r="S1771" s="7" t="n">
        <v>1</v>
      </c>
      <c r="T1771" s="3" t="n">
        <f aca="false">_xlfn.MINIFS($B$2:$B$2705,$A$2:$A$2705,A1771)</f>
        <v>1903</v>
      </c>
      <c r="U1771" s="3" t="n">
        <f aca="false">B1771-T1771</f>
        <v>91</v>
      </c>
      <c r="V1771" s="3" t="str">
        <f aca="false">INDEX(Pop_Inputs!$Q$2:$Q$29,MATCH(C1771,Pop_Inputs!$A$2:$A$29,0))</f>
        <v>Northeast</v>
      </c>
      <c r="W1771" s="29" t="n">
        <v>45731334</v>
      </c>
      <c r="X1771" s="3" t="n">
        <f aca="false">IF(W1771="","",LN(W1771))</f>
        <v>17.6382942664312</v>
      </c>
      <c r="Y1771" s="3" t="n">
        <f aca="false">IF(X1771="","",X1771-AVERAGEIFS($X$2:$X$2705,$B$2:$B$2705,B1771))</f>
        <v>0.358097911310676</v>
      </c>
      <c r="Z1771" s="21" t="n">
        <f aca="false">P1771</f>
        <v>1.53393627477022</v>
      </c>
      <c r="AA1771" s="3" t="n">
        <f aca="false">R1771</f>
        <v>0</v>
      </c>
      <c r="AB1771" s="21" t="n">
        <f aca="false">P1771</f>
        <v>1.53393627477022</v>
      </c>
      <c r="AC1771" s="3" t="n">
        <f aca="false">Y1771</f>
        <v>0.358097911310676</v>
      </c>
      <c r="AD1771" s="3" t="n">
        <f aca="false">R1771</f>
        <v>0</v>
      </c>
    </row>
    <row r="1772" customFormat="false" ht="15" hidden="false" customHeight="true" outlineLevel="0" collapsed="false">
      <c r="A1772" s="7" t="s">
        <v>69</v>
      </c>
      <c r="B1772" s="7" t="n">
        <v>1994</v>
      </c>
      <c r="C1772" s="7" t="s">
        <v>253</v>
      </c>
      <c r="D1772" s="7" t="n">
        <v>51</v>
      </c>
      <c r="E1772" s="7" t="n">
        <v>63</v>
      </c>
      <c r="F1772" s="3" t="n">
        <f aca="false">COUNTIFS($B$2:$B$2705,B1772,$C$2:$C$2705,C1772)</f>
        <v>1</v>
      </c>
      <c r="G1772" s="3" t="n">
        <f aca="false">MIN(INT((MIN(B1772,2020)-1900)/10)+1,12)</f>
        <v>10</v>
      </c>
      <c r="H1772" s="3" t="n">
        <f aca="false">(MIN(B1772,2020)-1900-10*(G1772-1))/10</f>
        <v>0.4</v>
      </c>
      <c r="I1772" s="20" t="n">
        <f aca="false">EXP(LN(INDEX(Pop_Inputs!$B$2:$N$29,MATCH(C1772,Pop_Inputs!$A$2:$A$29,0),G1772))*(1-H1772)+LN(INDEX(Pop_Inputs!$B$2:$N$29,MATCH(C1772,Pop_Inputs!$A$2:$A$29,0),G1772+1))*H1772)</f>
        <v>382908.475774171</v>
      </c>
      <c r="J1772" s="20" t="n">
        <f aca="false">I1772/F1772</f>
        <v>382908.475774171</v>
      </c>
      <c r="K1772" s="21" t="n">
        <f aca="false">D1772/(D1772+E1772)</f>
        <v>0.447368421052632</v>
      </c>
      <c r="L1772" s="21" t="n">
        <f aca="false">AVERAGEIFS($K$2:$K$2705,$B$2:$B$2705,B1772)</f>
        <v>0.500257436761862</v>
      </c>
      <c r="M1772" s="21" t="n">
        <f aca="false">K1772-L1772</f>
        <v>-0.0528890157092299</v>
      </c>
      <c r="N1772" s="21" t="n">
        <f aca="false">LN(J1772)</f>
        <v>12.8555512729586</v>
      </c>
      <c r="O1772" s="21" t="n">
        <f aca="false">AVERAGEIFS($N$2:$N$2705,$B$2:$B$2705,B1772)</f>
        <v>13.6151937292317</v>
      </c>
      <c r="P1772" s="21" t="n">
        <f aca="false">N1772-O1772</f>
        <v>-0.759642456273056</v>
      </c>
      <c r="Q1772" s="7" t="n">
        <v>0</v>
      </c>
      <c r="R1772" s="3" t="n">
        <f aca="false">IF(AND(Q1772=1,B1772-_xlfn.MINIFS($B$2:$B$2705,$A$2:$A$2705,A1772)&lt;10),1,0)</f>
        <v>0</v>
      </c>
      <c r="S1772" s="7" t="n">
        <v>0</v>
      </c>
      <c r="T1772" s="3" t="n">
        <f aca="false">_xlfn.MINIFS($B$2:$B$2705,$A$2:$A$2705,A1772)</f>
        <v>1901</v>
      </c>
      <c r="U1772" s="3" t="n">
        <f aca="false">B1772-T1772</f>
        <v>93</v>
      </c>
      <c r="V1772" s="3" t="str">
        <f aca="false">INDEX(Pop_Inputs!$Q$2:$Q$29,MATCH(C1772,Pop_Inputs!$A$2:$A$29,0))</f>
        <v>West</v>
      </c>
      <c r="W1772" s="29" t="n">
        <v>34172500</v>
      </c>
      <c r="X1772" s="3" t="n">
        <f aca="false">IF(W1772="","",LN(W1772))</f>
        <v>17.3469317850089</v>
      </c>
      <c r="Y1772" s="3" t="n">
        <f aca="false">IF(X1772="","",X1772-AVERAGEIFS($X$2:$X$2705,$B$2:$B$2705,B1772))</f>
        <v>0.0667354298884604</v>
      </c>
      <c r="Z1772" s="21" t="n">
        <f aca="false">P1772</f>
        <v>-0.759642456273056</v>
      </c>
      <c r="AA1772" s="3" t="n">
        <f aca="false">R1772</f>
        <v>0</v>
      </c>
      <c r="AB1772" s="21" t="n">
        <f aca="false">P1772</f>
        <v>-0.759642456273056</v>
      </c>
      <c r="AC1772" s="3" t="n">
        <f aca="false">Y1772</f>
        <v>0.0667354298884604</v>
      </c>
      <c r="AD1772" s="3" t="n">
        <f aca="false">R1772</f>
        <v>0</v>
      </c>
    </row>
    <row r="1773" customFormat="false" ht="15" hidden="false" customHeight="true" outlineLevel="0" collapsed="false">
      <c r="A1773" s="7" t="s">
        <v>60</v>
      </c>
      <c r="B1773" s="7" t="n">
        <v>1994</v>
      </c>
      <c r="C1773" s="7" t="s">
        <v>146</v>
      </c>
      <c r="D1773" s="7" t="n">
        <v>54</v>
      </c>
      <c r="E1773" s="7" t="n">
        <v>61</v>
      </c>
      <c r="F1773" s="3" t="n">
        <f aca="false">COUNTIFS($B$2:$B$2705,B1773,$C$2:$C$2705,C1773)</f>
        <v>1</v>
      </c>
      <c r="G1773" s="3" t="n">
        <f aca="false">MIN(INT((MIN(B1773,2020)-1900)/10)+1,12)</f>
        <v>10</v>
      </c>
      <c r="H1773" s="3" t="n">
        <f aca="false">(MIN(B1773,2020)-1900-10*(G1773-1))/10</f>
        <v>0.4</v>
      </c>
      <c r="I1773" s="20" t="n">
        <f aca="false">EXP(LN(INDEX(Pop_Inputs!$B$2:$N$29,MATCH(C1773,Pop_Inputs!$A$2:$A$29,0),G1773))*(1-H1773)+LN(INDEX(Pop_Inputs!$B$2:$N$29,MATCH(C1773,Pop_Inputs!$A$2:$A$29,0),G1773+1))*H1773)</f>
        <v>1558007.72279089</v>
      </c>
      <c r="J1773" s="20" t="n">
        <f aca="false">I1773/F1773</f>
        <v>1558007.72279089</v>
      </c>
      <c r="K1773" s="21" t="n">
        <f aca="false">D1773/(D1773+E1773)</f>
        <v>0.469565217391304</v>
      </c>
      <c r="L1773" s="21" t="n">
        <f aca="false">AVERAGEIFS($K$2:$K$2705,$B$2:$B$2705,B1773)</f>
        <v>0.500257436761862</v>
      </c>
      <c r="M1773" s="21" t="n">
        <f aca="false">K1773-L1773</f>
        <v>-0.0306922193705572</v>
      </c>
      <c r="N1773" s="21" t="n">
        <f aca="false">LN(J1773)</f>
        <v>14.2589184622625</v>
      </c>
      <c r="O1773" s="21" t="n">
        <f aca="false">AVERAGEIFS($N$2:$N$2705,$B$2:$B$2705,B1773)</f>
        <v>13.6151937292317</v>
      </c>
      <c r="P1773" s="21" t="n">
        <f aca="false">N1773-O1773</f>
        <v>0.643724733030792</v>
      </c>
      <c r="Q1773" s="7" t="n">
        <v>0</v>
      </c>
      <c r="R1773" s="3" t="n">
        <f aca="false">IF(AND(Q1773=1,B1773-_xlfn.MINIFS($B$2:$B$2705,$A$2:$A$2705,A1773)&lt;10),1,0)</f>
        <v>0</v>
      </c>
      <c r="S1773" s="7" t="n">
        <v>0</v>
      </c>
      <c r="T1773" s="3" t="n">
        <f aca="false">_xlfn.MINIFS($B$2:$B$2705,$A$2:$A$2705,A1773)</f>
        <v>1901</v>
      </c>
      <c r="U1773" s="3" t="n">
        <f aca="false">B1773-T1773</f>
        <v>93</v>
      </c>
      <c r="V1773" s="3" t="str">
        <f aca="false">INDEX(Pop_Inputs!$Q$2:$Q$29,MATCH(C1773,Pop_Inputs!$A$2:$A$29,0))</f>
        <v>Northeast</v>
      </c>
      <c r="W1773" s="29" t="n">
        <v>31599000</v>
      </c>
      <c r="X1773" s="3" t="n">
        <f aca="false">IF(W1773="","",LN(W1773))</f>
        <v>17.2686360324868</v>
      </c>
      <c r="Y1773" s="3" t="n">
        <f aca="false">IF(X1773="","",X1773-AVERAGEIFS($X$2:$X$2705,$B$2:$B$2705,B1773))</f>
        <v>-0.0115603226336951</v>
      </c>
      <c r="Z1773" s="21" t="n">
        <f aca="false">P1773</f>
        <v>0.643724733030792</v>
      </c>
      <c r="AA1773" s="3" t="n">
        <f aca="false">R1773</f>
        <v>0</v>
      </c>
      <c r="AB1773" s="21" t="n">
        <f aca="false">P1773</f>
        <v>0.643724733030792</v>
      </c>
      <c r="AC1773" s="3" t="n">
        <f aca="false">Y1773</f>
        <v>-0.0115603226336951</v>
      </c>
      <c r="AD1773" s="3" t="n">
        <f aca="false">R1773</f>
        <v>0</v>
      </c>
    </row>
    <row r="1774" customFormat="false" ht="15" hidden="false" customHeight="true" outlineLevel="0" collapsed="false">
      <c r="A1774" s="7" t="s">
        <v>58</v>
      </c>
      <c r="B1774" s="7" t="n">
        <v>1994</v>
      </c>
      <c r="C1774" s="7" t="s">
        <v>144</v>
      </c>
      <c r="D1774" s="7" t="n">
        <v>53</v>
      </c>
      <c r="E1774" s="7" t="n">
        <v>61</v>
      </c>
      <c r="F1774" s="3" t="n">
        <f aca="false">COUNTIFS($B$2:$B$2705,B1774,$C$2:$C$2705,C1774)</f>
        <v>1</v>
      </c>
      <c r="G1774" s="3" t="n">
        <f aca="false">MIN(INT((MIN(B1774,2020)-1900)/10)+1,12)</f>
        <v>10</v>
      </c>
      <c r="H1774" s="3" t="n">
        <f aca="false">(MIN(B1774,2020)-1900-10*(G1774-1))/10</f>
        <v>0.4</v>
      </c>
      <c r="I1774" s="20" t="n">
        <f aca="false">EXP(LN(INDEX(Pop_Inputs!$B$2:$N$29,MATCH(C1774,Pop_Inputs!$A$2:$A$29,0),G1774))*(1-H1774)+LN(INDEX(Pop_Inputs!$B$2:$N$29,MATCH(C1774,Pop_Inputs!$A$2:$A$29,0),G1774+1))*H1774)</f>
        <v>355325.985142519</v>
      </c>
      <c r="J1774" s="20" t="n">
        <f aca="false">I1774/F1774</f>
        <v>355325.985142519</v>
      </c>
      <c r="K1774" s="21" t="n">
        <f aca="false">D1774/(D1774+E1774)</f>
        <v>0.464912280701754</v>
      </c>
      <c r="L1774" s="21" t="n">
        <f aca="false">AVERAGEIFS($K$2:$K$2705,$B$2:$B$2705,B1774)</f>
        <v>0.500257436761862</v>
      </c>
      <c r="M1774" s="21" t="n">
        <f aca="false">K1774-L1774</f>
        <v>-0.0353451560601071</v>
      </c>
      <c r="N1774" s="21" t="n">
        <f aca="false">LN(J1774)</f>
        <v>12.7807909151145</v>
      </c>
      <c r="O1774" s="21" t="n">
        <f aca="false">AVERAGEIFS($N$2:$N$2705,$B$2:$B$2705,B1774)</f>
        <v>13.6151937292317</v>
      </c>
      <c r="P1774" s="21" t="n">
        <f aca="false">N1774-O1774</f>
        <v>-0.834402814117183</v>
      </c>
      <c r="Q1774" s="7" t="n">
        <v>0</v>
      </c>
      <c r="R1774" s="3" t="n">
        <f aca="false">IF(AND(Q1774=1,B1774-_xlfn.MINIFS($B$2:$B$2705,$A$2:$A$2705,A1774)&lt;10),1,0)</f>
        <v>0</v>
      </c>
      <c r="S1774" s="7" t="n">
        <v>0</v>
      </c>
      <c r="T1774" s="3" t="n">
        <f aca="false">_xlfn.MINIFS($B$2:$B$2705,$A$2:$A$2705,A1774)</f>
        <v>1901</v>
      </c>
      <c r="U1774" s="3" t="n">
        <f aca="false">B1774-T1774</f>
        <v>93</v>
      </c>
      <c r="V1774" s="3" t="str">
        <f aca="false">INDEX(Pop_Inputs!$Q$2:$Q$29,MATCH(C1774,Pop_Inputs!$A$2:$A$29,0))</f>
        <v>Northeast</v>
      </c>
      <c r="W1774" s="29" t="n">
        <v>24217250</v>
      </c>
      <c r="X1774" s="3" t="n">
        <f aca="false">IF(W1774="","",LN(W1774))</f>
        <v>17.0025757471159</v>
      </c>
      <c r="Y1774" s="3" t="n">
        <f aca="false">IF(X1774="","",X1774-AVERAGEIFS($X$2:$X$2705,$B$2:$B$2705,B1774))</f>
        <v>-0.277620608004543</v>
      </c>
      <c r="Z1774" s="21" t="n">
        <f aca="false">P1774</f>
        <v>-0.834402814117183</v>
      </c>
      <c r="AA1774" s="3" t="n">
        <f aca="false">R1774</f>
        <v>0</v>
      </c>
      <c r="AB1774" s="21" t="n">
        <f aca="false">P1774</f>
        <v>-0.834402814117183</v>
      </c>
      <c r="AC1774" s="3" t="n">
        <f aca="false">Y1774</f>
        <v>-0.277620608004543</v>
      </c>
      <c r="AD1774" s="3" t="n">
        <f aca="false">R1774</f>
        <v>0</v>
      </c>
    </row>
    <row r="1775" customFormat="false" ht="15" hidden="false" customHeight="true" outlineLevel="0" collapsed="false">
      <c r="A1775" s="7" t="s">
        <v>78</v>
      </c>
      <c r="B1775" s="7" t="n">
        <v>1994</v>
      </c>
      <c r="C1775" s="7" t="s">
        <v>159</v>
      </c>
      <c r="D1775" s="7" t="n">
        <v>47</v>
      </c>
      <c r="E1775" s="7" t="n">
        <v>70</v>
      </c>
      <c r="F1775" s="3" t="n">
        <f aca="false">COUNTIFS($B$2:$B$2705,B1775,$C$2:$C$2705,C1775)</f>
        <v>1</v>
      </c>
      <c r="G1775" s="3" t="n">
        <f aca="false">MIN(INT((MIN(B1775,2020)-1900)/10)+1,12)</f>
        <v>10</v>
      </c>
      <c r="H1775" s="3" t="n">
        <f aca="false">(MIN(B1775,2020)-1900-10*(G1775-1))/10</f>
        <v>0.4</v>
      </c>
      <c r="I1775" s="20" t="n">
        <f aca="false">EXP(LN(INDEX(Pop_Inputs!$B$2:$N$29,MATCH(C1775,Pop_Inputs!$A$2:$A$29,0),G1775))*(1-H1775)+LN(INDEX(Pop_Inputs!$B$2:$N$29,MATCH(C1775,Pop_Inputs!$A$2:$A$29,0),G1775+1))*H1775)</f>
        <v>1154383.27429819</v>
      </c>
      <c r="J1775" s="20" t="n">
        <f aca="false">I1775/F1775</f>
        <v>1154383.27429819</v>
      </c>
      <c r="K1775" s="21" t="n">
        <f aca="false">D1775/(D1775+E1775)</f>
        <v>0.401709401709402</v>
      </c>
      <c r="L1775" s="21" t="n">
        <f aca="false">AVERAGEIFS($K$2:$K$2705,$B$2:$B$2705,B1775)</f>
        <v>0.500257436761862</v>
      </c>
      <c r="M1775" s="21" t="n">
        <f aca="false">K1775-L1775</f>
        <v>-0.0985480350524598</v>
      </c>
      <c r="N1775" s="21" t="n">
        <f aca="false">LN(J1775)</f>
        <v>13.9590767976832</v>
      </c>
      <c r="O1775" s="21" t="n">
        <f aca="false">AVERAGEIFS($N$2:$N$2705,$B$2:$B$2705,B1775)</f>
        <v>13.6151937292317</v>
      </c>
      <c r="P1775" s="21" t="n">
        <f aca="false">N1775-O1775</f>
        <v>0.343883068451465</v>
      </c>
      <c r="Q1775" s="7" t="n">
        <v>1</v>
      </c>
      <c r="R1775" s="3" t="n">
        <f aca="false">IF(AND(Q1775=1,B1775-_xlfn.MINIFS($B$2:$B$2705,$A$2:$A$2705,A1775)&lt;10),1,0)</f>
        <v>0</v>
      </c>
      <c r="S1775" s="7" t="n">
        <v>0</v>
      </c>
      <c r="T1775" s="3" t="n">
        <f aca="false">_xlfn.MINIFS($B$2:$B$2705,$A$2:$A$2705,A1775)</f>
        <v>1969</v>
      </c>
      <c r="U1775" s="3" t="n">
        <f aca="false">B1775-T1775</f>
        <v>25</v>
      </c>
      <c r="V1775" s="3" t="str">
        <f aca="false">INDEX(Pop_Inputs!$Q$2:$Q$29,MATCH(C1775,Pop_Inputs!$A$2:$A$29,0))</f>
        <v>West</v>
      </c>
      <c r="W1775" s="29" t="n">
        <v>14916333</v>
      </c>
      <c r="X1775" s="3" t="n">
        <f aca="false">IF(W1775="","",LN(W1775))</f>
        <v>16.5179673450518</v>
      </c>
      <c r="Y1775" s="3" t="n">
        <f aca="false">IF(X1775="","",X1775-AVERAGEIFS($X$2:$X$2705,$B$2:$B$2705,B1775))</f>
        <v>-0.762229010068722</v>
      </c>
      <c r="Z1775" s="21" t="n">
        <f aca="false">P1775</f>
        <v>0.343883068451465</v>
      </c>
      <c r="AA1775" s="3" t="n">
        <f aca="false">R1775</f>
        <v>0</v>
      </c>
      <c r="AB1775" s="21" t="n">
        <f aca="false">P1775</f>
        <v>0.343883068451465</v>
      </c>
      <c r="AC1775" s="3" t="n">
        <f aca="false">Y1775</f>
        <v>-0.762229010068722</v>
      </c>
      <c r="AD1775" s="3" t="n">
        <f aca="false">R1775</f>
        <v>0</v>
      </c>
    </row>
    <row r="1776" customFormat="false" ht="15" hidden="false" customHeight="true" outlineLevel="0" collapsed="false">
      <c r="A1776" s="7" t="s">
        <v>80</v>
      </c>
      <c r="B1776" s="7" t="n">
        <v>1994</v>
      </c>
      <c r="C1776" s="7" t="s">
        <v>161</v>
      </c>
      <c r="D1776" s="7" t="n">
        <v>49</v>
      </c>
      <c r="E1776" s="7" t="n">
        <v>63</v>
      </c>
      <c r="F1776" s="3" t="n">
        <f aca="false">COUNTIFS($B$2:$B$2705,B1776,$C$2:$C$2705,C1776)</f>
        <v>1</v>
      </c>
      <c r="G1776" s="3" t="n">
        <f aca="false">MIN(INT((MIN(B1776,2020)-1900)/10)+1,12)</f>
        <v>10</v>
      </c>
      <c r="H1776" s="3" t="n">
        <f aca="false">(MIN(B1776,2020)-1900-10*(G1776-1))/10</f>
        <v>0.4</v>
      </c>
      <c r="I1776" s="20" t="n">
        <f aca="false">EXP(LN(INDEX(Pop_Inputs!$B$2:$N$29,MATCH(C1776,Pop_Inputs!$A$2:$A$29,0),G1776))*(1-H1776)+LN(INDEX(Pop_Inputs!$B$2:$N$29,MATCH(C1776,Pop_Inputs!$A$2:$A$29,0),G1776+1))*H1776)</f>
        <v>534612.737111465</v>
      </c>
      <c r="J1776" s="20" t="n">
        <f aca="false">I1776/F1776</f>
        <v>534612.737111465</v>
      </c>
      <c r="K1776" s="21" t="n">
        <f aca="false">D1776/(D1776+E1776)</f>
        <v>0.4375</v>
      </c>
      <c r="L1776" s="21" t="n">
        <f aca="false">AVERAGEIFS($K$2:$K$2705,$B$2:$B$2705,B1776)</f>
        <v>0.500257436761862</v>
      </c>
      <c r="M1776" s="21" t="n">
        <f aca="false">K1776-L1776</f>
        <v>-0.0627574367618615</v>
      </c>
      <c r="N1776" s="21" t="n">
        <f aca="false">LN(J1776)</f>
        <v>13.1892979079016</v>
      </c>
      <c r="O1776" s="21" t="n">
        <f aca="false">AVERAGEIFS($N$2:$N$2705,$B$2:$B$2705,B1776)</f>
        <v>13.6151937292317</v>
      </c>
      <c r="P1776" s="21" t="n">
        <f aca="false">N1776-O1776</f>
        <v>-0.425895821330117</v>
      </c>
      <c r="Q1776" s="7" t="n">
        <v>1</v>
      </c>
      <c r="R1776" s="3" t="n">
        <f aca="false">IF(AND(Q1776=1,B1776-_xlfn.MINIFS($B$2:$B$2705,$A$2:$A$2705,A1776)&lt;10),1,0)</f>
        <v>0</v>
      </c>
      <c r="S1776" s="7" t="n">
        <v>0</v>
      </c>
      <c r="T1776" s="3" t="n">
        <f aca="false">_xlfn.MINIFS($B$2:$B$2705,$A$2:$A$2705,A1776)</f>
        <v>1977</v>
      </c>
      <c r="U1776" s="3" t="n">
        <f aca="false">B1776-T1776</f>
        <v>17</v>
      </c>
      <c r="V1776" s="3" t="str">
        <f aca="false">INDEX(Pop_Inputs!$Q$2:$Q$29,MATCH(C1776,Pop_Inputs!$A$2:$A$29,0))</f>
        <v>West</v>
      </c>
      <c r="W1776" s="29" t="n">
        <v>29228500</v>
      </c>
      <c r="X1776" s="3" t="n">
        <f aca="false">IF(W1776="","",LN(W1776))</f>
        <v>17.1906548186307</v>
      </c>
      <c r="Y1776" s="3" t="n">
        <f aca="false">IF(X1776="","",X1776-AVERAGEIFS($X$2:$X$2705,$B$2:$B$2705,B1776))</f>
        <v>-0.0895415364897509</v>
      </c>
      <c r="Z1776" s="21" t="n">
        <f aca="false">P1776</f>
        <v>-0.425895821330117</v>
      </c>
      <c r="AA1776" s="3" t="n">
        <f aca="false">R1776</f>
        <v>0</v>
      </c>
      <c r="AB1776" s="21" t="n">
        <f aca="false">P1776</f>
        <v>-0.425895821330117</v>
      </c>
      <c r="AC1776" s="3" t="n">
        <f aca="false">Y1776</f>
        <v>-0.0895415364897509</v>
      </c>
      <c r="AD1776" s="3" t="n">
        <f aca="false">R1776</f>
        <v>0</v>
      </c>
    </row>
    <row r="1777" customFormat="false" ht="15" hidden="false" customHeight="true" outlineLevel="0" collapsed="false">
      <c r="A1777" s="7" t="s">
        <v>61</v>
      </c>
      <c r="B1777" s="7" t="n">
        <v>1994</v>
      </c>
      <c r="C1777" s="7" t="s">
        <v>147</v>
      </c>
      <c r="D1777" s="7" t="n">
        <v>55</v>
      </c>
      <c r="E1777" s="7" t="n">
        <v>60</v>
      </c>
      <c r="F1777" s="3" t="n">
        <f aca="false">COUNTIFS($B$2:$B$2705,B1777,$C$2:$C$2705,C1777)</f>
        <v>1</v>
      </c>
      <c r="G1777" s="3" t="n">
        <f aca="false">MIN(INT((MIN(B1777,2020)-1900)/10)+1,12)</f>
        <v>10</v>
      </c>
      <c r="H1777" s="3" t="n">
        <f aca="false">(MIN(B1777,2020)-1900-10*(G1777-1))/10</f>
        <v>0.4</v>
      </c>
      <c r="I1777" s="20" t="n">
        <f aca="false">EXP(LN(INDEX(Pop_Inputs!$B$2:$N$29,MATCH(C1777,Pop_Inputs!$A$2:$A$29,0),G1777))*(1-H1777)+LN(INDEX(Pop_Inputs!$B$2:$N$29,MATCH(C1777,Pop_Inputs!$A$2:$A$29,0),G1777+1))*H1777)</f>
        <v>744624.09558489</v>
      </c>
      <c r="J1777" s="20" t="n">
        <f aca="false">I1777/F1777</f>
        <v>744624.09558489</v>
      </c>
      <c r="K1777" s="21" t="n">
        <f aca="false">D1777/(D1777+E1777)</f>
        <v>0.478260869565217</v>
      </c>
      <c r="L1777" s="21" t="n">
        <f aca="false">AVERAGEIFS($K$2:$K$2705,$B$2:$B$2705,B1777)</f>
        <v>0.500257436761862</v>
      </c>
      <c r="M1777" s="21" t="n">
        <f aca="false">K1777-L1777</f>
        <v>-0.0219965671966441</v>
      </c>
      <c r="N1777" s="21" t="n">
        <f aca="false">LN(J1777)</f>
        <v>13.5206348003389</v>
      </c>
      <c r="O1777" s="21" t="n">
        <f aca="false">AVERAGEIFS($N$2:$N$2705,$B$2:$B$2705,B1777)</f>
        <v>13.6151937292317</v>
      </c>
      <c r="P1777" s="21" t="n">
        <f aca="false">N1777-O1777</f>
        <v>-0.0945589288928215</v>
      </c>
      <c r="Q1777" s="7" t="n">
        <v>0</v>
      </c>
      <c r="R1777" s="3" t="n">
        <f aca="false">IF(AND(Q1777=1,B1777-_xlfn.MINIFS($B$2:$B$2705,$A$2:$A$2705,A1777)&lt;10),1,0)</f>
        <v>0</v>
      </c>
      <c r="S1777" s="7" t="n">
        <v>0</v>
      </c>
      <c r="T1777" s="3" t="n">
        <f aca="false">_xlfn.MINIFS($B$2:$B$2705,$A$2:$A$2705,A1777)</f>
        <v>1901</v>
      </c>
      <c r="U1777" s="3" t="n">
        <f aca="false">B1777-T1777</f>
        <v>93</v>
      </c>
      <c r="V1777" s="3" t="str">
        <f aca="false">INDEX(Pop_Inputs!$Q$2:$Q$29,MATCH(C1777,Pop_Inputs!$A$2:$A$29,0))</f>
        <v>West</v>
      </c>
      <c r="W1777" s="29" t="n">
        <v>42638666</v>
      </c>
      <c r="X1777" s="3" t="n">
        <f aca="false">IF(W1777="","",LN(W1777))</f>
        <v>17.5682720521542</v>
      </c>
      <c r="Y1777" s="3" t="n">
        <f aca="false">IF(X1777="","",X1777-AVERAGEIFS($X$2:$X$2705,$B$2:$B$2705,B1777))</f>
        <v>0.288075697033751</v>
      </c>
      <c r="Z1777" s="21" t="n">
        <f aca="false">P1777</f>
        <v>-0.0945589288928215</v>
      </c>
      <c r="AA1777" s="3" t="n">
        <f aca="false">R1777</f>
        <v>0</v>
      </c>
      <c r="AB1777" s="21" t="n">
        <f aca="false">P1777</f>
        <v>-0.0945589288928215</v>
      </c>
      <c r="AC1777" s="3" t="n">
        <f aca="false">Y1777</f>
        <v>0.288075697033751</v>
      </c>
      <c r="AD1777" s="3" t="n">
        <f aca="false">R1777</f>
        <v>0</v>
      </c>
    </row>
    <row r="1778" customFormat="false" ht="15" hidden="false" customHeight="true" outlineLevel="0" collapsed="false">
      <c r="A1778" s="7" t="s">
        <v>59</v>
      </c>
      <c r="B1778" s="7" t="n">
        <v>1994</v>
      </c>
      <c r="C1778" s="7" t="s">
        <v>145</v>
      </c>
      <c r="D1778" s="7" t="n">
        <v>53</v>
      </c>
      <c r="E1778" s="7" t="n">
        <v>61</v>
      </c>
      <c r="F1778" s="3" t="n">
        <f aca="false">COUNTIFS($B$2:$B$2705,B1778,$C$2:$C$2705,C1778)</f>
        <v>1</v>
      </c>
      <c r="G1778" s="3" t="n">
        <f aca="false">MIN(INT((MIN(B1778,2020)-1900)/10)+1,12)</f>
        <v>10</v>
      </c>
      <c r="H1778" s="3" t="n">
        <f aca="false">(MIN(B1778,2020)-1900-10*(G1778-1))/10</f>
        <v>0.4</v>
      </c>
      <c r="I1778" s="20" t="n">
        <f aca="false">EXP(LN(INDEX(Pop_Inputs!$B$2:$N$29,MATCH(C1778,Pop_Inputs!$A$2:$A$29,0),G1778))*(1-H1778)+LN(INDEX(Pop_Inputs!$B$2:$N$29,MATCH(C1778,Pop_Inputs!$A$2:$A$29,0),G1778+1))*H1778)</f>
        <v>376524.712762124</v>
      </c>
      <c r="J1778" s="20" t="n">
        <f aca="false">I1778/F1778</f>
        <v>376524.712762124</v>
      </c>
      <c r="K1778" s="21" t="n">
        <f aca="false">D1778/(D1778+E1778)</f>
        <v>0.464912280701754</v>
      </c>
      <c r="L1778" s="21" t="n">
        <f aca="false">AVERAGEIFS($K$2:$K$2705,$B$2:$B$2705,B1778)</f>
        <v>0.500257436761862</v>
      </c>
      <c r="M1778" s="21" t="n">
        <f aca="false">K1778-L1778</f>
        <v>-0.0353451560601071</v>
      </c>
      <c r="N1778" s="21" t="n">
        <f aca="false">LN(J1778)</f>
        <v>12.8387389622144</v>
      </c>
      <c r="O1778" s="21" t="n">
        <f aca="false">AVERAGEIFS($N$2:$N$2705,$B$2:$B$2705,B1778)</f>
        <v>13.6151937292317</v>
      </c>
      <c r="P1778" s="21" t="n">
        <f aca="false">N1778-O1778</f>
        <v>-0.776454767017281</v>
      </c>
      <c r="Q1778" s="7" t="n">
        <v>0</v>
      </c>
      <c r="R1778" s="3" t="n">
        <f aca="false">IF(AND(Q1778=1,B1778-_xlfn.MINIFS($B$2:$B$2705,$A$2:$A$2705,A1778)&lt;10),1,0)</f>
        <v>0</v>
      </c>
      <c r="S1778" s="7" t="n">
        <v>0</v>
      </c>
      <c r="T1778" s="3" t="n">
        <f aca="false">_xlfn.MINIFS($B$2:$B$2705,$A$2:$A$2705,A1778)</f>
        <v>1901</v>
      </c>
      <c r="U1778" s="3" t="n">
        <f aca="false">B1778-T1778</f>
        <v>93</v>
      </c>
      <c r="V1778" s="3" t="str">
        <f aca="false">INDEX(Pop_Inputs!$Q$2:$Q$29,MATCH(C1778,Pop_Inputs!$A$2:$A$29,0))</f>
        <v>Midwest</v>
      </c>
      <c r="W1778" s="29" t="n">
        <v>29275601</v>
      </c>
      <c r="X1778" s="3" t="n">
        <f aca="false">IF(W1778="","",LN(W1778))</f>
        <v>17.1922649966993</v>
      </c>
      <c r="Y1778" s="3" t="n">
        <f aca="false">IF(X1778="","",X1778-AVERAGEIFS($X$2:$X$2705,$B$2:$B$2705,B1778))</f>
        <v>-0.0879313584211587</v>
      </c>
      <c r="Z1778" s="21" t="n">
        <f aca="false">P1778</f>
        <v>-0.776454767017281</v>
      </c>
      <c r="AA1778" s="3" t="n">
        <f aca="false">R1778</f>
        <v>0</v>
      </c>
      <c r="AB1778" s="21" t="n">
        <f aca="false">P1778</f>
        <v>-0.776454767017281</v>
      </c>
      <c r="AC1778" s="3" t="n">
        <f aca="false">Y1778</f>
        <v>-0.0879313584211587</v>
      </c>
      <c r="AD1778" s="3" t="n">
        <f aca="false">R1778</f>
        <v>0</v>
      </c>
    </row>
    <row r="1779" customFormat="false" ht="15" hidden="false" customHeight="true" outlineLevel="0" collapsed="false">
      <c r="A1779" s="7" t="s">
        <v>73</v>
      </c>
      <c r="B1779" s="7" t="n">
        <v>1994</v>
      </c>
      <c r="C1779" s="7" t="s">
        <v>155</v>
      </c>
      <c r="D1779" s="7" t="n">
        <v>52</v>
      </c>
      <c r="E1779" s="7" t="n">
        <v>62</v>
      </c>
      <c r="F1779" s="3" t="n">
        <f aca="false">COUNTIFS($B$2:$B$2705,B1779,$C$2:$C$2705,C1779)</f>
        <v>1</v>
      </c>
      <c r="G1779" s="3" t="n">
        <f aca="false">MIN(INT((MIN(B1779,2020)-1900)/10)+1,12)</f>
        <v>10</v>
      </c>
      <c r="H1779" s="3" t="n">
        <f aca="false">(MIN(B1779,2020)-1900-10*(G1779-1))/10</f>
        <v>0.4</v>
      </c>
      <c r="I1779" s="20" t="n">
        <f aca="false">EXP(LN(INDEX(Pop_Inputs!$B$2:$N$29,MATCH(C1779,Pop_Inputs!$A$2:$A$29,0),G1779))*(1-H1779)+LN(INDEX(Pop_Inputs!$B$2:$N$29,MATCH(C1779,Pop_Inputs!$A$2:$A$29,0),G1779+1))*H1779)</f>
        <v>1076026.82414318</v>
      </c>
      <c r="J1779" s="20" t="n">
        <f aca="false">I1779/F1779</f>
        <v>1076026.82414318</v>
      </c>
      <c r="K1779" s="21" t="n">
        <f aca="false">D1779/(D1779+E1779)</f>
        <v>0.456140350877193</v>
      </c>
      <c r="L1779" s="21" t="n">
        <f aca="false">AVERAGEIFS($K$2:$K$2705,$B$2:$B$2705,B1779)</f>
        <v>0.500257436761862</v>
      </c>
      <c r="M1779" s="21" t="n">
        <f aca="false">K1779-L1779</f>
        <v>-0.0441170858846686</v>
      </c>
      <c r="N1779" s="21" t="n">
        <f aca="false">LN(J1779)</f>
        <v>13.8887859488942</v>
      </c>
      <c r="O1779" s="21" t="n">
        <f aca="false">AVERAGEIFS($N$2:$N$2705,$B$2:$B$2705,B1779)</f>
        <v>13.6151937292317</v>
      </c>
      <c r="P1779" s="21" t="n">
        <f aca="false">N1779-O1779</f>
        <v>0.273592219662543</v>
      </c>
      <c r="Q1779" s="7" t="n">
        <v>1</v>
      </c>
      <c r="R1779" s="3" t="n">
        <f aca="false">IF(AND(Q1779=1,B1779-_xlfn.MINIFS($B$2:$B$2705,$A$2:$A$2705,A1779)&lt;10),1,0)</f>
        <v>0</v>
      </c>
      <c r="S1779" s="7" t="n">
        <v>0</v>
      </c>
      <c r="T1779" s="3" t="n">
        <f aca="false">_xlfn.MINIFS($B$2:$B$2705,$A$2:$A$2705,A1779)</f>
        <v>1961</v>
      </c>
      <c r="U1779" s="3" t="n">
        <f aca="false">B1779-T1779</f>
        <v>33</v>
      </c>
      <c r="V1779" s="3" t="str">
        <f aca="false">INDEX(Pop_Inputs!$Q$2:$Q$29,MATCH(C1779,Pop_Inputs!$A$2:$A$29,0))</f>
        <v>South</v>
      </c>
      <c r="W1779" s="29" t="n">
        <v>32973597</v>
      </c>
      <c r="X1779" s="3" t="n">
        <f aca="false">IF(W1779="","",LN(W1779))</f>
        <v>17.3112177082781</v>
      </c>
      <c r="Y1779" s="3" t="n">
        <f aca="false">IF(X1779="","",X1779-AVERAGEIFS($X$2:$X$2705,$B$2:$B$2705,B1779))</f>
        <v>0.0310213531576196</v>
      </c>
      <c r="Z1779" s="21" t="n">
        <f aca="false">P1779</f>
        <v>0.273592219662543</v>
      </c>
      <c r="AA1779" s="3" t="n">
        <f aca="false">R1779</f>
        <v>0</v>
      </c>
      <c r="AB1779" s="21" t="n">
        <f aca="false">P1779</f>
        <v>0.273592219662543</v>
      </c>
      <c r="AC1779" s="3" t="n">
        <f aca="false">Y1779</f>
        <v>0.0310213531576196</v>
      </c>
      <c r="AD1779" s="3" t="n">
        <f aca="false">R1779</f>
        <v>0</v>
      </c>
    </row>
    <row r="1780" customFormat="false" ht="15" hidden="false" customHeight="true" outlineLevel="0" collapsed="false">
      <c r="A1780" s="7" t="s">
        <v>81</v>
      </c>
      <c r="B1780" s="7" t="n">
        <v>1994</v>
      </c>
      <c r="C1780" s="7" t="s">
        <v>162</v>
      </c>
      <c r="D1780" s="7" t="n">
        <v>55</v>
      </c>
      <c r="E1780" s="7" t="n">
        <v>60</v>
      </c>
      <c r="F1780" s="3" t="n">
        <f aca="false">COUNTIFS($B$2:$B$2705,B1780,$C$2:$C$2705,C1780)</f>
        <v>1</v>
      </c>
      <c r="G1780" s="3" t="n">
        <f aca="false">MIN(INT((MIN(B1780,2020)-1900)/10)+1,12)</f>
        <v>10</v>
      </c>
      <c r="H1780" s="3" t="n">
        <f aca="false">(MIN(B1780,2020)-1900-10*(G1780-1))/10</f>
        <v>0.4</v>
      </c>
      <c r="I1780" s="20" t="n">
        <f aca="false">EXP(LN(INDEX(Pop_Inputs!$B$2:$N$29,MATCH(C1780,Pop_Inputs!$A$2:$A$29,0),G1780))*(1-H1780)+LN(INDEX(Pop_Inputs!$B$2:$N$29,MATCH(C1780,Pop_Inputs!$A$2:$A$29,0),G1780+1))*H1780)</f>
        <v>1095750.22265785</v>
      </c>
      <c r="J1780" s="20" t="n">
        <f aca="false">I1780/F1780</f>
        <v>1095750.22265785</v>
      </c>
      <c r="K1780" s="21" t="n">
        <f aca="false">D1780/(D1780+E1780)</f>
        <v>0.478260869565217</v>
      </c>
      <c r="L1780" s="21" t="n">
        <f aca="false">AVERAGEIFS($K$2:$K$2705,$B$2:$B$2705,B1780)</f>
        <v>0.500257436761862</v>
      </c>
      <c r="M1780" s="21" t="n">
        <f aca="false">K1780-L1780</f>
        <v>-0.0219965671966441</v>
      </c>
      <c r="N1780" s="21" t="n">
        <f aca="false">LN(J1780)</f>
        <v>13.9069498214824</v>
      </c>
      <c r="O1780" s="21" t="n">
        <f aca="false">AVERAGEIFS($N$2:$N$2705,$B$2:$B$2705,B1780)</f>
        <v>13.6151937292317</v>
      </c>
      <c r="P1780" s="21" t="n">
        <f aca="false">N1780-O1780</f>
        <v>0.291756092250674</v>
      </c>
      <c r="Q1780" s="7" t="n">
        <v>1</v>
      </c>
      <c r="R1780" s="3" t="n">
        <f aca="false">IF(AND(Q1780=1,B1780-_xlfn.MINIFS($B$2:$B$2705,$A$2:$A$2705,A1780)&lt;10),1,0)</f>
        <v>0</v>
      </c>
      <c r="S1780" s="7" t="n">
        <v>0</v>
      </c>
      <c r="T1780" s="3" t="n">
        <f aca="false">_xlfn.MINIFS($B$2:$B$2705,$A$2:$A$2705,A1780)</f>
        <v>1977</v>
      </c>
      <c r="U1780" s="3" t="n">
        <f aca="false">B1780-T1780</f>
        <v>17</v>
      </c>
      <c r="V1780" s="3" t="str">
        <f aca="false">INDEX(Pop_Inputs!$Q$2:$Q$29,MATCH(C1780,Pop_Inputs!$A$2:$A$29,0))</f>
        <v>Canada</v>
      </c>
      <c r="W1780" s="29" t="n">
        <v>43433668</v>
      </c>
      <c r="X1780" s="3" t="n">
        <f aca="false">IF(W1780="","",LN(W1780))</f>
        <v>17.5867454586928</v>
      </c>
      <c r="Y1780" s="3" t="n">
        <f aca="false">IF(X1780="","",X1780-AVERAGEIFS($X$2:$X$2705,$B$2:$B$2705,B1780))</f>
        <v>0.306549103572266</v>
      </c>
      <c r="Z1780" s="21" t="n">
        <f aca="false">P1780</f>
        <v>0.291756092250674</v>
      </c>
      <c r="AA1780" s="3" t="n">
        <f aca="false">R1780</f>
        <v>0</v>
      </c>
      <c r="AB1780" s="21" t="n">
        <f aca="false">P1780</f>
        <v>0.291756092250674</v>
      </c>
      <c r="AC1780" s="3" t="n">
        <f aca="false">Y1780</f>
        <v>0.306549103572266</v>
      </c>
      <c r="AD1780" s="3" t="n">
        <f aca="false">R1780</f>
        <v>0</v>
      </c>
    </row>
    <row r="1781" customFormat="false" ht="15" hidden="false" customHeight="true" outlineLevel="0" collapsed="false">
      <c r="A1781" s="7" t="s">
        <v>79</v>
      </c>
      <c r="B1781" s="7" t="n">
        <v>1994</v>
      </c>
      <c r="C1781" s="7" t="s">
        <v>254</v>
      </c>
      <c r="D1781" s="7" t="n">
        <v>74</v>
      </c>
      <c r="E1781" s="7" t="n">
        <v>40</v>
      </c>
      <c r="F1781" s="3" t="n">
        <f aca="false">COUNTIFS($B$2:$B$2705,B1781,$C$2:$C$2705,C1781)</f>
        <v>1</v>
      </c>
      <c r="G1781" s="3" t="n">
        <f aca="false">MIN(INT((MIN(B1781,2020)-1900)/10)+1,12)</f>
        <v>10</v>
      </c>
      <c r="H1781" s="3" t="n">
        <f aca="false">(MIN(B1781,2020)-1900-10*(G1781-1))/10</f>
        <v>0.4</v>
      </c>
      <c r="I1781" s="20" t="n">
        <f aca="false">EXP(LN(INDEX(Pop_Inputs!$B$2:$N$29,MATCH(C1781,Pop_Inputs!$A$2:$A$29,0),G1781))*(1-H1781)+LN(INDEX(Pop_Inputs!$B$2:$N$29,MATCH(C1781,Pop_Inputs!$A$2:$A$29,0),G1781+1))*H1781)</f>
        <v>1026357.44839173</v>
      </c>
      <c r="J1781" s="20" t="n">
        <f aca="false">I1781/F1781</f>
        <v>1026357.44839173</v>
      </c>
      <c r="K1781" s="21" t="n">
        <f aca="false">D1781/(D1781+E1781)</f>
        <v>0.649122807017544</v>
      </c>
      <c r="L1781" s="21" t="n">
        <f aca="false">AVERAGEIFS($K$2:$K$2705,$B$2:$B$2705,B1781)</f>
        <v>0.500257436761862</v>
      </c>
      <c r="M1781" s="21" t="n">
        <f aca="false">K1781-L1781</f>
        <v>0.148865370255682</v>
      </c>
      <c r="N1781" s="21" t="n">
        <f aca="false">LN(J1781)</f>
        <v>13.8415266342844</v>
      </c>
      <c r="O1781" s="21" t="n">
        <f aca="false">AVERAGEIFS($N$2:$N$2705,$B$2:$B$2705,B1781)</f>
        <v>13.6151937292317</v>
      </c>
      <c r="P1781" s="21" t="n">
        <f aca="false">N1781-O1781</f>
        <v>0.226332905052722</v>
      </c>
      <c r="Q1781" s="7" t="n">
        <v>1</v>
      </c>
      <c r="R1781" s="3" t="n">
        <f aca="false">IF(AND(Q1781=1,B1781-_xlfn.MINIFS($B$2:$B$2705,$A$2:$A$2705,A1781)&lt;10),1,0)</f>
        <v>0</v>
      </c>
      <c r="S1781" s="7" t="n">
        <v>0</v>
      </c>
      <c r="T1781" s="3" t="n">
        <f aca="false">_xlfn.MINIFS($B$2:$B$2705,$A$2:$A$2705,A1781)</f>
        <v>1969</v>
      </c>
      <c r="U1781" s="3" t="n">
        <f aca="false">B1781-T1781</f>
        <v>25</v>
      </c>
      <c r="V1781" s="3" t="str">
        <f aca="false">INDEX(Pop_Inputs!$Q$2:$Q$29,MATCH(C1781,Pop_Inputs!$A$2:$A$29,0))</f>
        <v>Canada</v>
      </c>
      <c r="W1781" s="29" t="n">
        <v>19098000</v>
      </c>
      <c r="X1781" s="3" t="n">
        <f aca="false">IF(W1781="","",LN(W1781))</f>
        <v>16.7650941754923</v>
      </c>
      <c r="Y1781" s="3" t="n">
        <f aca="false">IF(X1781="","",X1781-AVERAGEIFS($X$2:$X$2705,$B$2:$B$2705,B1781))</f>
        <v>-0.515102179628201</v>
      </c>
      <c r="Z1781" s="21" t="n">
        <f aca="false">P1781</f>
        <v>0.226332905052722</v>
      </c>
      <c r="AA1781" s="3" t="n">
        <f aca="false">R1781</f>
        <v>0</v>
      </c>
      <c r="AB1781" s="21" t="n">
        <f aca="false">P1781</f>
        <v>0.226332905052722</v>
      </c>
      <c r="AC1781" s="3" t="n">
        <f aca="false">Y1781</f>
        <v>-0.515102179628201</v>
      </c>
      <c r="AD1781" s="3" t="n">
        <f aca="false">R1781</f>
        <v>0</v>
      </c>
    </row>
    <row r="1782" customFormat="false" ht="15" hidden="false" customHeight="true" outlineLevel="0" collapsed="false">
      <c r="A1782" s="7" t="s">
        <v>71</v>
      </c>
      <c r="B1782" s="7" t="n">
        <v>1995</v>
      </c>
      <c r="C1782" s="7" t="s">
        <v>148</v>
      </c>
      <c r="D1782" s="7" t="n">
        <v>78</v>
      </c>
      <c r="E1782" s="7" t="n">
        <v>67</v>
      </c>
      <c r="F1782" s="3" t="n">
        <f aca="false">COUNTIFS($B$2:$B$2705,B1782,$C$2:$C$2705,C1782)</f>
        <v>2</v>
      </c>
      <c r="G1782" s="3" t="n">
        <f aca="false">MIN(INT((MIN(B1782,2020)-1900)/10)+1,12)</f>
        <v>10</v>
      </c>
      <c r="H1782" s="3" t="n">
        <f aca="false">(MIN(B1782,2020)-1900-10*(G1782-1))/10</f>
        <v>0.5</v>
      </c>
      <c r="I1782" s="20" t="n">
        <f aca="false">EXP(LN(INDEX(Pop_Inputs!$B$2:$N$29,MATCH(C1782,Pop_Inputs!$A$2:$A$29,0),G1782))*(1-H1782)+LN(INDEX(Pop_Inputs!$B$2:$N$29,MATCH(C1782,Pop_Inputs!$A$2:$A$29,0),G1782+1))*H1782)</f>
        <v>3588581.64716368</v>
      </c>
      <c r="J1782" s="20" t="n">
        <f aca="false">I1782/F1782</f>
        <v>1794290.82358184</v>
      </c>
      <c r="K1782" s="21" t="n">
        <f aca="false">D1782/(D1782+E1782)</f>
        <v>0.537931034482759</v>
      </c>
      <c r="L1782" s="21" t="n">
        <f aca="false">AVERAGEIFS($K$2:$K$2705,$B$2:$B$2705,B1782)</f>
        <v>0.499955193274159</v>
      </c>
      <c r="M1782" s="21" t="n">
        <f aca="false">K1782-L1782</f>
        <v>0.0379758412085998</v>
      </c>
      <c r="N1782" s="21" t="n">
        <f aca="false">LN(J1782)</f>
        <v>14.4001204174826</v>
      </c>
      <c r="O1782" s="21" t="n">
        <f aca="false">AVERAGEIFS($N$2:$N$2705,$B$2:$B$2705,B1782)</f>
        <v>13.6225859882903</v>
      </c>
      <c r="P1782" s="21" t="n">
        <f aca="false">N1782-O1782</f>
        <v>0.777534429192357</v>
      </c>
      <c r="Q1782" s="7" t="n">
        <v>1</v>
      </c>
      <c r="R1782" s="3" t="n">
        <f aca="false">IF(AND(Q1782=1,B1782-_xlfn.MINIFS($B$2:$B$2705,$A$2:$A$2705,A1782)&lt;10),1,0)</f>
        <v>0</v>
      </c>
      <c r="S1782" s="7" t="n">
        <v>0</v>
      </c>
      <c r="T1782" s="3" t="n">
        <f aca="false">_xlfn.MINIFS($B$2:$B$2705,$A$2:$A$2705,A1782)</f>
        <v>1961</v>
      </c>
      <c r="U1782" s="3" t="n">
        <f aca="false">B1782-T1782</f>
        <v>34</v>
      </c>
      <c r="V1782" s="3" t="str">
        <f aca="false">INDEX(Pop_Inputs!$Q$2:$Q$29,MATCH(C1782,Pop_Inputs!$A$2:$A$29,0))</f>
        <v>West</v>
      </c>
      <c r="W1782" s="29" t="n">
        <v>31223171</v>
      </c>
      <c r="X1782" s="3" t="n">
        <f aca="false">IF(W1782="","",LN(W1782))</f>
        <v>17.2566710374005</v>
      </c>
      <c r="Y1782" s="3" t="n">
        <f aca="false">IF(X1782="","",X1782-AVERAGEIFS($X$2:$X$2705,$B$2:$B$2705,B1782))</f>
        <v>-0.0398663872867822</v>
      </c>
      <c r="Z1782" s="21" t="n">
        <f aca="false">P1782</f>
        <v>0.777534429192357</v>
      </c>
      <c r="AA1782" s="3" t="n">
        <f aca="false">R1782</f>
        <v>0</v>
      </c>
      <c r="AB1782" s="21" t="n">
        <f aca="false">P1782</f>
        <v>0.777534429192357</v>
      </c>
      <c r="AC1782" s="3" t="n">
        <f aca="false">Y1782</f>
        <v>-0.0398663872867822</v>
      </c>
      <c r="AD1782" s="3" t="n">
        <f aca="false">R1782</f>
        <v>0</v>
      </c>
    </row>
    <row r="1783" customFormat="false" ht="15" hidden="false" customHeight="true" outlineLevel="0" collapsed="false">
      <c r="A1783" s="7" t="s">
        <v>54</v>
      </c>
      <c r="B1783" s="7" t="n">
        <v>1995</v>
      </c>
      <c r="C1783" s="7" t="s">
        <v>141</v>
      </c>
      <c r="D1783" s="7" t="n">
        <v>90</v>
      </c>
      <c r="E1783" s="7" t="n">
        <v>54</v>
      </c>
      <c r="F1783" s="3" t="n">
        <f aca="false">COUNTIFS($B$2:$B$2705,B1783,$C$2:$C$2705,C1783)</f>
        <v>1</v>
      </c>
      <c r="G1783" s="3" t="n">
        <f aca="false">MIN(INT((MIN(B1783,2020)-1900)/10)+1,12)</f>
        <v>10</v>
      </c>
      <c r="H1783" s="3" t="n">
        <f aca="false">(MIN(B1783,2020)-1900-10*(G1783-1))/10</f>
        <v>0.5</v>
      </c>
      <c r="I1783" s="20" t="n">
        <f aca="false">EXP(LN(INDEX(Pop_Inputs!$B$2:$N$29,MATCH(C1783,Pop_Inputs!$A$2:$A$29,0),G1783))*(1-H1783)+LN(INDEX(Pop_Inputs!$B$2:$N$29,MATCH(C1783,Pop_Inputs!$A$2:$A$29,0),G1783+1))*H1783)</f>
        <v>405089.91107901</v>
      </c>
      <c r="J1783" s="20" t="n">
        <f aca="false">I1783/F1783</f>
        <v>405089.91107901</v>
      </c>
      <c r="K1783" s="21" t="n">
        <f aca="false">D1783/(D1783+E1783)</f>
        <v>0.625</v>
      </c>
      <c r="L1783" s="21" t="n">
        <f aca="false">AVERAGEIFS($K$2:$K$2705,$B$2:$B$2705,B1783)</f>
        <v>0.499955193274159</v>
      </c>
      <c r="M1783" s="21" t="n">
        <f aca="false">K1783-L1783</f>
        <v>0.125044806725841</v>
      </c>
      <c r="N1783" s="21" t="n">
        <f aca="false">LN(J1783)</f>
        <v>12.911864324114</v>
      </c>
      <c r="O1783" s="21" t="n">
        <f aca="false">AVERAGEIFS($N$2:$N$2705,$B$2:$B$2705,B1783)</f>
        <v>13.6225859882903</v>
      </c>
      <c r="P1783" s="21" t="n">
        <f aca="false">N1783-O1783</f>
        <v>-0.710721664176299</v>
      </c>
      <c r="Q1783" s="7" t="n">
        <v>0</v>
      </c>
      <c r="R1783" s="3" t="n">
        <f aca="false">IF(AND(Q1783=1,B1783-_xlfn.MINIFS($B$2:$B$2705,$A$2:$A$2705,A1783)&lt;10),1,0)</f>
        <v>0</v>
      </c>
      <c r="S1783" s="7" t="n">
        <v>0</v>
      </c>
      <c r="T1783" s="3" t="n">
        <f aca="false">_xlfn.MINIFS($B$2:$B$2705,$A$2:$A$2705,A1783)</f>
        <v>1901</v>
      </c>
      <c r="U1783" s="3" t="n">
        <f aca="false">B1783-T1783</f>
        <v>94</v>
      </c>
      <c r="V1783" s="3" t="str">
        <f aca="false">INDEX(Pop_Inputs!$Q$2:$Q$29,MATCH(C1783,Pop_Inputs!$A$2:$A$29,0))</f>
        <v>South</v>
      </c>
      <c r="W1783" s="29" t="n">
        <v>47235445</v>
      </c>
      <c r="X1783" s="3" t="n">
        <f aca="false">IF(W1783="","",LN(W1783))</f>
        <v>17.6706551221212</v>
      </c>
      <c r="Y1783" s="3" t="n">
        <f aca="false">IF(X1783="","",X1783-AVERAGEIFS($X$2:$X$2705,$B$2:$B$2705,B1783))</f>
        <v>0.374117697433963</v>
      </c>
      <c r="Z1783" s="21" t="n">
        <f aca="false">P1783</f>
        <v>-0.710721664176299</v>
      </c>
      <c r="AA1783" s="3" t="n">
        <f aca="false">R1783</f>
        <v>0</v>
      </c>
      <c r="AB1783" s="21" t="n">
        <f aca="false">P1783</f>
        <v>-0.710721664176299</v>
      </c>
      <c r="AC1783" s="3" t="n">
        <f aca="false">Y1783</f>
        <v>0.374117697433963</v>
      </c>
      <c r="AD1783" s="3" t="n">
        <f aca="false">R1783</f>
        <v>0</v>
      </c>
    </row>
    <row r="1784" customFormat="false" ht="15" hidden="false" customHeight="true" outlineLevel="0" collapsed="false">
      <c r="A1784" s="7" t="s">
        <v>63</v>
      </c>
      <c r="B1784" s="7" t="n">
        <v>1995</v>
      </c>
      <c r="C1784" s="7" t="s">
        <v>149</v>
      </c>
      <c r="D1784" s="7" t="n">
        <v>71</v>
      </c>
      <c r="E1784" s="7" t="n">
        <v>73</v>
      </c>
      <c r="F1784" s="3" t="n">
        <f aca="false">COUNTIFS($B$2:$B$2705,B1784,$C$2:$C$2705,C1784)</f>
        <v>1</v>
      </c>
      <c r="G1784" s="3" t="n">
        <f aca="false">MIN(INT((MIN(B1784,2020)-1900)/10)+1,12)</f>
        <v>10</v>
      </c>
      <c r="H1784" s="3" t="n">
        <f aca="false">(MIN(B1784,2020)-1900-10*(G1784-1))/10</f>
        <v>0.5</v>
      </c>
      <c r="I1784" s="20" t="n">
        <f aca="false">EXP(LN(INDEX(Pop_Inputs!$B$2:$N$29,MATCH(C1784,Pop_Inputs!$A$2:$A$29,0),G1784))*(1-H1784)+LN(INDEX(Pop_Inputs!$B$2:$N$29,MATCH(C1784,Pop_Inputs!$A$2:$A$29,0),G1784+1))*H1784)</f>
        <v>692284.955893165</v>
      </c>
      <c r="J1784" s="20" t="n">
        <f aca="false">I1784/F1784</f>
        <v>692284.955893165</v>
      </c>
      <c r="K1784" s="21" t="n">
        <f aca="false">D1784/(D1784+E1784)</f>
        <v>0.493055555555556</v>
      </c>
      <c r="L1784" s="21" t="n">
        <f aca="false">AVERAGEIFS($K$2:$K$2705,$B$2:$B$2705,B1784)</f>
        <v>0.499955193274159</v>
      </c>
      <c r="M1784" s="21" t="n">
        <f aca="false">K1784-L1784</f>
        <v>-0.00689963771860319</v>
      </c>
      <c r="N1784" s="21" t="n">
        <f aca="false">LN(J1784)</f>
        <v>13.447752935812</v>
      </c>
      <c r="O1784" s="21" t="n">
        <f aca="false">AVERAGEIFS($N$2:$N$2705,$B$2:$B$2705,B1784)</f>
        <v>13.6225859882903</v>
      </c>
      <c r="P1784" s="21" t="n">
        <f aca="false">N1784-O1784</f>
        <v>-0.17483305247824</v>
      </c>
      <c r="Q1784" s="7" t="n">
        <v>0</v>
      </c>
      <c r="R1784" s="3" t="n">
        <f aca="false">IF(AND(Q1784=1,B1784-_xlfn.MINIFS($B$2:$B$2705,$A$2:$A$2705,A1784)&lt;10),1,0)</f>
        <v>0</v>
      </c>
      <c r="S1784" s="7" t="n">
        <v>0</v>
      </c>
      <c r="T1784" s="3" t="n">
        <f aca="false">_xlfn.MINIFS($B$2:$B$2705,$A$2:$A$2705,A1784)</f>
        <v>1901</v>
      </c>
      <c r="U1784" s="3" t="n">
        <f aca="false">B1784-T1784</f>
        <v>94</v>
      </c>
      <c r="V1784" s="3" t="str">
        <f aca="false">INDEX(Pop_Inputs!$Q$2:$Q$29,MATCH(C1784,Pop_Inputs!$A$2:$A$29,0))</f>
        <v>South</v>
      </c>
      <c r="W1784" s="29" t="n">
        <v>43942521</v>
      </c>
      <c r="X1784" s="3" t="n">
        <f aca="false">IF(W1784="","",LN(W1784))</f>
        <v>17.5983929969663</v>
      </c>
      <c r="Y1784" s="3" t="n">
        <f aca="false">IF(X1784="","",X1784-AVERAGEIFS($X$2:$X$2705,$B$2:$B$2705,B1784))</f>
        <v>0.301855572279091</v>
      </c>
      <c r="Z1784" s="21" t="n">
        <f aca="false">P1784</f>
        <v>-0.17483305247824</v>
      </c>
      <c r="AA1784" s="3" t="n">
        <f aca="false">R1784</f>
        <v>0</v>
      </c>
      <c r="AB1784" s="21" t="n">
        <f aca="false">P1784</f>
        <v>-0.17483305247824</v>
      </c>
      <c r="AC1784" s="3" t="n">
        <f aca="false">Y1784</f>
        <v>0.301855572279091</v>
      </c>
      <c r="AD1784" s="3" t="n">
        <f aca="false">R1784</f>
        <v>0</v>
      </c>
    </row>
    <row r="1785" customFormat="false" ht="15" hidden="false" customHeight="true" outlineLevel="0" collapsed="false">
      <c r="A1785" s="7" t="s">
        <v>64</v>
      </c>
      <c r="B1785" s="7" t="n">
        <v>1995</v>
      </c>
      <c r="C1785" s="7" t="s">
        <v>150</v>
      </c>
      <c r="D1785" s="7" t="n">
        <v>86</v>
      </c>
      <c r="E1785" s="7" t="n">
        <v>58</v>
      </c>
      <c r="F1785" s="3" t="n">
        <f aca="false">COUNTIFS($B$2:$B$2705,B1785,$C$2:$C$2705,C1785)</f>
        <v>1</v>
      </c>
      <c r="G1785" s="3" t="n">
        <f aca="false">MIN(INT((MIN(B1785,2020)-1900)/10)+1,12)</f>
        <v>10</v>
      </c>
      <c r="H1785" s="3" t="n">
        <f aca="false">(MIN(B1785,2020)-1900-10*(G1785-1))/10</f>
        <v>0.5</v>
      </c>
      <c r="I1785" s="20" t="n">
        <f aca="false">EXP(LN(INDEX(Pop_Inputs!$B$2:$N$29,MATCH(C1785,Pop_Inputs!$A$2:$A$29,0),G1785))*(1-H1785)+LN(INDEX(Pop_Inputs!$B$2:$N$29,MATCH(C1785,Pop_Inputs!$A$2:$A$29,0),G1785+1))*H1785)</f>
        <v>581664.560466769</v>
      </c>
      <c r="J1785" s="20" t="n">
        <f aca="false">I1785/F1785</f>
        <v>581664.560466769</v>
      </c>
      <c r="K1785" s="21" t="n">
        <f aca="false">D1785/(D1785+E1785)</f>
        <v>0.597222222222222</v>
      </c>
      <c r="L1785" s="21" t="n">
        <f aca="false">AVERAGEIFS($K$2:$K$2705,$B$2:$B$2705,B1785)</f>
        <v>0.499955193274159</v>
      </c>
      <c r="M1785" s="21" t="n">
        <f aca="false">K1785-L1785</f>
        <v>0.0972670289480634</v>
      </c>
      <c r="N1785" s="21" t="n">
        <f aca="false">LN(J1785)</f>
        <v>13.27364920397</v>
      </c>
      <c r="O1785" s="21" t="n">
        <f aca="false">AVERAGEIFS($N$2:$N$2705,$B$2:$B$2705,B1785)</f>
        <v>13.6225859882903</v>
      </c>
      <c r="P1785" s="21" t="n">
        <f aca="false">N1785-O1785</f>
        <v>-0.348936784320289</v>
      </c>
      <c r="Q1785" s="7" t="n">
        <v>0</v>
      </c>
      <c r="R1785" s="3" t="n">
        <f aca="false">IF(AND(Q1785=1,B1785-_xlfn.MINIFS($B$2:$B$2705,$A$2:$A$2705,A1785)&lt;10),1,0)</f>
        <v>0</v>
      </c>
      <c r="S1785" s="7" t="n">
        <v>0</v>
      </c>
      <c r="T1785" s="3" t="n">
        <f aca="false">_xlfn.MINIFS($B$2:$B$2705,$A$2:$A$2705,A1785)</f>
        <v>1901</v>
      </c>
      <c r="U1785" s="3" t="n">
        <f aca="false">B1785-T1785</f>
        <v>94</v>
      </c>
      <c r="V1785" s="3" t="str">
        <f aca="false">INDEX(Pop_Inputs!$Q$2:$Q$29,MATCH(C1785,Pop_Inputs!$A$2:$A$29,0))</f>
        <v>Northeast</v>
      </c>
      <c r="W1785" s="29" t="n">
        <v>32455518</v>
      </c>
      <c r="X1785" s="3" t="n">
        <f aca="false">IF(W1785="","",LN(W1785))</f>
        <v>17.2953810328831</v>
      </c>
      <c r="Y1785" s="3" t="n">
        <f aca="false">IF(X1785="","",X1785-AVERAGEIFS($X$2:$X$2705,$B$2:$B$2705,B1785))</f>
        <v>-0.0011563918041233</v>
      </c>
      <c r="Z1785" s="21" t="n">
        <f aca="false">P1785</f>
        <v>-0.348936784320289</v>
      </c>
      <c r="AA1785" s="3" t="n">
        <f aca="false">R1785</f>
        <v>0</v>
      </c>
      <c r="AB1785" s="21" t="n">
        <f aca="false">P1785</f>
        <v>-0.348936784320289</v>
      </c>
      <c r="AC1785" s="3" t="n">
        <f aca="false">Y1785</f>
        <v>-0.0011563918041233</v>
      </c>
      <c r="AD1785" s="3" t="n">
        <f aca="false">R1785</f>
        <v>0</v>
      </c>
    </row>
    <row r="1786" customFormat="false" ht="15" hidden="false" customHeight="true" outlineLevel="0" collapsed="false">
      <c r="A1786" s="7" t="s">
        <v>56</v>
      </c>
      <c r="B1786" s="7" t="n">
        <v>1995</v>
      </c>
      <c r="C1786" s="7" t="s">
        <v>142</v>
      </c>
      <c r="D1786" s="7" t="n">
        <v>73</v>
      </c>
      <c r="E1786" s="7" t="n">
        <v>71</v>
      </c>
      <c r="F1786" s="3" t="n">
        <f aca="false">COUNTIFS($B$2:$B$2705,B1786,$C$2:$C$2705,C1786)</f>
        <v>2</v>
      </c>
      <c r="G1786" s="3" t="n">
        <f aca="false">MIN(INT((MIN(B1786,2020)-1900)/10)+1,12)</f>
        <v>10</v>
      </c>
      <c r="H1786" s="3" t="n">
        <f aca="false">(MIN(B1786,2020)-1900-10*(G1786-1))/10</f>
        <v>0.5</v>
      </c>
      <c r="I1786" s="20" t="n">
        <f aca="false">EXP(LN(INDEX(Pop_Inputs!$B$2:$N$29,MATCH(C1786,Pop_Inputs!$A$2:$A$29,0),G1786))*(1-H1786)+LN(INDEX(Pop_Inputs!$B$2:$N$29,MATCH(C1786,Pop_Inputs!$A$2:$A$29,0),G1786+1))*H1786)</f>
        <v>2839315.94501493</v>
      </c>
      <c r="J1786" s="20" t="n">
        <f aca="false">I1786/F1786</f>
        <v>1419657.97250746</v>
      </c>
      <c r="K1786" s="21" t="n">
        <f aca="false">D1786/(D1786+E1786)</f>
        <v>0.506944444444444</v>
      </c>
      <c r="L1786" s="21" t="n">
        <f aca="false">AVERAGEIFS($K$2:$K$2705,$B$2:$B$2705,B1786)</f>
        <v>0.499955193274159</v>
      </c>
      <c r="M1786" s="21" t="n">
        <f aca="false">K1786-L1786</f>
        <v>0.00698925117028565</v>
      </c>
      <c r="N1786" s="21" t="n">
        <f aca="false">LN(J1786)</f>
        <v>14.1659265361336</v>
      </c>
      <c r="O1786" s="21" t="n">
        <f aca="false">AVERAGEIFS($N$2:$N$2705,$B$2:$B$2705,B1786)</f>
        <v>13.6225859882903</v>
      </c>
      <c r="P1786" s="21" t="n">
        <f aca="false">N1786-O1786</f>
        <v>0.543340547843332</v>
      </c>
      <c r="Q1786" s="7" t="n">
        <v>0</v>
      </c>
      <c r="R1786" s="3" t="n">
        <f aca="false">IF(AND(Q1786=1,B1786-_xlfn.MINIFS($B$2:$B$2705,$A$2:$A$2705,A1786)&lt;10),1,0)</f>
        <v>0</v>
      </c>
      <c r="S1786" s="7" t="n">
        <v>0</v>
      </c>
      <c r="T1786" s="3" t="n">
        <f aca="false">_xlfn.MINIFS($B$2:$B$2705,$A$2:$A$2705,A1786)</f>
        <v>1901</v>
      </c>
      <c r="U1786" s="3" t="n">
        <f aca="false">B1786-T1786</f>
        <v>94</v>
      </c>
      <c r="V1786" s="3" t="str">
        <f aca="false">INDEX(Pop_Inputs!$Q$2:$Q$29,MATCH(C1786,Pop_Inputs!$A$2:$A$29,0))</f>
        <v>Midwest</v>
      </c>
      <c r="W1786" s="29" t="n">
        <v>29505834</v>
      </c>
      <c r="X1786" s="3" t="n">
        <f aca="false">IF(W1786="","",LN(W1786))</f>
        <v>17.2000985644694</v>
      </c>
      <c r="Y1786" s="3" t="n">
        <f aca="false">IF(X1786="","",X1786-AVERAGEIFS($X$2:$X$2705,$B$2:$B$2705,B1786))</f>
        <v>-0.0964388602177912</v>
      </c>
      <c r="Z1786" s="21" t="n">
        <f aca="false">P1786</f>
        <v>0.543340547843332</v>
      </c>
      <c r="AA1786" s="3" t="n">
        <f aca="false">R1786</f>
        <v>0</v>
      </c>
      <c r="AB1786" s="21" t="n">
        <f aca="false">P1786</f>
        <v>0.543340547843332</v>
      </c>
      <c r="AC1786" s="3" t="n">
        <f aca="false">Y1786</f>
        <v>-0.0964388602177912</v>
      </c>
      <c r="AD1786" s="3" t="n">
        <f aca="false">R1786</f>
        <v>0</v>
      </c>
    </row>
    <row r="1787" customFormat="false" ht="15" hidden="false" customHeight="true" outlineLevel="0" collapsed="false">
      <c r="A1787" s="7" t="s">
        <v>65</v>
      </c>
      <c r="B1787" s="7" t="n">
        <v>1995</v>
      </c>
      <c r="C1787" s="7" t="s">
        <v>142</v>
      </c>
      <c r="D1787" s="7" t="n">
        <v>68</v>
      </c>
      <c r="E1787" s="7" t="n">
        <v>76</v>
      </c>
      <c r="F1787" s="3" t="n">
        <f aca="false">COUNTIFS($B$2:$B$2705,B1787,$C$2:$C$2705,C1787)</f>
        <v>2</v>
      </c>
      <c r="G1787" s="3" t="n">
        <f aca="false">MIN(INT((MIN(B1787,2020)-1900)/10)+1,12)</f>
        <v>10</v>
      </c>
      <c r="H1787" s="3" t="n">
        <f aca="false">(MIN(B1787,2020)-1900-10*(G1787-1))/10</f>
        <v>0.5</v>
      </c>
      <c r="I1787" s="20" t="n">
        <f aca="false">EXP(LN(INDEX(Pop_Inputs!$B$2:$N$29,MATCH(C1787,Pop_Inputs!$A$2:$A$29,0),G1787))*(1-H1787)+LN(INDEX(Pop_Inputs!$B$2:$N$29,MATCH(C1787,Pop_Inputs!$A$2:$A$29,0),G1787+1))*H1787)</f>
        <v>2839315.94501493</v>
      </c>
      <c r="J1787" s="20" t="n">
        <f aca="false">I1787/F1787</f>
        <v>1419657.97250746</v>
      </c>
      <c r="K1787" s="21" t="n">
        <f aca="false">D1787/(D1787+E1787)</f>
        <v>0.472222222222222</v>
      </c>
      <c r="L1787" s="21" t="n">
        <f aca="false">AVERAGEIFS($K$2:$K$2705,$B$2:$B$2705,B1787)</f>
        <v>0.499955193274159</v>
      </c>
      <c r="M1787" s="21" t="n">
        <f aca="false">K1787-L1787</f>
        <v>-0.0277329710519366</v>
      </c>
      <c r="N1787" s="21" t="n">
        <f aca="false">LN(J1787)</f>
        <v>14.1659265361336</v>
      </c>
      <c r="O1787" s="21" t="n">
        <f aca="false">AVERAGEIFS($N$2:$N$2705,$B$2:$B$2705,B1787)</f>
        <v>13.6225859882903</v>
      </c>
      <c r="P1787" s="21" t="n">
        <f aca="false">N1787-O1787</f>
        <v>0.543340547843332</v>
      </c>
      <c r="Q1787" s="7" t="n">
        <v>0</v>
      </c>
      <c r="R1787" s="3" t="n">
        <f aca="false">IF(AND(Q1787=1,B1787-_xlfn.MINIFS($B$2:$B$2705,$A$2:$A$2705,A1787)&lt;10),1,0)</f>
        <v>0</v>
      </c>
      <c r="S1787" s="7" t="n">
        <v>0</v>
      </c>
      <c r="T1787" s="3" t="n">
        <f aca="false">_xlfn.MINIFS($B$2:$B$2705,$A$2:$A$2705,A1787)</f>
        <v>1901</v>
      </c>
      <c r="U1787" s="3" t="n">
        <f aca="false">B1787-T1787</f>
        <v>94</v>
      </c>
      <c r="V1787" s="3" t="str">
        <f aca="false">INDEX(Pop_Inputs!$Q$2:$Q$29,MATCH(C1787,Pop_Inputs!$A$2:$A$29,0))</f>
        <v>Midwest</v>
      </c>
      <c r="W1787" s="29" t="n">
        <v>46961282</v>
      </c>
      <c r="X1787" s="3" t="n">
        <f aca="false">IF(W1787="","",LN(W1787))</f>
        <v>17.6648340329411</v>
      </c>
      <c r="Y1787" s="3" t="n">
        <f aca="false">IF(X1787="","",X1787-AVERAGEIFS($X$2:$X$2705,$B$2:$B$2705,B1787))</f>
        <v>0.368296608253885</v>
      </c>
      <c r="Z1787" s="21" t="n">
        <f aca="false">P1787</f>
        <v>0.543340547843332</v>
      </c>
      <c r="AA1787" s="3" t="n">
        <f aca="false">R1787</f>
        <v>0</v>
      </c>
      <c r="AB1787" s="21" t="n">
        <f aca="false">P1787</f>
        <v>0.543340547843332</v>
      </c>
      <c r="AC1787" s="3" t="n">
        <f aca="false">Y1787</f>
        <v>0.368296608253885</v>
      </c>
      <c r="AD1787" s="3" t="n">
        <f aca="false">R1787</f>
        <v>0</v>
      </c>
    </row>
    <row r="1788" customFormat="false" ht="15" hidden="false" customHeight="true" outlineLevel="0" collapsed="false">
      <c r="A1788" s="7" t="s">
        <v>57</v>
      </c>
      <c r="B1788" s="7" t="n">
        <v>1995</v>
      </c>
      <c r="C1788" s="7" t="s">
        <v>143</v>
      </c>
      <c r="D1788" s="7" t="n">
        <v>85</v>
      </c>
      <c r="E1788" s="7" t="n">
        <v>59</v>
      </c>
      <c r="F1788" s="3" t="n">
        <f aca="false">COUNTIFS($B$2:$B$2705,B1788,$C$2:$C$2705,C1788)</f>
        <v>1</v>
      </c>
      <c r="G1788" s="3" t="n">
        <f aca="false">MIN(INT((MIN(B1788,2020)-1900)/10)+1,12)</f>
        <v>10</v>
      </c>
      <c r="H1788" s="3" t="n">
        <f aca="false">(MIN(B1788,2020)-1900-10*(G1788-1))/10</f>
        <v>0.5</v>
      </c>
      <c r="I1788" s="20" t="n">
        <f aca="false">EXP(LN(INDEX(Pop_Inputs!$B$2:$N$29,MATCH(C1788,Pop_Inputs!$A$2:$A$29,0),G1788))*(1-H1788)+LN(INDEX(Pop_Inputs!$B$2:$N$29,MATCH(C1788,Pop_Inputs!$A$2:$A$29,0),G1788+1))*H1788)</f>
        <v>347276.534479368</v>
      </c>
      <c r="J1788" s="20" t="n">
        <f aca="false">I1788/F1788</f>
        <v>347276.534479368</v>
      </c>
      <c r="K1788" s="21" t="n">
        <f aca="false">D1788/(D1788+E1788)</f>
        <v>0.590277777777778</v>
      </c>
      <c r="L1788" s="21" t="n">
        <f aca="false">AVERAGEIFS($K$2:$K$2705,$B$2:$B$2705,B1788)</f>
        <v>0.499955193274159</v>
      </c>
      <c r="M1788" s="21" t="n">
        <f aca="false">K1788-L1788</f>
        <v>0.090322584503619</v>
      </c>
      <c r="N1788" s="21" t="n">
        <f aca="false">LN(J1788)</f>
        <v>12.7578766708848</v>
      </c>
      <c r="O1788" s="21" t="n">
        <f aca="false">AVERAGEIFS($N$2:$N$2705,$B$2:$B$2705,B1788)</f>
        <v>13.6225859882903</v>
      </c>
      <c r="P1788" s="21" t="n">
        <f aca="false">N1788-O1788</f>
        <v>-0.864709317405476</v>
      </c>
      <c r="Q1788" s="7" t="n">
        <v>0</v>
      </c>
      <c r="R1788" s="3" t="n">
        <f aca="false">IF(AND(Q1788=1,B1788-_xlfn.MINIFS($B$2:$B$2705,$A$2:$A$2705,A1788)&lt;10),1,0)</f>
        <v>0</v>
      </c>
      <c r="S1788" s="7" t="n">
        <v>0</v>
      </c>
      <c r="T1788" s="3" t="n">
        <f aca="false">_xlfn.MINIFS($B$2:$B$2705,$A$2:$A$2705,A1788)</f>
        <v>1901</v>
      </c>
      <c r="U1788" s="3" t="n">
        <f aca="false">B1788-T1788</f>
        <v>94</v>
      </c>
      <c r="V1788" s="3" t="str">
        <f aca="false">INDEX(Pop_Inputs!$Q$2:$Q$29,MATCH(C1788,Pop_Inputs!$A$2:$A$29,0))</f>
        <v>Midwest</v>
      </c>
      <c r="W1788" s="29" t="n">
        <v>43144670</v>
      </c>
      <c r="X1788" s="3" t="n">
        <f aca="false">IF(W1788="","",LN(W1788))</f>
        <v>17.5800694452686</v>
      </c>
      <c r="Y1788" s="3" t="n">
        <f aca="false">IF(X1788="","",X1788-AVERAGEIFS($X$2:$X$2705,$B$2:$B$2705,B1788))</f>
        <v>0.283532020581333</v>
      </c>
      <c r="Z1788" s="21" t="n">
        <f aca="false">P1788</f>
        <v>-0.864709317405476</v>
      </c>
      <c r="AA1788" s="3" t="n">
        <f aca="false">R1788</f>
        <v>0</v>
      </c>
      <c r="AB1788" s="21" t="n">
        <f aca="false">P1788</f>
        <v>-0.864709317405476</v>
      </c>
      <c r="AC1788" s="3" t="n">
        <f aca="false">Y1788</f>
        <v>0.283532020581333</v>
      </c>
      <c r="AD1788" s="3" t="n">
        <f aca="false">R1788</f>
        <v>0</v>
      </c>
    </row>
    <row r="1789" customFormat="false" ht="15" hidden="false" customHeight="true" outlineLevel="0" collapsed="false">
      <c r="A1789" s="7" t="s">
        <v>66</v>
      </c>
      <c r="B1789" s="7" t="n">
        <v>1995</v>
      </c>
      <c r="C1789" s="7" t="s">
        <v>151</v>
      </c>
      <c r="D1789" s="7" t="n">
        <v>100</v>
      </c>
      <c r="E1789" s="7" t="n">
        <v>44</v>
      </c>
      <c r="F1789" s="3" t="n">
        <f aca="false">COUNTIFS($B$2:$B$2705,B1789,$C$2:$C$2705,C1789)</f>
        <v>1</v>
      </c>
      <c r="G1789" s="3" t="n">
        <f aca="false">MIN(INT((MIN(B1789,2020)-1900)/10)+1,12)</f>
        <v>10</v>
      </c>
      <c r="H1789" s="3" t="n">
        <f aca="false">(MIN(B1789,2020)-1900-10*(G1789-1))/10</f>
        <v>0.5</v>
      </c>
      <c r="I1789" s="20" t="n">
        <f aca="false">EXP(LN(INDEX(Pop_Inputs!$B$2:$N$29,MATCH(C1789,Pop_Inputs!$A$2:$A$29,0),G1789))*(1-H1789)+LN(INDEX(Pop_Inputs!$B$2:$N$29,MATCH(C1789,Pop_Inputs!$A$2:$A$29,0),G1789+1))*H1789)</f>
        <v>491821.320448799</v>
      </c>
      <c r="J1789" s="20" t="n">
        <f aca="false">I1789/F1789</f>
        <v>491821.320448799</v>
      </c>
      <c r="K1789" s="21" t="n">
        <f aca="false">D1789/(D1789+E1789)</f>
        <v>0.694444444444444</v>
      </c>
      <c r="L1789" s="21" t="n">
        <f aca="false">AVERAGEIFS($K$2:$K$2705,$B$2:$B$2705,B1789)</f>
        <v>0.499955193274159</v>
      </c>
      <c r="M1789" s="21" t="n">
        <f aca="false">K1789-L1789</f>
        <v>0.194489251170286</v>
      </c>
      <c r="N1789" s="21" t="n">
        <f aca="false">LN(J1789)</f>
        <v>13.1058707596928</v>
      </c>
      <c r="O1789" s="21" t="n">
        <f aca="false">AVERAGEIFS($N$2:$N$2705,$B$2:$B$2705,B1789)</f>
        <v>13.6225859882903</v>
      </c>
      <c r="P1789" s="21" t="n">
        <f aca="false">N1789-O1789</f>
        <v>-0.516715228597452</v>
      </c>
      <c r="Q1789" s="7" t="n">
        <v>0</v>
      </c>
      <c r="R1789" s="3" t="n">
        <f aca="false">IF(AND(Q1789=1,B1789-_xlfn.MINIFS($B$2:$B$2705,$A$2:$A$2705,A1789)&lt;10),1,0)</f>
        <v>0</v>
      </c>
      <c r="S1789" s="7" t="n">
        <v>0</v>
      </c>
      <c r="T1789" s="3" t="n">
        <f aca="false">_xlfn.MINIFS($B$2:$B$2705,$A$2:$A$2705,A1789)</f>
        <v>1901</v>
      </c>
      <c r="U1789" s="3" t="n">
        <f aca="false">B1789-T1789</f>
        <v>94</v>
      </c>
      <c r="V1789" s="3" t="str">
        <f aca="false">INDEX(Pop_Inputs!$Q$2:$Q$29,MATCH(C1789,Pop_Inputs!$A$2:$A$29,0))</f>
        <v>Midwest</v>
      </c>
      <c r="W1789" s="29" t="n">
        <v>37937835</v>
      </c>
      <c r="X1789" s="3" t="n">
        <f aca="false">IF(W1789="","",LN(W1789))</f>
        <v>17.451459457058</v>
      </c>
      <c r="Y1789" s="3" t="n">
        <f aca="false">IF(X1789="","",X1789-AVERAGEIFS($X$2:$X$2705,$B$2:$B$2705,B1789))</f>
        <v>0.154922032370781</v>
      </c>
      <c r="Z1789" s="21" t="n">
        <f aca="false">P1789</f>
        <v>-0.516715228597452</v>
      </c>
      <c r="AA1789" s="3" t="n">
        <f aca="false">R1789</f>
        <v>0</v>
      </c>
      <c r="AB1789" s="21" t="n">
        <f aca="false">P1789</f>
        <v>-0.516715228597452</v>
      </c>
      <c r="AC1789" s="3" t="n">
        <f aca="false">Y1789</f>
        <v>0.154922032370781</v>
      </c>
      <c r="AD1789" s="3" t="n">
        <f aca="false">R1789</f>
        <v>0</v>
      </c>
    </row>
    <row r="1790" customFormat="false" ht="15" hidden="false" customHeight="true" outlineLevel="0" collapsed="false">
      <c r="A1790" s="7" t="s">
        <v>82</v>
      </c>
      <c r="B1790" s="7" t="n">
        <v>1995</v>
      </c>
      <c r="C1790" s="7" t="s">
        <v>163</v>
      </c>
      <c r="D1790" s="7" t="n">
        <v>77</v>
      </c>
      <c r="E1790" s="7" t="n">
        <v>67</v>
      </c>
      <c r="F1790" s="3" t="n">
        <f aca="false">COUNTIFS($B$2:$B$2705,B1790,$C$2:$C$2705,C1790)</f>
        <v>1</v>
      </c>
      <c r="G1790" s="3" t="n">
        <f aca="false">MIN(INT((MIN(B1790,2020)-1900)/10)+1,12)</f>
        <v>10</v>
      </c>
      <c r="H1790" s="3" t="n">
        <f aca="false">(MIN(B1790,2020)-1900-10*(G1790-1))/10</f>
        <v>0.5</v>
      </c>
      <c r="I1790" s="20" t="n">
        <f aca="false">EXP(LN(INDEX(Pop_Inputs!$B$2:$N$29,MATCH(C1790,Pop_Inputs!$A$2:$A$29,0),G1790))*(1-H1790)+LN(INDEX(Pop_Inputs!$B$2:$N$29,MATCH(C1790,Pop_Inputs!$A$2:$A$29,0),G1790+1))*H1790)</f>
        <v>509267.454251693</v>
      </c>
      <c r="J1790" s="20" t="n">
        <f aca="false">I1790/F1790</f>
        <v>509267.454251693</v>
      </c>
      <c r="K1790" s="21" t="n">
        <f aca="false">D1790/(D1790+E1790)</f>
        <v>0.534722222222222</v>
      </c>
      <c r="L1790" s="21" t="n">
        <f aca="false">AVERAGEIFS($K$2:$K$2705,$B$2:$B$2705,B1790)</f>
        <v>0.499955193274159</v>
      </c>
      <c r="M1790" s="21" t="n">
        <f aca="false">K1790-L1790</f>
        <v>0.0347670289480634</v>
      </c>
      <c r="N1790" s="21" t="n">
        <f aca="false">LN(J1790)</f>
        <v>13.1407286079282</v>
      </c>
      <c r="O1790" s="21" t="n">
        <f aca="false">AVERAGEIFS($N$2:$N$2705,$B$2:$B$2705,B1790)</f>
        <v>13.6225859882903</v>
      </c>
      <c r="P1790" s="21" t="n">
        <f aca="false">N1790-O1790</f>
        <v>-0.48185738036206</v>
      </c>
      <c r="Q1790" s="7" t="n">
        <v>1</v>
      </c>
      <c r="R1790" s="3" t="n">
        <f aca="false">IF(AND(Q1790=1,B1790-_xlfn.MINIFS($B$2:$B$2705,$A$2:$A$2705,A1790)&lt;10),1,0)</f>
        <v>1</v>
      </c>
      <c r="S1790" s="7" t="n">
        <v>0</v>
      </c>
      <c r="T1790" s="3" t="n">
        <f aca="false">_xlfn.MINIFS($B$2:$B$2705,$A$2:$A$2705,A1790)</f>
        <v>1993</v>
      </c>
      <c r="U1790" s="3" t="n">
        <f aca="false">B1790-T1790</f>
        <v>2</v>
      </c>
      <c r="V1790" s="3" t="str">
        <f aca="false">INDEX(Pop_Inputs!$Q$2:$Q$29,MATCH(C1790,Pop_Inputs!$A$2:$A$29,0))</f>
        <v>West</v>
      </c>
      <c r="W1790" s="29" t="n">
        <v>34154717</v>
      </c>
      <c r="X1790" s="3" t="n">
        <f aca="false">IF(W1790="","",LN(W1790))</f>
        <v>17.3464112603576</v>
      </c>
      <c r="Y1790" s="3" t="n">
        <f aca="false">IF(X1790="","",X1790-AVERAGEIFS($X$2:$X$2705,$B$2:$B$2705,B1790))</f>
        <v>0.0498738356704109</v>
      </c>
      <c r="Z1790" s="21" t="n">
        <f aca="false">P1790</f>
        <v>-0.48185738036206</v>
      </c>
      <c r="AA1790" s="3" t="n">
        <f aca="false">R1790</f>
        <v>1</v>
      </c>
      <c r="AB1790" s="21" t="n">
        <f aca="false">P1790</f>
        <v>-0.48185738036206</v>
      </c>
      <c r="AC1790" s="3" t="n">
        <f aca="false">Y1790</f>
        <v>0.0498738356704109</v>
      </c>
      <c r="AD1790" s="3" t="n">
        <f aca="false">R1790</f>
        <v>1</v>
      </c>
    </row>
    <row r="1791" customFormat="false" ht="15" hidden="false" customHeight="true" outlineLevel="0" collapsed="false">
      <c r="A1791" s="7" t="s">
        <v>67</v>
      </c>
      <c r="B1791" s="7" t="n">
        <v>1995</v>
      </c>
      <c r="C1791" s="7" t="s">
        <v>152</v>
      </c>
      <c r="D1791" s="7" t="n">
        <v>60</v>
      </c>
      <c r="E1791" s="7" t="n">
        <v>84</v>
      </c>
      <c r="F1791" s="3" t="n">
        <f aca="false">COUNTIFS($B$2:$B$2705,B1791,$C$2:$C$2705,C1791)</f>
        <v>1</v>
      </c>
      <c r="G1791" s="3" t="n">
        <f aca="false">MIN(INT((MIN(B1791,2020)-1900)/10)+1,12)</f>
        <v>10</v>
      </c>
      <c r="H1791" s="3" t="n">
        <f aca="false">(MIN(B1791,2020)-1900-10*(G1791-1))/10</f>
        <v>0.5</v>
      </c>
      <c r="I1791" s="20" t="n">
        <f aca="false">EXP(LN(INDEX(Pop_Inputs!$B$2:$N$29,MATCH(C1791,Pop_Inputs!$A$2:$A$29,0),G1791))*(1-H1791)+LN(INDEX(Pop_Inputs!$B$2:$N$29,MATCH(C1791,Pop_Inputs!$A$2:$A$29,0),G1791+1))*H1791)</f>
        <v>988878.570391733</v>
      </c>
      <c r="J1791" s="20" t="n">
        <f aca="false">I1791/F1791</f>
        <v>988878.570391733</v>
      </c>
      <c r="K1791" s="21" t="n">
        <f aca="false">D1791/(D1791+E1791)</f>
        <v>0.416666666666667</v>
      </c>
      <c r="L1791" s="21" t="n">
        <f aca="false">AVERAGEIFS($K$2:$K$2705,$B$2:$B$2705,B1791)</f>
        <v>0.499955193274159</v>
      </c>
      <c r="M1791" s="21" t="n">
        <f aca="false">K1791-L1791</f>
        <v>-0.0832885266074921</v>
      </c>
      <c r="N1791" s="21" t="n">
        <f aca="false">LN(J1791)</f>
        <v>13.8043268228764</v>
      </c>
      <c r="O1791" s="21" t="n">
        <f aca="false">AVERAGEIFS($N$2:$N$2705,$B$2:$B$2705,B1791)</f>
        <v>13.6225859882903</v>
      </c>
      <c r="P1791" s="21" t="n">
        <f aca="false">N1791-O1791</f>
        <v>0.181740834586131</v>
      </c>
      <c r="Q1791" s="7" t="n">
        <v>0</v>
      </c>
      <c r="R1791" s="3" t="n">
        <f aca="false">IF(AND(Q1791=1,B1791-_xlfn.MINIFS($B$2:$B$2705,$A$2:$A$2705,A1791)&lt;10),1,0)</f>
        <v>0</v>
      </c>
      <c r="S1791" s="7" t="n">
        <v>0</v>
      </c>
      <c r="T1791" s="3" t="n">
        <f aca="false">_xlfn.MINIFS($B$2:$B$2705,$A$2:$A$2705,A1791)</f>
        <v>1901</v>
      </c>
      <c r="U1791" s="3" t="n">
        <f aca="false">B1791-T1791</f>
        <v>94</v>
      </c>
      <c r="V1791" s="3" t="str">
        <f aca="false">INDEX(Pop_Inputs!$Q$2:$Q$29,MATCH(C1791,Pop_Inputs!$A$2:$A$29,0))</f>
        <v>Midwest</v>
      </c>
      <c r="W1791" s="29" t="n">
        <v>37044168</v>
      </c>
      <c r="X1791" s="3" t="n">
        <f aca="false">IF(W1791="","",LN(W1791))</f>
        <v>17.4276214884094</v>
      </c>
      <c r="Y1791" s="3" t="n">
        <f aca="false">IF(X1791="","",X1791-AVERAGEIFS($X$2:$X$2705,$B$2:$B$2705,B1791))</f>
        <v>0.131084063722167</v>
      </c>
      <c r="Z1791" s="21" t="n">
        <f aca="false">P1791</f>
        <v>0.181740834586131</v>
      </c>
      <c r="AA1791" s="3" t="n">
        <f aca="false">R1791</f>
        <v>0</v>
      </c>
      <c r="AB1791" s="21" t="n">
        <f aca="false">P1791</f>
        <v>0.181740834586131</v>
      </c>
      <c r="AC1791" s="3" t="n">
        <f aca="false">Y1791</f>
        <v>0.131084063722167</v>
      </c>
      <c r="AD1791" s="3" t="n">
        <f aca="false">R1791</f>
        <v>0</v>
      </c>
    </row>
    <row r="1792" customFormat="false" ht="15" hidden="false" customHeight="true" outlineLevel="0" collapsed="false">
      <c r="A1792" s="7" t="s">
        <v>83</v>
      </c>
      <c r="B1792" s="7" t="n">
        <v>1995</v>
      </c>
      <c r="C1792" s="7" t="s">
        <v>164</v>
      </c>
      <c r="D1792" s="7" t="n">
        <v>67</v>
      </c>
      <c r="E1792" s="7" t="n">
        <v>76</v>
      </c>
      <c r="F1792" s="3" t="n">
        <f aca="false">COUNTIFS($B$2:$B$2705,B1792,$C$2:$C$2705,C1792)</f>
        <v>1</v>
      </c>
      <c r="G1792" s="3" t="n">
        <f aca="false">MIN(INT((MIN(B1792,2020)-1900)/10)+1,12)</f>
        <v>10</v>
      </c>
      <c r="H1792" s="3" t="n">
        <f aca="false">(MIN(B1792,2020)-1900-10*(G1792-1))/10</f>
        <v>0.5</v>
      </c>
      <c r="I1792" s="20" t="n">
        <f aca="false">EXP(LN(INDEX(Pop_Inputs!$B$2:$N$29,MATCH(C1792,Pop_Inputs!$A$2:$A$29,0),G1792))*(1-H1792)+LN(INDEX(Pop_Inputs!$B$2:$N$29,MATCH(C1792,Pop_Inputs!$A$2:$A$29,0),G1792+1))*H1792)</f>
        <v>360553.935715588</v>
      </c>
      <c r="J1792" s="20" t="n">
        <f aca="false">I1792/F1792</f>
        <v>360553.935715588</v>
      </c>
      <c r="K1792" s="21" t="n">
        <f aca="false">D1792/(D1792+E1792)</f>
        <v>0.468531468531469</v>
      </c>
      <c r="L1792" s="21" t="n">
        <f aca="false">AVERAGEIFS($K$2:$K$2705,$B$2:$B$2705,B1792)</f>
        <v>0.499955193274159</v>
      </c>
      <c r="M1792" s="21" t="n">
        <f aca="false">K1792-L1792</f>
        <v>-0.0314237247426902</v>
      </c>
      <c r="N1792" s="21" t="n">
        <f aca="false">LN(J1792)</f>
        <v>12.7953968381516</v>
      </c>
      <c r="O1792" s="21" t="n">
        <f aca="false">AVERAGEIFS($N$2:$N$2705,$B$2:$B$2705,B1792)</f>
        <v>13.6225859882903</v>
      </c>
      <c r="P1792" s="21" t="n">
        <f aca="false">N1792-O1792</f>
        <v>-0.827189150138644</v>
      </c>
      <c r="Q1792" s="7" t="n">
        <v>1</v>
      </c>
      <c r="R1792" s="3" t="n">
        <f aca="false">IF(AND(Q1792=1,B1792-_xlfn.MINIFS($B$2:$B$2705,$A$2:$A$2705,A1792)&lt;10),1,0)</f>
        <v>1</v>
      </c>
      <c r="S1792" s="7" t="n">
        <v>0</v>
      </c>
      <c r="T1792" s="3" t="n">
        <f aca="false">_xlfn.MINIFS($B$2:$B$2705,$A$2:$A$2705,A1792)</f>
        <v>1993</v>
      </c>
      <c r="U1792" s="3" t="n">
        <f aca="false">B1792-T1792</f>
        <v>2</v>
      </c>
      <c r="V1792" s="3" t="str">
        <f aca="false">INDEX(Pop_Inputs!$Q$2:$Q$29,MATCH(C1792,Pop_Inputs!$A$2:$A$29,0))</f>
        <v>South</v>
      </c>
      <c r="W1792" s="29" t="n">
        <v>24515781</v>
      </c>
      <c r="X1792" s="3" t="n">
        <f aca="false">IF(W1792="","",LN(W1792))</f>
        <v>17.0148275906061</v>
      </c>
      <c r="Y1792" s="3" t="n">
        <f aca="false">IF(X1792="","",X1792-AVERAGEIFS($X$2:$X$2705,$B$2:$B$2705,B1792))</f>
        <v>-0.281709834081131</v>
      </c>
      <c r="Z1792" s="21" t="n">
        <f aca="false">P1792</f>
        <v>-0.827189150138644</v>
      </c>
      <c r="AA1792" s="3" t="n">
        <f aca="false">R1792</f>
        <v>1</v>
      </c>
      <c r="AB1792" s="21" t="n">
        <f aca="false">P1792</f>
        <v>-0.827189150138644</v>
      </c>
      <c r="AC1792" s="3" t="n">
        <f aca="false">Y1792</f>
        <v>-0.281709834081131</v>
      </c>
      <c r="AD1792" s="3" t="n">
        <f aca="false">R1792</f>
        <v>1</v>
      </c>
    </row>
    <row r="1793" customFormat="false" ht="15" hidden="false" customHeight="true" outlineLevel="0" collapsed="false">
      <c r="A1793" s="7" t="s">
        <v>74</v>
      </c>
      <c r="B1793" s="7" t="n">
        <v>1995</v>
      </c>
      <c r="C1793" s="7" t="s">
        <v>156</v>
      </c>
      <c r="D1793" s="7" t="n">
        <v>76</v>
      </c>
      <c r="E1793" s="7" t="n">
        <v>68</v>
      </c>
      <c r="F1793" s="3" t="n">
        <f aca="false">COUNTIFS($B$2:$B$2705,B1793,$C$2:$C$2705,C1793)</f>
        <v>1</v>
      </c>
      <c r="G1793" s="3" t="n">
        <f aca="false">MIN(INT((MIN(B1793,2020)-1900)/10)+1,12)</f>
        <v>10</v>
      </c>
      <c r="H1793" s="3" t="n">
        <f aca="false">(MIN(B1793,2020)-1900-10*(G1793-1))/10</f>
        <v>0.5</v>
      </c>
      <c r="I1793" s="20" t="n">
        <f aca="false">EXP(LN(INDEX(Pop_Inputs!$B$2:$N$29,MATCH(C1793,Pop_Inputs!$A$2:$A$29,0),G1793))*(1-H1793)+LN(INDEX(Pop_Inputs!$B$2:$N$29,MATCH(C1793,Pop_Inputs!$A$2:$A$29,0),G1793+1))*H1793)</f>
        <v>1784796.59567778</v>
      </c>
      <c r="J1793" s="20" t="n">
        <f aca="false">I1793/F1793</f>
        <v>1784796.59567778</v>
      </c>
      <c r="K1793" s="21" t="n">
        <f aca="false">D1793/(D1793+E1793)</f>
        <v>0.527777777777778</v>
      </c>
      <c r="L1793" s="21" t="n">
        <f aca="false">AVERAGEIFS($K$2:$K$2705,$B$2:$B$2705,B1793)</f>
        <v>0.499955193274159</v>
      </c>
      <c r="M1793" s="21" t="n">
        <f aca="false">K1793-L1793</f>
        <v>0.027822584503619</v>
      </c>
      <c r="N1793" s="21" t="n">
        <f aca="false">LN(J1793)</f>
        <v>14.3948150147016</v>
      </c>
      <c r="O1793" s="21" t="n">
        <f aca="false">AVERAGEIFS($N$2:$N$2705,$B$2:$B$2705,B1793)</f>
        <v>13.6225859882903</v>
      </c>
      <c r="P1793" s="21" t="n">
        <f aca="false">N1793-O1793</f>
        <v>0.77222902641136</v>
      </c>
      <c r="Q1793" s="7" t="n">
        <v>1</v>
      </c>
      <c r="R1793" s="3" t="n">
        <f aca="false">IF(AND(Q1793=1,B1793-_xlfn.MINIFS($B$2:$B$2705,$A$2:$A$2705,A1793)&lt;10),1,0)</f>
        <v>0</v>
      </c>
      <c r="S1793" s="7" t="n">
        <v>0</v>
      </c>
      <c r="T1793" s="3" t="n">
        <f aca="false">_xlfn.MINIFS($B$2:$B$2705,$A$2:$A$2705,A1793)</f>
        <v>1962</v>
      </c>
      <c r="U1793" s="3" t="n">
        <f aca="false">B1793-T1793</f>
        <v>33</v>
      </c>
      <c r="V1793" s="3" t="str">
        <f aca="false">INDEX(Pop_Inputs!$Q$2:$Q$29,MATCH(C1793,Pop_Inputs!$A$2:$A$29,0))</f>
        <v>South</v>
      </c>
      <c r="W1793" s="29" t="n">
        <v>34169834</v>
      </c>
      <c r="X1793" s="3" t="n">
        <f aca="false">IF(W1793="","",LN(W1793))</f>
        <v>17.346853766017</v>
      </c>
      <c r="Y1793" s="3" t="n">
        <f aca="false">IF(X1793="","",X1793-AVERAGEIFS($X$2:$X$2705,$B$2:$B$2705,B1793))</f>
        <v>0.0503163413298076</v>
      </c>
      <c r="Z1793" s="21" t="n">
        <f aca="false">P1793</f>
        <v>0.77222902641136</v>
      </c>
      <c r="AA1793" s="3" t="n">
        <f aca="false">R1793</f>
        <v>0</v>
      </c>
      <c r="AB1793" s="21" t="n">
        <f aca="false">P1793</f>
        <v>0.77222902641136</v>
      </c>
      <c r="AC1793" s="3" t="n">
        <f aca="false">Y1793</f>
        <v>0.0503163413298076</v>
      </c>
      <c r="AD1793" s="3" t="n">
        <f aca="false">R1793</f>
        <v>0</v>
      </c>
    </row>
    <row r="1794" customFormat="false" ht="15" hidden="false" customHeight="true" outlineLevel="0" collapsed="false">
      <c r="A1794" s="7" t="s">
        <v>76</v>
      </c>
      <c r="B1794" s="7" t="n">
        <v>1995</v>
      </c>
      <c r="C1794" s="7" t="s">
        <v>157</v>
      </c>
      <c r="D1794" s="7" t="n">
        <v>70</v>
      </c>
      <c r="E1794" s="7" t="n">
        <v>74</v>
      </c>
      <c r="F1794" s="3" t="n">
        <f aca="false">COUNTIFS($B$2:$B$2705,B1794,$C$2:$C$2705,C1794)</f>
        <v>1</v>
      </c>
      <c r="G1794" s="3" t="n">
        <f aca="false">MIN(INT((MIN(B1794,2020)-1900)/10)+1,12)</f>
        <v>10</v>
      </c>
      <c r="H1794" s="3" t="n">
        <f aca="false">(MIN(B1794,2020)-1900-10*(G1794-1))/10</f>
        <v>0.5</v>
      </c>
      <c r="I1794" s="20" t="n">
        <f aca="false">EXP(LN(INDEX(Pop_Inputs!$B$2:$N$29,MATCH(C1794,Pop_Inputs!$A$2:$A$29,0),G1794))*(1-H1794)+LN(INDEX(Pop_Inputs!$B$2:$N$29,MATCH(C1794,Pop_Inputs!$A$2:$A$29,0),G1794+1))*H1794)</f>
        <v>438333.823210119</v>
      </c>
      <c r="J1794" s="20" t="n">
        <f aca="false">I1794/F1794</f>
        <v>438333.823210119</v>
      </c>
      <c r="K1794" s="21" t="n">
        <f aca="false">D1794/(D1794+E1794)</f>
        <v>0.486111111111111</v>
      </c>
      <c r="L1794" s="21" t="n">
        <f aca="false">AVERAGEIFS($K$2:$K$2705,$B$2:$B$2705,B1794)</f>
        <v>0.499955193274159</v>
      </c>
      <c r="M1794" s="21" t="n">
        <f aca="false">K1794-L1794</f>
        <v>-0.0138440821630477</v>
      </c>
      <c r="N1794" s="21" t="n">
        <f aca="false">LN(J1794)</f>
        <v>12.9907360525149</v>
      </c>
      <c r="O1794" s="21" t="n">
        <f aca="false">AVERAGEIFS($N$2:$N$2705,$B$2:$B$2705,B1794)</f>
        <v>13.6225859882903</v>
      </c>
      <c r="P1794" s="21" t="n">
        <f aca="false">N1794-O1794</f>
        <v>-0.631849935775358</v>
      </c>
      <c r="Q1794" s="7" t="n">
        <v>1</v>
      </c>
      <c r="R1794" s="3" t="n">
        <f aca="false">IF(AND(Q1794=1,B1794-_xlfn.MINIFS($B$2:$B$2705,$A$2:$A$2705,A1794)&lt;10),1,0)</f>
        <v>0</v>
      </c>
      <c r="S1794" s="7" t="n">
        <v>0</v>
      </c>
      <c r="T1794" s="3" t="n">
        <f aca="false">_xlfn.MINIFS($B$2:$B$2705,$A$2:$A$2705,A1794)</f>
        <v>1969</v>
      </c>
      <c r="U1794" s="3" t="n">
        <f aca="false">B1794-T1794</f>
        <v>26</v>
      </c>
      <c r="V1794" s="3" t="str">
        <f aca="false">INDEX(Pop_Inputs!$Q$2:$Q$29,MATCH(C1794,Pop_Inputs!$A$2:$A$29,0))</f>
        <v>Midwest</v>
      </c>
      <c r="W1794" s="29" t="n">
        <v>29532834</v>
      </c>
      <c r="X1794" s="3" t="n">
        <f aca="false">IF(W1794="","",LN(W1794))</f>
        <v>17.2010132193151</v>
      </c>
      <c r="Y1794" s="3" t="n">
        <f aca="false">IF(X1794="","",X1794-AVERAGEIFS($X$2:$X$2705,$B$2:$B$2705,B1794))</f>
        <v>-0.095524205372179</v>
      </c>
      <c r="Z1794" s="21" t="n">
        <f aca="false">P1794</f>
        <v>-0.631849935775358</v>
      </c>
      <c r="AA1794" s="3" t="n">
        <f aca="false">R1794</f>
        <v>0</v>
      </c>
      <c r="AB1794" s="21" t="n">
        <f aca="false">P1794</f>
        <v>-0.631849935775358</v>
      </c>
      <c r="AC1794" s="3" t="n">
        <f aca="false">Y1794</f>
        <v>-0.095524205372179</v>
      </c>
      <c r="AD1794" s="3" t="n">
        <f aca="false">R1794</f>
        <v>0</v>
      </c>
    </row>
    <row r="1795" customFormat="false" ht="15" hidden="false" customHeight="true" outlineLevel="0" collapsed="false">
      <c r="A1795" s="7" t="s">
        <v>62</v>
      </c>
      <c r="B1795" s="7" t="n">
        <v>1995</v>
      </c>
      <c r="C1795" s="7" t="s">
        <v>148</v>
      </c>
      <c r="D1795" s="7" t="n">
        <v>78</v>
      </c>
      <c r="E1795" s="7" t="n">
        <v>66</v>
      </c>
      <c r="F1795" s="3" t="n">
        <f aca="false">COUNTIFS($B$2:$B$2705,B1795,$C$2:$C$2705,C1795)</f>
        <v>2</v>
      </c>
      <c r="G1795" s="3" t="n">
        <f aca="false">MIN(INT((MIN(B1795,2020)-1900)/10)+1,12)</f>
        <v>10</v>
      </c>
      <c r="H1795" s="3" t="n">
        <f aca="false">(MIN(B1795,2020)-1900-10*(G1795-1))/10</f>
        <v>0.5</v>
      </c>
      <c r="I1795" s="20" t="n">
        <f aca="false">EXP(LN(INDEX(Pop_Inputs!$B$2:$N$29,MATCH(C1795,Pop_Inputs!$A$2:$A$29,0),G1795))*(1-H1795)+LN(INDEX(Pop_Inputs!$B$2:$N$29,MATCH(C1795,Pop_Inputs!$A$2:$A$29,0),G1795+1))*H1795)</f>
        <v>3588581.64716368</v>
      </c>
      <c r="J1795" s="20" t="n">
        <f aca="false">I1795/F1795</f>
        <v>1794290.82358184</v>
      </c>
      <c r="K1795" s="21" t="n">
        <f aca="false">D1795/(D1795+E1795)</f>
        <v>0.541666666666667</v>
      </c>
      <c r="L1795" s="21" t="n">
        <f aca="false">AVERAGEIFS($K$2:$K$2705,$B$2:$B$2705,B1795)</f>
        <v>0.499955193274159</v>
      </c>
      <c r="M1795" s="21" t="n">
        <f aca="false">K1795-L1795</f>
        <v>0.0417114733925079</v>
      </c>
      <c r="N1795" s="21" t="n">
        <f aca="false">LN(J1795)</f>
        <v>14.4001204174826</v>
      </c>
      <c r="O1795" s="21" t="n">
        <f aca="false">AVERAGEIFS($N$2:$N$2705,$B$2:$B$2705,B1795)</f>
        <v>13.6225859882903</v>
      </c>
      <c r="P1795" s="21" t="n">
        <f aca="false">N1795-O1795</f>
        <v>0.777534429192357</v>
      </c>
      <c r="Q1795" s="7" t="n">
        <v>0</v>
      </c>
      <c r="R1795" s="3" t="n">
        <f aca="false">IF(AND(Q1795=1,B1795-_xlfn.MINIFS($B$2:$B$2705,$A$2:$A$2705,A1795)&lt;10),1,0)</f>
        <v>0</v>
      </c>
      <c r="S1795" s="7" t="n">
        <v>0</v>
      </c>
      <c r="T1795" s="3" t="n">
        <f aca="false">_xlfn.MINIFS($B$2:$B$2705,$A$2:$A$2705,A1795)</f>
        <v>1901</v>
      </c>
      <c r="U1795" s="3" t="n">
        <f aca="false">B1795-T1795</f>
        <v>94</v>
      </c>
      <c r="V1795" s="3" t="str">
        <f aca="false">INDEX(Pop_Inputs!$Q$2:$Q$29,MATCH(C1795,Pop_Inputs!$A$2:$A$29,0))</f>
        <v>West</v>
      </c>
      <c r="W1795" s="29" t="n">
        <v>39273201</v>
      </c>
      <c r="X1795" s="3" t="n">
        <f aca="false">IF(W1795="","",LN(W1795))</f>
        <v>17.4860529358373</v>
      </c>
      <c r="Y1795" s="3" t="n">
        <f aca="false">IF(X1795="","",X1795-AVERAGEIFS($X$2:$X$2705,$B$2:$B$2705,B1795))</f>
        <v>0.189515511150024</v>
      </c>
      <c r="Z1795" s="21" t="n">
        <f aca="false">P1795</f>
        <v>0.777534429192357</v>
      </c>
      <c r="AA1795" s="3" t="n">
        <f aca="false">R1795</f>
        <v>0</v>
      </c>
      <c r="AB1795" s="21" t="n">
        <f aca="false">P1795</f>
        <v>0.777534429192357</v>
      </c>
      <c r="AC1795" s="3" t="n">
        <f aca="false">Y1795</f>
        <v>0.189515511150024</v>
      </c>
      <c r="AD1795" s="3" t="n">
        <f aca="false">R1795</f>
        <v>0</v>
      </c>
    </row>
    <row r="1796" customFormat="false" ht="15" hidden="false" customHeight="true" outlineLevel="0" collapsed="false">
      <c r="A1796" s="7" t="s">
        <v>77</v>
      </c>
      <c r="B1796" s="7" t="n">
        <v>1995</v>
      </c>
      <c r="C1796" s="7" t="s">
        <v>158</v>
      </c>
      <c r="D1796" s="7" t="n">
        <v>65</v>
      </c>
      <c r="E1796" s="7" t="n">
        <v>79</v>
      </c>
      <c r="F1796" s="3" t="n">
        <f aca="false">COUNTIFS($B$2:$B$2705,B1796,$C$2:$C$2705,C1796)</f>
        <v>1</v>
      </c>
      <c r="G1796" s="3" t="n">
        <f aca="false">MIN(INT((MIN(B1796,2020)-1900)/10)+1,12)</f>
        <v>10</v>
      </c>
      <c r="H1796" s="3" t="n">
        <f aca="false">(MIN(B1796,2020)-1900-10*(G1796-1))/10</f>
        <v>0.5</v>
      </c>
      <c r="I1796" s="20" t="n">
        <f aca="false">EXP(LN(INDEX(Pop_Inputs!$B$2:$N$29,MATCH(C1796,Pop_Inputs!$A$2:$A$29,0),G1796))*(1-H1796)+LN(INDEX(Pop_Inputs!$B$2:$N$29,MATCH(C1796,Pop_Inputs!$A$2:$A$29,0),G1796+1))*H1796)</f>
        <v>612333.410579563</v>
      </c>
      <c r="J1796" s="20" t="n">
        <f aca="false">I1796/F1796</f>
        <v>612333.410579563</v>
      </c>
      <c r="K1796" s="21" t="n">
        <f aca="false">D1796/(D1796+E1796)</f>
        <v>0.451388888888889</v>
      </c>
      <c r="L1796" s="21" t="n">
        <f aca="false">AVERAGEIFS($K$2:$K$2705,$B$2:$B$2705,B1796)</f>
        <v>0.499955193274159</v>
      </c>
      <c r="M1796" s="21" t="n">
        <f aca="false">K1796-L1796</f>
        <v>-0.0485663043852699</v>
      </c>
      <c r="N1796" s="21" t="n">
        <f aca="false">LN(J1796)</f>
        <v>13.3250322016798</v>
      </c>
      <c r="O1796" s="21" t="n">
        <f aca="false">AVERAGEIFS($N$2:$N$2705,$B$2:$B$2705,B1796)</f>
        <v>13.6225859882903</v>
      </c>
      <c r="P1796" s="21" t="n">
        <f aca="false">N1796-O1796</f>
        <v>-0.297553786610488</v>
      </c>
      <c r="Q1796" s="7" t="n">
        <v>1</v>
      </c>
      <c r="R1796" s="3" t="n">
        <f aca="false">IF(AND(Q1796=1,B1796-_xlfn.MINIFS($B$2:$B$2705,$A$2:$A$2705,A1796)&lt;10),1,0)</f>
        <v>0</v>
      </c>
      <c r="S1796" s="7" t="n">
        <v>0</v>
      </c>
      <c r="T1796" s="3" t="n">
        <f aca="false">_xlfn.MINIFS($B$2:$B$2705,$A$2:$A$2705,A1796)</f>
        <v>1969</v>
      </c>
      <c r="U1796" s="3" t="n">
        <f aca="false">B1796-T1796</f>
        <v>26</v>
      </c>
      <c r="V1796" s="3" t="str">
        <f aca="false">INDEX(Pop_Inputs!$Q$2:$Q$29,MATCH(C1796,Pop_Inputs!$A$2:$A$29,0))</f>
        <v>Midwest</v>
      </c>
      <c r="W1796" s="29" t="n">
        <v>17798825</v>
      </c>
      <c r="X1796" s="3" t="n">
        <f aca="false">IF(W1796="","",LN(W1796))</f>
        <v>16.6946430018475</v>
      </c>
      <c r="Y1796" s="3" t="n">
        <f aca="false">IF(X1796="","",X1796-AVERAGEIFS($X$2:$X$2705,$B$2:$B$2705,B1796))</f>
        <v>-0.601894422839717</v>
      </c>
      <c r="Z1796" s="21" t="n">
        <f aca="false">P1796</f>
        <v>-0.297553786610488</v>
      </c>
      <c r="AA1796" s="3" t="n">
        <f aca="false">R1796</f>
        <v>0</v>
      </c>
      <c r="AB1796" s="21" t="n">
        <f aca="false">P1796</f>
        <v>-0.297553786610488</v>
      </c>
      <c r="AC1796" s="3" t="n">
        <f aca="false">Y1796</f>
        <v>-0.601894422839717</v>
      </c>
      <c r="AD1796" s="3" t="n">
        <f aca="false">R1796</f>
        <v>0</v>
      </c>
    </row>
    <row r="1797" customFormat="false" ht="15" hidden="false" customHeight="true" outlineLevel="0" collapsed="false">
      <c r="A1797" s="7" t="s">
        <v>68</v>
      </c>
      <c r="B1797" s="7" t="n">
        <v>1995</v>
      </c>
      <c r="C1797" s="7" t="s">
        <v>153</v>
      </c>
      <c r="D1797" s="7" t="n">
        <v>56</v>
      </c>
      <c r="E1797" s="7" t="n">
        <v>88</v>
      </c>
      <c r="F1797" s="3" t="n">
        <f aca="false">COUNTIFS($B$2:$B$2705,B1797,$C$2:$C$2705,C1797)</f>
        <v>1</v>
      </c>
      <c r="G1797" s="3" t="n">
        <f aca="false">MIN(INT((MIN(B1797,2020)-1900)/10)+1,12)</f>
        <v>10</v>
      </c>
      <c r="H1797" s="3" t="n">
        <f aca="false">(MIN(B1797,2020)-1900-10*(G1797-1))/10</f>
        <v>0.5</v>
      </c>
      <c r="I1797" s="20" t="n">
        <f aca="false">EXP(LN(INDEX(Pop_Inputs!$B$2:$N$29,MATCH(C1797,Pop_Inputs!$A$2:$A$29,0),G1797))*(1-H1797)+LN(INDEX(Pop_Inputs!$B$2:$N$29,MATCH(C1797,Pop_Inputs!$A$2:$A$29,0),G1797+1))*H1797)</f>
        <v>375433.038895087</v>
      </c>
      <c r="J1797" s="20" t="n">
        <f aca="false">I1797/F1797</f>
        <v>375433.038895087</v>
      </c>
      <c r="K1797" s="21" t="n">
        <f aca="false">D1797/(D1797+E1797)</f>
        <v>0.388888888888889</v>
      </c>
      <c r="L1797" s="21" t="n">
        <f aca="false">AVERAGEIFS($K$2:$K$2705,$B$2:$B$2705,B1797)</f>
        <v>0.499955193274159</v>
      </c>
      <c r="M1797" s="21" t="n">
        <f aca="false">K1797-L1797</f>
        <v>-0.11106630438527</v>
      </c>
      <c r="N1797" s="21" t="n">
        <f aca="false">LN(J1797)</f>
        <v>12.835835409105</v>
      </c>
      <c r="O1797" s="21" t="n">
        <f aca="false">AVERAGEIFS($N$2:$N$2705,$B$2:$B$2705,B1797)</f>
        <v>13.6225859882903</v>
      </c>
      <c r="P1797" s="21" t="n">
        <f aca="false">N1797-O1797</f>
        <v>-0.786750579185279</v>
      </c>
      <c r="Q1797" s="7" t="n">
        <v>0</v>
      </c>
      <c r="R1797" s="3" t="n">
        <f aca="false">IF(AND(Q1797=1,B1797-_xlfn.MINIFS($B$2:$B$2705,$A$2:$A$2705,A1797)&lt;10),1,0)</f>
        <v>0</v>
      </c>
      <c r="S1797" s="7" t="n">
        <v>0</v>
      </c>
      <c r="T1797" s="3" t="n">
        <f aca="false">_xlfn.MINIFS($B$2:$B$2705,$A$2:$A$2705,A1797)</f>
        <v>1901</v>
      </c>
      <c r="U1797" s="3" t="n">
        <f aca="false">B1797-T1797</f>
        <v>94</v>
      </c>
      <c r="V1797" s="3" t="str">
        <f aca="false">INDEX(Pop_Inputs!$Q$2:$Q$29,MATCH(C1797,Pop_Inputs!$A$2:$A$29,0))</f>
        <v>Midwest</v>
      </c>
      <c r="W1797" s="29" t="n">
        <v>25410500</v>
      </c>
      <c r="X1797" s="3" t="n">
        <f aca="false">IF(W1797="","",LN(W1797))</f>
        <v>17.0506730323952</v>
      </c>
      <c r="Y1797" s="3" t="n">
        <f aca="false">IF(X1797="","",X1797-AVERAGEIFS($X$2:$X$2705,$B$2:$B$2705,B1797))</f>
        <v>-0.245864392292081</v>
      </c>
      <c r="Z1797" s="21" t="n">
        <f aca="false">P1797</f>
        <v>-0.786750579185279</v>
      </c>
      <c r="AA1797" s="3" t="n">
        <f aca="false">R1797</f>
        <v>0</v>
      </c>
      <c r="AB1797" s="21" t="n">
        <f aca="false">P1797</f>
        <v>-0.786750579185279</v>
      </c>
      <c r="AC1797" s="3" t="n">
        <f aca="false">Y1797</f>
        <v>-0.245864392292081</v>
      </c>
      <c r="AD1797" s="3" t="n">
        <f aca="false">R1797</f>
        <v>0</v>
      </c>
    </row>
    <row r="1798" customFormat="false" ht="15" hidden="false" customHeight="true" outlineLevel="0" collapsed="false">
      <c r="A1798" s="7" t="s">
        <v>75</v>
      </c>
      <c r="B1798" s="7" t="n">
        <v>1995</v>
      </c>
      <c r="C1798" s="7" t="s">
        <v>154</v>
      </c>
      <c r="D1798" s="7" t="n">
        <v>69</v>
      </c>
      <c r="E1798" s="7" t="n">
        <v>75</v>
      </c>
      <c r="F1798" s="3" t="n">
        <f aca="false">COUNTIFS($B$2:$B$2705,B1798,$C$2:$C$2705,C1798)</f>
        <v>2</v>
      </c>
      <c r="G1798" s="3" t="n">
        <f aca="false">MIN(INT((MIN(B1798,2020)-1900)/10)+1,12)</f>
        <v>10</v>
      </c>
      <c r="H1798" s="3" t="n">
        <f aca="false">(MIN(B1798,2020)-1900-10*(G1798-1))/10</f>
        <v>0.5</v>
      </c>
      <c r="I1798" s="20" t="n">
        <f aca="false">EXP(LN(INDEX(Pop_Inputs!$B$2:$N$29,MATCH(C1798,Pop_Inputs!$A$2:$A$29,0),G1798))*(1-H1798)+LN(INDEX(Pop_Inputs!$B$2:$N$29,MATCH(C1798,Pop_Inputs!$A$2:$A$29,0),G1798+1))*H1798)</f>
        <v>7657749.55093154</v>
      </c>
      <c r="J1798" s="20" t="n">
        <f aca="false">I1798/F1798</f>
        <v>3828874.77546577</v>
      </c>
      <c r="K1798" s="21" t="n">
        <f aca="false">D1798/(D1798+E1798)</f>
        <v>0.479166666666667</v>
      </c>
      <c r="L1798" s="21" t="n">
        <f aca="false">AVERAGEIFS($K$2:$K$2705,$B$2:$B$2705,B1798)</f>
        <v>0.499955193274159</v>
      </c>
      <c r="M1798" s="21" t="n">
        <f aca="false">K1798-L1798</f>
        <v>-0.0207885266074921</v>
      </c>
      <c r="N1798" s="21" t="n">
        <f aca="false">LN(J1798)</f>
        <v>15.1580815256848</v>
      </c>
      <c r="O1798" s="21" t="n">
        <f aca="false">AVERAGEIFS($N$2:$N$2705,$B$2:$B$2705,B1798)</f>
        <v>13.6225859882903</v>
      </c>
      <c r="P1798" s="21" t="n">
        <f aca="false">N1798-O1798</f>
        <v>1.53549553739457</v>
      </c>
      <c r="Q1798" s="7" t="n">
        <v>1</v>
      </c>
      <c r="R1798" s="3" t="n">
        <f aca="false">IF(AND(Q1798=1,B1798-_xlfn.MINIFS($B$2:$B$2705,$A$2:$A$2705,A1798)&lt;10),1,0)</f>
        <v>0</v>
      </c>
      <c r="S1798" s="7" t="n">
        <v>0</v>
      </c>
      <c r="T1798" s="3" t="n">
        <f aca="false">_xlfn.MINIFS($B$2:$B$2705,$A$2:$A$2705,A1798)</f>
        <v>1962</v>
      </c>
      <c r="U1798" s="3" t="n">
        <f aca="false">B1798-T1798</f>
        <v>33</v>
      </c>
      <c r="V1798" s="3" t="str">
        <f aca="false">INDEX(Pop_Inputs!$Q$2:$Q$29,MATCH(C1798,Pop_Inputs!$A$2:$A$29,0))</f>
        <v>Northeast</v>
      </c>
      <c r="W1798" s="29" t="n">
        <v>27674992</v>
      </c>
      <c r="X1798" s="3" t="n">
        <f aca="false">IF(W1798="","",LN(W1798))</f>
        <v>17.1360397474894</v>
      </c>
      <c r="Y1798" s="3" t="n">
        <f aca="false">IF(X1798="","",X1798-AVERAGEIFS($X$2:$X$2705,$B$2:$B$2705,B1798))</f>
        <v>-0.16049767719786</v>
      </c>
      <c r="Z1798" s="21" t="n">
        <f aca="false">P1798</f>
        <v>1.53549553739457</v>
      </c>
      <c r="AA1798" s="3" t="n">
        <f aca="false">R1798</f>
        <v>0</v>
      </c>
      <c r="AB1798" s="21" t="n">
        <f aca="false">P1798</f>
        <v>1.53549553739457</v>
      </c>
      <c r="AC1798" s="3" t="n">
        <f aca="false">Y1798</f>
        <v>-0.16049767719786</v>
      </c>
      <c r="AD1798" s="3" t="n">
        <f aca="false">R1798</f>
        <v>0</v>
      </c>
    </row>
    <row r="1799" customFormat="false" ht="15" hidden="false" customHeight="true" outlineLevel="0" collapsed="false">
      <c r="A1799" s="7" t="s">
        <v>70</v>
      </c>
      <c r="B1799" s="7" t="n">
        <v>1995</v>
      </c>
      <c r="C1799" s="7" t="s">
        <v>154</v>
      </c>
      <c r="D1799" s="7" t="n">
        <v>79</v>
      </c>
      <c r="E1799" s="7" t="n">
        <v>65</v>
      </c>
      <c r="F1799" s="3" t="n">
        <f aca="false">COUNTIFS($B$2:$B$2705,B1799,$C$2:$C$2705,C1799)</f>
        <v>2</v>
      </c>
      <c r="G1799" s="3" t="n">
        <f aca="false">MIN(INT((MIN(B1799,2020)-1900)/10)+1,12)</f>
        <v>10</v>
      </c>
      <c r="H1799" s="3" t="n">
        <f aca="false">(MIN(B1799,2020)-1900-10*(G1799-1))/10</f>
        <v>0.5</v>
      </c>
      <c r="I1799" s="20" t="n">
        <f aca="false">EXP(LN(INDEX(Pop_Inputs!$B$2:$N$29,MATCH(C1799,Pop_Inputs!$A$2:$A$29,0),G1799))*(1-H1799)+LN(INDEX(Pop_Inputs!$B$2:$N$29,MATCH(C1799,Pop_Inputs!$A$2:$A$29,0),G1799+1))*H1799)</f>
        <v>7657749.55093154</v>
      </c>
      <c r="J1799" s="20" t="n">
        <f aca="false">I1799/F1799</f>
        <v>3828874.77546577</v>
      </c>
      <c r="K1799" s="21" t="n">
        <f aca="false">D1799/(D1799+E1799)</f>
        <v>0.548611111111111</v>
      </c>
      <c r="L1799" s="21" t="n">
        <f aca="false">AVERAGEIFS($K$2:$K$2705,$B$2:$B$2705,B1799)</f>
        <v>0.499955193274159</v>
      </c>
      <c r="M1799" s="21" t="n">
        <f aca="false">K1799-L1799</f>
        <v>0.0486559178369524</v>
      </c>
      <c r="N1799" s="21" t="n">
        <f aca="false">LN(J1799)</f>
        <v>15.1580815256848</v>
      </c>
      <c r="O1799" s="21" t="n">
        <f aca="false">AVERAGEIFS($N$2:$N$2705,$B$2:$B$2705,B1799)</f>
        <v>13.6225859882903</v>
      </c>
      <c r="P1799" s="21" t="n">
        <f aca="false">N1799-O1799</f>
        <v>1.53549553739457</v>
      </c>
      <c r="Q1799" s="7" t="n">
        <v>0</v>
      </c>
      <c r="R1799" s="3" t="n">
        <f aca="false">IF(AND(Q1799=1,B1799-_xlfn.MINIFS($B$2:$B$2705,$A$2:$A$2705,A1799)&lt;10),1,0)</f>
        <v>0</v>
      </c>
      <c r="S1799" s="7" t="n">
        <v>1</v>
      </c>
      <c r="T1799" s="3" t="n">
        <f aca="false">_xlfn.MINIFS($B$2:$B$2705,$A$2:$A$2705,A1799)</f>
        <v>1903</v>
      </c>
      <c r="U1799" s="3" t="n">
        <f aca="false">B1799-T1799</f>
        <v>92</v>
      </c>
      <c r="V1799" s="3" t="str">
        <f aca="false">INDEX(Pop_Inputs!$Q$2:$Q$29,MATCH(C1799,Pop_Inputs!$A$2:$A$29,0))</f>
        <v>Northeast</v>
      </c>
      <c r="W1799" s="29" t="n">
        <v>48874851</v>
      </c>
      <c r="X1799" s="3" t="n">
        <f aca="false">IF(W1799="","",LN(W1799))</f>
        <v>17.7047735276718</v>
      </c>
      <c r="Y1799" s="3" t="n">
        <f aca="false">IF(X1799="","",X1799-AVERAGEIFS($X$2:$X$2705,$B$2:$B$2705,B1799))</f>
        <v>0.408236102984571</v>
      </c>
      <c r="Z1799" s="21" t="n">
        <f aca="false">P1799</f>
        <v>1.53549553739457</v>
      </c>
      <c r="AA1799" s="3" t="n">
        <f aca="false">R1799</f>
        <v>0</v>
      </c>
      <c r="AB1799" s="21" t="n">
        <f aca="false">P1799</f>
        <v>1.53549553739457</v>
      </c>
      <c r="AC1799" s="3" t="n">
        <f aca="false">Y1799</f>
        <v>0.408236102984571</v>
      </c>
      <c r="AD1799" s="3" t="n">
        <f aca="false">R1799</f>
        <v>0</v>
      </c>
    </row>
    <row r="1800" customFormat="false" ht="15" hidden="false" customHeight="true" outlineLevel="0" collapsed="false">
      <c r="A1800" s="7" t="s">
        <v>69</v>
      </c>
      <c r="B1800" s="7" t="n">
        <v>1995</v>
      </c>
      <c r="C1800" s="7" t="s">
        <v>253</v>
      </c>
      <c r="D1800" s="7" t="n">
        <v>67</v>
      </c>
      <c r="E1800" s="7" t="n">
        <v>77</v>
      </c>
      <c r="F1800" s="3" t="n">
        <f aca="false">COUNTIFS($B$2:$B$2705,B1800,$C$2:$C$2705,C1800)</f>
        <v>1</v>
      </c>
      <c r="G1800" s="3" t="n">
        <f aca="false">MIN(INT((MIN(B1800,2020)-1900)/10)+1,12)</f>
        <v>10</v>
      </c>
      <c r="H1800" s="3" t="n">
        <f aca="false">(MIN(B1800,2020)-1900-10*(G1800-1))/10</f>
        <v>0.5</v>
      </c>
      <c r="I1800" s="20" t="n">
        <f aca="false">EXP(LN(INDEX(Pop_Inputs!$B$2:$N$29,MATCH(C1800,Pop_Inputs!$A$2:$A$29,0),G1800))*(1-H1800)+LN(INDEX(Pop_Inputs!$B$2:$N$29,MATCH(C1800,Pop_Inputs!$A$2:$A$29,0),G1800+1))*H1800)</f>
        <v>385622.513772212</v>
      </c>
      <c r="J1800" s="20" t="n">
        <f aca="false">I1800/F1800</f>
        <v>385622.513772212</v>
      </c>
      <c r="K1800" s="21" t="n">
        <f aca="false">D1800/(D1800+E1800)</f>
        <v>0.465277777777778</v>
      </c>
      <c r="L1800" s="21" t="n">
        <f aca="false">AVERAGEIFS($K$2:$K$2705,$B$2:$B$2705,B1800)</f>
        <v>0.499955193274159</v>
      </c>
      <c r="M1800" s="21" t="n">
        <f aca="false">K1800-L1800</f>
        <v>-0.034677415496381</v>
      </c>
      <c r="N1800" s="21" t="n">
        <f aca="false">LN(J1800)</f>
        <v>12.8626142263528</v>
      </c>
      <c r="O1800" s="21" t="n">
        <f aca="false">AVERAGEIFS($N$2:$N$2705,$B$2:$B$2705,B1800)</f>
        <v>13.6225859882903</v>
      </c>
      <c r="P1800" s="21" t="n">
        <f aca="false">N1800-O1800</f>
        <v>-0.759971761937416</v>
      </c>
      <c r="Q1800" s="7" t="n">
        <v>0</v>
      </c>
      <c r="R1800" s="3" t="n">
        <f aca="false">IF(AND(Q1800=1,B1800-_xlfn.MINIFS($B$2:$B$2705,$A$2:$A$2705,A1800)&lt;10),1,0)</f>
        <v>0</v>
      </c>
      <c r="S1800" s="7" t="n">
        <v>0</v>
      </c>
      <c r="T1800" s="3" t="n">
        <f aca="false">_xlfn.MINIFS($B$2:$B$2705,$A$2:$A$2705,A1800)</f>
        <v>1901</v>
      </c>
      <c r="U1800" s="3" t="n">
        <f aca="false">B1800-T1800</f>
        <v>94</v>
      </c>
      <c r="V1800" s="3" t="str">
        <f aca="false">INDEX(Pop_Inputs!$Q$2:$Q$29,MATCH(C1800,Pop_Inputs!$A$2:$A$29,0))</f>
        <v>West</v>
      </c>
      <c r="W1800" s="29" t="n">
        <v>37739225</v>
      </c>
      <c r="X1800" s="3" t="n">
        <f aca="false">IF(W1800="","",LN(W1800))</f>
        <v>17.4462105624527</v>
      </c>
      <c r="Y1800" s="3" t="n">
        <f aca="false">IF(X1800="","",X1800-AVERAGEIFS($X$2:$X$2705,$B$2:$B$2705,B1800))</f>
        <v>0.149673137765468</v>
      </c>
      <c r="Z1800" s="21" t="n">
        <f aca="false">P1800</f>
        <v>-0.759971761937416</v>
      </c>
      <c r="AA1800" s="3" t="n">
        <f aca="false">R1800</f>
        <v>0</v>
      </c>
      <c r="AB1800" s="21" t="n">
        <f aca="false">P1800</f>
        <v>-0.759971761937416</v>
      </c>
      <c r="AC1800" s="3" t="n">
        <f aca="false">Y1800</f>
        <v>0.149673137765468</v>
      </c>
      <c r="AD1800" s="3" t="n">
        <f aca="false">R1800</f>
        <v>0</v>
      </c>
    </row>
    <row r="1801" customFormat="false" ht="15" hidden="false" customHeight="true" outlineLevel="0" collapsed="false">
      <c r="A1801" s="7" t="s">
        <v>60</v>
      </c>
      <c r="B1801" s="7" t="n">
        <v>1995</v>
      </c>
      <c r="C1801" s="7" t="s">
        <v>146</v>
      </c>
      <c r="D1801" s="7" t="n">
        <v>69</v>
      </c>
      <c r="E1801" s="7" t="n">
        <v>75</v>
      </c>
      <c r="F1801" s="3" t="n">
        <f aca="false">COUNTIFS($B$2:$B$2705,B1801,$C$2:$C$2705,C1801)</f>
        <v>1</v>
      </c>
      <c r="G1801" s="3" t="n">
        <f aca="false">MIN(INT((MIN(B1801,2020)-1900)/10)+1,12)</f>
        <v>10</v>
      </c>
      <c r="H1801" s="3" t="n">
        <f aca="false">(MIN(B1801,2020)-1900-10*(G1801-1))/10</f>
        <v>0.5</v>
      </c>
      <c r="I1801" s="20" t="n">
        <f aca="false">EXP(LN(INDEX(Pop_Inputs!$B$2:$N$29,MATCH(C1801,Pop_Inputs!$A$2:$A$29,0),G1801))*(1-H1801)+LN(INDEX(Pop_Inputs!$B$2:$N$29,MATCH(C1801,Pop_Inputs!$A$2:$A$29,0),G1801+1))*H1801)</f>
        <v>1551190.63185348</v>
      </c>
      <c r="J1801" s="20" t="n">
        <f aca="false">I1801/F1801</f>
        <v>1551190.63185348</v>
      </c>
      <c r="K1801" s="21" t="n">
        <f aca="false">D1801/(D1801+E1801)</f>
        <v>0.479166666666667</v>
      </c>
      <c r="L1801" s="21" t="n">
        <f aca="false">AVERAGEIFS($K$2:$K$2705,$B$2:$B$2705,B1801)</f>
        <v>0.499955193274159</v>
      </c>
      <c r="M1801" s="21" t="n">
        <f aca="false">K1801-L1801</f>
        <v>-0.0207885266074921</v>
      </c>
      <c r="N1801" s="21" t="n">
        <f aca="false">LN(J1801)</f>
        <v>14.2545333436024</v>
      </c>
      <c r="O1801" s="21" t="n">
        <f aca="false">AVERAGEIFS($N$2:$N$2705,$B$2:$B$2705,B1801)</f>
        <v>13.6225859882903</v>
      </c>
      <c r="P1801" s="21" t="n">
        <f aca="false">N1801-O1801</f>
        <v>0.631947355312173</v>
      </c>
      <c r="Q1801" s="7" t="n">
        <v>0</v>
      </c>
      <c r="R1801" s="3" t="n">
        <f aca="false">IF(AND(Q1801=1,B1801-_xlfn.MINIFS($B$2:$B$2705,$A$2:$A$2705,A1801)&lt;10),1,0)</f>
        <v>0</v>
      </c>
      <c r="S1801" s="7" t="n">
        <v>0</v>
      </c>
      <c r="T1801" s="3" t="n">
        <f aca="false">_xlfn.MINIFS($B$2:$B$2705,$A$2:$A$2705,A1801)</f>
        <v>1901</v>
      </c>
      <c r="U1801" s="3" t="n">
        <f aca="false">B1801-T1801</f>
        <v>94</v>
      </c>
      <c r="V1801" s="3" t="str">
        <f aca="false">INDEX(Pop_Inputs!$Q$2:$Q$29,MATCH(C1801,Pop_Inputs!$A$2:$A$29,0))</f>
        <v>Northeast</v>
      </c>
      <c r="W1801" s="29" t="n">
        <v>30555945</v>
      </c>
      <c r="X1801" s="3" t="n">
        <f aca="false">IF(W1801="","",LN(W1801))</f>
        <v>17.235069823668</v>
      </c>
      <c r="Y1801" s="3" t="n">
        <f aca="false">IF(X1801="","",X1801-AVERAGEIFS($X$2:$X$2705,$B$2:$B$2705,B1801))</f>
        <v>-0.0614676010192881</v>
      </c>
      <c r="Z1801" s="21" t="n">
        <f aca="false">P1801</f>
        <v>0.631947355312173</v>
      </c>
      <c r="AA1801" s="3" t="n">
        <f aca="false">R1801</f>
        <v>0</v>
      </c>
      <c r="AB1801" s="21" t="n">
        <f aca="false">P1801</f>
        <v>0.631947355312173</v>
      </c>
      <c r="AC1801" s="3" t="n">
        <f aca="false">Y1801</f>
        <v>-0.0614676010192881</v>
      </c>
      <c r="AD1801" s="3" t="n">
        <f aca="false">R1801</f>
        <v>0</v>
      </c>
    </row>
    <row r="1802" customFormat="false" ht="15" hidden="false" customHeight="true" outlineLevel="0" collapsed="false">
      <c r="A1802" s="7" t="s">
        <v>58</v>
      </c>
      <c r="B1802" s="7" t="n">
        <v>1995</v>
      </c>
      <c r="C1802" s="7" t="s">
        <v>144</v>
      </c>
      <c r="D1802" s="7" t="n">
        <v>58</v>
      </c>
      <c r="E1802" s="7" t="n">
        <v>86</v>
      </c>
      <c r="F1802" s="3" t="n">
        <f aca="false">COUNTIFS($B$2:$B$2705,B1802,$C$2:$C$2705,C1802)</f>
        <v>1</v>
      </c>
      <c r="G1802" s="3" t="n">
        <f aca="false">MIN(INT((MIN(B1802,2020)-1900)/10)+1,12)</f>
        <v>10</v>
      </c>
      <c r="H1802" s="3" t="n">
        <f aca="false">(MIN(B1802,2020)-1900-10*(G1802-1))/10</f>
        <v>0.5</v>
      </c>
      <c r="I1802" s="20" t="n">
        <f aca="false">EXP(LN(INDEX(Pop_Inputs!$B$2:$N$29,MATCH(C1802,Pop_Inputs!$A$2:$A$29,0),G1802))*(1-H1802)+LN(INDEX(Pop_Inputs!$B$2:$N$29,MATCH(C1802,Pop_Inputs!$A$2:$A$29,0),G1802+1))*H1802)</f>
        <v>351778.094652013</v>
      </c>
      <c r="J1802" s="20" t="n">
        <f aca="false">I1802/F1802</f>
        <v>351778.094652013</v>
      </c>
      <c r="K1802" s="21" t="n">
        <f aca="false">D1802/(D1802+E1802)</f>
        <v>0.402777777777778</v>
      </c>
      <c r="L1802" s="21" t="n">
        <f aca="false">AVERAGEIFS($K$2:$K$2705,$B$2:$B$2705,B1802)</f>
        <v>0.499955193274159</v>
      </c>
      <c r="M1802" s="21" t="n">
        <f aca="false">K1802-L1802</f>
        <v>-0.097177415496381</v>
      </c>
      <c r="N1802" s="21" t="n">
        <f aca="false">LN(J1802)</f>
        <v>12.770755842866</v>
      </c>
      <c r="O1802" s="21" t="n">
        <f aca="false">AVERAGEIFS($N$2:$N$2705,$B$2:$B$2705,B1802)</f>
        <v>13.6225859882903</v>
      </c>
      <c r="P1802" s="21" t="n">
        <f aca="false">N1802-O1802</f>
        <v>-0.851830145424215</v>
      </c>
      <c r="Q1802" s="7" t="n">
        <v>0</v>
      </c>
      <c r="R1802" s="3" t="n">
        <f aca="false">IF(AND(Q1802=1,B1802-_xlfn.MINIFS($B$2:$B$2705,$A$2:$A$2705,A1802)&lt;10),1,0)</f>
        <v>0</v>
      </c>
      <c r="S1802" s="7" t="n">
        <v>0</v>
      </c>
      <c r="T1802" s="3" t="n">
        <f aca="false">_xlfn.MINIFS($B$2:$B$2705,$A$2:$A$2705,A1802)</f>
        <v>1901</v>
      </c>
      <c r="U1802" s="3" t="n">
        <f aca="false">B1802-T1802</f>
        <v>94</v>
      </c>
      <c r="V1802" s="3" t="str">
        <f aca="false">INDEX(Pop_Inputs!$Q$2:$Q$29,MATCH(C1802,Pop_Inputs!$A$2:$A$29,0))</f>
        <v>Northeast</v>
      </c>
      <c r="W1802" s="29" t="n">
        <v>18355345</v>
      </c>
      <c r="X1802" s="3" t="n">
        <f aca="false">IF(W1802="","",LN(W1802))</f>
        <v>16.7254313707048</v>
      </c>
      <c r="Y1802" s="3" t="n">
        <f aca="false">IF(X1802="","",X1802-AVERAGEIFS($X$2:$X$2705,$B$2:$B$2705,B1802))</f>
        <v>-0.571106053982408</v>
      </c>
      <c r="Z1802" s="21" t="n">
        <f aca="false">P1802</f>
        <v>-0.851830145424215</v>
      </c>
      <c r="AA1802" s="3" t="n">
        <f aca="false">R1802</f>
        <v>0</v>
      </c>
      <c r="AB1802" s="21" t="n">
        <f aca="false">P1802</f>
        <v>-0.851830145424215</v>
      </c>
      <c r="AC1802" s="3" t="n">
        <f aca="false">Y1802</f>
        <v>-0.571106053982408</v>
      </c>
      <c r="AD1802" s="3" t="n">
        <f aca="false">R1802</f>
        <v>0</v>
      </c>
    </row>
    <row r="1803" customFormat="false" ht="15" hidden="false" customHeight="true" outlineLevel="0" collapsed="false">
      <c r="A1803" s="7" t="s">
        <v>78</v>
      </c>
      <c r="B1803" s="7" t="n">
        <v>1995</v>
      </c>
      <c r="C1803" s="7" t="s">
        <v>159</v>
      </c>
      <c r="D1803" s="7" t="n">
        <v>70</v>
      </c>
      <c r="E1803" s="7" t="n">
        <v>74</v>
      </c>
      <c r="F1803" s="3" t="n">
        <f aca="false">COUNTIFS($B$2:$B$2705,B1803,$C$2:$C$2705,C1803)</f>
        <v>1</v>
      </c>
      <c r="G1803" s="3" t="n">
        <f aca="false">MIN(INT((MIN(B1803,2020)-1900)/10)+1,12)</f>
        <v>10</v>
      </c>
      <c r="H1803" s="3" t="n">
        <f aca="false">(MIN(B1803,2020)-1900-10*(G1803-1))/10</f>
        <v>0.5</v>
      </c>
      <c r="I1803" s="20" t="n">
        <f aca="false">EXP(LN(INDEX(Pop_Inputs!$B$2:$N$29,MATCH(C1803,Pop_Inputs!$A$2:$A$29,0),G1803))*(1-H1803)+LN(INDEX(Pop_Inputs!$B$2:$N$29,MATCH(C1803,Pop_Inputs!$A$2:$A$29,0),G1803+1))*H1803)</f>
        <v>1165609.5601015</v>
      </c>
      <c r="J1803" s="20" t="n">
        <f aca="false">I1803/F1803</f>
        <v>1165609.5601015</v>
      </c>
      <c r="K1803" s="21" t="n">
        <f aca="false">D1803/(D1803+E1803)</f>
        <v>0.486111111111111</v>
      </c>
      <c r="L1803" s="21" t="n">
        <f aca="false">AVERAGEIFS($K$2:$K$2705,$B$2:$B$2705,B1803)</f>
        <v>0.499955193274159</v>
      </c>
      <c r="M1803" s="21" t="n">
        <f aca="false">K1803-L1803</f>
        <v>-0.0138440821630477</v>
      </c>
      <c r="N1803" s="21" t="n">
        <f aca="false">LN(J1803)</f>
        <v>13.9687547357011</v>
      </c>
      <c r="O1803" s="21" t="n">
        <f aca="false">AVERAGEIFS($N$2:$N$2705,$B$2:$B$2705,B1803)</f>
        <v>13.6225859882903</v>
      </c>
      <c r="P1803" s="21" t="n">
        <f aca="false">N1803-O1803</f>
        <v>0.346168747410809</v>
      </c>
      <c r="Q1803" s="7" t="n">
        <v>1</v>
      </c>
      <c r="R1803" s="3" t="n">
        <f aca="false">IF(AND(Q1803=1,B1803-_xlfn.MINIFS($B$2:$B$2705,$A$2:$A$2705,A1803)&lt;10),1,0)</f>
        <v>0</v>
      </c>
      <c r="S1803" s="7" t="n">
        <v>0</v>
      </c>
      <c r="T1803" s="3" t="n">
        <f aca="false">_xlfn.MINIFS($B$2:$B$2705,$A$2:$A$2705,A1803)</f>
        <v>1969</v>
      </c>
      <c r="U1803" s="3" t="n">
        <f aca="false">B1803-T1803</f>
        <v>26</v>
      </c>
      <c r="V1803" s="3" t="str">
        <f aca="false">INDEX(Pop_Inputs!$Q$2:$Q$29,MATCH(C1803,Pop_Inputs!$A$2:$A$29,0))</f>
        <v>West</v>
      </c>
      <c r="W1803" s="29" t="n">
        <v>26382334</v>
      </c>
      <c r="X1803" s="3" t="n">
        <f aca="false">IF(W1803="","",LN(W1803))</f>
        <v>17.0882051774579</v>
      </c>
      <c r="Y1803" s="3" t="n">
        <f aca="false">IF(X1803="","",X1803-AVERAGEIFS($X$2:$X$2705,$B$2:$B$2705,B1803))</f>
        <v>-0.208332247229304</v>
      </c>
      <c r="Z1803" s="21" t="n">
        <f aca="false">P1803</f>
        <v>0.346168747410809</v>
      </c>
      <c r="AA1803" s="3" t="n">
        <f aca="false">R1803</f>
        <v>0</v>
      </c>
      <c r="AB1803" s="21" t="n">
        <f aca="false">P1803</f>
        <v>0.346168747410809</v>
      </c>
      <c r="AC1803" s="3" t="n">
        <f aca="false">Y1803</f>
        <v>-0.208332247229304</v>
      </c>
      <c r="AD1803" s="3" t="n">
        <f aca="false">R1803</f>
        <v>0</v>
      </c>
    </row>
    <row r="1804" customFormat="false" ht="15" hidden="false" customHeight="true" outlineLevel="0" collapsed="false">
      <c r="A1804" s="7" t="s">
        <v>80</v>
      </c>
      <c r="B1804" s="7" t="n">
        <v>1995</v>
      </c>
      <c r="C1804" s="7" t="s">
        <v>161</v>
      </c>
      <c r="D1804" s="7" t="n">
        <v>79</v>
      </c>
      <c r="E1804" s="7" t="n">
        <v>66</v>
      </c>
      <c r="F1804" s="3" t="n">
        <f aca="false">COUNTIFS($B$2:$B$2705,B1804,$C$2:$C$2705,C1804)</f>
        <v>1</v>
      </c>
      <c r="G1804" s="3" t="n">
        <f aca="false">MIN(INT((MIN(B1804,2020)-1900)/10)+1,12)</f>
        <v>10</v>
      </c>
      <c r="H1804" s="3" t="n">
        <f aca="false">(MIN(B1804,2020)-1900-10*(G1804-1))/10</f>
        <v>0.5</v>
      </c>
      <c r="I1804" s="20" t="n">
        <f aca="false">EXP(LN(INDEX(Pop_Inputs!$B$2:$N$29,MATCH(C1804,Pop_Inputs!$A$2:$A$29,0),G1804))*(1-H1804)+LN(INDEX(Pop_Inputs!$B$2:$N$29,MATCH(C1804,Pop_Inputs!$A$2:$A$29,0),G1804+1))*H1804)</f>
        <v>539302.232394786</v>
      </c>
      <c r="J1804" s="20" t="n">
        <f aca="false">I1804/F1804</f>
        <v>539302.232394786</v>
      </c>
      <c r="K1804" s="21" t="n">
        <f aca="false">D1804/(D1804+E1804)</f>
        <v>0.544827586206897</v>
      </c>
      <c r="L1804" s="21" t="n">
        <f aca="false">AVERAGEIFS($K$2:$K$2705,$B$2:$B$2705,B1804)</f>
        <v>0.499955193274159</v>
      </c>
      <c r="M1804" s="21" t="n">
        <f aca="false">K1804-L1804</f>
        <v>0.0448723929327378</v>
      </c>
      <c r="N1804" s="21" t="n">
        <f aca="false">LN(J1804)</f>
        <v>13.1980314207471</v>
      </c>
      <c r="O1804" s="21" t="n">
        <f aca="false">AVERAGEIFS($N$2:$N$2705,$B$2:$B$2705,B1804)</f>
        <v>13.6225859882903</v>
      </c>
      <c r="P1804" s="21" t="n">
        <f aca="false">N1804-O1804</f>
        <v>-0.424554567543154</v>
      </c>
      <c r="Q1804" s="7" t="n">
        <v>1</v>
      </c>
      <c r="R1804" s="3" t="n">
        <f aca="false">IF(AND(Q1804=1,B1804-_xlfn.MINIFS($B$2:$B$2705,$A$2:$A$2705,A1804)&lt;10),1,0)</f>
        <v>0</v>
      </c>
      <c r="S1804" s="7" t="n">
        <v>0</v>
      </c>
      <c r="T1804" s="3" t="n">
        <f aca="false">_xlfn.MINIFS($B$2:$B$2705,$A$2:$A$2705,A1804)</f>
        <v>1977</v>
      </c>
      <c r="U1804" s="3" t="n">
        <f aca="false">B1804-T1804</f>
        <v>18</v>
      </c>
      <c r="V1804" s="3" t="str">
        <f aca="false">INDEX(Pop_Inputs!$Q$2:$Q$29,MATCH(C1804,Pop_Inputs!$A$2:$A$29,0))</f>
        <v>West</v>
      </c>
      <c r="W1804" s="29" t="n">
        <v>36481311</v>
      </c>
      <c r="X1804" s="3" t="n">
        <f aca="false">IF(W1804="","",LN(W1804))</f>
        <v>17.4123106600247</v>
      </c>
      <c r="Y1804" s="3" t="n">
        <f aca="false">IF(X1804="","",X1804-AVERAGEIFS($X$2:$X$2705,$B$2:$B$2705,B1804))</f>
        <v>0.115773235337432</v>
      </c>
      <c r="Z1804" s="21" t="n">
        <f aca="false">P1804</f>
        <v>-0.424554567543154</v>
      </c>
      <c r="AA1804" s="3" t="n">
        <f aca="false">R1804</f>
        <v>0</v>
      </c>
      <c r="AB1804" s="21" t="n">
        <f aca="false">P1804</f>
        <v>-0.424554567543154</v>
      </c>
      <c r="AC1804" s="3" t="n">
        <f aca="false">Y1804</f>
        <v>0.115773235337432</v>
      </c>
      <c r="AD1804" s="3" t="n">
        <f aca="false">R1804</f>
        <v>0</v>
      </c>
    </row>
    <row r="1805" customFormat="false" ht="15" hidden="false" customHeight="true" outlineLevel="0" collapsed="false">
      <c r="A1805" s="7" t="s">
        <v>61</v>
      </c>
      <c r="B1805" s="7" t="n">
        <v>1995</v>
      </c>
      <c r="C1805" s="7" t="s">
        <v>147</v>
      </c>
      <c r="D1805" s="7" t="n">
        <v>67</v>
      </c>
      <c r="E1805" s="7" t="n">
        <v>77</v>
      </c>
      <c r="F1805" s="3" t="n">
        <f aca="false">COUNTIFS($B$2:$B$2705,B1805,$C$2:$C$2705,C1805)</f>
        <v>1</v>
      </c>
      <c r="G1805" s="3" t="n">
        <f aca="false">MIN(INT((MIN(B1805,2020)-1900)/10)+1,12)</f>
        <v>10</v>
      </c>
      <c r="H1805" s="3" t="n">
        <f aca="false">(MIN(B1805,2020)-1900-10*(G1805-1))/10</f>
        <v>0.5</v>
      </c>
      <c r="I1805" s="20" t="n">
        <f aca="false">EXP(LN(INDEX(Pop_Inputs!$B$2:$N$29,MATCH(C1805,Pop_Inputs!$A$2:$A$29,0),G1805))*(1-H1805)+LN(INDEX(Pop_Inputs!$B$2:$N$29,MATCH(C1805,Pop_Inputs!$A$2:$A$29,0),G1805+1))*H1805)</f>
        <v>749881.887997703</v>
      </c>
      <c r="J1805" s="20" t="n">
        <f aca="false">I1805/F1805</f>
        <v>749881.887997703</v>
      </c>
      <c r="K1805" s="21" t="n">
        <f aca="false">D1805/(D1805+E1805)</f>
        <v>0.465277777777778</v>
      </c>
      <c r="L1805" s="21" t="n">
        <f aca="false">AVERAGEIFS($K$2:$K$2705,$B$2:$B$2705,B1805)</f>
        <v>0.499955193274159</v>
      </c>
      <c r="M1805" s="21" t="n">
        <f aca="false">K1805-L1805</f>
        <v>-0.034677415496381</v>
      </c>
      <c r="N1805" s="21" t="n">
        <f aca="false">LN(J1805)</f>
        <v>13.5276709904411</v>
      </c>
      <c r="O1805" s="21" t="n">
        <f aca="false">AVERAGEIFS($N$2:$N$2705,$B$2:$B$2705,B1805)</f>
        <v>13.6225859882903</v>
      </c>
      <c r="P1805" s="21" t="n">
        <f aca="false">N1805-O1805</f>
        <v>-0.0949149978491857</v>
      </c>
      <c r="Q1805" s="7" t="n">
        <v>0</v>
      </c>
      <c r="R1805" s="3" t="n">
        <f aca="false">IF(AND(Q1805=1,B1805-_xlfn.MINIFS($B$2:$B$2705,$A$2:$A$2705,A1805)&lt;10),1,0)</f>
        <v>0</v>
      </c>
      <c r="S1805" s="7" t="n">
        <v>0</v>
      </c>
      <c r="T1805" s="3" t="n">
        <f aca="false">_xlfn.MINIFS($B$2:$B$2705,$A$2:$A$2705,A1805)</f>
        <v>1901</v>
      </c>
      <c r="U1805" s="3" t="n">
        <f aca="false">B1805-T1805</f>
        <v>94</v>
      </c>
      <c r="V1805" s="3" t="str">
        <f aca="false">INDEX(Pop_Inputs!$Q$2:$Q$29,MATCH(C1805,Pop_Inputs!$A$2:$A$29,0))</f>
        <v>West</v>
      </c>
      <c r="W1805" s="29" t="n">
        <v>36462777</v>
      </c>
      <c r="X1805" s="3" t="n">
        <f aca="false">IF(W1805="","",LN(W1805))</f>
        <v>17.4118024899753</v>
      </c>
      <c r="Y1805" s="3" t="n">
        <f aca="false">IF(X1805="","",X1805-AVERAGEIFS($X$2:$X$2705,$B$2:$B$2705,B1805))</f>
        <v>0.115265065288096</v>
      </c>
      <c r="Z1805" s="21" t="n">
        <f aca="false">P1805</f>
        <v>-0.0949149978491857</v>
      </c>
      <c r="AA1805" s="3" t="n">
        <f aca="false">R1805</f>
        <v>0</v>
      </c>
      <c r="AB1805" s="21" t="n">
        <f aca="false">P1805</f>
        <v>-0.0949149978491857</v>
      </c>
      <c r="AC1805" s="3" t="n">
        <f aca="false">Y1805</f>
        <v>0.115265065288096</v>
      </c>
      <c r="AD1805" s="3" t="n">
        <f aca="false">R1805</f>
        <v>0</v>
      </c>
    </row>
    <row r="1806" customFormat="false" ht="15" hidden="false" customHeight="true" outlineLevel="0" collapsed="false">
      <c r="A1806" s="7" t="s">
        <v>59</v>
      </c>
      <c r="B1806" s="7" t="n">
        <v>1995</v>
      </c>
      <c r="C1806" s="7" t="s">
        <v>145</v>
      </c>
      <c r="D1806" s="7" t="n">
        <v>62</v>
      </c>
      <c r="E1806" s="7" t="n">
        <v>81</v>
      </c>
      <c r="F1806" s="3" t="n">
        <f aca="false">COUNTIFS($B$2:$B$2705,B1806,$C$2:$C$2705,C1806)</f>
        <v>1</v>
      </c>
      <c r="G1806" s="3" t="n">
        <f aca="false">MIN(INT((MIN(B1806,2020)-1900)/10)+1,12)</f>
        <v>10</v>
      </c>
      <c r="H1806" s="3" t="n">
        <f aca="false">(MIN(B1806,2020)-1900-10*(G1806-1))/10</f>
        <v>0.5</v>
      </c>
      <c r="I1806" s="20" t="n">
        <f aca="false">EXP(LN(INDEX(Pop_Inputs!$B$2:$N$29,MATCH(C1806,Pop_Inputs!$A$2:$A$29,0),G1806))*(1-H1806)+LN(INDEX(Pop_Inputs!$B$2:$N$29,MATCH(C1806,Pop_Inputs!$A$2:$A$29,0),G1806+1))*H1806)</f>
        <v>371646.812800809</v>
      </c>
      <c r="J1806" s="20" t="n">
        <f aca="false">I1806/F1806</f>
        <v>371646.812800809</v>
      </c>
      <c r="K1806" s="21" t="n">
        <f aca="false">D1806/(D1806+E1806)</f>
        <v>0.433566433566434</v>
      </c>
      <c r="L1806" s="21" t="n">
        <f aca="false">AVERAGEIFS($K$2:$K$2705,$B$2:$B$2705,B1806)</f>
        <v>0.499955193274159</v>
      </c>
      <c r="M1806" s="21" t="n">
        <f aca="false">K1806-L1806</f>
        <v>-0.0663887597077252</v>
      </c>
      <c r="N1806" s="21" t="n">
        <f aca="false">LN(J1806)</f>
        <v>12.8256992543083</v>
      </c>
      <c r="O1806" s="21" t="n">
        <f aca="false">AVERAGEIFS($N$2:$N$2705,$B$2:$B$2705,B1806)</f>
        <v>13.6225859882903</v>
      </c>
      <c r="P1806" s="21" t="n">
        <f aca="false">N1806-O1806</f>
        <v>-0.796886733981982</v>
      </c>
      <c r="Q1806" s="7" t="n">
        <v>0</v>
      </c>
      <c r="R1806" s="3" t="n">
        <f aca="false">IF(AND(Q1806=1,B1806-_xlfn.MINIFS($B$2:$B$2705,$A$2:$A$2705,A1806)&lt;10),1,0)</f>
        <v>0</v>
      </c>
      <c r="S1806" s="7" t="n">
        <v>0</v>
      </c>
      <c r="T1806" s="3" t="n">
        <f aca="false">_xlfn.MINIFS($B$2:$B$2705,$A$2:$A$2705,A1806)</f>
        <v>1901</v>
      </c>
      <c r="U1806" s="3" t="n">
        <f aca="false">B1806-T1806</f>
        <v>94</v>
      </c>
      <c r="V1806" s="3" t="str">
        <f aca="false">INDEX(Pop_Inputs!$Q$2:$Q$29,MATCH(C1806,Pop_Inputs!$A$2:$A$29,0))</f>
        <v>Midwest</v>
      </c>
      <c r="W1806" s="29" t="n">
        <v>37101000</v>
      </c>
      <c r="X1806" s="3" t="n">
        <f aca="false">IF(W1806="","",LN(W1806))</f>
        <v>17.4291544813923</v>
      </c>
      <c r="Y1806" s="3" t="n">
        <f aca="false">IF(X1806="","",X1806-AVERAGEIFS($X$2:$X$2705,$B$2:$B$2705,B1806))</f>
        <v>0.132617056705065</v>
      </c>
      <c r="Z1806" s="21" t="n">
        <f aca="false">P1806</f>
        <v>-0.796886733981982</v>
      </c>
      <c r="AA1806" s="3" t="n">
        <f aca="false">R1806</f>
        <v>0</v>
      </c>
      <c r="AB1806" s="21" t="n">
        <f aca="false">P1806</f>
        <v>-0.796886733981982</v>
      </c>
      <c r="AC1806" s="3" t="n">
        <f aca="false">Y1806</f>
        <v>0.132617056705065</v>
      </c>
      <c r="AD1806" s="3" t="n">
        <f aca="false">R1806</f>
        <v>0</v>
      </c>
    </row>
    <row r="1807" customFormat="false" ht="15" hidden="false" customHeight="true" outlineLevel="0" collapsed="false">
      <c r="A1807" s="7" t="s">
        <v>73</v>
      </c>
      <c r="B1807" s="7" t="n">
        <v>1995</v>
      </c>
      <c r="C1807" s="7" t="s">
        <v>155</v>
      </c>
      <c r="D1807" s="7" t="n">
        <v>74</v>
      </c>
      <c r="E1807" s="7" t="n">
        <v>70</v>
      </c>
      <c r="F1807" s="3" t="n">
        <f aca="false">COUNTIFS($B$2:$B$2705,B1807,$C$2:$C$2705,C1807)</f>
        <v>1</v>
      </c>
      <c r="G1807" s="3" t="n">
        <f aca="false">MIN(INT((MIN(B1807,2020)-1900)/10)+1,12)</f>
        <v>10</v>
      </c>
      <c r="H1807" s="3" t="n">
        <f aca="false">(MIN(B1807,2020)-1900-10*(G1807-1))/10</f>
        <v>0.5</v>
      </c>
      <c r="I1807" s="20" t="n">
        <f aca="false">EXP(LN(INDEX(Pop_Inputs!$B$2:$N$29,MATCH(C1807,Pop_Inputs!$A$2:$A$29,0),G1807))*(1-H1807)+LN(INDEX(Pop_Inputs!$B$2:$N$29,MATCH(C1807,Pop_Inputs!$A$2:$A$29,0),G1807+1))*H1807)</f>
        <v>1094016.78353671</v>
      </c>
      <c r="J1807" s="20" t="n">
        <f aca="false">I1807/F1807</f>
        <v>1094016.78353671</v>
      </c>
      <c r="K1807" s="21" t="n">
        <f aca="false">D1807/(D1807+E1807)</f>
        <v>0.513888888888889</v>
      </c>
      <c r="L1807" s="21" t="n">
        <f aca="false">AVERAGEIFS($K$2:$K$2705,$B$2:$B$2705,B1807)</f>
        <v>0.499955193274159</v>
      </c>
      <c r="M1807" s="21" t="n">
        <f aca="false">K1807-L1807</f>
        <v>0.0139336956147301</v>
      </c>
      <c r="N1807" s="21" t="n">
        <f aca="false">LN(J1807)</f>
        <v>13.9053666032876</v>
      </c>
      <c r="O1807" s="21" t="n">
        <f aca="false">AVERAGEIFS($N$2:$N$2705,$B$2:$B$2705,B1807)</f>
        <v>13.6225859882903</v>
      </c>
      <c r="P1807" s="21" t="n">
        <f aca="false">N1807-O1807</f>
        <v>0.282780614997362</v>
      </c>
      <c r="Q1807" s="7" t="n">
        <v>1</v>
      </c>
      <c r="R1807" s="3" t="n">
        <f aca="false">IF(AND(Q1807=1,B1807-_xlfn.MINIFS($B$2:$B$2705,$A$2:$A$2705,A1807)&lt;10),1,0)</f>
        <v>0</v>
      </c>
      <c r="S1807" s="7" t="n">
        <v>0</v>
      </c>
      <c r="T1807" s="3" t="n">
        <f aca="false">_xlfn.MINIFS($B$2:$B$2705,$A$2:$A$2705,A1807)</f>
        <v>1961</v>
      </c>
      <c r="U1807" s="3" t="n">
        <f aca="false">B1807-T1807</f>
        <v>34</v>
      </c>
      <c r="V1807" s="3" t="str">
        <f aca="false">INDEX(Pop_Inputs!$Q$2:$Q$29,MATCH(C1807,Pop_Inputs!$A$2:$A$29,0))</f>
        <v>South</v>
      </c>
      <c r="W1807" s="29" t="n">
        <v>34581451</v>
      </c>
      <c r="X1807" s="3" t="n">
        <f aca="false">IF(W1807="","",LN(W1807))</f>
        <v>17.35882799801</v>
      </c>
      <c r="Y1807" s="3" t="n">
        <f aca="false">IF(X1807="","",X1807-AVERAGEIFS($X$2:$X$2705,$B$2:$B$2705,B1807))</f>
        <v>0.0622905733227661</v>
      </c>
      <c r="Z1807" s="21" t="n">
        <f aca="false">P1807</f>
        <v>0.282780614997362</v>
      </c>
      <c r="AA1807" s="3" t="n">
        <f aca="false">R1807</f>
        <v>0</v>
      </c>
      <c r="AB1807" s="21" t="n">
        <f aca="false">P1807</f>
        <v>0.282780614997362</v>
      </c>
      <c r="AC1807" s="3" t="n">
        <f aca="false">Y1807</f>
        <v>0.0622905733227661</v>
      </c>
      <c r="AD1807" s="3" t="n">
        <f aca="false">R1807</f>
        <v>0</v>
      </c>
    </row>
    <row r="1808" customFormat="false" ht="15" hidden="false" customHeight="true" outlineLevel="0" collapsed="false">
      <c r="A1808" s="7" t="s">
        <v>81</v>
      </c>
      <c r="B1808" s="7" t="n">
        <v>1995</v>
      </c>
      <c r="C1808" s="7" t="s">
        <v>162</v>
      </c>
      <c r="D1808" s="7" t="n">
        <v>56</v>
      </c>
      <c r="E1808" s="7" t="n">
        <v>88</v>
      </c>
      <c r="F1808" s="3" t="n">
        <f aca="false">COUNTIFS($B$2:$B$2705,B1808,$C$2:$C$2705,C1808)</f>
        <v>1</v>
      </c>
      <c r="G1808" s="3" t="n">
        <f aca="false">MIN(INT((MIN(B1808,2020)-1900)/10)+1,12)</f>
        <v>10</v>
      </c>
      <c r="H1808" s="3" t="n">
        <f aca="false">(MIN(B1808,2020)-1900-10*(G1808-1))/10</f>
        <v>0.5</v>
      </c>
      <c r="I1808" s="20" t="n">
        <f aca="false">EXP(LN(INDEX(Pop_Inputs!$B$2:$N$29,MATCH(C1808,Pop_Inputs!$A$2:$A$29,0),G1808))*(1-H1808)+LN(INDEX(Pop_Inputs!$B$2:$N$29,MATCH(C1808,Pop_Inputs!$A$2:$A$29,0),G1808+1))*H1808)</f>
        <v>1255678.65321108</v>
      </c>
      <c r="J1808" s="20" t="n">
        <f aca="false">I1808/F1808</f>
        <v>1255678.65321108</v>
      </c>
      <c r="K1808" s="21" t="n">
        <f aca="false">D1808/(D1808+E1808)</f>
        <v>0.388888888888889</v>
      </c>
      <c r="L1808" s="21" t="n">
        <f aca="false">AVERAGEIFS($K$2:$K$2705,$B$2:$B$2705,B1808)</f>
        <v>0.499955193274159</v>
      </c>
      <c r="M1808" s="21" t="n">
        <f aca="false">K1808-L1808</f>
        <v>-0.11106630438527</v>
      </c>
      <c r="N1808" s="21" t="n">
        <f aca="false">LN(J1808)</f>
        <v>14.043186743921</v>
      </c>
      <c r="O1808" s="21" t="n">
        <f aca="false">AVERAGEIFS($N$2:$N$2705,$B$2:$B$2705,B1808)</f>
        <v>13.6225859882903</v>
      </c>
      <c r="P1808" s="21" t="n">
        <f aca="false">N1808-O1808</f>
        <v>0.420600755630767</v>
      </c>
      <c r="Q1808" s="7" t="n">
        <v>1</v>
      </c>
      <c r="R1808" s="3" t="n">
        <f aca="false">IF(AND(Q1808=1,B1808-_xlfn.MINIFS($B$2:$B$2705,$A$2:$A$2705,A1808)&lt;10),1,0)</f>
        <v>0</v>
      </c>
      <c r="S1808" s="7" t="n">
        <v>0</v>
      </c>
      <c r="T1808" s="3" t="n">
        <f aca="false">_xlfn.MINIFS($B$2:$B$2705,$A$2:$A$2705,A1808)</f>
        <v>1977</v>
      </c>
      <c r="U1808" s="3" t="n">
        <f aca="false">B1808-T1808</f>
        <v>18</v>
      </c>
      <c r="V1808" s="3" t="str">
        <f aca="false">INDEX(Pop_Inputs!$Q$2:$Q$29,MATCH(C1808,Pop_Inputs!$A$2:$A$29,0))</f>
        <v>Canada</v>
      </c>
      <c r="W1808" s="29" t="n">
        <v>50590000</v>
      </c>
      <c r="X1808" s="3" t="n">
        <f aca="false">IF(W1808="","",LN(W1808))</f>
        <v>17.7392644862681</v>
      </c>
      <c r="Y1808" s="3" t="n">
        <f aca="false">IF(X1808="","",X1808-AVERAGEIFS($X$2:$X$2705,$B$2:$B$2705,B1808))</f>
        <v>0.442727061580882</v>
      </c>
      <c r="Z1808" s="21" t="n">
        <f aca="false">P1808</f>
        <v>0.420600755630767</v>
      </c>
      <c r="AA1808" s="3" t="n">
        <f aca="false">R1808</f>
        <v>0</v>
      </c>
      <c r="AB1808" s="21" t="n">
        <f aca="false">P1808</f>
        <v>0.420600755630767</v>
      </c>
      <c r="AC1808" s="3" t="n">
        <f aca="false">Y1808</f>
        <v>0.442727061580882</v>
      </c>
      <c r="AD1808" s="3" t="n">
        <f aca="false">R1808</f>
        <v>0</v>
      </c>
    </row>
    <row r="1809" customFormat="false" ht="15" hidden="false" customHeight="true" outlineLevel="0" collapsed="false">
      <c r="A1809" s="7" t="s">
        <v>79</v>
      </c>
      <c r="B1809" s="7" t="n">
        <v>1995</v>
      </c>
      <c r="C1809" s="7" t="s">
        <v>254</v>
      </c>
      <c r="D1809" s="7" t="n">
        <v>66</v>
      </c>
      <c r="E1809" s="7" t="n">
        <v>78</v>
      </c>
      <c r="F1809" s="3" t="n">
        <f aca="false">COUNTIFS($B$2:$B$2705,B1809,$C$2:$C$2705,C1809)</f>
        <v>1</v>
      </c>
      <c r="G1809" s="3" t="n">
        <f aca="false">MIN(INT((MIN(B1809,2020)-1900)/10)+1,12)</f>
        <v>10</v>
      </c>
      <c r="H1809" s="3" t="n">
        <f aca="false">(MIN(B1809,2020)-1900-10*(G1809-1))/10</f>
        <v>0.5</v>
      </c>
      <c r="I1809" s="20" t="n">
        <f aca="false">EXP(LN(INDEX(Pop_Inputs!$B$2:$N$29,MATCH(C1809,Pop_Inputs!$A$2:$A$29,0),G1809))*(1-H1809)+LN(INDEX(Pop_Inputs!$B$2:$N$29,MATCH(C1809,Pop_Inputs!$A$2:$A$29,0),G1809+1))*H1809)</f>
        <v>1028541.8842439</v>
      </c>
      <c r="J1809" s="20" t="n">
        <f aca="false">I1809/F1809</f>
        <v>1028541.8842439</v>
      </c>
      <c r="K1809" s="21" t="n">
        <f aca="false">D1809/(D1809+E1809)</f>
        <v>0.458333333333333</v>
      </c>
      <c r="L1809" s="21" t="n">
        <f aca="false">AVERAGEIFS($K$2:$K$2705,$B$2:$B$2705,B1809)</f>
        <v>0.499955193274159</v>
      </c>
      <c r="M1809" s="21" t="n">
        <f aca="false">K1809-L1809</f>
        <v>-0.0416218599408255</v>
      </c>
      <c r="N1809" s="21" t="n">
        <f aca="false">LN(J1809)</f>
        <v>13.8436527108667</v>
      </c>
      <c r="O1809" s="21" t="n">
        <f aca="false">AVERAGEIFS($N$2:$N$2705,$B$2:$B$2705,B1809)</f>
        <v>13.6225859882903</v>
      </c>
      <c r="P1809" s="21" t="n">
        <f aca="false">N1809-O1809</f>
        <v>0.221066722576426</v>
      </c>
      <c r="Q1809" s="7" t="n">
        <v>1</v>
      </c>
      <c r="R1809" s="3" t="n">
        <f aca="false">IF(AND(Q1809=1,B1809-_xlfn.MINIFS($B$2:$B$2705,$A$2:$A$2705,A1809)&lt;10),1,0)</f>
        <v>0</v>
      </c>
      <c r="S1809" s="7" t="n">
        <v>0</v>
      </c>
      <c r="T1809" s="3" t="n">
        <f aca="false">_xlfn.MINIFS($B$2:$B$2705,$A$2:$A$2705,A1809)</f>
        <v>1969</v>
      </c>
      <c r="U1809" s="3" t="n">
        <f aca="false">B1809-T1809</f>
        <v>26</v>
      </c>
      <c r="V1809" s="3" t="str">
        <f aca="false">INDEX(Pop_Inputs!$Q$2:$Q$29,MATCH(C1809,Pop_Inputs!$A$2:$A$29,0))</f>
        <v>Canada</v>
      </c>
      <c r="W1809" s="29" t="n">
        <v>12364000</v>
      </c>
      <c r="X1809" s="3" t="n">
        <f aca="false">IF(W1809="","",LN(W1809))</f>
        <v>16.3302995822341</v>
      </c>
      <c r="Y1809" s="3" t="n">
        <f aca="false">IF(X1809="","",X1809-AVERAGEIFS($X$2:$X$2705,$B$2:$B$2705,B1809))</f>
        <v>-0.966237842453094</v>
      </c>
      <c r="Z1809" s="21" t="n">
        <f aca="false">P1809</f>
        <v>0.221066722576426</v>
      </c>
      <c r="AA1809" s="3" t="n">
        <f aca="false">R1809</f>
        <v>0</v>
      </c>
      <c r="AB1809" s="21" t="n">
        <f aca="false">P1809</f>
        <v>0.221066722576426</v>
      </c>
      <c r="AC1809" s="3" t="n">
        <f aca="false">Y1809</f>
        <v>-0.966237842453094</v>
      </c>
      <c r="AD1809" s="3" t="n">
        <f aca="false">R1809</f>
        <v>0</v>
      </c>
    </row>
    <row r="1810" customFormat="false" ht="15" hidden="false" customHeight="true" outlineLevel="0" collapsed="false">
      <c r="A1810" s="7" t="s">
        <v>71</v>
      </c>
      <c r="B1810" s="7" t="n">
        <v>1996</v>
      </c>
      <c r="C1810" s="7" t="s">
        <v>148</v>
      </c>
      <c r="D1810" s="7" t="n">
        <v>70</v>
      </c>
      <c r="E1810" s="7" t="n">
        <v>91</v>
      </c>
      <c r="F1810" s="3" t="n">
        <f aca="false">COUNTIFS($B$2:$B$2705,B1810,$C$2:$C$2705,C1810)</f>
        <v>2</v>
      </c>
      <c r="G1810" s="3" t="n">
        <f aca="false">MIN(INT((MIN(B1810,2020)-1900)/10)+1,12)</f>
        <v>10</v>
      </c>
      <c r="H1810" s="3" t="n">
        <f aca="false">(MIN(B1810,2020)-1900-10*(G1810-1))/10</f>
        <v>0.6</v>
      </c>
      <c r="I1810" s="20" t="n">
        <f aca="false">EXP(LN(INDEX(Pop_Inputs!$B$2:$N$29,MATCH(C1810,Pop_Inputs!$A$2:$A$29,0),G1810))*(1-H1810)+LN(INDEX(Pop_Inputs!$B$2:$N$29,MATCH(C1810,Pop_Inputs!$A$2:$A$29,0),G1810+1))*H1810)</f>
        <v>3609582.08533971</v>
      </c>
      <c r="J1810" s="20" t="n">
        <f aca="false">I1810/F1810</f>
        <v>1804791.04266986</v>
      </c>
      <c r="K1810" s="21" t="n">
        <f aca="false">D1810/(D1810+E1810)</f>
        <v>0.434782608695652</v>
      </c>
      <c r="L1810" s="21" t="n">
        <f aca="false">AVERAGEIFS($K$2:$K$2705,$B$2:$B$2705,B1810)</f>
        <v>0.500009585154513</v>
      </c>
      <c r="M1810" s="21" t="n">
        <f aca="false">K1810-L1810</f>
        <v>-0.0652269764588605</v>
      </c>
      <c r="N1810" s="21" t="n">
        <f aca="false">LN(J1810)</f>
        <v>14.4059553772139</v>
      </c>
      <c r="O1810" s="21" t="n">
        <f aca="false">AVERAGEIFS($N$2:$N$2705,$B$2:$B$2705,B1810)</f>
        <v>13.6299782473488</v>
      </c>
      <c r="P1810" s="21" t="n">
        <f aca="false">N1810-O1810</f>
        <v>0.775977129865046</v>
      </c>
      <c r="Q1810" s="7" t="n">
        <v>1</v>
      </c>
      <c r="R1810" s="3" t="n">
        <f aca="false">IF(AND(Q1810=1,B1810-_xlfn.MINIFS($B$2:$B$2705,$A$2:$A$2705,A1810)&lt;10),1,0)</f>
        <v>0</v>
      </c>
      <c r="S1810" s="7" t="n">
        <v>0</v>
      </c>
      <c r="T1810" s="3" t="n">
        <f aca="false">_xlfn.MINIFS($B$2:$B$2705,$A$2:$A$2705,A1810)</f>
        <v>1961</v>
      </c>
      <c r="U1810" s="3" t="n">
        <f aca="false">B1810-T1810</f>
        <v>35</v>
      </c>
      <c r="V1810" s="3" t="str">
        <f aca="false">INDEX(Pop_Inputs!$Q$2:$Q$29,MATCH(C1810,Pop_Inputs!$A$2:$A$29,0))</f>
        <v>West</v>
      </c>
      <c r="W1810" s="29" t="n">
        <v>28738000</v>
      </c>
      <c r="X1810" s="3" t="n">
        <f aca="false">IF(W1810="","",LN(W1810))</f>
        <v>17.1737308467713</v>
      </c>
      <c r="Y1810" s="3" t="n">
        <f aca="false">IF(X1810="","",X1810-AVERAGEIFS($X$2:$X$2705,$B$2:$B$2705,B1810))</f>
        <v>-0.124007882876008</v>
      </c>
      <c r="Z1810" s="21" t="n">
        <f aca="false">P1810</f>
        <v>0.775977129865046</v>
      </c>
      <c r="AA1810" s="3" t="n">
        <f aca="false">R1810</f>
        <v>0</v>
      </c>
      <c r="AB1810" s="21" t="n">
        <f aca="false">P1810</f>
        <v>0.775977129865046</v>
      </c>
      <c r="AC1810" s="3" t="n">
        <f aca="false">Y1810</f>
        <v>-0.124007882876008</v>
      </c>
      <c r="AD1810" s="3" t="n">
        <f aca="false">R1810</f>
        <v>0</v>
      </c>
    </row>
    <row r="1811" customFormat="false" ht="15" hidden="false" customHeight="true" outlineLevel="0" collapsed="false">
      <c r="A1811" s="7" t="s">
        <v>54</v>
      </c>
      <c r="B1811" s="7" t="n">
        <v>1996</v>
      </c>
      <c r="C1811" s="7" t="s">
        <v>141</v>
      </c>
      <c r="D1811" s="7" t="n">
        <v>96</v>
      </c>
      <c r="E1811" s="7" t="n">
        <v>66</v>
      </c>
      <c r="F1811" s="3" t="n">
        <f aca="false">COUNTIFS($B$2:$B$2705,B1811,$C$2:$C$2705,C1811)</f>
        <v>1</v>
      </c>
      <c r="G1811" s="3" t="n">
        <f aca="false">MIN(INT((MIN(B1811,2020)-1900)/10)+1,12)</f>
        <v>10</v>
      </c>
      <c r="H1811" s="3" t="n">
        <f aca="false">(MIN(B1811,2020)-1900-10*(G1811-1))/10</f>
        <v>0.6</v>
      </c>
      <c r="I1811" s="20" t="n">
        <f aca="false">EXP(LN(INDEX(Pop_Inputs!$B$2:$N$29,MATCH(C1811,Pop_Inputs!$A$2:$A$29,0),G1811))*(1-H1811)+LN(INDEX(Pop_Inputs!$B$2:$N$29,MATCH(C1811,Pop_Inputs!$A$2:$A$29,0),G1811+1))*H1811)</f>
        <v>407341.55828277</v>
      </c>
      <c r="J1811" s="20" t="n">
        <f aca="false">I1811/F1811</f>
        <v>407341.55828277</v>
      </c>
      <c r="K1811" s="21" t="n">
        <f aca="false">D1811/(D1811+E1811)</f>
        <v>0.592592592592593</v>
      </c>
      <c r="L1811" s="21" t="n">
        <f aca="false">AVERAGEIFS($K$2:$K$2705,$B$2:$B$2705,B1811)</f>
        <v>0.500009585154513</v>
      </c>
      <c r="M1811" s="21" t="n">
        <f aca="false">K1811-L1811</f>
        <v>0.0925830074380799</v>
      </c>
      <c r="N1811" s="21" t="n">
        <f aca="false">LN(J1811)</f>
        <v>12.9174073220253</v>
      </c>
      <c r="O1811" s="21" t="n">
        <f aca="false">AVERAGEIFS($N$2:$N$2705,$B$2:$B$2705,B1811)</f>
        <v>13.6299782473488</v>
      </c>
      <c r="P1811" s="21" t="n">
        <f aca="false">N1811-O1811</f>
        <v>-0.712570925323549</v>
      </c>
      <c r="Q1811" s="7" t="n">
        <v>0</v>
      </c>
      <c r="R1811" s="3" t="n">
        <f aca="false">IF(AND(Q1811=1,B1811-_xlfn.MINIFS($B$2:$B$2705,$A$2:$A$2705,A1811)&lt;10),1,0)</f>
        <v>0</v>
      </c>
      <c r="S1811" s="7" t="n">
        <v>0</v>
      </c>
      <c r="T1811" s="3" t="n">
        <f aca="false">_xlfn.MINIFS($B$2:$B$2705,$A$2:$A$2705,A1811)</f>
        <v>1901</v>
      </c>
      <c r="U1811" s="3" t="n">
        <f aca="false">B1811-T1811</f>
        <v>95</v>
      </c>
      <c r="V1811" s="3" t="str">
        <f aca="false">INDEX(Pop_Inputs!$Q$2:$Q$29,MATCH(C1811,Pop_Inputs!$A$2:$A$29,0))</f>
        <v>South</v>
      </c>
      <c r="W1811" s="29" t="n">
        <v>49698500</v>
      </c>
      <c r="X1811" s="3" t="n">
        <f aca="false">IF(W1811="","",LN(W1811))</f>
        <v>17.7214853095249</v>
      </c>
      <c r="Y1811" s="3" t="n">
        <f aca="false">IF(X1811="","",X1811-AVERAGEIFS($X$2:$X$2705,$B$2:$B$2705,B1811))</f>
        <v>0.423746579877584</v>
      </c>
      <c r="Z1811" s="21" t="n">
        <f aca="false">P1811</f>
        <v>-0.712570925323549</v>
      </c>
      <c r="AA1811" s="3" t="n">
        <f aca="false">R1811</f>
        <v>0</v>
      </c>
      <c r="AB1811" s="21" t="n">
        <f aca="false">P1811</f>
        <v>-0.712570925323549</v>
      </c>
      <c r="AC1811" s="3" t="n">
        <f aca="false">Y1811</f>
        <v>0.423746579877584</v>
      </c>
      <c r="AD1811" s="3" t="n">
        <f aca="false">R1811</f>
        <v>0</v>
      </c>
    </row>
    <row r="1812" customFormat="false" ht="15" hidden="false" customHeight="true" outlineLevel="0" collapsed="false">
      <c r="A1812" s="7" t="s">
        <v>63</v>
      </c>
      <c r="B1812" s="7" t="n">
        <v>1996</v>
      </c>
      <c r="C1812" s="7" t="s">
        <v>149</v>
      </c>
      <c r="D1812" s="7" t="n">
        <v>88</v>
      </c>
      <c r="E1812" s="7" t="n">
        <v>74</v>
      </c>
      <c r="F1812" s="3" t="n">
        <f aca="false">COUNTIFS($B$2:$B$2705,B1812,$C$2:$C$2705,C1812)</f>
        <v>1</v>
      </c>
      <c r="G1812" s="3" t="n">
        <f aca="false">MIN(INT((MIN(B1812,2020)-1900)/10)+1,12)</f>
        <v>10</v>
      </c>
      <c r="H1812" s="3" t="n">
        <f aca="false">(MIN(B1812,2020)-1900-10*(G1812-1))/10</f>
        <v>0.6</v>
      </c>
      <c r="I1812" s="20" t="n">
        <f aca="false">EXP(LN(INDEX(Pop_Inputs!$B$2:$N$29,MATCH(C1812,Pop_Inputs!$A$2:$A$29,0),G1812))*(1-H1812)+LN(INDEX(Pop_Inputs!$B$2:$N$29,MATCH(C1812,Pop_Inputs!$A$2:$A$29,0),G1812+1))*H1812)</f>
        <v>683855.993842181</v>
      </c>
      <c r="J1812" s="20" t="n">
        <f aca="false">I1812/F1812</f>
        <v>683855.993842181</v>
      </c>
      <c r="K1812" s="21" t="n">
        <f aca="false">D1812/(D1812+E1812)</f>
        <v>0.54320987654321</v>
      </c>
      <c r="L1812" s="21" t="n">
        <f aca="false">AVERAGEIFS($K$2:$K$2705,$B$2:$B$2705,B1812)</f>
        <v>0.500009585154513</v>
      </c>
      <c r="M1812" s="21" t="n">
        <f aca="false">K1812-L1812</f>
        <v>0.0432002913886972</v>
      </c>
      <c r="N1812" s="21" t="n">
        <f aca="false">LN(J1812)</f>
        <v>13.4355026391206</v>
      </c>
      <c r="O1812" s="21" t="n">
        <f aca="false">AVERAGEIFS($N$2:$N$2705,$B$2:$B$2705,B1812)</f>
        <v>13.6299782473488</v>
      </c>
      <c r="P1812" s="21" t="n">
        <f aca="false">N1812-O1812</f>
        <v>-0.194475608228249</v>
      </c>
      <c r="Q1812" s="7" t="n">
        <v>0</v>
      </c>
      <c r="R1812" s="3" t="n">
        <f aca="false">IF(AND(Q1812=1,B1812-_xlfn.MINIFS($B$2:$B$2705,$A$2:$A$2705,A1812)&lt;10),1,0)</f>
        <v>0</v>
      </c>
      <c r="S1812" s="7" t="n">
        <v>0</v>
      </c>
      <c r="T1812" s="3" t="n">
        <f aca="false">_xlfn.MINIFS($B$2:$B$2705,$A$2:$A$2705,A1812)</f>
        <v>1901</v>
      </c>
      <c r="U1812" s="3" t="n">
        <f aca="false">B1812-T1812</f>
        <v>95</v>
      </c>
      <c r="V1812" s="3" t="str">
        <f aca="false">INDEX(Pop_Inputs!$Q$2:$Q$29,MATCH(C1812,Pop_Inputs!$A$2:$A$29,0))</f>
        <v>South</v>
      </c>
      <c r="W1812" s="29" t="n">
        <v>54490315</v>
      </c>
      <c r="X1812" s="3" t="n">
        <f aca="false">IF(W1812="","",LN(W1812))</f>
        <v>17.8135335374198</v>
      </c>
      <c r="Y1812" s="3" t="n">
        <f aca="false">IF(X1812="","",X1812-AVERAGEIFS($X$2:$X$2705,$B$2:$B$2705,B1812))</f>
        <v>0.515794807772501</v>
      </c>
      <c r="Z1812" s="21" t="n">
        <f aca="false">P1812</f>
        <v>-0.194475608228249</v>
      </c>
      <c r="AA1812" s="3" t="n">
        <f aca="false">R1812</f>
        <v>0</v>
      </c>
      <c r="AB1812" s="21" t="n">
        <f aca="false">P1812</f>
        <v>-0.194475608228249</v>
      </c>
      <c r="AC1812" s="3" t="n">
        <f aca="false">Y1812</f>
        <v>0.515794807772501</v>
      </c>
      <c r="AD1812" s="3" t="n">
        <f aca="false">R1812</f>
        <v>0</v>
      </c>
    </row>
    <row r="1813" customFormat="false" ht="15" hidden="false" customHeight="true" outlineLevel="0" collapsed="false">
      <c r="A1813" s="7" t="s">
        <v>64</v>
      </c>
      <c r="B1813" s="7" t="n">
        <v>1996</v>
      </c>
      <c r="C1813" s="7" t="s">
        <v>150</v>
      </c>
      <c r="D1813" s="7" t="n">
        <v>85</v>
      </c>
      <c r="E1813" s="7" t="n">
        <v>77</v>
      </c>
      <c r="F1813" s="3" t="n">
        <f aca="false">COUNTIFS($B$2:$B$2705,B1813,$C$2:$C$2705,C1813)</f>
        <v>1</v>
      </c>
      <c r="G1813" s="3" t="n">
        <f aca="false">MIN(INT((MIN(B1813,2020)-1900)/10)+1,12)</f>
        <v>10</v>
      </c>
      <c r="H1813" s="3" t="n">
        <f aca="false">(MIN(B1813,2020)-1900-10*(G1813-1))/10</f>
        <v>0.6</v>
      </c>
      <c r="I1813" s="20" t="n">
        <f aca="false">EXP(LN(INDEX(Pop_Inputs!$B$2:$N$29,MATCH(C1813,Pop_Inputs!$A$2:$A$29,0),G1813))*(1-H1813)+LN(INDEX(Pop_Inputs!$B$2:$N$29,MATCH(C1813,Pop_Inputs!$A$2:$A$29,0),G1813+1))*H1813)</f>
        <v>583152.219247239</v>
      </c>
      <c r="J1813" s="20" t="n">
        <f aca="false">I1813/F1813</f>
        <v>583152.219247239</v>
      </c>
      <c r="K1813" s="21" t="n">
        <f aca="false">D1813/(D1813+E1813)</f>
        <v>0.524691358024691</v>
      </c>
      <c r="L1813" s="21" t="n">
        <f aca="false">AVERAGEIFS($K$2:$K$2705,$B$2:$B$2705,B1813)</f>
        <v>0.500009585154513</v>
      </c>
      <c r="M1813" s="21" t="n">
        <f aca="false">K1813-L1813</f>
        <v>0.0246817728701787</v>
      </c>
      <c r="N1813" s="21" t="n">
        <f aca="false">LN(J1813)</f>
        <v>13.2762035277318</v>
      </c>
      <c r="O1813" s="21" t="n">
        <f aca="false">AVERAGEIFS($N$2:$N$2705,$B$2:$B$2705,B1813)</f>
        <v>13.6299782473488</v>
      </c>
      <c r="P1813" s="21" t="n">
        <f aca="false">N1813-O1813</f>
        <v>-0.353774719616972</v>
      </c>
      <c r="Q1813" s="7" t="n">
        <v>0</v>
      </c>
      <c r="R1813" s="3" t="n">
        <f aca="false">IF(AND(Q1813=1,B1813-_xlfn.MINIFS($B$2:$B$2705,$A$2:$A$2705,A1813)&lt;10),1,0)</f>
        <v>0</v>
      </c>
      <c r="S1813" s="7" t="n">
        <v>0</v>
      </c>
      <c r="T1813" s="3" t="n">
        <f aca="false">_xlfn.MINIFS($B$2:$B$2705,$A$2:$A$2705,A1813)</f>
        <v>1901</v>
      </c>
      <c r="U1813" s="3" t="n">
        <f aca="false">B1813-T1813</f>
        <v>95</v>
      </c>
      <c r="V1813" s="3" t="str">
        <f aca="false">INDEX(Pop_Inputs!$Q$2:$Q$29,MATCH(C1813,Pop_Inputs!$A$2:$A$29,0))</f>
        <v>Northeast</v>
      </c>
      <c r="W1813" s="29" t="n">
        <v>42393500</v>
      </c>
      <c r="X1813" s="3" t="n">
        <f aca="false">IF(W1813="","",LN(W1813))</f>
        <v>17.5625056065635</v>
      </c>
      <c r="Y1813" s="3" t="n">
        <f aca="false">IF(X1813="","",X1813-AVERAGEIFS($X$2:$X$2705,$B$2:$B$2705,B1813))</f>
        <v>0.264766876916163</v>
      </c>
      <c r="Z1813" s="21" t="n">
        <f aca="false">P1813</f>
        <v>-0.353774719616972</v>
      </c>
      <c r="AA1813" s="3" t="n">
        <f aca="false">R1813</f>
        <v>0</v>
      </c>
      <c r="AB1813" s="21" t="n">
        <f aca="false">P1813</f>
        <v>-0.353774719616972</v>
      </c>
      <c r="AC1813" s="3" t="n">
        <f aca="false">Y1813</f>
        <v>0.264766876916163</v>
      </c>
      <c r="AD1813" s="3" t="n">
        <f aca="false">R1813</f>
        <v>0</v>
      </c>
    </row>
    <row r="1814" customFormat="false" ht="15" hidden="false" customHeight="true" outlineLevel="0" collapsed="false">
      <c r="A1814" s="7" t="s">
        <v>56</v>
      </c>
      <c r="B1814" s="7" t="n">
        <v>1996</v>
      </c>
      <c r="C1814" s="7" t="s">
        <v>142</v>
      </c>
      <c r="D1814" s="7" t="n">
        <v>76</v>
      </c>
      <c r="E1814" s="7" t="n">
        <v>86</v>
      </c>
      <c r="F1814" s="3" t="n">
        <f aca="false">COUNTIFS($B$2:$B$2705,B1814,$C$2:$C$2705,C1814)</f>
        <v>2</v>
      </c>
      <c r="G1814" s="3" t="n">
        <f aca="false">MIN(INT((MIN(B1814,2020)-1900)/10)+1,12)</f>
        <v>10</v>
      </c>
      <c r="H1814" s="3" t="n">
        <f aca="false">(MIN(B1814,2020)-1900-10*(G1814-1))/10</f>
        <v>0.6</v>
      </c>
      <c r="I1814" s="20" t="n">
        <f aca="false">EXP(LN(INDEX(Pop_Inputs!$B$2:$N$29,MATCH(C1814,Pop_Inputs!$A$2:$A$29,0),G1814))*(1-H1814)+LN(INDEX(Pop_Inputs!$B$2:$N$29,MATCH(C1814,Pop_Inputs!$A$2:$A$29,0),G1814+1))*H1814)</f>
        <v>2850566.44412764</v>
      </c>
      <c r="J1814" s="20" t="n">
        <f aca="false">I1814/F1814</f>
        <v>1425283.22206382</v>
      </c>
      <c r="K1814" s="21" t="n">
        <f aca="false">D1814/(D1814+E1814)</f>
        <v>0.469135802469136</v>
      </c>
      <c r="L1814" s="21" t="n">
        <f aca="false">AVERAGEIFS($K$2:$K$2705,$B$2:$B$2705,B1814)</f>
        <v>0.500009585154513</v>
      </c>
      <c r="M1814" s="21" t="n">
        <f aca="false">K1814-L1814</f>
        <v>-0.0308737826853769</v>
      </c>
      <c r="N1814" s="21" t="n">
        <f aca="false">LN(J1814)</f>
        <v>14.1698811042618</v>
      </c>
      <c r="O1814" s="21" t="n">
        <f aca="false">AVERAGEIFS($N$2:$N$2705,$B$2:$B$2705,B1814)</f>
        <v>13.6299782473488</v>
      </c>
      <c r="P1814" s="21" t="n">
        <f aca="false">N1814-O1814</f>
        <v>0.539902856912933</v>
      </c>
      <c r="Q1814" s="7" t="n">
        <v>0</v>
      </c>
      <c r="R1814" s="3" t="n">
        <f aca="false">IF(AND(Q1814=1,B1814-_xlfn.MINIFS($B$2:$B$2705,$A$2:$A$2705,A1814)&lt;10),1,0)</f>
        <v>0</v>
      </c>
      <c r="S1814" s="7" t="n">
        <v>0</v>
      </c>
      <c r="T1814" s="3" t="n">
        <f aca="false">_xlfn.MINIFS($B$2:$B$2705,$A$2:$A$2705,A1814)</f>
        <v>1901</v>
      </c>
      <c r="U1814" s="3" t="n">
        <f aca="false">B1814-T1814</f>
        <v>95</v>
      </c>
      <c r="V1814" s="3" t="str">
        <f aca="false">INDEX(Pop_Inputs!$Q$2:$Q$29,MATCH(C1814,Pop_Inputs!$A$2:$A$29,0))</f>
        <v>Midwest</v>
      </c>
      <c r="W1814" s="29" t="n">
        <v>33081000</v>
      </c>
      <c r="X1814" s="3" t="n">
        <f aca="false">IF(W1814="","",LN(W1814))</f>
        <v>17.3144696574089</v>
      </c>
      <c r="Y1814" s="3" t="n">
        <f aca="false">IF(X1814="","",X1814-AVERAGEIFS($X$2:$X$2705,$B$2:$B$2705,B1814))</f>
        <v>0.0167309277616283</v>
      </c>
      <c r="Z1814" s="21" t="n">
        <f aca="false">P1814</f>
        <v>0.539902856912933</v>
      </c>
      <c r="AA1814" s="3" t="n">
        <f aca="false">R1814</f>
        <v>0</v>
      </c>
      <c r="AB1814" s="21" t="n">
        <f aca="false">P1814</f>
        <v>0.539902856912933</v>
      </c>
      <c r="AC1814" s="3" t="n">
        <f aca="false">Y1814</f>
        <v>0.0167309277616283</v>
      </c>
      <c r="AD1814" s="3" t="n">
        <f aca="false">R1814</f>
        <v>0</v>
      </c>
    </row>
    <row r="1815" customFormat="false" ht="15" hidden="false" customHeight="true" outlineLevel="0" collapsed="false">
      <c r="A1815" s="7" t="s">
        <v>65</v>
      </c>
      <c r="B1815" s="7" t="n">
        <v>1996</v>
      </c>
      <c r="C1815" s="7" t="s">
        <v>142</v>
      </c>
      <c r="D1815" s="7" t="n">
        <v>85</v>
      </c>
      <c r="E1815" s="7" t="n">
        <v>77</v>
      </c>
      <c r="F1815" s="3" t="n">
        <f aca="false">COUNTIFS($B$2:$B$2705,B1815,$C$2:$C$2705,C1815)</f>
        <v>2</v>
      </c>
      <c r="G1815" s="3" t="n">
        <f aca="false">MIN(INT((MIN(B1815,2020)-1900)/10)+1,12)</f>
        <v>10</v>
      </c>
      <c r="H1815" s="3" t="n">
        <f aca="false">(MIN(B1815,2020)-1900-10*(G1815-1))/10</f>
        <v>0.6</v>
      </c>
      <c r="I1815" s="20" t="n">
        <f aca="false">EXP(LN(INDEX(Pop_Inputs!$B$2:$N$29,MATCH(C1815,Pop_Inputs!$A$2:$A$29,0),G1815))*(1-H1815)+LN(INDEX(Pop_Inputs!$B$2:$N$29,MATCH(C1815,Pop_Inputs!$A$2:$A$29,0),G1815+1))*H1815)</f>
        <v>2850566.44412764</v>
      </c>
      <c r="J1815" s="20" t="n">
        <f aca="false">I1815/F1815</f>
        <v>1425283.22206382</v>
      </c>
      <c r="K1815" s="21" t="n">
        <f aca="false">D1815/(D1815+E1815)</f>
        <v>0.524691358024691</v>
      </c>
      <c r="L1815" s="21" t="n">
        <f aca="false">AVERAGEIFS($K$2:$K$2705,$B$2:$B$2705,B1815)</f>
        <v>0.500009585154513</v>
      </c>
      <c r="M1815" s="21" t="n">
        <f aca="false">K1815-L1815</f>
        <v>0.0246817728701787</v>
      </c>
      <c r="N1815" s="21" t="n">
        <f aca="false">LN(J1815)</f>
        <v>14.1698811042618</v>
      </c>
      <c r="O1815" s="21" t="n">
        <f aca="false">AVERAGEIFS($N$2:$N$2705,$B$2:$B$2705,B1815)</f>
        <v>13.6299782473488</v>
      </c>
      <c r="P1815" s="21" t="n">
        <f aca="false">N1815-O1815</f>
        <v>0.539902856912933</v>
      </c>
      <c r="Q1815" s="7" t="n">
        <v>0</v>
      </c>
      <c r="R1815" s="3" t="n">
        <f aca="false">IF(AND(Q1815=1,B1815-_xlfn.MINIFS($B$2:$B$2705,$A$2:$A$2705,A1815)&lt;10),1,0)</f>
        <v>0</v>
      </c>
      <c r="S1815" s="7" t="n">
        <v>0</v>
      </c>
      <c r="T1815" s="3" t="n">
        <f aca="false">_xlfn.MINIFS($B$2:$B$2705,$A$2:$A$2705,A1815)</f>
        <v>1901</v>
      </c>
      <c r="U1815" s="3" t="n">
        <f aca="false">B1815-T1815</f>
        <v>95</v>
      </c>
      <c r="V1815" s="3" t="str">
        <f aca="false">INDEX(Pop_Inputs!$Q$2:$Q$29,MATCH(C1815,Pop_Inputs!$A$2:$A$29,0))</f>
        <v>Midwest</v>
      </c>
      <c r="W1815" s="29" t="n">
        <v>45139500</v>
      </c>
      <c r="X1815" s="3" t="n">
        <f aca="false">IF(W1815="","",LN(W1815))</f>
        <v>17.6252682526419</v>
      </c>
      <c r="Y1815" s="3" t="n">
        <f aca="false">IF(X1815="","",X1815-AVERAGEIFS($X$2:$X$2705,$B$2:$B$2705,B1815))</f>
        <v>0.327529522994599</v>
      </c>
      <c r="Z1815" s="21" t="n">
        <f aca="false">P1815</f>
        <v>0.539902856912933</v>
      </c>
      <c r="AA1815" s="3" t="n">
        <f aca="false">R1815</f>
        <v>0</v>
      </c>
      <c r="AB1815" s="21" t="n">
        <f aca="false">P1815</f>
        <v>0.539902856912933</v>
      </c>
      <c r="AC1815" s="3" t="n">
        <f aca="false">Y1815</f>
        <v>0.327529522994599</v>
      </c>
      <c r="AD1815" s="3" t="n">
        <f aca="false">R1815</f>
        <v>0</v>
      </c>
    </row>
    <row r="1816" customFormat="false" ht="15" hidden="false" customHeight="true" outlineLevel="0" collapsed="false">
      <c r="A1816" s="7" t="s">
        <v>57</v>
      </c>
      <c r="B1816" s="7" t="n">
        <v>1996</v>
      </c>
      <c r="C1816" s="7" t="s">
        <v>143</v>
      </c>
      <c r="D1816" s="7" t="n">
        <v>81</v>
      </c>
      <c r="E1816" s="7" t="n">
        <v>81</v>
      </c>
      <c r="F1816" s="3" t="n">
        <f aca="false">COUNTIFS($B$2:$B$2705,B1816,$C$2:$C$2705,C1816)</f>
        <v>1</v>
      </c>
      <c r="G1816" s="3" t="n">
        <f aca="false">MIN(INT((MIN(B1816,2020)-1900)/10)+1,12)</f>
        <v>10</v>
      </c>
      <c r="H1816" s="3" t="n">
        <f aca="false">(MIN(B1816,2020)-1900-10*(G1816-1))/10</f>
        <v>0.6</v>
      </c>
      <c r="I1816" s="20" t="n">
        <f aca="false">EXP(LN(INDEX(Pop_Inputs!$B$2:$N$29,MATCH(C1816,Pop_Inputs!$A$2:$A$29,0),G1816))*(1-H1816)+LN(INDEX(Pop_Inputs!$B$2:$N$29,MATCH(C1816,Pop_Inputs!$A$2:$A$29,0),G1816+1))*H1816)</f>
        <v>344017.634775369</v>
      </c>
      <c r="J1816" s="20" t="n">
        <f aca="false">I1816/F1816</f>
        <v>344017.634775369</v>
      </c>
      <c r="K1816" s="21" t="n">
        <f aca="false">D1816/(D1816+E1816)</f>
        <v>0.5</v>
      </c>
      <c r="L1816" s="21" t="n">
        <f aca="false">AVERAGEIFS($K$2:$K$2705,$B$2:$B$2705,B1816)</f>
        <v>0.500009585154513</v>
      </c>
      <c r="M1816" s="21" t="n">
        <f aca="false">K1816-L1816</f>
        <v>-9.58515451265907E-006</v>
      </c>
      <c r="N1816" s="21" t="n">
        <f aca="false">LN(J1816)</f>
        <v>12.7484481989235</v>
      </c>
      <c r="O1816" s="21" t="n">
        <f aca="false">AVERAGEIFS($N$2:$N$2705,$B$2:$B$2705,B1816)</f>
        <v>13.6299782473488</v>
      </c>
      <c r="P1816" s="21" t="n">
        <f aca="false">N1816-O1816</f>
        <v>-0.881530048425342</v>
      </c>
      <c r="Q1816" s="7" t="n">
        <v>0</v>
      </c>
      <c r="R1816" s="3" t="n">
        <f aca="false">IF(AND(Q1816=1,B1816-_xlfn.MINIFS($B$2:$B$2705,$A$2:$A$2705,A1816)&lt;10),1,0)</f>
        <v>0</v>
      </c>
      <c r="S1816" s="7" t="n">
        <v>0</v>
      </c>
      <c r="T1816" s="3" t="n">
        <f aca="false">_xlfn.MINIFS($B$2:$B$2705,$A$2:$A$2705,A1816)</f>
        <v>1901</v>
      </c>
      <c r="U1816" s="3" t="n">
        <f aca="false">B1816-T1816</f>
        <v>95</v>
      </c>
      <c r="V1816" s="3" t="str">
        <f aca="false">INDEX(Pop_Inputs!$Q$2:$Q$29,MATCH(C1816,Pop_Inputs!$A$2:$A$29,0))</f>
        <v>Midwest</v>
      </c>
      <c r="W1816" s="29" t="n">
        <v>42526334</v>
      </c>
      <c r="X1816" s="3" t="n">
        <f aca="false">IF(W1816="","",LN(W1816))</f>
        <v>17.5656340655367</v>
      </c>
      <c r="Y1816" s="3" t="n">
        <f aca="false">IF(X1816="","",X1816-AVERAGEIFS($X$2:$X$2705,$B$2:$B$2705,B1816))</f>
        <v>0.267895335889364</v>
      </c>
      <c r="Z1816" s="21" t="n">
        <f aca="false">P1816</f>
        <v>-0.881530048425342</v>
      </c>
      <c r="AA1816" s="3" t="n">
        <f aca="false">R1816</f>
        <v>0</v>
      </c>
      <c r="AB1816" s="21" t="n">
        <f aca="false">P1816</f>
        <v>-0.881530048425342</v>
      </c>
      <c r="AC1816" s="3" t="n">
        <f aca="false">Y1816</f>
        <v>0.267895335889364</v>
      </c>
      <c r="AD1816" s="3" t="n">
        <f aca="false">R1816</f>
        <v>0</v>
      </c>
    </row>
    <row r="1817" customFormat="false" ht="15" hidden="false" customHeight="true" outlineLevel="0" collapsed="false">
      <c r="A1817" s="7" t="s">
        <v>66</v>
      </c>
      <c r="B1817" s="7" t="n">
        <v>1996</v>
      </c>
      <c r="C1817" s="7" t="s">
        <v>151</v>
      </c>
      <c r="D1817" s="7" t="n">
        <v>99</v>
      </c>
      <c r="E1817" s="7" t="n">
        <v>62</v>
      </c>
      <c r="F1817" s="3" t="n">
        <f aca="false">COUNTIFS($B$2:$B$2705,B1817,$C$2:$C$2705,C1817)</f>
        <v>1</v>
      </c>
      <c r="G1817" s="3" t="n">
        <f aca="false">MIN(INT((MIN(B1817,2020)-1900)/10)+1,12)</f>
        <v>10</v>
      </c>
      <c r="H1817" s="3" t="n">
        <f aca="false">(MIN(B1817,2020)-1900-10*(G1817-1))/10</f>
        <v>0.6</v>
      </c>
      <c r="I1817" s="20" t="n">
        <f aca="false">EXP(LN(INDEX(Pop_Inputs!$B$2:$N$29,MATCH(C1817,Pop_Inputs!$A$2:$A$29,0),G1817))*(1-H1817)+LN(INDEX(Pop_Inputs!$B$2:$N$29,MATCH(C1817,Pop_Inputs!$A$2:$A$29,0),G1817+1))*H1817)</f>
        <v>489107.880309243</v>
      </c>
      <c r="J1817" s="20" t="n">
        <f aca="false">I1817/F1817</f>
        <v>489107.880309243</v>
      </c>
      <c r="K1817" s="21" t="n">
        <f aca="false">D1817/(D1817+E1817)</f>
        <v>0.614906832298137</v>
      </c>
      <c r="L1817" s="21" t="n">
        <f aca="false">AVERAGEIFS($K$2:$K$2705,$B$2:$B$2705,B1817)</f>
        <v>0.500009585154513</v>
      </c>
      <c r="M1817" s="21" t="n">
        <f aca="false">K1817-L1817</f>
        <v>0.114897247143624</v>
      </c>
      <c r="N1817" s="21" t="n">
        <f aca="false">LN(J1817)</f>
        <v>13.1003383582546</v>
      </c>
      <c r="O1817" s="21" t="n">
        <f aca="false">AVERAGEIFS($N$2:$N$2705,$B$2:$B$2705,B1817)</f>
        <v>13.6299782473488</v>
      </c>
      <c r="P1817" s="21" t="n">
        <f aca="false">N1817-O1817</f>
        <v>-0.529639889094195</v>
      </c>
      <c r="Q1817" s="7" t="n">
        <v>0</v>
      </c>
      <c r="R1817" s="3" t="n">
        <f aca="false">IF(AND(Q1817=1,B1817-_xlfn.MINIFS($B$2:$B$2705,$A$2:$A$2705,A1817)&lt;10),1,0)</f>
        <v>0</v>
      </c>
      <c r="S1817" s="7" t="n">
        <v>0</v>
      </c>
      <c r="T1817" s="3" t="n">
        <f aca="false">_xlfn.MINIFS($B$2:$B$2705,$A$2:$A$2705,A1817)</f>
        <v>1901</v>
      </c>
      <c r="U1817" s="3" t="n">
        <f aca="false">B1817-T1817</f>
        <v>95</v>
      </c>
      <c r="V1817" s="3" t="str">
        <f aca="false">INDEX(Pop_Inputs!$Q$2:$Q$29,MATCH(C1817,Pop_Inputs!$A$2:$A$29,0))</f>
        <v>Midwest</v>
      </c>
      <c r="W1817" s="29" t="n">
        <v>48107360</v>
      </c>
      <c r="X1817" s="3" t="n">
        <f aca="false">IF(W1817="","",LN(W1817))</f>
        <v>17.6889457379235</v>
      </c>
      <c r="Y1817" s="3" t="n">
        <f aca="false">IF(X1817="","",X1817-AVERAGEIFS($X$2:$X$2705,$B$2:$B$2705,B1817))</f>
        <v>0.391207008276176</v>
      </c>
      <c r="Z1817" s="21" t="n">
        <f aca="false">P1817</f>
        <v>-0.529639889094195</v>
      </c>
      <c r="AA1817" s="3" t="n">
        <f aca="false">R1817</f>
        <v>0</v>
      </c>
      <c r="AB1817" s="21" t="n">
        <f aca="false">P1817</f>
        <v>-0.529639889094195</v>
      </c>
      <c r="AC1817" s="3" t="n">
        <f aca="false">Y1817</f>
        <v>0.391207008276176</v>
      </c>
      <c r="AD1817" s="3" t="n">
        <f aca="false">R1817</f>
        <v>0</v>
      </c>
    </row>
    <row r="1818" customFormat="false" ht="15" hidden="false" customHeight="true" outlineLevel="0" collapsed="false">
      <c r="A1818" s="7" t="s">
        <v>82</v>
      </c>
      <c r="B1818" s="7" t="n">
        <v>1996</v>
      </c>
      <c r="C1818" s="7" t="s">
        <v>163</v>
      </c>
      <c r="D1818" s="7" t="n">
        <v>83</v>
      </c>
      <c r="E1818" s="7" t="n">
        <v>79</v>
      </c>
      <c r="F1818" s="3" t="n">
        <f aca="false">COUNTIFS($B$2:$B$2705,B1818,$C$2:$C$2705,C1818)</f>
        <v>1</v>
      </c>
      <c r="G1818" s="3" t="n">
        <f aca="false">MIN(INT((MIN(B1818,2020)-1900)/10)+1,12)</f>
        <v>10</v>
      </c>
      <c r="H1818" s="3" t="n">
        <f aca="false">(MIN(B1818,2020)-1900-10*(G1818-1))/10</f>
        <v>0.6</v>
      </c>
      <c r="I1818" s="20" t="n">
        <f aca="false">EXP(LN(INDEX(Pop_Inputs!$B$2:$N$29,MATCH(C1818,Pop_Inputs!$A$2:$A$29,0),G1818))*(1-H1818)+LN(INDEX(Pop_Inputs!$B$2:$N$29,MATCH(C1818,Pop_Inputs!$A$2:$A$29,0),G1818+1))*H1818)</f>
        <v>518034.100773346</v>
      </c>
      <c r="J1818" s="20" t="n">
        <f aca="false">I1818/F1818</f>
        <v>518034.100773346</v>
      </c>
      <c r="K1818" s="21" t="n">
        <f aca="false">D1818/(D1818+E1818)</f>
        <v>0.512345679012346</v>
      </c>
      <c r="L1818" s="21" t="n">
        <f aca="false">AVERAGEIFS($K$2:$K$2705,$B$2:$B$2705,B1818)</f>
        <v>0.500009585154513</v>
      </c>
      <c r="M1818" s="21" t="n">
        <f aca="false">K1818-L1818</f>
        <v>0.0123360938578331</v>
      </c>
      <c r="N1818" s="21" t="n">
        <f aca="false">LN(J1818)</f>
        <v>13.1577963506836</v>
      </c>
      <c r="O1818" s="21" t="n">
        <f aca="false">AVERAGEIFS($N$2:$N$2705,$B$2:$B$2705,B1818)</f>
        <v>13.6299782473488</v>
      </c>
      <c r="P1818" s="21" t="n">
        <f aca="false">N1818-O1818</f>
        <v>-0.472181896665227</v>
      </c>
      <c r="Q1818" s="7" t="n">
        <v>1</v>
      </c>
      <c r="R1818" s="3" t="n">
        <f aca="false">IF(AND(Q1818=1,B1818-_xlfn.MINIFS($B$2:$B$2705,$A$2:$A$2705,A1818)&lt;10),1,0)</f>
        <v>1</v>
      </c>
      <c r="S1818" s="7" t="n">
        <v>0</v>
      </c>
      <c r="T1818" s="3" t="n">
        <f aca="false">_xlfn.MINIFS($B$2:$B$2705,$A$2:$A$2705,A1818)</f>
        <v>1993</v>
      </c>
      <c r="U1818" s="3" t="n">
        <f aca="false">B1818-T1818</f>
        <v>3</v>
      </c>
      <c r="V1818" s="3" t="str">
        <f aca="false">INDEX(Pop_Inputs!$Q$2:$Q$29,MATCH(C1818,Pop_Inputs!$A$2:$A$29,0))</f>
        <v>West</v>
      </c>
      <c r="W1818" s="29" t="n">
        <v>40179823</v>
      </c>
      <c r="X1818" s="3" t="n">
        <f aca="false">IF(W1818="","",LN(W1818))</f>
        <v>17.5088755121647</v>
      </c>
      <c r="Y1818" s="3" t="n">
        <f aca="false">IF(X1818="","",X1818-AVERAGEIFS($X$2:$X$2705,$B$2:$B$2705,B1818))</f>
        <v>0.211136782517357</v>
      </c>
      <c r="Z1818" s="21" t="n">
        <f aca="false">P1818</f>
        <v>-0.472181896665227</v>
      </c>
      <c r="AA1818" s="3" t="n">
        <f aca="false">R1818</f>
        <v>1</v>
      </c>
      <c r="AB1818" s="21" t="n">
        <f aca="false">P1818</f>
        <v>-0.472181896665227</v>
      </c>
      <c r="AC1818" s="3" t="n">
        <f aca="false">Y1818</f>
        <v>0.211136782517357</v>
      </c>
      <c r="AD1818" s="3" t="n">
        <f aca="false">R1818</f>
        <v>1</v>
      </c>
    </row>
    <row r="1819" customFormat="false" ht="15" hidden="false" customHeight="true" outlineLevel="0" collapsed="false">
      <c r="A1819" s="7" t="s">
        <v>67</v>
      </c>
      <c r="B1819" s="7" t="n">
        <v>1996</v>
      </c>
      <c r="C1819" s="7" t="s">
        <v>152</v>
      </c>
      <c r="D1819" s="7" t="n">
        <v>53</v>
      </c>
      <c r="E1819" s="7" t="n">
        <v>109</v>
      </c>
      <c r="F1819" s="3" t="n">
        <f aca="false">COUNTIFS($B$2:$B$2705,B1819,$C$2:$C$2705,C1819)</f>
        <v>1</v>
      </c>
      <c r="G1819" s="3" t="n">
        <f aca="false">MIN(INT((MIN(B1819,2020)-1900)/10)+1,12)</f>
        <v>10</v>
      </c>
      <c r="H1819" s="3" t="n">
        <f aca="false">(MIN(B1819,2020)-1900-10*(G1819-1))/10</f>
        <v>0.6</v>
      </c>
      <c r="I1819" s="20" t="n">
        <f aca="false">EXP(LN(INDEX(Pop_Inputs!$B$2:$N$29,MATCH(C1819,Pop_Inputs!$A$2:$A$29,0),G1819))*(1-H1819)+LN(INDEX(Pop_Inputs!$B$2:$N$29,MATCH(C1819,Pop_Inputs!$A$2:$A$29,0),G1819+1))*H1819)</f>
        <v>981239.748741674</v>
      </c>
      <c r="J1819" s="20" t="n">
        <f aca="false">I1819/F1819</f>
        <v>981239.748741674</v>
      </c>
      <c r="K1819" s="21" t="n">
        <f aca="false">D1819/(D1819+E1819)</f>
        <v>0.327160493827161</v>
      </c>
      <c r="L1819" s="21" t="n">
        <f aca="false">AVERAGEIFS($K$2:$K$2705,$B$2:$B$2705,B1819)</f>
        <v>0.500009585154513</v>
      </c>
      <c r="M1819" s="21" t="n">
        <f aca="false">K1819-L1819</f>
        <v>-0.172849091327352</v>
      </c>
      <c r="N1819" s="21" t="n">
        <f aca="false">LN(J1819)</f>
        <v>13.7965721008819</v>
      </c>
      <c r="O1819" s="21" t="n">
        <f aca="false">AVERAGEIFS($N$2:$N$2705,$B$2:$B$2705,B1819)</f>
        <v>13.6299782473488</v>
      </c>
      <c r="P1819" s="21" t="n">
        <f aca="false">N1819-O1819</f>
        <v>0.166593853533124</v>
      </c>
      <c r="Q1819" s="7" t="n">
        <v>0</v>
      </c>
      <c r="R1819" s="3" t="n">
        <f aca="false">IF(AND(Q1819=1,B1819-_xlfn.MINIFS($B$2:$B$2705,$A$2:$A$2705,A1819)&lt;10),1,0)</f>
        <v>0</v>
      </c>
      <c r="S1819" s="7" t="n">
        <v>0</v>
      </c>
      <c r="T1819" s="3" t="n">
        <f aca="false">_xlfn.MINIFS($B$2:$B$2705,$A$2:$A$2705,A1819)</f>
        <v>1901</v>
      </c>
      <c r="U1819" s="3" t="n">
        <f aca="false">B1819-T1819</f>
        <v>95</v>
      </c>
      <c r="V1819" s="3" t="str">
        <f aca="false">INDEX(Pop_Inputs!$Q$2:$Q$29,MATCH(C1819,Pop_Inputs!$A$2:$A$29,0))</f>
        <v>Midwest</v>
      </c>
      <c r="W1819" s="29" t="n">
        <v>23438000</v>
      </c>
      <c r="X1819" s="3" t="n">
        <f aca="false">IF(W1819="","",LN(W1819))</f>
        <v>16.9698691948007</v>
      </c>
      <c r="Y1819" s="3" t="n">
        <f aca="false">IF(X1819="","",X1819-AVERAGEIFS($X$2:$X$2705,$B$2:$B$2705,B1819))</f>
        <v>-0.327869534846613</v>
      </c>
      <c r="Z1819" s="21" t="n">
        <f aca="false">P1819</f>
        <v>0.166593853533124</v>
      </c>
      <c r="AA1819" s="3" t="n">
        <f aca="false">R1819</f>
        <v>0</v>
      </c>
      <c r="AB1819" s="21" t="n">
        <f aca="false">P1819</f>
        <v>0.166593853533124</v>
      </c>
      <c r="AC1819" s="3" t="n">
        <f aca="false">Y1819</f>
        <v>-0.327869534846613</v>
      </c>
      <c r="AD1819" s="3" t="n">
        <f aca="false">R1819</f>
        <v>0</v>
      </c>
    </row>
    <row r="1820" customFormat="false" ht="15" hidden="false" customHeight="true" outlineLevel="0" collapsed="false">
      <c r="A1820" s="7" t="s">
        <v>83</v>
      </c>
      <c r="B1820" s="7" t="n">
        <v>1996</v>
      </c>
      <c r="C1820" s="7" t="s">
        <v>164</v>
      </c>
      <c r="D1820" s="7" t="n">
        <v>80</v>
      </c>
      <c r="E1820" s="7" t="n">
        <v>82</v>
      </c>
      <c r="F1820" s="3" t="n">
        <f aca="false">COUNTIFS($B$2:$B$2705,B1820,$C$2:$C$2705,C1820)</f>
        <v>1</v>
      </c>
      <c r="G1820" s="3" t="n">
        <f aca="false">MIN(INT((MIN(B1820,2020)-1900)/10)+1,12)</f>
        <v>10</v>
      </c>
      <c r="H1820" s="3" t="n">
        <f aca="false">(MIN(B1820,2020)-1900-10*(G1820-1))/10</f>
        <v>0.6</v>
      </c>
      <c r="I1820" s="20" t="n">
        <f aca="false">EXP(LN(INDEX(Pop_Inputs!$B$2:$N$29,MATCH(C1820,Pop_Inputs!$A$2:$A$29,0),G1820))*(1-H1820)+LN(INDEX(Pop_Inputs!$B$2:$N$29,MATCH(C1820,Pop_Inputs!$A$2:$A$29,0),G1820+1))*H1820)</f>
        <v>360936.336568655</v>
      </c>
      <c r="J1820" s="20" t="n">
        <f aca="false">I1820/F1820</f>
        <v>360936.336568655</v>
      </c>
      <c r="K1820" s="21" t="n">
        <f aca="false">D1820/(D1820+E1820)</f>
        <v>0.493827160493827</v>
      </c>
      <c r="L1820" s="21" t="n">
        <f aca="false">AVERAGEIFS($K$2:$K$2705,$B$2:$B$2705,B1820)</f>
        <v>0.500009585154513</v>
      </c>
      <c r="M1820" s="21" t="n">
        <f aca="false">K1820-L1820</f>
        <v>-0.00618242466068553</v>
      </c>
      <c r="N1820" s="21" t="n">
        <f aca="false">LN(J1820)</f>
        <v>12.7964568687676</v>
      </c>
      <c r="O1820" s="21" t="n">
        <f aca="false">AVERAGEIFS($N$2:$N$2705,$B$2:$B$2705,B1820)</f>
        <v>13.6299782473488</v>
      </c>
      <c r="P1820" s="21" t="n">
        <f aca="false">N1820-O1820</f>
        <v>-0.833521378581231</v>
      </c>
      <c r="Q1820" s="7" t="n">
        <v>1</v>
      </c>
      <c r="R1820" s="3" t="n">
        <f aca="false">IF(AND(Q1820=1,B1820-_xlfn.MINIFS($B$2:$B$2705,$A$2:$A$2705,A1820)&lt;10),1,0)</f>
        <v>1</v>
      </c>
      <c r="S1820" s="7" t="n">
        <v>0</v>
      </c>
      <c r="T1820" s="3" t="n">
        <f aca="false">_xlfn.MINIFS($B$2:$B$2705,$A$2:$A$2705,A1820)</f>
        <v>1993</v>
      </c>
      <c r="U1820" s="3" t="n">
        <f aca="false">B1820-T1820</f>
        <v>3</v>
      </c>
      <c r="V1820" s="3" t="str">
        <f aca="false">INDEX(Pop_Inputs!$Q$2:$Q$29,MATCH(C1820,Pop_Inputs!$A$2:$A$29,0))</f>
        <v>South</v>
      </c>
      <c r="W1820" s="29" t="n">
        <v>31022500</v>
      </c>
      <c r="X1820" s="3" t="n">
        <f aca="false">IF(W1820="","",LN(W1820))</f>
        <v>17.2502233056309</v>
      </c>
      <c r="Y1820" s="3" t="n">
        <f aca="false">IF(X1820="","",X1820-AVERAGEIFS($X$2:$X$2705,$B$2:$B$2705,B1820))</f>
        <v>-0.0475154240163853</v>
      </c>
      <c r="Z1820" s="21" t="n">
        <f aca="false">P1820</f>
        <v>-0.833521378581231</v>
      </c>
      <c r="AA1820" s="3" t="n">
        <f aca="false">R1820</f>
        <v>1</v>
      </c>
      <c r="AB1820" s="21" t="n">
        <f aca="false">P1820</f>
        <v>-0.833521378581231</v>
      </c>
      <c r="AC1820" s="3" t="n">
        <f aca="false">Y1820</f>
        <v>-0.0475154240163853</v>
      </c>
      <c r="AD1820" s="3" t="n">
        <f aca="false">R1820</f>
        <v>1</v>
      </c>
    </row>
    <row r="1821" customFormat="false" ht="15" hidden="false" customHeight="true" outlineLevel="0" collapsed="false">
      <c r="A1821" s="7" t="s">
        <v>74</v>
      </c>
      <c r="B1821" s="7" t="n">
        <v>1996</v>
      </c>
      <c r="C1821" s="7" t="s">
        <v>156</v>
      </c>
      <c r="D1821" s="7" t="n">
        <v>82</v>
      </c>
      <c r="E1821" s="7" t="n">
        <v>80</v>
      </c>
      <c r="F1821" s="3" t="n">
        <f aca="false">COUNTIFS($B$2:$B$2705,B1821,$C$2:$C$2705,C1821)</f>
        <v>1</v>
      </c>
      <c r="G1821" s="3" t="n">
        <f aca="false">MIN(INT((MIN(B1821,2020)-1900)/10)+1,12)</f>
        <v>10</v>
      </c>
      <c r="H1821" s="3" t="n">
        <f aca="false">(MIN(B1821,2020)-1900-10*(G1821-1))/10</f>
        <v>0.6</v>
      </c>
      <c r="I1821" s="20" t="n">
        <f aca="false">EXP(LN(INDEX(Pop_Inputs!$B$2:$N$29,MATCH(C1821,Pop_Inputs!$A$2:$A$29,0),G1821))*(1-H1821)+LN(INDEX(Pop_Inputs!$B$2:$N$29,MATCH(C1821,Pop_Inputs!$A$2:$A$29,0),G1821+1))*H1821)</f>
        <v>1817353.83060921</v>
      </c>
      <c r="J1821" s="20" t="n">
        <f aca="false">I1821/F1821</f>
        <v>1817353.83060921</v>
      </c>
      <c r="K1821" s="21" t="n">
        <f aca="false">D1821/(D1821+E1821)</f>
        <v>0.506172839506173</v>
      </c>
      <c r="L1821" s="21" t="n">
        <f aca="false">AVERAGEIFS($K$2:$K$2705,$B$2:$B$2705,B1821)</f>
        <v>0.500009585154513</v>
      </c>
      <c r="M1821" s="21" t="n">
        <f aca="false">K1821-L1821</f>
        <v>0.00616325435166021</v>
      </c>
      <c r="N1821" s="21" t="n">
        <f aca="false">LN(J1821)</f>
        <v>14.412892061832</v>
      </c>
      <c r="O1821" s="21" t="n">
        <f aca="false">AVERAGEIFS($N$2:$N$2705,$B$2:$B$2705,B1821)</f>
        <v>13.6299782473488</v>
      </c>
      <c r="P1821" s="21" t="n">
        <f aca="false">N1821-O1821</f>
        <v>0.782913814483184</v>
      </c>
      <c r="Q1821" s="7" t="n">
        <v>1</v>
      </c>
      <c r="R1821" s="3" t="n">
        <f aca="false">IF(AND(Q1821=1,B1821-_xlfn.MINIFS($B$2:$B$2705,$A$2:$A$2705,A1821)&lt;10),1,0)</f>
        <v>0</v>
      </c>
      <c r="S1821" s="7" t="n">
        <v>0</v>
      </c>
      <c r="T1821" s="3" t="n">
        <f aca="false">_xlfn.MINIFS($B$2:$B$2705,$A$2:$A$2705,A1821)</f>
        <v>1962</v>
      </c>
      <c r="U1821" s="3" t="n">
        <f aca="false">B1821-T1821</f>
        <v>34</v>
      </c>
      <c r="V1821" s="3" t="str">
        <f aca="false">INDEX(Pop_Inputs!$Q$2:$Q$29,MATCH(C1821,Pop_Inputs!$A$2:$A$29,0))</f>
        <v>South</v>
      </c>
      <c r="W1821" s="29" t="n">
        <v>28487000</v>
      </c>
      <c r="X1821" s="3" t="n">
        <f aca="false">IF(W1821="","",LN(W1821))</f>
        <v>17.1649584008243</v>
      </c>
      <c r="Y1821" s="3" t="n">
        <f aca="false">IF(X1821="","",X1821-AVERAGEIFS($X$2:$X$2705,$B$2:$B$2705,B1821))</f>
        <v>-0.13278032882295</v>
      </c>
      <c r="Z1821" s="21" t="n">
        <f aca="false">P1821</f>
        <v>0.782913814483184</v>
      </c>
      <c r="AA1821" s="3" t="n">
        <f aca="false">R1821</f>
        <v>0</v>
      </c>
      <c r="AB1821" s="21" t="n">
        <f aca="false">P1821</f>
        <v>0.782913814483184</v>
      </c>
      <c r="AC1821" s="3" t="n">
        <f aca="false">Y1821</f>
        <v>-0.13278032882295</v>
      </c>
      <c r="AD1821" s="3" t="n">
        <f aca="false">R1821</f>
        <v>0</v>
      </c>
    </row>
    <row r="1822" customFormat="false" ht="15" hidden="false" customHeight="true" outlineLevel="0" collapsed="false">
      <c r="A1822" s="7" t="s">
        <v>76</v>
      </c>
      <c r="B1822" s="7" t="n">
        <v>1996</v>
      </c>
      <c r="C1822" s="7" t="s">
        <v>157</v>
      </c>
      <c r="D1822" s="7" t="n">
        <v>75</v>
      </c>
      <c r="E1822" s="7" t="n">
        <v>86</v>
      </c>
      <c r="F1822" s="3" t="n">
        <f aca="false">COUNTIFS($B$2:$B$2705,B1822,$C$2:$C$2705,C1822)</f>
        <v>1</v>
      </c>
      <c r="G1822" s="3" t="n">
        <f aca="false">MIN(INT((MIN(B1822,2020)-1900)/10)+1,12)</f>
        <v>10</v>
      </c>
      <c r="H1822" s="3" t="n">
        <f aca="false">(MIN(B1822,2020)-1900-10*(G1822-1))/10</f>
        <v>0.6</v>
      </c>
      <c r="I1822" s="20" t="n">
        <f aca="false">EXP(LN(INDEX(Pop_Inputs!$B$2:$N$29,MATCH(C1822,Pop_Inputs!$A$2:$A$29,0),G1822))*(1-H1822)+LN(INDEX(Pop_Inputs!$B$2:$N$29,MATCH(C1822,Pop_Inputs!$A$2:$A$29,0),G1822+1))*H1822)</f>
        <v>438974.184824959</v>
      </c>
      <c r="J1822" s="20" t="n">
        <f aca="false">I1822/F1822</f>
        <v>438974.184824959</v>
      </c>
      <c r="K1822" s="21" t="n">
        <f aca="false">D1822/(D1822+E1822)</f>
        <v>0.46583850931677</v>
      </c>
      <c r="L1822" s="21" t="n">
        <f aca="false">AVERAGEIFS($K$2:$K$2705,$B$2:$B$2705,B1822)</f>
        <v>0.500009585154513</v>
      </c>
      <c r="M1822" s="21" t="n">
        <f aca="false">K1822-L1822</f>
        <v>-0.0341710758377425</v>
      </c>
      <c r="N1822" s="21" t="n">
        <f aca="false">LN(J1822)</f>
        <v>12.9921958858293</v>
      </c>
      <c r="O1822" s="21" t="n">
        <f aca="false">AVERAGEIFS($N$2:$N$2705,$B$2:$B$2705,B1822)</f>
        <v>13.6299782473488</v>
      </c>
      <c r="P1822" s="21" t="n">
        <f aca="false">N1822-O1822</f>
        <v>-0.637782361519514</v>
      </c>
      <c r="Q1822" s="7" t="n">
        <v>1</v>
      </c>
      <c r="R1822" s="3" t="n">
        <f aca="false">IF(AND(Q1822=1,B1822-_xlfn.MINIFS($B$2:$B$2705,$A$2:$A$2705,A1822)&lt;10),1,0)</f>
        <v>0</v>
      </c>
      <c r="S1822" s="7" t="n">
        <v>0</v>
      </c>
      <c r="T1822" s="3" t="n">
        <f aca="false">_xlfn.MINIFS($B$2:$B$2705,$A$2:$A$2705,A1822)</f>
        <v>1969</v>
      </c>
      <c r="U1822" s="3" t="n">
        <f aca="false">B1822-T1822</f>
        <v>27</v>
      </c>
      <c r="V1822" s="3" t="str">
        <f aca="false">INDEX(Pop_Inputs!$Q$2:$Q$29,MATCH(C1822,Pop_Inputs!$A$2:$A$29,0))</f>
        <v>Midwest</v>
      </c>
      <c r="W1822" s="29" t="n">
        <v>20281250</v>
      </c>
      <c r="X1822" s="3" t="n">
        <f aca="false">IF(W1822="","",LN(W1822))</f>
        <v>16.8252073718686</v>
      </c>
      <c r="Y1822" s="3" t="n">
        <f aca="false">IF(X1822="","",X1822-AVERAGEIFS($X$2:$X$2705,$B$2:$B$2705,B1822))</f>
        <v>-0.47253135777866</v>
      </c>
      <c r="Z1822" s="21" t="n">
        <f aca="false">P1822</f>
        <v>-0.637782361519514</v>
      </c>
      <c r="AA1822" s="3" t="n">
        <f aca="false">R1822</f>
        <v>0</v>
      </c>
      <c r="AB1822" s="21" t="n">
        <f aca="false">P1822</f>
        <v>-0.637782361519514</v>
      </c>
      <c r="AC1822" s="3" t="n">
        <f aca="false">Y1822</f>
        <v>-0.47253135777866</v>
      </c>
      <c r="AD1822" s="3" t="n">
        <f aca="false">R1822</f>
        <v>0</v>
      </c>
    </row>
    <row r="1823" customFormat="false" ht="15" hidden="false" customHeight="true" outlineLevel="0" collapsed="false">
      <c r="A1823" s="7" t="s">
        <v>62</v>
      </c>
      <c r="B1823" s="7" t="n">
        <v>1996</v>
      </c>
      <c r="C1823" s="7" t="s">
        <v>148</v>
      </c>
      <c r="D1823" s="7" t="n">
        <v>90</v>
      </c>
      <c r="E1823" s="7" t="n">
        <v>72</v>
      </c>
      <c r="F1823" s="3" t="n">
        <f aca="false">COUNTIFS($B$2:$B$2705,B1823,$C$2:$C$2705,C1823)</f>
        <v>2</v>
      </c>
      <c r="G1823" s="3" t="n">
        <f aca="false">MIN(INT((MIN(B1823,2020)-1900)/10)+1,12)</f>
        <v>10</v>
      </c>
      <c r="H1823" s="3" t="n">
        <f aca="false">(MIN(B1823,2020)-1900-10*(G1823-1))/10</f>
        <v>0.6</v>
      </c>
      <c r="I1823" s="20" t="n">
        <f aca="false">EXP(LN(INDEX(Pop_Inputs!$B$2:$N$29,MATCH(C1823,Pop_Inputs!$A$2:$A$29,0),G1823))*(1-H1823)+LN(INDEX(Pop_Inputs!$B$2:$N$29,MATCH(C1823,Pop_Inputs!$A$2:$A$29,0),G1823+1))*H1823)</f>
        <v>3609582.08533971</v>
      </c>
      <c r="J1823" s="20" t="n">
        <f aca="false">I1823/F1823</f>
        <v>1804791.04266986</v>
      </c>
      <c r="K1823" s="21" t="n">
        <f aca="false">D1823/(D1823+E1823)</f>
        <v>0.555555555555556</v>
      </c>
      <c r="L1823" s="21" t="n">
        <f aca="false">AVERAGEIFS($K$2:$K$2705,$B$2:$B$2705,B1823)</f>
        <v>0.500009585154513</v>
      </c>
      <c r="M1823" s="21" t="n">
        <f aca="false">K1823-L1823</f>
        <v>0.0555459704010429</v>
      </c>
      <c r="N1823" s="21" t="n">
        <f aca="false">LN(J1823)</f>
        <v>14.4059553772139</v>
      </c>
      <c r="O1823" s="21" t="n">
        <f aca="false">AVERAGEIFS($N$2:$N$2705,$B$2:$B$2705,B1823)</f>
        <v>13.6299782473488</v>
      </c>
      <c r="P1823" s="21" t="n">
        <f aca="false">N1823-O1823</f>
        <v>0.775977129865046</v>
      </c>
      <c r="Q1823" s="7" t="n">
        <v>0</v>
      </c>
      <c r="R1823" s="3" t="n">
        <f aca="false">IF(AND(Q1823=1,B1823-_xlfn.MINIFS($B$2:$B$2705,$A$2:$A$2705,A1823)&lt;10),1,0)</f>
        <v>0</v>
      </c>
      <c r="S1823" s="7" t="n">
        <v>0</v>
      </c>
      <c r="T1823" s="3" t="n">
        <f aca="false">_xlfn.MINIFS($B$2:$B$2705,$A$2:$A$2705,A1823)</f>
        <v>1901</v>
      </c>
      <c r="U1823" s="3" t="n">
        <f aca="false">B1823-T1823</f>
        <v>95</v>
      </c>
      <c r="V1823" s="3" t="str">
        <f aca="false">INDEX(Pop_Inputs!$Q$2:$Q$29,MATCH(C1823,Pop_Inputs!$A$2:$A$29,0))</f>
        <v>West</v>
      </c>
      <c r="W1823" s="29" t="n">
        <v>35355000</v>
      </c>
      <c r="X1823" s="3" t="n">
        <f aca="false">IF(W1823="","",LN(W1823))</f>
        <v>17.3809503830205</v>
      </c>
      <c r="Y1823" s="3" t="n">
        <f aca="false">IF(X1823="","",X1823-AVERAGEIFS($X$2:$X$2705,$B$2:$B$2705,B1823))</f>
        <v>0.0832116533731835</v>
      </c>
      <c r="Z1823" s="21" t="n">
        <f aca="false">P1823</f>
        <v>0.775977129865046</v>
      </c>
      <c r="AA1823" s="3" t="n">
        <f aca="false">R1823</f>
        <v>0</v>
      </c>
      <c r="AB1823" s="21" t="n">
        <f aca="false">P1823</f>
        <v>0.775977129865046</v>
      </c>
      <c r="AC1823" s="3" t="n">
        <f aca="false">Y1823</f>
        <v>0.0832116533731835</v>
      </c>
      <c r="AD1823" s="3" t="n">
        <f aca="false">R1823</f>
        <v>0</v>
      </c>
    </row>
    <row r="1824" customFormat="false" ht="15" hidden="false" customHeight="true" outlineLevel="0" collapsed="false">
      <c r="A1824" s="7" t="s">
        <v>77</v>
      </c>
      <c r="B1824" s="7" t="n">
        <v>1996</v>
      </c>
      <c r="C1824" s="7" t="s">
        <v>158</v>
      </c>
      <c r="D1824" s="7" t="n">
        <v>80</v>
      </c>
      <c r="E1824" s="7" t="n">
        <v>82</v>
      </c>
      <c r="F1824" s="3" t="n">
        <f aca="false">COUNTIFS($B$2:$B$2705,B1824,$C$2:$C$2705,C1824)</f>
        <v>1</v>
      </c>
      <c r="G1824" s="3" t="n">
        <f aca="false">MIN(INT((MIN(B1824,2020)-1900)/10)+1,12)</f>
        <v>10</v>
      </c>
      <c r="H1824" s="3" t="n">
        <f aca="false">(MIN(B1824,2020)-1900-10*(G1824-1))/10</f>
        <v>0.6</v>
      </c>
      <c r="I1824" s="20" t="n">
        <f aca="false">EXP(LN(INDEX(Pop_Inputs!$B$2:$N$29,MATCH(C1824,Pop_Inputs!$A$2:$A$29,0),G1824))*(1-H1824)+LN(INDEX(Pop_Inputs!$B$2:$N$29,MATCH(C1824,Pop_Inputs!$A$2:$A$29,0),G1824+1))*H1824)</f>
        <v>609230.234985733</v>
      </c>
      <c r="J1824" s="20" t="n">
        <f aca="false">I1824/F1824</f>
        <v>609230.234985733</v>
      </c>
      <c r="K1824" s="21" t="n">
        <f aca="false">D1824/(D1824+E1824)</f>
        <v>0.493827160493827</v>
      </c>
      <c r="L1824" s="21" t="n">
        <f aca="false">AVERAGEIFS($K$2:$K$2705,$B$2:$B$2705,B1824)</f>
        <v>0.500009585154513</v>
      </c>
      <c r="M1824" s="21" t="n">
        <f aca="false">K1824-L1824</f>
        <v>-0.00618242466068553</v>
      </c>
      <c r="N1824" s="21" t="n">
        <f aca="false">LN(J1824)</f>
        <v>13.3199515294113</v>
      </c>
      <c r="O1824" s="21" t="n">
        <f aca="false">AVERAGEIFS($N$2:$N$2705,$B$2:$B$2705,B1824)</f>
        <v>13.6299782473488</v>
      </c>
      <c r="P1824" s="21" t="n">
        <f aca="false">N1824-O1824</f>
        <v>-0.310026717937486</v>
      </c>
      <c r="Q1824" s="7" t="n">
        <v>1</v>
      </c>
      <c r="R1824" s="3" t="n">
        <f aca="false">IF(AND(Q1824=1,B1824-_xlfn.MINIFS($B$2:$B$2705,$A$2:$A$2705,A1824)&lt;10),1,0)</f>
        <v>0</v>
      </c>
      <c r="S1824" s="7" t="n">
        <v>0</v>
      </c>
      <c r="T1824" s="3" t="n">
        <f aca="false">_xlfn.MINIFS($B$2:$B$2705,$A$2:$A$2705,A1824)</f>
        <v>1969</v>
      </c>
      <c r="U1824" s="3" t="n">
        <f aca="false">B1824-T1824</f>
        <v>27</v>
      </c>
      <c r="V1824" s="3" t="str">
        <f aca="false">INDEX(Pop_Inputs!$Q$2:$Q$29,MATCH(C1824,Pop_Inputs!$A$2:$A$29,0))</f>
        <v>Midwest</v>
      </c>
      <c r="W1824" s="29" t="n">
        <v>21730000</v>
      </c>
      <c r="X1824" s="3" t="n">
        <f aca="false">IF(W1824="","",LN(W1824))</f>
        <v>16.8942043522326</v>
      </c>
      <c r="Y1824" s="3" t="n">
        <f aca="false">IF(X1824="","",X1824-AVERAGEIFS($X$2:$X$2705,$B$2:$B$2705,B1824))</f>
        <v>-0.403534377414683</v>
      </c>
      <c r="Z1824" s="21" t="n">
        <f aca="false">P1824</f>
        <v>-0.310026717937486</v>
      </c>
      <c r="AA1824" s="3" t="n">
        <f aca="false">R1824</f>
        <v>0</v>
      </c>
      <c r="AB1824" s="21" t="n">
        <f aca="false">P1824</f>
        <v>-0.310026717937486</v>
      </c>
      <c r="AC1824" s="3" t="n">
        <f aca="false">Y1824</f>
        <v>-0.403534377414683</v>
      </c>
      <c r="AD1824" s="3" t="n">
        <f aca="false">R1824</f>
        <v>0</v>
      </c>
    </row>
    <row r="1825" customFormat="false" ht="15" hidden="false" customHeight="true" outlineLevel="0" collapsed="false">
      <c r="A1825" s="7" t="s">
        <v>68</v>
      </c>
      <c r="B1825" s="7" t="n">
        <v>1996</v>
      </c>
      <c r="C1825" s="7" t="s">
        <v>153</v>
      </c>
      <c r="D1825" s="7" t="n">
        <v>78</v>
      </c>
      <c r="E1825" s="7" t="n">
        <v>84</v>
      </c>
      <c r="F1825" s="3" t="n">
        <f aca="false">COUNTIFS($B$2:$B$2705,B1825,$C$2:$C$2705,C1825)</f>
        <v>1</v>
      </c>
      <c r="G1825" s="3" t="n">
        <f aca="false">MIN(INT((MIN(B1825,2020)-1900)/10)+1,12)</f>
        <v>10</v>
      </c>
      <c r="H1825" s="3" t="n">
        <f aca="false">(MIN(B1825,2020)-1900-10*(G1825-1))/10</f>
        <v>0.6</v>
      </c>
      <c r="I1825" s="20" t="n">
        <f aca="false">EXP(LN(INDEX(Pop_Inputs!$B$2:$N$29,MATCH(C1825,Pop_Inputs!$A$2:$A$29,0),G1825))*(1-H1825)+LN(INDEX(Pop_Inputs!$B$2:$N$29,MATCH(C1825,Pop_Inputs!$A$2:$A$29,0),G1825+1))*H1825)</f>
        <v>376859.155415696</v>
      </c>
      <c r="J1825" s="20" t="n">
        <f aca="false">I1825/F1825</f>
        <v>376859.155415696</v>
      </c>
      <c r="K1825" s="21" t="n">
        <f aca="false">D1825/(D1825+E1825)</f>
        <v>0.481481481481481</v>
      </c>
      <c r="L1825" s="21" t="n">
        <f aca="false">AVERAGEIFS($K$2:$K$2705,$B$2:$B$2705,B1825)</f>
        <v>0.500009585154513</v>
      </c>
      <c r="M1825" s="21" t="n">
        <f aca="false">K1825-L1825</f>
        <v>-0.0185281036730312</v>
      </c>
      <c r="N1825" s="21" t="n">
        <f aca="false">LN(J1825)</f>
        <v>12.8396268035651</v>
      </c>
      <c r="O1825" s="21" t="n">
        <f aca="false">AVERAGEIFS($N$2:$N$2705,$B$2:$B$2705,B1825)</f>
        <v>13.6299782473488</v>
      </c>
      <c r="P1825" s="21" t="n">
        <f aca="false">N1825-O1825</f>
        <v>-0.790351443783756</v>
      </c>
      <c r="Q1825" s="7" t="n">
        <v>0</v>
      </c>
      <c r="R1825" s="3" t="n">
        <f aca="false">IF(AND(Q1825=1,B1825-_xlfn.MINIFS($B$2:$B$2705,$A$2:$A$2705,A1825)&lt;10),1,0)</f>
        <v>0</v>
      </c>
      <c r="S1825" s="7" t="n">
        <v>0</v>
      </c>
      <c r="T1825" s="3" t="n">
        <f aca="false">_xlfn.MINIFS($B$2:$B$2705,$A$2:$A$2705,A1825)</f>
        <v>1901</v>
      </c>
      <c r="U1825" s="3" t="n">
        <f aca="false">B1825-T1825</f>
        <v>95</v>
      </c>
      <c r="V1825" s="3" t="str">
        <f aca="false">INDEX(Pop_Inputs!$Q$2:$Q$29,MATCH(C1825,Pop_Inputs!$A$2:$A$29,0))</f>
        <v>Midwest</v>
      </c>
      <c r="W1825" s="29" t="n">
        <v>23117000</v>
      </c>
      <c r="X1825" s="3" t="n">
        <f aca="false">IF(W1825="","",LN(W1825))</f>
        <v>16.9560788355637</v>
      </c>
      <c r="Y1825" s="3" t="n">
        <f aca="false">IF(X1825="","",X1825-AVERAGEIFS($X$2:$X$2705,$B$2:$B$2705,B1825))</f>
        <v>-0.341659894083584</v>
      </c>
      <c r="Z1825" s="21" t="n">
        <f aca="false">P1825</f>
        <v>-0.790351443783756</v>
      </c>
      <c r="AA1825" s="3" t="n">
        <f aca="false">R1825</f>
        <v>0</v>
      </c>
      <c r="AB1825" s="21" t="n">
        <f aca="false">P1825</f>
        <v>-0.790351443783756</v>
      </c>
      <c r="AC1825" s="3" t="n">
        <f aca="false">Y1825</f>
        <v>-0.341659894083584</v>
      </c>
      <c r="AD1825" s="3" t="n">
        <f aca="false">R1825</f>
        <v>0</v>
      </c>
    </row>
    <row r="1826" customFormat="false" ht="15" hidden="false" customHeight="true" outlineLevel="0" collapsed="false">
      <c r="A1826" s="7" t="s">
        <v>75</v>
      </c>
      <c r="B1826" s="7" t="n">
        <v>1996</v>
      </c>
      <c r="C1826" s="7" t="s">
        <v>154</v>
      </c>
      <c r="D1826" s="7" t="n">
        <v>71</v>
      </c>
      <c r="E1826" s="7" t="n">
        <v>91</v>
      </c>
      <c r="F1826" s="3" t="n">
        <f aca="false">COUNTIFS($B$2:$B$2705,B1826,$C$2:$C$2705,C1826)</f>
        <v>2</v>
      </c>
      <c r="G1826" s="3" t="n">
        <f aca="false">MIN(INT((MIN(B1826,2020)-1900)/10)+1,12)</f>
        <v>10</v>
      </c>
      <c r="H1826" s="3" t="n">
        <f aca="false">(MIN(B1826,2020)-1900-10*(G1826-1))/10</f>
        <v>0.6</v>
      </c>
      <c r="I1826" s="20" t="n">
        <f aca="false">EXP(LN(INDEX(Pop_Inputs!$B$2:$N$29,MATCH(C1826,Pop_Inputs!$A$2:$A$29,0),G1826))*(1-H1826)+LN(INDEX(Pop_Inputs!$B$2:$N$29,MATCH(C1826,Pop_Inputs!$A$2:$A$29,0),G1826+1))*H1826)</f>
        <v>7726605.78633574</v>
      </c>
      <c r="J1826" s="20" t="n">
        <f aca="false">I1826/F1826</f>
        <v>3863302.89316787</v>
      </c>
      <c r="K1826" s="21" t="n">
        <f aca="false">D1826/(D1826+E1826)</f>
        <v>0.438271604938272</v>
      </c>
      <c r="L1826" s="21" t="n">
        <f aca="false">AVERAGEIFS($K$2:$K$2705,$B$2:$B$2705,B1826)</f>
        <v>0.500009585154513</v>
      </c>
      <c r="M1826" s="21" t="n">
        <f aca="false">K1826-L1826</f>
        <v>-0.0617379802162411</v>
      </c>
      <c r="N1826" s="21" t="n">
        <f aca="false">LN(J1826)</f>
        <v>15.1670330473677</v>
      </c>
      <c r="O1826" s="21" t="n">
        <f aca="false">AVERAGEIFS($N$2:$N$2705,$B$2:$B$2705,B1826)</f>
        <v>13.6299782473488</v>
      </c>
      <c r="P1826" s="21" t="n">
        <f aca="false">N1826-O1826</f>
        <v>1.53705480001893</v>
      </c>
      <c r="Q1826" s="7" t="n">
        <v>1</v>
      </c>
      <c r="R1826" s="3" t="n">
        <f aca="false">IF(AND(Q1826=1,B1826-_xlfn.MINIFS($B$2:$B$2705,$A$2:$A$2705,A1826)&lt;10),1,0)</f>
        <v>0</v>
      </c>
      <c r="S1826" s="7" t="n">
        <v>0</v>
      </c>
      <c r="T1826" s="3" t="n">
        <f aca="false">_xlfn.MINIFS($B$2:$B$2705,$A$2:$A$2705,A1826)</f>
        <v>1962</v>
      </c>
      <c r="U1826" s="3" t="n">
        <f aca="false">B1826-T1826</f>
        <v>34</v>
      </c>
      <c r="V1826" s="3" t="str">
        <f aca="false">INDEX(Pop_Inputs!$Q$2:$Q$29,MATCH(C1826,Pop_Inputs!$A$2:$A$29,0))</f>
        <v>Northeast</v>
      </c>
      <c r="W1826" s="29" t="n">
        <v>24479500</v>
      </c>
      <c r="X1826" s="3" t="n">
        <f aca="false">IF(W1826="","",LN(W1826))</f>
        <v>17.0133465905632</v>
      </c>
      <c r="Y1826" s="3" t="n">
        <f aca="false">IF(X1826="","",X1826-AVERAGEIFS($X$2:$X$2705,$B$2:$B$2705,B1826))</f>
        <v>-0.284392139084087</v>
      </c>
      <c r="Z1826" s="21" t="n">
        <f aca="false">P1826</f>
        <v>1.53705480001893</v>
      </c>
      <c r="AA1826" s="3" t="n">
        <f aca="false">R1826</f>
        <v>0</v>
      </c>
      <c r="AB1826" s="21" t="n">
        <f aca="false">P1826</f>
        <v>1.53705480001893</v>
      </c>
      <c r="AC1826" s="3" t="n">
        <f aca="false">Y1826</f>
        <v>-0.284392139084087</v>
      </c>
      <c r="AD1826" s="3" t="n">
        <f aca="false">R1826</f>
        <v>0</v>
      </c>
    </row>
    <row r="1827" customFormat="false" ht="15" hidden="false" customHeight="true" outlineLevel="0" collapsed="false">
      <c r="A1827" s="7" t="s">
        <v>70</v>
      </c>
      <c r="B1827" s="7" t="n">
        <v>1996</v>
      </c>
      <c r="C1827" s="7" t="s">
        <v>154</v>
      </c>
      <c r="D1827" s="7" t="n">
        <v>92</v>
      </c>
      <c r="E1827" s="7" t="n">
        <v>70</v>
      </c>
      <c r="F1827" s="3" t="n">
        <f aca="false">COUNTIFS($B$2:$B$2705,B1827,$C$2:$C$2705,C1827)</f>
        <v>2</v>
      </c>
      <c r="G1827" s="3" t="n">
        <f aca="false">MIN(INT((MIN(B1827,2020)-1900)/10)+1,12)</f>
        <v>10</v>
      </c>
      <c r="H1827" s="3" t="n">
        <f aca="false">(MIN(B1827,2020)-1900-10*(G1827-1))/10</f>
        <v>0.6</v>
      </c>
      <c r="I1827" s="20" t="n">
        <f aca="false">EXP(LN(INDEX(Pop_Inputs!$B$2:$N$29,MATCH(C1827,Pop_Inputs!$A$2:$A$29,0),G1827))*(1-H1827)+LN(INDEX(Pop_Inputs!$B$2:$N$29,MATCH(C1827,Pop_Inputs!$A$2:$A$29,0),G1827+1))*H1827)</f>
        <v>7726605.78633574</v>
      </c>
      <c r="J1827" s="20" t="n">
        <f aca="false">I1827/F1827</f>
        <v>3863302.89316787</v>
      </c>
      <c r="K1827" s="21" t="n">
        <f aca="false">D1827/(D1827+E1827)</f>
        <v>0.567901234567901</v>
      </c>
      <c r="L1827" s="21" t="n">
        <f aca="false">AVERAGEIFS($K$2:$K$2705,$B$2:$B$2705,B1827)</f>
        <v>0.500009585154513</v>
      </c>
      <c r="M1827" s="21" t="n">
        <f aca="false">K1827-L1827</f>
        <v>0.0678916494133885</v>
      </c>
      <c r="N1827" s="21" t="n">
        <f aca="false">LN(J1827)</f>
        <v>15.1670330473677</v>
      </c>
      <c r="O1827" s="21" t="n">
        <f aca="false">AVERAGEIFS($N$2:$N$2705,$B$2:$B$2705,B1827)</f>
        <v>13.6299782473488</v>
      </c>
      <c r="P1827" s="21" t="n">
        <f aca="false">N1827-O1827</f>
        <v>1.53705480001893</v>
      </c>
      <c r="Q1827" s="7" t="n">
        <v>0</v>
      </c>
      <c r="R1827" s="3" t="n">
        <f aca="false">IF(AND(Q1827=1,B1827-_xlfn.MINIFS($B$2:$B$2705,$A$2:$A$2705,A1827)&lt;10),1,0)</f>
        <v>0</v>
      </c>
      <c r="S1827" s="7" t="n">
        <v>1</v>
      </c>
      <c r="T1827" s="3" t="n">
        <f aca="false">_xlfn.MINIFS($B$2:$B$2705,$A$2:$A$2705,A1827)</f>
        <v>1903</v>
      </c>
      <c r="U1827" s="3" t="n">
        <f aca="false">B1827-T1827</f>
        <v>93</v>
      </c>
      <c r="V1827" s="3" t="str">
        <f aca="false">INDEX(Pop_Inputs!$Q$2:$Q$29,MATCH(C1827,Pop_Inputs!$A$2:$A$29,0))</f>
        <v>Northeast</v>
      </c>
      <c r="W1827" s="29" t="n">
        <v>54191792</v>
      </c>
      <c r="X1827" s="3" t="n">
        <f aca="false">IF(W1827="","",LN(W1827))</f>
        <v>17.8080400158274</v>
      </c>
      <c r="Y1827" s="3" t="n">
        <f aca="false">IF(X1827="","",X1827-AVERAGEIFS($X$2:$X$2705,$B$2:$B$2705,B1827))</f>
        <v>0.510301286180127</v>
      </c>
      <c r="Z1827" s="21" t="n">
        <f aca="false">P1827</f>
        <v>1.53705480001893</v>
      </c>
      <c r="AA1827" s="3" t="n">
        <f aca="false">R1827</f>
        <v>0</v>
      </c>
      <c r="AB1827" s="21" t="n">
        <f aca="false">P1827</f>
        <v>1.53705480001893</v>
      </c>
      <c r="AC1827" s="3" t="n">
        <f aca="false">Y1827</f>
        <v>0.510301286180127</v>
      </c>
      <c r="AD1827" s="3" t="n">
        <f aca="false">R1827</f>
        <v>0</v>
      </c>
    </row>
    <row r="1828" customFormat="false" ht="15" hidden="false" customHeight="true" outlineLevel="0" collapsed="false">
      <c r="A1828" s="7" t="s">
        <v>69</v>
      </c>
      <c r="B1828" s="7" t="n">
        <v>1996</v>
      </c>
      <c r="C1828" s="7" t="s">
        <v>253</v>
      </c>
      <c r="D1828" s="7" t="n">
        <v>78</v>
      </c>
      <c r="E1828" s="7" t="n">
        <v>84</v>
      </c>
      <c r="F1828" s="3" t="n">
        <f aca="false">COUNTIFS($B$2:$B$2705,B1828,$C$2:$C$2705,C1828)</f>
        <v>1</v>
      </c>
      <c r="G1828" s="3" t="n">
        <f aca="false">MIN(INT((MIN(B1828,2020)-1900)/10)+1,12)</f>
        <v>10</v>
      </c>
      <c r="H1828" s="3" t="n">
        <f aca="false">(MIN(B1828,2020)-1900-10*(G1828-1))/10</f>
        <v>0.6</v>
      </c>
      <c r="I1828" s="20" t="n">
        <f aca="false">EXP(LN(INDEX(Pop_Inputs!$B$2:$N$29,MATCH(C1828,Pop_Inputs!$A$2:$A$29,0),G1828))*(1-H1828)+LN(INDEX(Pop_Inputs!$B$2:$N$29,MATCH(C1828,Pop_Inputs!$A$2:$A$29,0),G1828+1))*H1828)</f>
        <v>388355.788749116</v>
      </c>
      <c r="J1828" s="20" t="n">
        <f aca="false">I1828/F1828</f>
        <v>388355.788749116</v>
      </c>
      <c r="K1828" s="21" t="n">
        <f aca="false">D1828/(D1828+E1828)</f>
        <v>0.481481481481481</v>
      </c>
      <c r="L1828" s="21" t="n">
        <f aca="false">AVERAGEIFS($K$2:$K$2705,$B$2:$B$2705,B1828)</f>
        <v>0.500009585154513</v>
      </c>
      <c r="M1828" s="21" t="n">
        <f aca="false">K1828-L1828</f>
        <v>-0.0185281036730312</v>
      </c>
      <c r="N1828" s="21" t="n">
        <f aca="false">LN(J1828)</f>
        <v>12.869677179747</v>
      </c>
      <c r="O1828" s="21" t="n">
        <f aca="false">AVERAGEIFS($N$2:$N$2705,$B$2:$B$2705,B1828)</f>
        <v>13.6299782473488</v>
      </c>
      <c r="P1828" s="21" t="n">
        <f aca="false">N1828-O1828</f>
        <v>-0.760301067601777</v>
      </c>
      <c r="Q1828" s="7" t="n">
        <v>0</v>
      </c>
      <c r="R1828" s="3" t="n">
        <f aca="false">IF(AND(Q1828=1,B1828-_xlfn.MINIFS($B$2:$B$2705,$A$2:$A$2705,A1828)&lt;10),1,0)</f>
        <v>0</v>
      </c>
      <c r="S1828" s="7" t="n">
        <v>0</v>
      </c>
      <c r="T1828" s="3" t="n">
        <f aca="false">_xlfn.MINIFS($B$2:$B$2705,$A$2:$A$2705,A1828)</f>
        <v>1901</v>
      </c>
      <c r="U1828" s="3" t="n">
        <f aca="false">B1828-T1828</f>
        <v>95</v>
      </c>
      <c r="V1828" s="3" t="str">
        <f aca="false">INDEX(Pop_Inputs!$Q$2:$Q$29,MATCH(C1828,Pop_Inputs!$A$2:$A$29,0))</f>
        <v>West</v>
      </c>
      <c r="W1828" s="29" t="n">
        <v>21243000</v>
      </c>
      <c r="X1828" s="3" t="n">
        <f aca="false">IF(W1828="","",LN(W1828))</f>
        <v>16.871537987302</v>
      </c>
      <c r="Y1828" s="3" t="n">
        <f aca="false">IF(X1828="","",X1828-AVERAGEIFS($X$2:$X$2705,$B$2:$B$2705,B1828))</f>
        <v>-0.426200742345277</v>
      </c>
      <c r="Z1828" s="21" t="n">
        <f aca="false">P1828</f>
        <v>-0.760301067601777</v>
      </c>
      <c r="AA1828" s="3" t="n">
        <f aca="false">R1828</f>
        <v>0</v>
      </c>
      <c r="AB1828" s="21" t="n">
        <f aca="false">P1828</f>
        <v>-0.760301067601777</v>
      </c>
      <c r="AC1828" s="3" t="n">
        <f aca="false">Y1828</f>
        <v>-0.426200742345277</v>
      </c>
      <c r="AD1828" s="3" t="n">
        <f aca="false">R1828</f>
        <v>0</v>
      </c>
    </row>
    <row r="1829" customFormat="false" ht="15" hidden="false" customHeight="true" outlineLevel="0" collapsed="false">
      <c r="A1829" s="7" t="s">
        <v>60</v>
      </c>
      <c r="B1829" s="7" t="n">
        <v>1996</v>
      </c>
      <c r="C1829" s="7" t="s">
        <v>146</v>
      </c>
      <c r="D1829" s="7" t="n">
        <v>67</v>
      </c>
      <c r="E1829" s="7" t="n">
        <v>95</v>
      </c>
      <c r="F1829" s="3" t="n">
        <f aca="false">COUNTIFS($B$2:$B$2705,B1829,$C$2:$C$2705,C1829)</f>
        <v>1</v>
      </c>
      <c r="G1829" s="3" t="n">
        <f aca="false">MIN(INT((MIN(B1829,2020)-1900)/10)+1,12)</f>
        <v>10</v>
      </c>
      <c r="H1829" s="3" t="n">
        <f aca="false">(MIN(B1829,2020)-1900-10*(G1829-1))/10</f>
        <v>0.6</v>
      </c>
      <c r="I1829" s="20" t="n">
        <f aca="false">EXP(LN(INDEX(Pop_Inputs!$B$2:$N$29,MATCH(C1829,Pop_Inputs!$A$2:$A$29,0),G1829))*(1-H1829)+LN(INDEX(Pop_Inputs!$B$2:$N$29,MATCH(C1829,Pop_Inputs!$A$2:$A$29,0),G1829+1))*H1829)</f>
        <v>1544403.36922061</v>
      </c>
      <c r="J1829" s="20" t="n">
        <f aca="false">I1829/F1829</f>
        <v>1544403.36922061</v>
      </c>
      <c r="K1829" s="21" t="n">
        <f aca="false">D1829/(D1829+E1829)</f>
        <v>0.41358024691358</v>
      </c>
      <c r="L1829" s="21" t="n">
        <f aca="false">AVERAGEIFS($K$2:$K$2705,$B$2:$B$2705,B1829)</f>
        <v>0.500009585154513</v>
      </c>
      <c r="M1829" s="21" t="n">
        <f aca="false">K1829-L1829</f>
        <v>-0.0864293382409324</v>
      </c>
      <c r="N1829" s="21" t="n">
        <f aca="false">LN(J1829)</f>
        <v>14.2501482249424</v>
      </c>
      <c r="O1829" s="21" t="n">
        <f aca="false">AVERAGEIFS($N$2:$N$2705,$B$2:$B$2705,B1829)</f>
        <v>13.6299782473488</v>
      </c>
      <c r="P1829" s="21" t="n">
        <f aca="false">N1829-O1829</f>
        <v>0.620169977593552</v>
      </c>
      <c r="Q1829" s="7" t="n">
        <v>0</v>
      </c>
      <c r="R1829" s="3" t="n">
        <f aca="false">IF(AND(Q1829=1,B1829-_xlfn.MINIFS($B$2:$B$2705,$A$2:$A$2705,A1829)&lt;10),1,0)</f>
        <v>0</v>
      </c>
      <c r="S1829" s="7" t="n">
        <v>0</v>
      </c>
      <c r="T1829" s="3" t="n">
        <f aca="false">_xlfn.MINIFS($B$2:$B$2705,$A$2:$A$2705,A1829)</f>
        <v>1901</v>
      </c>
      <c r="U1829" s="3" t="n">
        <f aca="false">B1829-T1829</f>
        <v>95</v>
      </c>
      <c r="V1829" s="3" t="str">
        <f aca="false">INDEX(Pop_Inputs!$Q$2:$Q$29,MATCH(C1829,Pop_Inputs!$A$2:$A$29,0))</f>
        <v>Northeast</v>
      </c>
      <c r="W1829" s="29" t="n">
        <v>34314500</v>
      </c>
      <c r="X1829" s="3" t="n">
        <f aca="false">IF(W1829="","",LN(W1829))</f>
        <v>17.3510785633314</v>
      </c>
      <c r="Y1829" s="3" t="n">
        <f aca="false">IF(X1829="","",X1829-AVERAGEIFS($X$2:$X$2705,$B$2:$B$2705,B1829))</f>
        <v>0.0533398336840527</v>
      </c>
      <c r="Z1829" s="21" t="n">
        <f aca="false">P1829</f>
        <v>0.620169977593552</v>
      </c>
      <c r="AA1829" s="3" t="n">
        <f aca="false">R1829</f>
        <v>0</v>
      </c>
      <c r="AB1829" s="21" t="n">
        <f aca="false">P1829</f>
        <v>0.620169977593552</v>
      </c>
      <c r="AC1829" s="3" t="n">
        <f aca="false">Y1829</f>
        <v>0.0533398336840527</v>
      </c>
      <c r="AD1829" s="3" t="n">
        <f aca="false">R1829</f>
        <v>0</v>
      </c>
    </row>
    <row r="1830" customFormat="false" ht="15" hidden="false" customHeight="true" outlineLevel="0" collapsed="false">
      <c r="A1830" s="7" t="s">
        <v>58</v>
      </c>
      <c r="B1830" s="7" t="n">
        <v>1996</v>
      </c>
      <c r="C1830" s="7" t="s">
        <v>144</v>
      </c>
      <c r="D1830" s="7" t="n">
        <v>73</v>
      </c>
      <c r="E1830" s="7" t="n">
        <v>89</v>
      </c>
      <c r="F1830" s="3" t="n">
        <f aca="false">COUNTIFS($B$2:$B$2705,B1830,$C$2:$C$2705,C1830)</f>
        <v>1</v>
      </c>
      <c r="G1830" s="3" t="n">
        <f aca="false">MIN(INT((MIN(B1830,2020)-1900)/10)+1,12)</f>
        <v>10</v>
      </c>
      <c r="H1830" s="3" t="n">
        <f aca="false">(MIN(B1830,2020)-1900-10*(G1830-1))/10</f>
        <v>0.6</v>
      </c>
      <c r="I1830" s="20" t="n">
        <f aca="false">EXP(LN(INDEX(Pop_Inputs!$B$2:$N$29,MATCH(C1830,Pop_Inputs!$A$2:$A$29,0),G1830))*(1-H1830)+LN(INDEX(Pop_Inputs!$B$2:$N$29,MATCH(C1830,Pop_Inputs!$A$2:$A$29,0),G1830+1))*H1830)</f>
        <v>348265.629453937</v>
      </c>
      <c r="J1830" s="20" t="n">
        <f aca="false">I1830/F1830</f>
        <v>348265.629453937</v>
      </c>
      <c r="K1830" s="21" t="n">
        <f aca="false">D1830/(D1830+E1830)</f>
        <v>0.450617283950617</v>
      </c>
      <c r="L1830" s="21" t="n">
        <f aca="false">AVERAGEIFS($K$2:$K$2705,$B$2:$B$2705,B1830)</f>
        <v>0.500009585154513</v>
      </c>
      <c r="M1830" s="21" t="n">
        <f aca="false">K1830-L1830</f>
        <v>-0.0493923012038954</v>
      </c>
      <c r="N1830" s="21" t="n">
        <f aca="false">LN(J1830)</f>
        <v>12.7607207706176</v>
      </c>
      <c r="O1830" s="21" t="n">
        <f aca="false">AVERAGEIFS($N$2:$N$2705,$B$2:$B$2705,B1830)</f>
        <v>13.6299782473488</v>
      </c>
      <c r="P1830" s="21" t="n">
        <f aca="false">N1830-O1830</f>
        <v>-0.869257476731249</v>
      </c>
      <c r="Q1830" s="7" t="n">
        <v>0</v>
      </c>
      <c r="R1830" s="3" t="n">
        <f aca="false">IF(AND(Q1830=1,B1830-_xlfn.MINIFS($B$2:$B$2705,$A$2:$A$2705,A1830)&lt;10),1,0)</f>
        <v>0</v>
      </c>
      <c r="S1830" s="7" t="n">
        <v>0</v>
      </c>
      <c r="T1830" s="3" t="n">
        <f aca="false">_xlfn.MINIFS($B$2:$B$2705,$A$2:$A$2705,A1830)</f>
        <v>1901</v>
      </c>
      <c r="U1830" s="3" t="n">
        <f aca="false">B1830-T1830</f>
        <v>95</v>
      </c>
      <c r="V1830" s="3" t="str">
        <f aca="false">INDEX(Pop_Inputs!$Q$2:$Q$29,MATCH(C1830,Pop_Inputs!$A$2:$A$29,0))</f>
        <v>Northeast</v>
      </c>
      <c r="W1830" s="29" t="n">
        <v>23017500</v>
      </c>
      <c r="X1830" s="3" t="n">
        <f aca="false">IF(W1830="","",LN(W1830))</f>
        <v>16.9517653541441</v>
      </c>
      <c r="Y1830" s="3" t="n">
        <f aca="false">IF(X1830="","",X1830-AVERAGEIFS($X$2:$X$2705,$B$2:$B$2705,B1830))</f>
        <v>-0.34597337550316</v>
      </c>
      <c r="Z1830" s="21" t="n">
        <f aca="false">P1830</f>
        <v>-0.869257476731249</v>
      </c>
      <c r="AA1830" s="3" t="n">
        <f aca="false">R1830</f>
        <v>0</v>
      </c>
      <c r="AB1830" s="21" t="n">
        <f aca="false">P1830</f>
        <v>-0.869257476731249</v>
      </c>
      <c r="AC1830" s="3" t="n">
        <f aca="false">Y1830</f>
        <v>-0.34597337550316</v>
      </c>
      <c r="AD1830" s="3" t="n">
        <f aca="false">R1830</f>
        <v>0</v>
      </c>
    </row>
    <row r="1831" customFormat="false" ht="15" hidden="false" customHeight="true" outlineLevel="0" collapsed="false">
      <c r="A1831" s="7" t="s">
        <v>78</v>
      </c>
      <c r="B1831" s="7" t="n">
        <v>1996</v>
      </c>
      <c r="C1831" s="7" t="s">
        <v>159</v>
      </c>
      <c r="D1831" s="7" t="n">
        <v>91</v>
      </c>
      <c r="E1831" s="7" t="n">
        <v>71</v>
      </c>
      <c r="F1831" s="3" t="n">
        <f aca="false">COUNTIFS($B$2:$B$2705,B1831,$C$2:$C$2705,C1831)</f>
        <v>1</v>
      </c>
      <c r="G1831" s="3" t="n">
        <f aca="false">MIN(INT((MIN(B1831,2020)-1900)/10)+1,12)</f>
        <v>10</v>
      </c>
      <c r="H1831" s="3" t="n">
        <f aca="false">(MIN(B1831,2020)-1900-10*(G1831-1))/10</f>
        <v>0.6</v>
      </c>
      <c r="I1831" s="20" t="n">
        <f aca="false">EXP(LN(INDEX(Pop_Inputs!$B$2:$N$29,MATCH(C1831,Pop_Inputs!$A$2:$A$29,0),G1831))*(1-H1831)+LN(INDEX(Pop_Inputs!$B$2:$N$29,MATCH(C1831,Pop_Inputs!$A$2:$A$29,0),G1831+1))*H1831)</f>
        <v>1176945.02064403</v>
      </c>
      <c r="J1831" s="20" t="n">
        <f aca="false">I1831/F1831</f>
        <v>1176945.02064403</v>
      </c>
      <c r="K1831" s="21" t="n">
        <f aca="false">D1831/(D1831+E1831)</f>
        <v>0.561728395061728</v>
      </c>
      <c r="L1831" s="21" t="n">
        <f aca="false">AVERAGEIFS($K$2:$K$2705,$B$2:$B$2705,B1831)</f>
        <v>0.500009585154513</v>
      </c>
      <c r="M1831" s="21" t="n">
        <f aca="false">K1831-L1831</f>
        <v>0.0617188099072158</v>
      </c>
      <c r="N1831" s="21" t="n">
        <f aca="false">LN(J1831)</f>
        <v>13.978432673719</v>
      </c>
      <c r="O1831" s="21" t="n">
        <f aca="false">AVERAGEIFS($N$2:$N$2705,$B$2:$B$2705,B1831)</f>
        <v>13.6299782473488</v>
      </c>
      <c r="P1831" s="21" t="n">
        <f aca="false">N1831-O1831</f>
        <v>0.348454426370152</v>
      </c>
      <c r="Q1831" s="7" t="n">
        <v>1</v>
      </c>
      <c r="R1831" s="3" t="n">
        <f aca="false">IF(AND(Q1831=1,B1831-_xlfn.MINIFS($B$2:$B$2705,$A$2:$A$2705,A1831)&lt;10),1,0)</f>
        <v>0</v>
      </c>
      <c r="S1831" s="7" t="n">
        <v>0</v>
      </c>
      <c r="T1831" s="3" t="n">
        <f aca="false">_xlfn.MINIFS($B$2:$B$2705,$A$2:$A$2705,A1831)</f>
        <v>1969</v>
      </c>
      <c r="U1831" s="3" t="n">
        <f aca="false">B1831-T1831</f>
        <v>27</v>
      </c>
      <c r="V1831" s="3" t="str">
        <f aca="false">INDEX(Pop_Inputs!$Q$2:$Q$29,MATCH(C1831,Pop_Inputs!$A$2:$A$29,0))</f>
        <v>West</v>
      </c>
      <c r="W1831" s="29" t="n">
        <v>28348172</v>
      </c>
      <c r="X1831" s="3" t="n">
        <f aca="false">IF(W1831="","",LN(W1831))</f>
        <v>17.1600731063413</v>
      </c>
      <c r="Y1831" s="3" t="n">
        <f aca="false">IF(X1831="","",X1831-AVERAGEIFS($X$2:$X$2705,$B$2:$B$2705,B1831))</f>
        <v>-0.137665623305981</v>
      </c>
      <c r="Z1831" s="21" t="n">
        <f aca="false">P1831</f>
        <v>0.348454426370152</v>
      </c>
      <c r="AA1831" s="3" t="n">
        <f aca="false">R1831</f>
        <v>0</v>
      </c>
      <c r="AB1831" s="21" t="n">
        <f aca="false">P1831</f>
        <v>0.348454426370152</v>
      </c>
      <c r="AC1831" s="3" t="n">
        <f aca="false">Y1831</f>
        <v>-0.137665623305981</v>
      </c>
      <c r="AD1831" s="3" t="n">
        <f aca="false">R1831</f>
        <v>0</v>
      </c>
    </row>
    <row r="1832" customFormat="false" ht="15" hidden="false" customHeight="true" outlineLevel="0" collapsed="false">
      <c r="A1832" s="7" t="s">
        <v>80</v>
      </c>
      <c r="B1832" s="7" t="n">
        <v>1996</v>
      </c>
      <c r="C1832" s="7" t="s">
        <v>161</v>
      </c>
      <c r="D1832" s="7" t="n">
        <v>85</v>
      </c>
      <c r="E1832" s="7" t="n">
        <v>76</v>
      </c>
      <c r="F1832" s="3" t="n">
        <f aca="false">COUNTIFS($B$2:$B$2705,B1832,$C$2:$C$2705,C1832)</f>
        <v>1</v>
      </c>
      <c r="G1832" s="3" t="n">
        <f aca="false">MIN(INT((MIN(B1832,2020)-1900)/10)+1,12)</f>
        <v>10</v>
      </c>
      <c r="H1832" s="3" t="n">
        <f aca="false">(MIN(B1832,2020)-1900-10*(G1832-1))/10</f>
        <v>0.6</v>
      </c>
      <c r="I1832" s="20" t="n">
        <f aca="false">EXP(LN(INDEX(Pop_Inputs!$B$2:$N$29,MATCH(C1832,Pop_Inputs!$A$2:$A$29,0),G1832))*(1-H1832)+LN(INDEX(Pop_Inputs!$B$2:$N$29,MATCH(C1832,Pop_Inputs!$A$2:$A$29,0),G1832+1))*H1832)</f>
        <v>544032.862811047</v>
      </c>
      <c r="J1832" s="20" t="n">
        <f aca="false">I1832/F1832</f>
        <v>544032.862811047</v>
      </c>
      <c r="K1832" s="21" t="n">
        <f aca="false">D1832/(D1832+E1832)</f>
        <v>0.527950310559006</v>
      </c>
      <c r="L1832" s="21" t="n">
        <f aca="false">AVERAGEIFS($K$2:$K$2705,$B$2:$B$2705,B1832)</f>
        <v>0.500009585154513</v>
      </c>
      <c r="M1832" s="21" t="n">
        <f aca="false">K1832-L1832</f>
        <v>0.0279407254044936</v>
      </c>
      <c r="N1832" s="21" t="n">
        <f aca="false">LN(J1832)</f>
        <v>13.2067649335926</v>
      </c>
      <c r="O1832" s="21" t="n">
        <f aca="false">AVERAGEIFS($N$2:$N$2705,$B$2:$B$2705,B1832)</f>
        <v>13.6299782473488</v>
      </c>
      <c r="P1832" s="21" t="n">
        <f aca="false">N1832-O1832</f>
        <v>-0.423213313756191</v>
      </c>
      <c r="Q1832" s="7" t="n">
        <v>1</v>
      </c>
      <c r="R1832" s="3" t="n">
        <f aca="false">IF(AND(Q1832=1,B1832-_xlfn.MINIFS($B$2:$B$2705,$A$2:$A$2705,A1832)&lt;10),1,0)</f>
        <v>0</v>
      </c>
      <c r="S1832" s="7" t="n">
        <v>0</v>
      </c>
      <c r="T1832" s="3" t="n">
        <f aca="false">_xlfn.MINIFS($B$2:$B$2705,$A$2:$A$2705,A1832)</f>
        <v>1977</v>
      </c>
      <c r="U1832" s="3" t="n">
        <f aca="false">B1832-T1832</f>
        <v>19</v>
      </c>
      <c r="V1832" s="3" t="str">
        <f aca="false">INDEX(Pop_Inputs!$Q$2:$Q$29,MATCH(C1832,Pop_Inputs!$A$2:$A$29,0))</f>
        <v>West</v>
      </c>
      <c r="W1832" s="29" t="n">
        <v>41328501</v>
      </c>
      <c r="X1832" s="3" t="n">
        <f aca="false">IF(W1832="","",LN(W1832))</f>
        <v>17.5370629167762</v>
      </c>
      <c r="Y1832" s="3" t="n">
        <f aca="false">IF(X1832="","",X1832-AVERAGEIFS($X$2:$X$2705,$B$2:$B$2705,B1832))</f>
        <v>0.239324187128926</v>
      </c>
      <c r="Z1832" s="21" t="n">
        <f aca="false">P1832</f>
        <v>-0.423213313756191</v>
      </c>
      <c r="AA1832" s="3" t="n">
        <f aca="false">R1832</f>
        <v>0</v>
      </c>
      <c r="AB1832" s="21" t="n">
        <f aca="false">P1832</f>
        <v>-0.423213313756191</v>
      </c>
      <c r="AC1832" s="3" t="n">
        <f aca="false">Y1832</f>
        <v>0.239324187128926</v>
      </c>
      <c r="AD1832" s="3" t="n">
        <f aca="false">R1832</f>
        <v>0</v>
      </c>
    </row>
    <row r="1833" customFormat="false" ht="15" hidden="false" customHeight="true" outlineLevel="0" collapsed="false">
      <c r="A1833" s="7" t="s">
        <v>61</v>
      </c>
      <c r="B1833" s="7" t="n">
        <v>1996</v>
      </c>
      <c r="C1833" s="7" t="s">
        <v>147</v>
      </c>
      <c r="D1833" s="7" t="n">
        <v>68</v>
      </c>
      <c r="E1833" s="7" t="n">
        <v>94</v>
      </c>
      <c r="F1833" s="3" t="n">
        <f aca="false">COUNTIFS($B$2:$B$2705,B1833,$C$2:$C$2705,C1833)</f>
        <v>1</v>
      </c>
      <c r="G1833" s="3" t="n">
        <f aca="false">MIN(INT((MIN(B1833,2020)-1900)/10)+1,12)</f>
        <v>10</v>
      </c>
      <c r="H1833" s="3" t="n">
        <f aca="false">(MIN(B1833,2020)-1900-10*(G1833-1))/10</f>
        <v>0.6</v>
      </c>
      <c r="I1833" s="20" t="n">
        <f aca="false">EXP(LN(INDEX(Pop_Inputs!$B$2:$N$29,MATCH(C1833,Pop_Inputs!$A$2:$A$29,0),G1833))*(1-H1833)+LN(INDEX(Pop_Inputs!$B$2:$N$29,MATCH(C1833,Pop_Inputs!$A$2:$A$29,0),G1833+1))*H1833)</f>
        <v>755176.805694562</v>
      </c>
      <c r="J1833" s="20" t="n">
        <f aca="false">I1833/F1833</f>
        <v>755176.805694562</v>
      </c>
      <c r="K1833" s="21" t="n">
        <f aca="false">D1833/(D1833+E1833)</f>
        <v>0.419753086419753</v>
      </c>
      <c r="L1833" s="21" t="n">
        <f aca="false">AVERAGEIFS($K$2:$K$2705,$B$2:$B$2705,B1833)</f>
        <v>0.500009585154513</v>
      </c>
      <c r="M1833" s="21" t="n">
        <f aca="false">K1833-L1833</f>
        <v>-0.0802564987347596</v>
      </c>
      <c r="N1833" s="21" t="n">
        <f aca="false">LN(J1833)</f>
        <v>13.5347071805433</v>
      </c>
      <c r="O1833" s="21" t="n">
        <f aca="false">AVERAGEIFS($N$2:$N$2705,$B$2:$B$2705,B1833)</f>
        <v>13.6299782473488</v>
      </c>
      <c r="P1833" s="21" t="n">
        <f aca="false">N1833-O1833</f>
        <v>-0.0952710668055499</v>
      </c>
      <c r="Q1833" s="7" t="n">
        <v>0</v>
      </c>
      <c r="R1833" s="3" t="n">
        <f aca="false">IF(AND(Q1833=1,B1833-_xlfn.MINIFS($B$2:$B$2705,$A$2:$A$2705,A1833)&lt;10),1,0)</f>
        <v>0</v>
      </c>
      <c r="S1833" s="7" t="n">
        <v>0</v>
      </c>
      <c r="T1833" s="3" t="n">
        <f aca="false">_xlfn.MINIFS($B$2:$B$2705,$A$2:$A$2705,A1833)</f>
        <v>1901</v>
      </c>
      <c r="U1833" s="3" t="n">
        <f aca="false">B1833-T1833</f>
        <v>95</v>
      </c>
      <c r="V1833" s="3" t="str">
        <f aca="false">INDEX(Pop_Inputs!$Q$2:$Q$29,MATCH(C1833,Pop_Inputs!$A$2:$A$29,0))</f>
        <v>West</v>
      </c>
      <c r="W1833" s="29" t="n">
        <v>37144725</v>
      </c>
      <c r="X1833" s="3" t="n">
        <f aca="false">IF(W1833="","",LN(W1833))</f>
        <v>17.4303323271216</v>
      </c>
      <c r="Y1833" s="3" t="n">
        <f aca="false">IF(X1833="","",X1833-AVERAGEIFS($X$2:$X$2705,$B$2:$B$2705,B1833))</f>
        <v>0.132593597474308</v>
      </c>
      <c r="Z1833" s="21" t="n">
        <f aca="false">P1833</f>
        <v>-0.0952710668055499</v>
      </c>
      <c r="AA1833" s="3" t="n">
        <f aca="false">R1833</f>
        <v>0</v>
      </c>
      <c r="AB1833" s="21" t="n">
        <f aca="false">P1833</f>
        <v>-0.0952710668055499</v>
      </c>
      <c r="AC1833" s="3" t="n">
        <f aca="false">Y1833</f>
        <v>0.132593597474308</v>
      </c>
      <c r="AD1833" s="3" t="n">
        <f aca="false">R1833</f>
        <v>0</v>
      </c>
    </row>
    <row r="1834" customFormat="false" ht="15" hidden="false" customHeight="true" outlineLevel="0" collapsed="false">
      <c r="A1834" s="7" t="s">
        <v>59</v>
      </c>
      <c r="B1834" s="7" t="n">
        <v>1996</v>
      </c>
      <c r="C1834" s="7" t="s">
        <v>145</v>
      </c>
      <c r="D1834" s="7" t="n">
        <v>88</v>
      </c>
      <c r="E1834" s="7" t="n">
        <v>74</v>
      </c>
      <c r="F1834" s="3" t="n">
        <f aca="false">COUNTIFS($B$2:$B$2705,B1834,$C$2:$C$2705,C1834)</f>
        <v>1</v>
      </c>
      <c r="G1834" s="3" t="n">
        <f aca="false">MIN(INT((MIN(B1834,2020)-1900)/10)+1,12)</f>
        <v>10</v>
      </c>
      <c r="H1834" s="3" t="n">
        <f aca="false">(MIN(B1834,2020)-1900-10*(G1834-1))/10</f>
        <v>0.6</v>
      </c>
      <c r="I1834" s="20" t="n">
        <f aca="false">EXP(LN(INDEX(Pop_Inputs!$B$2:$N$29,MATCH(C1834,Pop_Inputs!$A$2:$A$29,0),G1834))*(1-H1834)+LN(INDEX(Pop_Inputs!$B$2:$N$29,MATCH(C1834,Pop_Inputs!$A$2:$A$29,0),G1834+1))*H1834)</f>
        <v>366832.106322489</v>
      </c>
      <c r="J1834" s="20" t="n">
        <f aca="false">I1834/F1834</f>
        <v>366832.106322489</v>
      </c>
      <c r="K1834" s="21" t="n">
        <f aca="false">D1834/(D1834+E1834)</f>
        <v>0.54320987654321</v>
      </c>
      <c r="L1834" s="21" t="n">
        <f aca="false">AVERAGEIFS($K$2:$K$2705,$B$2:$B$2705,B1834)</f>
        <v>0.500009585154513</v>
      </c>
      <c r="M1834" s="21" t="n">
        <f aca="false">K1834-L1834</f>
        <v>0.0432002913886972</v>
      </c>
      <c r="N1834" s="21" t="n">
        <f aca="false">LN(J1834)</f>
        <v>12.8126595464021</v>
      </c>
      <c r="O1834" s="21" t="n">
        <f aca="false">AVERAGEIFS($N$2:$N$2705,$B$2:$B$2705,B1834)</f>
        <v>13.6299782473488</v>
      </c>
      <c r="P1834" s="21" t="n">
        <f aca="false">N1834-O1834</f>
        <v>-0.817318700946682</v>
      </c>
      <c r="Q1834" s="7" t="n">
        <v>0</v>
      </c>
      <c r="R1834" s="3" t="n">
        <f aca="false">IF(AND(Q1834=1,B1834-_xlfn.MINIFS($B$2:$B$2705,$A$2:$A$2705,A1834)&lt;10),1,0)</f>
        <v>0</v>
      </c>
      <c r="S1834" s="7" t="n">
        <v>0</v>
      </c>
      <c r="T1834" s="3" t="n">
        <f aca="false">_xlfn.MINIFS($B$2:$B$2705,$A$2:$A$2705,A1834)</f>
        <v>1901</v>
      </c>
      <c r="U1834" s="3" t="n">
        <f aca="false">B1834-T1834</f>
        <v>95</v>
      </c>
      <c r="V1834" s="3" t="str">
        <f aca="false">INDEX(Pop_Inputs!$Q$2:$Q$29,MATCH(C1834,Pop_Inputs!$A$2:$A$29,0))</f>
        <v>Midwest</v>
      </c>
      <c r="W1834" s="29" t="n">
        <v>40269667</v>
      </c>
      <c r="X1834" s="3" t="n">
        <f aca="false">IF(W1834="","",LN(W1834))</f>
        <v>17.5111090636104</v>
      </c>
      <c r="Y1834" s="3" t="n">
        <f aca="false">IF(X1834="","",X1834-AVERAGEIFS($X$2:$X$2705,$B$2:$B$2705,B1834))</f>
        <v>0.213370333963137</v>
      </c>
      <c r="Z1834" s="21" t="n">
        <f aca="false">P1834</f>
        <v>-0.817318700946682</v>
      </c>
      <c r="AA1834" s="3" t="n">
        <f aca="false">R1834</f>
        <v>0</v>
      </c>
      <c r="AB1834" s="21" t="n">
        <f aca="false">P1834</f>
        <v>-0.817318700946682</v>
      </c>
      <c r="AC1834" s="3" t="n">
        <f aca="false">Y1834</f>
        <v>0.213370333963137</v>
      </c>
      <c r="AD1834" s="3" t="n">
        <f aca="false">R1834</f>
        <v>0</v>
      </c>
    </row>
    <row r="1835" customFormat="false" ht="15" hidden="false" customHeight="true" outlineLevel="0" collapsed="false">
      <c r="A1835" s="7" t="s">
        <v>73</v>
      </c>
      <c r="B1835" s="7" t="n">
        <v>1996</v>
      </c>
      <c r="C1835" s="7" t="s">
        <v>155</v>
      </c>
      <c r="D1835" s="7" t="n">
        <v>90</v>
      </c>
      <c r="E1835" s="7" t="n">
        <v>72</v>
      </c>
      <c r="F1835" s="3" t="n">
        <f aca="false">COUNTIFS($B$2:$B$2705,B1835,$C$2:$C$2705,C1835)</f>
        <v>1</v>
      </c>
      <c r="G1835" s="3" t="n">
        <f aca="false">MIN(INT((MIN(B1835,2020)-1900)/10)+1,12)</f>
        <v>10</v>
      </c>
      <c r="H1835" s="3" t="n">
        <f aca="false">(MIN(B1835,2020)-1900-10*(G1835-1))/10</f>
        <v>0.6</v>
      </c>
      <c r="I1835" s="20" t="n">
        <f aca="false">EXP(LN(INDEX(Pop_Inputs!$B$2:$N$29,MATCH(C1835,Pop_Inputs!$A$2:$A$29,0),G1835))*(1-H1835)+LN(INDEX(Pop_Inputs!$B$2:$N$29,MATCH(C1835,Pop_Inputs!$A$2:$A$29,0),G1835+1))*H1835)</f>
        <v>1112307.5148364</v>
      </c>
      <c r="J1835" s="20" t="n">
        <f aca="false">I1835/F1835</f>
        <v>1112307.5148364</v>
      </c>
      <c r="K1835" s="21" t="n">
        <f aca="false">D1835/(D1835+E1835)</f>
        <v>0.555555555555556</v>
      </c>
      <c r="L1835" s="21" t="n">
        <f aca="false">AVERAGEIFS($K$2:$K$2705,$B$2:$B$2705,B1835)</f>
        <v>0.500009585154513</v>
      </c>
      <c r="M1835" s="21" t="n">
        <f aca="false">K1835-L1835</f>
        <v>0.0555459704010429</v>
      </c>
      <c r="N1835" s="21" t="n">
        <f aca="false">LN(J1835)</f>
        <v>13.921947257681</v>
      </c>
      <c r="O1835" s="21" t="n">
        <f aca="false">AVERAGEIFS($N$2:$N$2705,$B$2:$B$2705,B1835)</f>
        <v>13.6299782473488</v>
      </c>
      <c r="P1835" s="21" t="n">
        <f aca="false">N1835-O1835</f>
        <v>0.291969010332185</v>
      </c>
      <c r="Q1835" s="7" t="n">
        <v>1</v>
      </c>
      <c r="R1835" s="3" t="n">
        <f aca="false">IF(AND(Q1835=1,B1835-_xlfn.MINIFS($B$2:$B$2705,$A$2:$A$2705,A1835)&lt;10),1,0)</f>
        <v>0</v>
      </c>
      <c r="S1835" s="7" t="n">
        <v>0</v>
      </c>
      <c r="T1835" s="3" t="n">
        <f aca="false">_xlfn.MINIFS($B$2:$B$2705,$A$2:$A$2705,A1835)</f>
        <v>1961</v>
      </c>
      <c r="U1835" s="3" t="n">
        <f aca="false">B1835-T1835</f>
        <v>35</v>
      </c>
      <c r="V1835" s="3" t="str">
        <f aca="false">INDEX(Pop_Inputs!$Q$2:$Q$29,MATCH(C1835,Pop_Inputs!$A$2:$A$29,0))</f>
        <v>South</v>
      </c>
      <c r="W1835" s="29" t="n">
        <v>39041528</v>
      </c>
      <c r="X1835" s="3" t="n">
        <f aca="false">IF(W1835="","",LN(W1835))</f>
        <v>17.4801364580875</v>
      </c>
      <c r="Y1835" s="3" t="n">
        <f aca="false">IF(X1835="","",X1835-AVERAGEIFS($X$2:$X$2705,$B$2:$B$2705,B1835))</f>
        <v>0.182397728440208</v>
      </c>
      <c r="Z1835" s="21" t="n">
        <f aca="false">P1835</f>
        <v>0.291969010332185</v>
      </c>
      <c r="AA1835" s="3" t="n">
        <f aca="false">R1835</f>
        <v>0</v>
      </c>
      <c r="AB1835" s="21" t="n">
        <f aca="false">P1835</f>
        <v>0.291969010332185</v>
      </c>
      <c r="AC1835" s="3" t="n">
        <f aca="false">Y1835</f>
        <v>0.182397728440208</v>
      </c>
      <c r="AD1835" s="3" t="n">
        <f aca="false">R1835</f>
        <v>0</v>
      </c>
    </row>
    <row r="1836" customFormat="false" ht="15" hidden="false" customHeight="true" outlineLevel="0" collapsed="false">
      <c r="A1836" s="7" t="s">
        <v>81</v>
      </c>
      <c r="B1836" s="7" t="n">
        <v>1996</v>
      </c>
      <c r="C1836" s="7" t="s">
        <v>162</v>
      </c>
      <c r="D1836" s="7" t="n">
        <v>74</v>
      </c>
      <c r="E1836" s="7" t="n">
        <v>88</v>
      </c>
      <c r="F1836" s="3" t="n">
        <f aca="false">COUNTIFS($B$2:$B$2705,B1836,$C$2:$C$2705,C1836)</f>
        <v>1</v>
      </c>
      <c r="G1836" s="3" t="n">
        <f aca="false">MIN(INT((MIN(B1836,2020)-1900)/10)+1,12)</f>
        <v>10</v>
      </c>
      <c r="H1836" s="3" t="n">
        <f aca="false">(MIN(B1836,2020)-1900-10*(G1836-1))/10</f>
        <v>0.6</v>
      </c>
      <c r="I1836" s="20" t="n">
        <f aca="false">EXP(LN(INDEX(Pop_Inputs!$B$2:$N$29,MATCH(C1836,Pop_Inputs!$A$2:$A$29,0),G1836))*(1-H1836)+LN(INDEX(Pop_Inputs!$B$2:$N$29,MATCH(C1836,Pop_Inputs!$A$2:$A$29,0),G1836+1))*H1836)</f>
        <v>1438949.1761229</v>
      </c>
      <c r="J1836" s="20" t="n">
        <f aca="false">I1836/F1836</f>
        <v>1438949.1761229</v>
      </c>
      <c r="K1836" s="21" t="n">
        <f aca="false">D1836/(D1836+E1836)</f>
        <v>0.45679012345679</v>
      </c>
      <c r="L1836" s="21" t="n">
        <f aca="false">AVERAGEIFS($K$2:$K$2705,$B$2:$B$2705,B1836)</f>
        <v>0.500009585154513</v>
      </c>
      <c r="M1836" s="21" t="n">
        <f aca="false">K1836-L1836</f>
        <v>-0.0432194616977226</v>
      </c>
      <c r="N1836" s="21" t="n">
        <f aca="false">LN(J1836)</f>
        <v>14.1794236663597</v>
      </c>
      <c r="O1836" s="21" t="n">
        <f aca="false">AVERAGEIFS($N$2:$N$2705,$B$2:$B$2705,B1836)</f>
        <v>13.6299782473488</v>
      </c>
      <c r="P1836" s="21" t="n">
        <f aca="false">N1836-O1836</f>
        <v>0.549445419010858</v>
      </c>
      <c r="Q1836" s="7" t="n">
        <v>1</v>
      </c>
      <c r="R1836" s="3" t="n">
        <f aca="false">IF(AND(Q1836=1,B1836-_xlfn.MINIFS($B$2:$B$2705,$A$2:$A$2705,A1836)&lt;10),1,0)</f>
        <v>0</v>
      </c>
      <c r="S1836" s="7" t="n">
        <v>0</v>
      </c>
      <c r="T1836" s="3" t="n">
        <f aca="false">_xlfn.MINIFS($B$2:$B$2705,$A$2:$A$2705,A1836)</f>
        <v>1977</v>
      </c>
      <c r="U1836" s="3" t="n">
        <f aca="false">B1836-T1836</f>
        <v>19</v>
      </c>
      <c r="V1836" s="3" t="str">
        <f aca="false">INDEX(Pop_Inputs!$Q$2:$Q$29,MATCH(C1836,Pop_Inputs!$A$2:$A$29,0))</f>
        <v>Canada</v>
      </c>
      <c r="W1836" s="29" t="n">
        <v>29555083</v>
      </c>
      <c r="X1836" s="3" t="n">
        <f aca="false">IF(W1836="","",LN(W1836))</f>
        <v>17.2017663005601</v>
      </c>
      <c r="Y1836" s="3" t="n">
        <f aca="false">IF(X1836="","",X1836-AVERAGEIFS($X$2:$X$2705,$B$2:$B$2705,B1836))</f>
        <v>-0.0959724290871691</v>
      </c>
      <c r="Z1836" s="21" t="n">
        <f aca="false">P1836</f>
        <v>0.549445419010858</v>
      </c>
      <c r="AA1836" s="3" t="n">
        <f aca="false">R1836</f>
        <v>0</v>
      </c>
      <c r="AB1836" s="21" t="n">
        <f aca="false">P1836</f>
        <v>0.549445419010858</v>
      </c>
      <c r="AC1836" s="3" t="n">
        <f aca="false">Y1836</f>
        <v>-0.0959724290871691</v>
      </c>
      <c r="AD1836" s="3" t="n">
        <f aca="false">R1836</f>
        <v>0</v>
      </c>
    </row>
    <row r="1837" customFormat="false" ht="15" hidden="false" customHeight="true" outlineLevel="0" collapsed="false">
      <c r="A1837" s="7" t="s">
        <v>79</v>
      </c>
      <c r="B1837" s="7" t="n">
        <v>1996</v>
      </c>
      <c r="C1837" s="7" t="s">
        <v>254</v>
      </c>
      <c r="D1837" s="7" t="n">
        <v>88</v>
      </c>
      <c r="E1837" s="7" t="n">
        <v>74</v>
      </c>
      <c r="F1837" s="3" t="n">
        <f aca="false">COUNTIFS($B$2:$B$2705,B1837,$C$2:$C$2705,C1837)</f>
        <v>1</v>
      </c>
      <c r="G1837" s="3" t="n">
        <f aca="false">MIN(INT((MIN(B1837,2020)-1900)/10)+1,12)</f>
        <v>10</v>
      </c>
      <c r="H1837" s="3" t="n">
        <f aca="false">(MIN(B1837,2020)-1900-10*(G1837-1))/10</f>
        <v>0.6</v>
      </c>
      <c r="I1837" s="20" t="n">
        <f aca="false">EXP(LN(INDEX(Pop_Inputs!$B$2:$N$29,MATCH(C1837,Pop_Inputs!$A$2:$A$29,0),G1837))*(1-H1837)+LN(INDEX(Pop_Inputs!$B$2:$N$29,MATCH(C1837,Pop_Inputs!$A$2:$A$29,0),G1837+1))*H1837)</f>
        <v>1030730.96931454</v>
      </c>
      <c r="J1837" s="20" t="n">
        <f aca="false">I1837/F1837</f>
        <v>1030730.96931454</v>
      </c>
      <c r="K1837" s="21" t="n">
        <f aca="false">D1837/(D1837+E1837)</f>
        <v>0.54320987654321</v>
      </c>
      <c r="L1837" s="21" t="n">
        <f aca="false">AVERAGEIFS($K$2:$K$2705,$B$2:$B$2705,B1837)</f>
        <v>0.500009585154513</v>
      </c>
      <c r="M1837" s="21" t="n">
        <f aca="false">K1837-L1837</f>
        <v>0.0432002913886972</v>
      </c>
      <c r="N1837" s="21" t="n">
        <f aca="false">LN(J1837)</f>
        <v>13.8457787874489</v>
      </c>
      <c r="O1837" s="21" t="n">
        <f aca="false">AVERAGEIFS($N$2:$N$2705,$B$2:$B$2705,B1837)</f>
        <v>13.6299782473488</v>
      </c>
      <c r="P1837" s="21" t="n">
        <f aca="false">N1837-O1837</f>
        <v>0.21580054010013</v>
      </c>
      <c r="Q1837" s="7" t="n">
        <v>1</v>
      </c>
      <c r="R1837" s="3" t="n">
        <f aca="false">IF(AND(Q1837=1,B1837-_xlfn.MINIFS($B$2:$B$2705,$A$2:$A$2705,A1837)&lt;10),1,0)</f>
        <v>0</v>
      </c>
      <c r="S1837" s="7" t="n">
        <v>0</v>
      </c>
      <c r="T1837" s="3" t="n">
        <f aca="false">_xlfn.MINIFS($B$2:$B$2705,$A$2:$A$2705,A1837)</f>
        <v>1969</v>
      </c>
      <c r="U1837" s="3" t="n">
        <f aca="false">B1837-T1837</f>
        <v>27</v>
      </c>
      <c r="V1837" s="3" t="str">
        <f aca="false">INDEX(Pop_Inputs!$Q$2:$Q$29,MATCH(C1837,Pop_Inputs!$A$2:$A$29,0))</f>
        <v>Canada</v>
      </c>
      <c r="W1837" s="29" t="n">
        <v>16264500</v>
      </c>
      <c r="X1837" s="3" t="n">
        <f aca="false">IF(W1837="","",LN(W1837))</f>
        <v>16.6044953765625</v>
      </c>
      <c r="Y1837" s="3" t="n">
        <f aca="false">IF(X1837="","",X1837-AVERAGEIFS($X$2:$X$2705,$B$2:$B$2705,B1837))</f>
        <v>-0.693243353084814</v>
      </c>
      <c r="Z1837" s="21" t="n">
        <f aca="false">P1837</f>
        <v>0.21580054010013</v>
      </c>
      <c r="AA1837" s="3" t="n">
        <f aca="false">R1837</f>
        <v>0</v>
      </c>
      <c r="AB1837" s="21" t="n">
        <f aca="false">P1837</f>
        <v>0.21580054010013</v>
      </c>
      <c r="AC1837" s="3" t="n">
        <f aca="false">Y1837</f>
        <v>-0.693243353084814</v>
      </c>
      <c r="AD1837" s="3" t="n">
        <f aca="false">R1837</f>
        <v>0</v>
      </c>
    </row>
    <row r="1838" customFormat="false" ht="15" hidden="false" customHeight="true" outlineLevel="0" collapsed="false">
      <c r="A1838" s="7" t="s">
        <v>71</v>
      </c>
      <c r="B1838" s="7" t="n">
        <v>1997</v>
      </c>
      <c r="C1838" s="7" t="s">
        <v>148</v>
      </c>
      <c r="D1838" s="7" t="n">
        <v>84</v>
      </c>
      <c r="E1838" s="7" t="n">
        <v>78</v>
      </c>
      <c r="F1838" s="3" t="n">
        <f aca="false">COUNTIFS($B$2:$B$2705,B1838,$C$2:$C$2705,C1838)</f>
        <v>2</v>
      </c>
      <c r="G1838" s="3" t="n">
        <f aca="false">MIN(INT((MIN(B1838,2020)-1900)/10)+1,12)</f>
        <v>10</v>
      </c>
      <c r="H1838" s="3" t="n">
        <f aca="false">(MIN(B1838,2020)-1900-10*(G1838-1))/10</f>
        <v>0.7</v>
      </c>
      <c r="I1838" s="20" t="n">
        <f aca="false">EXP(LN(INDEX(Pop_Inputs!$B$2:$N$29,MATCH(C1838,Pop_Inputs!$A$2:$A$29,0),G1838))*(1-H1838)+LN(INDEX(Pop_Inputs!$B$2:$N$29,MATCH(C1838,Pop_Inputs!$A$2:$A$29,0),G1838+1))*H1838)</f>
        <v>3630705.41842158</v>
      </c>
      <c r="J1838" s="20" t="n">
        <f aca="false">I1838/F1838</f>
        <v>1815352.70921079</v>
      </c>
      <c r="K1838" s="21" t="n">
        <f aca="false">D1838/(D1838+E1838)</f>
        <v>0.518518518518519</v>
      </c>
      <c r="L1838" s="21" t="n">
        <f aca="false">AVERAGEIFS($K$2:$K$2705,$B$2:$B$2705,B1838)</f>
        <v>0.499984937614337</v>
      </c>
      <c r="M1838" s="21" t="n">
        <f aca="false">K1838-L1838</f>
        <v>0.0185335809041813</v>
      </c>
      <c r="N1838" s="21" t="n">
        <f aca="false">LN(J1838)</f>
        <v>14.4117903369451</v>
      </c>
      <c r="O1838" s="21" t="n">
        <f aca="false">AVERAGEIFS($N$2:$N$2705,$B$2:$B$2705,B1838)</f>
        <v>13.6373705064074</v>
      </c>
      <c r="P1838" s="21" t="n">
        <f aca="false">N1838-O1838</f>
        <v>0.774419830537736</v>
      </c>
      <c r="Q1838" s="7" t="n">
        <v>1</v>
      </c>
      <c r="R1838" s="3" t="n">
        <f aca="false">IF(AND(Q1838=1,B1838-_xlfn.MINIFS($B$2:$B$2705,$A$2:$A$2705,A1838)&lt;10),1,0)</f>
        <v>0</v>
      </c>
      <c r="S1838" s="7" t="n">
        <v>0</v>
      </c>
      <c r="T1838" s="3" t="n">
        <f aca="false">_xlfn.MINIFS($B$2:$B$2705,$A$2:$A$2705,A1838)</f>
        <v>1961</v>
      </c>
      <c r="U1838" s="3" t="n">
        <f aca="false">B1838-T1838</f>
        <v>36</v>
      </c>
      <c r="V1838" s="3" t="str">
        <f aca="false">INDEX(Pop_Inputs!$Q$2:$Q$29,MATCH(C1838,Pop_Inputs!$A$2:$A$29,0))</f>
        <v>West</v>
      </c>
      <c r="W1838" s="29" t="n">
        <v>31135472</v>
      </c>
      <c r="X1838" s="3" t="n">
        <f aca="false">IF(W1838="","",LN(W1838))</f>
        <v>17.2538583059618</v>
      </c>
      <c r="Y1838" s="3" t="n">
        <f aca="false">IF(X1838="","",X1838-AVERAGEIFS($X$2:$X$2705,$B$2:$B$2705,B1838))</f>
        <v>-0.189933167842543</v>
      </c>
      <c r="Z1838" s="21" t="n">
        <f aca="false">P1838</f>
        <v>0.774419830537736</v>
      </c>
      <c r="AA1838" s="3" t="n">
        <f aca="false">R1838</f>
        <v>0</v>
      </c>
      <c r="AB1838" s="21" t="n">
        <f aca="false">P1838</f>
        <v>0.774419830537736</v>
      </c>
      <c r="AC1838" s="3" t="n">
        <f aca="false">Y1838</f>
        <v>-0.189933167842543</v>
      </c>
      <c r="AD1838" s="3" t="n">
        <f aca="false">R1838</f>
        <v>0</v>
      </c>
    </row>
    <row r="1839" customFormat="false" ht="15" hidden="false" customHeight="true" outlineLevel="0" collapsed="false">
      <c r="A1839" s="7" t="s">
        <v>54</v>
      </c>
      <c r="B1839" s="7" t="n">
        <v>1997</v>
      </c>
      <c r="C1839" s="7" t="s">
        <v>141</v>
      </c>
      <c r="D1839" s="7" t="n">
        <v>101</v>
      </c>
      <c r="E1839" s="7" t="n">
        <v>61</v>
      </c>
      <c r="F1839" s="3" t="n">
        <f aca="false">COUNTIFS($B$2:$B$2705,B1839,$C$2:$C$2705,C1839)</f>
        <v>1</v>
      </c>
      <c r="G1839" s="3" t="n">
        <f aca="false">MIN(INT((MIN(B1839,2020)-1900)/10)+1,12)</f>
        <v>10</v>
      </c>
      <c r="H1839" s="3" t="n">
        <f aca="false">(MIN(B1839,2020)-1900-10*(G1839-1))/10</f>
        <v>0.7</v>
      </c>
      <c r="I1839" s="20" t="n">
        <f aca="false">EXP(LN(INDEX(Pop_Inputs!$B$2:$N$29,MATCH(C1839,Pop_Inputs!$A$2:$A$29,0),G1839))*(1-H1839)+LN(INDEX(Pop_Inputs!$B$2:$N$29,MATCH(C1839,Pop_Inputs!$A$2:$A$29,0),G1839+1))*H1839)</f>
        <v>409605.721017012</v>
      </c>
      <c r="J1839" s="20" t="n">
        <f aca="false">I1839/F1839</f>
        <v>409605.721017012</v>
      </c>
      <c r="K1839" s="21" t="n">
        <f aca="false">D1839/(D1839+E1839)</f>
        <v>0.623456790123457</v>
      </c>
      <c r="L1839" s="21" t="n">
        <f aca="false">AVERAGEIFS($K$2:$K$2705,$B$2:$B$2705,B1839)</f>
        <v>0.499984937614337</v>
      </c>
      <c r="M1839" s="21" t="n">
        <f aca="false">K1839-L1839</f>
        <v>0.12347185250912</v>
      </c>
      <c r="N1839" s="21" t="n">
        <f aca="false">LN(J1839)</f>
        <v>12.9229503199366</v>
      </c>
      <c r="O1839" s="21" t="n">
        <f aca="false">AVERAGEIFS($N$2:$N$2705,$B$2:$B$2705,B1839)</f>
        <v>13.6373705064074</v>
      </c>
      <c r="P1839" s="21" t="n">
        <f aca="false">N1839-O1839</f>
        <v>-0.7144201864708</v>
      </c>
      <c r="Q1839" s="7" t="n">
        <v>0</v>
      </c>
      <c r="R1839" s="3" t="n">
        <f aca="false">IF(AND(Q1839=1,B1839-_xlfn.MINIFS($B$2:$B$2705,$A$2:$A$2705,A1839)&lt;10),1,0)</f>
        <v>0</v>
      </c>
      <c r="S1839" s="7" t="n">
        <v>0</v>
      </c>
      <c r="T1839" s="3" t="n">
        <f aca="false">_xlfn.MINIFS($B$2:$B$2705,$A$2:$A$2705,A1839)</f>
        <v>1901</v>
      </c>
      <c r="U1839" s="3" t="n">
        <f aca="false">B1839-T1839</f>
        <v>96</v>
      </c>
      <c r="V1839" s="3" t="str">
        <f aca="false">INDEX(Pop_Inputs!$Q$2:$Q$29,MATCH(C1839,Pop_Inputs!$A$2:$A$29,0))</f>
        <v>South</v>
      </c>
      <c r="W1839" s="29" t="n">
        <v>52278500</v>
      </c>
      <c r="X1839" s="3" t="n">
        <f aca="false">IF(W1839="","",LN(W1839))</f>
        <v>17.7720957546484</v>
      </c>
      <c r="Y1839" s="3" t="n">
        <f aca="false">IF(X1839="","",X1839-AVERAGEIFS($X$2:$X$2705,$B$2:$B$2705,B1839))</f>
        <v>0.328304280844048</v>
      </c>
      <c r="Z1839" s="21" t="n">
        <f aca="false">P1839</f>
        <v>-0.7144201864708</v>
      </c>
      <c r="AA1839" s="3" t="n">
        <f aca="false">R1839</f>
        <v>0</v>
      </c>
      <c r="AB1839" s="21" t="n">
        <f aca="false">P1839</f>
        <v>-0.7144201864708</v>
      </c>
      <c r="AC1839" s="3" t="n">
        <f aca="false">Y1839</f>
        <v>0.328304280844048</v>
      </c>
      <c r="AD1839" s="3" t="n">
        <f aca="false">R1839</f>
        <v>0</v>
      </c>
    </row>
    <row r="1840" customFormat="false" ht="15" hidden="false" customHeight="true" outlineLevel="0" collapsed="false">
      <c r="A1840" s="7" t="s">
        <v>63</v>
      </c>
      <c r="B1840" s="7" t="n">
        <v>1997</v>
      </c>
      <c r="C1840" s="7" t="s">
        <v>149</v>
      </c>
      <c r="D1840" s="7" t="n">
        <v>98</v>
      </c>
      <c r="E1840" s="7" t="n">
        <v>64</v>
      </c>
      <c r="F1840" s="3" t="n">
        <f aca="false">COUNTIFS($B$2:$B$2705,B1840,$C$2:$C$2705,C1840)</f>
        <v>1</v>
      </c>
      <c r="G1840" s="3" t="n">
        <f aca="false">MIN(INT((MIN(B1840,2020)-1900)/10)+1,12)</f>
        <v>10</v>
      </c>
      <c r="H1840" s="3" t="n">
        <f aca="false">(MIN(B1840,2020)-1900-10*(G1840-1))/10</f>
        <v>0.7</v>
      </c>
      <c r="I1840" s="20" t="n">
        <f aca="false">EXP(LN(INDEX(Pop_Inputs!$B$2:$N$29,MATCH(C1840,Pop_Inputs!$A$2:$A$29,0),G1840))*(1-H1840)+LN(INDEX(Pop_Inputs!$B$2:$N$29,MATCH(C1840,Pop_Inputs!$A$2:$A$29,0),G1840+1))*H1840)</f>
        <v>675529.659185671</v>
      </c>
      <c r="J1840" s="20" t="n">
        <f aca="false">I1840/F1840</f>
        <v>675529.659185671</v>
      </c>
      <c r="K1840" s="21" t="n">
        <f aca="false">D1840/(D1840+E1840)</f>
        <v>0.604938271604938</v>
      </c>
      <c r="L1840" s="21" t="n">
        <f aca="false">AVERAGEIFS($K$2:$K$2705,$B$2:$B$2705,B1840)</f>
        <v>0.499984937614337</v>
      </c>
      <c r="M1840" s="21" t="n">
        <f aca="false">K1840-L1840</f>
        <v>0.104953333990601</v>
      </c>
      <c r="N1840" s="21" t="n">
        <f aca="false">LN(J1840)</f>
        <v>13.4232523424291</v>
      </c>
      <c r="O1840" s="21" t="n">
        <f aca="false">AVERAGEIFS($N$2:$N$2705,$B$2:$B$2705,B1840)</f>
        <v>13.6373705064074</v>
      </c>
      <c r="P1840" s="21" t="n">
        <f aca="false">N1840-O1840</f>
        <v>-0.214118163978261</v>
      </c>
      <c r="Q1840" s="7" t="n">
        <v>0</v>
      </c>
      <c r="R1840" s="3" t="n">
        <f aca="false">IF(AND(Q1840=1,B1840-_xlfn.MINIFS($B$2:$B$2705,$A$2:$A$2705,A1840)&lt;10),1,0)</f>
        <v>0</v>
      </c>
      <c r="S1840" s="7" t="n">
        <v>0</v>
      </c>
      <c r="T1840" s="3" t="n">
        <f aca="false">_xlfn.MINIFS($B$2:$B$2705,$A$2:$A$2705,A1840)</f>
        <v>1901</v>
      </c>
      <c r="U1840" s="3" t="n">
        <f aca="false">B1840-T1840</f>
        <v>96</v>
      </c>
      <c r="V1840" s="3" t="str">
        <f aca="false">INDEX(Pop_Inputs!$Q$2:$Q$29,MATCH(C1840,Pop_Inputs!$A$2:$A$29,0))</f>
        <v>South</v>
      </c>
      <c r="W1840" s="29" t="n">
        <v>58516400</v>
      </c>
      <c r="X1840" s="3" t="n">
        <f aca="false">IF(W1840="","",LN(W1840))</f>
        <v>17.884817614794</v>
      </c>
      <c r="Y1840" s="3" t="n">
        <f aca="false">IF(X1840="","",X1840-AVERAGEIFS($X$2:$X$2705,$B$2:$B$2705,B1840))</f>
        <v>0.441026140989642</v>
      </c>
      <c r="Z1840" s="21" t="n">
        <f aca="false">P1840</f>
        <v>-0.214118163978261</v>
      </c>
      <c r="AA1840" s="3" t="n">
        <f aca="false">R1840</f>
        <v>0</v>
      </c>
      <c r="AB1840" s="21" t="n">
        <f aca="false">P1840</f>
        <v>-0.214118163978261</v>
      </c>
      <c r="AC1840" s="3" t="n">
        <f aca="false">Y1840</f>
        <v>0.441026140989642</v>
      </c>
      <c r="AD1840" s="3" t="n">
        <f aca="false">R1840</f>
        <v>0</v>
      </c>
    </row>
    <row r="1841" customFormat="false" ht="15" hidden="false" customHeight="true" outlineLevel="0" collapsed="false">
      <c r="A1841" s="7" t="s">
        <v>64</v>
      </c>
      <c r="B1841" s="7" t="n">
        <v>1997</v>
      </c>
      <c r="C1841" s="7" t="s">
        <v>150</v>
      </c>
      <c r="D1841" s="7" t="n">
        <v>78</v>
      </c>
      <c r="E1841" s="7" t="n">
        <v>84</v>
      </c>
      <c r="F1841" s="3" t="n">
        <f aca="false">COUNTIFS($B$2:$B$2705,B1841,$C$2:$C$2705,C1841)</f>
        <v>1</v>
      </c>
      <c r="G1841" s="3" t="n">
        <f aca="false">MIN(INT((MIN(B1841,2020)-1900)/10)+1,12)</f>
        <v>10</v>
      </c>
      <c r="H1841" s="3" t="n">
        <f aca="false">(MIN(B1841,2020)-1900-10*(G1841-1))/10</f>
        <v>0.7</v>
      </c>
      <c r="I1841" s="20" t="n">
        <f aca="false">EXP(LN(INDEX(Pop_Inputs!$B$2:$N$29,MATCH(C1841,Pop_Inputs!$A$2:$A$29,0),G1841))*(1-H1841)+LN(INDEX(Pop_Inputs!$B$2:$N$29,MATCH(C1841,Pop_Inputs!$A$2:$A$29,0),G1841+1))*H1841)</f>
        <v>584643.682847182</v>
      </c>
      <c r="J1841" s="20" t="n">
        <f aca="false">I1841/F1841</f>
        <v>584643.682847182</v>
      </c>
      <c r="K1841" s="21" t="n">
        <f aca="false">D1841/(D1841+E1841)</f>
        <v>0.481481481481481</v>
      </c>
      <c r="L1841" s="21" t="n">
        <f aca="false">AVERAGEIFS($K$2:$K$2705,$B$2:$B$2705,B1841)</f>
        <v>0.499984937614337</v>
      </c>
      <c r="M1841" s="21" t="n">
        <f aca="false">K1841-L1841</f>
        <v>-0.0185034561328558</v>
      </c>
      <c r="N1841" s="21" t="n">
        <f aca="false">LN(J1841)</f>
        <v>13.2787578514937</v>
      </c>
      <c r="O1841" s="21" t="n">
        <f aca="false">AVERAGEIFS($N$2:$N$2705,$B$2:$B$2705,B1841)</f>
        <v>13.6373705064074</v>
      </c>
      <c r="P1841" s="21" t="n">
        <f aca="false">N1841-O1841</f>
        <v>-0.358612654913658</v>
      </c>
      <c r="Q1841" s="7" t="n">
        <v>0</v>
      </c>
      <c r="R1841" s="3" t="n">
        <f aca="false">IF(AND(Q1841=1,B1841-_xlfn.MINIFS($B$2:$B$2705,$A$2:$A$2705,A1841)&lt;10),1,0)</f>
        <v>0</v>
      </c>
      <c r="S1841" s="7" t="n">
        <v>0</v>
      </c>
      <c r="T1841" s="3" t="n">
        <f aca="false">_xlfn.MINIFS($B$2:$B$2705,$A$2:$A$2705,A1841)</f>
        <v>1901</v>
      </c>
      <c r="U1841" s="3" t="n">
        <f aca="false">B1841-T1841</f>
        <v>96</v>
      </c>
      <c r="V1841" s="3" t="str">
        <f aca="false">INDEX(Pop_Inputs!$Q$2:$Q$29,MATCH(C1841,Pop_Inputs!$A$2:$A$29,0))</f>
        <v>Northeast</v>
      </c>
      <c r="W1841" s="29" t="n">
        <v>43558750</v>
      </c>
      <c r="X1841" s="3" t="n">
        <f aca="false">IF(W1841="","",LN(W1841))</f>
        <v>17.5896211595659</v>
      </c>
      <c r="Y1841" s="3" t="n">
        <f aca="false">IF(X1841="","",X1841-AVERAGEIFS($X$2:$X$2705,$B$2:$B$2705,B1841))</f>
        <v>0.14582968576153</v>
      </c>
      <c r="Z1841" s="21" t="n">
        <f aca="false">P1841</f>
        <v>-0.358612654913658</v>
      </c>
      <c r="AA1841" s="3" t="n">
        <f aca="false">R1841</f>
        <v>0</v>
      </c>
      <c r="AB1841" s="21" t="n">
        <f aca="false">P1841</f>
        <v>-0.358612654913658</v>
      </c>
      <c r="AC1841" s="3" t="n">
        <f aca="false">Y1841</f>
        <v>0.14582968576153</v>
      </c>
      <c r="AD1841" s="3" t="n">
        <f aca="false">R1841</f>
        <v>0</v>
      </c>
    </row>
    <row r="1842" customFormat="false" ht="15" hidden="false" customHeight="true" outlineLevel="0" collapsed="false">
      <c r="A1842" s="7" t="s">
        <v>56</v>
      </c>
      <c r="B1842" s="7" t="n">
        <v>1997</v>
      </c>
      <c r="C1842" s="7" t="s">
        <v>142</v>
      </c>
      <c r="D1842" s="7" t="n">
        <v>68</v>
      </c>
      <c r="E1842" s="7" t="n">
        <v>94</v>
      </c>
      <c r="F1842" s="3" t="n">
        <f aca="false">COUNTIFS($B$2:$B$2705,B1842,$C$2:$C$2705,C1842)</f>
        <v>2</v>
      </c>
      <c r="G1842" s="3" t="n">
        <f aca="false">MIN(INT((MIN(B1842,2020)-1900)/10)+1,12)</f>
        <v>10</v>
      </c>
      <c r="H1842" s="3" t="n">
        <f aca="false">(MIN(B1842,2020)-1900-10*(G1842-1))/10</f>
        <v>0.7</v>
      </c>
      <c r="I1842" s="20" t="n">
        <f aca="false">EXP(LN(INDEX(Pop_Inputs!$B$2:$N$29,MATCH(C1842,Pop_Inputs!$A$2:$A$29,0),G1842))*(1-H1842)+LN(INDEX(Pop_Inputs!$B$2:$N$29,MATCH(C1842,Pop_Inputs!$A$2:$A$29,0),G1842+1))*H1842)</f>
        <v>2861861.52219274</v>
      </c>
      <c r="J1842" s="20" t="n">
        <f aca="false">I1842/F1842</f>
        <v>1430930.76109637</v>
      </c>
      <c r="K1842" s="21" t="n">
        <f aca="false">D1842/(D1842+E1842)</f>
        <v>0.419753086419753</v>
      </c>
      <c r="L1842" s="21" t="n">
        <f aca="false">AVERAGEIFS($K$2:$K$2705,$B$2:$B$2705,B1842)</f>
        <v>0.499984937614337</v>
      </c>
      <c r="M1842" s="21" t="n">
        <f aca="false">K1842-L1842</f>
        <v>-0.0802318511945842</v>
      </c>
      <c r="N1842" s="21" t="n">
        <f aca="false">LN(J1842)</f>
        <v>14.1738356723899</v>
      </c>
      <c r="O1842" s="21" t="n">
        <f aca="false">AVERAGEIFS($N$2:$N$2705,$B$2:$B$2705,B1842)</f>
        <v>13.6373705064074</v>
      </c>
      <c r="P1842" s="21" t="n">
        <f aca="false">N1842-O1842</f>
        <v>0.536465165982536</v>
      </c>
      <c r="Q1842" s="7" t="n">
        <v>0</v>
      </c>
      <c r="R1842" s="3" t="n">
        <f aca="false">IF(AND(Q1842=1,B1842-_xlfn.MINIFS($B$2:$B$2705,$A$2:$A$2705,A1842)&lt;10),1,0)</f>
        <v>0</v>
      </c>
      <c r="S1842" s="7" t="n">
        <v>0</v>
      </c>
      <c r="T1842" s="3" t="n">
        <f aca="false">_xlfn.MINIFS($B$2:$B$2705,$A$2:$A$2705,A1842)</f>
        <v>1901</v>
      </c>
      <c r="U1842" s="3" t="n">
        <f aca="false">B1842-T1842</f>
        <v>96</v>
      </c>
      <c r="V1842" s="3" t="str">
        <f aca="false">INDEX(Pop_Inputs!$Q$2:$Q$29,MATCH(C1842,Pop_Inputs!$A$2:$A$29,0))</f>
        <v>Midwest</v>
      </c>
      <c r="W1842" s="29" t="n">
        <v>42155333</v>
      </c>
      <c r="X1842" s="3" t="n">
        <f aca="false">IF(W1842="","",LN(W1842))</f>
        <v>17.5568717587265</v>
      </c>
      <c r="Y1842" s="3" t="n">
        <f aca="false">IF(X1842="","",X1842-AVERAGEIFS($X$2:$X$2705,$B$2:$B$2705,B1842))</f>
        <v>0.11308028492218</v>
      </c>
      <c r="Z1842" s="21" t="n">
        <f aca="false">P1842</f>
        <v>0.536465165982536</v>
      </c>
      <c r="AA1842" s="3" t="n">
        <f aca="false">R1842</f>
        <v>0</v>
      </c>
      <c r="AB1842" s="21" t="n">
        <f aca="false">P1842</f>
        <v>0.536465165982536</v>
      </c>
      <c r="AC1842" s="3" t="n">
        <f aca="false">Y1842</f>
        <v>0.11308028492218</v>
      </c>
      <c r="AD1842" s="3" t="n">
        <f aca="false">R1842</f>
        <v>0</v>
      </c>
    </row>
    <row r="1843" customFormat="false" ht="15" hidden="false" customHeight="true" outlineLevel="0" collapsed="false">
      <c r="A1843" s="7" t="s">
        <v>65</v>
      </c>
      <c r="B1843" s="7" t="n">
        <v>1997</v>
      </c>
      <c r="C1843" s="7" t="s">
        <v>142</v>
      </c>
      <c r="D1843" s="7" t="n">
        <v>80</v>
      </c>
      <c r="E1843" s="7" t="n">
        <v>81</v>
      </c>
      <c r="F1843" s="3" t="n">
        <f aca="false">COUNTIFS($B$2:$B$2705,B1843,$C$2:$C$2705,C1843)</f>
        <v>2</v>
      </c>
      <c r="G1843" s="3" t="n">
        <f aca="false">MIN(INT((MIN(B1843,2020)-1900)/10)+1,12)</f>
        <v>10</v>
      </c>
      <c r="H1843" s="3" t="n">
        <f aca="false">(MIN(B1843,2020)-1900-10*(G1843-1))/10</f>
        <v>0.7</v>
      </c>
      <c r="I1843" s="20" t="n">
        <f aca="false">EXP(LN(INDEX(Pop_Inputs!$B$2:$N$29,MATCH(C1843,Pop_Inputs!$A$2:$A$29,0),G1843))*(1-H1843)+LN(INDEX(Pop_Inputs!$B$2:$N$29,MATCH(C1843,Pop_Inputs!$A$2:$A$29,0),G1843+1))*H1843)</f>
        <v>2861861.52219274</v>
      </c>
      <c r="J1843" s="20" t="n">
        <f aca="false">I1843/F1843</f>
        <v>1430930.76109637</v>
      </c>
      <c r="K1843" s="21" t="n">
        <f aca="false">D1843/(D1843+E1843)</f>
        <v>0.496894409937888</v>
      </c>
      <c r="L1843" s="21" t="n">
        <f aca="false">AVERAGEIFS($K$2:$K$2705,$B$2:$B$2705,B1843)</f>
        <v>0.499984937614337</v>
      </c>
      <c r="M1843" s="21" t="n">
        <f aca="false">K1843-L1843</f>
        <v>-0.00309052767644902</v>
      </c>
      <c r="N1843" s="21" t="n">
        <f aca="false">LN(J1843)</f>
        <v>14.1738356723899</v>
      </c>
      <c r="O1843" s="21" t="n">
        <f aca="false">AVERAGEIFS($N$2:$N$2705,$B$2:$B$2705,B1843)</f>
        <v>13.6373705064074</v>
      </c>
      <c r="P1843" s="21" t="n">
        <f aca="false">N1843-O1843</f>
        <v>0.536465165982536</v>
      </c>
      <c r="Q1843" s="7" t="n">
        <v>0</v>
      </c>
      <c r="R1843" s="3" t="n">
        <f aca="false">IF(AND(Q1843=1,B1843-_xlfn.MINIFS($B$2:$B$2705,$A$2:$A$2705,A1843)&lt;10),1,0)</f>
        <v>0</v>
      </c>
      <c r="S1843" s="7" t="n">
        <v>0</v>
      </c>
      <c r="T1843" s="3" t="n">
        <f aca="false">_xlfn.MINIFS($B$2:$B$2705,$A$2:$A$2705,A1843)</f>
        <v>1901</v>
      </c>
      <c r="U1843" s="3" t="n">
        <f aca="false">B1843-T1843</f>
        <v>96</v>
      </c>
      <c r="V1843" s="3" t="str">
        <f aca="false">INDEX(Pop_Inputs!$Q$2:$Q$29,MATCH(C1843,Pop_Inputs!$A$2:$A$29,0))</f>
        <v>Midwest</v>
      </c>
      <c r="W1843" s="29" t="n">
        <v>57740000</v>
      </c>
      <c r="X1843" s="3" t="n">
        <f aca="false">IF(W1843="","",LN(W1843))</f>
        <v>17.8714607321991</v>
      </c>
      <c r="Y1843" s="3" t="n">
        <f aca="false">IF(X1843="","",X1843-AVERAGEIFS($X$2:$X$2705,$B$2:$B$2705,B1843))</f>
        <v>0.427669258394722</v>
      </c>
      <c r="Z1843" s="21" t="n">
        <f aca="false">P1843</f>
        <v>0.536465165982536</v>
      </c>
      <c r="AA1843" s="3" t="n">
        <f aca="false">R1843</f>
        <v>0</v>
      </c>
      <c r="AB1843" s="21" t="n">
        <f aca="false">P1843</f>
        <v>0.536465165982536</v>
      </c>
      <c r="AC1843" s="3" t="n">
        <f aca="false">Y1843</f>
        <v>0.427669258394722</v>
      </c>
      <c r="AD1843" s="3" t="n">
        <f aca="false">R1843</f>
        <v>0</v>
      </c>
    </row>
    <row r="1844" customFormat="false" ht="15" hidden="false" customHeight="true" outlineLevel="0" collapsed="false">
      <c r="A1844" s="7" t="s">
        <v>57</v>
      </c>
      <c r="B1844" s="7" t="n">
        <v>1997</v>
      </c>
      <c r="C1844" s="7" t="s">
        <v>143</v>
      </c>
      <c r="D1844" s="7" t="n">
        <v>76</v>
      </c>
      <c r="E1844" s="7" t="n">
        <v>86</v>
      </c>
      <c r="F1844" s="3" t="n">
        <f aca="false">COUNTIFS($B$2:$B$2705,B1844,$C$2:$C$2705,C1844)</f>
        <v>1</v>
      </c>
      <c r="G1844" s="3" t="n">
        <f aca="false">MIN(INT((MIN(B1844,2020)-1900)/10)+1,12)</f>
        <v>10</v>
      </c>
      <c r="H1844" s="3" t="n">
        <f aca="false">(MIN(B1844,2020)-1900-10*(G1844-1))/10</f>
        <v>0.7</v>
      </c>
      <c r="I1844" s="20" t="n">
        <f aca="false">EXP(LN(INDEX(Pop_Inputs!$B$2:$N$29,MATCH(C1844,Pop_Inputs!$A$2:$A$29,0),G1844))*(1-H1844)+LN(INDEX(Pop_Inputs!$B$2:$N$29,MATCH(C1844,Pop_Inputs!$A$2:$A$29,0),G1844+1))*H1844)</f>
        <v>340789.317118316</v>
      </c>
      <c r="J1844" s="20" t="n">
        <f aca="false">I1844/F1844</f>
        <v>340789.317118316</v>
      </c>
      <c r="K1844" s="21" t="n">
        <f aca="false">D1844/(D1844+E1844)</f>
        <v>0.469135802469136</v>
      </c>
      <c r="L1844" s="21" t="n">
        <f aca="false">AVERAGEIFS($K$2:$K$2705,$B$2:$B$2705,B1844)</f>
        <v>0.499984937614337</v>
      </c>
      <c r="M1844" s="21" t="n">
        <f aca="false">K1844-L1844</f>
        <v>-0.0308491351452014</v>
      </c>
      <c r="N1844" s="21" t="n">
        <f aca="false">LN(J1844)</f>
        <v>12.7390197269622</v>
      </c>
      <c r="O1844" s="21" t="n">
        <f aca="false">AVERAGEIFS($N$2:$N$2705,$B$2:$B$2705,B1844)</f>
        <v>13.6373705064074</v>
      </c>
      <c r="P1844" s="21" t="n">
        <f aca="false">N1844-O1844</f>
        <v>-0.89835077944521</v>
      </c>
      <c r="Q1844" s="7" t="n">
        <v>0</v>
      </c>
      <c r="R1844" s="3" t="n">
        <f aca="false">IF(AND(Q1844=1,B1844-_xlfn.MINIFS($B$2:$B$2705,$A$2:$A$2705,A1844)&lt;10),1,0)</f>
        <v>0</v>
      </c>
      <c r="S1844" s="7" t="n">
        <v>0</v>
      </c>
      <c r="T1844" s="3" t="n">
        <f aca="false">_xlfn.MINIFS($B$2:$B$2705,$A$2:$A$2705,A1844)</f>
        <v>1901</v>
      </c>
      <c r="U1844" s="3" t="n">
        <f aca="false">B1844-T1844</f>
        <v>96</v>
      </c>
      <c r="V1844" s="3" t="str">
        <f aca="false">INDEX(Pop_Inputs!$Q$2:$Q$29,MATCH(C1844,Pop_Inputs!$A$2:$A$29,0))</f>
        <v>Midwest</v>
      </c>
      <c r="W1844" s="29" t="n">
        <v>49768000</v>
      </c>
      <c r="X1844" s="3" t="n">
        <f aca="false">IF(W1844="","",LN(W1844))</f>
        <v>17.722882765177</v>
      </c>
      <c r="Y1844" s="3" t="n">
        <f aca="false">IF(X1844="","",X1844-AVERAGEIFS($X$2:$X$2705,$B$2:$B$2705,B1844))</f>
        <v>0.279091291372652</v>
      </c>
      <c r="Z1844" s="21" t="n">
        <f aca="false">P1844</f>
        <v>-0.89835077944521</v>
      </c>
      <c r="AA1844" s="3" t="n">
        <f aca="false">R1844</f>
        <v>0</v>
      </c>
      <c r="AB1844" s="21" t="n">
        <f aca="false">P1844</f>
        <v>-0.89835077944521</v>
      </c>
      <c r="AC1844" s="3" t="n">
        <f aca="false">Y1844</f>
        <v>0.279091291372652</v>
      </c>
      <c r="AD1844" s="3" t="n">
        <f aca="false">R1844</f>
        <v>0</v>
      </c>
    </row>
    <row r="1845" customFormat="false" ht="15" hidden="false" customHeight="true" outlineLevel="0" collapsed="false">
      <c r="A1845" s="7" t="s">
        <v>66</v>
      </c>
      <c r="B1845" s="7" t="n">
        <v>1997</v>
      </c>
      <c r="C1845" s="7" t="s">
        <v>151</v>
      </c>
      <c r="D1845" s="7" t="n">
        <v>86</v>
      </c>
      <c r="E1845" s="7" t="n">
        <v>75</v>
      </c>
      <c r="F1845" s="3" t="n">
        <f aca="false">COUNTIFS($B$2:$B$2705,B1845,$C$2:$C$2705,C1845)</f>
        <v>1</v>
      </c>
      <c r="G1845" s="3" t="n">
        <f aca="false">MIN(INT((MIN(B1845,2020)-1900)/10)+1,12)</f>
        <v>10</v>
      </c>
      <c r="H1845" s="3" t="n">
        <f aca="false">(MIN(B1845,2020)-1900-10*(G1845-1))/10</f>
        <v>0.7</v>
      </c>
      <c r="I1845" s="20" t="n">
        <f aca="false">EXP(LN(INDEX(Pop_Inputs!$B$2:$N$29,MATCH(C1845,Pop_Inputs!$A$2:$A$29,0),G1845))*(1-H1845)+LN(INDEX(Pop_Inputs!$B$2:$N$29,MATCH(C1845,Pop_Inputs!$A$2:$A$29,0),G1845+1))*H1845)</f>
        <v>486409.410560528</v>
      </c>
      <c r="J1845" s="20" t="n">
        <f aca="false">I1845/F1845</f>
        <v>486409.410560528</v>
      </c>
      <c r="K1845" s="21" t="n">
        <f aca="false">D1845/(D1845+E1845)</f>
        <v>0.53416149068323</v>
      </c>
      <c r="L1845" s="21" t="n">
        <f aca="false">AVERAGEIFS($K$2:$K$2705,$B$2:$B$2705,B1845)</f>
        <v>0.499984937614337</v>
      </c>
      <c r="M1845" s="21" t="n">
        <f aca="false">K1845-L1845</f>
        <v>0.0341765530688926</v>
      </c>
      <c r="N1845" s="21" t="n">
        <f aca="false">LN(J1845)</f>
        <v>13.0948059568164</v>
      </c>
      <c r="O1845" s="21" t="n">
        <f aca="false">AVERAGEIFS($N$2:$N$2705,$B$2:$B$2705,B1845)</f>
        <v>13.6373705064074</v>
      </c>
      <c r="P1845" s="21" t="n">
        <f aca="false">N1845-O1845</f>
        <v>-0.542564549590939</v>
      </c>
      <c r="Q1845" s="7" t="n">
        <v>0</v>
      </c>
      <c r="R1845" s="3" t="n">
        <f aca="false">IF(AND(Q1845=1,B1845-_xlfn.MINIFS($B$2:$B$2705,$A$2:$A$2705,A1845)&lt;10),1,0)</f>
        <v>0</v>
      </c>
      <c r="S1845" s="7" t="n">
        <v>0</v>
      </c>
      <c r="T1845" s="3" t="n">
        <f aca="false">_xlfn.MINIFS($B$2:$B$2705,$A$2:$A$2705,A1845)</f>
        <v>1901</v>
      </c>
      <c r="U1845" s="3" t="n">
        <f aca="false">B1845-T1845</f>
        <v>96</v>
      </c>
      <c r="V1845" s="3" t="str">
        <f aca="false">INDEX(Pop_Inputs!$Q$2:$Q$29,MATCH(C1845,Pop_Inputs!$A$2:$A$29,0))</f>
        <v>Midwest</v>
      </c>
      <c r="W1845" s="29" t="n">
        <v>56802460</v>
      </c>
      <c r="X1845" s="3" t="n">
        <f aca="false">IF(W1845="","",LN(W1845))</f>
        <v>17.8550901926127</v>
      </c>
      <c r="Y1845" s="3" t="n">
        <f aca="false">IF(X1845="","",X1845-AVERAGEIFS($X$2:$X$2705,$B$2:$B$2705,B1845))</f>
        <v>0.411298718808347</v>
      </c>
      <c r="Z1845" s="21" t="n">
        <f aca="false">P1845</f>
        <v>-0.542564549590939</v>
      </c>
      <c r="AA1845" s="3" t="n">
        <f aca="false">R1845</f>
        <v>0</v>
      </c>
      <c r="AB1845" s="21" t="n">
        <f aca="false">P1845</f>
        <v>-0.542564549590939</v>
      </c>
      <c r="AC1845" s="3" t="n">
        <f aca="false">Y1845</f>
        <v>0.411298718808347</v>
      </c>
      <c r="AD1845" s="3" t="n">
        <f aca="false">R1845</f>
        <v>0</v>
      </c>
    </row>
    <row r="1846" customFormat="false" ht="15" hidden="false" customHeight="true" outlineLevel="0" collapsed="false">
      <c r="A1846" s="7" t="s">
        <v>82</v>
      </c>
      <c r="B1846" s="7" t="n">
        <v>1997</v>
      </c>
      <c r="C1846" s="7" t="s">
        <v>163</v>
      </c>
      <c r="D1846" s="7" t="n">
        <v>83</v>
      </c>
      <c r="E1846" s="7" t="n">
        <v>79</v>
      </c>
      <c r="F1846" s="3" t="n">
        <f aca="false">COUNTIFS($B$2:$B$2705,B1846,$C$2:$C$2705,C1846)</f>
        <v>1</v>
      </c>
      <c r="G1846" s="3" t="n">
        <f aca="false">MIN(INT((MIN(B1846,2020)-1900)/10)+1,12)</f>
        <v>10</v>
      </c>
      <c r="H1846" s="3" t="n">
        <f aca="false">(MIN(B1846,2020)-1900-10*(G1846-1))/10</f>
        <v>0.7</v>
      </c>
      <c r="I1846" s="20" t="n">
        <f aca="false">EXP(LN(INDEX(Pop_Inputs!$B$2:$N$29,MATCH(C1846,Pop_Inputs!$A$2:$A$29,0),G1846))*(1-H1846)+LN(INDEX(Pop_Inputs!$B$2:$N$29,MATCH(C1846,Pop_Inputs!$A$2:$A$29,0),G1846+1))*H1846)</f>
        <v>526951.658354785</v>
      </c>
      <c r="J1846" s="20" t="n">
        <f aca="false">I1846/F1846</f>
        <v>526951.658354785</v>
      </c>
      <c r="K1846" s="21" t="n">
        <f aca="false">D1846/(D1846+E1846)</f>
        <v>0.512345679012346</v>
      </c>
      <c r="L1846" s="21" t="n">
        <f aca="false">AVERAGEIFS($K$2:$K$2705,$B$2:$B$2705,B1846)</f>
        <v>0.499984937614337</v>
      </c>
      <c r="M1846" s="21" t="n">
        <f aca="false">K1846-L1846</f>
        <v>0.0123607413980085</v>
      </c>
      <c r="N1846" s="21" t="n">
        <f aca="false">LN(J1846)</f>
        <v>13.174864093439</v>
      </c>
      <c r="O1846" s="21" t="n">
        <f aca="false">AVERAGEIFS($N$2:$N$2705,$B$2:$B$2705,B1846)</f>
        <v>13.6373705064074</v>
      </c>
      <c r="P1846" s="21" t="n">
        <f aca="false">N1846-O1846</f>
        <v>-0.462506412968395</v>
      </c>
      <c r="Q1846" s="7" t="n">
        <v>1</v>
      </c>
      <c r="R1846" s="3" t="n">
        <f aca="false">IF(AND(Q1846=1,B1846-_xlfn.MINIFS($B$2:$B$2705,$A$2:$A$2705,A1846)&lt;10),1,0)</f>
        <v>1</v>
      </c>
      <c r="S1846" s="7" t="n">
        <v>0</v>
      </c>
      <c r="T1846" s="3" t="n">
        <f aca="false">_xlfn.MINIFS($B$2:$B$2705,$A$2:$A$2705,A1846)</f>
        <v>1993</v>
      </c>
      <c r="U1846" s="3" t="n">
        <f aca="false">B1846-T1846</f>
        <v>4</v>
      </c>
      <c r="V1846" s="3" t="str">
        <f aca="false">INDEX(Pop_Inputs!$Q$2:$Q$29,MATCH(C1846,Pop_Inputs!$A$2:$A$29,0))</f>
        <v>West</v>
      </c>
      <c r="W1846" s="29" t="n">
        <v>43559667</v>
      </c>
      <c r="X1846" s="3" t="n">
        <f aca="false">IF(W1846="","",LN(W1846))</f>
        <v>17.5896422113717</v>
      </c>
      <c r="Y1846" s="3" t="n">
        <f aca="false">IF(X1846="","",X1846-AVERAGEIFS($X$2:$X$2705,$B$2:$B$2705,B1846))</f>
        <v>0.145850737567372</v>
      </c>
      <c r="Z1846" s="21" t="n">
        <f aca="false">P1846</f>
        <v>-0.462506412968395</v>
      </c>
      <c r="AA1846" s="3" t="n">
        <f aca="false">R1846</f>
        <v>1</v>
      </c>
      <c r="AB1846" s="21" t="n">
        <f aca="false">P1846</f>
        <v>-0.462506412968395</v>
      </c>
      <c r="AC1846" s="3" t="n">
        <f aca="false">Y1846</f>
        <v>0.145850737567372</v>
      </c>
      <c r="AD1846" s="3" t="n">
        <f aca="false">R1846</f>
        <v>1</v>
      </c>
    </row>
    <row r="1847" customFormat="false" ht="15" hidden="false" customHeight="true" outlineLevel="0" collapsed="false">
      <c r="A1847" s="7" t="s">
        <v>67</v>
      </c>
      <c r="B1847" s="7" t="n">
        <v>1997</v>
      </c>
      <c r="C1847" s="7" t="s">
        <v>152</v>
      </c>
      <c r="D1847" s="7" t="n">
        <v>79</v>
      </c>
      <c r="E1847" s="7" t="n">
        <v>83</v>
      </c>
      <c r="F1847" s="3" t="n">
        <f aca="false">COUNTIFS($B$2:$B$2705,B1847,$C$2:$C$2705,C1847)</f>
        <v>1</v>
      </c>
      <c r="G1847" s="3" t="n">
        <f aca="false">MIN(INT((MIN(B1847,2020)-1900)/10)+1,12)</f>
        <v>10</v>
      </c>
      <c r="H1847" s="3" t="n">
        <f aca="false">(MIN(B1847,2020)-1900-10*(G1847-1))/10</f>
        <v>0.7</v>
      </c>
      <c r="I1847" s="20" t="n">
        <f aca="false">EXP(LN(INDEX(Pop_Inputs!$B$2:$N$29,MATCH(C1847,Pop_Inputs!$A$2:$A$29,0),G1847))*(1-H1847)+LN(INDEX(Pop_Inputs!$B$2:$N$29,MATCH(C1847,Pop_Inputs!$A$2:$A$29,0),G1847+1))*H1847)</f>
        <v>973659.934939439</v>
      </c>
      <c r="J1847" s="20" t="n">
        <f aca="false">I1847/F1847</f>
        <v>973659.934939439</v>
      </c>
      <c r="K1847" s="21" t="n">
        <f aca="false">D1847/(D1847+E1847)</f>
        <v>0.487654320987654</v>
      </c>
      <c r="L1847" s="21" t="n">
        <f aca="false">AVERAGEIFS($K$2:$K$2705,$B$2:$B$2705,B1847)</f>
        <v>0.499984937614337</v>
      </c>
      <c r="M1847" s="21" t="n">
        <f aca="false">K1847-L1847</f>
        <v>-0.0123306166266829</v>
      </c>
      <c r="N1847" s="21" t="n">
        <f aca="false">LN(J1847)</f>
        <v>13.7888173788875</v>
      </c>
      <c r="O1847" s="21" t="n">
        <f aca="false">AVERAGEIFS($N$2:$N$2705,$B$2:$B$2705,B1847)</f>
        <v>13.6373705064074</v>
      </c>
      <c r="P1847" s="21" t="n">
        <f aca="false">N1847-O1847</f>
        <v>0.151446872480111</v>
      </c>
      <c r="Q1847" s="7" t="n">
        <v>0</v>
      </c>
      <c r="R1847" s="3" t="n">
        <f aca="false">IF(AND(Q1847=1,B1847-_xlfn.MINIFS($B$2:$B$2705,$A$2:$A$2705,A1847)&lt;10),1,0)</f>
        <v>0</v>
      </c>
      <c r="S1847" s="7" t="n">
        <v>0</v>
      </c>
      <c r="T1847" s="3" t="n">
        <f aca="false">_xlfn.MINIFS($B$2:$B$2705,$A$2:$A$2705,A1847)</f>
        <v>1901</v>
      </c>
      <c r="U1847" s="3" t="n">
        <f aca="false">B1847-T1847</f>
        <v>96</v>
      </c>
      <c r="V1847" s="3" t="str">
        <f aca="false">INDEX(Pop_Inputs!$Q$2:$Q$29,MATCH(C1847,Pop_Inputs!$A$2:$A$29,0))</f>
        <v>Midwest</v>
      </c>
      <c r="W1847" s="29" t="n">
        <v>17272000</v>
      </c>
      <c r="X1847" s="3" t="n">
        <f aca="false">IF(W1847="","",LN(W1847))</f>
        <v>16.6645972511768</v>
      </c>
      <c r="Y1847" s="3" t="n">
        <f aca="false">IF(X1847="","",X1847-AVERAGEIFS($X$2:$X$2705,$B$2:$B$2705,B1847))</f>
        <v>-0.779194222627563</v>
      </c>
      <c r="Z1847" s="21" t="n">
        <f aca="false">P1847</f>
        <v>0.151446872480111</v>
      </c>
      <c r="AA1847" s="3" t="n">
        <f aca="false">R1847</f>
        <v>0</v>
      </c>
      <c r="AB1847" s="21" t="n">
        <f aca="false">P1847</f>
        <v>0.151446872480111</v>
      </c>
      <c r="AC1847" s="3" t="n">
        <f aca="false">Y1847</f>
        <v>-0.779194222627563</v>
      </c>
      <c r="AD1847" s="3" t="n">
        <f aca="false">R1847</f>
        <v>0</v>
      </c>
    </row>
    <row r="1848" customFormat="false" ht="15" hidden="false" customHeight="true" outlineLevel="0" collapsed="false">
      <c r="A1848" s="7" t="s">
        <v>83</v>
      </c>
      <c r="B1848" s="7" t="n">
        <v>1997</v>
      </c>
      <c r="C1848" s="7" t="s">
        <v>164</v>
      </c>
      <c r="D1848" s="7" t="n">
        <v>92</v>
      </c>
      <c r="E1848" s="7" t="n">
        <v>70</v>
      </c>
      <c r="F1848" s="3" t="n">
        <f aca="false">COUNTIFS($B$2:$B$2705,B1848,$C$2:$C$2705,C1848)</f>
        <v>1</v>
      </c>
      <c r="G1848" s="3" t="n">
        <f aca="false">MIN(INT((MIN(B1848,2020)-1900)/10)+1,12)</f>
        <v>10</v>
      </c>
      <c r="H1848" s="3" t="n">
        <f aca="false">(MIN(B1848,2020)-1900-10*(G1848-1))/10</f>
        <v>0.7</v>
      </c>
      <c r="I1848" s="20" t="n">
        <f aca="false">EXP(LN(INDEX(Pop_Inputs!$B$2:$N$29,MATCH(C1848,Pop_Inputs!$A$2:$A$29,0),G1848))*(1-H1848)+LN(INDEX(Pop_Inputs!$B$2:$N$29,MATCH(C1848,Pop_Inputs!$A$2:$A$29,0),G1848+1))*H1848)</f>
        <v>361319.142993256</v>
      </c>
      <c r="J1848" s="20" t="n">
        <f aca="false">I1848/F1848</f>
        <v>361319.142993256</v>
      </c>
      <c r="K1848" s="21" t="n">
        <f aca="false">D1848/(D1848+E1848)</f>
        <v>0.567901234567901</v>
      </c>
      <c r="L1848" s="21" t="n">
        <f aca="false">AVERAGEIFS($K$2:$K$2705,$B$2:$B$2705,B1848)</f>
        <v>0.499984937614337</v>
      </c>
      <c r="M1848" s="21" t="n">
        <f aca="false">K1848-L1848</f>
        <v>0.067916296953564</v>
      </c>
      <c r="N1848" s="21" t="n">
        <f aca="false">LN(J1848)</f>
        <v>12.7975168993836</v>
      </c>
      <c r="O1848" s="21" t="n">
        <f aca="false">AVERAGEIFS($N$2:$N$2705,$B$2:$B$2705,B1848)</f>
        <v>13.6373705064074</v>
      </c>
      <c r="P1848" s="21" t="n">
        <f aca="false">N1848-O1848</f>
        <v>-0.839853607023819</v>
      </c>
      <c r="Q1848" s="7" t="n">
        <v>1</v>
      </c>
      <c r="R1848" s="3" t="n">
        <f aca="false">IF(AND(Q1848=1,B1848-_xlfn.MINIFS($B$2:$B$2705,$A$2:$A$2705,A1848)&lt;10),1,0)</f>
        <v>1</v>
      </c>
      <c r="S1848" s="7" t="n">
        <v>0</v>
      </c>
      <c r="T1848" s="3" t="n">
        <f aca="false">_xlfn.MINIFS($B$2:$B$2705,$A$2:$A$2705,A1848)</f>
        <v>1993</v>
      </c>
      <c r="U1848" s="3" t="n">
        <f aca="false">B1848-T1848</f>
        <v>4</v>
      </c>
      <c r="V1848" s="3" t="str">
        <f aca="false">INDEX(Pop_Inputs!$Q$2:$Q$29,MATCH(C1848,Pop_Inputs!$A$2:$A$29,0))</f>
        <v>South</v>
      </c>
      <c r="W1848" s="29" t="n">
        <v>48692500</v>
      </c>
      <c r="X1848" s="3" t="n">
        <f aca="false">IF(W1848="","",LN(W1848))</f>
        <v>17.7010355720862</v>
      </c>
      <c r="Y1848" s="3" t="n">
        <f aca="false">IF(X1848="","",X1848-AVERAGEIFS($X$2:$X$2705,$B$2:$B$2705,B1848))</f>
        <v>0.257244098281848</v>
      </c>
      <c r="Z1848" s="21" t="n">
        <f aca="false">P1848</f>
        <v>-0.839853607023819</v>
      </c>
      <c r="AA1848" s="3" t="n">
        <f aca="false">R1848</f>
        <v>1</v>
      </c>
      <c r="AB1848" s="21" t="n">
        <f aca="false">P1848</f>
        <v>-0.839853607023819</v>
      </c>
      <c r="AC1848" s="3" t="n">
        <f aca="false">Y1848</f>
        <v>0.257244098281848</v>
      </c>
      <c r="AD1848" s="3" t="n">
        <f aca="false">R1848</f>
        <v>1</v>
      </c>
    </row>
    <row r="1849" customFormat="false" ht="15" hidden="false" customHeight="true" outlineLevel="0" collapsed="false">
      <c r="A1849" s="7" t="s">
        <v>74</v>
      </c>
      <c r="B1849" s="7" t="n">
        <v>1997</v>
      </c>
      <c r="C1849" s="7" t="s">
        <v>156</v>
      </c>
      <c r="D1849" s="7" t="n">
        <v>84</v>
      </c>
      <c r="E1849" s="7" t="n">
        <v>78</v>
      </c>
      <c r="F1849" s="3" t="n">
        <f aca="false">COUNTIFS($B$2:$B$2705,B1849,$C$2:$C$2705,C1849)</f>
        <v>1</v>
      </c>
      <c r="G1849" s="3" t="n">
        <f aca="false">MIN(INT((MIN(B1849,2020)-1900)/10)+1,12)</f>
        <v>10</v>
      </c>
      <c r="H1849" s="3" t="n">
        <f aca="false">(MIN(B1849,2020)-1900-10*(G1849-1))/10</f>
        <v>0.7</v>
      </c>
      <c r="I1849" s="20" t="n">
        <f aca="false">EXP(LN(INDEX(Pop_Inputs!$B$2:$N$29,MATCH(C1849,Pop_Inputs!$A$2:$A$29,0),G1849))*(1-H1849)+LN(INDEX(Pop_Inputs!$B$2:$N$29,MATCH(C1849,Pop_Inputs!$A$2:$A$29,0),G1849+1))*H1849)</f>
        <v>1850504.95593069</v>
      </c>
      <c r="J1849" s="20" t="n">
        <f aca="false">I1849/F1849</f>
        <v>1850504.95593069</v>
      </c>
      <c r="K1849" s="21" t="n">
        <f aca="false">D1849/(D1849+E1849)</f>
        <v>0.518518518518519</v>
      </c>
      <c r="L1849" s="21" t="n">
        <f aca="false">AVERAGEIFS($K$2:$K$2705,$B$2:$B$2705,B1849)</f>
        <v>0.499984937614337</v>
      </c>
      <c r="M1849" s="21" t="n">
        <f aca="false">K1849-L1849</f>
        <v>0.0185335809041813</v>
      </c>
      <c r="N1849" s="21" t="n">
        <f aca="false">LN(J1849)</f>
        <v>14.4309691089624</v>
      </c>
      <c r="O1849" s="21" t="n">
        <f aca="false">AVERAGEIFS($N$2:$N$2705,$B$2:$B$2705,B1849)</f>
        <v>13.6373705064074</v>
      </c>
      <c r="P1849" s="21" t="n">
        <f aca="false">N1849-O1849</f>
        <v>0.793598602555004</v>
      </c>
      <c r="Q1849" s="7" t="n">
        <v>1</v>
      </c>
      <c r="R1849" s="3" t="n">
        <f aca="false">IF(AND(Q1849=1,B1849-_xlfn.MINIFS($B$2:$B$2705,$A$2:$A$2705,A1849)&lt;10),1,0)</f>
        <v>0</v>
      </c>
      <c r="S1849" s="7" t="n">
        <v>0</v>
      </c>
      <c r="T1849" s="3" t="n">
        <f aca="false">_xlfn.MINIFS($B$2:$B$2705,$A$2:$A$2705,A1849)</f>
        <v>1962</v>
      </c>
      <c r="U1849" s="3" t="n">
        <f aca="false">B1849-T1849</f>
        <v>35</v>
      </c>
      <c r="V1849" s="3" t="str">
        <f aca="false">INDEX(Pop_Inputs!$Q$2:$Q$29,MATCH(C1849,Pop_Inputs!$A$2:$A$29,0))</f>
        <v>South</v>
      </c>
      <c r="W1849" s="29" t="n">
        <v>34777500</v>
      </c>
      <c r="X1849" s="3" t="n">
        <f aca="false">IF(W1849="","",LN(W1849))</f>
        <v>17.3644811839159</v>
      </c>
      <c r="Y1849" s="3" t="n">
        <f aca="false">IF(X1849="","",X1849-AVERAGEIFS($X$2:$X$2705,$B$2:$B$2705,B1849))</f>
        <v>-0.079310289888479</v>
      </c>
      <c r="Z1849" s="21" t="n">
        <f aca="false">P1849</f>
        <v>0.793598602555004</v>
      </c>
      <c r="AA1849" s="3" t="n">
        <f aca="false">R1849</f>
        <v>0</v>
      </c>
      <c r="AB1849" s="21" t="n">
        <f aca="false">P1849</f>
        <v>0.793598602555004</v>
      </c>
      <c r="AC1849" s="3" t="n">
        <f aca="false">Y1849</f>
        <v>-0.079310289888479</v>
      </c>
      <c r="AD1849" s="3" t="n">
        <f aca="false">R1849</f>
        <v>0</v>
      </c>
    </row>
    <row r="1850" customFormat="false" ht="15" hidden="false" customHeight="true" outlineLevel="0" collapsed="false">
      <c r="A1850" s="7" t="s">
        <v>76</v>
      </c>
      <c r="B1850" s="7" t="n">
        <v>1997</v>
      </c>
      <c r="C1850" s="7" t="s">
        <v>157</v>
      </c>
      <c r="D1850" s="7" t="n">
        <v>67</v>
      </c>
      <c r="E1850" s="7" t="n">
        <v>94</v>
      </c>
      <c r="F1850" s="3" t="n">
        <f aca="false">COUNTIFS($B$2:$B$2705,B1850,$C$2:$C$2705,C1850)</f>
        <v>1</v>
      </c>
      <c r="G1850" s="3" t="n">
        <f aca="false">MIN(INT((MIN(B1850,2020)-1900)/10)+1,12)</f>
        <v>10</v>
      </c>
      <c r="H1850" s="3" t="n">
        <f aca="false">(MIN(B1850,2020)-1900-10*(G1850-1))/10</f>
        <v>0.7</v>
      </c>
      <c r="I1850" s="20" t="n">
        <f aca="false">EXP(LN(INDEX(Pop_Inputs!$B$2:$N$29,MATCH(C1850,Pop_Inputs!$A$2:$A$29,0),G1850))*(1-H1850)+LN(INDEX(Pop_Inputs!$B$2:$N$29,MATCH(C1850,Pop_Inputs!$A$2:$A$29,0),G1850+1))*H1850)</f>
        <v>439615.481943691</v>
      </c>
      <c r="J1850" s="20" t="n">
        <f aca="false">I1850/F1850</f>
        <v>439615.481943691</v>
      </c>
      <c r="K1850" s="21" t="n">
        <f aca="false">D1850/(D1850+E1850)</f>
        <v>0.416149068322981</v>
      </c>
      <c r="L1850" s="21" t="n">
        <f aca="false">AVERAGEIFS($K$2:$K$2705,$B$2:$B$2705,B1850)</f>
        <v>0.499984937614337</v>
      </c>
      <c r="M1850" s="21" t="n">
        <f aca="false">K1850-L1850</f>
        <v>-0.0838358692913558</v>
      </c>
      <c r="N1850" s="21" t="n">
        <f aca="false">LN(J1850)</f>
        <v>12.9936557191437</v>
      </c>
      <c r="O1850" s="21" t="n">
        <f aca="false">AVERAGEIFS($N$2:$N$2705,$B$2:$B$2705,B1850)</f>
        <v>13.6373705064074</v>
      </c>
      <c r="P1850" s="21" t="n">
        <f aca="false">N1850-O1850</f>
        <v>-0.643714787263672</v>
      </c>
      <c r="Q1850" s="7" t="n">
        <v>1</v>
      </c>
      <c r="R1850" s="3" t="n">
        <f aca="false">IF(AND(Q1850=1,B1850-_xlfn.MINIFS($B$2:$B$2705,$A$2:$A$2705,A1850)&lt;10),1,0)</f>
        <v>0</v>
      </c>
      <c r="S1850" s="7" t="n">
        <v>0</v>
      </c>
      <c r="T1850" s="3" t="n">
        <f aca="false">_xlfn.MINIFS($B$2:$B$2705,$A$2:$A$2705,A1850)</f>
        <v>1969</v>
      </c>
      <c r="U1850" s="3" t="n">
        <f aca="false">B1850-T1850</f>
        <v>28</v>
      </c>
      <c r="V1850" s="3" t="str">
        <f aca="false">INDEX(Pop_Inputs!$Q$2:$Q$29,MATCH(C1850,Pop_Inputs!$A$2:$A$29,0))</f>
        <v>Midwest</v>
      </c>
      <c r="W1850" s="29" t="n">
        <v>34655000</v>
      </c>
      <c r="X1850" s="3" t="n">
        <f aca="false">IF(W1850="","",LN(W1850))</f>
        <v>17.3609525733342</v>
      </c>
      <c r="Y1850" s="3" t="n">
        <f aca="false">IF(X1850="","",X1850-AVERAGEIFS($X$2:$X$2705,$B$2:$B$2705,B1850))</f>
        <v>-0.0828389004701187</v>
      </c>
      <c r="Z1850" s="21" t="n">
        <f aca="false">P1850</f>
        <v>-0.643714787263672</v>
      </c>
      <c r="AA1850" s="3" t="n">
        <f aca="false">R1850</f>
        <v>0</v>
      </c>
      <c r="AB1850" s="21" t="n">
        <f aca="false">P1850</f>
        <v>-0.643714787263672</v>
      </c>
      <c r="AC1850" s="3" t="n">
        <f aca="false">Y1850</f>
        <v>-0.0828389004701187</v>
      </c>
      <c r="AD1850" s="3" t="n">
        <f aca="false">R1850</f>
        <v>0</v>
      </c>
    </row>
    <row r="1851" customFormat="false" ht="15" hidden="false" customHeight="true" outlineLevel="0" collapsed="false">
      <c r="A1851" s="7" t="s">
        <v>62</v>
      </c>
      <c r="B1851" s="7" t="n">
        <v>1997</v>
      </c>
      <c r="C1851" s="7" t="s">
        <v>148</v>
      </c>
      <c r="D1851" s="7" t="n">
        <v>88</v>
      </c>
      <c r="E1851" s="7" t="n">
        <v>74</v>
      </c>
      <c r="F1851" s="3" t="n">
        <f aca="false">COUNTIFS($B$2:$B$2705,B1851,$C$2:$C$2705,C1851)</f>
        <v>2</v>
      </c>
      <c r="G1851" s="3" t="n">
        <f aca="false">MIN(INT((MIN(B1851,2020)-1900)/10)+1,12)</f>
        <v>10</v>
      </c>
      <c r="H1851" s="3" t="n">
        <f aca="false">(MIN(B1851,2020)-1900-10*(G1851-1))/10</f>
        <v>0.7</v>
      </c>
      <c r="I1851" s="20" t="n">
        <f aca="false">EXP(LN(INDEX(Pop_Inputs!$B$2:$N$29,MATCH(C1851,Pop_Inputs!$A$2:$A$29,0),G1851))*(1-H1851)+LN(INDEX(Pop_Inputs!$B$2:$N$29,MATCH(C1851,Pop_Inputs!$A$2:$A$29,0),G1851+1))*H1851)</f>
        <v>3630705.41842158</v>
      </c>
      <c r="J1851" s="20" t="n">
        <f aca="false">I1851/F1851</f>
        <v>1815352.70921079</v>
      </c>
      <c r="K1851" s="21" t="n">
        <f aca="false">D1851/(D1851+E1851)</f>
        <v>0.54320987654321</v>
      </c>
      <c r="L1851" s="21" t="n">
        <f aca="false">AVERAGEIFS($K$2:$K$2705,$B$2:$B$2705,B1851)</f>
        <v>0.499984937614337</v>
      </c>
      <c r="M1851" s="21" t="n">
        <f aca="false">K1851-L1851</f>
        <v>0.0432249389288726</v>
      </c>
      <c r="N1851" s="21" t="n">
        <f aca="false">LN(J1851)</f>
        <v>14.4117903369451</v>
      </c>
      <c r="O1851" s="21" t="n">
        <f aca="false">AVERAGEIFS($N$2:$N$2705,$B$2:$B$2705,B1851)</f>
        <v>13.6373705064074</v>
      </c>
      <c r="P1851" s="21" t="n">
        <f aca="false">N1851-O1851</f>
        <v>0.774419830537736</v>
      </c>
      <c r="Q1851" s="7" t="n">
        <v>0</v>
      </c>
      <c r="R1851" s="3" t="n">
        <f aca="false">IF(AND(Q1851=1,B1851-_xlfn.MINIFS($B$2:$B$2705,$A$2:$A$2705,A1851)&lt;10),1,0)</f>
        <v>0</v>
      </c>
      <c r="S1851" s="7" t="n">
        <v>0</v>
      </c>
      <c r="T1851" s="3" t="n">
        <f aca="false">_xlfn.MINIFS($B$2:$B$2705,$A$2:$A$2705,A1851)</f>
        <v>1901</v>
      </c>
      <c r="U1851" s="3" t="n">
        <f aca="false">B1851-T1851</f>
        <v>96</v>
      </c>
      <c r="V1851" s="3" t="str">
        <f aca="false">INDEX(Pop_Inputs!$Q$2:$Q$29,MATCH(C1851,Pop_Inputs!$A$2:$A$29,0))</f>
        <v>West</v>
      </c>
      <c r="W1851" s="29" t="n">
        <v>45380304</v>
      </c>
      <c r="X1851" s="3" t="n">
        <f aca="false">IF(W1851="","",LN(W1851))</f>
        <v>17.6305887362799</v>
      </c>
      <c r="Y1851" s="3" t="n">
        <f aca="false">IF(X1851="","",X1851-AVERAGEIFS($X$2:$X$2705,$B$2:$B$2705,B1851))</f>
        <v>0.186797262475526</v>
      </c>
      <c r="Z1851" s="21" t="n">
        <f aca="false">P1851</f>
        <v>0.774419830537736</v>
      </c>
      <c r="AA1851" s="3" t="n">
        <f aca="false">R1851</f>
        <v>0</v>
      </c>
      <c r="AB1851" s="21" t="n">
        <f aca="false">P1851</f>
        <v>0.774419830537736</v>
      </c>
      <c r="AC1851" s="3" t="n">
        <f aca="false">Y1851</f>
        <v>0.186797262475526</v>
      </c>
      <c r="AD1851" s="3" t="n">
        <f aca="false">R1851</f>
        <v>0</v>
      </c>
    </row>
    <row r="1852" customFormat="false" ht="15" hidden="false" customHeight="true" outlineLevel="0" collapsed="false">
      <c r="A1852" s="7" t="s">
        <v>77</v>
      </c>
      <c r="B1852" s="7" t="n">
        <v>1997</v>
      </c>
      <c r="C1852" s="7" t="s">
        <v>158</v>
      </c>
      <c r="D1852" s="7" t="n">
        <v>78</v>
      </c>
      <c r="E1852" s="7" t="n">
        <v>83</v>
      </c>
      <c r="F1852" s="3" t="n">
        <f aca="false">COUNTIFS($B$2:$B$2705,B1852,$C$2:$C$2705,C1852)</f>
        <v>1</v>
      </c>
      <c r="G1852" s="3" t="n">
        <f aca="false">MIN(INT((MIN(B1852,2020)-1900)/10)+1,12)</f>
        <v>10</v>
      </c>
      <c r="H1852" s="3" t="n">
        <f aca="false">(MIN(B1852,2020)-1900-10*(G1852-1))/10</f>
        <v>0.7</v>
      </c>
      <c r="I1852" s="20" t="n">
        <f aca="false">EXP(LN(INDEX(Pop_Inputs!$B$2:$N$29,MATCH(C1852,Pop_Inputs!$A$2:$A$29,0),G1852))*(1-H1852)+LN(INDEX(Pop_Inputs!$B$2:$N$29,MATCH(C1852,Pop_Inputs!$A$2:$A$29,0),G1852+1))*H1852)</f>
        <v>606142.785626335</v>
      </c>
      <c r="J1852" s="20" t="n">
        <f aca="false">I1852/F1852</f>
        <v>606142.785626335</v>
      </c>
      <c r="K1852" s="21" t="n">
        <f aca="false">D1852/(D1852+E1852)</f>
        <v>0.484472049689441</v>
      </c>
      <c r="L1852" s="21" t="n">
        <f aca="false">AVERAGEIFS($K$2:$K$2705,$B$2:$B$2705,B1852)</f>
        <v>0.499984937614337</v>
      </c>
      <c r="M1852" s="21" t="n">
        <f aca="false">K1852-L1852</f>
        <v>-0.0155128879248962</v>
      </c>
      <c r="N1852" s="21" t="n">
        <f aca="false">LN(J1852)</f>
        <v>13.3148708571429</v>
      </c>
      <c r="O1852" s="21" t="n">
        <f aca="false">AVERAGEIFS($N$2:$N$2705,$B$2:$B$2705,B1852)</f>
        <v>13.6373705064074</v>
      </c>
      <c r="P1852" s="21" t="n">
        <f aca="false">N1852-O1852</f>
        <v>-0.32249964926449</v>
      </c>
      <c r="Q1852" s="7" t="n">
        <v>1</v>
      </c>
      <c r="R1852" s="3" t="n">
        <f aca="false">IF(AND(Q1852=1,B1852-_xlfn.MINIFS($B$2:$B$2705,$A$2:$A$2705,A1852)&lt;10),1,0)</f>
        <v>0</v>
      </c>
      <c r="S1852" s="7" t="n">
        <v>0</v>
      </c>
      <c r="T1852" s="3" t="n">
        <f aca="false">_xlfn.MINIFS($B$2:$B$2705,$A$2:$A$2705,A1852)</f>
        <v>1969</v>
      </c>
      <c r="U1852" s="3" t="n">
        <f aca="false">B1852-T1852</f>
        <v>28</v>
      </c>
      <c r="V1852" s="3" t="str">
        <f aca="false">INDEX(Pop_Inputs!$Q$2:$Q$29,MATCH(C1852,Pop_Inputs!$A$2:$A$29,0))</f>
        <v>Midwest</v>
      </c>
      <c r="W1852" s="29" t="n">
        <v>23655338</v>
      </c>
      <c r="X1852" s="3" t="n">
        <f aca="false">IF(W1852="","",LN(W1852))</f>
        <v>16.9790993556792</v>
      </c>
      <c r="Y1852" s="3" t="n">
        <f aca="false">IF(X1852="","",X1852-AVERAGEIFS($X$2:$X$2705,$B$2:$B$2705,B1852))</f>
        <v>-0.464692118125157</v>
      </c>
      <c r="Z1852" s="21" t="n">
        <f aca="false">P1852</f>
        <v>-0.32249964926449</v>
      </c>
      <c r="AA1852" s="3" t="n">
        <f aca="false">R1852</f>
        <v>0</v>
      </c>
      <c r="AB1852" s="21" t="n">
        <f aca="false">P1852</f>
        <v>-0.32249964926449</v>
      </c>
      <c r="AC1852" s="3" t="n">
        <f aca="false">Y1852</f>
        <v>-0.464692118125157</v>
      </c>
      <c r="AD1852" s="3" t="n">
        <f aca="false">R1852</f>
        <v>0</v>
      </c>
    </row>
    <row r="1853" customFormat="false" ht="15" hidden="false" customHeight="true" outlineLevel="0" collapsed="false">
      <c r="A1853" s="7" t="s">
        <v>68</v>
      </c>
      <c r="B1853" s="7" t="n">
        <v>1997</v>
      </c>
      <c r="C1853" s="7" t="s">
        <v>153</v>
      </c>
      <c r="D1853" s="7" t="n">
        <v>68</v>
      </c>
      <c r="E1853" s="7" t="n">
        <v>94</v>
      </c>
      <c r="F1853" s="3" t="n">
        <f aca="false">COUNTIFS($B$2:$B$2705,B1853,$C$2:$C$2705,C1853)</f>
        <v>1</v>
      </c>
      <c r="G1853" s="3" t="n">
        <f aca="false">MIN(INT((MIN(B1853,2020)-1900)/10)+1,12)</f>
        <v>10</v>
      </c>
      <c r="H1853" s="3" t="n">
        <f aca="false">(MIN(B1853,2020)-1900-10*(G1853-1))/10</f>
        <v>0.7</v>
      </c>
      <c r="I1853" s="20" t="n">
        <f aca="false">EXP(LN(INDEX(Pop_Inputs!$B$2:$N$29,MATCH(C1853,Pop_Inputs!$A$2:$A$29,0),G1853))*(1-H1853)+LN(INDEX(Pop_Inputs!$B$2:$N$29,MATCH(C1853,Pop_Inputs!$A$2:$A$29,0),G1853+1))*H1853)</f>
        <v>378290.689169527</v>
      </c>
      <c r="J1853" s="20" t="n">
        <f aca="false">I1853/F1853</f>
        <v>378290.689169527</v>
      </c>
      <c r="K1853" s="21" t="n">
        <f aca="false">D1853/(D1853+E1853)</f>
        <v>0.419753086419753</v>
      </c>
      <c r="L1853" s="21" t="n">
        <f aca="false">AVERAGEIFS($K$2:$K$2705,$B$2:$B$2705,B1853)</f>
        <v>0.499984937614337</v>
      </c>
      <c r="M1853" s="21" t="n">
        <f aca="false">K1853-L1853</f>
        <v>-0.0802318511945842</v>
      </c>
      <c r="N1853" s="21" t="n">
        <f aca="false">LN(J1853)</f>
        <v>12.8434181980252</v>
      </c>
      <c r="O1853" s="21" t="n">
        <f aca="false">AVERAGEIFS($N$2:$N$2705,$B$2:$B$2705,B1853)</f>
        <v>13.6373705064074</v>
      </c>
      <c r="P1853" s="21" t="n">
        <f aca="false">N1853-O1853</f>
        <v>-0.793952308382231</v>
      </c>
      <c r="Q1853" s="7" t="n">
        <v>0</v>
      </c>
      <c r="R1853" s="3" t="n">
        <f aca="false">IF(AND(Q1853=1,B1853-_xlfn.MINIFS($B$2:$B$2705,$A$2:$A$2705,A1853)&lt;10),1,0)</f>
        <v>0</v>
      </c>
      <c r="S1853" s="7" t="n">
        <v>0</v>
      </c>
      <c r="T1853" s="3" t="n">
        <f aca="false">_xlfn.MINIFS($B$2:$B$2705,$A$2:$A$2705,A1853)</f>
        <v>1901</v>
      </c>
      <c r="U1853" s="3" t="n">
        <f aca="false">B1853-T1853</f>
        <v>96</v>
      </c>
      <c r="V1853" s="3" t="str">
        <f aca="false">INDEX(Pop_Inputs!$Q$2:$Q$29,MATCH(C1853,Pop_Inputs!$A$2:$A$29,0))</f>
        <v>Midwest</v>
      </c>
      <c r="W1853" s="29" t="n">
        <v>34072500</v>
      </c>
      <c r="X1853" s="3" t="n">
        <f aca="false">IF(W1853="","",LN(W1853))</f>
        <v>17.3440011652838</v>
      </c>
      <c r="Y1853" s="3" t="n">
        <f aca="false">IF(X1853="","",X1853-AVERAGEIFS($X$2:$X$2705,$B$2:$B$2705,B1853))</f>
        <v>-0.0997903085205358</v>
      </c>
      <c r="Z1853" s="21" t="n">
        <f aca="false">P1853</f>
        <v>-0.793952308382231</v>
      </c>
      <c r="AA1853" s="3" t="n">
        <f aca="false">R1853</f>
        <v>0</v>
      </c>
      <c r="AB1853" s="21" t="n">
        <f aca="false">P1853</f>
        <v>-0.793952308382231</v>
      </c>
      <c r="AC1853" s="3" t="n">
        <f aca="false">Y1853</f>
        <v>-0.0997903085205358</v>
      </c>
      <c r="AD1853" s="3" t="n">
        <f aca="false">R1853</f>
        <v>0</v>
      </c>
    </row>
    <row r="1854" customFormat="false" ht="15" hidden="false" customHeight="true" outlineLevel="0" collapsed="false">
      <c r="A1854" s="7" t="s">
        <v>75</v>
      </c>
      <c r="B1854" s="7" t="n">
        <v>1997</v>
      </c>
      <c r="C1854" s="7" t="s">
        <v>154</v>
      </c>
      <c r="D1854" s="7" t="n">
        <v>88</v>
      </c>
      <c r="E1854" s="7" t="n">
        <v>74</v>
      </c>
      <c r="F1854" s="3" t="n">
        <f aca="false">COUNTIFS($B$2:$B$2705,B1854,$C$2:$C$2705,C1854)</f>
        <v>2</v>
      </c>
      <c r="G1854" s="3" t="n">
        <f aca="false">MIN(INT((MIN(B1854,2020)-1900)/10)+1,12)</f>
        <v>10</v>
      </c>
      <c r="H1854" s="3" t="n">
        <f aca="false">(MIN(B1854,2020)-1900-10*(G1854-1))/10</f>
        <v>0.7</v>
      </c>
      <c r="I1854" s="20" t="n">
        <f aca="false">EXP(LN(INDEX(Pop_Inputs!$B$2:$N$29,MATCH(C1854,Pop_Inputs!$A$2:$A$29,0),G1854))*(1-H1854)+LN(INDEX(Pop_Inputs!$B$2:$N$29,MATCH(C1854,Pop_Inputs!$A$2:$A$29,0),G1854+1))*H1854)</f>
        <v>7796081.15679032</v>
      </c>
      <c r="J1854" s="20" t="n">
        <f aca="false">I1854/F1854</f>
        <v>3898040.57839516</v>
      </c>
      <c r="K1854" s="21" t="n">
        <f aca="false">D1854/(D1854+E1854)</f>
        <v>0.54320987654321</v>
      </c>
      <c r="L1854" s="21" t="n">
        <f aca="false">AVERAGEIFS($K$2:$K$2705,$B$2:$B$2705,B1854)</f>
        <v>0.499984937614337</v>
      </c>
      <c r="M1854" s="21" t="n">
        <f aca="false">K1854-L1854</f>
        <v>0.0432249389288726</v>
      </c>
      <c r="N1854" s="21" t="n">
        <f aca="false">LN(J1854)</f>
        <v>15.1759845690507</v>
      </c>
      <c r="O1854" s="21" t="n">
        <f aca="false">AVERAGEIFS($N$2:$N$2705,$B$2:$B$2705,B1854)</f>
        <v>13.6373705064074</v>
      </c>
      <c r="P1854" s="21" t="n">
        <f aca="false">N1854-O1854</f>
        <v>1.53861406264327</v>
      </c>
      <c r="Q1854" s="7" t="n">
        <v>1</v>
      </c>
      <c r="R1854" s="3" t="n">
        <f aca="false">IF(AND(Q1854=1,B1854-_xlfn.MINIFS($B$2:$B$2705,$A$2:$A$2705,A1854)&lt;10),1,0)</f>
        <v>0</v>
      </c>
      <c r="S1854" s="7" t="n">
        <v>0</v>
      </c>
      <c r="T1854" s="3" t="n">
        <f aca="false">_xlfn.MINIFS($B$2:$B$2705,$A$2:$A$2705,A1854)</f>
        <v>1962</v>
      </c>
      <c r="U1854" s="3" t="n">
        <f aca="false">B1854-T1854</f>
        <v>35</v>
      </c>
      <c r="V1854" s="3" t="str">
        <f aca="false">INDEX(Pop_Inputs!$Q$2:$Q$29,MATCH(C1854,Pop_Inputs!$A$2:$A$29,0))</f>
        <v>Northeast</v>
      </c>
      <c r="W1854" s="29" t="n">
        <v>39800400</v>
      </c>
      <c r="X1854" s="3" t="n">
        <f aca="false">IF(W1854="","",LN(W1854))</f>
        <v>17.4993875204554</v>
      </c>
      <c r="Y1854" s="3" t="n">
        <f aca="false">IF(X1854="","",X1854-AVERAGEIFS($X$2:$X$2705,$B$2:$B$2705,B1854))</f>
        <v>0.0555960466510754</v>
      </c>
      <c r="Z1854" s="21" t="n">
        <f aca="false">P1854</f>
        <v>1.53861406264327</v>
      </c>
      <c r="AA1854" s="3" t="n">
        <f aca="false">R1854</f>
        <v>0</v>
      </c>
      <c r="AB1854" s="21" t="n">
        <f aca="false">P1854</f>
        <v>1.53861406264327</v>
      </c>
      <c r="AC1854" s="3" t="n">
        <f aca="false">Y1854</f>
        <v>0.0555960466510754</v>
      </c>
      <c r="AD1854" s="3" t="n">
        <f aca="false">R1854</f>
        <v>0</v>
      </c>
    </row>
    <row r="1855" customFormat="false" ht="15" hidden="false" customHeight="true" outlineLevel="0" collapsed="false">
      <c r="A1855" s="7" t="s">
        <v>70</v>
      </c>
      <c r="B1855" s="7" t="n">
        <v>1997</v>
      </c>
      <c r="C1855" s="7" t="s">
        <v>154</v>
      </c>
      <c r="D1855" s="7" t="n">
        <v>96</v>
      </c>
      <c r="E1855" s="7" t="n">
        <v>66</v>
      </c>
      <c r="F1855" s="3" t="n">
        <f aca="false">COUNTIFS($B$2:$B$2705,B1855,$C$2:$C$2705,C1855)</f>
        <v>2</v>
      </c>
      <c r="G1855" s="3" t="n">
        <f aca="false">MIN(INT((MIN(B1855,2020)-1900)/10)+1,12)</f>
        <v>10</v>
      </c>
      <c r="H1855" s="3" t="n">
        <f aca="false">(MIN(B1855,2020)-1900-10*(G1855-1))/10</f>
        <v>0.7</v>
      </c>
      <c r="I1855" s="20" t="n">
        <f aca="false">EXP(LN(INDEX(Pop_Inputs!$B$2:$N$29,MATCH(C1855,Pop_Inputs!$A$2:$A$29,0),G1855))*(1-H1855)+LN(INDEX(Pop_Inputs!$B$2:$N$29,MATCH(C1855,Pop_Inputs!$A$2:$A$29,0),G1855+1))*H1855)</f>
        <v>7796081.15679032</v>
      </c>
      <c r="J1855" s="20" t="n">
        <f aca="false">I1855/F1855</f>
        <v>3898040.57839516</v>
      </c>
      <c r="K1855" s="21" t="n">
        <f aca="false">D1855/(D1855+E1855)</f>
        <v>0.592592592592593</v>
      </c>
      <c r="L1855" s="21" t="n">
        <f aca="false">AVERAGEIFS($K$2:$K$2705,$B$2:$B$2705,B1855)</f>
        <v>0.499984937614337</v>
      </c>
      <c r="M1855" s="21" t="n">
        <f aca="false">K1855-L1855</f>
        <v>0.0926076549782554</v>
      </c>
      <c r="N1855" s="21" t="n">
        <f aca="false">LN(J1855)</f>
        <v>15.1759845690507</v>
      </c>
      <c r="O1855" s="21" t="n">
        <f aca="false">AVERAGEIFS($N$2:$N$2705,$B$2:$B$2705,B1855)</f>
        <v>13.6373705064074</v>
      </c>
      <c r="P1855" s="21" t="n">
        <f aca="false">N1855-O1855</f>
        <v>1.53861406264327</v>
      </c>
      <c r="Q1855" s="7" t="n">
        <v>0</v>
      </c>
      <c r="R1855" s="3" t="n">
        <f aca="false">IF(AND(Q1855=1,B1855-_xlfn.MINIFS($B$2:$B$2705,$A$2:$A$2705,A1855)&lt;10),1,0)</f>
        <v>0</v>
      </c>
      <c r="S1855" s="7" t="n">
        <v>1</v>
      </c>
      <c r="T1855" s="3" t="n">
        <f aca="false">_xlfn.MINIFS($B$2:$B$2705,$A$2:$A$2705,A1855)</f>
        <v>1903</v>
      </c>
      <c r="U1855" s="3" t="n">
        <f aca="false">B1855-T1855</f>
        <v>94</v>
      </c>
      <c r="V1855" s="3" t="str">
        <f aca="false">INDEX(Pop_Inputs!$Q$2:$Q$29,MATCH(C1855,Pop_Inputs!$A$2:$A$29,0))</f>
        <v>Northeast</v>
      </c>
      <c r="W1855" s="29" t="n">
        <v>62241545</v>
      </c>
      <c r="X1855" s="3" t="n">
        <f aca="false">IF(W1855="","",LN(W1855))</f>
        <v>17.9465332607911</v>
      </c>
      <c r="Y1855" s="3" t="n">
        <f aca="false">IF(X1855="","",X1855-AVERAGEIFS($X$2:$X$2705,$B$2:$B$2705,B1855))</f>
        <v>0.502741786986757</v>
      </c>
      <c r="Z1855" s="21" t="n">
        <f aca="false">P1855</f>
        <v>1.53861406264327</v>
      </c>
      <c r="AA1855" s="3" t="n">
        <f aca="false">R1855</f>
        <v>0</v>
      </c>
      <c r="AB1855" s="21" t="n">
        <f aca="false">P1855</f>
        <v>1.53861406264327</v>
      </c>
      <c r="AC1855" s="3" t="n">
        <f aca="false">Y1855</f>
        <v>0.502741786986757</v>
      </c>
      <c r="AD1855" s="3" t="n">
        <f aca="false">R1855</f>
        <v>0</v>
      </c>
    </row>
    <row r="1856" customFormat="false" ht="15" hidden="false" customHeight="true" outlineLevel="0" collapsed="false">
      <c r="A1856" s="7" t="s">
        <v>69</v>
      </c>
      <c r="B1856" s="7" t="n">
        <v>1997</v>
      </c>
      <c r="C1856" s="7" t="s">
        <v>253</v>
      </c>
      <c r="D1856" s="7" t="n">
        <v>65</v>
      </c>
      <c r="E1856" s="7" t="n">
        <v>97</v>
      </c>
      <c r="F1856" s="3" t="n">
        <f aca="false">COUNTIFS($B$2:$B$2705,B1856,$C$2:$C$2705,C1856)</f>
        <v>1</v>
      </c>
      <c r="G1856" s="3" t="n">
        <f aca="false">MIN(INT((MIN(B1856,2020)-1900)/10)+1,12)</f>
        <v>10</v>
      </c>
      <c r="H1856" s="3" t="n">
        <f aca="false">(MIN(B1856,2020)-1900-10*(G1856-1))/10</f>
        <v>0.7</v>
      </c>
      <c r="I1856" s="20" t="n">
        <f aca="false">EXP(LN(INDEX(Pop_Inputs!$B$2:$N$29,MATCH(C1856,Pop_Inputs!$A$2:$A$29,0),G1856))*(1-H1856)+LN(INDEX(Pop_Inputs!$B$2:$N$29,MATCH(C1856,Pop_Inputs!$A$2:$A$29,0),G1856+1))*H1856)</f>
        <v>391108.43705572</v>
      </c>
      <c r="J1856" s="20" t="n">
        <f aca="false">I1856/F1856</f>
        <v>391108.43705572</v>
      </c>
      <c r="K1856" s="21" t="n">
        <f aca="false">D1856/(D1856+E1856)</f>
        <v>0.401234567901235</v>
      </c>
      <c r="L1856" s="21" t="n">
        <f aca="false">AVERAGEIFS($K$2:$K$2705,$B$2:$B$2705,B1856)</f>
        <v>0.499984937614337</v>
      </c>
      <c r="M1856" s="21" t="n">
        <f aca="false">K1856-L1856</f>
        <v>-0.0987503697131026</v>
      </c>
      <c r="N1856" s="21" t="n">
        <f aca="false">LN(J1856)</f>
        <v>12.8767401331412</v>
      </c>
      <c r="O1856" s="21" t="n">
        <f aca="false">AVERAGEIFS($N$2:$N$2705,$B$2:$B$2705,B1856)</f>
        <v>13.6373705064074</v>
      </c>
      <c r="P1856" s="21" t="n">
        <f aca="false">N1856-O1856</f>
        <v>-0.760630373266137</v>
      </c>
      <c r="Q1856" s="7" t="n">
        <v>0</v>
      </c>
      <c r="R1856" s="3" t="n">
        <f aca="false">IF(AND(Q1856=1,B1856-_xlfn.MINIFS($B$2:$B$2705,$A$2:$A$2705,A1856)&lt;10),1,0)</f>
        <v>0</v>
      </c>
      <c r="S1856" s="7" t="n">
        <v>0</v>
      </c>
      <c r="T1856" s="3" t="n">
        <f aca="false">_xlfn.MINIFS($B$2:$B$2705,$A$2:$A$2705,A1856)</f>
        <v>1901</v>
      </c>
      <c r="U1856" s="3" t="n">
        <f aca="false">B1856-T1856</f>
        <v>96</v>
      </c>
      <c r="V1856" s="3" t="str">
        <f aca="false">INDEX(Pop_Inputs!$Q$2:$Q$29,MATCH(C1856,Pop_Inputs!$A$2:$A$29,0))</f>
        <v>West</v>
      </c>
      <c r="W1856" s="29" t="n">
        <v>24018500</v>
      </c>
      <c r="X1856" s="3" t="n">
        <f aca="false">IF(W1856="","",LN(W1856))</f>
        <v>16.9943349247061</v>
      </c>
      <c r="Y1856" s="3" t="n">
        <f aca="false">IF(X1856="","",X1856-AVERAGEIFS($X$2:$X$2705,$B$2:$B$2705,B1856))</f>
        <v>-0.449456549098219</v>
      </c>
      <c r="Z1856" s="21" t="n">
        <f aca="false">P1856</f>
        <v>-0.760630373266137</v>
      </c>
      <c r="AA1856" s="3" t="n">
        <f aca="false">R1856</f>
        <v>0</v>
      </c>
      <c r="AB1856" s="21" t="n">
        <f aca="false">P1856</f>
        <v>-0.760630373266137</v>
      </c>
      <c r="AC1856" s="3" t="n">
        <f aca="false">Y1856</f>
        <v>-0.449456549098219</v>
      </c>
      <c r="AD1856" s="3" t="n">
        <f aca="false">R1856</f>
        <v>0</v>
      </c>
    </row>
    <row r="1857" customFormat="false" ht="15" hidden="false" customHeight="true" outlineLevel="0" collapsed="false">
      <c r="A1857" s="7" t="s">
        <v>60</v>
      </c>
      <c r="B1857" s="7" t="n">
        <v>1997</v>
      </c>
      <c r="C1857" s="7" t="s">
        <v>146</v>
      </c>
      <c r="D1857" s="7" t="n">
        <v>68</v>
      </c>
      <c r="E1857" s="7" t="n">
        <v>94</v>
      </c>
      <c r="F1857" s="3" t="n">
        <f aca="false">COUNTIFS($B$2:$B$2705,B1857,$C$2:$C$2705,C1857)</f>
        <v>1</v>
      </c>
      <c r="G1857" s="3" t="n">
        <f aca="false">MIN(INT((MIN(B1857,2020)-1900)/10)+1,12)</f>
        <v>10</v>
      </c>
      <c r="H1857" s="3" t="n">
        <f aca="false">(MIN(B1857,2020)-1900-10*(G1857-1))/10</f>
        <v>0.7</v>
      </c>
      <c r="I1857" s="20" t="n">
        <f aca="false">EXP(LN(INDEX(Pop_Inputs!$B$2:$N$29,MATCH(C1857,Pop_Inputs!$A$2:$A$29,0),G1857))*(1-H1857)+LN(INDEX(Pop_Inputs!$B$2:$N$29,MATCH(C1857,Pop_Inputs!$A$2:$A$29,0),G1857+1))*H1857)</f>
        <v>1537645.80437802</v>
      </c>
      <c r="J1857" s="20" t="n">
        <f aca="false">I1857/F1857</f>
        <v>1537645.80437802</v>
      </c>
      <c r="K1857" s="21" t="n">
        <f aca="false">D1857/(D1857+E1857)</f>
        <v>0.419753086419753</v>
      </c>
      <c r="L1857" s="21" t="n">
        <f aca="false">AVERAGEIFS($K$2:$K$2705,$B$2:$B$2705,B1857)</f>
        <v>0.499984937614337</v>
      </c>
      <c r="M1857" s="21" t="n">
        <f aca="false">K1857-L1857</f>
        <v>-0.0802318511945842</v>
      </c>
      <c r="N1857" s="21" t="n">
        <f aca="false">LN(J1857)</f>
        <v>14.2457631062823</v>
      </c>
      <c r="O1857" s="21" t="n">
        <f aca="false">AVERAGEIFS($N$2:$N$2705,$B$2:$B$2705,B1857)</f>
        <v>13.6373705064074</v>
      </c>
      <c r="P1857" s="21" t="n">
        <f aca="false">N1857-O1857</f>
        <v>0.608392599874932</v>
      </c>
      <c r="Q1857" s="7" t="n">
        <v>0</v>
      </c>
      <c r="R1857" s="3" t="n">
        <f aca="false">IF(AND(Q1857=1,B1857-_xlfn.MINIFS($B$2:$B$2705,$A$2:$A$2705,A1857)&lt;10),1,0)</f>
        <v>0</v>
      </c>
      <c r="S1857" s="7" t="n">
        <v>0</v>
      </c>
      <c r="T1857" s="3" t="n">
        <f aca="false">_xlfn.MINIFS($B$2:$B$2705,$A$2:$A$2705,A1857)</f>
        <v>1901</v>
      </c>
      <c r="U1857" s="3" t="n">
        <f aca="false">B1857-T1857</f>
        <v>96</v>
      </c>
      <c r="V1857" s="3" t="str">
        <f aca="false">INDEX(Pop_Inputs!$Q$2:$Q$29,MATCH(C1857,Pop_Inputs!$A$2:$A$29,0))</f>
        <v>Northeast</v>
      </c>
      <c r="W1857" s="29" t="n">
        <v>36656500</v>
      </c>
      <c r="X1857" s="3" t="n">
        <f aca="false">IF(W1857="","",LN(W1857))</f>
        <v>17.4171013239141</v>
      </c>
      <c r="Y1857" s="3" t="n">
        <f aca="false">IF(X1857="","",X1857-AVERAGEIFS($X$2:$X$2705,$B$2:$B$2705,B1857))</f>
        <v>-0.026690149890225</v>
      </c>
      <c r="Z1857" s="21" t="n">
        <f aca="false">P1857</f>
        <v>0.608392599874932</v>
      </c>
      <c r="AA1857" s="3" t="n">
        <f aca="false">R1857</f>
        <v>0</v>
      </c>
      <c r="AB1857" s="21" t="n">
        <f aca="false">P1857</f>
        <v>0.608392599874932</v>
      </c>
      <c r="AC1857" s="3" t="n">
        <f aca="false">Y1857</f>
        <v>-0.026690149890225</v>
      </c>
      <c r="AD1857" s="3" t="n">
        <f aca="false">R1857</f>
        <v>0</v>
      </c>
    </row>
    <row r="1858" customFormat="false" ht="15" hidden="false" customHeight="true" outlineLevel="0" collapsed="false">
      <c r="A1858" s="7" t="s">
        <v>58</v>
      </c>
      <c r="B1858" s="7" t="n">
        <v>1997</v>
      </c>
      <c r="C1858" s="7" t="s">
        <v>144</v>
      </c>
      <c r="D1858" s="7" t="n">
        <v>79</v>
      </c>
      <c r="E1858" s="7" t="n">
        <v>83</v>
      </c>
      <c r="F1858" s="3" t="n">
        <f aca="false">COUNTIFS($B$2:$B$2705,B1858,$C$2:$C$2705,C1858)</f>
        <v>1</v>
      </c>
      <c r="G1858" s="3" t="n">
        <f aca="false">MIN(INT((MIN(B1858,2020)-1900)/10)+1,12)</f>
        <v>10</v>
      </c>
      <c r="H1858" s="3" t="n">
        <f aca="false">(MIN(B1858,2020)-1900-10*(G1858-1))/10</f>
        <v>0.7</v>
      </c>
      <c r="I1858" s="20" t="n">
        <f aca="false">EXP(LN(INDEX(Pop_Inputs!$B$2:$N$29,MATCH(C1858,Pop_Inputs!$A$2:$A$29,0),G1858))*(1-H1858)+LN(INDEX(Pop_Inputs!$B$2:$N$29,MATCH(C1858,Pop_Inputs!$A$2:$A$29,0),G1858+1))*H1858)</f>
        <v>344788.235830686</v>
      </c>
      <c r="J1858" s="20" t="n">
        <f aca="false">I1858/F1858</f>
        <v>344788.235830686</v>
      </c>
      <c r="K1858" s="21" t="n">
        <f aca="false">D1858/(D1858+E1858)</f>
        <v>0.487654320987654</v>
      </c>
      <c r="L1858" s="21" t="n">
        <f aca="false">AVERAGEIFS($K$2:$K$2705,$B$2:$B$2705,B1858)</f>
        <v>0.499984937614337</v>
      </c>
      <c r="M1858" s="21" t="n">
        <f aca="false">K1858-L1858</f>
        <v>-0.0123306166266829</v>
      </c>
      <c r="N1858" s="21" t="n">
        <f aca="false">LN(J1858)</f>
        <v>12.7506856983691</v>
      </c>
      <c r="O1858" s="21" t="n">
        <f aca="false">AVERAGEIFS($N$2:$N$2705,$B$2:$B$2705,B1858)</f>
        <v>13.6373705064074</v>
      </c>
      <c r="P1858" s="21" t="n">
        <f aca="false">N1858-O1858</f>
        <v>-0.886684808038284</v>
      </c>
      <c r="Q1858" s="7" t="n">
        <v>0</v>
      </c>
      <c r="R1858" s="3" t="n">
        <f aca="false">IF(AND(Q1858=1,B1858-_xlfn.MINIFS($B$2:$B$2705,$A$2:$A$2705,A1858)&lt;10),1,0)</f>
        <v>0</v>
      </c>
      <c r="S1858" s="7" t="n">
        <v>0</v>
      </c>
      <c r="T1858" s="3" t="n">
        <f aca="false">_xlfn.MINIFS($B$2:$B$2705,$A$2:$A$2705,A1858)</f>
        <v>1901</v>
      </c>
      <c r="U1858" s="3" t="n">
        <f aca="false">B1858-T1858</f>
        <v>96</v>
      </c>
      <c r="V1858" s="3" t="str">
        <f aca="false">INDEX(Pop_Inputs!$Q$2:$Q$29,MATCH(C1858,Pop_Inputs!$A$2:$A$29,0))</f>
        <v>Northeast</v>
      </c>
      <c r="W1858" s="29" t="n">
        <v>10771667</v>
      </c>
      <c r="X1858" s="3" t="n">
        <f aca="false">IF(W1858="","",LN(W1858))</f>
        <v>16.1924298189564</v>
      </c>
      <c r="Y1858" s="3" t="n">
        <f aca="false">IF(X1858="","",X1858-AVERAGEIFS($X$2:$X$2705,$B$2:$B$2705,B1858))</f>
        <v>-1.25136165484794</v>
      </c>
      <c r="Z1858" s="21" t="n">
        <f aca="false">P1858</f>
        <v>-0.886684808038284</v>
      </c>
      <c r="AA1858" s="3" t="n">
        <f aca="false">R1858</f>
        <v>0</v>
      </c>
      <c r="AB1858" s="21" t="n">
        <f aca="false">P1858</f>
        <v>-0.886684808038284</v>
      </c>
      <c r="AC1858" s="3" t="n">
        <f aca="false">Y1858</f>
        <v>-1.25136165484794</v>
      </c>
      <c r="AD1858" s="3" t="n">
        <f aca="false">R1858</f>
        <v>0</v>
      </c>
    </row>
    <row r="1859" customFormat="false" ht="15" hidden="false" customHeight="true" outlineLevel="0" collapsed="false">
      <c r="A1859" s="7" t="s">
        <v>78</v>
      </c>
      <c r="B1859" s="7" t="n">
        <v>1997</v>
      </c>
      <c r="C1859" s="7" t="s">
        <v>159</v>
      </c>
      <c r="D1859" s="7" t="n">
        <v>76</v>
      </c>
      <c r="E1859" s="7" t="n">
        <v>86</v>
      </c>
      <c r="F1859" s="3" t="n">
        <f aca="false">COUNTIFS($B$2:$B$2705,B1859,$C$2:$C$2705,C1859)</f>
        <v>1</v>
      </c>
      <c r="G1859" s="3" t="n">
        <f aca="false">MIN(INT((MIN(B1859,2020)-1900)/10)+1,12)</f>
        <v>10</v>
      </c>
      <c r="H1859" s="3" t="n">
        <f aca="false">(MIN(B1859,2020)-1900-10*(G1859-1))/10</f>
        <v>0.7</v>
      </c>
      <c r="I1859" s="20" t="n">
        <f aca="false">EXP(LN(INDEX(Pop_Inputs!$B$2:$N$29,MATCH(C1859,Pop_Inputs!$A$2:$A$29,0),G1859))*(1-H1859)+LN(INDEX(Pop_Inputs!$B$2:$N$29,MATCH(C1859,Pop_Inputs!$A$2:$A$29,0),G1859+1))*H1859)</f>
        <v>1188390.71764147</v>
      </c>
      <c r="J1859" s="20" t="n">
        <f aca="false">I1859/F1859</f>
        <v>1188390.71764147</v>
      </c>
      <c r="K1859" s="21" t="n">
        <f aca="false">D1859/(D1859+E1859)</f>
        <v>0.469135802469136</v>
      </c>
      <c r="L1859" s="21" t="n">
        <f aca="false">AVERAGEIFS($K$2:$K$2705,$B$2:$B$2705,B1859)</f>
        <v>0.499984937614337</v>
      </c>
      <c r="M1859" s="21" t="n">
        <f aca="false">K1859-L1859</f>
        <v>-0.0308491351452014</v>
      </c>
      <c r="N1859" s="21" t="n">
        <f aca="false">LN(J1859)</f>
        <v>13.9881106117369</v>
      </c>
      <c r="O1859" s="21" t="n">
        <f aca="false">AVERAGEIFS($N$2:$N$2705,$B$2:$B$2705,B1859)</f>
        <v>13.6373705064074</v>
      </c>
      <c r="P1859" s="21" t="n">
        <f aca="false">N1859-O1859</f>
        <v>0.350740105329495</v>
      </c>
      <c r="Q1859" s="7" t="n">
        <v>1</v>
      </c>
      <c r="R1859" s="3" t="n">
        <f aca="false">IF(AND(Q1859=1,B1859-_xlfn.MINIFS($B$2:$B$2705,$A$2:$A$2705,A1859)&lt;10),1,0)</f>
        <v>0</v>
      </c>
      <c r="S1859" s="7" t="n">
        <v>0</v>
      </c>
      <c r="T1859" s="3" t="n">
        <f aca="false">_xlfn.MINIFS($B$2:$B$2705,$A$2:$A$2705,A1859)</f>
        <v>1969</v>
      </c>
      <c r="U1859" s="3" t="n">
        <f aca="false">B1859-T1859</f>
        <v>28</v>
      </c>
      <c r="V1859" s="3" t="str">
        <f aca="false">INDEX(Pop_Inputs!$Q$2:$Q$29,MATCH(C1859,Pop_Inputs!$A$2:$A$29,0))</f>
        <v>West</v>
      </c>
      <c r="W1859" s="29" t="n">
        <v>37363672</v>
      </c>
      <c r="X1859" s="3" t="n">
        <f aca="false">IF(W1859="","",LN(W1859))</f>
        <v>17.436209453433</v>
      </c>
      <c r="Y1859" s="3" t="n">
        <f aca="false">IF(X1859="","",X1859-AVERAGEIFS($X$2:$X$2705,$B$2:$B$2705,B1859))</f>
        <v>-0.00758202037136968</v>
      </c>
      <c r="Z1859" s="21" t="n">
        <f aca="false">P1859</f>
        <v>0.350740105329495</v>
      </c>
      <c r="AA1859" s="3" t="n">
        <f aca="false">R1859</f>
        <v>0</v>
      </c>
      <c r="AB1859" s="21" t="n">
        <f aca="false">P1859</f>
        <v>0.350740105329495</v>
      </c>
      <c r="AC1859" s="3" t="n">
        <f aca="false">Y1859</f>
        <v>-0.00758202037136968</v>
      </c>
      <c r="AD1859" s="3" t="n">
        <f aca="false">R1859</f>
        <v>0</v>
      </c>
    </row>
    <row r="1860" customFormat="false" ht="15" hidden="false" customHeight="true" outlineLevel="0" collapsed="false">
      <c r="A1860" s="7" t="s">
        <v>80</v>
      </c>
      <c r="B1860" s="7" t="n">
        <v>1997</v>
      </c>
      <c r="C1860" s="7" t="s">
        <v>161</v>
      </c>
      <c r="D1860" s="7" t="n">
        <v>90</v>
      </c>
      <c r="E1860" s="7" t="n">
        <v>72</v>
      </c>
      <c r="F1860" s="3" t="n">
        <f aca="false">COUNTIFS($B$2:$B$2705,B1860,$C$2:$C$2705,C1860)</f>
        <v>1</v>
      </c>
      <c r="G1860" s="3" t="n">
        <f aca="false">MIN(INT((MIN(B1860,2020)-1900)/10)+1,12)</f>
        <v>10</v>
      </c>
      <c r="H1860" s="3" t="n">
        <f aca="false">(MIN(B1860,2020)-1900-10*(G1860-1))/10</f>
        <v>0.7</v>
      </c>
      <c r="I1860" s="20" t="n">
        <f aca="false">EXP(LN(INDEX(Pop_Inputs!$B$2:$N$29,MATCH(C1860,Pop_Inputs!$A$2:$A$29,0),G1860))*(1-H1860)+LN(INDEX(Pop_Inputs!$B$2:$N$29,MATCH(C1860,Pop_Inputs!$A$2:$A$29,0),G1860+1))*H1860)</f>
        <v>548804.989187812</v>
      </c>
      <c r="J1860" s="20" t="n">
        <f aca="false">I1860/F1860</f>
        <v>548804.989187812</v>
      </c>
      <c r="K1860" s="21" t="n">
        <f aca="false">D1860/(D1860+E1860)</f>
        <v>0.555555555555556</v>
      </c>
      <c r="L1860" s="21" t="n">
        <f aca="false">AVERAGEIFS($K$2:$K$2705,$B$2:$B$2705,B1860)</f>
        <v>0.499984937614337</v>
      </c>
      <c r="M1860" s="21" t="n">
        <f aca="false">K1860-L1860</f>
        <v>0.0555706179412184</v>
      </c>
      <c r="N1860" s="21" t="n">
        <f aca="false">LN(J1860)</f>
        <v>13.2154984464382</v>
      </c>
      <c r="O1860" s="21" t="n">
        <f aca="false">AVERAGEIFS($N$2:$N$2705,$B$2:$B$2705,B1860)</f>
        <v>13.6373705064074</v>
      </c>
      <c r="P1860" s="21" t="n">
        <f aca="false">N1860-O1860</f>
        <v>-0.42187205996923</v>
      </c>
      <c r="Q1860" s="7" t="n">
        <v>1</v>
      </c>
      <c r="R1860" s="3" t="n">
        <f aca="false">IF(AND(Q1860=1,B1860-_xlfn.MINIFS($B$2:$B$2705,$A$2:$A$2705,A1860)&lt;10),1,0)</f>
        <v>0</v>
      </c>
      <c r="S1860" s="7" t="n">
        <v>0</v>
      </c>
      <c r="T1860" s="3" t="n">
        <f aca="false">_xlfn.MINIFS($B$2:$B$2705,$A$2:$A$2705,A1860)</f>
        <v>1977</v>
      </c>
      <c r="U1860" s="3" t="n">
        <f aca="false">B1860-T1860</f>
        <v>20</v>
      </c>
      <c r="V1860" s="3" t="str">
        <f aca="false">INDEX(Pop_Inputs!$Q$2:$Q$29,MATCH(C1860,Pop_Inputs!$A$2:$A$29,0))</f>
        <v>West</v>
      </c>
      <c r="W1860" s="29" t="n">
        <v>41540661</v>
      </c>
      <c r="X1860" s="3" t="n">
        <f aca="false">IF(W1860="","",LN(W1860))</f>
        <v>17.5421832886593</v>
      </c>
      <c r="Y1860" s="3" t="n">
        <f aca="false">IF(X1860="","",X1860-AVERAGEIFS($X$2:$X$2705,$B$2:$B$2705,B1860))</f>
        <v>0.0983918148549137</v>
      </c>
      <c r="Z1860" s="21" t="n">
        <f aca="false">P1860</f>
        <v>-0.42187205996923</v>
      </c>
      <c r="AA1860" s="3" t="n">
        <f aca="false">R1860</f>
        <v>0</v>
      </c>
      <c r="AB1860" s="21" t="n">
        <f aca="false">P1860</f>
        <v>-0.42187205996923</v>
      </c>
      <c r="AC1860" s="3" t="n">
        <f aca="false">Y1860</f>
        <v>0.0983918148549137</v>
      </c>
      <c r="AD1860" s="3" t="n">
        <f aca="false">R1860</f>
        <v>0</v>
      </c>
    </row>
    <row r="1861" customFormat="false" ht="15" hidden="false" customHeight="true" outlineLevel="0" collapsed="false">
      <c r="A1861" s="7" t="s">
        <v>61</v>
      </c>
      <c r="B1861" s="7" t="n">
        <v>1997</v>
      </c>
      <c r="C1861" s="7" t="s">
        <v>147</v>
      </c>
      <c r="D1861" s="7" t="n">
        <v>90</v>
      </c>
      <c r="E1861" s="7" t="n">
        <v>72</v>
      </c>
      <c r="F1861" s="3" t="n">
        <f aca="false">COUNTIFS($B$2:$B$2705,B1861,$C$2:$C$2705,C1861)</f>
        <v>1</v>
      </c>
      <c r="G1861" s="3" t="n">
        <f aca="false">MIN(INT((MIN(B1861,2020)-1900)/10)+1,12)</f>
        <v>10</v>
      </c>
      <c r="H1861" s="3" t="n">
        <f aca="false">(MIN(B1861,2020)-1900-10*(G1861-1))/10</f>
        <v>0.7</v>
      </c>
      <c r="I1861" s="20" t="n">
        <f aca="false">EXP(LN(INDEX(Pop_Inputs!$B$2:$N$29,MATCH(C1861,Pop_Inputs!$A$2:$A$29,0),G1861))*(1-H1861)+LN(INDEX(Pop_Inputs!$B$2:$N$29,MATCH(C1861,Pop_Inputs!$A$2:$A$29,0),G1861+1))*H1861)</f>
        <v>760509.110817181</v>
      </c>
      <c r="J1861" s="20" t="n">
        <f aca="false">I1861/F1861</f>
        <v>760509.110817181</v>
      </c>
      <c r="K1861" s="21" t="n">
        <f aca="false">D1861/(D1861+E1861)</f>
        <v>0.555555555555556</v>
      </c>
      <c r="L1861" s="21" t="n">
        <f aca="false">AVERAGEIFS($K$2:$K$2705,$B$2:$B$2705,B1861)</f>
        <v>0.499984937614337</v>
      </c>
      <c r="M1861" s="21" t="n">
        <f aca="false">K1861-L1861</f>
        <v>0.0555706179412184</v>
      </c>
      <c r="N1861" s="21" t="n">
        <f aca="false">LN(J1861)</f>
        <v>13.5417433706455</v>
      </c>
      <c r="O1861" s="21" t="n">
        <f aca="false">AVERAGEIFS($N$2:$N$2705,$B$2:$B$2705,B1861)</f>
        <v>13.6373705064074</v>
      </c>
      <c r="P1861" s="21" t="n">
        <f aca="false">N1861-O1861</f>
        <v>-0.0956271357619176</v>
      </c>
      <c r="Q1861" s="7" t="n">
        <v>0</v>
      </c>
      <c r="R1861" s="3" t="n">
        <f aca="false">IF(AND(Q1861=1,B1861-_xlfn.MINIFS($B$2:$B$2705,$A$2:$A$2705,A1861)&lt;10),1,0)</f>
        <v>0</v>
      </c>
      <c r="S1861" s="7" t="n">
        <v>0</v>
      </c>
      <c r="T1861" s="3" t="n">
        <f aca="false">_xlfn.MINIFS($B$2:$B$2705,$A$2:$A$2705,A1861)</f>
        <v>1901</v>
      </c>
      <c r="U1861" s="3" t="n">
        <f aca="false">B1861-T1861</f>
        <v>96</v>
      </c>
      <c r="V1861" s="3" t="str">
        <f aca="false">INDEX(Pop_Inputs!$Q$2:$Q$29,MATCH(C1861,Pop_Inputs!$A$2:$A$29,0))</f>
        <v>West</v>
      </c>
      <c r="W1861" s="29" t="n">
        <v>35592378</v>
      </c>
      <c r="X1861" s="3" t="n">
        <f aca="false">IF(W1861="","",LN(W1861))</f>
        <v>17.3876420717757</v>
      </c>
      <c r="Y1861" s="3" t="n">
        <f aca="false">IF(X1861="","",X1861-AVERAGEIFS($X$2:$X$2705,$B$2:$B$2705,B1861))</f>
        <v>-0.0561494020285949</v>
      </c>
      <c r="Z1861" s="21" t="n">
        <f aca="false">P1861</f>
        <v>-0.0956271357619176</v>
      </c>
      <c r="AA1861" s="3" t="n">
        <f aca="false">R1861</f>
        <v>0</v>
      </c>
      <c r="AB1861" s="21" t="n">
        <f aca="false">P1861</f>
        <v>-0.0956271357619176</v>
      </c>
      <c r="AC1861" s="3" t="n">
        <f aca="false">Y1861</f>
        <v>-0.0561494020285949</v>
      </c>
      <c r="AD1861" s="3" t="n">
        <f aca="false">R1861</f>
        <v>0</v>
      </c>
    </row>
    <row r="1862" customFormat="false" ht="15" hidden="false" customHeight="true" outlineLevel="0" collapsed="false">
      <c r="A1862" s="7" t="s">
        <v>59</v>
      </c>
      <c r="B1862" s="7" t="n">
        <v>1997</v>
      </c>
      <c r="C1862" s="7" t="s">
        <v>145</v>
      </c>
      <c r="D1862" s="7" t="n">
        <v>73</v>
      </c>
      <c r="E1862" s="7" t="n">
        <v>89</v>
      </c>
      <c r="F1862" s="3" t="n">
        <f aca="false">COUNTIFS($B$2:$B$2705,B1862,$C$2:$C$2705,C1862)</f>
        <v>1</v>
      </c>
      <c r="G1862" s="3" t="n">
        <f aca="false">MIN(INT((MIN(B1862,2020)-1900)/10)+1,12)</f>
        <v>10</v>
      </c>
      <c r="H1862" s="3" t="n">
        <f aca="false">(MIN(B1862,2020)-1900-10*(G1862-1))/10</f>
        <v>0.7</v>
      </c>
      <c r="I1862" s="20" t="n">
        <f aca="false">EXP(LN(INDEX(Pop_Inputs!$B$2:$N$29,MATCH(C1862,Pop_Inputs!$A$2:$A$29,0),G1862))*(1-H1862)+LN(INDEX(Pop_Inputs!$B$2:$N$29,MATCH(C1862,Pop_Inputs!$A$2:$A$29,0),G1862+1))*H1862)</f>
        <v>362079.774651845</v>
      </c>
      <c r="J1862" s="20" t="n">
        <f aca="false">I1862/F1862</f>
        <v>362079.774651845</v>
      </c>
      <c r="K1862" s="21" t="n">
        <f aca="false">D1862/(D1862+E1862)</f>
        <v>0.450617283950617</v>
      </c>
      <c r="L1862" s="21" t="n">
        <f aca="false">AVERAGEIFS($K$2:$K$2705,$B$2:$B$2705,B1862)</f>
        <v>0.499984937614337</v>
      </c>
      <c r="M1862" s="21" t="n">
        <f aca="false">K1862-L1862</f>
        <v>-0.0493676536637199</v>
      </c>
      <c r="N1862" s="21" t="n">
        <f aca="false">LN(J1862)</f>
        <v>12.799619838496</v>
      </c>
      <c r="O1862" s="21" t="n">
        <f aca="false">AVERAGEIFS($N$2:$N$2705,$B$2:$B$2705,B1862)</f>
        <v>13.6373705064074</v>
      </c>
      <c r="P1862" s="21" t="n">
        <f aca="false">N1862-O1862</f>
        <v>-0.837750667911386</v>
      </c>
      <c r="Q1862" s="7" t="n">
        <v>0</v>
      </c>
      <c r="R1862" s="3" t="n">
        <f aca="false">IF(AND(Q1862=1,B1862-_xlfn.MINIFS($B$2:$B$2705,$A$2:$A$2705,A1862)&lt;10),1,0)</f>
        <v>0</v>
      </c>
      <c r="S1862" s="7" t="n">
        <v>0</v>
      </c>
      <c r="T1862" s="3" t="n">
        <f aca="false">_xlfn.MINIFS($B$2:$B$2705,$A$2:$A$2705,A1862)</f>
        <v>1901</v>
      </c>
      <c r="U1862" s="3" t="n">
        <f aca="false">B1862-T1862</f>
        <v>96</v>
      </c>
      <c r="V1862" s="3" t="str">
        <f aca="false">INDEX(Pop_Inputs!$Q$2:$Q$29,MATCH(C1862,Pop_Inputs!$A$2:$A$29,0))</f>
        <v>Midwest</v>
      </c>
      <c r="W1862" s="29" t="n">
        <v>45456667</v>
      </c>
      <c r="X1862" s="3" t="n">
        <f aca="false">IF(W1862="","",LN(W1862))</f>
        <v>17.6322700564989</v>
      </c>
      <c r="Y1862" s="3" t="n">
        <f aca="false">IF(X1862="","",X1862-AVERAGEIFS($X$2:$X$2705,$B$2:$B$2705,B1862))</f>
        <v>0.188478582694554</v>
      </c>
      <c r="Z1862" s="21" t="n">
        <f aca="false">P1862</f>
        <v>-0.837750667911386</v>
      </c>
      <c r="AA1862" s="3" t="n">
        <f aca="false">R1862</f>
        <v>0</v>
      </c>
      <c r="AB1862" s="21" t="n">
        <f aca="false">P1862</f>
        <v>-0.837750667911386</v>
      </c>
      <c r="AC1862" s="3" t="n">
        <f aca="false">Y1862</f>
        <v>0.188478582694554</v>
      </c>
      <c r="AD1862" s="3" t="n">
        <f aca="false">R1862</f>
        <v>0</v>
      </c>
    </row>
    <row r="1863" customFormat="false" ht="15" hidden="false" customHeight="true" outlineLevel="0" collapsed="false">
      <c r="A1863" s="7" t="s">
        <v>73</v>
      </c>
      <c r="B1863" s="7" t="n">
        <v>1997</v>
      </c>
      <c r="C1863" s="7" t="s">
        <v>155</v>
      </c>
      <c r="D1863" s="7" t="n">
        <v>77</v>
      </c>
      <c r="E1863" s="7" t="n">
        <v>85</v>
      </c>
      <c r="F1863" s="3" t="n">
        <f aca="false">COUNTIFS($B$2:$B$2705,B1863,$C$2:$C$2705,C1863)</f>
        <v>1</v>
      </c>
      <c r="G1863" s="3" t="n">
        <f aca="false">MIN(INT((MIN(B1863,2020)-1900)/10)+1,12)</f>
        <v>10</v>
      </c>
      <c r="H1863" s="3" t="n">
        <f aca="false">(MIN(B1863,2020)-1900-10*(G1863-1))/10</f>
        <v>0.7</v>
      </c>
      <c r="I1863" s="20" t="n">
        <f aca="false">EXP(LN(INDEX(Pop_Inputs!$B$2:$N$29,MATCH(C1863,Pop_Inputs!$A$2:$A$29,0),G1863))*(1-H1863)+LN(INDEX(Pop_Inputs!$B$2:$N$29,MATCH(C1863,Pop_Inputs!$A$2:$A$29,0),G1863+1))*H1863)</f>
        <v>1130904.04661055</v>
      </c>
      <c r="J1863" s="20" t="n">
        <f aca="false">I1863/F1863</f>
        <v>1130904.04661055</v>
      </c>
      <c r="K1863" s="21" t="n">
        <f aca="false">D1863/(D1863+E1863)</f>
        <v>0.475308641975309</v>
      </c>
      <c r="L1863" s="21" t="n">
        <f aca="false">AVERAGEIFS($K$2:$K$2705,$B$2:$B$2705,B1863)</f>
        <v>0.499984937614337</v>
      </c>
      <c r="M1863" s="21" t="n">
        <f aca="false">K1863-L1863</f>
        <v>-0.0246762956390286</v>
      </c>
      <c r="N1863" s="21" t="n">
        <f aca="false">LN(J1863)</f>
        <v>13.9385279120744</v>
      </c>
      <c r="O1863" s="21" t="n">
        <f aca="false">AVERAGEIFS($N$2:$N$2705,$B$2:$B$2705,B1863)</f>
        <v>13.6373705064074</v>
      </c>
      <c r="P1863" s="21" t="n">
        <f aca="false">N1863-O1863</f>
        <v>0.301157405667002</v>
      </c>
      <c r="Q1863" s="7" t="n">
        <v>1</v>
      </c>
      <c r="R1863" s="3" t="n">
        <f aca="false">IF(AND(Q1863=1,B1863-_xlfn.MINIFS($B$2:$B$2705,$A$2:$A$2705,A1863)&lt;10),1,0)</f>
        <v>0</v>
      </c>
      <c r="S1863" s="7" t="n">
        <v>0</v>
      </c>
      <c r="T1863" s="3" t="n">
        <f aca="false">_xlfn.MINIFS($B$2:$B$2705,$A$2:$A$2705,A1863)</f>
        <v>1961</v>
      </c>
      <c r="U1863" s="3" t="n">
        <f aca="false">B1863-T1863</f>
        <v>36</v>
      </c>
      <c r="V1863" s="3" t="str">
        <f aca="false">INDEX(Pop_Inputs!$Q$2:$Q$29,MATCH(C1863,Pop_Inputs!$A$2:$A$29,0))</f>
        <v>South</v>
      </c>
      <c r="W1863" s="29" t="n">
        <v>53448838</v>
      </c>
      <c r="X1863" s="3" t="n">
        <f aca="false">IF(W1863="","",LN(W1863))</f>
        <v>17.7942354552551</v>
      </c>
      <c r="Y1863" s="3" t="n">
        <f aca="false">IF(X1863="","",X1863-AVERAGEIFS($X$2:$X$2705,$B$2:$B$2705,B1863))</f>
        <v>0.350443981450798</v>
      </c>
      <c r="Z1863" s="21" t="n">
        <f aca="false">P1863</f>
        <v>0.301157405667002</v>
      </c>
      <c r="AA1863" s="3" t="n">
        <f aca="false">R1863</f>
        <v>0</v>
      </c>
      <c r="AB1863" s="21" t="n">
        <f aca="false">P1863</f>
        <v>0.301157405667002</v>
      </c>
      <c r="AC1863" s="3" t="n">
        <f aca="false">Y1863</f>
        <v>0.350443981450798</v>
      </c>
      <c r="AD1863" s="3" t="n">
        <f aca="false">R1863</f>
        <v>0</v>
      </c>
    </row>
    <row r="1864" customFormat="false" ht="15" hidden="false" customHeight="true" outlineLevel="0" collapsed="false">
      <c r="A1864" s="7" t="s">
        <v>81</v>
      </c>
      <c r="B1864" s="7" t="n">
        <v>1997</v>
      </c>
      <c r="C1864" s="7" t="s">
        <v>162</v>
      </c>
      <c r="D1864" s="7" t="n">
        <v>76</v>
      </c>
      <c r="E1864" s="7" t="n">
        <v>86</v>
      </c>
      <c r="F1864" s="3" t="n">
        <f aca="false">COUNTIFS($B$2:$B$2705,B1864,$C$2:$C$2705,C1864)</f>
        <v>1</v>
      </c>
      <c r="G1864" s="3" t="n">
        <f aca="false">MIN(INT((MIN(B1864,2020)-1900)/10)+1,12)</f>
        <v>10</v>
      </c>
      <c r="H1864" s="3" t="n">
        <f aca="false">(MIN(B1864,2020)-1900-10*(G1864-1))/10</f>
        <v>0.7</v>
      </c>
      <c r="I1864" s="20" t="n">
        <f aca="false">EXP(LN(INDEX(Pop_Inputs!$B$2:$N$29,MATCH(C1864,Pop_Inputs!$A$2:$A$29,0),G1864))*(1-H1864)+LN(INDEX(Pop_Inputs!$B$2:$N$29,MATCH(C1864,Pop_Inputs!$A$2:$A$29,0),G1864+1))*H1864)</f>
        <v>1648968.64828417</v>
      </c>
      <c r="J1864" s="20" t="n">
        <f aca="false">I1864/F1864</f>
        <v>1648968.64828417</v>
      </c>
      <c r="K1864" s="21" t="n">
        <f aca="false">D1864/(D1864+E1864)</f>
        <v>0.469135802469136</v>
      </c>
      <c r="L1864" s="21" t="n">
        <f aca="false">AVERAGEIFS($K$2:$K$2705,$B$2:$B$2705,B1864)</f>
        <v>0.499984937614337</v>
      </c>
      <c r="M1864" s="21" t="n">
        <f aca="false">K1864-L1864</f>
        <v>-0.0308491351452014</v>
      </c>
      <c r="N1864" s="21" t="n">
        <f aca="false">LN(J1864)</f>
        <v>14.3156605887983</v>
      </c>
      <c r="O1864" s="21" t="n">
        <f aca="false">AVERAGEIFS($N$2:$N$2705,$B$2:$B$2705,B1864)</f>
        <v>13.6373705064074</v>
      </c>
      <c r="P1864" s="21" t="n">
        <f aca="false">N1864-O1864</f>
        <v>0.678290082390952</v>
      </c>
      <c r="Q1864" s="7" t="n">
        <v>1</v>
      </c>
      <c r="R1864" s="3" t="n">
        <f aca="false">IF(AND(Q1864=1,B1864-_xlfn.MINIFS($B$2:$B$2705,$A$2:$A$2705,A1864)&lt;10),1,0)</f>
        <v>0</v>
      </c>
      <c r="S1864" s="7" t="n">
        <v>0</v>
      </c>
      <c r="T1864" s="3" t="n">
        <f aca="false">_xlfn.MINIFS($B$2:$B$2705,$A$2:$A$2705,A1864)</f>
        <v>1977</v>
      </c>
      <c r="U1864" s="3" t="n">
        <f aca="false">B1864-T1864</f>
        <v>20</v>
      </c>
      <c r="V1864" s="3" t="str">
        <f aca="false">INDEX(Pop_Inputs!$Q$2:$Q$29,MATCH(C1864,Pop_Inputs!$A$2:$A$29,0))</f>
        <v>Canada</v>
      </c>
      <c r="W1864" s="29" t="n">
        <v>47079833</v>
      </c>
      <c r="X1864" s="3" t="n">
        <f aca="false">IF(W1864="","",LN(W1864))</f>
        <v>17.6673552931963</v>
      </c>
      <c r="Y1864" s="3" t="n">
        <f aca="false">IF(X1864="","",X1864-AVERAGEIFS($X$2:$X$2705,$B$2:$B$2705,B1864))</f>
        <v>0.223563819391934</v>
      </c>
      <c r="Z1864" s="21" t="n">
        <f aca="false">P1864</f>
        <v>0.678290082390952</v>
      </c>
      <c r="AA1864" s="3" t="n">
        <f aca="false">R1864</f>
        <v>0</v>
      </c>
      <c r="AB1864" s="21" t="n">
        <f aca="false">P1864</f>
        <v>0.678290082390952</v>
      </c>
      <c r="AC1864" s="3" t="n">
        <f aca="false">Y1864</f>
        <v>0.223563819391934</v>
      </c>
      <c r="AD1864" s="3" t="n">
        <f aca="false">R1864</f>
        <v>0</v>
      </c>
    </row>
    <row r="1865" customFormat="false" ht="15" hidden="false" customHeight="true" outlineLevel="0" collapsed="false">
      <c r="A1865" s="7" t="s">
        <v>79</v>
      </c>
      <c r="B1865" s="7" t="n">
        <v>1997</v>
      </c>
      <c r="C1865" s="7" t="s">
        <v>254</v>
      </c>
      <c r="D1865" s="7" t="n">
        <v>78</v>
      </c>
      <c r="E1865" s="7" t="n">
        <v>84</v>
      </c>
      <c r="F1865" s="3" t="n">
        <f aca="false">COUNTIFS($B$2:$B$2705,B1865,$C$2:$C$2705,C1865)</f>
        <v>1</v>
      </c>
      <c r="G1865" s="3" t="n">
        <f aca="false">MIN(INT((MIN(B1865,2020)-1900)/10)+1,12)</f>
        <v>10</v>
      </c>
      <c r="H1865" s="3" t="n">
        <f aca="false">(MIN(B1865,2020)-1900-10*(G1865-1))/10</f>
        <v>0.7</v>
      </c>
      <c r="I1865" s="20" t="n">
        <f aca="false">EXP(LN(INDEX(Pop_Inputs!$B$2:$N$29,MATCH(C1865,Pop_Inputs!$A$2:$A$29,0),G1865))*(1-H1865)+LN(INDEX(Pop_Inputs!$B$2:$N$29,MATCH(C1865,Pop_Inputs!$A$2:$A$29,0),G1865+1))*H1865)</f>
        <v>1032924.71349874</v>
      </c>
      <c r="J1865" s="20" t="n">
        <f aca="false">I1865/F1865</f>
        <v>1032924.71349874</v>
      </c>
      <c r="K1865" s="21" t="n">
        <f aca="false">D1865/(D1865+E1865)</f>
        <v>0.481481481481481</v>
      </c>
      <c r="L1865" s="21" t="n">
        <f aca="false">AVERAGEIFS($K$2:$K$2705,$B$2:$B$2705,B1865)</f>
        <v>0.499984937614337</v>
      </c>
      <c r="M1865" s="21" t="n">
        <f aca="false">K1865-L1865</f>
        <v>-0.0185034561328558</v>
      </c>
      <c r="N1865" s="21" t="n">
        <f aca="false">LN(J1865)</f>
        <v>13.8479048640312</v>
      </c>
      <c r="O1865" s="21" t="n">
        <f aca="false">AVERAGEIFS($N$2:$N$2705,$B$2:$B$2705,B1865)</f>
        <v>13.6373705064074</v>
      </c>
      <c r="P1865" s="21" t="n">
        <f aca="false">N1865-O1865</f>
        <v>0.210534357623832</v>
      </c>
      <c r="Q1865" s="7" t="n">
        <v>1</v>
      </c>
      <c r="R1865" s="3" t="n">
        <f aca="false">IF(AND(Q1865=1,B1865-_xlfn.MINIFS($B$2:$B$2705,$A$2:$A$2705,A1865)&lt;10),1,0)</f>
        <v>0</v>
      </c>
      <c r="S1865" s="7" t="n">
        <v>0</v>
      </c>
      <c r="T1865" s="3" t="n">
        <f aca="false">_xlfn.MINIFS($B$2:$B$2705,$A$2:$A$2705,A1865)</f>
        <v>1969</v>
      </c>
      <c r="U1865" s="3" t="n">
        <f aca="false">B1865-T1865</f>
        <v>28</v>
      </c>
      <c r="V1865" s="3" t="str">
        <f aca="false">INDEX(Pop_Inputs!$Q$2:$Q$29,MATCH(C1865,Pop_Inputs!$A$2:$A$29,0))</f>
        <v>Canada</v>
      </c>
      <c r="W1865" s="29" t="n">
        <v>19295500</v>
      </c>
      <c r="X1865" s="3" t="n">
        <f aca="false">IF(W1865="","",LN(W1865))</f>
        <v>16.7753824660672</v>
      </c>
      <c r="Y1865" s="3" t="n">
        <f aca="false">IF(X1865="","",X1865-AVERAGEIFS($X$2:$X$2705,$B$2:$B$2705,B1865))</f>
        <v>-0.668409007737154</v>
      </c>
      <c r="Z1865" s="21" t="n">
        <f aca="false">P1865</f>
        <v>0.210534357623832</v>
      </c>
      <c r="AA1865" s="3" t="n">
        <f aca="false">R1865</f>
        <v>0</v>
      </c>
      <c r="AB1865" s="21" t="n">
        <f aca="false">P1865</f>
        <v>0.210534357623832</v>
      </c>
      <c r="AC1865" s="3" t="n">
        <f aca="false">Y1865</f>
        <v>-0.668409007737154</v>
      </c>
      <c r="AD1865" s="3" t="n">
        <f aca="false">R1865</f>
        <v>0</v>
      </c>
    </row>
    <row r="1866" customFormat="false" ht="15" hidden="false" customHeight="true" outlineLevel="0" collapsed="false">
      <c r="A1866" s="7" t="s">
        <v>71</v>
      </c>
      <c r="B1866" s="7" t="n">
        <v>1998</v>
      </c>
      <c r="C1866" s="7" t="s">
        <v>148</v>
      </c>
      <c r="D1866" s="7" t="n">
        <v>85</v>
      </c>
      <c r="E1866" s="7" t="n">
        <v>77</v>
      </c>
      <c r="F1866" s="3" t="n">
        <f aca="false">COUNTIFS($B$2:$B$2705,B1866,$C$2:$C$2705,C1866)</f>
        <v>2</v>
      </c>
      <c r="G1866" s="3" t="n">
        <f aca="false">MIN(INT((MIN(B1866,2020)-1900)/10)+1,12)</f>
        <v>10</v>
      </c>
      <c r="H1866" s="3" t="n">
        <f aca="false">(MIN(B1866,2020)-1900-10*(G1866-1))/10</f>
        <v>0.8</v>
      </c>
      <c r="I1866" s="20" t="n">
        <f aca="false">EXP(LN(INDEX(Pop_Inputs!$B$2:$N$29,MATCH(C1866,Pop_Inputs!$A$2:$A$29,0),G1866))*(1-H1866)+LN(INDEX(Pop_Inputs!$B$2:$N$29,MATCH(C1866,Pop_Inputs!$A$2:$A$29,0),G1866+1))*H1866)</f>
        <v>3651952.36559226</v>
      </c>
      <c r="J1866" s="20" t="n">
        <f aca="false">I1866/F1866</f>
        <v>1825976.18279613</v>
      </c>
      <c r="K1866" s="21" t="n">
        <f aca="false">D1866/(D1866+E1866)</f>
        <v>0.524691358024691</v>
      </c>
      <c r="L1866" s="21" t="n">
        <f aca="false">AVERAGEIFS($K$2:$K$2705,$B$2:$B$2705,B1866)</f>
        <v>0.499963188302301</v>
      </c>
      <c r="M1866" s="21" t="n">
        <f aca="false">K1866-L1866</f>
        <v>0.0247281697223904</v>
      </c>
      <c r="N1866" s="21" t="n">
        <f aca="false">LN(J1866)</f>
        <v>14.4176252966764</v>
      </c>
      <c r="O1866" s="21" t="n">
        <f aca="false">AVERAGEIFS($N$2:$N$2705,$B$2:$B$2705,B1866)</f>
        <v>13.6231716231581</v>
      </c>
      <c r="P1866" s="21" t="n">
        <f aca="false">N1866-O1866</f>
        <v>0.794453673518305</v>
      </c>
      <c r="Q1866" s="7" t="n">
        <v>1</v>
      </c>
      <c r="R1866" s="3" t="n">
        <f aca="false">IF(AND(Q1866=1,B1866-_xlfn.MINIFS($B$2:$B$2705,$A$2:$A$2705,A1866)&lt;10),1,0)</f>
        <v>0</v>
      </c>
      <c r="S1866" s="7" t="n">
        <v>0</v>
      </c>
      <c r="T1866" s="3" t="n">
        <f aca="false">_xlfn.MINIFS($B$2:$B$2705,$A$2:$A$2705,A1866)</f>
        <v>1961</v>
      </c>
      <c r="U1866" s="3" t="n">
        <f aca="false">B1866-T1866</f>
        <v>37</v>
      </c>
      <c r="V1866" s="3" t="str">
        <f aca="false">INDEX(Pop_Inputs!$Q$2:$Q$29,MATCH(C1866,Pop_Inputs!$A$2:$A$29,0))</f>
        <v>West</v>
      </c>
      <c r="W1866" s="29" t="n">
        <v>41281000</v>
      </c>
      <c r="X1866" s="3" t="n">
        <f aca="false">IF(W1866="","",LN(W1866))</f>
        <v>17.5359129036504</v>
      </c>
      <c r="Y1866" s="3" t="n">
        <f aca="false">IF(X1866="","",X1866-AVERAGEIFS($X$2:$X$2705,$B$2:$B$2705,B1866))</f>
        <v>0.0496681169283768</v>
      </c>
      <c r="Z1866" s="21" t="n">
        <f aca="false">P1866</f>
        <v>0.794453673518305</v>
      </c>
      <c r="AA1866" s="3" t="n">
        <f aca="false">R1866</f>
        <v>0</v>
      </c>
      <c r="AB1866" s="21" t="n">
        <f aca="false">P1866</f>
        <v>0.794453673518305</v>
      </c>
      <c r="AC1866" s="3" t="n">
        <f aca="false">Y1866</f>
        <v>0.0496681169283768</v>
      </c>
      <c r="AD1866" s="3" t="n">
        <f aca="false">R1866</f>
        <v>0</v>
      </c>
    </row>
    <row r="1867" customFormat="false" ht="15" hidden="false" customHeight="true" outlineLevel="0" collapsed="false">
      <c r="A1867" s="7" t="s">
        <v>84</v>
      </c>
      <c r="B1867" s="7" t="n">
        <v>1998</v>
      </c>
      <c r="C1867" s="7" t="s">
        <v>165</v>
      </c>
      <c r="D1867" s="7" t="n">
        <v>65</v>
      </c>
      <c r="E1867" s="7" t="n">
        <v>97</v>
      </c>
      <c r="F1867" s="3" t="n">
        <f aca="false">COUNTIFS($B$2:$B$2705,B1867,$C$2:$C$2705,C1867)</f>
        <v>1</v>
      </c>
      <c r="G1867" s="3" t="n">
        <f aca="false">MIN(INT((MIN(B1867,2020)-1900)/10)+1,12)</f>
        <v>10</v>
      </c>
      <c r="H1867" s="3" t="n">
        <f aca="false">(MIN(B1867,2020)-1900-10*(G1867-1))/10</f>
        <v>0.8</v>
      </c>
      <c r="I1867" s="20" t="n">
        <f aca="false">EXP(LN(INDEX(Pop_Inputs!$B$2:$N$29,MATCH(C1867,Pop_Inputs!$A$2:$A$29,0),G1867))*(1-H1867)+LN(INDEX(Pop_Inputs!$B$2:$N$29,MATCH(C1867,Pop_Inputs!$A$2:$A$29,0),G1867+1))*H1867)</f>
        <v>1245318.37158704</v>
      </c>
      <c r="J1867" s="20" t="n">
        <f aca="false">I1867/F1867</f>
        <v>1245318.37158704</v>
      </c>
      <c r="K1867" s="21" t="n">
        <f aca="false">D1867/(D1867+E1867)</f>
        <v>0.401234567901235</v>
      </c>
      <c r="L1867" s="21" t="n">
        <f aca="false">AVERAGEIFS($K$2:$K$2705,$B$2:$B$2705,B1867)</f>
        <v>0.499963188302301</v>
      </c>
      <c r="M1867" s="21" t="n">
        <f aca="false">K1867-L1867</f>
        <v>-0.0987286204010664</v>
      </c>
      <c r="N1867" s="21" t="n">
        <f aca="false">LN(J1867)</f>
        <v>14.0349017753404</v>
      </c>
      <c r="O1867" s="21" t="n">
        <f aca="false">AVERAGEIFS($N$2:$N$2705,$B$2:$B$2705,B1867)</f>
        <v>13.6231716231581</v>
      </c>
      <c r="P1867" s="21" t="n">
        <f aca="false">N1867-O1867</f>
        <v>0.411730152182289</v>
      </c>
      <c r="Q1867" s="7" t="n">
        <v>1</v>
      </c>
      <c r="R1867" s="3" t="n">
        <f aca="false">IF(AND(Q1867=1,B1867-_xlfn.MINIFS($B$2:$B$2705,$A$2:$A$2705,A1867)&lt;10),1,0)</f>
        <v>1</v>
      </c>
      <c r="S1867" s="7" t="n">
        <v>0</v>
      </c>
      <c r="T1867" s="3" t="n">
        <f aca="false">_xlfn.MINIFS($B$2:$B$2705,$A$2:$A$2705,A1867)</f>
        <v>1998</v>
      </c>
      <c r="U1867" s="3" t="n">
        <f aca="false">B1867-T1867</f>
        <v>0</v>
      </c>
      <c r="V1867" s="3" t="str">
        <f aca="false">INDEX(Pop_Inputs!$Q$2:$Q$29,MATCH(C1867,Pop_Inputs!$A$2:$A$29,0))</f>
        <v>West</v>
      </c>
      <c r="W1867" s="29" t="n">
        <v>32347000</v>
      </c>
      <c r="X1867" s="3" t="n">
        <f aca="false">IF(W1867="","",LN(W1867))</f>
        <v>17.2920318389077</v>
      </c>
      <c r="Y1867" s="3" t="n">
        <f aca="false">IF(X1867="","",X1867-AVERAGEIFS($X$2:$X$2705,$B$2:$B$2705,B1867))</f>
        <v>-0.194212947814272</v>
      </c>
      <c r="Z1867" s="21" t="n">
        <f aca="false">P1867</f>
        <v>0.411730152182289</v>
      </c>
      <c r="AA1867" s="3" t="n">
        <f aca="false">R1867</f>
        <v>1</v>
      </c>
      <c r="AB1867" s="21" t="n">
        <f aca="false">P1867</f>
        <v>0.411730152182289</v>
      </c>
      <c r="AC1867" s="3" t="n">
        <f aca="false">Y1867</f>
        <v>-0.194212947814272</v>
      </c>
      <c r="AD1867" s="3" t="n">
        <f aca="false">R1867</f>
        <v>1</v>
      </c>
    </row>
    <row r="1868" customFormat="false" ht="15" hidden="false" customHeight="true" outlineLevel="0" collapsed="false">
      <c r="A1868" s="7" t="s">
        <v>54</v>
      </c>
      <c r="B1868" s="7" t="n">
        <v>1998</v>
      </c>
      <c r="C1868" s="7" t="s">
        <v>141</v>
      </c>
      <c r="D1868" s="7" t="n">
        <v>106</v>
      </c>
      <c r="E1868" s="7" t="n">
        <v>56</v>
      </c>
      <c r="F1868" s="3" t="n">
        <f aca="false">COUNTIFS($B$2:$B$2705,B1868,$C$2:$C$2705,C1868)</f>
        <v>1</v>
      </c>
      <c r="G1868" s="3" t="n">
        <f aca="false">MIN(INT((MIN(B1868,2020)-1900)/10)+1,12)</f>
        <v>10</v>
      </c>
      <c r="H1868" s="3" t="n">
        <f aca="false">(MIN(B1868,2020)-1900-10*(G1868-1))/10</f>
        <v>0.8</v>
      </c>
      <c r="I1868" s="20" t="n">
        <f aca="false">EXP(LN(INDEX(Pop_Inputs!$B$2:$N$29,MATCH(C1868,Pop_Inputs!$A$2:$A$29,0),G1868))*(1-H1868)+LN(INDEX(Pop_Inputs!$B$2:$N$29,MATCH(C1868,Pop_Inputs!$A$2:$A$29,0),G1868+1))*H1868)</f>
        <v>411882.46884792</v>
      </c>
      <c r="J1868" s="20" t="n">
        <f aca="false">I1868/F1868</f>
        <v>411882.46884792</v>
      </c>
      <c r="K1868" s="21" t="n">
        <f aca="false">D1868/(D1868+E1868)</f>
        <v>0.654320987654321</v>
      </c>
      <c r="L1868" s="21" t="n">
        <f aca="false">AVERAGEIFS($K$2:$K$2705,$B$2:$B$2705,B1868)</f>
        <v>0.499963188302301</v>
      </c>
      <c r="M1868" s="21" t="n">
        <f aca="false">K1868-L1868</f>
        <v>0.15435779935202</v>
      </c>
      <c r="N1868" s="21" t="n">
        <f aca="false">LN(J1868)</f>
        <v>12.9284933178479</v>
      </c>
      <c r="O1868" s="21" t="n">
        <f aca="false">AVERAGEIFS($N$2:$N$2705,$B$2:$B$2705,B1868)</f>
        <v>13.6231716231581</v>
      </c>
      <c r="P1868" s="21" t="n">
        <f aca="false">N1868-O1868</f>
        <v>-0.694678305310172</v>
      </c>
      <c r="Q1868" s="7" t="n">
        <v>0</v>
      </c>
      <c r="R1868" s="3" t="n">
        <f aca="false">IF(AND(Q1868=1,B1868-_xlfn.MINIFS($B$2:$B$2705,$A$2:$A$2705,A1868)&lt;10),1,0)</f>
        <v>0</v>
      </c>
      <c r="S1868" s="7" t="n">
        <v>0</v>
      </c>
      <c r="T1868" s="3" t="n">
        <f aca="false">_xlfn.MINIFS($B$2:$B$2705,$A$2:$A$2705,A1868)</f>
        <v>1901</v>
      </c>
      <c r="U1868" s="3" t="n">
        <f aca="false">B1868-T1868</f>
        <v>97</v>
      </c>
      <c r="V1868" s="3" t="str">
        <f aca="false">INDEX(Pop_Inputs!$Q$2:$Q$29,MATCH(C1868,Pop_Inputs!$A$2:$A$29,0))</f>
        <v>South</v>
      </c>
      <c r="W1868" s="29" t="n">
        <v>61186000</v>
      </c>
      <c r="X1868" s="3" t="n">
        <f aca="false">IF(W1868="","",LN(W1868))</f>
        <v>17.9294289631435</v>
      </c>
      <c r="Y1868" s="3" t="n">
        <f aca="false">IF(X1868="","",X1868-AVERAGEIFS($X$2:$X$2705,$B$2:$B$2705,B1868))</f>
        <v>0.443184176421489</v>
      </c>
      <c r="Z1868" s="21" t="n">
        <f aca="false">P1868</f>
        <v>-0.694678305310172</v>
      </c>
      <c r="AA1868" s="3" t="n">
        <f aca="false">R1868</f>
        <v>0</v>
      </c>
      <c r="AB1868" s="21" t="n">
        <f aca="false">P1868</f>
        <v>-0.694678305310172</v>
      </c>
      <c r="AC1868" s="3" t="n">
        <f aca="false">Y1868</f>
        <v>0.443184176421489</v>
      </c>
      <c r="AD1868" s="3" t="n">
        <f aca="false">R1868</f>
        <v>0</v>
      </c>
    </row>
    <row r="1869" customFormat="false" ht="15" hidden="false" customHeight="true" outlineLevel="0" collapsed="false">
      <c r="A1869" s="7" t="s">
        <v>63</v>
      </c>
      <c r="B1869" s="7" t="n">
        <v>1998</v>
      </c>
      <c r="C1869" s="7" t="s">
        <v>149</v>
      </c>
      <c r="D1869" s="7" t="n">
        <v>79</v>
      </c>
      <c r="E1869" s="7" t="n">
        <v>83</v>
      </c>
      <c r="F1869" s="3" t="n">
        <f aca="false">COUNTIFS($B$2:$B$2705,B1869,$C$2:$C$2705,C1869)</f>
        <v>1</v>
      </c>
      <c r="G1869" s="3" t="n">
        <f aca="false">MIN(INT((MIN(B1869,2020)-1900)/10)+1,12)</f>
        <v>10</v>
      </c>
      <c r="H1869" s="3" t="n">
        <f aca="false">(MIN(B1869,2020)-1900-10*(G1869-1))/10</f>
        <v>0.8</v>
      </c>
      <c r="I1869" s="20" t="n">
        <f aca="false">EXP(LN(INDEX(Pop_Inputs!$B$2:$N$29,MATCH(C1869,Pop_Inputs!$A$2:$A$29,0),G1869))*(1-H1869)+LN(INDEX(Pop_Inputs!$B$2:$N$29,MATCH(C1869,Pop_Inputs!$A$2:$A$29,0),G1869+1))*H1869)</f>
        <v>667304.702376891</v>
      </c>
      <c r="J1869" s="20" t="n">
        <f aca="false">I1869/F1869</f>
        <v>667304.702376891</v>
      </c>
      <c r="K1869" s="21" t="n">
        <f aca="false">D1869/(D1869+E1869)</f>
        <v>0.487654320987654</v>
      </c>
      <c r="L1869" s="21" t="n">
        <f aca="false">AVERAGEIFS($K$2:$K$2705,$B$2:$B$2705,B1869)</f>
        <v>0.499963188302301</v>
      </c>
      <c r="M1869" s="21" t="n">
        <f aca="false">K1869-L1869</f>
        <v>-0.0123088673146466</v>
      </c>
      <c r="N1869" s="21" t="n">
        <f aca="false">LN(J1869)</f>
        <v>13.4110020457377</v>
      </c>
      <c r="O1869" s="21" t="n">
        <f aca="false">AVERAGEIFS($N$2:$N$2705,$B$2:$B$2705,B1869)</f>
        <v>13.6231716231581</v>
      </c>
      <c r="P1869" s="21" t="n">
        <f aca="false">N1869-O1869</f>
        <v>-0.212169577420388</v>
      </c>
      <c r="Q1869" s="7" t="n">
        <v>0</v>
      </c>
      <c r="R1869" s="3" t="n">
        <f aca="false">IF(AND(Q1869=1,B1869-_xlfn.MINIFS($B$2:$B$2705,$A$2:$A$2705,A1869)&lt;10),1,0)</f>
        <v>0</v>
      </c>
      <c r="S1869" s="7" t="n">
        <v>0</v>
      </c>
      <c r="T1869" s="3" t="n">
        <f aca="false">_xlfn.MINIFS($B$2:$B$2705,$A$2:$A$2705,A1869)</f>
        <v>1901</v>
      </c>
      <c r="U1869" s="3" t="n">
        <f aca="false">B1869-T1869</f>
        <v>97</v>
      </c>
      <c r="V1869" s="3" t="str">
        <f aca="false">INDEX(Pop_Inputs!$Q$2:$Q$29,MATCH(C1869,Pop_Inputs!$A$2:$A$29,0))</f>
        <v>South</v>
      </c>
      <c r="W1869" s="29" t="n">
        <v>72355634</v>
      </c>
      <c r="X1869" s="3" t="n">
        <f aca="false">IF(W1869="","",LN(W1869))</f>
        <v>18.0971038794681</v>
      </c>
      <c r="Y1869" s="3" t="n">
        <f aca="false">IF(X1869="","",X1869-AVERAGEIFS($X$2:$X$2705,$B$2:$B$2705,B1869))</f>
        <v>0.610859092746143</v>
      </c>
      <c r="Z1869" s="21" t="n">
        <f aca="false">P1869</f>
        <v>-0.212169577420388</v>
      </c>
      <c r="AA1869" s="3" t="n">
        <f aca="false">R1869</f>
        <v>0</v>
      </c>
      <c r="AB1869" s="21" t="n">
        <f aca="false">P1869</f>
        <v>-0.212169577420388</v>
      </c>
      <c r="AC1869" s="3" t="n">
        <f aca="false">Y1869</f>
        <v>0.610859092746143</v>
      </c>
      <c r="AD1869" s="3" t="n">
        <f aca="false">R1869</f>
        <v>0</v>
      </c>
    </row>
    <row r="1870" customFormat="false" ht="15" hidden="false" customHeight="true" outlineLevel="0" collapsed="false">
      <c r="A1870" s="7" t="s">
        <v>64</v>
      </c>
      <c r="B1870" s="7" t="n">
        <v>1998</v>
      </c>
      <c r="C1870" s="7" t="s">
        <v>150</v>
      </c>
      <c r="D1870" s="7" t="n">
        <v>92</v>
      </c>
      <c r="E1870" s="7" t="n">
        <v>70</v>
      </c>
      <c r="F1870" s="3" t="n">
        <f aca="false">COUNTIFS($B$2:$B$2705,B1870,$C$2:$C$2705,C1870)</f>
        <v>1</v>
      </c>
      <c r="G1870" s="3" t="n">
        <f aca="false">MIN(INT((MIN(B1870,2020)-1900)/10)+1,12)</f>
        <v>10</v>
      </c>
      <c r="H1870" s="3" t="n">
        <f aca="false">(MIN(B1870,2020)-1900-10*(G1870-1))/10</f>
        <v>0.8</v>
      </c>
      <c r="I1870" s="20" t="n">
        <f aca="false">EXP(LN(INDEX(Pop_Inputs!$B$2:$N$29,MATCH(C1870,Pop_Inputs!$A$2:$A$29,0),G1870))*(1-H1870)+LN(INDEX(Pop_Inputs!$B$2:$N$29,MATCH(C1870,Pop_Inputs!$A$2:$A$29,0),G1870+1))*H1870)</f>
        <v>586138.960997765</v>
      </c>
      <c r="J1870" s="20" t="n">
        <f aca="false">I1870/F1870</f>
        <v>586138.960997765</v>
      </c>
      <c r="K1870" s="21" t="n">
        <f aca="false">D1870/(D1870+E1870)</f>
        <v>0.567901234567901</v>
      </c>
      <c r="L1870" s="21" t="n">
        <f aca="false">AVERAGEIFS($K$2:$K$2705,$B$2:$B$2705,B1870)</f>
        <v>0.499963188302301</v>
      </c>
      <c r="M1870" s="21" t="n">
        <f aca="false">K1870-L1870</f>
        <v>0.0679380462656002</v>
      </c>
      <c r="N1870" s="21" t="n">
        <f aca="false">LN(J1870)</f>
        <v>13.2813121752556</v>
      </c>
      <c r="O1870" s="21" t="n">
        <f aca="false">AVERAGEIFS($N$2:$N$2705,$B$2:$B$2705,B1870)</f>
        <v>13.6231716231581</v>
      </c>
      <c r="P1870" s="21" t="n">
        <f aca="false">N1870-O1870</f>
        <v>-0.34185944790246</v>
      </c>
      <c r="Q1870" s="7" t="n">
        <v>0</v>
      </c>
      <c r="R1870" s="3" t="n">
        <f aca="false">IF(AND(Q1870=1,B1870-_xlfn.MINIFS($B$2:$B$2705,$A$2:$A$2705,A1870)&lt;10),1,0)</f>
        <v>0</v>
      </c>
      <c r="S1870" s="7" t="n">
        <v>0</v>
      </c>
      <c r="T1870" s="3" t="n">
        <f aca="false">_xlfn.MINIFS($B$2:$B$2705,$A$2:$A$2705,A1870)</f>
        <v>1901</v>
      </c>
      <c r="U1870" s="3" t="n">
        <f aca="false">B1870-T1870</f>
        <v>97</v>
      </c>
      <c r="V1870" s="3" t="str">
        <f aca="false">INDEX(Pop_Inputs!$Q$2:$Q$29,MATCH(C1870,Pop_Inputs!$A$2:$A$29,0))</f>
        <v>Northeast</v>
      </c>
      <c r="W1870" s="29" t="n">
        <v>56757000</v>
      </c>
      <c r="X1870" s="3" t="n">
        <f aca="false">IF(W1870="","",LN(W1870))</f>
        <v>17.8542895547367</v>
      </c>
      <c r="Y1870" s="3" t="n">
        <f aca="false">IF(X1870="","",X1870-AVERAGEIFS($X$2:$X$2705,$B$2:$B$2705,B1870))</f>
        <v>0.368044768014677</v>
      </c>
      <c r="Z1870" s="21" t="n">
        <f aca="false">P1870</f>
        <v>-0.34185944790246</v>
      </c>
      <c r="AA1870" s="3" t="n">
        <f aca="false">R1870</f>
        <v>0</v>
      </c>
      <c r="AB1870" s="21" t="n">
        <f aca="false">P1870</f>
        <v>-0.34185944790246</v>
      </c>
      <c r="AC1870" s="3" t="n">
        <f aca="false">Y1870</f>
        <v>0.368044768014677</v>
      </c>
      <c r="AD1870" s="3" t="n">
        <f aca="false">R1870</f>
        <v>0</v>
      </c>
    </row>
    <row r="1871" customFormat="false" ht="15" hidden="false" customHeight="true" outlineLevel="0" collapsed="false">
      <c r="A1871" s="7" t="s">
        <v>56</v>
      </c>
      <c r="B1871" s="7" t="n">
        <v>1998</v>
      </c>
      <c r="C1871" s="7" t="s">
        <v>142</v>
      </c>
      <c r="D1871" s="7" t="n">
        <v>90</v>
      </c>
      <c r="E1871" s="7" t="n">
        <v>73</v>
      </c>
      <c r="F1871" s="3" t="n">
        <f aca="false">COUNTIFS($B$2:$B$2705,B1871,$C$2:$C$2705,C1871)</f>
        <v>2</v>
      </c>
      <c r="G1871" s="3" t="n">
        <f aca="false">MIN(INT((MIN(B1871,2020)-1900)/10)+1,12)</f>
        <v>10</v>
      </c>
      <c r="H1871" s="3" t="n">
        <f aca="false">(MIN(B1871,2020)-1900-10*(G1871-1))/10</f>
        <v>0.8</v>
      </c>
      <c r="I1871" s="20" t="n">
        <f aca="false">EXP(LN(INDEX(Pop_Inputs!$B$2:$N$29,MATCH(C1871,Pop_Inputs!$A$2:$A$29,0),G1871))*(1-H1871)+LN(INDEX(Pop_Inputs!$B$2:$N$29,MATCH(C1871,Pop_Inputs!$A$2:$A$29,0),G1871+1))*H1871)</f>
        <v>2873201.35584974</v>
      </c>
      <c r="J1871" s="20" t="n">
        <f aca="false">I1871/F1871</f>
        <v>1436600.67792487</v>
      </c>
      <c r="K1871" s="21" t="n">
        <f aca="false">D1871/(D1871+E1871)</f>
        <v>0.552147239263804</v>
      </c>
      <c r="L1871" s="21" t="n">
        <f aca="false">AVERAGEIFS($K$2:$K$2705,$B$2:$B$2705,B1871)</f>
        <v>0.499963188302301</v>
      </c>
      <c r="M1871" s="21" t="n">
        <f aca="false">K1871-L1871</f>
        <v>0.0521840509615028</v>
      </c>
      <c r="N1871" s="21" t="n">
        <f aca="false">LN(J1871)</f>
        <v>14.1777902405181</v>
      </c>
      <c r="O1871" s="21" t="n">
        <f aca="false">AVERAGEIFS($N$2:$N$2705,$B$2:$B$2705,B1871)</f>
        <v>13.6231716231581</v>
      </c>
      <c r="P1871" s="21" t="n">
        <f aca="false">N1871-O1871</f>
        <v>0.554618617360017</v>
      </c>
      <c r="Q1871" s="7" t="n">
        <v>0</v>
      </c>
      <c r="R1871" s="3" t="n">
        <f aca="false">IF(AND(Q1871=1,B1871-_xlfn.MINIFS($B$2:$B$2705,$A$2:$A$2705,A1871)&lt;10),1,0)</f>
        <v>0</v>
      </c>
      <c r="S1871" s="7" t="n">
        <v>0</v>
      </c>
      <c r="T1871" s="3" t="n">
        <f aca="false">_xlfn.MINIFS($B$2:$B$2705,$A$2:$A$2705,A1871)</f>
        <v>1901</v>
      </c>
      <c r="U1871" s="3" t="n">
        <f aca="false">B1871-T1871</f>
        <v>97</v>
      </c>
      <c r="V1871" s="3" t="str">
        <f aca="false">INDEX(Pop_Inputs!$Q$2:$Q$29,MATCH(C1871,Pop_Inputs!$A$2:$A$29,0))</f>
        <v>Midwest</v>
      </c>
      <c r="W1871" s="29" t="n">
        <v>50838000</v>
      </c>
      <c r="X1871" s="3" t="n">
        <f aca="false">IF(W1871="","",LN(W1871))</f>
        <v>17.7441546644087</v>
      </c>
      <c r="Y1871" s="3" t="n">
        <f aca="false">IF(X1871="","",X1871-AVERAGEIFS($X$2:$X$2705,$B$2:$B$2705,B1871))</f>
        <v>0.257909877686668</v>
      </c>
      <c r="Z1871" s="21" t="n">
        <f aca="false">P1871</f>
        <v>0.554618617360017</v>
      </c>
      <c r="AA1871" s="3" t="n">
        <f aca="false">R1871</f>
        <v>0</v>
      </c>
      <c r="AB1871" s="21" t="n">
        <f aca="false">P1871</f>
        <v>0.554618617360017</v>
      </c>
      <c r="AC1871" s="3" t="n">
        <f aca="false">Y1871</f>
        <v>0.257909877686668</v>
      </c>
      <c r="AD1871" s="3" t="n">
        <f aca="false">R1871</f>
        <v>0</v>
      </c>
    </row>
    <row r="1872" customFormat="false" ht="15" hidden="false" customHeight="true" outlineLevel="0" collapsed="false">
      <c r="A1872" s="7" t="s">
        <v>65</v>
      </c>
      <c r="B1872" s="7" t="n">
        <v>1998</v>
      </c>
      <c r="C1872" s="7" t="s">
        <v>142</v>
      </c>
      <c r="D1872" s="7" t="n">
        <v>80</v>
      </c>
      <c r="E1872" s="7" t="n">
        <v>82</v>
      </c>
      <c r="F1872" s="3" t="n">
        <f aca="false">COUNTIFS($B$2:$B$2705,B1872,$C$2:$C$2705,C1872)</f>
        <v>2</v>
      </c>
      <c r="G1872" s="3" t="n">
        <f aca="false">MIN(INT((MIN(B1872,2020)-1900)/10)+1,12)</f>
        <v>10</v>
      </c>
      <c r="H1872" s="3" t="n">
        <f aca="false">(MIN(B1872,2020)-1900-10*(G1872-1))/10</f>
        <v>0.8</v>
      </c>
      <c r="I1872" s="20" t="n">
        <f aca="false">EXP(LN(INDEX(Pop_Inputs!$B$2:$N$29,MATCH(C1872,Pop_Inputs!$A$2:$A$29,0),G1872))*(1-H1872)+LN(INDEX(Pop_Inputs!$B$2:$N$29,MATCH(C1872,Pop_Inputs!$A$2:$A$29,0),G1872+1))*H1872)</f>
        <v>2873201.35584974</v>
      </c>
      <c r="J1872" s="20" t="n">
        <f aca="false">I1872/F1872</f>
        <v>1436600.67792487</v>
      </c>
      <c r="K1872" s="21" t="n">
        <f aca="false">D1872/(D1872+E1872)</f>
        <v>0.493827160493827</v>
      </c>
      <c r="L1872" s="21" t="n">
        <f aca="false">AVERAGEIFS($K$2:$K$2705,$B$2:$B$2705,B1872)</f>
        <v>0.499963188302301</v>
      </c>
      <c r="M1872" s="21" t="n">
        <f aca="false">K1872-L1872</f>
        <v>-0.00613602780847383</v>
      </c>
      <c r="N1872" s="21" t="n">
        <f aca="false">LN(J1872)</f>
        <v>14.1777902405181</v>
      </c>
      <c r="O1872" s="21" t="n">
        <f aca="false">AVERAGEIFS($N$2:$N$2705,$B$2:$B$2705,B1872)</f>
        <v>13.6231716231581</v>
      </c>
      <c r="P1872" s="21" t="n">
        <f aca="false">N1872-O1872</f>
        <v>0.554618617360017</v>
      </c>
      <c r="Q1872" s="7" t="n">
        <v>0</v>
      </c>
      <c r="R1872" s="3" t="n">
        <f aca="false">IF(AND(Q1872=1,B1872-_xlfn.MINIFS($B$2:$B$2705,$A$2:$A$2705,A1872)&lt;10),1,0)</f>
        <v>0</v>
      </c>
      <c r="S1872" s="7" t="n">
        <v>0</v>
      </c>
      <c r="T1872" s="3" t="n">
        <f aca="false">_xlfn.MINIFS($B$2:$B$2705,$A$2:$A$2705,A1872)</f>
        <v>1901</v>
      </c>
      <c r="U1872" s="3" t="n">
        <f aca="false">B1872-T1872</f>
        <v>97</v>
      </c>
      <c r="V1872" s="3" t="str">
        <f aca="false">INDEX(Pop_Inputs!$Q$2:$Q$29,MATCH(C1872,Pop_Inputs!$A$2:$A$29,0))</f>
        <v>Midwest</v>
      </c>
      <c r="W1872" s="29" t="n">
        <v>38335000</v>
      </c>
      <c r="X1872" s="3" t="n">
        <f aca="false">IF(W1872="","",LN(W1872))</f>
        <v>17.4618738749751</v>
      </c>
      <c r="Y1872" s="3" t="n">
        <f aca="false">IF(X1872="","",X1872-AVERAGEIFS($X$2:$X$2705,$B$2:$B$2705,B1872))</f>
        <v>-0.0243709117468569</v>
      </c>
      <c r="Z1872" s="21" t="n">
        <f aca="false">P1872</f>
        <v>0.554618617360017</v>
      </c>
      <c r="AA1872" s="3" t="n">
        <f aca="false">R1872</f>
        <v>0</v>
      </c>
      <c r="AB1872" s="21" t="n">
        <f aca="false">P1872</f>
        <v>0.554618617360017</v>
      </c>
      <c r="AC1872" s="3" t="n">
        <f aca="false">Y1872</f>
        <v>-0.0243709117468569</v>
      </c>
      <c r="AD1872" s="3" t="n">
        <f aca="false">R1872</f>
        <v>0</v>
      </c>
    </row>
    <row r="1873" customFormat="false" ht="15" hidden="false" customHeight="true" outlineLevel="0" collapsed="false">
      <c r="A1873" s="7" t="s">
        <v>57</v>
      </c>
      <c r="B1873" s="7" t="n">
        <v>1998</v>
      </c>
      <c r="C1873" s="7" t="s">
        <v>143</v>
      </c>
      <c r="D1873" s="7" t="n">
        <v>77</v>
      </c>
      <c r="E1873" s="7" t="n">
        <v>85</v>
      </c>
      <c r="F1873" s="3" t="n">
        <f aca="false">COUNTIFS($B$2:$B$2705,B1873,$C$2:$C$2705,C1873)</f>
        <v>1</v>
      </c>
      <c r="G1873" s="3" t="n">
        <f aca="false">MIN(INT((MIN(B1873,2020)-1900)/10)+1,12)</f>
        <v>10</v>
      </c>
      <c r="H1873" s="3" t="n">
        <f aca="false">(MIN(B1873,2020)-1900-10*(G1873-1))/10</f>
        <v>0.8</v>
      </c>
      <c r="I1873" s="20" t="n">
        <f aca="false">EXP(LN(INDEX(Pop_Inputs!$B$2:$N$29,MATCH(C1873,Pop_Inputs!$A$2:$A$29,0),G1873))*(1-H1873)+LN(INDEX(Pop_Inputs!$B$2:$N$29,MATCH(C1873,Pop_Inputs!$A$2:$A$29,0),G1873+1))*H1873)</f>
        <v>337591.294521286</v>
      </c>
      <c r="J1873" s="20" t="n">
        <f aca="false">I1873/F1873</f>
        <v>337591.294521286</v>
      </c>
      <c r="K1873" s="21" t="n">
        <f aca="false">D1873/(D1873+E1873)</f>
        <v>0.475308641975309</v>
      </c>
      <c r="L1873" s="21" t="n">
        <f aca="false">AVERAGEIFS($K$2:$K$2705,$B$2:$B$2705,B1873)</f>
        <v>0.499963188302301</v>
      </c>
      <c r="M1873" s="21" t="n">
        <f aca="false">K1873-L1873</f>
        <v>-0.0246545463269923</v>
      </c>
      <c r="N1873" s="21" t="n">
        <f aca="false">LN(J1873)</f>
        <v>12.7295912550009</v>
      </c>
      <c r="O1873" s="21" t="n">
        <f aca="false">AVERAGEIFS($N$2:$N$2705,$B$2:$B$2705,B1873)</f>
        <v>13.6231716231581</v>
      </c>
      <c r="P1873" s="21" t="n">
        <f aca="false">N1873-O1873</f>
        <v>-0.893580368157199</v>
      </c>
      <c r="Q1873" s="7" t="n">
        <v>0</v>
      </c>
      <c r="R1873" s="3" t="n">
        <f aca="false">IF(AND(Q1873=1,B1873-_xlfn.MINIFS($B$2:$B$2705,$A$2:$A$2705,A1873)&lt;10),1,0)</f>
        <v>0</v>
      </c>
      <c r="S1873" s="7" t="n">
        <v>0</v>
      </c>
      <c r="T1873" s="3" t="n">
        <f aca="false">_xlfn.MINIFS($B$2:$B$2705,$A$2:$A$2705,A1873)</f>
        <v>1901</v>
      </c>
      <c r="U1873" s="3" t="n">
        <f aca="false">B1873-T1873</f>
        <v>97</v>
      </c>
      <c r="V1873" s="3" t="str">
        <f aca="false">INDEX(Pop_Inputs!$Q$2:$Q$29,MATCH(C1873,Pop_Inputs!$A$2:$A$29,0))</f>
        <v>Midwest</v>
      </c>
      <c r="W1873" s="29" t="n">
        <v>23005000</v>
      </c>
      <c r="X1873" s="3" t="n">
        <f aca="false">IF(W1873="","",LN(W1873))</f>
        <v>16.9512221415717</v>
      </c>
      <c r="Y1873" s="3" t="n">
        <f aca="false">IF(X1873="","",X1873-AVERAGEIFS($X$2:$X$2705,$B$2:$B$2705,B1873))</f>
        <v>-0.535022645150285</v>
      </c>
      <c r="Z1873" s="21" t="n">
        <f aca="false">P1873</f>
        <v>-0.893580368157199</v>
      </c>
      <c r="AA1873" s="3" t="n">
        <f aca="false">R1873</f>
        <v>0</v>
      </c>
      <c r="AB1873" s="21" t="n">
        <f aca="false">P1873</f>
        <v>-0.893580368157199</v>
      </c>
      <c r="AC1873" s="3" t="n">
        <f aca="false">Y1873</f>
        <v>-0.535022645150285</v>
      </c>
      <c r="AD1873" s="3" t="n">
        <f aca="false">R1873</f>
        <v>0</v>
      </c>
    </row>
    <row r="1874" customFormat="false" ht="15" hidden="false" customHeight="true" outlineLevel="0" collapsed="false">
      <c r="A1874" s="7" t="s">
        <v>66</v>
      </c>
      <c r="B1874" s="7" t="n">
        <v>1998</v>
      </c>
      <c r="C1874" s="7" t="s">
        <v>151</v>
      </c>
      <c r="D1874" s="7" t="n">
        <v>89</v>
      </c>
      <c r="E1874" s="7" t="n">
        <v>73</v>
      </c>
      <c r="F1874" s="3" t="n">
        <f aca="false">COUNTIFS($B$2:$B$2705,B1874,$C$2:$C$2705,C1874)</f>
        <v>1</v>
      </c>
      <c r="G1874" s="3" t="n">
        <f aca="false">MIN(INT((MIN(B1874,2020)-1900)/10)+1,12)</f>
        <v>10</v>
      </c>
      <c r="H1874" s="3" t="n">
        <f aca="false">(MIN(B1874,2020)-1900-10*(G1874-1))/10</f>
        <v>0.8</v>
      </c>
      <c r="I1874" s="20" t="n">
        <f aca="false">EXP(LN(INDEX(Pop_Inputs!$B$2:$N$29,MATCH(C1874,Pop_Inputs!$A$2:$A$29,0),G1874))*(1-H1874)+LN(INDEX(Pop_Inputs!$B$2:$N$29,MATCH(C1874,Pop_Inputs!$A$2:$A$29,0),G1874+1))*H1874)</f>
        <v>483725.828609123</v>
      </c>
      <c r="J1874" s="20" t="n">
        <f aca="false">I1874/F1874</f>
        <v>483725.828609123</v>
      </c>
      <c r="K1874" s="21" t="n">
        <f aca="false">D1874/(D1874+E1874)</f>
        <v>0.549382716049383</v>
      </c>
      <c r="L1874" s="21" t="n">
        <f aca="false">AVERAGEIFS($K$2:$K$2705,$B$2:$B$2705,B1874)</f>
        <v>0.499963188302301</v>
      </c>
      <c r="M1874" s="21" t="n">
        <f aca="false">K1874-L1874</f>
        <v>0.0494195277470818</v>
      </c>
      <c r="N1874" s="21" t="n">
        <f aca="false">LN(J1874)</f>
        <v>13.0892735553783</v>
      </c>
      <c r="O1874" s="21" t="n">
        <f aca="false">AVERAGEIFS($N$2:$N$2705,$B$2:$B$2705,B1874)</f>
        <v>13.6231716231581</v>
      </c>
      <c r="P1874" s="21" t="n">
        <f aca="false">N1874-O1874</f>
        <v>-0.533898067779802</v>
      </c>
      <c r="Q1874" s="7" t="n">
        <v>0</v>
      </c>
      <c r="R1874" s="3" t="n">
        <f aca="false">IF(AND(Q1874=1,B1874-_xlfn.MINIFS($B$2:$B$2705,$A$2:$A$2705,A1874)&lt;10),1,0)</f>
        <v>0</v>
      </c>
      <c r="S1874" s="7" t="n">
        <v>0</v>
      </c>
      <c r="T1874" s="3" t="n">
        <f aca="false">_xlfn.MINIFS($B$2:$B$2705,$A$2:$A$2705,A1874)</f>
        <v>1901</v>
      </c>
      <c r="U1874" s="3" t="n">
        <f aca="false">B1874-T1874</f>
        <v>97</v>
      </c>
      <c r="V1874" s="3" t="str">
        <f aca="false">INDEX(Pop_Inputs!$Q$2:$Q$29,MATCH(C1874,Pop_Inputs!$A$2:$A$29,0))</f>
        <v>Midwest</v>
      </c>
      <c r="W1874" s="29" t="n">
        <v>60800166</v>
      </c>
      <c r="X1874" s="3" t="n">
        <f aca="false">IF(W1874="","",LN(W1874))</f>
        <v>17.9231030771958</v>
      </c>
      <c r="Y1874" s="3" t="n">
        <f aca="false">IF(X1874="","",X1874-AVERAGEIFS($X$2:$X$2705,$B$2:$B$2705,B1874))</f>
        <v>0.436858290473836</v>
      </c>
      <c r="Z1874" s="21" t="n">
        <f aca="false">P1874</f>
        <v>-0.533898067779802</v>
      </c>
      <c r="AA1874" s="3" t="n">
        <f aca="false">R1874</f>
        <v>0</v>
      </c>
      <c r="AB1874" s="21" t="n">
        <f aca="false">P1874</f>
        <v>-0.533898067779802</v>
      </c>
      <c r="AC1874" s="3" t="n">
        <f aca="false">Y1874</f>
        <v>0.436858290473836</v>
      </c>
      <c r="AD1874" s="3" t="n">
        <f aca="false">R1874</f>
        <v>0</v>
      </c>
    </row>
    <row r="1875" customFormat="false" ht="15" hidden="false" customHeight="true" outlineLevel="0" collapsed="false">
      <c r="A1875" s="7" t="s">
        <v>82</v>
      </c>
      <c r="B1875" s="7" t="n">
        <v>1998</v>
      </c>
      <c r="C1875" s="7" t="s">
        <v>163</v>
      </c>
      <c r="D1875" s="7" t="n">
        <v>77</v>
      </c>
      <c r="E1875" s="7" t="n">
        <v>85</v>
      </c>
      <c r="F1875" s="3" t="n">
        <f aca="false">COUNTIFS($B$2:$B$2705,B1875,$C$2:$C$2705,C1875)</f>
        <v>1</v>
      </c>
      <c r="G1875" s="3" t="n">
        <f aca="false">MIN(INT((MIN(B1875,2020)-1900)/10)+1,12)</f>
        <v>10</v>
      </c>
      <c r="H1875" s="3" t="n">
        <f aca="false">(MIN(B1875,2020)-1900-10*(G1875-1))/10</f>
        <v>0.8</v>
      </c>
      <c r="I1875" s="20" t="n">
        <f aca="false">EXP(LN(INDEX(Pop_Inputs!$B$2:$N$29,MATCH(C1875,Pop_Inputs!$A$2:$A$29,0),G1875))*(1-H1875)+LN(INDEX(Pop_Inputs!$B$2:$N$29,MATCH(C1875,Pop_Inputs!$A$2:$A$29,0),G1875+1))*H1875)</f>
        <v>536022.724813534</v>
      </c>
      <c r="J1875" s="20" t="n">
        <f aca="false">I1875/F1875</f>
        <v>536022.724813534</v>
      </c>
      <c r="K1875" s="21" t="n">
        <f aca="false">D1875/(D1875+E1875)</f>
        <v>0.475308641975309</v>
      </c>
      <c r="L1875" s="21" t="n">
        <f aca="false">AVERAGEIFS($K$2:$K$2705,$B$2:$B$2705,B1875)</f>
        <v>0.499963188302301</v>
      </c>
      <c r="M1875" s="21" t="n">
        <f aca="false">K1875-L1875</f>
        <v>-0.0246545463269923</v>
      </c>
      <c r="N1875" s="21" t="n">
        <f aca="false">LN(J1875)</f>
        <v>13.1919318361944</v>
      </c>
      <c r="O1875" s="21" t="n">
        <f aca="false">AVERAGEIFS($N$2:$N$2705,$B$2:$B$2705,B1875)</f>
        <v>13.6231716231581</v>
      </c>
      <c r="P1875" s="21" t="n">
        <f aca="false">N1875-O1875</f>
        <v>-0.431239786963682</v>
      </c>
      <c r="Q1875" s="7" t="n">
        <v>1</v>
      </c>
      <c r="R1875" s="3" t="n">
        <f aca="false">IF(AND(Q1875=1,B1875-_xlfn.MINIFS($B$2:$B$2705,$A$2:$A$2705,A1875)&lt;10),1,0)</f>
        <v>1</v>
      </c>
      <c r="S1875" s="7" t="n">
        <v>0</v>
      </c>
      <c r="T1875" s="3" t="n">
        <f aca="false">_xlfn.MINIFS($B$2:$B$2705,$A$2:$A$2705,A1875)</f>
        <v>1993</v>
      </c>
      <c r="U1875" s="3" t="n">
        <f aca="false">B1875-T1875</f>
        <v>5</v>
      </c>
      <c r="V1875" s="3" t="str">
        <f aca="false">INDEX(Pop_Inputs!$Q$2:$Q$29,MATCH(C1875,Pop_Inputs!$A$2:$A$29,0))</f>
        <v>West</v>
      </c>
      <c r="W1875" s="29" t="n">
        <v>50484648</v>
      </c>
      <c r="X1875" s="3" t="n">
        <f aca="false">IF(W1875="","",LN(W1875))</f>
        <v>17.7371798480282</v>
      </c>
      <c r="Y1875" s="3" t="n">
        <f aca="false">IF(X1875="","",X1875-AVERAGEIFS($X$2:$X$2705,$B$2:$B$2705,B1875))</f>
        <v>0.250935061306233</v>
      </c>
      <c r="Z1875" s="21" t="n">
        <f aca="false">P1875</f>
        <v>-0.431239786963682</v>
      </c>
      <c r="AA1875" s="3" t="n">
        <f aca="false">R1875</f>
        <v>1</v>
      </c>
      <c r="AB1875" s="21" t="n">
        <f aca="false">P1875</f>
        <v>-0.431239786963682</v>
      </c>
      <c r="AC1875" s="3" t="n">
        <f aca="false">Y1875</f>
        <v>0.250935061306233</v>
      </c>
      <c r="AD1875" s="3" t="n">
        <f aca="false">R1875</f>
        <v>1</v>
      </c>
    </row>
    <row r="1876" customFormat="false" ht="15" hidden="false" customHeight="true" outlineLevel="0" collapsed="false">
      <c r="A1876" s="7" t="s">
        <v>67</v>
      </c>
      <c r="B1876" s="7" t="n">
        <v>1998</v>
      </c>
      <c r="C1876" s="7" t="s">
        <v>152</v>
      </c>
      <c r="D1876" s="7" t="n">
        <v>65</v>
      </c>
      <c r="E1876" s="7" t="n">
        <v>97</v>
      </c>
      <c r="F1876" s="3" t="n">
        <f aca="false">COUNTIFS($B$2:$B$2705,B1876,$C$2:$C$2705,C1876)</f>
        <v>1</v>
      </c>
      <c r="G1876" s="3" t="n">
        <f aca="false">MIN(INT((MIN(B1876,2020)-1900)/10)+1,12)</f>
        <v>10</v>
      </c>
      <c r="H1876" s="3" t="n">
        <f aca="false">(MIN(B1876,2020)-1900-10*(G1876-1))/10</f>
        <v>0.8</v>
      </c>
      <c r="I1876" s="20" t="n">
        <f aca="false">EXP(LN(INDEX(Pop_Inputs!$B$2:$N$29,MATCH(C1876,Pop_Inputs!$A$2:$A$29,0),G1876))*(1-H1876)+LN(INDEX(Pop_Inputs!$B$2:$N$29,MATCH(C1876,Pop_Inputs!$A$2:$A$29,0),G1876+1))*H1876)</f>
        <v>966138.67316524</v>
      </c>
      <c r="J1876" s="20" t="n">
        <f aca="false">I1876/F1876</f>
        <v>966138.67316524</v>
      </c>
      <c r="K1876" s="21" t="n">
        <f aca="false">D1876/(D1876+E1876)</f>
        <v>0.401234567901235</v>
      </c>
      <c r="L1876" s="21" t="n">
        <f aca="false">AVERAGEIFS($K$2:$K$2705,$B$2:$B$2705,B1876)</f>
        <v>0.499963188302301</v>
      </c>
      <c r="M1876" s="21" t="n">
        <f aca="false">K1876-L1876</f>
        <v>-0.0987286204010664</v>
      </c>
      <c r="N1876" s="21" t="n">
        <f aca="false">LN(J1876)</f>
        <v>13.781062656893</v>
      </c>
      <c r="O1876" s="21" t="n">
        <f aca="false">AVERAGEIFS($N$2:$N$2705,$B$2:$B$2705,B1876)</f>
        <v>13.6231716231581</v>
      </c>
      <c r="P1876" s="21" t="n">
        <f aca="false">N1876-O1876</f>
        <v>0.157891033734982</v>
      </c>
      <c r="Q1876" s="7" t="n">
        <v>0</v>
      </c>
      <c r="R1876" s="3" t="n">
        <f aca="false">IF(AND(Q1876=1,B1876-_xlfn.MINIFS($B$2:$B$2705,$A$2:$A$2705,A1876)&lt;10),1,0)</f>
        <v>0</v>
      </c>
      <c r="S1876" s="7" t="n">
        <v>0</v>
      </c>
      <c r="T1876" s="3" t="n">
        <f aca="false">_xlfn.MINIFS($B$2:$B$2705,$A$2:$A$2705,A1876)</f>
        <v>1901</v>
      </c>
      <c r="U1876" s="3" t="n">
        <f aca="false">B1876-T1876</f>
        <v>97</v>
      </c>
      <c r="V1876" s="3" t="str">
        <f aca="false">INDEX(Pop_Inputs!$Q$2:$Q$29,MATCH(C1876,Pop_Inputs!$A$2:$A$29,0))</f>
        <v>Midwest</v>
      </c>
      <c r="W1876" s="29" t="n">
        <v>24065000</v>
      </c>
      <c r="X1876" s="3" t="n">
        <f aca="false">IF(W1876="","",LN(W1876))</f>
        <v>16.9962690607193</v>
      </c>
      <c r="Y1876" s="3" t="n">
        <f aca="false">IF(X1876="","",X1876-AVERAGEIFS($X$2:$X$2705,$B$2:$B$2705,B1876))</f>
        <v>-0.489975726002644</v>
      </c>
      <c r="Z1876" s="21" t="n">
        <f aca="false">P1876</f>
        <v>0.157891033734982</v>
      </c>
      <c r="AA1876" s="3" t="n">
        <f aca="false">R1876</f>
        <v>0</v>
      </c>
      <c r="AB1876" s="21" t="n">
        <f aca="false">P1876</f>
        <v>0.157891033734982</v>
      </c>
      <c r="AC1876" s="3" t="n">
        <f aca="false">Y1876</f>
        <v>-0.489975726002644</v>
      </c>
      <c r="AD1876" s="3" t="n">
        <f aca="false">R1876</f>
        <v>0</v>
      </c>
    </row>
    <row r="1877" customFormat="false" ht="15" hidden="false" customHeight="true" outlineLevel="0" collapsed="false">
      <c r="A1877" s="7" t="s">
        <v>83</v>
      </c>
      <c r="B1877" s="7" t="n">
        <v>1998</v>
      </c>
      <c r="C1877" s="7" t="s">
        <v>164</v>
      </c>
      <c r="D1877" s="7" t="n">
        <v>54</v>
      </c>
      <c r="E1877" s="7" t="n">
        <v>108</v>
      </c>
      <c r="F1877" s="3" t="n">
        <f aca="false">COUNTIFS($B$2:$B$2705,B1877,$C$2:$C$2705,C1877)</f>
        <v>1</v>
      </c>
      <c r="G1877" s="3" t="n">
        <f aca="false">MIN(INT((MIN(B1877,2020)-1900)/10)+1,12)</f>
        <v>10</v>
      </c>
      <c r="H1877" s="3" t="n">
        <f aca="false">(MIN(B1877,2020)-1900-10*(G1877-1))/10</f>
        <v>0.8</v>
      </c>
      <c r="I1877" s="20" t="n">
        <f aca="false">EXP(LN(INDEX(Pop_Inputs!$B$2:$N$29,MATCH(C1877,Pop_Inputs!$A$2:$A$29,0),G1877))*(1-H1877)+LN(INDEX(Pop_Inputs!$B$2:$N$29,MATCH(C1877,Pop_Inputs!$A$2:$A$29,0),G1877+1))*H1877)</f>
        <v>361702.355419537</v>
      </c>
      <c r="J1877" s="20" t="n">
        <f aca="false">I1877/F1877</f>
        <v>361702.355419537</v>
      </c>
      <c r="K1877" s="21" t="n">
        <f aca="false">D1877/(D1877+E1877)</f>
        <v>0.333333333333333</v>
      </c>
      <c r="L1877" s="21" t="n">
        <f aca="false">AVERAGEIFS($K$2:$K$2705,$B$2:$B$2705,B1877)</f>
        <v>0.499963188302301</v>
      </c>
      <c r="M1877" s="21" t="n">
        <f aca="false">K1877-L1877</f>
        <v>-0.166629854968968</v>
      </c>
      <c r="N1877" s="21" t="n">
        <f aca="false">LN(J1877)</f>
        <v>12.7985769299995</v>
      </c>
      <c r="O1877" s="21" t="n">
        <f aca="false">AVERAGEIFS($N$2:$N$2705,$B$2:$B$2705,B1877)</f>
        <v>13.6231716231581</v>
      </c>
      <c r="P1877" s="21" t="n">
        <f aca="false">N1877-O1877</f>
        <v>-0.824594693158526</v>
      </c>
      <c r="Q1877" s="7" t="n">
        <v>1</v>
      </c>
      <c r="R1877" s="3" t="n">
        <f aca="false">IF(AND(Q1877=1,B1877-_xlfn.MINIFS($B$2:$B$2705,$A$2:$A$2705,A1877)&lt;10),1,0)</f>
        <v>1</v>
      </c>
      <c r="S1877" s="7" t="n">
        <v>0</v>
      </c>
      <c r="T1877" s="3" t="n">
        <f aca="false">_xlfn.MINIFS($B$2:$B$2705,$A$2:$A$2705,A1877)</f>
        <v>1993</v>
      </c>
      <c r="U1877" s="3" t="n">
        <f aca="false">B1877-T1877</f>
        <v>5</v>
      </c>
      <c r="V1877" s="3" t="str">
        <f aca="false">INDEX(Pop_Inputs!$Q$2:$Q$29,MATCH(C1877,Pop_Inputs!$A$2:$A$29,0))</f>
        <v>South</v>
      </c>
      <c r="W1877" s="29" t="n">
        <v>41322667</v>
      </c>
      <c r="X1877" s="3" t="n">
        <f aca="false">IF(W1877="","",LN(W1877))</f>
        <v>17.5369217451473</v>
      </c>
      <c r="Y1877" s="3" t="n">
        <f aca="false">IF(X1877="","",X1877-AVERAGEIFS($X$2:$X$2705,$B$2:$B$2705,B1877))</f>
        <v>0.0506769584253028</v>
      </c>
      <c r="Z1877" s="21" t="n">
        <f aca="false">P1877</f>
        <v>-0.824594693158526</v>
      </c>
      <c r="AA1877" s="3" t="n">
        <f aca="false">R1877</f>
        <v>1</v>
      </c>
      <c r="AB1877" s="21" t="n">
        <f aca="false">P1877</f>
        <v>-0.824594693158526</v>
      </c>
      <c r="AC1877" s="3" t="n">
        <f aca="false">Y1877</f>
        <v>0.0506769584253028</v>
      </c>
      <c r="AD1877" s="3" t="n">
        <f aca="false">R1877</f>
        <v>1</v>
      </c>
    </row>
    <row r="1878" customFormat="false" ht="15" hidden="false" customHeight="true" outlineLevel="0" collapsed="false">
      <c r="A1878" s="7" t="s">
        <v>74</v>
      </c>
      <c r="B1878" s="7" t="n">
        <v>1998</v>
      </c>
      <c r="C1878" s="7" t="s">
        <v>156</v>
      </c>
      <c r="D1878" s="7" t="n">
        <v>102</v>
      </c>
      <c r="E1878" s="7" t="n">
        <v>60</v>
      </c>
      <c r="F1878" s="3" t="n">
        <f aca="false">COUNTIFS($B$2:$B$2705,B1878,$C$2:$C$2705,C1878)</f>
        <v>1</v>
      </c>
      <c r="G1878" s="3" t="n">
        <f aca="false">MIN(INT((MIN(B1878,2020)-1900)/10)+1,12)</f>
        <v>10</v>
      </c>
      <c r="H1878" s="3" t="n">
        <f aca="false">(MIN(B1878,2020)-1900-10*(G1878-1))/10</f>
        <v>0.8</v>
      </c>
      <c r="I1878" s="20" t="n">
        <f aca="false">EXP(LN(INDEX(Pop_Inputs!$B$2:$N$29,MATCH(C1878,Pop_Inputs!$A$2:$A$29,0),G1878))*(1-H1878)+LN(INDEX(Pop_Inputs!$B$2:$N$29,MATCH(C1878,Pop_Inputs!$A$2:$A$29,0),G1878+1))*H1878)</f>
        <v>1884260.80504979</v>
      </c>
      <c r="J1878" s="20" t="n">
        <f aca="false">I1878/F1878</f>
        <v>1884260.80504979</v>
      </c>
      <c r="K1878" s="21" t="n">
        <f aca="false">D1878/(D1878+E1878)</f>
        <v>0.62962962962963</v>
      </c>
      <c r="L1878" s="21" t="n">
        <f aca="false">AVERAGEIFS($K$2:$K$2705,$B$2:$B$2705,B1878)</f>
        <v>0.499963188302301</v>
      </c>
      <c r="M1878" s="21" t="n">
        <f aca="false">K1878-L1878</f>
        <v>0.129666441327329</v>
      </c>
      <c r="N1878" s="21" t="n">
        <f aca="false">LN(J1878)</f>
        <v>14.4490461560928</v>
      </c>
      <c r="O1878" s="21" t="n">
        <f aca="false">AVERAGEIFS($N$2:$N$2705,$B$2:$B$2705,B1878)</f>
        <v>13.6231716231581</v>
      </c>
      <c r="P1878" s="21" t="n">
        <f aca="false">N1878-O1878</f>
        <v>0.825874532934707</v>
      </c>
      <c r="Q1878" s="7" t="n">
        <v>1</v>
      </c>
      <c r="R1878" s="3" t="n">
        <f aca="false">IF(AND(Q1878=1,B1878-_xlfn.MINIFS($B$2:$B$2705,$A$2:$A$2705,A1878)&lt;10),1,0)</f>
        <v>0</v>
      </c>
      <c r="S1878" s="7" t="n">
        <v>0</v>
      </c>
      <c r="T1878" s="3" t="n">
        <f aca="false">_xlfn.MINIFS($B$2:$B$2705,$A$2:$A$2705,A1878)</f>
        <v>1962</v>
      </c>
      <c r="U1878" s="3" t="n">
        <f aca="false">B1878-T1878</f>
        <v>36</v>
      </c>
      <c r="V1878" s="3" t="str">
        <f aca="false">INDEX(Pop_Inputs!$Q$2:$Q$29,MATCH(C1878,Pop_Inputs!$A$2:$A$29,0))</f>
        <v>South</v>
      </c>
      <c r="W1878" s="29" t="n">
        <v>42374000</v>
      </c>
      <c r="X1878" s="3" t="n">
        <f aca="false">IF(W1878="","",LN(W1878))</f>
        <v>17.5620455245664</v>
      </c>
      <c r="Y1878" s="3" t="n">
        <f aca="false">IF(X1878="","",X1878-AVERAGEIFS($X$2:$X$2705,$B$2:$B$2705,B1878))</f>
        <v>0.0758007378443821</v>
      </c>
      <c r="Z1878" s="21" t="n">
        <f aca="false">P1878</f>
        <v>0.825874532934707</v>
      </c>
      <c r="AA1878" s="3" t="n">
        <f aca="false">R1878</f>
        <v>0</v>
      </c>
      <c r="AB1878" s="21" t="n">
        <f aca="false">P1878</f>
        <v>0.825874532934707</v>
      </c>
      <c r="AC1878" s="3" t="n">
        <f aca="false">Y1878</f>
        <v>0.0758007378443821</v>
      </c>
      <c r="AD1878" s="3" t="n">
        <f aca="false">R1878</f>
        <v>0</v>
      </c>
    </row>
    <row r="1879" customFormat="false" ht="15" hidden="false" customHeight="true" outlineLevel="0" collapsed="false">
      <c r="A1879" s="7" t="s">
        <v>76</v>
      </c>
      <c r="B1879" s="7" t="n">
        <v>1998</v>
      </c>
      <c r="C1879" s="7" t="s">
        <v>157</v>
      </c>
      <c r="D1879" s="7" t="n">
        <v>72</v>
      </c>
      <c r="E1879" s="7" t="n">
        <v>89</v>
      </c>
      <c r="F1879" s="3" t="n">
        <f aca="false">COUNTIFS($B$2:$B$2705,B1879,$C$2:$C$2705,C1879)</f>
        <v>1</v>
      </c>
      <c r="G1879" s="3" t="n">
        <f aca="false">MIN(INT((MIN(B1879,2020)-1900)/10)+1,12)</f>
        <v>10</v>
      </c>
      <c r="H1879" s="3" t="n">
        <f aca="false">(MIN(B1879,2020)-1900-10*(G1879-1))/10</f>
        <v>0.8</v>
      </c>
      <c r="I1879" s="20" t="n">
        <f aca="false">EXP(LN(INDEX(Pop_Inputs!$B$2:$N$29,MATCH(C1879,Pop_Inputs!$A$2:$A$29,0),G1879))*(1-H1879)+LN(INDEX(Pop_Inputs!$B$2:$N$29,MATCH(C1879,Pop_Inputs!$A$2:$A$29,0),G1879+1))*H1879)</f>
        <v>440257.715932994</v>
      </c>
      <c r="J1879" s="20" t="n">
        <f aca="false">I1879/F1879</f>
        <v>440257.715932994</v>
      </c>
      <c r="K1879" s="21" t="n">
        <f aca="false">D1879/(D1879+E1879)</f>
        <v>0.447204968944099</v>
      </c>
      <c r="L1879" s="21" t="n">
        <f aca="false">AVERAGEIFS($K$2:$K$2705,$B$2:$B$2705,B1879)</f>
        <v>0.499963188302301</v>
      </c>
      <c r="M1879" s="21" t="n">
        <f aca="false">K1879-L1879</f>
        <v>-0.0527582193582016</v>
      </c>
      <c r="N1879" s="21" t="n">
        <f aca="false">LN(J1879)</f>
        <v>12.9951155524581</v>
      </c>
      <c r="O1879" s="21" t="n">
        <f aca="false">AVERAGEIFS($N$2:$N$2705,$B$2:$B$2705,B1879)</f>
        <v>13.6231716231581</v>
      </c>
      <c r="P1879" s="21" t="n">
        <f aca="false">N1879-O1879</f>
        <v>-0.628056070699946</v>
      </c>
      <c r="Q1879" s="7" t="n">
        <v>1</v>
      </c>
      <c r="R1879" s="3" t="n">
        <f aca="false">IF(AND(Q1879=1,B1879-_xlfn.MINIFS($B$2:$B$2705,$A$2:$A$2705,A1879)&lt;10),1,0)</f>
        <v>0</v>
      </c>
      <c r="S1879" s="7" t="n">
        <v>0</v>
      </c>
      <c r="T1879" s="3" t="n">
        <f aca="false">_xlfn.MINIFS($B$2:$B$2705,$A$2:$A$2705,A1879)</f>
        <v>1969</v>
      </c>
      <c r="U1879" s="3" t="n">
        <f aca="false">B1879-T1879</f>
        <v>29</v>
      </c>
      <c r="V1879" s="3" t="str">
        <f aca="false">INDEX(Pop_Inputs!$Q$2:$Q$29,MATCH(C1879,Pop_Inputs!$A$2:$A$29,0))</f>
        <v>Midwest</v>
      </c>
      <c r="W1879" s="29" t="n">
        <v>36862500</v>
      </c>
      <c r="X1879" s="3" t="n">
        <f aca="false">IF(W1879="","",LN(W1879))</f>
        <v>17.4227053321057</v>
      </c>
      <c r="Y1879" s="3" t="n">
        <f aca="false">IF(X1879="","",X1879-AVERAGEIFS($X$2:$X$2705,$B$2:$B$2705,B1879))</f>
        <v>-0.0635394546163219</v>
      </c>
      <c r="Z1879" s="21" t="n">
        <f aca="false">P1879</f>
        <v>-0.628056070699946</v>
      </c>
      <c r="AA1879" s="3" t="n">
        <f aca="false">R1879</f>
        <v>0</v>
      </c>
      <c r="AB1879" s="21" t="n">
        <f aca="false">P1879</f>
        <v>-0.628056070699946</v>
      </c>
      <c r="AC1879" s="3" t="n">
        <f aca="false">Y1879</f>
        <v>-0.0635394546163219</v>
      </c>
      <c r="AD1879" s="3" t="n">
        <f aca="false">R1879</f>
        <v>0</v>
      </c>
    </row>
    <row r="1880" customFormat="false" ht="15" hidden="false" customHeight="true" outlineLevel="0" collapsed="false">
      <c r="A1880" s="7" t="s">
        <v>62</v>
      </c>
      <c r="B1880" s="7" t="n">
        <v>1998</v>
      </c>
      <c r="C1880" s="7" t="s">
        <v>148</v>
      </c>
      <c r="D1880" s="7" t="n">
        <v>83</v>
      </c>
      <c r="E1880" s="7" t="n">
        <v>79</v>
      </c>
      <c r="F1880" s="3" t="n">
        <f aca="false">COUNTIFS($B$2:$B$2705,B1880,$C$2:$C$2705,C1880)</f>
        <v>2</v>
      </c>
      <c r="G1880" s="3" t="n">
        <f aca="false">MIN(INT((MIN(B1880,2020)-1900)/10)+1,12)</f>
        <v>10</v>
      </c>
      <c r="H1880" s="3" t="n">
        <f aca="false">(MIN(B1880,2020)-1900-10*(G1880-1))/10</f>
        <v>0.8</v>
      </c>
      <c r="I1880" s="20" t="n">
        <f aca="false">EXP(LN(INDEX(Pop_Inputs!$B$2:$N$29,MATCH(C1880,Pop_Inputs!$A$2:$A$29,0),G1880))*(1-H1880)+LN(INDEX(Pop_Inputs!$B$2:$N$29,MATCH(C1880,Pop_Inputs!$A$2:$A$29,0),G1880+1))*H1880)</f>
        <v>3651952.36559226</v>
      </c>
      <c r="J1880" s="20" t="n">
        <f aca="false">I1880/F1880</f>
        <v>1825976.18279613</v>
      </c>
      <c r="K1880" s="21" t="n">
        <f aca="false">D1880/(D1880+E1880)</f>
        <v>0.512345679012346</v>
      </c>
      <c r="L1880" s="21" t="n">
        <f aca="false">AVERAGEIFS($K$2:$K$2705,$B$2:$B$2705,B1880)</f>
        <v>0.499963188302301</v>
      </c>
      <c r="M1880" s="21" t="n">
        <f aca="false">K1880-L1880</f>
        <v>0.0123824907100448</v>
      </c>
      <c r="N1880" s="21" t="n">
        <f aca="false">LN(J1880)</f>
        <v>14.4176252966764</v>
      </c>
      <c r="O1880" s="21" t="n">
        <f aca="false">AVERAGEIFS($N$2:$N$2705,$B$2:$B$2705,B1880)</f>
        <v>13.6231716231581</v>
      </c>
      <c r="P1880" s="21" t="n">
        <f aca="false">N1880-O1880</f>
        <v>0.794453673518305</v>
      </c>
      <c r="Q1880" s="7" t="n">
        <v>0</v>
      </c>
      <c r="R1880" s="3" t="n">
        <f aca="false">IF(AND(Q1880=1,B1880-_xlfn.MINIFS($B$2:$B$2705,$A$2:$A$2705,A1880)&lt;10),1,0)</f>
        <v>0</v>
      </c>
      <c r="S1880" s="7" t="n">
        <v>0</v>
      </c>
      <c r="T1880" s="3" t="n">
        <f aca="false">_xlfn.MINIFS($B$2:$B$2705,$A$2:$A$2705,A1880)</f>
        <v>1901</v>
      </c>
      <c r="U1880" s="3" t="n">
        <f aca="false">B1880-T1880</f>
        <v>97</v>
      </c>
      <c r="V1880" s="3" t="str">
        <f aca="false">INDEX(Pop_Inputs!$Q$2:$Q$29,MATCH(C1880,Pop_Inputs!$A$2:$A$29,0))</f>
        <v>West</v>
      </c>
      <c r="W1880" s="29" t="n">
        <v>48820000</v>
      </c>
      <c r="X1880" s="3" t="n">
        <f aca="false">IF(W1880="","",LN(W1880))</f>
        <v>17.7036506229291</v>
      </c>
      <c r="Y1880" s="3" t="n">
        <f aca="false">IF(X1880="","",X1880-AVERAGEIFS($X$2:$X$2705,$B$2:$B$2705,B1880))</f>
        <v>0.217405836207099</v>
      </c>
      <c r="Z1880" s="21" t="n">
        <f aca="false">P1880</f>
        <v>0.794453673518305</v>
      </c>
      <c r="AA1880" s="3" t="n">
        <f aca="false">R1880</f>
        <v>0</v>
      </c>
      <c r="AB1880" s="21" t="n">
        <f aca="false">P1880</f>
        <v>0.794453673518305</v>
      </c>
      <c r="AC1880" s="3" t="n">
        <f aca="false">Y1880</f>
        <v>0.217405836207099</v>
      </c>
      <c r="AD1880" s="3" t="n">
        <f aca="false">R1880</f>
        <v>0</v>
      </c>
    </row>
    <row r="1881" customFormat="false" ht="15" hidden="false" customHeight="true" outlineLevel="0" collapsed="false">
      <c r="A1881" s="7" t="s">
        <v>77</v>
      </c>
      <c r="B1881" s="7" t="n">
        <v>1998</v>
      </c>
      <c r="C1881" s="7" t="s">
        <v>158</v>
      </c>
      <c r="D1881" s="7" t="n">
        <v>74</v>
      </c>
      <c r="E1881" s="7" t="n">
        <v>88</v>
      </c>
      <c r="F1881" s="3" t="n">
        <f aca="false">COUNTIFS($B$2:$B$2705,B1881,$C$2:$C$2705,C1881)</f>
        <v>1</v>
      </c>
      <c r="G1881" s="3" t="n">
        <f aca="false">MIN(INT((MIN(B1881,2020)-1900)/10)+1,12)</f>
        <v>10</v>
      </c>
      <c r="H1881" s="3" t="n">
        <f aca="false">(MIN(B1881,2020)-1900-10*(G1881-1))/10</f>
        <v>0.8</v>
      </c>
      <c r="I1881" s="20" t="n">
        <f aca="false">EXP(LN(INDEX(Pop_Inputs!$B$2:$N$29,MATCH(C1881,Pop_Inputs!$A$2:$A$29,0),G1881))*(1-H1881)+LN(INDEX(Pop_Inputs!$B$2:$N$29,MATCH(C1881,Pop_Inputs!$A$2:$A$29,0),G1881+1))*H1881)</f>
        <v>603070.982804158</v>
      </c>
      <c r="J1881" s="20" t="n">
        <f aca="false">I1881/F1881</f>
        <v>603070.982804158</v>
      </c>
      <c r="K1881" s="21" t="n">
        <f aca="false">D1881/(D1881+E1881)</f>
        <v>0.45679012345679</v>
      </c>
      <c r="L1881" s="21" t="n">
        <f aca="false">AVERAGEIFS($K$2:$K$2705,$B$2:$B$2705,B1881)</f>
        <v>0.499963188302301</v>
      </c>
      <c r="M1881" s="21" t="n">
        <f aca="false">K1881-L1881</f>
        <v>-0.0431730648455109</v>
      </c>
      <c r="N1881" s="21" t="n">
        <f aca="false">LN(J1881)</f>
        <v>13.3097901848745</v>
      </c>
      <c r="O1881" s="21" t="n">
        <f aca="false">AVERAGEIFS($N$2:$N$2705,$B$2:$B$2705,B1881)</f>
        <v>13.6231716231581</v>
      </c>
      <c r="P1881" s="21" t="n">
        <f aca="false">N1881-O1881</f>
        <v>-0.313381438283608</v>
      </c>
      <c r="Q1881" s="7" t="n">
        <v>1</v>
      </c>
      <c r="R1881" s="3" t="n">
        <f aca="false">IF(AND(Q1881=1,B1881-_xlfn.MINIFS($B$2:$B$2705,$A$2:$A$2705,A1881)&lt;10),1,0)</f>
        <v>0</v>
      </c>
      <c r="S1881" s="7" t="n">
        <v>0</v>
      </c>
      <c r="T1881" s="3" t="n">
        <f aca="false">_xlfn.MINIFS($B$2:$B$2705,$A$2:$A$2705,A1881)</f>
        <v>1969</v>
      </c>
      <c r="U1881" s="3" t="n">
        <f aca="false">B1881-T1881</f>
        <v>29</v>
      </c>
      <c r="V1881" s="3" t="str">
        <f aca="false">INDEX(Pop_Inputs!$Q$2:$Q$29,MATCH(C1881,Pop_Inputs!$A$2:$A$29,0))</f>
        <v>Midwest</v>
      </c>
      <c r="W1881" s="29" t="n">
        <v>33914904</v>
      </c>
      <c r="X1881" s="3" t="n">
        <f aca="false">IF(W1881="","",LN(W1881))</f>
        <v>17.3393651217524</v>
      </c>
      <c r="Y1881" s="3" t="n">
        <f aca="false">IF(X1881="","",X1881-AVERAGEIFS($X$2:$X$2705,$B$2:$B$2705,B1881))</f>
        <v>-0.146879664969607</v>
      </c>
      <c r="Z1881" s="21" t="n">
        <f aca="false">P1881</f>
        <v>-0.313381438283608</v>
      </c>
      <c r="AA1881" s="3" t="n">
        <f aca="false">R1881</f>
        <v>0</v>
      </c>
      <c r="AB1881" s="21" t="n">
        <f aca="false">P1881</f>
        <v>-0.313381438283608</v>
      </c>
      <c r="AC1881" s="3" t="n">
        <f aca="false">Y1881</f>
        <v>-0.146879664969607</v>
      </c>
      <c r="AD1881" s="3" t="n">
        <f aca="false">R1881</f>
        <v>0</v>
      </c>
    </row>
    <row r="1882" customFormat="false" ht="15" hidden="false" customHeight="true" outlineLevel="0" collapsed="false">
      <c r="A1882" s="7" t="s">
        <v>68</v>
      </c>
      <c r="B1882" s="7" t="n">
        <v>1998</v>
      </c>
      <c r="C1882" s="7" t="s">
        <v>153</v>
      </c>
      <c r="D1882" s="7" t="n">
        <v>70</v>
      </c>
      <c r="E1882" s="7" t="n">
        <v>92</v>
      </c>
      <c r="F1882" s="3" t="n">
        <f aca="false">COUNTIFS($B$2:$B$2705,B1882,$C$2:$C$2705,C1882)</f>
        <v>1</v>
      </c>
      <c r="G1882" s="3" t="n">
        <f aca="false">MIN(INT((MIN(B1882,2020)-1900)/10)+1,12)</f>
        <v>10</v>
      </c>
      <c r="H1882" s="3" t="n">
        <f aca="false">(MIN(B1882,2020)-1900-10*(G1882-1))/10</f>
        <v>0.8</v>
      </c>
      <c r="I1882" s="20" t="n">
        <f aca="false">EXP(LN(INDEX(Pop_Inputs!$B$2:$N$29,MATCH(C1882,Pop_Inputs!$A$2:$A$29,0),G1882))*(1-H1882)+LN(INDEX(Pop_Inputs!$B$2:$N$29,MATCH(C1882,Pop_Inputs!$A$2:$A$29,0),G1882+1))*H1882)</f>
        <v>379727.660734431</v>
      </c>
      <c r="J1882" s="20" t="n">
        <f aca="false">I1882/F1882</f>
        <v>379727.660734431</v>
      </c>
      <c r="K1882" s="21" t="n">
        <f aca="false">D1882/(D1882+E1882)</f>
        <v>0.432098765432099</v>
      </c>
      <c r="L1882" s="21" t="n">
        <f aca="false">AVERAGEIFS($K$2:$K$2705,$B$2:$B$2705,B1882)</f>
        <v>0.499963188302301</v>
      </c>
      <c r="M1882" s="21" t="n">
        <f aca="false">K1882-L1882</f>
        <v>-0.0678644228702022</v>
      </c>
      <c r="N1882" s="21" t="n">
        <f aca="false">LN(J1882)</f>
        <v>12.8472095924852</v>
      </c>
      <c r="O1882" s="21" t="n">
        <f aca="false">AVERAGEIFS($N$2:$N$2705,$B$2:$B$2705,B1882)</f>
        <v>13.6231716231581</v>
      </c>
      <c r="P1882" s="21" t="n">
        <f aca="false">N1882-O1882</f>
        <v>-0.775962030672824</v>
      </c>
      <c r="Q1882" s="7" t="n">
        <v>0</v>
      </c>
      <c r="R1882" s="3" t="n">
        <f aca="false">IF(AND(Q1882=1,B1882-_xlfn.MINIFS($B$2:$B$2705,$A$2:$A$2705,A1882)&lt;10),1,0)</f>
        <v>0</v>
      </c>
      <c r="S1882" s="7" t="n">
        <v>0</v>
      </c>
      <c r="T1882" s="3" t="n">
        <f aca="false">_xlfn.MINIFS($B$2:$B$2705,$A$2:$A$2705,A1882)</f>
        <v>1901</v>
      </c>
      <c r="U1882" s="3" t="n">
        <f aca="false">B1882-T1882</f>
        <v>97</v>
      </c>
      <c r="V1882" s="3" t="str">
        <f aca="false">INDEX(Pop_Inputs!$Q$2:$Q$29,MATCH(C1882,Pop_Inputs!$A$2:$A$29,0))</f>
        <v>Midwest</v>
      </c>
      <c r="W1882" s="29" t="n">
        <v>27927500</v>
      </c>
      <c r="X1882" s="3" t="n">
        <f aca="false">IF(W1882="","",LN(W1882))</f>
        <v>17.1451224244271</v>
      </c>
      <c r="Y1882" s="3" t="n">
        <f aca="false">IF(X1882="","",X1882-AVERAGEIFS($X$2:$X$2705,$B$2:$B$2705,B1882))</f>
        <v>-0.341122362294851</v>
      </c>
      <c r="Z1882" s="21" t="n">
        <f aca="false">P1882</f>
        <v>-0.775962030672824</v>
      </c>
      <c r="AA1882" s="3" t="n">
        <f aca="false">R1882</f>
        <v>0</v>
      </c>
      <c r="AB1882" s="21" t="n">
        <f aca="false">P1882</f>
        <v>-0.775962030672824</v>
      </c>
      <c r="AC1882" s="3" t="n">
        <f aca="false">Y1882</f>
        <v>-0.341122362294851</v>
      </c>
      <c r="AD1882" s="3" t="n">
        <f aca="false">R1882</f>
        <v>0</v>
      </c>
    </row>
    <row r="1883" customFormat="false" ht="15" hidden="false" customHeight="true" outlineLevel="0" collapsed="false">
      <c r="A1883" s="7" t="s">
        <v>75</v>
      </c>
      <c r="B1883" s="7" t="n">
        <v>1998</v>
      </c>
      <c r="C1883" s="7" t="s">
        <v>154</v>
      </c>
      <c r="D1883" s="7" t="n">
        <v>88</v>
      </c>
      <c r="E1883" s="7" t="n">
        <v>74</v>
      </c>
      <c r="F1883" s="3" t="n">
        <f aca="false">COUNTIFS($B$2:$B$2705,B1883,$C$2:$C$2705,C1883)</f>
        <v>2</v>
      </c>
      <c r="G1883" s="3" t="n">
        <f aca="false">MIN(INT((MIN(B1883,2020)-1900)/10)+1,12)</f>
        <v>10</v>
      </c>
      <c r="H1883" s="3" t="n">
        <f aca="false">(MIN(B1883,2020)-1900-10*(G1883-1))/10</f>
        <v>0.8</v>
      </c>
      <c r="I1883" s="20" t="n">
        <f aca="false">EXP(LN(INDEX(Pop_Inputs!$B$2:$N$29,MATCH(C1883,Pop_Inputs!$A$2:$A$29,0),G1883))*(1-H1883)+LN(INDEX(Pop_Inputs!$B$2:$N$29,MATCH(C1883,Pop_Inputs!$A$2:$A$29,0),G1883+1))*H1883)</f>
        <v>7866181.22937587</v>
      </c>
      <c r="J1883" s="20" t="n">
        <f aca="false">I1883/F1883</f>
        <v>3933090.61468793</v>
      </c>
      <c r="K1883" s="21" t="n">
        <f aca="false">D1883/(D1883+E1883)</f>
        <v>0.54320987654321</v>
      </c>
      <c r="L1883" s="21" t="n">
        <f aca="false">AVERAGEIFS($K$2:$K$2705,$B$2:$B$2705,B1883)</f>
        <v>0.499963188302301</v>
      </c>
      <c r="M1883" s="21" t="n">
        <f aca="false">K1883-L1883</f>
        <v>0.0432466882409089</v>
      </c>
      <c r="N1883" s="21" t="n">
        <f aca="false">LN(J1883)</f>
        <v>15.1849360907336</v>
      </c>
      <c r="O1883" s="21" t="n">
        <f aca="false">AVERAGEIFS($N$2:$N$2705,$B$2:$B$2705,B1883)</f>
        <v>13.6231716231581</v>
      </c>
      <c r="P1883" s="21" t="n">
        <f aca="false">N1883-O1883</f>
        <v>1.56176446757551</v>
      </c>
      <c r="Q1883" s="7" t="n">
        <v>1</v>
      </c>
      <c r="R1883" s="3" t="n">
        <f aca="false">IF(AND(Q1883=1,B1883-_xlfn.MINIFS($B$2:$B$2705,$A$2:$A$2705,A1883)&lt;10),1,0)</f>
        <v>0</v>
      </c>
      <c r="S1883" s="7" t="n">
        <v>0</v>
      </c>
      <c r="T1883" s="3" t="n">
        <f aca="false">_xlfn.MINIFS($B$2:$B$2705,$A$2:$A$2705,A1883)</f>
        <v>1962</v>
      </c>
      <c r="U1883" s="3" t="n">
        <f aca="false">B1883-T1883</f>
        <v>36</v>
      </c>
      <c r="V1883" s="3" t="str">
        <f aca="false">INDEX(Pop_Inputs!$Q$2:$Q$29,MATCH(C1883,Pop_Inputs!$A$2:$A$29,0))</f>
        <v>Northeast</v>
      </c>
      <c r="W1883" s="29" t="n">
        <v>52077999</v>
      </c>
      <c r="X1883" s="3" t="n">
        <f aca="false">IF(W1883="","",LN(W1883))</f>
        <v>17.7682531334675</v>
      </c>
      <c r="Y1883" s="3" t="n">
        <f aca="false">IF(X1883="","",X1883-AVERAGEIFS($X$2:$X$2705,$B$2:$B$2705,B1883))</f>
        <v>0.282008346745482</v>
      </c>
      <c r="Z1883" s="21" t="n">
        <f aca="false">P1883</f>
        <v>1.56176446757551</v>
      </c>
      <c r="AA1883" s="3" t="n">
        <f aca="false">R1883</f>
        <v>0</v>
      </c>
      <c r="AB1883" s="21" t="n">
        <f aca="false">P1883</f>
        <v>1.56176446757551</v>
      </c>
      <c r="AC1883" s="3" t="n">
        <f aca="false">Y1883</f>
        <v>0.282008346745482</v>
      </c>
      <c r="AD1883" s="3" t="n">
        <f aca="false">R1883</f>
        <v>0</v>
      </c>
    </row>
    <row r="1884" customFormat="false" ht="15" hidden="false" customHeight="true" outlineLevel="0" collapsed="false">
      <c r="A1884" s="7" t="s">
        <v>70</v>
      </c>
      <c r="B1884" s="7" t="n">
        <v>1998</v>
      </c>
      <c r="C1884" s="7" t="s">
        <v>154</v>
      </c>
      <c r="D1884" s="7" t="n">
        <v>114</v>
      </c>
      <c r="E1884" s="7" t="n">
        <v>48</v>
      </c>
      <c r="F1884" s="3" t="n">
        <f aca="false">COUNTIFS($B$2:$B$2705,B1884,$C$2:$C$2705,C1884)</f>
        <v>2</v>
      </c>
      <c r="G1884" s="3" t="n">
        <f aca="false">MIN(INT((MIN(B1884,2020)-1900)/10)+1,12)</f>
        <v>10</v>
      </c>
      <c r="H1884" s="3" t="n">
        <f aca="false">(MIN(B1884,2020)-1900-10*(G1884-1))/10</f>
        <v>0.8</v>
      </c>
      <c r="I1884" s="20" t="n">
        <f aca="false">EXP(LN(INDEX(Pop_Inputs!$B$2:$N$29,MATCH(C1884,Pop_Inputs!$A$2:$A$29,0),G1884))*(1-H1884)+LN(INDEX(Pop_Inputs!$B$2:$N$29,MATCH(C1884,Pop_Inputs!$A$2:$A$29,0),G1884+1))*H1884)</f>
        <v>7866181.22937587</v>
      </c>
      <c r="J1884" s="20" t="n">
        <f aca="false">I1884/F1884</f>
        <v>3933090.61468793</v>
      </c>
      <c r="K1884" s="21" t="n">
        <f aca="false">D1884/(D1884+E1884)</f>
        <v>0.703703703703704</v>
      </c>
      <c r="L1884" s="21" t="n">
        <f aca="false">AVERAGEIFS($K$2:$K$2705,$B$2:$B$2705,B1884)</f>
        <v>0.499963188302301</v>
      </c>
      <c r="M1884" s="21" t="n">
        <f aca="false">K1884-L1884</f>
        <v>0.203740515401403</v>
      </c>
      <c r="N1884" s="21" t="n">
        <f aca="false">LN(J1884)</f>
        <v>15.1849360907336</v>
      </c>
      <c r="O1884" s="21" t="n">
        <f aca="false">AVERAGEIFS($N$2:$N$2705,$B$2:$B$2705,B1884)</f>
        <v>13.6231716231581</v>
      </c>
      <c r="P1884" s="21" t="n">
        <f aca="false">N1884-O1884</f>
        <v>1.56176446757551</v>
      </c>
      <c r="Q1884" s="7" t="n">
        <v>0</v>
      </c>
      <c r="R1884" s="3" t="n">
        <f aca="false">IF(AND(Q1884=1,B1884-_xlfn.MINIFS($B$2:$B$2705,$A$2:$A$2705,A1884)&lt;10),1,0)</f>
        <v>0</v>
      </c>
      <c r="S1884" s="7" t="n">
        <v>1</v>
      </c>
      <c r="T1884" s="3" t="n">
        <f aca="false">_xlfn.MINIFS($B$2:$B$2705,$A$2:$A$2705,A1884)</f>
        <v>1903</v>
      </c>
      <c r="U1884" s="3" t="n">
        <f aca="false">B1884-T1884</f>
        <v>95</v>
      </c>
      <c r="V1884" s="3" t="str">
        <f aca="false">INDEX(Pop_Inputs!$Q$2:$Q$29,MATCH(C1884,Pop_Inputs!$A$2:$A$29,0))</f>
        <v>Northeast</v>
      </c>
      <c r="W1884" s="29" t="n">
        <v>66806867</v>
      </c>
      <c r="X1884" s="3" t="n">
        <f aca="false">IF(W1884="","",LN(W1884))</f>
        <v>18.0173164326246</v>
      </c>
      <c r="Y1884" s="3" t="n">
        <f aca="false">IF(X1884="","",X1884-AVERAGEIFS($X$2:$X$2705,$B$2:$B$2705,B1884))</f>
        <v>0.531071645902586</v>
      </c>
      <c r="Z1884" s="21" t="n">
        <f aca="false">P1884</f>
        <v>1.56176446757551</v>
      </c>
      <c r="AA1884" s="3" t="n">
        <f aca="false">R1884</f>
        <v>0</v>
      </c>
      <c r="AB1884" s="21" t="n">
        <f aca="false">P1884</f>
        <v>1.56176446757551</v>
      </c>
      <c r="AC1884" s="3" t="n">
        <f aca="false">Y1884</f>
        <v>0.531071645902586</v>
      </c>
      <c r="AD1884" s="3" t="n">
        <f aca="false">R1884</f>
        <v>0</v>
      </c>
    </row>
    <row r="1885" customFormat="false" ht="15" hidden="false" customHeight="true" outlineLevel="0" collapsed="false">
      <c r="A1885" s="7" t="s">
        <v>69</v>
      </c>
      <c r="B1885" s="7" t="n">
        <v>1998</v>
      </c>
      <c r="C1885" s="7" t="s">
        <v>253</v>
      </c>
      <c r="D1885" s="7" t="n">
        <v>74</v>
      </c>
      <c r="E1885" s="7" t="n">
        <v>88</v>
      </c>
      <c r="F1885" s="3" t="n">
        <f aca="false">COUNTIFS($B$2:$B$2705,B1885,$C$2:$C$2705,C1885)</f>
        <v>1</v>
      </c>
      <c r="G1885" s="3" t="n">
        <f aca="false">MIN(INT((MIN(B1885,2020)-1900)/10)+1,12)</f>
        <v>10</v>
      </c>
      <c r="H1885" s="3" t="n">
        <f aca="false">(MIN(B1885,2020)-1900-10*(G1885-1))/10</f>
        <v>0.8</v>
      </c>
      <c r="I1885" s="20" t="n">
        <f aca="false">EXP(LN(INDEX(Pop_Inputs!$B$2:$N$29,MATCH(C1885,Pop_Inputs!$A$2:$A$29,0),G1885))*(1-H1885)+LN(INDEX(Pop_Inputs!$B$2:$N$29,MATCH(C1885,Pop_Inputs!$A$2:$A$29,0),G1885+1))*H1885)</f>
        <v>393880.596009314</v>
      </c>
      <c r="J1885" s="20" t="n">
        <f aca="false">I1885/F1885</f>
        <v>393880.596009314</v>
      </c>
      <c r="K1885" s="21" t="n">
        <f aca="false">D1885/(D1885+E1885)</f>
        <v>0.45679012345679</v>
      </c>
      <c r="L1885" s="21" t="n">
        <f aca="false">AVERAGEIFS($K$2:$K$2705,$B$2:$B$2705,B1885)</f>
        <v>0.499963188302301</v>
      </c>
      <c r="M1885" s="21" t="n">
        <f aca="false">K1885-L1885</f>
        <v>-0.0431730648455109</v>
      </c>
      <c r="N1885" s="21" t="n">
        <f aca="false">LN(J1885)</f>
        <v>12.8838030865355</v>
      </c>
      <c r="O1885" s="21" t="n">
        <f aca="false">AVERAGEIFS($N$2:$N$2705,$B$2:$B$2705,B1885)</f>
        <v>13.6231716231581</v>
      </c>
      <c r="P1885" s="21" t="n">
        <f aca="false">N1885-O1885</f>
        <v>-0.739368536622614</v>
      </c>
      <c r="Q1885" s="7" t="n">
        <v>0</v>
      </c>
      <c r="R1885" s="3" t="n">
        <f aca="false">IF(AND(Q1885=1,B1885-_xlfn.MINIFS($B$2:$B$2705,$A$2:$A$2705,A1885)&lt;10),1,0)</f>
        <v>0</v>
      </c>
      <c r="S1885" s="7" t="n">
        <v>0</v>
      </c>
      <c r="T1885" s="3" t="n">
        <f aca="false">_xlfn.MINIFS($B$2:$B$2705,$A$2:$A$2705,A1885)</f>
        <v>1901</v>
      </c>
      <c r="U1885" s="3" t="n">
        <f aca="false">B1885-T1885</f>
        <v>97</v>
      </c>
      <c r="V1885" s="3" t="str">
        <f aca="false">INDEX(Pop_Inputs!$Q$2:$Q$29,MATCH(C1885,Pop_Inputs!$A$2:$A$29,0))</f>
        <v>West</v>
      </c>
      <c r="W1885" s="29" t="n">
        <v>21303000</v>
      </c>
      <c r="X1885" s="3" t="n">
        <f aca="false">IF(W1885="","",LN(W1885))</f>
        <v>16.8743584658323</v>
      </c>
      <c r="Y1885" s="3" t="n">
        <f aca="false">IF(X1885="","",X1885-AVERAGEIFS($X$2:$X$2705,$B$2:$B$2705,B1885))</f>
        <v>-0.611886320889649</v>
      </c>
      <c r="Z1885" s="21" t="n">
        <f aca="false">P1885</f>
        <v>-0.739368536622614</v>
      </c>
      <c r="AA1885" s="3" t="n">
        <f aca="false">R1885</f>
        <v>0</v>
      </c>
      <c r="AB1885" s="21" t="n">
        <f aca="false">P1885</f>
        <v>-0.739368536622614</v>
      </c>
      <c r="AC1885" s="3" t="n">
        <f aca="false">Y1885</f>
        <v>-0.611886320889649</v>
      </c>
      <c r="AD1885" s="3" t="n">
        <f aca="false">R1885</f>
        <v>0</v>
      </c>
    </row>
    <row r="1886" customFormat="false" ht="15" hidden="false" customHeight="true" outlineLevel="0" collapsed="false">
      <c r="A1886" s="7" t="s">
        <v>60</v>
      </c>
      <c r="B1886" s="7" t="n">
        <v>1998</v>
      </c>
      <c r="C1886" s="7" t="s">
        <v>146</v>
      </c>
      <c r="D1886" s="7" t="n">
        <v>75</v>
      </c>
      <c r="E1886" s="7" t="n">
        <v>87</v>
      </c>
      <c r="F1886" s="3" t="n">
        <f aca="false">COUNTIFS($B$2:$B$2705,B1886,$C$2:$C$2705,C1886)</f>
        <v>1</v>
      </c>
      <c r="G1886" s="3" t="n">
        <f aca="false">MIN(INT((MIN(B1886,2020)-1900)/10)+1,12)</f>
        <v>10</v>
      </c>
      <c r="H1886" s="3" t="n">
        <f aca="false">(MIN(B1886,2020)-1900-10*(G1886-1))/10</f>
        <v>0.8</v>
      </c>
      <c r="I1886" s="20" t="n">
        <f aca="false">EXP(LN(INDEX(Pop_Inputs!$B$2:$N$29,MATCH(C1886,Pop_Inputs!$A$2:$A$29,0),G1886))*(1-H1886)+LN(INDEX(Pop_Inputs!$B$2:$N$29,MATCH(C1886,Pop_Inputs!$A$2:$A$29,0),G1886+1))*H1886)</f>
        <v>1530917.80738247</v>
      </c>
      <c r="J1886" s="20" t="n">
        <f aca="false">I1886/F1886</f>
        <v>1530917.80738247</v>
      </c>
      <c r="K1886" s="21" t="n">
        <f aca="false">D1886/(D1886+E1886)</f>
        <v>0.462962962962963</v>
      </c>
      <c r="L1886" s="21" t="n">
        <f aca="false">AVERAGEIFS($K$2:$K$2705,$B$2:$B$2705,B1886)</f>
        <v>0.499963188302301</v>
      </c>
      <c r="M1886" s="21" t="n">
        <f aca="false">K1886-L1886</f>
        <v>-0.037000225339338</v>
      </c>
      <c r="N1886" s="21" t="n">
        <f aca="false">LN(J1886)</f>
        <v>14.2413779876223</v>
      </c>
      <c r="O1886" s="21" t="n">
        <f aca="false">AVERAGEIFS($N$2:$N$2705,$B$2:$B$2705,B1886)</f>
        <v>13.6231716231581</v>
      </c>
      <c r="P1886" s="21" t="n">
        <f aca="false">N1886-O1886</f>
        <v>0.618206364464191</v>
      </c>
      <c r="Q1886" s="7" t="n">
        <v>0</v>
      </c>
      <c r="R1886" s="3" t="n">
        <f aca="false">IF(AND(Q1886=1,B1886-_xlfn.MINIFS($B$2:$B$2705,$A$2:$A$2705,A1886)&lt;10),1,0)</f>
        <v>0</v>
      </c>
      <c r="S1886" s="7" t="n">
        <v>0</v>
      </c>
      <c r="T1886" s="3" t="n">
        <f aca="false">_xlfn.MINIFS($B$2:$B$2705,$A$2:$A$2705,A1886)</f>
        <v>1901</v>
      </c>
      <c r="U1886" s="3" t="n">
        <f aca="false">B1886-T1886</f>
        <v>97</v>
      </c>
      <c r="V1886" s="3" t="str">
        <f aca="false">INDEX(Pop_Inputs!$Q$2:$Q$29,MATCH(C1886,Pop_Inputs!$A$2:$A$29,0))</f>
        <v>Northeast</v>
      </c>
      <c r="W1886" s="29" t="n">
        <v>36297500</v>
      </c>
      <c r="X1886" s="3" t="n">
        <f aca="false">IF(W1886="","",LN(W1886))</f>
        <v>17.40725942634</v>
      </c>
      <c r="Y1886" s="3" t="n">
        <f aca="false">IF(X1886="","",X1886-AVERAGEIFS($X$2:$X$2705,$B$2:$B$2705,B1886))</f>
        <v>-0.0789853603820099</v>
      </c>
      <c r="Z1886" s="21" t="n">
        <f aca="false">P1886</f>
        <v>0.618206364464191</v>
      </c>
      <c r="AA1886" s="3" t="n">
        <f aca="false">R1886</f>
        <v>0</v>
      </c>
      <c r="AB1886" s="21" t="n">
        <f aca="false">P1886</f>
        <v>0.618206364464191</v>
      </c>
      <c r="AC1886" s="3" t="n">
        <f aca="false">Y1886</f>
        <v>-0.0789853603820099</v>
      </c>
      <c r="AD1886" s="3" t="n">
        <f aca="false">R1886</f>
        <v>0</v>
      </c>
    </row>
    <row r="1887" customFormat="false" ht="15" hidden="false" customHeight="true" outlineLevel="0" collapsed="false">
      <c r="A1887" s="7" t="s">
        <v>58</v>
      </c>
      <c r="B1887" s="7" t="n">
        <v>1998</v>
      </c>
      <c r="C1887" s="7" t="s">
        <v>144</v>
      </c>
      <c r="D1887" s="7" t="n">
        <v>69</v>
      </c>
      <c r="E1887" s="7" t="n">
        <v>93</v>
      </c>
      <c r="F1887" s="3" t="n">
        <f aca="false">COUNTIFS($B$2:$B$2705,B1887,$C$2:$C$2705,C1887)</f>
        <v>1</v>
      </c>
      <c r="G1887" s="3" t="n">
        <f aca="false">MIN(INT((MIN(B1887,2020)-1900)/10)+1,12)</f>
        <v>10</v>
      </c>
      <c r="H1887" s="3" t="n">
        <f aca="false">(MIN(B1887,2020)-1900-10*(G1887-1))/10</f>
        <v>0.8</v>
      </c>
      <c r="I1887" s="20" t="n">
        <f aca="false">EXP(LN(INDEX(Pop_Inputs!$B$2:$N$29,MATCH(C1887,Pop_Inputs!$A$2:$A$29,0),G1887))*(1-H1887)+LN(INDEX(Pop_Inputs!$B$2:$N$29,MATCH(C1887,Pop_Inputs!$A$2:$A$29,0),G1887+1))*H1887)</f>
        <v>341345.563596479</v>
      </c>
      <c r="J1887" s="20" t="n">
        <f aca="false">I1887/F1887</f>
        <v>341345.563596479</v>
      </c>
      <c r="K1887" s="21" t="n">
        <f aca="false">D1887/(D1887+E1887)</f>
        <v>0.425925925925926</v>
      </c>
      <c r="L1887" s="21" t="n">
        <f aca="false">AVERAGEIFS($K$2:$K$2705,$B$2:$B$2705,B1887)</f>
        <v>0.499963188302301</v>
      </c>
      <c r="M1887" s="21" t="n">
        <f aca="false">K1887-L1887</f>
        <v>-0.074037262376375</v>
      </c>
      <c r="N1887" s="21" t="n">
        <f aca="false">LN(J1887)</f>
        <v>12.7406506261206</v>
      </c>
      <c r="O1887" s="21" t="n">
        <f aca="false">AVERAGEIFS($N$2:$N$2705,$B$2:$B$2705,B1887)</f>
        <v>13.6231716231581</v>
      </c>
      <c r="P1887" s="21" t="n">
        <f aca="false">N1887-O1887</f>
        <v>-0.882520997037437</v>
      </c>
      <c r="Q1887" s="7" t="n">
        <v>0</v>
      </c>
      <c r="R1887" s="3" t="n">
        <f aca="false">IF(AND(Q1887=1,B1887-_xlfn.MINIFS($B$2:$B$2705,$A$2:$A$2705,A1887)&lt;10),1,0)</f>
        <v>0</v>
      </c>
      <c r="S1887" s="7" t="n">
        <v>0</v>
      </c>
      <c r="T1887" s="3" t="n">
        <f aca="false">_xlfn.MINIFS($B$2:$B$2705,$A$2:$A$2705,A1887)</f>
        <v>1901</v>
      </c>
      <c r="U1887" s="3" t="n">
        <f aca="false">B1887-T1887</f>
        <v>97</v>
      </c>
      <c r="V1887" s="3" t="str">
        <f aca="false">INDEX(Pop_Inputs!$Q$2:$Q$29,MATCH(C1887,Pop_Inputs!$A$2:$A$29,0))</f>
        <v>Northeast</v>
      </c>
      <c r="W1887" s="29" t="n">
        <v>15065000</v>
      </c>
      <c r="X1887" s="3" t="n">
        <f aca="false">IF(W1887="","",LN(W1887))</f>
        <v>16.5278847305465</v>
      </c>
      <c r="Y1887" s="3" t="n">
        <f aca="false">IF(X1887="","",X1887-AVERAGEIFS($X$2:$X$2705,$B$2:$B$2705,B1887))</f>
        <v>-0.958360056175451</v>
      </c>
      <c r="Z1887" s="21" t="n">
        <f aca="false">P1887</f>
        <v>-0.882520997037437</v>
      </c>
      <c r="AA1887" s="3" t="n">
        <f aca="false">R1887</f>
        <v>0</v>
      </c>
      <c r="AB1887" s="21" t="n">
        <f aca="false">P1887</f>
        <v>-0.882520997037437</v>
      </c>
      <c r="AC1887" s="3" t="n">
        <f aca="false">Y1887</f>
        <v>-0.958360056175451</v>
      </c>
      <c r="AD1887" s="3" t="n">
        <f aca="false">R1887</f>
        <v>0</v>
      </c>
    </row>
    <row r="1888" customFormat="false" ht="15" hidden="false" customHeight="true" outlineLevel="0" collapsed="false">
      <c r="A1888" s="7" t="s">
        <v>78</v>
      </c>
      <c r="B1888" s="7" t="n">
        <v>1998</v>
      </c>
      <c r="C1888" s="7" t="s">
        <v>159</v>
      </c>
      <c r="D1888" s="7" t="n">
        <v>98</v>
      </c>
      <c r="E1888" s="7" t="n">
        <v>64</v>
      </c>
      <c r="F1888" s="3" t="n">
        <f aca="false">COUNTIFS($B$2:$B$2705,B1888,$C$2:$C$2705,C1888)</f>
        <v>1</v>
      </c>
      <c r="G1888" s="3" t="n">
        <f aca="false">MIN(INT((MIN(B1888,2020)-1900)/10)+1,12)</f>
        <v>10</v>
      </c>
      <c r="H1888" s="3" t="n">
        <f aca="false">(MIN(B1888,2020)-1900-10*(G1888-1))/10</f>
        <v>0.8</v>
      </c>
      <c r="I1888" s="20" t="n">
        <f aca="false">EXP(LN(INDEX(Pop_Inputs!$B$2:$N$29,MATCH(C1888,Pop_Inputs!$A$2:$A$29,0),G1888))*(1-H1888)+LN(INDEX(Pop_Inputs!$B$2:$N$29,MATCH(C1888,Pop_Inputs!$A$2:$A$29,0),G1888+1))*H1888)</f>
        <v>1199947.7231346</v>
      </c>
      <c r="J1888" s="20" t="n">
        <f aca="false">I1888/F1888</f>
        <v>1199947.7231346</v>
      </c>
      <c r="K1888" s="21" t="n">
        <f aca="false">D1888/(D1888+E1888)</f>
        <v>0.604938271604938</v>
      </c>
      <c r="L1888" s="21" t="n">
        <f aca="false">AVERAGEIFS($K$2:$K$2705,$B$2:$B$2705,B1888)</f>
        <v>0.499963188302301</v>
      </c>
      <c r="M1888" s="21" t="n">
        <f aca="false">K1888-L1888</f>
        <v>0.104975083302637</v>
      </c>
      <c r="N1888" s="21" t="n">
        <f aca="false">LN(J1888)</f>
        <v>13.9977885497548</v>
      </c>
      <c r="O1888" s="21" t="n">
        <f aca="false">AVERAGEIFS($N$2:$N$2705,$B$2:$B$2705,B1888)</f>
        <v>13.6231716231581</v>
      </c>
      <c r="P1888" s="21" t="n">
        <f aca="false">N1888-O1888</f>
        <v>0.374616926596719</v>
      </c>
      <c r="Q1888" s="7" t="n">
        <v>1</v>
      </c>
      <c r="R1888" s="3" t="n">
        <f aca="false">IF(AND(Q1888=1,B1888-_xlfn.MINIFS($B$2:$B$2705,$A$2:$A$2705,A1888)&lt;10),1,0)</f>
        <v>0</v>
      </c>
      <c r="S1888" s="7" t="n">
        <v>0</v>
      </c>
      <c r="T1888" s="3" t="n">
        <f aca="false">_xlfn.MINIFS($B$2:$B$2705,$A$2:$A$2705,A1888)</f>
        <v>1969</v>
      </c>
      <c r="U1888" s="3" t="n">
        <f aca="false">B1888-T1888</f>
        <v>29</v>
      </c>
      <c r="V1888" s="3" t="str">
        <f aca="false">INDEX(Pop_Inputs!$Q$2:$Q$29,MATCH(C1888,Pop_Inputs!$A$2:$A$29,0))</f>
        <v>West</v>
      </c>
      <c r="W1888" s="29" t="n">
        <v>46861500</v>
      </c>
      <c r="X1888" s="3" t="n">
        <f aca="false">IF(W1888="","",LN(W1888))</f>
        <v>17.6627070007749</v>
      </c>
      <c r="Y1888" s="3" t="n">
        <f aca="false">IF(X1888="","",X1888-AVERAGEIFS($X$2:$X$2705,$B$2:$B$2705,B1888))</f>
        <v>0.176462214052894</v>
      </c>
      <c r="Z1888" s="21" t="n">
        <f aca="false">P1888</f>
        <v>0.374616926596719</v>
      </c>
      <c r="AA1888" s="3" t="n">
        <f aca="false">R1888</f>
        <v>0</v>
      </c>
      <c r="AB1888" s="21" t="n">
        <f aca="false">P1888</f>
        <v>0.374616926596719</v>
      </c>
      <c r="AC1888" s="3" t="n">
        <f aca="false">Y1888</f>
        <v>0.176462214052894</v>
      </c>
      <c r="AD1888" s="3" t="n">
        <f aca="false">R1888</f>
        <v>0</v>
      </c>
    </row>
    <row r="1889" customFormat="false" ht="15" hidden="false" customHeight="true" outlineLevel="0" collapsed="false">
      <c r="A1889" s="7" t="s">
        <v>80</v>
      </c>
      <c r="B1889" s="7" t="n">
        <v>1998</v>
      </c>
      <c r="C1889" s="7" t="s">
        <v>161</v>
      </c>
      <c r="D1889" s="7" t="n">
        <v>76</v>
      </c>
      <c r="E1889" s="7" t="n">
        <v>85</v>
      </c>
      <c r="F1889" s="3" t="n">
        <f aca="false">COUNTIFS($B$2:$B$2705,B1889,$C$2:$C$2705,C1889)</f>
        <v>1</v>
      </c>
      <c r="G1889" s="3" t="n">
        <f aca="false">MIN(INT((MIN(B1889,2020)-1900)/10)+1,12)</f>
        <v>10</v>
      </c>
      <c r="H1889" s="3" t="n">
        <f aca="false">(MIN(B1889,2020)-1900-10*(G1889-1))/10</f>
        <v>0.8</v>
      </c>
      <c r="I1889" s="20" t="n">
        <f aca="false">EXP(LN(INDEX(Pop_Inputs!$B$2:$N$29,MATCH(C1889,Pop_Inputs!$A$2:$A$29,0),G1889))*(1-H1889)+LN(INDEX(Pop_Inputs!$B$2:$N$29,MATCH(C1889,Pop_Inputs!$A$2:$A$29,0),G1889+1))*H1889)</f>
        <v>553618.975517738</v>
      </c>
      <c r="J1889" s="20" t="n">
        <f aca="false">I1889/F1889</f>
        <v>553618.975517738</v>
      </c>
      <c r="K1889" s="21" t="n">
        <f aca="false">D1889/(D1889+E1889)</f>
        <v>0.472049689440994</v>
      </c>
      <c r="L1889" s="21" t="n">
        <f aca="false">AVERAGEIFS($K$2:$K$2705,$B$2:$B$2705,B1889)</f>
        <v>0.499963188302301</v>
      </c>
      <c r="M1889" s="21" t="n">
        <f aca="false">K1889-L1889</f>
        <v>-0.0279134988613072</v>
      </c>
      <c r="N1889" s="21" t="n">
        <f aca="false">LN(J1889)</f>
        <v>13.2242319592837</v>
      </c>
      <c r="O1889" s="21" t="n">
        <f aca="false">AVERAGEIFS($N$2:$N$2705,$B$2:$B$2705,B1889)</f>
        <v>13.6231716231581</v>
      </c>
      <c r="P1889" s="21" t="n">
        <f aca="false">N1889-O1889</f>
        <v>-0.398939663874389</v>
      </c>
      <c r="Q1889" s="7" t="n">
        <v>1</v>
      </c>
      <c r="R1889" s="3" t="n">
        <f aca="false">IF(AND(Q1889=1,B1889-_xlfn.MINIFS($B$2:$B$2705,$A$2:$A$2705,A1889)&lt;10),1,0)</f>
        <v>0</v>
      </c>
      <c r="S1889" s="7" t="n">
        <v>0</v>
      </c>
      <c r="T1889" s="3" t="n">
        <f aca="false">_xlfn.MINIFS($B$2:$B$2705,$A$2:$A$2705,A1889)</f>
        <v>1977</v>
      </c>
      <c r="U1889" s="3" t="n">
        <f aca="false">B1889-T1889</f>
        <v>21</v>
      </c>
      <c r="V1889" s="3" t="str">
        <f aca="false">INDEX(Pop_Inputs!$Q$2:$Q$29,MATCH(C1889,Pop_Inputs!$A$2:$A$29,0))</f>
        <v>West</v>
      </c>
      <c r="W1889" s="29" t="n">
        <v>54087036</v>
      </c>
      <c r="X1889" s="3" t="n">
        <f aca="false">IF(W1889="","",LN(W1889))</f>
        <v>17.8061050847865</v>
      </c>
      <c r="Y1889" s="3" t="n">
        <f aca="false">IF(X1889="","",X1889-AVERAGEIFS($X$2:$X$2705,$B$2:$B$2705,B1889))</f>
        <v>0.319860298064555</v>
      </c>
      <c r="Z1889" s="21" t="n">
        <f aca="false">P1889</f>
        <v>-0.398939663874389</v>
      </c>
      <c r="AA1889" s="3" t="n">
        <f aca="false">R1889</f>
        <v>0</v>
      </c>
      <c r="AB1889" s="21" t="n">
        <f aca="false">P1889</f>
        <v>-0.398939663874389</v>
      </c>
      <c r="AC1889" s="3" t="n">
        <f aca="false">Y1889</f>
        <v>0.319860298064555</v>
      </c>
      <c r="AD1889" s="3" t="n">
        <f aca="false">R1889</f>
        <v>0</v>
      </c>
    </row>
    <row r="1890" customFormat="false" ht="15" hidden="false" customHeight="true" outlineLevel="0" collapsed="false">
      <c r="A1890" s="7" t="s">
        <v>61</v>
      </c>
      <c r="B1890" s="7" t="n">
        <v>1998</v>
      </c>
      <c r="C1890" s="7" t="s">
        <v>147</v>
      </c>
      <c r="D1890" s="7" t="n">
        <v>89</v>
      </c>
      <c r="E1890" s="7" t="n">
        <v>74</v>
      </c>
      <c r="F1890" s="3" t="n">
        <f aca="false">COUNTIFS($B$2:$B$2705,B1890,$C$2:$C$2705,C1890)</f>
        <v>1</v>
      </c>
      <c r="G1890" s="3" t="n">
        <f aca="false">MIN(INT((MIN(B1890,2020)-1900)/10)+1,12)</f>
        <v>10</v>
      </c>
      <c r="H1890" s="3" t="n">
        <f aca="false">(MIN(B1890,2020)-1900-10*(G1890-1))/10</f>
        <v>0.8</v>
      </c>
      <c r="I1890" s="20" t="n">
        <f aca="false">EXP(LN(INDEX(Pop_Inputs!$B$2:$N$29,MATCH(C1890,Pop_Inputs!$A$2:$A$29,0),G1890))*(1-H1890)+LN(INDEX(Pop_Inputs!$B$2:$N$29,MATCH(C1890,Pop_Inputs!$A$2:$A$29,0),G1890+1))*H1890)</f>
        <v>765879.067358258</v>
      </c>
      <c r="J1890" s="20" t="n">
        <f aca="false">I1890/F1890</f>
        <v>765879.067358258</v>
      </c>
      <c r="K1890" s="21" t="n">
        <f aca="false">D1890/(D1890+E1890)</f>
        <v>0.54601226993865</v>
      </c>
      <c r="L1890" s="21" t="n">
        <f aca="false">AVERAGEIFS($K$2:$K$2705,$B$2:$B$2705,B1890)</f>
        <v>0.499963188302301</v>
      </c>
      <c r="M1890" s="21" t="n">
        <f aca="false">K1890-L1890</f>
        <v>0.0460490816363493</v>
      </c>
      <c r="N1890" s="21" t="n">
        <f aca="false">LN(J1890)</f>
        <v>13.5487795607477</v>
      </c>
      <c r="O1890" s="21" t="n">
        <f aca="false">AVERAGEIFS($N$2:$N$2705,$B$2:$B$2705,B1890)</f>
        <v>13.6231716231581</v>
      </c>
      <c r="P1890" s="21" t="n">
        <f aca="false">N1890-O1890</f>
        <v>-0.0743920624104018</v>
      </c>
      <c r="Q1890" s="7" t="n">
        <v>0</v>
      </c>
      <c r="R1890" s="3" t="n">
        <f aca="false">IF(AND(Q1890=1,B1890-_xlfn.MINIFS($B$2:$B$2705,$A$2:$A$2705,A1890)&lt;10),1,0)</f>
        <v>0</v>
      </c>
      <c r="S1890" s="7" t="n">
        <v>0</v>
      </c>
      <c r="T1890" s="3" t="n">
        <f aca="false">_xlfn.MINIFS($B$2:$B$2705,$A$2:$A$2705,A1890)</f>
        <v>1901</v>
      </c>
      <c r="U1890" s="3" t="n">
        <f aca="false">B1890-T1890</f>
        <v>97</v>
      </c>
      <c r="V1890" s="3" t="str">
        <f aca="false">INDEX(Pop_Inputs!$Q$2:$Q$29,MATCH(C1890,Pop_Inputs!$A$2:$A$29,0))</f>
        <v>West</v>
      </c>
      <c r="W1890" s="29" t="n">
        <v>42565834</v>
      </c>
      <c r="X1890" s="3" t="n">
        <f aca="false">IF(W1890="","",LN(W1890))</f>
        <v>17.5665624706711</v>
      </c>
      <c r="Y1890" s="3" t="n">
        <f aca="false">IF(X1890="","",X1890-AVERAGEIFS($X$2:$X$2705,$B$2:$B$2705,B1890))</f>
        <v>0.08031768394914</v>
      </c>
      <c r="Z1890" s="21" t="n">
        <f aca="false">P1890</f>
        <v>-0.0743920624104018</v>
      </c>
      <c r="AA1890" s="3" t="n">
        <f aca="false">R1890</f>
        <v>0</v>
      </c>
      <c r="AB1890" s="21" t="n">
        <f aca="false">P1890</f>
        <v>-0.0743920624104018</v>
      </c>
      <c r="AC1890" s="3" t="n">
        <f aca="false">Y1890</f>
        <v>0.08031768394914</v>
      </c>
      <c r="AD1890" s="3" t="n">
        <f aca="false">R1890</f>
        <v>0</v>
      </c>
    </row>
    <row r="1891" customFormat="false" ht="15" hidden="false" customHeight="true" outlineLevel="0" collapsed="false">
      <c r="A1891" s="7" t="s">
        <v>59</v>
      </c>
      <c r="B1891" s="7" t="n">
        <v>1998</v>
      </c>
      <c r="C1891" s="7" t="s">
        <v>145</v>
      </c>
      <c r="D1891" s="7" t="n">
        <v>83</v>
      </c>
      <c r="E1891" s="7" t="n">
        <v>79</v>
      </c>
      <c r="F1891" s="3" t="n">
        <f aca="false">COUNTIFS($B$2:$B$2705,B1891,$C$2:$C$2705,C1891)</f>
        <v>1</v>
      </c>
      <c r="G1891" s="3" t="n">
        <f aca="false">MIN(INT((MIN(B1891,2020)-1900)/10)+1,12)</f>
        <v>10</v>
      </c>
      <c r="H1891" s="3" t="n">
        <f aca="false">(MIN(B1891,2020)-1900-10*(G1891-1))/10</f>
        <v>0.8</v>
      </c>
      <c r="I1891" s="20" t="n">
        <f aca="false">EXP(LN(INDEX(Pop_Inputs!$B$2:$N$29,MATCH(C1891,Pop_Inputs!$A$2:$A$29,0),G1891))*(1-H1891)+LN(INDEX(Pop_Inputs!$B$2:$N$29,MATCH(C1891,Pop_Inputs!$A$2:$A$29,0),G1891+1))*H1891)</f>
        <v>357389.00971955</v>
      </c>
      <c r="J1891" s="20" t="n">
        <f aca="false">I1891/F1891</f>
        <v>357389.00971955</v>
      </c>
      <c r="K1891" s="21" t="n">
        <f aca="false">D1891/(D1891+E1891)</f>
        <v>0.512345679012346</v>
      </c>
      <c r="L1891" s="21" t="n">
        <f aca="false">AVERAGEIFS($K$2:$K$2705,$B$2:$B$2705,B1891)</f>
        <v>0.499963188302301</v>
      </c>
      <c r="M1891" s="21" t="n">
        <f aca="false">K1891-L1891</f>
        <v>0.0123824907100448</v>
      </c>
      <c r="N1891" s="21" t="n">
        <f aca="false">LN(J1891)</f>
        <v>12.7865801305899</v>
      </c>
      <c r="O1891" s="21" t="n">
        <f aca="false">AVERAGEIFS($N$2:$N$2705,$B$2:$B$2705,B1891)</f>
        <v>13.6231716231581</v>
      </c>
      <c r="P1891" s="21" t="n">
        <f aca="false">N1891-O1891</f>
        <v>-0.836591492568209</v>
      </c>
      <c r="Q1891" s="7" t="n">
        <v>0</v>
      </c>
      <c r="R1891" s="3" t="n">
        <f aca="false">IF(AND(Q1891=1,B1891-_xlfn.MINIFS($B$2:$B$2705,$A$2:$A$2705,A1891)&lt;10),1,0)</f>
        <v>0</v>
      </c>
      <c r="S1891" s="7" t="n">
        <v>0</v>
      </c>
      <c r="T1891" s="3" t="n">
        <f aca="false">_xlfn.MINIFS($B$2:$B$2705,$A$2:$A$2705,A1891)</f>
        <v>1901</v>
      </c>
      <c r="U1891" s="3" t="n">
        <f aca="false">B1891-T1891</f>
        <v>97</v>
      </c>
      <c r="V1891" s="3" t="str">
        <f aca="false">INDEX(Pop_Inputs!$Q$2:$Q$29,MATCH(C1891,Pop_Inputs!$A$2:$A$29,0))</f>
        <v>Midwest</v>
      </c>
      <c r="W1891" s="29" t="n">
        <v>54672521</v>
      </c>
      <c r="X1891" s="3" t="n">
        <f aca="false">IF(W1891="","",LN(W1891))</f>
        <v>17.8168717828499</v>
      </c>
      <c r="Y1891" s="3" t="n">
        <f aca="false">IF(X1891="","",X1891-AVERAGEIFS($X$2:$X$2705,$B$2:$B$2705,B1891))</f>
        <v>0.330626996127908</v>
      </c>
      <c r="Z1891" s="21" t="n">
        <f aca="false">P1891</f>
        <v>-0.836591492568209</v>
      </c>
      <c r="AA1891" s="3" t="n">
        <f aca="false">R1891</f>
        <v>0</v>
      </c>
      <c r="AB1891" s="21" t="n">
        <f aca="false">P1891</f>
        <v>-0.836591492568209</v>
      </c>
      <c r="AC1891" s="3" t="n">
        <f aca="false">Y1891</f>
        <v>0.330626996127908</v>
      </c>
      <c r="AD1891" s="3" t="n">
        <f aca="false">R1891</f>
        <v>0</v>
      </c>
    </row>
    <row r="1892" customFormat="false" ht="15" hidden="false" customHeight="true" outlineLevel="0" collapsed="false">
      <c r="A1892" s="7" t="s">
        <v>85</v>
      </c>
      <c r="B1892" s="7" t="n">
        <v>1998</v>
      </c>
      <c r="C1892" s="7" t="s">
        <v>166</v>
      </c>
      <c r="D1892" s="7" t="n">
        <v>63</v>
      </c>
      <c r="E1892" s="7" t="n">
        <v>99</v>
      </c>
      <c r="F1892" s="3" t="n">
        <f aca="false">COUNTIFS($B$2:$B$2705,B1892,$C$2:$C$2705,C1892)</f>
        <v>1</v>
      </c>
      <c r="G1892" s="3" t="n">
        <f aca="false">MIN(INT((MIN(B1892,2020)-1900)/10)+1,12)</f>
        <v>10</v>
      </c>
      <c r="H1892" s="3" t="n">
        <f aca="false">(MIN(B1892,2020)-1900-10*(G1892-1))/10</f>
        <v>0.8</v>
      </c>
      <c r="I1892" s="20" t="n">
        <f aca="false">EXP(LN(INDEX(Pop_Inputs!$B$2:$N$29,MATCH(C1892,Pop_Inputs!$A$2:$A$29,0),G1892))*(1-H1892)+LN(INDEX(Pop_Inputs!$B$2:$N$29,MATCH(C1892,Pop_Inputs!$A$2:$A$29,0),G1892+1))*H1892)</f>
        <v>298608.755757569</v>
      </c>
      <c r="J1892" s="20" t="n">
        <f aca="false">I1892/F1892</f>
        <v>298608.755757569</v>
      </c>
      <c r="K1892" s="21" t="n">
        <f aca="false">D1892/(D1892+E1892)</f>
        <v>0.388888888888889</v>
      </c>
      <c r="L1892" s="21" t="n">
        <f aca="false">AVERAGEIFS($K$2:$K$2705,$B$2:$B$2705,B1892)</f>
        <v>0.499963188302301</v>
      </c>
      <c r="M1892" s="21" t="n">
        <f aca="false">K1892-L1892</f>
        <v>-0.111074299413412</v>
      </c>
      <c r="N1892" s="21" t="n">
        <f aca="false">LN(J1892)</f>
        <v>12.6068894863551</v>
      </c>
      <c r="O1892" s="21" t="n">
        <f aca="false">AVERAGEIFS($N$2:$N$2705,$B$2:$B$2705,B1892)</f>
        <v>13.6231716231581</v>
      </c>
      <c r="P1892" s="21" t="n">
        <f aca="false">N1892-O1892</f>
        <v>-1.01628213680292</v>
      </c>
      <c r="Q1892" s="7" t="n">
        <v>1</v>
      </c>
      <c r="R1892" s="3" t="n">
        <f aca="false">IF(AND(Q1892=1,B1892-_xlfn.MINIFS($B$2:$B$2705,$A$2:$A$2705,A1892)&lt;10),1,0)</f>
        <v>1</v>
      </c>
      <c r="S1892" s="7" t="n">
        <v>0</v>
      </c>
      <c r="T1892" s="3" t="n">
        <f aca="false">_xlfn.MINIFS($B$2:$B$2705,$A$2:$A$2705,A1892)</f>
        <v>1998</v>
      </c>
      <c r="U1892" s="3" t="n">
        <f aca="false">B1892-T1892</f>
        <v>0</v>
      </c>
      <c r="V1892" s="3" t="str">
        <f aca="false">INDEX(Pop_Inputs!$Q$2:$Q$29,MATCH(C1892,Pop_Inputs!$A$2:$A$29,0))</f>
        <v>South</v>
      </c>
      <c r="W1892" s="29" t="n">
        <v>27280000</v>
      </c>
      <c r="X1892" s="3" t="n">
        <f aca="false">IF(W1892="","",LN(W1892))</f>
        <v>17.1216643909395</v>
      </c>
      <c r="Y1892" s="3" t="n">
        <f aca="false">IF(X1892="","",X1892-AVERAGEIFS($X$2:$X$2705,$B$2:$B$2705,B1892))</f>
        <v>-0.364580395782454</v>
      </c>
      <c r="Z1892" s="21" t="n">
        <f aca="false">P1892</f>
        <v>-1.01628213680292</v>
      </c>
      <c r="AA1892" s="3" t="n">
        <f aca="false">R1892</f>
        <v>1</v>
      </c>
      <c r="AB1892" s="21" t="n">
        <f aca="false">P1892</f>
        <v>-1.01628213680292</v>
      </c>
      <c r="AC1892" s="3" t="n">
        <f aca="false">Y1892</f>
        <v>-0.364580395782454</v>
      </c>
      <c r="AD1892" s="3" t="n">
        <f aca="false">R1892</f>
        <v>1</v>
      </c>
    </row>
    <row r="1893" customFormat="false" ht="15" hidden="false" customHeight="true" outlineLevel="0" collapsed="false">
      <c r="A1893" s="7" t="s">
        <v>73</v>
      </c>
      <c r="B1893" s="7" t="n">
        <v>1998</v>
      </c>
      <c r="C1893" s="7" t="s">
        <v>155</v>
      </c>
      <c r="D1893" s="7" t="n">
        <v>88</v>
      </c>
      <c r="E1893" s="7" t="n">
        <v>74</v>
      </c>
      <c r="F1893" s="3" t="n">
        <f aca="false">COUNTIFS($B$2:$B$2705,B1893,$C$2:$C$2705,C1893)</f>
        <v>1</v>
      </c>
      <c r="G1893" s="3" t="n">
        <f aca="false">MIN(INT((MIN(B1893,2020)-1900)/10)+1,12)</f>
        <v>10</v>
      </c>
      <c r="H1893" s="3" t="n">
        <f aca="false">(MIN(B1893,2020)-1900-10*(G1893-1))/10</f>
        <v>0.8</v>
      </c>
      <c r="I1893" s="20" t="n">
        <f aca="false">EXP(LN(INDEX(Pop_Inputs!$B$2:$N$29,MATCH(C1893,Pop_Inputs!$A$2:$A$29,0),G1893))*(1-H1893)+LN(INDEX(Pop_Inputs!$B$2:$N$29,MATCH(C1893,Pop_Inputs!$A$2:$A$29,0),G1893+1))*H1893)</f>
        <v>1149811.49149947</v>
      </c>
      <c r="J1893" s="20" t="n">
        <f aca="false">I1893/F1893</f>
        <v>1149811.49149947</v>
      </c>
      <c r="K1893" s="21" t="n">
        <f aca="false">D1893/(D1893+E1893)</f>
        <v>0.54320987654321</v>
      </c>
      <c r="L1893" s="21" t="n">
        <f aca="false">AVERAGEIFS($K$2:$K$2705,$B$2:$B$2705,B1893)</f>
        <v>0.499963188302301</v>
      </c>
      <c r="M1893" s="21" t="n">
        <f aca="false">K1893-L1893</f>
        <v>0.0432466882409089</v>
      </c>
      <c r="N1893" s="21" t="n">
        <f aca="false">LN(J1893)</f>
        <v>13.9551085664678</v>
      </c>
      <c r="O1893" s="21" t="n">
        <f aca="false">AVERAGEIFS($N$2:$N$2705,$B$2:$B$2705,B1893)</f>
        <v>13.6231716231581</v>
      </c>
      <c r="P1893" s="21" t="n">
        <f aca="false">N1893-O1893</f>
        <v>0.331936943309701</v>
      </c>
      <c r="Q1893" s="7" t="n">
        <v>1</v>
      </c>
      <c r="R1893" s="3" t="n">
        <f aca="false">IF(AND(Q1893=1,B1893-_xlfn.MINIFS($B$2:$B$2705,$A$2:$A$2705,A1893)&lt;10),1,0)</f>
        <v>0</v>
      </c>
      <c r="S1893" s="7" t="n">
        <v>0</v>
      </c>
      <c r="T1893" s="3" t="n">
        <f aca="false">_xlfn.MINIFS($B$2:$B$2705,$A$2:$A$2705,A1893)</f>
        <v>1961</v>
      </c>
      <c r="U1893" s="3" t="n">
        <f aca="false">B1893-T1893</f>
        <v>37</v>
      </c>
      <c r="V1893" s="3" t="str">
        <f aca="false">INDEX(Pop_Inputs!$Q$2:$Q$29,MATCH(C1893,Pop_Inputs!$A$2:$A$29,0))</f>
        <v>South</v>
      </c>
      <c r="W1893" s="29" t="n">
        <v>56572095</v>
      </c>
      <c r="X1893" s="3" t="n">
        <f aca="false">IF(W1893="","",LN(W1893))</f>
        <v>17.8510264003971</v>
      </c>
      <c r="Y1893" s="3" t="n">
        <f aca="false">IF(X1893="","",X1893-AVERAGEIFS($X$2:$X$2705,$B$2:$B$2705,B1893))</f>
        <v>0.364781613675095</v>
      </c>
      <c r="Z1893" s="21" t="n">
        <f aca="false">P1893</f>
        <v>0.331936943309701</v>
      </c>
      <c r="AA1893" s="3" t="n">
        <f aca="false">R1893</f>
        <v>0</v>
      </c>
      <c r="AB1893" s="21" t="n">
        <f aca="false">P1893</f>
        <v>0.331936943309701</v>
      </c>
      <c r="AC1893" s="3" t="n">
        <f aca="false">Y1893</f>
        <v>0.364781613675095</v>
      </c>
      <c r="AD1893" s="3" t="n">
        <f aca="false">R1893</f>
        <v>0</v>
      </c>
    </row>
    <row r="1894" customFormat="false" ht="15" hidden="false" customHeight="true" outlineLevel="0" collapsed="false">
      <c r="A1894" s="7" t="s">
        <v>81</v>
      </c>
      <c r="B1894" s="7" t="n">
        <v>1998</v>
      </c>
      <c r="C1894" s="7" t="s">
        <v>162</v>
      </c>
      <c r="D1894" s="7" t="n">
        <v>88</v>
      </c>
      <c r="E1894" s="7" t="n">
        <v>74</v>
      </c>
      <c r="F1894" s="3" t="n">
        <f aca="false">COUNTIFS($B$2:$B$2705,B1894,$C$2:$C$2705,C1894)</f>
        <v>1</v>
      </c>
      <c r="G1894" s="3" t="n">
        <f aca="false">MIN(INT((MIN(B1894,2020)-1900)/10)+1,12)</f>
        <v>10</v>
      </c>
      <c r="H1894" s="3" t="n">
        <f aca="false">(MIN(B1894,2020)-1900-10*(G1894-1))/10</f>
        <v>0.8</v>
      </c>
      <c r="I1894" s="20" t="n">
        <f aca="false">EXP(LN(INDEX(Pop_Inputs!$B$2:$N$29,MATCH(C1894,Pop_Inputs!$A$2:$A$29,0),G1894))*(1-H1894)+LN(INDEX(Pop_Inputs!$B$2:$N$29,MATCH(C1894,Pop_Inputs!$A$2:$A$29,0),G1894+1))*H1894)</f>
        <v>1889641.16880796</v>
      </c>
      <c r="J1894" s="20" t="n">
        <f aca="false">I1894/F1894</f>
        <v>1889641.16880796</v>
      </c>
      <c r="K1894" s="21" t="n">
        <f aca="false">D1894/(D1894+E1894)</f>
        <v>0.54320987654321</v>
      </c>
      <c r="L1894" s="21" t="n">
        <f aca="false">AVERAGEIFS($K$2:$K$2705,$B$2:$B$2705,B1894)</f>
        <v>0.499963188302301</v>
      </c>
      <c r="M1894" s="21" t="n">
        <f aca="false">K1894-L1894</f>
        <v>0.0432466882409089</v>
      </c>
      <c r="N1894" s="21" t="n">
        <f aca="false">LN(J1894)</f>
        <v>14.451897511237</v>
      </c>
      <c r="O1894" s="21" t="n">
        <f aca="false">AVERAGEIFS($N$2:$N$2705,$B$2:$B$2705,B1894)</f>
        <v>13.6231716231581</v>
      </c>
      <c r="P1894" s="21" t="n">
        <f aca="false">N1894-O1894</f>
        <v>0.828725888078925</v>
      </c>
      <c r="Q1894" s="7" t="n">
        <v>1</v>
      </c>
      <c r="R1894" s="3" t="n">
        <f aca="false">IF(AND(Q1894=1,B1894-_xlfn.MINIFS($B$2:$B$2705,$A$2:$A$2705,A1894)&lt;10),1,0)</f>
        <v>0</v>
      </c>
      <c r="S1894" s="7" t="n">
        <v>0</v>
      </c>
      <c r="T1894" s="3" t="n">
        <f aca="false">_xlfn.MINIFS($B$2:$B$2705,$A$2:$A$2705,A1894)</f>
        <v>1977</v>
      </c>
      <c r="U1894" s="3" t="n">
        <f aca="false">B1894-T1894</f>
        <v>21</v>
      </c>
      <c r="V1894" s="3" t="str">
        <f aca="false">INDEX(Pop_Inputs!$Q$2:$Q$29,MATCH(C1894,Pop_Inputs!$A$2:$A$29,0))</f>
        <v>Canada</v>
      </c>
      <c r="W1894" s="29" t="n">
        <v>51376000</v>
      </c>
      <c r="X1894" s="3" t="n">
        <f aca="false">IF(W1894="","",LN(W1894))</f>
        <v>17.7546816953114</v>
      </c>
      <c r="Y1894" s="3" t="n">
        <f aca="false">IF(X1894="","",X1894-AVERAGEIFS($X$2:$X$2705,$B$2:$B$2705,B1894))</f>
        <v>0.268436908589443</v>
      </c>
      <c r="Z1894" s="21" t="n">
        <f aca="false">P1894</f>
        <v>0.828725888078925</v>
      </c>
      <c r="AA1894" s="3" t="n">
        <f aca="false">R1894</f>
        <v>0</v>
      </c>
      <c r="AB1894" s="21" t="n">
        <f aca="false">P1894</f>
        <v>0.828725888078925</v>
      </c>
      <c r="AC1894" s="3" t="n">
        <f aca="false">Y1894</f>
        <v>0.268436908589443</v>
      </c>
      <c r="AD1894" s="3" t="n">
        <f aca="false">R1894</f>
        <v>0</v>
      </c>
    </row>
    <row r="1895" customFormat="false" ht="15" hidden="false" customHeight="true" outlineLevel="0" collapsed="false">
      <c r="A1895" s="7" t="s">
        <v>79</v>
      </c>
      <c r="B1895" s="7" t="n">
        <v>1998</v>
      </c>
      <c r="C1895" s="7" t="s">
        <v>254</v>
      </c>
      <c r="D1895" s="7" t="n">
        <v>65</v>
      </c>
      <c r="E1895" s="7" t="n">
        <v>97</v>
      </c>
      <c r="F1895" s="3" t="n">
        <f aca="false">COUNTIFS($B$2:$B$2705,B1895,$C$2:$C$2705,C1895)</f>
        <v>1</v>
      </c>
      <c r="G1895" s="3" t="n">
        <f aca="false">MIN(INT((MIN(B1895,2020)-1900)/10)+1,12)</f>
        <v>10</v>
      </c>
      <c r="H1895" s="3" t="n">
        <f aca="false">(MIN(B1895,2020)-1900-10*(G1895-1))/10</f>
        <v>0.8</v>
      </c>
      <c r="I1895" s="20" t="n">
        <f aca="false">EXP(LN(INDEX(Pop_Inputs!$B$2:$N$29,MATCH(C1895,Pop_Inputs!$A$2:$A$29,0),G1895))*(1-H1895)+LN(INDEX(Pop_Inputs!$B$2:$N$29,MATCH(C1895,Pop_Inputs!$A$2:$A$29,0),G1895+1))*H1895)</f>
        <v>1035123.12671267</v>
      </c>
      <c r="J1895" s="20" t="n">
        <f aca="false">I1895/F1895</f>
        <v>1035123.12671267</v>
      </c>
      <c r="K1895" s="21" t="n">
        <f aca="false">D1895/(D1895+E1895)</f>
        <v>0.401234567901235</v>
      </c>
      <c r="L1895" s="21" t="n">
        <f aca="false">AVERAGEIFS($K$2:$K$2705,$B$2:$B$2705,B1895)</f>
        <v>0.499963188302301</v>
      </c>
      <c r="M1895" s="21" t="n">
        <f aca="false">K1895-L1895</f>
        <v>-0.0987286204010664</v>
      </c>
      <c r="N1895" s="21" t="n">
        <f aca="false">LN(J1895)</f>
        <v>13.8500309406135</v>
      </c>
      <c r="O1895" s="21" t="n">
        <f aca="false">AVERAGEIFS($N$2:$N$2705,$B$2:$B$2705,B1895)</f>
        <v>13.6231716231581</v>
      </c>
      <c r="P1895" s="21" t="n">
        <f aca="false">N1895-O1895</f>
        <v>0.226859317455414</v>
      </c>
      <c r="Q1895" s="7" t="n">
        <v>1</v>
      </c>
      <c r="R1895" s="3" t="n">
        <f aca="false">IF(AND(Q1895=1,B1895-_xlfn.MINIFS($B$2:$B$2705,$A$2:$A$2705,A1895)&lt;10),1,0)</f>
        <v>0</v>
      </c>
      <c r="S1895" s="7" t="n">
        <v>0</v>
      </c>
      <c r="T1895" s="3" t="n">
        <f aca="false">_xlfn.MINIFS($B$2:$B$2705,$A$2:$A$2705,A1895)</f>
        <v>1969</v>
      </c>
      <c r="U1895" s="3" t="n">
        <f aca="false">B1895-T1895</f>
        <v>29</v>
      </c>
      <c r="V1895" s="3" t="str">
        <f aca="false">INDEX(Pop_Inputs!$Q$2:$Q$29,MATCH(C1895,Pop_Inputs!$A$2:$A$29,0))</f>
        <v>Canada</v>
      </c>
      <c r="W1895" s="29" t="n">
        <v>10641500</v>
      </c>
      <c r="X1895" s="3" t="n">
        <f aca="false">IF(W1895="","",LN(W1895))</f>
        <v>16.180272009385</v>
      </c>
      <c r="Y1895" s="3" t="n">
        <f aca="false">IF(X1895="","",X1895-AVERAGEIFS($X$2:$X$2705,$B$2:$B$2705,B1895))</f>
        <v>-1.30597277733699</v>
      </c>
      <c r="Z1895" s="21" t="n">
        <f aca="false">P1895</f>
        <v>0.226859317455414</v>
      </c>
      <c r="AA1895" s="3" t="n">
        <f aca="false">R1895</f>
        <v>0</v>
      </c>
      <c r="AB1895" s="21" t="n">
        <f aca="false">P1895</f>
        <v>0.226859317455414</v>
      </c>
      <c r="AC1895" s="3" t="n">
        <f aca="false">Y1895</f>
        <v>-1.30597277733699</v>
      </c>
      <c r="AD1895" s="3" t="n">
        <f aca="false">R1895</f>
        <v>0</v>
      </c>
    </row>
    <row r="1896" customFormat="false" ht="15" hidden="false" customHeight="true" outlineLevel="0" collapsed="false">
      <c r="A1896" s="7" t="s">
        <v>71</v>
      </c>
      <c r="B1896" s="7" t="n">
        <v>1999</v>
      </c>
      <c r="C1896" s="7" t="s">
        <v>148</v>
      </c>
      <c r="D1896" s="7" t="n">
        <v>70</v>
      </c>
      <c r="E1896" s="7" t="n">
        <v>92</v>
      </c>
      <c r="F1896" s="3" t="n">
        <f aca="false">COUNTIFS($B$2:$B$2705,B1896,$C$2:$C$2705,C1896)</f>
        <v>2</v>
      </c>
      <c r="G1896" s="3" t="n">
        <f aca="false">MIN(INT((MIN(B1896,2020)-1900)/10)+1,12)</f>
        <v>10</v>
      </c>
      <c r="H1896" s="3" t="n">
        <f aca="false">(MIN(B1896,2020)-1900-10*(G1896-1))/10</f>
        <v>0.9</v>
      </c>
      <c r="I1896" s="20" t="n">
        <f aca="false">EXP(LN(INDEX(Pop_Inputs!$B$2:$N$29,MATCH(C1896,Pop_Inputs!$A$2:$A$29,0),G1896))*(1-H1896)+LN(INDEX(Pop_Inputs!$B$2:$N$29,MATCH(C1896,Pop_Inputs!$A$2:$A$29,0),G1896+1))*H1896)</f>
        <v>3673323.65024341</v>
      </c>
      <c r="J1896" s="20" t="n">
        <f aca="false">I1896/F1896</f>
        <v>1836661.8251217</v>
      </c>
      <c r="K1896" s="21" t="n">
        <f aca="false">D1896/(D1896+E1896)</f>
        <v>0.432098765432099</v>
      </c>
      <c r="L1896" s="21" t="n">
        <f aca="false">AVERAGEIFS($K$2:$K$2705,$B$2:$B$2705,B1896)</f>
        <v>0.499857060550264</v>
      </c>
      <c r="M1896" s="21" t="n">
        <f aca="false">K1896-L1896</f>
        <v>-0.0677582951181652</v>
      </c>
      <c r="N1896" s="21" t="n">
        <f aca="false">LN(J1896)</f>
        <v>14.4234602564076</v>
      </c>
      <c r="O1896" s="21" t="n">
        <f aca="false">AVERAGEIFS($N$2:$N$2705,$B$2:$B$2705,B1896)</f>
        <v>13.6313228088</v>
      </c>
      <c r="P1896" s="21" t="n">
        <f aca="false">N1896-O1896</f>
        <v>0.792137447607587</v>
      </c>
      <c r="Q1896" s="7" t="n">
        <v>1</v>
      </c>
      <c r="R1896" s="3" t="n">
        <f aca="false">IF(AND(Q1896=1,B1896-_xlfn.MINIFS($B$2:$B$2705,$A$2:$A$2705,A1896)&lt;10),1,0)</f>
        <v>0</v>
      </c>
      <c r="S1896" s="7" t="n">
        <v>0</v>
      </c>
      <c r="T1896" s="3" t="n">
        <f aca="false">_xlfn.MINIFS($B$2:$B$2705,$A$2:$A$2705,A1896)</f>
        <v>1961</v>
      </c>
      <c r="U1896" s="3" t="n">
        <f aca="false">B1896-T1896</f>
        <v>38</v>
      </c>
      <c r="V1896" s="3" t="str">
        <f aca="false">INDEX(Pop_Inputs!$Q$2:$Q$29,MATCH(C1896,Pop_Inputs!$A$2:$A$29,0))</f>
        <v>West</v>
      </c>
      <c r="W1896" s="29" t="n">
        <v>55388166</v>
      </c>
      <c r="X1896" s="3" t="n">
        <f aca="false">IF(W1896="","",LN(W1896))</f>
        <v>17.8298765187913</v>
      </c>
      <c r="Y1896" s="3" t="n">
        <f aca="false">IF(X1896="","",X1896-AVERAGEIFS($X$2:$X$2705,$B$2:$B$2705,B1896))</f>
        <v>0.201439469799446</v>
      </c>
      <c r="Z1896" s="21" t="n">
        <f aca="false">P1896</f>
        <v>0.792137447607587</v>
      </c>
      <c r="AA1896" s="3" t="n">
        <f aca="false">R1896</f>
        <v>0</v>
      </c>
      <c r="AB1896" s="21" t="n">
        <f aca="false">P1896</f>
        <v>0.792137447607587</v>
      </c>
      <c r="AC1896" s="3" t="n">
        <f aca="false">Y1896</f>
        <v>0.201439469799446</v>
      </c>
      <c r="AD1896" s="3" t="n">
        <f aca="false">R1896</f>
        <v>0</v>
      </c>
    </row>
    <row r="1897" customFormat="false" ht="15" hidden="false" customHeight="true" outlineLevel="0" collapsed="false">
      <c r="A1897" s="7" t="s">
        <v>84</v>
      </c>
      <c r="B1897" s="7" t="n">
        <v>1999</v>
      </c>
      <c r="C1897" s="7" t="s">
        <v>165</v>
      </c>
      <c r="D1897" s="7" t="n">
        <v>100</v>
      </c>
      <c r="E1897" s="7" t="n">
        <v>62</v>
      </c>
      <c r="F1897" s="3" t="n">
        <f aca="false">COUNTIFS($B$2:$B$2705,B1897,$C$2:$C$2705,C1897)</f>
        <v>1</v>
      </c>
      <c r="G1897" s="3" t="n">
        <f aca="false">MIN(INT((MIN(B1897,2020)-1900)/10)+1,12)</f>
        <v>10</v>
      </c>
      <c r="H1897" s="3" t="n">
        <f aca="false">(MIN(B1897,2020)-1900-10*(G1897-1))/10</f>
        <v>0.9</v>
      </c>
      <c r="I1897" s="20" t="n">
        <f aca="false">EXP(LN(INDEX(Pop_Inputs!$B$2:$N$29,MATCH(C1897,Pop_Inputs!$A$2:$A$29,0),G1897))*(1-H1897)+LN(INDEX(Pop_Inputs!$B$2:$N$29,MATCH(C1897,Pop_Inputs!$A$2:$A$29,0),G1897+1))*H1897)</f>
        <v>1282622.94077145</v>
      </c>
      <c r="J1897" s="20" t="n">
        <f aca="false">I1897/F1897</f>
        <v>1282622.94077145</v>
      </c>
      <c r="K1897" s="21" t="n">
        <f aca="false">D1897/(D1897+E1897)</f>
        <v>0.617283950617284</v>
      </c>
      <c r="L1897" s="21" t="n">
        <f aca="false">AVERAGEIFS($K$2:$K$2705,$B$2:$B$2705,B1897)</f>
        <v>0.499857060550264</v>
      </c>
      <c r="M1897" s="21" t="n">
        <f aca="false">K1897-L1897</f>
        <v>0.11742689006702</v>
      </c>
      <c r="N1897" s="21" t="n">
        <f aca="false">LN(J1897)</f>
        <v>14.0644177116834</v>
      </c>
      <c r="O1897" s="21" t="n">
        <f aca="false">AVERAGEIFS($N$2:$N$2705,$B$2:$B$2705,B1897)</f>
        <v>13.6313228088</v>
      </c>
      <c r="P1897" s="21" t="n">
        <f aca="false">N1897-O1897</f>
        <v>0.433094902883369</v>
      </c>
      <c r="Q1897" s="7" t="n">
        <v>1</v>
      </c>
      <c r="R1897" s="3" t="n">
        <f aca="false">IF(AND(Q1897=1,B1897-_xlfn.MINIFS($B$2:$B$2705,$A$2:$A$2705,A1897)&lt;10),1,0)</f>
        <v>1</v>
      </c>
      <c r="S1897" s="7" t="n">
        <v>0</v>
      </c>
      <c r="T1897" s="3" t="n">
        <f aca="false">_xlfn.MINIFS($B$2:$B$2705,$A$2:$A$2705,A1897)</f>
        <v>1998</v>
      </c>
      <c r="U1897" s="3" t="n">
        <f aca="false">B1897-T1897</f>
        <v>1</v>
      </c>
      <c r="V1897" s="3" t="str">
        <f aca="false">INDEX(Pop_Inputs!$Q$2:$Q$29,MATCH(C1897,Pop_Inputs!$A$2:$A$29,0))</f>
        <v>West</v>
      </c>
      <c r="W1897" s="29" t="n">
        <v>68703999</v>
      </c>
      <c r="X1897" s="3" t="n">
        <f aca="false">IF(W1897="","",LN(W1897))</f>
        <v>18.0453179651055</v>
      </c>
      <c r="Y1897" s="3" t="n">
        <f aca="false">IF(X1897="","",X1897-AVERAGEIFS($X$2:$X$2705,$B$2:$B$2705,B1897))</f>
        <v>0.416880916113577</v>
      </c>
      <c r="Z1897" s="21" t="n">
        <f aca="false">P1897</f>
        <v>0.433094902883369</v>
      </c>
      <c r="AA1897" s="3" t="n">
        <f aca="false">R1897</f>
        <v>1</v>
      </c>
      <c r="AB1897" s="21" t="n">
        <f aca="false">P1897</f>
        <v>0.433094902883369</v>
      </c>
      <c r="AC1897" s="3" t="n">
        <f aca="false">Y1897</f>
        <v>0.416880916113577</v>
      </c>
      <c r="AD1897" s="3" t="n">
        <f aca="false">R1897</f>
        <v>1</v>
      </c>
    </row>
    <row r="1898" customFormat="false" ht="15" hidden="false" customHeight="true" outlineLevel="0" collapsed="false">
      <c r="A1898" s="7" t="s">
        <v>54</v>
      </c>
      <c r="B1898" s="7" t="n">
        <v>1999</v>
      </c>
      <c r="C1898" s="7" t="s">
        <v>141</v>
      </c>
      <c r="D1898" s="7" t="n">
        <v>103</v>
      </c>
      <c r="E1898" s="7" t="n">
        <v>59</v>
      </c>
      <c r="F1898" s="3" t="n">
        <f aca="false">COUNTIFS($B$2:$B$2705,B1898,$C$2:$C$2705,C1898)</f>
        <v>1</v>
      </c>
      <c r="G1898" s="3" t="n">
        <f aca="false">MIN(INT((MIN(B1898,2020)-1900)/10)+1,12)</f>
        <v>10</v>
      </c>
      <c r="H1898" s="3" t="n">
        <f aca="false">(MIN(B1898,2020)-1900-10*(G1898-1))/10</f>
        <v>0.9</v>
      </c>
      <c r="I1898" s="20" t="n">
        <f aca="false">EXP(LN(INDEX(Pop_Inputs!$B$2:$N$29,MATCH(C1898,Pop_Inputs!$A$2:$A$29,0),G1898))*(1-H1898)+LN(INDEX(Pop_Inputs!$B$2:$N$29,MATCH(C1898,Pop_Inputs!$A$2:$A$29,0),G1898+1))*H1898)</f>
        <v>414171.871728355</v>
      </c>
      <c r="J1898" s="20" t="n">
        <f aca="false">I1898/F1898</f>
        <v>414171.871728355</v>
      </c>
      <c r="K1898" s="21" t="n">
        <f aca="false">D1898/(D1898+E1898)</f>
        <v>0.635802469135803</v>
      </c>
      <c r="L1898" s="21" t="n">
        <f aca="false">AVERAGEIFS($K$2:$K$2705,$B$2:$B$2705,B1898)</f>
        <v>0.499857060550264</v>
      </c>
      <c r="M1898" s="21" t="n">
        <f aca="false">K1898-L1898</f>
        <v>0.135945408585539</v>
      </c>
      <c r="N1898" s="21" t="n">
        <f aca="false">LN(J1898)</f>
        <v>12.9340363157592</v>
      </c>
      <c r="O1898" s="21" t="n">
        <f aca="false">AVERAGEIFS($N$2:$N$2705,$B$2:$B$2705,B1898)</f>
        <v>13.6313228088</v>
      </c>
      <c r="P1898" s="21" t="n">
        <f aca="false">N1898-O1898</f>
        <v>-0.697286493040826</v>
      </c>
      <c r="Q1898" s="7" t="n">
        <v>0</v>
      </c>
      <c r="R1898" s="3" t="n">
        <f aca="false">IF(AND(Q1898=1,B1898-_xlfn.MINIFS($B$2:$B$2705,$A$2:$A$2705,A1898)&lt;10),1,0)</f>
        <v>0</v>
      </c>
      <c r="S1898" s="7" t="n">
        <v>0</v>
      </c>
      <c r="T1898" s="3" t="n">
        <f aca="false">_xlfn.MINIFS($B$2:$B$2705,$A$2:$A$2705,A1898)</f>
        <v>1901</v>
      </c>
      <c r="U1898" s="3" t="n">
        <f aca="false">B1898-T1898</f>
        <v>98</v>
      </c>
      <c r="V1898" s="3" t="str">
        <f aca="false">INDEX(Pop_Inputs!$Q$2:$Q$29,MATCH(C1898,Pop_Inputs!$A$2:$A$29,0))</f>
        <v>South</v>
      </c>
      <c r="W1898" s="29" t="n">
        <v>73140000</v>
      </c>
      <c r="X1898" s="3" t="n">
        <f aca="false">IF(W1898="","",LN(W1898))</f>
        <v>18.1078859706855</v>
      </c>
      <c r="Y1898" s="3" t="n">
        <f aca="false">IF(X1898="","",X1898-AVERAGEIFS($X$2:$X$2705,$B$2:$B$2705,B1898))</f>
        <v>0.479448921693635</v>
      </c>
      <c r="Z1898" s="21" t="n">
        <f aca="false">P1898</f>
        <v>-0.697286493040826</v>
      </c>
      <c r="AA1898" s="3" t="n">
        <f aca="false">R1898</f>
        <v>0</v>
      </c>
      <c r="AB1898" s="21" t="n">
        <f aca="false">P1898</f>
        <v>-0.697286493040826</v>
      </c>
      <c r="AC1898" s="3" t="n">
        <f aca="false">Y1898</f>
        <v>0.479448921693635</v>
      </c>
      <c r="AD1898" s="3" t="n">
        <f aca="false">R1898</f>
        <v>0</v>
      </c>
    </row>
    <row r="1899" customFormat="false" ht="15" hidden="false" customHeight="true" outlineLevel="0" collapsed="false">
      <c r="A1899" s="7" t="s">
        <v>63</v>
      </c>
      <c r="B1899" s="7" t="n">
        <v>1999</v>
      </c>
      <c r="C1899" s="7" t="s">
        <v>149</v>
      </c>
      <c r="D1899" s="7" t="n">
        <v>78</v>
      </c>
      <c r="E1899" s="7" t="n">
        <v>84</v>
      </c>
      <c r="F1899" s="3" t="n">
        <f aca="false">COUNTIFS($B$2:$B$2705,B1899,$C$2:$C$2705,C1899)</f>
        <v>1</v>
      </c>
      <c r="G1899" s="3" t="n">
        <f aca="false">MIN(INT((MIN(B1899,2020)-1900)/10)+1,12)</f>
        <v>10</v>
      </c>
      <c r="H1899" s="3" t="n">
        <f aca="false">(MIN(B1899,2020)-1900-10*(G1899-1))/10</f>
        <v>0.9</v>
      </c>
      <c r="I1899" s="20" t="n">
        <f aca="false">EXP(LN(INDEX(Pop_Inputs!$B$2:$N$29,MATCH(C1899,Pop_Inputs!$A$2:$A$29,0),G1899))*(1-H1899)+LN(INDEX(Pop_Inputs!$B$2:$N$29,MATCH(C1899,Pop_Inputs!$A$2:$A$29,0),G1899+1))*H1899)</f>
        <v>659179.889083035</v>
      </c>
      <c r="J1899" s="20" t="n">
        <f aca="false">I1899/F1899</f>
        <v>659179.889083035</v>
      </c>
      <c r="K1899" s="21" t="n">
        <f aca="false">D1899/(D1899+E1899)</f>
        <v>0.481481481481481</v>
      </c>
      <c r="L1899" s="21" t="n">
        <f aca="false">AVERAGEIFS($K$2:$K$2705,$B$2:$B$2705,B1899)</f>
        <v>0.499857060550264</v>
      </c>
      <c r="M1899" s="21" t="n">
        <f aca="false">K1899-L1899</f>
        <v>-0.0183755790687825</v>
      </c>
      <c r="N1899" s="21" t="n">
        <f aca="false">LN(J1899)</f>
        <v>13.3987517490462</v>
      </c>
      <c r="O1899" s="21" t="n">
        <f aca="false">AVERAGEIFS($N$2:$N$2705,$B$2:$B$2705,B1899)</f>
        <v>13.6313228088</v>
      </c>
      <c r="P1899" s="21" t="n">
        <f aca="false">N1899-O1899</f>
        <v>-0.232571059753804</v>
      </c>
      <c r="Q1899" s="7" t="n">
        <v>0</v>
      </c>
      <c r="R1899" s="3" t="n">
        <f aca="false">IF(AND(Q1899=1,B1899-_xlfn.MINIFS($B$2:$B$2705,$A$2:$A$2705,A1899)&lt;10),1,0)</f>
        <v>0</v>
      </c>
      <c r="S1899" s="7" t="n">
        <v>0</v>
      </c>
      <c r="T1899" s="3" t="n">
        <f aca="false">_xlfn.MINIFS($B$2:$B$2705,$A$2:$A$2705,A1899)</f>
        <v>1901</v>
      </c>
      <c r="U1899" s="3" t="n">
        <f aca="false">B1899-T1899</f>
        <v>98</v>
      </c>
      <c r="V1899" s="3" t="str">
        <f aca="false">INDEX(Pop_Inputs!$Q$2:$Q$29,MATCH(C1899,Pop_Inputs!$A$2:$A$29,0))</f>
        <v>South</v>
      </c>
      <c r="W1899" s="29" t="n">
        <v>80605863</v>
      </c>
      <c r="X1899" s="3" t="n">
        <f aca="false">IF(W1899="","",LN(W1899))</f>
        <v>18.2050819467668</v>
      </c>
      <c r="Y1899" s="3" t="n">
        <f aca="false">IF(X1899="","",X1899-AVERAGEIFS($X$2:$X$2705,$B$2:$B$2705,B1899))</f>
        <v>0.576644897774902</v>
      </c>
      <c r="Z1899" s="21" t="n">
        <f aca="false">P1899</f>
        <v>-0.232571059753804</v>
      </c>
      <c r="AA1899" s="3" t="n">
        <f aca="false">R1899</f>
        <v>0</v>
      </c>
      <c r="AB1899" s="21" t="n">
        <f aca="false">P1899</f>
        <v>-0.232571059753804</v>
      </c>
      <c r="AC1899" s="3" t="n">
        <f aca="false">Y1899</f>
        <v>0.576644897774902</v>
      </c>
      <c r="AD1899" s="3" t="n">
        <f aca="false">R1899</f>
        <v>0</v>
      </c>
    </row>
    <row r="1900" customFormat="false" ht="15" hidden="false" customHeight="true" outlineLevel="0" collapsed="false">
      <c r="A1900" s="7" t="s">
        <v>64</v>
      </c>
      <c r="B1900" s="7" t="n">
        <v>1999</v>
      </c>
      <c r="C1900" s="7" t="s">
        <v>150</v>
      </c>
      <c r="D1900" s="7" t="n">
        <v>94</v>
      </c>
      <c r="E1900" s="7" t="n">
        <v>68</v>
      </c>
      <c r="F1900" s="3" t="n">
        <f aca="false">COUNTIFS($B$2:$B$2705,B1900,$C$2:$C$2705,C1900)</f>
        <v>1</v>
      </c>
      <c r="G1900" s="3" t="n">
        <f aca="false">MIN(INT((MIN(B1900,2020)-1900)/10)+1,12)</f>
        <v>10</v>
      </c>
      <c r="H1900" s="3" t="n">
        <f aca="false">(MIN(B1900,2020)-1900-10*(G1900-1))/10</f>
        <v>0.9</v>
      </c>
      <c r="I1900" s="20" t="n">
        <f aca="false">EXP(LN(INDEX(Pop_Inputs!$B$2:$N$29,MATCH(C1900,Pop_Inputs!$A$2:$A$29,0),G1900))*(1-H1900)+LN(INDEX(Pop_Inputs!$B$2:$N$29,MATCH(C1900,Pop_Inputs!$A$2:$A$29,0),G1900+1))*H1900)</f>
        <v>587638.063455035</v>
      </c>
      <c r="J1900" s="20" t="n">
        <f aca="false">I1900/F1900</f>
        <v>587638.063455035</v>
      </c>
      <c r="K1900" s="21" t="n">
        <f aca="false">D1900/(D1900+E1900)</f>
        <v>0.580246913580247</v>
      </c>
      <c r="L1900" s="21" t="n">
        <f aca="false">AVERAGEIFS($K$2:$K$2705,$B$2:$B$2705,B1900)</f>
        <v>0.499857060550264</v>
      </c>
      <c r="M1900" s="21" t="n">
        <f aca="false">K1900-L1900</f>
        <v>0.080389853029983</v>
      </c>
      <c r="N1900" s="21" t="n">
        <f aca="false">LN(J1900)</f>
        <v>13.2838664990175</v>
      </c>
      <c r="O1900" s="21" t="n">
        <f aca="false">AVERAGEIFS($N$2:$N$2705,$B$2:$B$2705,B1900)</f>
        <v>13.6313228088</v>
      </c>
      <c r="P1900" s="21" t="n">
        <f aca="false">N1900-O1900</f>
        <v>-0.347456309782551</v>
      </c>
      <c r="Q1900" s="7" t="n">
        <v>0</v>
      </c>
      <c r="R1900" s="3" t="n">
        <f aca="false">IF(AND(Q1900=1,B1900-_xlfn.MINIFS($B$2:$B$2705,$A$2:$A$2705,A1900)&lt;10),1,0)</f>
        <v>0</v>
      </c>
      <c r="S1900" s="7" t="n">
        <v>0</v>
      </c>
      <c r="T1900" s="3" t="n">
        <f aca="false">_xlfn.MINIFS($B$2:$B$2705,$A$2:$A$2705,A1900)</f>
        <v>1901</v>
      </c>
      <c r="U1900" s="3" t="n">
        <f aca="false">B1900-T1900</f>
        <v>98</v>
      </c>
      <c r="V1900" s="3" t="str">
        <f aca="false">INDEX(Pop_Inputs!$Q$2:$Q$29,MATCH(C1900,Pop_Inputs!$A$2:$A$29,0))</f>
        <v>Northeast</v>
      </c>
      <c r="W1900" s="29" t="n">
        <v>63497500</v>
      </c>
      <c r="X1900" s="3" t="n">
        <f aca="false">IF(W1900="","",LN(W1900))</f>
        <v>17.9665110930092</v>
      </c>
      <c r="Y1900" s="3" t="n">
        <f aca="false">IF(X1900="","",X1900-AVERAGEIFS($X$2:$X$2705,$B$2:$B$2705,B1900))</f>
        <v>0.338074044017283</v>
      </c>
      <c r="Z1900" s="21" t="n">
        <f aca="false">P1900</f>
        <v>-0.347456309782551</v>
      </c>
      <c r="AA1900" s="3" t="n">
        <f aca="false">R1900</f>
        <v>0</v>
      </c>
      <c r="AB1900" s="21" t="n">
        <f aca="false">P1900</f>
        <v>-0.347456309782551</v>
      </c>
      <c r="AC1900" s="3" t="n">
        <f aca="false">Y1900</f>
        <v>0.338074044017283</v>
      </c>
      <c r="AD1900" s="3" t="n">
        <f aca="false">R1900</f>
        <v>0</v>
      </c>
    </row>
    <row r="1901" customFormat="false" ht="15" hidden="false" customHeight="true" outlineLevel="0" collapsed="false">
      <c r="A1901" s="7" t="s">
        <v>56</v>
      </c>
      <c r="B1901" s="7" t="n">
        <v>1999</v>
      </c>
      <c r="C1901" s="7" t="s">
        <v>142</v>
      </c>
      <c r="D1901" s="7" t="n">
        <v>67</v>
      </c>
      <c r="E1901" s="7" t="n">
        <v>95</v>
      </c>
      <c r="F1901" s="3" t="n">
        <f aca="false">COUNTIFS($B$2:$B$2705,B1901,$C$2:$C$2705,C1901)</f>
        <v>2</v>
      </c>
      <c r="G1901" s="3" t="n">
        <f aca="false">MIN(INT((MIN(B1901,2020)-1900)/10)+1,12)</f>
        <v>10</v>
      </c>
      <c r="H1901" s="3" t="n">
        <f aca="false">(MIN(B1901,2020)-1900-10*(G1901-1))/10</f>
        <v>0.9</v>
      </c>
      <c r="I1901" s="20" t="n">
        <f aca="false">EXP(LN(INDEX(Pop_Inputs!$B$2:$N$29,MATCH(C1901,Pop_Inputs!$A$2:$A$29,0),G1901))*(1-H1901)+LN(INDEX(Pop_Inputs!$B$2:$N$29,MATCH(C1901,Pop_Inputs!$A$2:$A$29,0),G1901+1))*H1901)</f>
        <v>2884586.12243811</v>
      </c>
      <c r="J1901" s="20" t="n">
        <f aca="false">I1901/F1901</f>
        <v>1442293.06121905</v>
      </c>
      <c r="K1901" s="21" t="n">
        <f aca="false">D1901/(D1901+E1901)</f>
        <v>0.41358024691358</v>
      </c>
      <c r="L1901" s="21" t="n">
        <f aca="false">AVERAGEIFS($K$2:$K$2705,$B$2:$B$2705,B1901)</f>
        <v>0.499857060550264</v>
      </c>
      <c r="M1901" s="21" t="n">
        <f aca="false">K1901-L1901</f>
        <v>-0.0862768136366837</v>
      </c>
      <c r="N1901" s="21" t="n">
        <f aca="false">LN(J1901)</f>
        <v>14.1817448086462</v>
      </c>
      <c r="O1901" s="21" t="n">
        <f aca="false">AVERAGEIFS($N$2:$N$2705,$B$2:$B$2705,B1901)</f>
        <v>13.6313228088</v>
      </c>
      <c r="P1901" s="21" t="n">
        <f aca="false">N1901-O1901</f>
        <v>0.550421999846211</v>
      </c>
      <c r="Q1901" s="7" t="n">
        <v>0</v>
      </c>
      <c r="R1901" s="3" t="n">
        <f aca="false">IF(AND(Q1901=1,B1901-_xlfn.MINIFS($B$2:$B$2705,$A$2:$A$2705,A1901)&lt;10),1,0)</f>
        <v>0</v>
      </c>
      <c r="S1901" s="7" t="n">
        <v>0</v>
      </c>
      <c r="T1901" s="3" t="n">
        <f aca="false">_xlfn.MINIFS($B$2:$B$2705,$A$2:$A$2705,A1901)</f>
        <v>1901</v>
      </c>
      <c r="U1901" s="3" t="n">
        <f aca="false">B1901-T1901</f>
        <v>98</v>
      </c>
      <c r="V1901" s="3" t="str">
        <f aca="false">INDEX(Pop_Inputs!$Q$2:$Q$29,MATCH(C1901,Pop_Inputs!$A$2:$A$29,0))</f>
        <v>Midwest</v>
      </c>
      <c r="W1901" s="29" t="n">
        <v>62343000</v>
      </c>
      <c r="X1901" s="3" t="n">
        <f aca="false">IF(W1901="","",LN(W1901))</f>
        <v>17.948161954341</v>
      </c>
      <c r="Y1901" s="3" t="n">
        <f aca="false">IF(X1901="","",X1901-AVERAGEIFS($X$2:$X$2705,$B$2:$B$2705,B1901))</f>
        <v>0.319724905349087</v>
      </c>
      <c r="Z1901" s="21" t="n">
        <f aca="false">P1901</f>
        <v>0.550421999846211</v>
      </c>
      <c r="AA1901" s="3" t="n">
        <f aca="false">R1901</f>
        <v>0</v>
      </c>
      <c r="AB1901" s="21" t="n">
        <f aca="false">P1901</f>
        <v>0.550421999846211</v>
      </c>
      <c r="AC1901" s="3" t="n">
        <f aca="false">Y1901</f>
        <v>0.319724905349087</v>
      </c>
      <c r="AD1901" s="3" t="n">
        <f aca="false">R1901</f>
        <v>0</v>
      </c>
    </row>
    <row r="1902" customFormat="false" ht="15" hidden="false" customHeight="true" outlineLevel="0" collapsed="false">
      <c r="A1902" s="7" t="s">
        <v>65</v>
      </c>
      <c r="B1902" s="7" t="n">
        <v>1999</v>
      </c>
      <c r="C1902" s="7" t="s">
        <v>142</v>
      </c>
      <c r="D1902" s="7" t="n">
        <v>75</v>
      </c>
      <c r="E1902" s="7" t="n">
        <v>86</v>
      </c>
      <c r="F1902" s="3" t="n">
        <f aca="false">COUNTIFS($B$2:$B$2705,B1902,$C$2:$C$2705,C1902)</f>
        <v>2</v>
      </c>
      <c r="G1902" s="3" t="n">
        <f aca="false">MIN(INT((MIN(B1902,2020)-1900)/10)+1,12)</f>
        <v>10</v>
      </c>
      <c r="H1902" s="3" t="n">
        <f aca="false">(MIN(B1902,2020)-1900-10*(G1902-1))/10</f>
        <v>0.9</v>
      </c>
      <c r="I1902" s="20" t="n">
        <f aca="false">EXP(LN(INDEX(Pop_Inputs!$B$2:$N$29,MATCH(C1902,Pop_Inputs!$A$2:$A$29,0),G1902))*(1-H1902)+LN(INDEX(Pop_Inputs!$B$2:$N$29,MATCH(C1902,Pop_Inputs!$A$2:$A$29,0),G1902+1))*H1902)</f>
        <v>2884586.12243811</v>
      </c>
      <c r="J1902" s="20" t="n">
        <f aca="false">I1902/F1902</f>
        <v>1442293.06121905</v>
      </c>
      <c r="K1902" s="21" t="n">
        <f aca="false">D1902/(D1902+E1902)</f>
        <v>0.46583850931677</v>
      </c>
      <c r="L1902" s="21" t="n">
        <f aca="false">AVERAGEIFS($K$2:$K$2705,$B$2:$B$2705,B1902)</f>
        <v>0.499857060550264</v>
      </c>
      <c r="M1902" s="21" t="n">
        <f aca="false">K1902-L1902</f>
        <v>-0.0340185512334937</v>
      </c>
      <c r="N1902" s="21" t="n">
        <f aca="false">LN(J1902)</f>
        <v>14.1817448086462</v>
      </c>
      <c r="O1902" s="21" t="n">
        <f aca="false">AVERAGEIFS($N$2:$N$2705,$B$2:$B$2705,B1902)</f>
        <v>13.6313228088</v>
      </c>
      <c r="P1902" s="21" t="n">
        <f aca="false">N1902-O1902</f>
        <v>0.550421999846211</v>
      </c>
      <c r="Q1902" s="7" t="n">
        <v>0</v>
      </c>
      <c r="R1902" s="3" t="n">
        <f aca="false">IF(AND(Q1902=1,B1902-_xlfn.MINIFS($B$2:$B$2705,$A$2:$A$2705,A1902)&lt;10),1,0)</f>
        <v>0</v>
      </c>
      <c r="S1902" s="7" t="n">
        <v>0</v>
      </c>
      <c r="T1902" s="3" t="n">
        <f aca="false">_xlfn.MINIFS($B$2:$B$2705,$A$2:$A$2705,A1902)</f>
        <v>1901</v>
      </c>
      <c r="U1902" s="3" t="n">
        <f aca="false">B1902-T1902</f>
        <v>98</v>
      </c>
      <c r="V1902" s="3" t="str">
        <f aca="false">INDEX(Pop_Inputs!$Q$2:$Q$29,MATCH(C1902,Pop_Inputs!$A$2:$A$29,0))</f>
        <v>Midwest</v>
      </c>
      <c r="W1902" s="29" t="n">
        <v>25620000</v>
      </c>
      <c r="X1902" s="3" t="n">
        <f aca="false">IF(W1902="","",LN(W1902))</f>
        <v>17.0588838544329</v>
      </c>
      <c r="Y1902" s="3" t="n">
        <f aca="false">IF(X1902="","",X1902-AVERAGEIFS($X$2:$X$2705,$B$2:$B$2705,B1902))</f>
        <v>-0.56955319455901</v>
      </c>
      <c r="Z1902" s="21" t="n">
        <f aca="false">P1902</f>
        <v>0.550421999846211</v>
      </c>
      <c r="AA1902" s="3" t="n">
        <f aca="false">R1902</f>
        <v>0</v>
      </c>
      <c r="AB1902" s="21" t="n">
        <f aca="false">P1902</f>
        <v>0.550421999846211</v>
      </c>
      <c r="AC1902" s="3" t="n">
        <f aca="false">Y1902</f>
        <v>-0.56955319455901</v>
      </c>
      <c r="AD1902" s="3" t="n">
        <f aca="false">R1902</f>
        <v>0</v>
      </c>
    </row>
    <row r="1903" customFormat="false" ht="15" hidden="false" customHeight="true" outlineLevel="0" collapsed="false">
      <c r="A1903" s="7" t="s">
        <v>57</v>
      </c>
      <c r="B1903" s="7" t="n">
        <v>1999</v>
      </c>
      <c r="C1903" s="7" t="s">
        <v>143</v>
      </c>
      <c r="D1903" s="7" t="n">
        <v>96</v>
      </c>
      <c r="E1903" s="7" t="n">
        <v>67</v>
      </c>
      <c r="F1903" s="3" t="n">
        <f aca="false">COUNTIFS($B$2:$B$2705,B1903,$C$2:$C$2705,C1903)</f>
        <v>1</v>
      </c>
      <c r="G1903" s="3" t="n">
        <f aca="false">MIN(INT((MIN(B1903,2020)-1900)/10)+1,12)</f>
        <v>10</v>
      </c>
      <c r="H1903" s="3" t="n">
        <f aca="false">(MIN(B1903,2020)-1900-10*(G1903-1))/10</f>
        <v>0.9</v>
      </c>
      <c r="I1903" s="20" t="n">
        <f aca="false">EXP(LN(INDEX(Pop_Inputs!$B$2:$N$29,MATCH(C1903,Pop_Inputs!$A$2:$A$29,0),G1903))*(1-H1903)+LN(INDEX(Pop_Inputs!$B$2:$N$29,MATCH(C1903,Pop_Inputs!$A$2:$A$29,0),G1903+1))*H1903)</f>
        <v>334423.282690492</v>
      </c>
      <c r="J1903" s="20" t="n">
        <f aca="false">I1903/F1903</f>
        <v>334423.282690492</v>
      </c>
      <c r="K1903" s="21" t="n">
        <f aca="false">D1903/(D1903+E1903)</f>
        <v>0.588957055214724</v>
      </c>
      <c r="L1903" s="21" t="n">
        <f aca="false">AVERAGEIFS($K$2:$K$2705,$B$2:$B$2705,B1903)</f>
        <v>0.499857060550264</v>
      </c>
      <c r="M1903" s="21" t="n">
        <f aca="false">K1903-L1903</f>
        <v>0.0890999946644601</v>
      </c>
      <c r="N1903" s="21" t="n">
        <f aca="false">LN(J1903)</f>
        <v>12.7201627830396</v>
      </c>
      <c r="O1903" s="21" t="n">
        <f aca="false">AVERAGEIFS($N$2:$N$2705,$B$2:$B$2705,B1903)</f>
        <v>13.6313228088</v>
      </c>
      <c r="P1903" s="21" t="n">
        <f aca="false">N1903-O1903</f>
        <v>-0.911160025760472</v>
      </c>
      <c r="Q1903" s="7" t="n">
        <v>0</v>
      </c>
      <c r="R1903" s="3" t="n">
        <f aca="false">IF(AND(Q1903=1,B1903-_xlfn.MINIFS($B$2:$B$2705,$A$2:$A$2705,A1903)&lt;10),1,0)</f>
        <v>0</v>
      </c>
      <c r="S1903" s="7" t="n">
        <v>0</v>
      </c>
      <c r="T1903" s="3" t="n">
        <f aca="false">_xlfn.MINIFS($B$2:$B$2705,$A$2:$A$2705,A1903)</f>
        <v>1901</v>
      </c>
      <c r="U1903" s="3" t="n">
        <f aca="false">B1903-T1903</f>
        <v>98</v>
      </c>
      <c r="V1903" s="3" t="str">
        <f aca="false">INDEX(Pop_Inputs!$Q$2:$Q$29,MATCH(C1903,Pop_Inputs!$A$2:$A$29,0))</f>
        <v>Midwest</v>
      </c>
      <c r="W1903" s="29" t="n">
        <v>33962761</v>
      </c>
      <c r="X1903" s="3" t="n">
        <f aca="false">IF(W1903="","",LN(W1903))</f>
        <v>17.3407752176338</v>
      </c>
      <c r="Y1903" s="3" t="n">
        <f aca="false">IF(X1903="","",X1903-AVERAGEIFS($X$2:$X$2705,$B$2:$B$2705,B1903))</f>
        <v>-0.28766183135803</v>
      </c>
      <c r="Z1903" s="21" t="n">
        <f aca="false">P1903</f>
        <v>-0.911160025760472</v>
      </c>
      <c r="AA1903" s="3" t="n">
        <f aca="false">R1903</f>
        <v>0</v>
      </c>
      <c r="AB1903" s="21" t="n">
        <f aca="false">P1903</f>
        <v>-0.911160025760472</v>
      </c>
      <c r="AC1903" s="3" t="n">
        <f aca="false">Y1903</f>
        <v>-0.28766183135803</v>
      </c>
      <c r="AD1903" s="3" t="n">
        <f aca="false">R1903</f>
        <v>0</v>
      </c>
    </row>
    <row r="1904" customFormat="false" ht="15" hidden="false" customHeight="true" outlineLevel="0" collapsed="false">
      <c r="A1904" s="7" t="s">
        <v>66</v>
      </c>
      <c r="B1904" s="7" t="n">
        <v>1999</v>
      </c>
      <c r="C1904" s="7" t="s">
        <v>151</v>
      </c>
      <c r="D1904" s="7" t="n">
        <v>97</v>
      </c>
      <c r="E1904" s="7" t="n">
        <v>65</v>
      </c>
      <c r="F1904" s="3" t="n">
        <f aca="false">COUNTIFS($B$2:$B$2705,B1904,$C$2:$C$2705,C1904)</f>
        <v>1</v>
      </c>
      <c r="G1904" s="3" t="n">
        <f aca="false">MIN(INT((MIN(B1904,2020)-1900)/10)+1,12)</f>
        <v>10</v>
      </c>
      <c r="H1904" s="3" t="n">
        <f aca="false">(MIN(B1904,2020)-1900-10*(G1904-1))/10</f>
        <v>0.9</v>
      </c>
      <c r="I1904" s="20" t="n">
        <f aca="false">EXP(LN(INDEX(Pop_Inputs!$B$2:$N$29,MATCH(C1904,Pop_Inputs!$A$2:$A$29,0),G1904))*(1-H1904)+LN(INDEX(Pop_Inputs!$B$2:$N$29,MATCH(C1904,Pop_Inputs!$A$2:$A$29,0),G1904+1))*H1904)</f>
        <v>481057.052317176</v>
      </c>
      <c r="J1904" s="20" t="n">
        <f aca="false">I1904/F1904</f>
        <v>481057.052317176</v>
      </c>
      <c r="K1904" s="21" t="n">
        <f aca="false">D1904/(D1904+E1904)</f>
        <v>0.598765432098765</v>
      </c>
      <c r="L1904" s="21" t="n">
        <f aca="false">AVERAGEIFS($K$2:$K$2705,$B$2:$B$2705,B1904)</f>
        <v>0.499857060550264</v>
      </c>
      <c r="M1904" s="21" t="n">
        <f aca="false">K1904-L1904</f>
        <v>0.0989083715485015</v>
      </c>
      <c r="N1904" s="21" t="n">
        <f aca="false">LN(J1904)</f>
        <v>13.0837411539401</v>
      </c>
      <c r="O1904" s="21" t="n">
        <f aca="false">AVERAGEIFS($N$2:$N$2705,$B$2:$B$2705,B1904)</f>
        <v>13.6313228088</v>
      </c>
      <c r="P1904" s="21" t="n">
        <f aca="false">N1904-O1904</f>
        <v>-0.547581654859952</v>
      </c>
      <c r="Q1904" s="7" t="n">
        <v>0</v>
      </c>
      <c r="R1904" s="3" t="n">
        <f aca="false">IF(AND(Q1904=1,B1904-_xlfn.MINIFS($B$2:$B$2705,$A$2:$A$2705,A1904)&lt;10),1,0)</f>
        <v>0</v>
      </c>
      <c r="S1904" s="7" t="n">
        <v>0</v>
      </c>
      <c r="T1904" s="3" t="n">
        <f aca="false">_xlfn.MINIFS($B$2:$B$2705,$A$2:$A$2705,A1904)</f>
        <v>1901</v>
      </c>
      <c r="U1904" s="3" t="n">
        <f aca="false">B1904-T1904</f>
        <v>98</v>
      </c>
      <c r="V1904" s="3" t="str">
        <f aca="false">INDEX(Pop_Inputs!$Q$2:$Q$29,MATCH(C1904,Pop_Inputs!$A$2:$A$29,0))</f>
        <v>Midwest</v>
      </c>
      <c r="W1904" s="29" t="n">
        <v>72978462</v>
      </c>
      <c r="X1904" s="3" t="n">
        <f aca="false">IF(W1904="","",LN(W1904))</f>
        <v>18.1056749144836</v>
      </c>
      <c r="Y1904" s="3" t="n">
        <f aca="false">IF(X1904="","",X1904-AVERAGEIFS($X$2:$X$2705,$B$2:$B$2705,B1904))</f>
        <v>0.477237865491713</v>
      </c>
      <c r="Z1904" s="21" t="n">
        <f aca="false">P1904</f>
        <v>-0.547581654859952</v>
      </c>
      <c r="AA1904" s="3" t="n">
        <f aca="false">R1904</f>
        <v>0</v>
      </c>
      <c r="AB1904" s="21" t="n">
        <f aca="false">P1904</f>
        <v>-0.547581654859952</v>
      </c>
      <c r="AC1904" s="3" t="n">
        <f aca="false">Y1904</f>
        <v>0.477237865491713</v>
      </c>
      <c r="AD1904" s="3" t="n">
        <f aca="false">R1904</f>
        <v>0</v>
      </c>
    </row>
    <row r="1905" customFormat="false" ht="15" hidden="false" customHeight="true" outlineLevel="0" collapsed="false">
      <c r="A1905" s="7" t="s">
        <v>82</v>
      </c>
      <c r="B1905" s="7" t="n">
        <v>1999</v>
      </c>
      <c r="C1905" s="7" t="s">
        <v>163</v>
      </c>
      <c r="D1905" s="7" t="n">
        <v>72</v>
      </c>
      <c r="E1905" s="7" t="n">
        <v>90</v>
      </c>
      <c r="F1905" s="3" t="n">
        <f aca="false">COUNTIFS($B$2:$B$2705,B1905,$C$2:$C$2705,C1905)</f>
        <v>1</v>
      </c>
      <c r="G1905" s="3" t="n">
        <f aca="false">MIN(INT((MIN(B1905,2020)-1900)/10)+1,12)</f>
        <v>10</v>
      </c>
      <c r="H1905" s="3" t="n">
        <f aca="false">(MIN(B1905,2020)-1900-10*(G1905-1))/10</f>
        <v>0.9</v>
      </c>
      <c r="I1905" s="20" t="n">
        <f aca="false">EXP(LN(INDEX(Pop_Inputs!$B$2:$N$29,MATCH(C1905,Pop_Inputs!$A$2:$A$29,0),G1905))*(1-H1905)+LN(INDEX(Pop_Inputs!$B$2:$N$29,MATCH(C1905,Pop_Inputs!$A$2:$A$29,0),G1905+1))*H1905)</f>
        <v>545249.942686544</v>
      </c>
      <c r="J1905" s="20" t="n">
        <f aca="false">I1905/F1905</f>
        <v>545249.942686544</v>
      </c>
      <c r="K1905" s="21" t="n">
        <f aca="false">D1905/(D1905+E1905)</f>
        <v>0.444444444444444</v>
      </c>
      <c r="L1905" s="21" t="n">
        <f aca="false">AVERAGEIFS($K$2:$K$2705,$B$2:$B$2705,B1905)</f>
        <v>0.499857060550264</v>
      </c>
      <c r="M1905" s="21" t="n">
        <f aca="false">K1905-L1905</f>
        <v>-0.0554126161058195</v>
      </c>
      <c r="N1905" s="21" t="n">
        <f aca="false">LN(J1905)</f>
        <v>13.2089995789498</v>
      </c>
      <c r="O1905" s="21" t="n">
        <f aca="false">AVERAGEIFS($N$2:$N$2705,$B$2:$B$2705,B1905)</f>
        <v>13.6313228088</v>
      </c>
      <c r="P1905" s="21" t="n">
        <f aca="false">N1905-O1905</f>
        <v>-0.422323229850255</v>
      </c>
      <c r="Q1905" s="7" t="n">
        <v>1</v>
      </c>
      <c r="R1905" s="3" t="n">
        <f aca="false">IF(AND(Q1905=1,B1905-_xlfn.MINIFS($B$2:$B$2705,$A$2:$A$2705,A1905)&lt;10),1,0)</f>
        <v>1</v>
      </c>
      <c r="S1905" s="7" t="n">
        <v>0</v>
      </c>
      <c r="T1905" s="3" t="n">
        <f aca="false">_xlfn.MINIFS($B$2:$B$2705,$A$2:$A$2705,A1905)</f>
        <v>1993</v>
      </c>
      <c r="U1905" s="3" t="n">
        <f aca="false">B1905-T1905</f>
        <v>6</v>
      </c>
      <c r="V1905" s="3" t="str">
        <f aca="false">INDEX(Pop_Inputs!$Q$2:$Q$29,MATCH(C1905,Pop_Inputs!$A$2:$A$29,0))</f>
        <v>West</v>
      </c>
      <c r="W1905" s="29" t="n">
        <v>61935837</v>
      </c>
      <c r="X1905" s="3" t="n">
        <f aca="false">IF(W1905="","",LN(W1905))</f>
        <v>17.9416095200472</v>
      </c>
      <c r="Y1905" s="3" t="n">
        <f aca="false">IF(X1905="","",X1905-AVERAGEIFS($X$2:$X$2705,$B$2:$B$2705,B1905))</f>
        <v>0.313172471055328</v>
      </c>
      <c r="Z1905" s="21" t="n">
        <f aca="false">P1905</f>
        <v>-0.422323229850255</v>
      </c>
      <c r="AA1905" s="3" t="n">
        <f aca="false">R1905</f>
        <v>1</v>
      </c>
      <c r="AB1905" s="21" t="n">
        <f aca="false">P1905</f>
        <v>-0.422323229850255</v>
      </c>
      <c r="AC1905" s="3" t="n">
        <f aca="false">Y1905</f>
        <v>0.313172471055328</v>
      </c>
      <c r="AD1905" s="3" t="n">
        <f aca="false">R1905</f>
        <v>1</v>
      </c>
    </row>
    <row r="1906" customFormat="false" ht="15" hidden="false" customHeight="true" outlineLevel="0" collapsed="false">
      <c r="A1906" s="7" t="s">
        <v>67</v>
      </c>
      <c r="B1906" s="7" t="n">
        <v>1999</v>
      </c>
      <c r="C1906" s="7" t="s">
        <v>152</v>
      </c>
      <c r="D1906" s="7" t="n">
        <v>69</v>
      </c>
      <c r="E1906" s="7" t="n">
        <v>92</v>
      </c>
      <c r="F1906" s="3" t="n">
        <f aca="false">COUNTIFS($B$2:$B$2705,B1906,$C$2:$C$2705,C1906)</f>
        <v>1</v>
      </c>
      <c r="G1906" s="3" t="n">
        <f aca="false">MIN(INT((MIN(B1906,2020)-1900)/10)+1,12)</f>
        <v>10</v>
      </c>
      <c r="H1906" s="3" t="n">
        <f aca="false">(MIN(B1906,2020)-1900-10*(G1906-1))/10</f>
        <v>0.9</v>
      </c>
      <c r="I1906" s="20" t="n">
        <f aca="false">EXP(LN(INDEX(Pop_Inputs!$B$2:$N$29,MATCH(C1906,Pop_Inputs!$A$2:$A$29,0),G1906))*(1-H1906)+LN(INDEX(Pop_Inputs!$B$2:$N$29,MATCH(C1906,Pop_Inputs!$A$2:$A$29,0),G1906+1))*H1906)</f>
        <v>958675.511120367</v>
      </c>
      <c r="J1906" s="20" t="n">
        <f aca="false">I1906/F1906</f>
        <v>958675.511120367</v>
      </c>
      <c r="K1906" s="21" t="n">
        <f aca="false">D1906/(D1906+E1906)</f>
        <v>0.428571428571429</v>
      </c>
      <c r="L1906" s="21" t="n">
        <f aca="false">AVERAGEIFS($K$2:$K$2705,$B$2:$B$2705,B1906)</f>
        <v>0.499857060550264</v>
      </c>
      <c r="M1906" s="21" t="n">
        <f aca="false">K1906-L1906</f>
        <v>-0.0712856319788354</v>
      </c>
      <c r="N1906" s="21" t="n">
        <f aca="false">LN(J1906)</f>
        <v>13.7733079348986</v>
      </c>
      <c r="O1906" s="21" t="n">
        <f aca="false">AVERAGEIFS($N$2:$N$2705,$B$2:$B$2705,B1906)</f>
        <v>13.6313228088</v>
      </c>
      <c r="P1906" s="21" t="n">
        <f aca="false">N1906-O1906</f>
        <v>0.141985126098566</v>
      </c>
      <c r="Q1906" s="7" t="n">
        <v>0</v>
      </c>
      <c r="R1906" s="3" t="n">
        <f aca="false">IF(AND(Q1906=1,B1906-_xlfn.MINIFS($B$2:$B$2705,$A$2:$A$2705,A1906)&lt;10),1,0)</f>
        <v>0</v>
      </c>
      <c r="S1906" s="7" t="n">
        <v>0</v>
      </c>
      <c r="T1906" s="3" t="n">
        <f aca="false">_xlfn.MINIFS($B$2:$B$2705,$A$2:$A$2705,A1906)</f>
        <v>1901</v>
      </c>
      <c r="U1906" s="3" t="n">
        <f aca="false">B1906-T1906</f>
        <v>98</v>
      </c>
      <c r="V1906" s="3" t="str">
        <f aca="false">INDEX(Pop_Inputs!$Q$2:$Q$29,MATCH(C1906,Pop_Inputs!$A$2:$A$29,0))</f>
        <v>Midwest</v>
      </c>
      <c r="W1906" s="29" t="n">
        <v>36489666</v>
      </c>
      <c r="X1906" s="3" t="n">
        <f aca="false">IF(W1906="","",LN(W1906))</f>
        <v>17.4125396551781</v>
      </c>
      <c r="Y1906" s="3" t="n">
        <f aca="false">IF(X1906="","",X1906-AVERAGEIFS($X$2:$X$2705,$B$2:$B$2705,B1906))</f>
        <v>-0.21589739381379</v>
      </c>
      <c r="Z1906" s="21" t="n">
        <f aca="false">P1906</f>
        <v>0.141985126098566</v>
      </c>
      <c r="AA1906" s="3" t="n">
        <f aca="false">R1906</f>
        <v>0</v>
      </c>
      <c r="AB1906" s="21" t="n">
        <f aca="false">P1906</f>
        <v>0.141985126098566</v>
      </c>
      <c r="AC1906" s="3" t="n">
        <f aca="false">Y1906</f>
        <v>-0.21589739381379</v>
      </c>
      <c r="AD1906" s="3" t="n">
        <f aca="false">R1906</f>
        <v>0</v>
      </c>
    </row>
    <row r="1907" customFormat="false" ht="15" hidden="false" customHeight="true" outlineLevel="0" collapsed="false">
      <c r="A1907" s="7" t="s">
        <v>83</v>
      </c>
      <c r="B1907" s="7" t="n">
        <v>1999</v>
      </c>
      <c r="C1907" s="7" t="s">
        <v>164</v>
      </c>
      <c r="D1907" s="7" t="n">
        <v>64</v>
      </c>
      <c r="E1907" s="7" t="n">
        <v>98</v>
      </c>
      <c r="F1907" s="3" t="n">
        <f aca="false">COUNTIFS($B$2:$B$2705,B1907,$C$2:$C$2705,C1907)</f>
        <v>1</v>
      </c>
      <c r="G1907" s="3" t="n">
        <f aca="false">MIN(INT((MIN(B1907,2020)-1900)/10)+1,12)</f>
        <v>10</v>
      </c>
      <c r="H1907" s="3" t="n">
        <f aca="false">(MIN(B1907,2020)-1900-10*(G1907-1))/10</f>
        <v>0.9</v>
      </c>
      <c r="I1907" s="20" t="n">
        <f aca="false">EXP(LN(INDEX(Pop_Inputs!$B$2:$N$29,MATCH(C1907,Pop_Inputs!$A$2:$A$29,0),G1907))*(1-H1907)+LN(INDEX(Pop_Inputs!$B$2:$N$29,MATCH(C1907,Pop_Inputs!$A$2:$A$29,0),G1907+1))*H1907)</f>
        <v>362085.974278098</v>
      </c>
      <c r="J1907" s="20" t="n">
        <f aca="false">I1907/F1907</f>
        <v>362085.974278098</v>
      </c>
      <c r="K1907" s="21" t="n">
        <f aca="false">D1907/(D1907+E1907)</f>
        <v>0.395061728395062</v>
      </c>
      <c r="L1907" s="21" t="n">
        <f aca="false">AVERAGEIFS($K$2:$K$2705,$B$2:$B$2705,B1907)</f>
        <v>0.499857060550264</v>
      </c>
      <c r="M1907" s="21" t="n">
        <f aca="false">K1907-L1907</f>
        <v>-0.104795332155202</v>
      </c>
      <c r="N1907" s="21" t="n">
        <f aca="false">LN(J1907)</f>
        <v>12.7996369606155</v>
      </c>
      <c r="O1907" s="21" t="n">
        <f aca="false">AVERAGEIFS($N$2:$N$2705,$B$2:$B$2705,B1907)</f>
        <v>13.6313228088</v>
      </c>
      <c r="P1907" s="21" t="n">
        <f aca="false">N1907-O1907</f>
        <v>-0.831685848184522</v>
      </c>
      <c r="Q1907" s="7" t="n">
        <v>1</v>
      </c>
      <c r="R1907" s="3" t="n">
        <f aca="false">IF(AND(Q1907=1,B1907-_xlfn.MINIFS($B$2:$B$2705,$A$2:$A$2705,A1907)&lt;10),1,0)</f>
        <v>1</v>
      </c>
      <c r="S1907" s="7" t="n">
        <v>0</v>
      </c>
      <c r="T1907" s="3" t="n">
        <f aca="false">_xlfn.MINIFS($B$2:$B$2705,$A$2:$A$2705,A1907)</f>
        <v>1993</v>
      </c>
      <c r="U1907" s="3" t="n">
        <f aca="false">B1907-T1907</f>
        <v>6</v>
      </c>
      <c r="V1907" s="3" t="str">
        <f aca="false">INDEX(Pop_Inputs!$Q$2:$Q$29,MATCH(C1907,Pop_Inputs!$A$2:$A$29,0))</f>
        <v>South</v>
      </c>
      <c r="W1907" s="29" t="n">
        <v>21085000</v>
      </c>
      <c r="X1907" s="3" t="n">
        <f aca="false">IF(W1907="","",LN(W1907))</f>
        <v>16.8640724451628</v>
      </c>
      <c r="Y1907" s="3" t="n">
        <f aca="false">IF(X1907="","",X1907-AVERAGEIFS($X$2:$X$2705,$B$2:$B$2705,B1907))</f>
        <v>-0.764364603829076</v>
      </c>
      <c r="Z1907" s="21" t="n">
        <f aca="false">P1907</f>
        <v>-0.831685848184522</v>
      </c>
      <c r="AA1907" s="3" t="n">
        <f aca="false">R1907</f>
        <v>1</v>
      </c>
      <c r="AB1907" s="21" t="n">
        <f aca="false">P1907</f>
        <v>-0.831685848184522</v>
      </c>
      <c r="AC1907" s="3" t="n">
        <f aca="false">Y1907</f>
        <v>-0.764364603829076</v>
      </c>
      <c r="AD1907" s="3" t="n">
        <f aca="false">R1907</f>
        <v>1</v>
      </c>
    </row>
    <row r="1908" customFormat="false" ht="15" hidden="false" customHeight="true" outlineLevel="0" collapsed="false">
      <c r="A1908" s="7" t="s">
        <v>74</v>
      </c>
      <c r="B1908" s="7" t="n">
        <v>1999</v>
      </c>
      <c r="C1908" s="7" t="s">
        <v>156</v>
      </c>
      <c r="D1908" s="7" t="n">
        <v>97</v>
      </c>
      <c r="E1908" s="7" t="n">
        <v>65</v>
      </c>
      <c r="F1908" s="3" t="n">
        <f aca="false">COUNTIFS($B$2:$B$2705,B1908,$C$2:$C$2705,C1908)</f>
        <v>1</v>
      </c>
      <c r="G1908" s="3" t="n">
        <f aca="false">MIN(INT((MIN(B1908,2020)-1900)/10)+1,12)</f>
        <v>10</v>
      </c>
      <c r="H1908" s="3" t="n">
        <f aca="false">(MIN(B1908,2020)-1900-10*(G1908-1))/10</f>
        <v>0.9</v>
      </c>
      <c r="I1908" s="20" t="n">
        <f aca="false">EXP(LN(INDEX(Pop_Inputs!$B$2:$N$29,MATCH(C1908,Pop_Inputs!$A$2:$A$29,0),G1908))*(1-H1908)+LN(INDEX(Pop_Inputs!$B$2:$N$29,MATCH(C1908,Pop_Inputs!$A$2:$A$29,0),G1908+1))*H1908)</f>
        <v>1918632.4089909</v>
      </c>
      <c r="J1908" s="20" t="n">
        <f aca="false">I1908/F1908</f>
        <v>1918632.4089909</v>
      </c>
      <c r="K1908" s="21" t="n">
        <f aca="false">D1908/(D1908+E1908)</f>
        <v>0.598765432098765</v>
      </c>
      <c r="L1908" s="21" t="n">
        <f aca="false">AVERAGEIFS($K$2:$K$2705,$B$2:$B$2705,B1908)</f>
        <v>0.499857060550264</v>
      </c>
      <c r="M1908" s="21" t="n">
        <f aca="false">K1908-L1908</f>
        <v>0.0989083715485015</v>
      </c>
      <c r="N1908" s="21" t="n">
        <f aca="false">LN(J1908)</f>
        <v>14.4671232032232</v>
      </c>
      <c r="O1908" s="21" t="n">
        <f aca="false">AVERAGEIFS($N$2:$N$2705,$B$2:$B$2705,B1908)</f>
        <v>13.6313228088</v>
      </c>
      <c r="P1908" s="21" t="n">
        <f aca="false">N1908-O1908</f>
        <v>0.835800394423123</v>
      </c>
      <c r="Q1908" s="7" t="n">
        <v>1</v>
      </c>
      <c r="R1908" s="3" t="n">
        <f aca="false">IF(AND(Q1908=1,B1908-_xlfn.MINIFS($B$2:$B$2705,$A$2:$A$2705,A1908)&lt;10),1,0)</f>
        <v>0</v>
      </c>
      <c r="S1908" s="7" t="n">
        <v>0</v>
      </c>
      <c r="T1908" s="3" t="n">
        <f aca="false">_xlfn.MINIFS($B$2:$B$2705,$A$2:$A$2705,A1908)</f>
        <v>1962</v>
      </c>
      <c r="U1908" s="3" t="n">
        <f aca="false">B1908-T1908</f>
        <v>37</v>
      </c>
      <c r="V1908" s="3" t="str">
        <f aca="false">INDEX(Pop_Inputs!$Q$2:$Q$29,MATCH(C1908,Pop_Inputs!$A$2:$A$29,0))</f>
        <v>South</v>
      </c>
      <c r="W1908" s="29" t="n">
        <v>54914000</v>
      </c>
      <c r="X1908" s="3" t="n">
        <f aca="false">IF(W1908="","",LN(W1908))</f>
        <v>17.8212788830779</v>
      </c>
      <c r="Y1908" s="3" t="n">
        <f aca="false">IF(X1908="","",X1908-AVERAGEIFS($X$2:$X$2705,$B$2:$B$2705,B1908))</f>
        <v>0.192841834086057</v>
      </c>
      <c r="Z1908" s="21" t="n">
        <f aca="false">P1908</f>
        <v>0.835800394423123</v>
      </c>
      <c r="AA1908" s="3" t="n">
        <f aca="false">R1908</f>
        <v>0</v>
      </c>
      <c r="AB1908" s="21" t="n">
        <f aca="false">P1908</f>
        <v>0.835800394423123</v>
      </c>
      <c r="AC1908" s="3" t="n">
        <f aca="false">Y1908</f>
        <v>0.192841834086057</v>
      </c>
      <c r="AD1908" s="3" t="n">
        <f aca="false">R1908</f>
        <v>0</v>
      </c>
    </row>
    <row r="1909" customFormat="false" ht="15" hidden="false" customHeight="true" outlineLevel="0" collapsed="false">
      <c r="A1909" s="7" t="s">
        <v>76</v>
      </c>
      <c r="B1909" s="7" t="n">
        <v>1999</v>
      </c>
      <c r="C1909" s="7" t="s">
        <v>157</v>
      </c>
      <c r="D1909" s="7" t="n">
        <v>64</v>
      </c>
      <c r="E1909" s="7" t="n">
        <v>97</v>
      </c>
      <c r="F1909" s="3" t="n">
        <f aca="false">COUNTIFS($B$2:$B$2705,B1909,$C$2:$C$2705,C1909)</f>
        <v>1</v>
      </c>
      <c r="G1909" s="3" t="n">
        <f aca="false">MIN(INT((MIN(B1909,2020)-1900)/10)+1,12)</f>
        <v>10</v>
      </c>
      <c r="H1909" s="3" t="n">
        <f aca="false">(MIN(B1909,2020)-1900-10*(G1909-1))/10</f>
        <v>0.9</v>
      </c>
      <c r="I1909" s="20" t="n">
        <f aca="false">EXP(LN(INDEX(Pop_Inputs!$B$2:$N$29,MATCH(C1909,Pop_Inputs!$A$2:$A$29,0),G1909))*(1-H1909)+LN(INDEX(Pop_Inputs!$B$2:$N$29,MATCH(C1909,Pop_Inputs!$A$2:$A$29,0),G1909+1))*H1909)</f>
        <v>440900.888161539</v>
      </c>
      <c r="J1909" s="20" t="n">
        <f aca="false">I1909/F1909</f>
        <v>440900.888161539</v>
      </c>
      <c r="K1909" s="21" t="n">
        <f aca="false">D1909/(D1909+E1909)</f>
        <v>0.397515527950311</v>
      </c>
      <c r="L1909" s="21" t="n">
        <f aca="false">AVERAGEIFS($K$2:$K$2705,$B$2:$B$2705,B1909)</f>
        <v>0.499857060550264</v>
      </c>
      <c r="M1909" s="21" t="n">
        <f aca="false">K1909-L1909</f>
        <v>-0.102341532599953</v>
      </c>
      <c r="N1909" s="21" t="n">
        <f aca="false">LN(J1909)</f>
        <v>12.9965753857725</v>
      </c>
      <c r="O1909" s="21" t="n">
        <f aca="false">AVERAGEIFS($N$2:$N$2705,$B$2:$B$2705,B1909)</f>
        <v>13.6313228088</v>
      </c>
      <c r="P1909" s="21" t="n">
        <f aca="false">N1909-O1909</f>
        <v>-0.634747423027507</v>
      </c>
      <c r="Q1909" s="7" t="n">
        <v>1</v>
      </c>
      <c r="R1909" s="3" t="n">
        <f aca="false">IF(AND(Q1909=1,B1909-_xlfn.MINIFS($B$2:$B$2705,$A$2:$A$2705,A1909)&lt;10),1,0)</f>
        <v>0</v>
      </c>
      <c r="S1909" s="7" t="n">
        <v>0</v>
      </c>
      <c r="T1909" s="3" t="n">
        <f aca="false">_xlfn.MINIFS($B$2:$B$2705,$A$2:$A$2705,A1909)</f>
        <v>1969</v>
      </c>
      <c r="U1909" s="3" t="n">
        <f aca="false">B1909-T1909</f>
        <v>30</v>
      </c>
      <c r="V1909" s="3" t="str">
        <f aca="false">INDEX(Pop_Inputs!$Q$2:$Q$29,MATCH(C1909,Pop_Inputs!$A$2:$A$29,0))</f>
        <v>Midwest</v>
      </c>
      <c r="W1909" s="29" t="n">
        <v>26225000</v>
      </c>
      <c r="X1909" s="3" t="n">
        <f aca="false">IF(W1909="","",LN(W1909))</f>
        <v>17.0822237122466</v>
      </c>
      <c r="Y1909" s="3" t="n">
        <f aca="false">IF(X1909="","",X1909-AVERAGEIFS($X$2:$X$2705,$B$2:$B$2705,B1909))</f>
        <v>-0.54621333674524</v>
      </c>
      <c r="Z1909" s="21" t="n">
        <f aca="false">P1909</f>
        <v>-0.634747423027507</v>
      </c>
      <c r="AA1909" s="3" t="n">
        <f aca="false">R1909</f>
        <v>0</v>
      </c>
      <c r="AB1909" s="21" t="n">
        <f aca="false">P1909</f>
        <v>-0.634747423027507</v>
      </c>
      <c r="AC1909" s="3" t="n">
        <f aca="false">Y1909</f>
        <v>-0.54621333674524</v>
      </c>
      <c r="AD1909" s="3" t="n">
        <f aca="false">R1909</f>
        <v>0</v>
      </c>
    </row>
    <row r="1910" customFormat="false" ht="15" hidden="false" customHeight="true" outlineLevel="0" collapsed="false">
      <c r="A1910" s="7" t="s">
        <v>62</v>
      </c>
      <c r="B1910" s="7" t="n">
        <v>1999</v>
      </c>
      <c r="C1910" s="7" t="s">
        <v>148</v>
      </c>
      <c r="D1910" s="7" t="n">
        <v>77</v>
      </c>
      <c r="E1910" s="7" t="n">
        <v>85</v>
      </c>
      <c r="F1910" s="3" t="n">
        <f aca="false">COUNTIFS($B$2:$B$2705,B1910,$C$2:$C$2705,C1910)</f>
        <v>2</v>
      </c>
      <c r="G1910" s="3" t="n">
        <f aca="false">MIN(INT((MIN(B1910,2020)-1900)/10)+1,12)</f>
        <v>10</v>
      </c>
      <c r="H1910" s="3" t="n">
        <f aca="false">(MIN(B1910,2020)-1900-10*(G1910-1))/10</f>
        <v>0.9</v>
      </c>
      <c r="I1910" s="20" t="n">
        <f aca="false">EXP(LN(INDEX(Pop_Inputs!$B$2:$N$29,MATCH(C1910,Pop_Inputs!$A$2:$A$29,0),G1910))*(1-H1910)+LN(INDEX(Pop_Inputs!$B$2:$N$29,MATCH(C1910,Pop_Inputs!$A$2:$A$29,0),G1910+1))*H1910)</f>
        <v>3673323.65024341</v>
      </c>
      <c r="J1910" s="20" t="n">
        <f aca="false">I1910/F1910</f>
        <v>1836661.8251217</v>
      </c>
      <c r="K1910" s="21" t="n">
        <f aca="false">D1910/(D1910+E1910)</f>
        <v>0.475308641975309</v>
      </c>
      <c r="L1910" s="21" t="n">
        <f aca="false">AVERAGEIFS($K$2:$K$2705,$B$2:$B$2705,B1910)</f>
        <v>0.499857060550264</v>
      </c>
      <c r="M1910" s="21" t="n">
        <f aca="false">K1910-L1910</f>
        <v>-0.0245484185749553</v>
      </c>
      <c r="N1910" s="21" t="n">
        <f aca="false">LN(J1910)</f>
        <v>14.4234602564076</v>
      </c>
      <c r="O1910" s="21" t="n">
        <f aca="false">AVERAGEIFS($N$2:$N$2705,$B$2:$B$2705,B1910)</f>
        <v>13.6313228088</v>
      </c>
      <c r="P1910" s="21" t="n">
        <f aca="false">N1910-O1910</f>
        <v>0.792137447607587</v>
      </c>
      <c r="Q1910" s="7" t="n">
        <v>0</v>
      </c>
      <c r="R1910" s="3" t="n">
        <f aca="false">IF(AND(Q1910=1,B1910-_xlfn.MINIFS($B$2:$B$2705,$A$2:$A$2705,A1910)&lt;10),1,0)</f>
        <v>0</v>
      </c>
      <c r="S1910" s="7" t="n">
        <v>0</v>
      </c>
      <c r="T1910" s="3" t="n">
        <f aca="false">_xlfn.MINIFS($B$2:$B$2705,$A$2:$A$2705,A1910)</f>
        <v>1901</v>
      </c>
      <c r="U1910" s="3" t="n">
        <f aca="false">B1910-T1910</f>
        <v>98</v>
      </c>
      <c r="V1910" s="3" t="str">
        <f aca="false">INDEX(Pop_Inputs!$Q$2:$Q$29,MATCH(C1910,Pop_Inputs!$A$2:$A$29,0))</f>
        <v>West</v>
      </c>
      <c r="W1910" s="29" t="n">
        <v>80862453</v>
      </c>
      <c r="X1910" s="3" t="n">
        <f aca="false">IF(W1910="","",LN(W1910))</f>
        <v>18.2082601581006</v>
      </c>
      <c r="Y1910" s="3" t="n">
        <f aca="false">IF(X1910="","",X1910-AVERAGEIFS($X$2:$X$2705,$B$2:$B$2705,B1910))</f>
        <v>0.579823109108759</v>
      </c>
      <c r="Z1910" s="21" t="n">
        <f aca="false">P1910</f>
        <v>0.792137447607587</v>
      </c>
      <c r="AA1910" s="3" t="n">
        <f aca="false">R1910</f>
        <v>0</v>
      </c>
      <c r="AB1910" s="21" t="n">
        <f aca="false">P1910</f>
        <v>0.792137447607587</v>
      </c>
      <c r="AC1910" s="3" t="n">
        <f aca="false">Y1910</f>
        <v>0.579823109108759</v>
      </c>
      <c r="AD1910" s="3" t="n">
        <f aca="false">R1910</f>
        <v>0</v>
      </c>
    </row>
    <row r="1911" customFormat="false" ht="15" hidden="false" customHeight="true" outlineLevel="0" collapsed="false">
      <c r="A1911" s="7" t="s">
        <v>77</v>
      </c>
      <c r="B1911" s="7" t="n">
        <v>1999</v>
      </c>
      <c r="C1911" s="7" t="s">
        <v>158</v>
      </c>
      <c r="D1911" s="7" t="n">
        <v>74</v>
      </c>
      <c r="E1911" s="7" t="n">
        <v>87</v>
      </c>
      <c r="F1911" s="3" t="n">
        <f aca="false">COUNTIFS($B$2:$B$2705,B1911,$C$2:$C$2705,C1911)</f>
        <v>1</v>
      </c>
      <c r="G1911" s="3" t="n">
        <f aca="false">MIN(INT((MIN(B1911,2020)-1900)/10)+1,12)</f>
        <v>10</v>
      </c>
      <c r="H1911" s="3" t="n">
        <f aca="false">(MIN(B1911,2020)-1900-10*(G1911-1))/10</f>
        <v>0.9</v>
      </c>
      <c r="I1911" s="20" t="n">
        <f aca="false">EXP(LN(INDEX(Pop_Inputs!$B$2:$N$29,MATCH(C1911,Pop_Inputs!$A$2:$A$29,0),G1911))*(1-H1911)+LN(INDEX(Pop_Inputs!$B$2:$N$29,MATCH(C1911,Pop_Inputs!$A$2:$A$29,0),G1911+1))*H1911)</f>
        <v>600014.747225874</v>
      </c>
      <c r="J1911" s="20" t="n">
        <f aca="false">I1911/F1911</f>
        <v>600014.747225874</v>
      </c>
      <c r="K1911" s="21" t="n">
        <f aca="false">D1911/(D1911+E1911)</f>
        <v>0.459627329192547</v>
      </c>
      <c r="L1911" s="21" t="n">
        <f aca="false">AVERAGEIFS($K$2:$K$2705,$B$2:$B$2705,B1911)</f>
        <v>0.499857060550264</v>
      </c>
      <c r="M1911" s="21" t="n">
        <f aca="false">K1911-L1911</f>
        <v>-0.0402297313577174</v>
      </c>
      <c r="N1911" s="21" t="n">
        <f aca="false">LN(J1911)</f>
        <v>13.304709512606</v>
      </c>
      <c r="O1911" s="21" t="n">
        <f aca="false">AVERAGEIFS($N$2:$N$2705,$B$2:$B$2705,B1911)</f>
        <v>13.6313228088</v>
      </c>
      <c r="P1911" s="21" t="n">
        <f aca="false">N1911-O1911</f>
        <v>-0.326613296194015</v>
      </c>
      <c r="Q1911" s="7" t="n">
        <v>1</v>
      </c>
      <c r="R1911" s="3" t="n">
        <f aca="false">IF(AND(Q1911=1,B1911-_xlfn.MINIFS($B$2:$B$2705,$A$2:$A$2705,A1911)&lt;10),1,0)</f>
        <v>0</v>
      </c>
      <c r="S1911" s="7" t="n">
        <v>0</v>
      </c>
      <c r="T1911" s="3" t="n">
        <f aca="false">_xlfn.MINIFS($B$2:$B$2705,$A$2:$A$2705,A1911)</f>
        <v>1969</v>
      </c>
      <c r="U1911" s="3" t="n">
        <f aca="false">B1911-T1911</f>
        <v>30</v>
      </c>
      <c r="V1911" s="3" t="str">
        <f aca="false">INDEX(Pop_Inputs!$Q$2:$Q$29,MATCH(C1911,Pop_Inputs!$A$2:$A$29,0))</f>
        <v>Midwest</v>
      </c>
      <c r="W1911" s="29" t="n">
        <v>43377395</v>
      </c>
      <c r="X1911" s="3" t="n">
        <f aca="false">IF(W1911="","",LN(W1911))</f>
        <v>17.5854490108453</v>
      </c>
      <c r="Y1911" s="3" t="n">
        <f aca="false">IF(X1911="","",X1911-AVERAGEIFS($X$2:$X$2705,$B$2:$B$2705,B1911))</f>
        <v>-0.0429880381466035</v>
      </c>
      <c r="Z1911" s="21" t="n">
        <f aca="false">P1911</f>
        <v>-0.326613296194015</v>
      </c>
      <c r="AA1911" s="3" t="n">
        <f aca="false">R1911</f>
        <v>0</v>
      </c>
      <c r="AB1911" s="21" t="n">
        <f aca="false">P1911</f>
        <v>-0.326613296194015</v>
      </c>
      <c r="AC1911" s="3" t="n">
        <f aca="false">Y1911</f>
        <v>-0.0429880381466035</v>
      </c>
      <c r="AD1911" s="3" t="n">
        <f aca="false">R1911</f>
        <v>0</v>
      </c>
    </row>
    <row r="1912" customFormat="false" ht="15" hidden="false" customHeight="true" outlineLevel="0" collapsed="false">
      <c r="A1912" s="7" t="s">
        <v>68</v>
      </c>
      <c r="B1912" s="7" t="n">
        <v>1999</v>
      </c>
      <c r="C1912" s="7" t="s">
        <v>153</v>
      </c>
      <c r="D1912" s="7" t="n">
        <v>63</v>
      </c>
      <c r="E1912" s="7" t="n">
        <v>97</v>
      </c>
      <c r="F1912" s="3" t="n">
        <f aca="false">COUNTIFS($B$2:$B$2705,B1912,$C$2:$C$2705,C1912)</f>
        <v>1</v>
      </c>
      <c r="G1912" s="3" t="n">
        <f aca="false">MIN(INT((MIN(B1912,2020)-1900)/10)+1,12)</f>
        <v>10</v>
      </c>
      <c r="H1912" s="3" t="n">
        <f aca="false">(MIN(B1912,2020)-1900-10*(G1912-1))/10</f>
        <v>0.9</v>
      </c>
      <c r="I1912" s="20" t="n">
        <f aca="false">EXP(LN(INDEX(Pop_Inputs!$B$2:$N$29,MATCH(C1912,Pop_Inputs!$A$2:$A$29,0),G1912))*(1-H1912)+LN(INDEX(Pop_Inputs!$B$2:$N$29,MATCH(C1912,Pop_Inputs!$A$2:$A$29,0),G1912+1))*H1912)</f>
        <v>381170.090766427</v>
      </c>
      <c r="J1912" s="20" t="n">
        <f aca="false">I1912/F1912</f>
        <v>381170.090766427</v>
      </c>
      <c r="K1912" s="21" t="n">
        <f aca="false">D1912/(D1912+E1912)</f>
        <v>0.39375</v>
      </c>
      <c r="L1912" s="21" t="n">
        <f aca="false">AVERAGEIFS($K$2:$K$2705,$B$2:$B$2705,B1912)</f>
        <v>0.499857060550264</v>
      </c>
      <c r="M1912" s="21" t="n">
        <f aca="false">K1912-L1912</f>
        <v>-0.106107060550264</v>
      </c>
      <c r="N1912" s="21" t="n">
        <f aca="false">LN(J1912)</f>
        <v>12.8510009869453</v>
      </c>
      <c r="O1912" s="21" t="n">
        <f aca="false">AVERAGEIFS($N$2:$N$2705,$B$2:$B$2705,B1912)</f>
        <v>13.6313228088</v>
      </c>
      <c r="P1912" s="21" t="n">
        <f aca="false">N1912-O1912</f>
        <v>-0.780321821854708</v>
      </c>
      <c r="Q1912" s="7" t="n">
        <v>0</v>
      </c>
      <c r="R1912" s="3" t="n">
        <f aca="false">IF(AND(Q1912=1,B1912-_xlfn.MINIFS($B$2:$B$2705,$A$2:$A$2705,A1912)&lt;10),1,0)</f>
        <v>0</v>
      </c>
      <c r="S1912" s="7" t="n">
        <v>0</v>
      </c>
      <c r="T1912" s="3" t="n">
        <f aca="false">_xlfn.MINIFS($B$2:$B$2705,$A$2:$A$2705,A1912)</f>
        <v>1901</v>
      </c>
      <c r="U1912" s="3" t="n">
        <f aca="false">B1912-T1912</f>
        <v>98</v>
      </c>
      <c r="V1912" s="3" t="str">
        <f aca="false">INDEX(Pop_Inputs!$Q$2:$Q$29,MATCH(C1912,Pop_Inputs!$A$2:$A$29,0))</f>
        <v>Midwest</v>
      </c>
      <c r="W1912" s="29" t="n">
        <v>21257500</v>
      </c>
      <c r="X1912" s="3" t="n">
        <f aca="false">IF(W1912="","",LN(W1912))</f>
        <v>16.8722203322421</v>
      </c>
      <c r="Y1912" s="3" t="n">
        <f aca="false">IF(X1912="","",X1912-AVERAGEIFS($X$2:$X$2705,$B$2:$B$2705,B1912))</f>
        <v>-0.75621671674979</v>
      </c>
      <c r="Z1912" s="21" t="n">
        <f aca="false">P1912</f>
        <v>-0.780321821854708</v>
      </c>
      <c r="AA1912" s="3" t="n">
        <f aca="false">R1912</f>
        <v>0</v>
      </c>
      <c r="AB1912" s="21" t="n">
        <f aca="false">P1912</f>
        <v>-0.780321821854708</v>
      </c>
      <c r="AC1912" s="3" t="n">
        <f aca="false">Y1912</f>
        <v>-0.75621671674979</v>
      </c>
      <c r="AD1912" s="3" t="n">
        <f aca="false">R1912</f>
        <v>0</v>
      </c>
    </row>
    <row r="1913" customFormat="false" ht="15" hidden="false" customHeight="true" outlineLevel="0" collapsed="false">
      <c r="A1913" s="7" t="s">
        <v>75</v>
      </c>
      <c r="B1913" s="7" t="n">
        <v>1999</v>
      </c>
      <c r="C1913" s="7" t="s">
        <v>154</v>
      </c>
      <c r="D1913" s="7" t="n">
        <v>97</v>
      </c>
      <c r="E1913" s="7" t="n">
        <v>66</v>
      </c>
      <c r="F1913" s="3" t="n">
        <f aca="false">COUNTIFS($B$2:$B$2705,B1913,$C$2:$C$2705,C1913)</f>
        <v>2</v>
      </c>
      <c r="G1913" s="3" t="n">
        <f aca="false">MIN(INT((MIN(B1913,2020)-1900)/10)+1,12)</f>
        <v>10</v>
      </c>
      <c r="H1913" s="3" t="n">
        <f aca="false">(MIN(B1913,2020)-1900-10*(G1913-1))/10</f>
        <v>0.9</v>
      </c>
      <c r="I1913" s="20" t="n">
        <f aca="false">EXP(LN(INDEX(Pop_Inputs!$B$2:$N$29,MATCH(C1913,Pop_Inputs!$A$2:$A$29,0),G1913))*(1-H1913)+LN(INDEX(Pop_Inputs!$B$2:$N$29,MATCH(C1913,Pop_Inputs!$A$2:$A$29,0),G1913+1))*H1913)</f>
        <v>7936911.6212305</v>
      </c>
      <c r="J1913" s="20" t="n">
        <f aca="false">I1913/F1913</f>
        <v>3968455.81061525</v>
      </c>
      <c r="K1913" s="21" t="n">
        <f aca="false">D1913/(D1913+E1913)</f>
        <v>0.595092024539877</v>
      </c>
      <c r="L1913" s="21" t="n">
        <f aca="false">AVERAGEIFS($K$2:$K$2705,$B$2:$B$2705,B1913)</f>
        <v>0.499857060550264</v>
      </c>
      <c r="M1913" s="21" t="n">
        <f aca="false">K1913-L1913</f>
        <v>0.0952349639896134</v>
      </c>
      <c r="N1913" s="21" t="n">
        <f aca="false">LN(J1913)</f>
        <v>15.1938876124165</v>
      </c>
      <c r="O1913" s="21" t="n">
        <f aca="false">AVERAGEIFS($N$2:$N$2705,$B$2:$B$2705,B1913)</f>
        <v>13.6313228088</v>
      </c>
      <c r="P1913" s="21" t="n">
        <f aca="false">N1913-O1913</f>
        <v>1.56256480361645</v>
      </c>
      <c r="Q1913" s="7" t="n">
        <v>1</v>
      </c>
      <c r="R1913" s="3" t="n">
        <f aca="false">IF(AND(Q1913=1,B1913-_xlfn.MINIFS($B$2:$B$2705,$A$2:$A$2705,A1913)&lt;10),1,0)</f>
        <v>0</v>
      </c>
      <c r="S1913" s="7" t="n">
        <v>0</v>
      </c>
      <c r="T1913" s="3" t="n">
        <f aca="false">_xlfn.MINIFS($B$2:$B$2705,$A$2:$A$2705,A1913)</f>
        <v>1962</v>
      </c>
      <c r="U1913" s="3" t="n">
        <f aca="false">B1913-T1913</f>
        <v>37</v>
      </c>
      <c r="V1913" s="3" t="str">
        <f aca="false">INDEX(Pop_Inputs!$Q$2:$Q$29,MATCH(C1913,Pop_Inputs!$A$2:$A$29,0))</f>
        <v>Northeast</v>
      </c>
      <c r="W1913" s="29" t="n">
        <v>65092092</v>
      </c>
      <c r="X1913" s="3" t="n">
        <f aca="false">IF(W1913="","",LN(W1913))</f>
        <v>17.9913136251458</v>
      </c>
      <c r="Y1913" s="3" t="n">
        <f aca="false">IF(X1913="","",X1913-AVERAGEIFS($X$2:$X$2705,$B$2:$B$2705,B1913))</f>
        <v>0.362876576153901</v>
      </c>
      <c r="Z1913" s="21" t="n">
        <f aca="false">P1913</f>
        <v>1.56256480361645</v>
      </c>
      <c r="AA1913" s="3" t="n">
        <f aca="false">R1913</f>
        <v>0</v>
      </c>
      <c r="AB1913" s="21" t="n">
        <f aca="false">P1913</f>
        <v>1.56256480361645</v>
      </c>
      <c r="AC1913" s="3" t="n">
        <f aca="false">Y1913</f>
        <v>0.362876576153901</v>
      </c>
      <c r="AD1913" s="3" t="n">
        <f aca="false">R1913</f>
        <v>0</v>
      </c>
    </row>
    <row r="1914" customFormat="false" ht="15" hidden="false" customHeight="true" outlineLevel="0" collapsed="false">
      <c r="A1914" s="7" t="s">
        <v>70</v>
      </c>
      <c r="B1914" s="7" t="n">
        <v>1999</v>
      </c>
      <c r="C1914" s="7" t="s">
        <v>154</v>
      </c>
      <c r="D1914" s="7" t="n">
        <v>98</v>
      </c>
      <c r="E1914" s="7" t="n">
        <v>64</v>
      </c>
      <c r="F1914" s="3" t="n">
        <f aca="false">COUNTIFS($B$2:$B$2705,B1914,$C$2:$C$2705,C1914)</f>
        <v>2</v>
      </c>
      <c r="G1914" s="3" t="n">
        <f aca="false">MIN(INT((MIN(B1914,2020)-1900)/10)+1,12)</f>
        <v>10</v>
      </c>
      <c r="H1914" s="3" t="n">
        <f aca="false">(MIN(B1914,2020)-1900-10*(G1914-1))/10</f>
        <v>0.9</v>
      </c>
      <c r="I1914" s="20" t="n">
        <f aca="false">EXP(LN(INDEX(Pop_Inputs!$B$2:$N$29,MATCH(C1914,Pop_Inputs!$A$2:$A$29,0),G1914))*(1-H1914)+LN(INDEX(Pop_Inputs!$B$2:$N$29,MATCH(C1914,Pop_Inputs!$A$2:$A$29,0),G1914+1))*H1914)</f>
        <v>7936911.6212305</v>
      </c>
      <c r="J1914" s="20" t="n">
        <f aca="false">I1914/F1914</f>
        <v>3968455.81061525</v>
      </c>
      <c r="K1914" s="21" t="n">
        <f aca="false">D1914/(D1914+E1914)</f>
        <v>0.604938271604938</v>
      </c>
      <c r="L1914" s="21" t="n">
        <f aca="false">AVERAGEIFS($K$2:$K$2705,$B$2:$B$2705,B1914)</f>
        <v>0.499857060550264</v>
      </c>
      <c r="M1914" s="21" t="n">
        <f aca="false">K1914-L1914</f>
        <v>0.105081211054674</v>
      </c>
      <c r="N1914" s="21" t="n">
        <f aca="false">LN(J1914)</f>
        <v>15.1938876124165</v>
      </c>
      <c r="O1914" s="21" t="n">
        <f aca="false">AVERAGEIFS($N$2:$N$2705,$B$2:$B$2705,B1914)</f>
        <v>13.6313228088</v>
      </c>
      <c r="P1914" s="21" t="n">
        <f aca="false">N1914-O1914</f>
        <v>1.56256480361645</v>
      </c>
      <c r="Q1914" s="7" t="n">
        <v>0</v>
      </c>
      <c r="R1914" s="3" t="n">
        <f aca="false">IF(AND(Q1914=1,B1914-_xlfn.MINIFS($B$2:$B$2705,$A$2:$A$2705,A1914)&lt;10),1,0)</f>
        <v>0</v>
      </c>
      <c r="S1914" s="7" t="n">
        <v>1</v>
      </c>
      <c r="T1914" s="3" t="n">
        <f aca="false">_xlfn.MINIFS($B$2:$B$2705,$A$2:$A$2705,A1914)</f>
        <v>1903</v>
      </c>
      <c r="U1914" s="3" t="n">
        <f aca="false">B1914-T1914</f>
        <v>96</v>
      </c>
      <c r="V1914" s="3" t="str">
        <f aca="false">INDEX(Pop_Inputs!$Q$2:$Q$29,MATCH(C1914,Pop_Inputs!$A$2:$A$29,0))</f>
        <v>Northeast</v>
      </c>
      <c r="W1914" s="29" t="n">
        <v>86734359</v>
      </c>
      <c r="X1914" s="3" t="n">
        <f aca="false">IF(W1914="","",LN(W1914))</f>
        <v>18.2783606608235</v>
      </c>
      <c r="Y1914" s="3" t="n">
        <f aca="false">IF(X1914="","",X1914-AVERAGEIFS($X$2:$X$2705,$B$2:$B$2705,B1914))</f>
        <v>0.649923611831607</v>
      </c>
      <c r="Z1914" s="21" t="n">
        <f aca="false">P1914</f>
        <v>1.56256480361645</v>
      </c>
      <c r="AA1914" s="3" t="n">
        <f aca="false">R1914</f>
        <v>0</v>
      </c>
      <c r="AB1914" s="21" t="n">
        <f aca="false">P1914</f>
        <v>1.56256480361645</v>
      </c>
      <c r="AC1914" s="3" t="n">
        <f aca="false">Y1914</f>
        <v>0.649923611831607</v>
      </c>
      <c r="AD1914" s="3" t="n">
        <f aca="false">R1914</f>
        <v>0</v>
      </c>
    </row>
    <row r="1915" customFormat="false" ht="15" hidden="false" customHeight="true" outlineLevel="0" collapsed="false">
      <c r="A1915" s="7" t="s">
        <v>69</v>
      </c>
      <c r="B1915" s="7" t="n">
        <v>1999</v>
      </c>
      <c r="C1915" s="7" t="s">
        <v>253</v>
      </c>
      <c r="D1915" s="7" t="n">
        <v>87</v>
      </c>
      <c r="E1915" s="7" t="n">
        <v>75</v>
      </c>
      <c r="F1915" s="3" t="n">
        <f aca="false">COUNTIFS($B$2:$B$2705,B1915,$C$2:$C$2705,C1915)</f>
        <v>1</v>
      </c>
      <c r="G1915" s="3" t="n">
        <f aca="false">MIN(INT((MIN(B1915,2020)-1900)/10)+1,12)</f>
        <v>10</v>
      </c>
      <c r="H1915" s="3" t="n">
        <f aca="false">(MIN(B1915,2020)-1900-10*(G1915-1))/10</f>
        <v>0.9</v>
      </c>
      <c r="I1915" s="20" t="n">
        <f aca="false">EXP(LN(INDEX(Pop_Inputs!$B$2:$N$29,MATCH(C1915,Pop_Inputs!$A$2:$A$29,0),G1915))*(1-H1915)+LN(INDEX(Pop_Inputs!$B$2:$N$29,MATCH(C1915,Pop_Inputs!$A$2:$A$29,0),G1915+1))*H1915)</f>
        <v>396672.403900478</v>
      </c>
      <c r="J1915" s="20" t="n">
        <f aca="false">I1915/F1915</f>
        <v>396672.403900478</v>
      </c>
      <c r="K1915" s="21" t="n">
        <f aca="false">D1915/(D1915+E1915)</f>
        <v>0.537037037037037</v>
      </c>
      <c r="L1915" s="21" t="n">
        <f aca="false">AVERAGEIFS($K$2:$K$2705,$B$2:$B$2705,B1915)</f>
        <v>0.499857060550264</v>
      </c>
      <c r="M1915" s="21" t="n">
        <f aca="false">K1915-L1915</f>
        <v>0.0371799764867732</v>
      </c>
      <c r="N1915" s="21" t="n">
        <f aca="false">LN(J1915)</f>
        <v>12.8908660399297</v>
      </c>
      <c r="O1915" s="21" t="n">
        <f aca="false">AVERAGEIFS($N$2:$N$2705,$B$2:$B$2705,B1915)</f>
        <v>13.6313228088</v>
      </c>
      <c r="P1915" s="21" t="n">
        <f aca="false">N1915-O1915</f>
        <v>-0.740456768870381</v>
      </c>
      <c r="Q1915" s="7" t="n">
        <v>0</v>
      </c>
      <c r="R1915" s="3" t="n">
        <f aca="false">IF(AND(Q1915=1,B1915-_xlfn.MINIFS($B$2:$B$2705,$A$2:$A$2705,A1915)&lt;10),1,0)</f>
        <v>0</v>
      </c>
      <c r="S1915" s="7" t="n">
        <v>0</v>
      </c>
      <c r="T1915" s="3" t="n">
        <f aca="false">_xlfn.MINIFS($B$2:$B$2705,$A$2:$A$2705,A1915)</f>
        <v>1901</v>
      </c>
      <c r="U1915" s="3" t="n">
        <f aca="false">B1915-T1915</f>
        <v>98</v>
      </c>
      <c r="V1915" s="3" t="str">
        <f aca="false">INDEX(Pop_Inputs!$Q$2:$Q$29,MATCH(C1915,Pop_Inputs!$A$2:$A$29,0))</f>
        <v>West</v>
      </c>
      <c r="W1915" s="29" t="n">
        <v>24431833</v>
      </c>
      <c r="X1915" s="3" t="n">
        <f aca="false">IF(W1915="","",LN(W1915))</f>
        <v>17.0113974711192</v>
      </c>
      <c r="Y1915" s="3" t="n">
        <f aca="false">IF(X1915="","",X1915-AVERAGEIFS($X$2:$X$2705,$B$2:$B$2705,B1915))</f>
        <v>-0.617039577872653</v>
      </c>
      <c r="Z1915" s="21" t="n">
        <f aca="false">P1915</f>
        <v>-0.740456768870381</v>
      </c>
      <c r="AA1915" s="3" t="n">
        <f aca="false">R1915</f>
        <v>0</v>
      </c>
      <c r="AB1915" s="21" t="n">
        <f aca="false">P1915</f>
        <v>-0.740456768870381</v>
      </c>
      <c r="AC1915" s="3" t="n">
        <f aca="false">Y1915</f>
        <v>-0.617039577872653</v>
      </c>
      <c r="AD1915" s="3" t="n">
        <f aca="false">R1915</f>
        <v>0</v>
      </c>
    </row>
    <row r="1916" customFormat="false" ht="15" hidden="false" customHeight="true" outlineLevel="0" collapsed="false">
      <c r="A1916" s="7" t="s">
        <v>60</v>
      </c>
      <c r="B1916" s="7" t="n">
        <v>1999</v>
      </c>
      <c r="C1916" s="7" t="s">
        <v>146</v>
      </c>
      <c r="D1916" s="7" t="n">
        <v>77</v>
      </c>
      <c r="E1916" s="7" t="n">
        <v>85</v>
      </c>
      <c r="F1916" s="3" t="n">
        <f aca="false">COUNTIFS($B$2:$B$2705,B1916,$C$2:$C$2705,C1916)</f>
        <v>1</v>
      </c>
      <c r="G1916" s="3" t="n">
        <f aca="false">MIN(INT((MIN(B1916,2020)-1900)/10)+1,12)</f>
        <v>10</v>
      </c>
      <c r="H1916" s="3" t="n">
        <f aca="false">(MIN(B1916,2020)-1900-10*(G1916-1))/10</f>
        <v>0.9</v>
      </c>
      <c r="I1916" s="20" t="n">
        <f aca="false">EXP(LN(INDEX(Pop_Inputs!$B$2:$N$29,MATCH(C1916,Pop_Inputs!$A$2:$A$29,0),G1916))*(1-H1916)+LN(INDEX(Pop_Inputs!$B$2:$N$29,MATCH(C1916,Pop_Inputs!$A$2:$A$29,0),G1916+1))*H1916)</f>
        <v>1524219.24885932</v>
      </c>
      <c r="J1916" s="20" t="n">
        <f aca="false">I1916/F1916</f>
        <v>1524219.24885932</v>
      </c>
      <c r="K1916" s="21" t="n">
        <f aca="false">D1916/(D1916+E1916)</f>
        <v>0.475308641975309</v>
      </c>
      <c r="L1916" s="21" t="n">
        <f aca="false">AVERAGEIFS($K$2:$K$2705,$B$2:$B$2705,B1916)</f>
        <v>0.499857060550264</v>
      </c>
      <c r="M1916" s="21" t="n">
        <f aca="false">K1916-L1916</f>
        <v>-0.0245484185749553</v>
      </c>
      <c r="N1916" s="21" t="n">
        <f aca="false">LN(J1916)</f>
        <v>14.2369928689622</v>
      </c>
      <c r="O1916" s="21" t="n">
        <f aca="false">AVERAGEIFS($N$2:$N$2705,$B$2:$B$2705,B1916)</f>
        <v>13.6313228088</v>
      </c>
      <c r="P1916" s="21" t="n">
        <f aca="false">N1916-O1916</f>
        <v>0.605670060162163</v>
      </c>
      <c r="Q1916" s="7" t="n">
        <v>0</v>
      </c>
      <c r="R1916" s="3" t="n">
        <f aca="false">IF(AND(Q1916=1,B1916-_xlfn.MINIFS($B$2:$B$2705,$A$2:$A$2705,A1916)&lt;10),1,0)</f>
        <v>0</v>
      </c>
      <c r="S1916" s="7" t="n">
        <v>0</v>
      </c>
      <c r="T1916" s="3" t="n">
        <f aca="false">_xlfn.MINIFS($B$2:$B$2705,$A$2:$A$2705,A1916)</f>
        <v>1901</v>
      </c>
      <c r="U1916" s="3" t="n">
        <f aca="false">B1916-T1916</f>
        <v>98</v>
      </c>
      <c r="V1916" s="3" t="str">
        <f aca="false">INDEX(Pop_Inputs!$Q$2:$Q$29,MATCH(C1916,Pop_Inputs!$A$2:$A$29,0))</f>
        <v>Northeast</v>
      </c>
      <c r="W1916" s="29" t="n">
        <v>31692500</v>
      </c>
      <c r="X1916" s="3" t="n">
        <f aca="false">IF(W1916="","",LN(W1916))</f>
        <v>17.271590617795</v>
      </c>
      <c r="Y1916" s="3" t="n">
        <f aca="false">IF(X1916="","",X1916-AVERAGEIFS($X$2:$X$2705,$B$2:$B$2705,B1916))</f>
        <v>-0.356846431196853</v>
      </c>
      <c r="Z1916" s="21" t="n">
        <f aca="false">P1916</f>
        <v>0.605670060162163</v>
      </c>
      <c r="AA1916" s="3" t="n">
        <f aca="false">R1916</f>
        <v>0</v>
      </c>
      <c r="AB1916" s="21" t="n">
        <f aca="false">P1916</f>
        <v>0.605670060162163</v>
      </c>
      <c r="AC1916" s="3" t="n">
        <f aca="false">Y1916</f>
        <v>-0.356846431196853</v>
      </c>
      <c r="AD1916" s="3" t="n">
        <f aca="false">R1916</f>
        <v>0</v>
      </c>
    </row>
    <row r="1917" customFormat="false" ht="15" hidden="false" customHeight="true" outlineLevel="0" collapsed="false">
      <c r="A1917" s="7" t="s">
        <v>58</v>
      </c>
      <c r="B1917" s="7" t="n">
        <v>1999</v>
      </c>
      <c r="C1917" s="7" t="s">
        <v>144</v>
      </c>
      <c r="D1917" s="7" t="n">
        <v>78</v>
      </c>
      <c r="E1917" s="7" t="n">
        <v>83</v>
      </c>
      <c r="F1917" s="3" t="n">
        <f aca="false">COUNTIFS($B$2:$B$2705,B1917,$C$2:$C$2705,C1917)</f>
        <v>1</v>
      </c>
      <c r="G1917" s="3" t="n">
        <f aca="false">MIN(INT((MIN(B1917,2020)-1900)/10)+1,12)</f>
        <v>10</v>
      </c>
      <c r="H1917" s="3" t="n">
        <f aca="false">(MIN(B1917,2020)-1900-10*(G1917-1))/10</f>
        <v>0.9</v>
      </c>
      <c r="I1917" s="20" t="n">
        <f aca="false">EXP(LN(INDEX(Pop_Inputs!$B$2:$N$29,MATCH(C1917,Pop_Inputs!$A$2:$A$29,0),G1917))*(1-H1917)+LN(INDEX(Pop_Inputs!$B$2:$N$29,MATCH(C1917,Pop_Inputs!$A$2:$A$29,0),G1917+1))*H1917)</f>
        <v>337937.266062103</v>
      </c>
      <c r="J1917" s="20" t="n">
        <f aca="false">I1917/F1917</f>
        <v>337937.266062103</v>
      </c>
      <c r="K1917" s="21" t="n">
        <f aca="false">D1917/(D1917+E1917)</f>
        <v>0.484472049689441</v>
      </c>
      <c r="L1917" s="21" t="n">
        <f aca="false">AVERAGEIFS($K$2:$K$2705,$B$2:$B$2705,B1917)</f>
        <v>0.499857060550264</v>
      </c>
      <c r="M1917" s="21" t="n">
        <f aca="false">K1917-L1917</f>
        <v>-0.0153850108608229</v>
      </c>
      <c r="N1917" s="21" t="n">
        <f aca="false">LN(J1917)</f>
        <v>12.7306155538722</v>
      </c>
      <c r="O1917" s="21" t="n">
        <f aca="false">AVERAGEIFS($N$2:$N$2705,$B$2:$B$2705,B1917)</f>
        <v>13.6313228088</v>
      </c>
      <c r="P1917" s="21" t="n">
        <f aca="false">N1917-O1917</f>
        <v>-0.900707254927877</v>
      </c>
      <c r="Q1917" s="7" t="n">
        <v>0</v>
      </c>
      <c r="R1917" s="3" t="n">
        <f aca="false">IF(AND(Q1917=1,B1917-_xlfn.MINIFS($B$2:$B$2705,$A$2:$A$2705,A1917)&lt;10),1,0)</f>
        <v>0</v>
      </c>
      <c r="S1917" s="7" t="n">
        <v>0</v>
      </c>
      <c r="T1917" s="3" t="n">
        <f aca="false">_xlfn.MINIFS($B$2:$B$2705,$A$2:$A$2705,A1917)</f>
        <v>1901</v>
      </c>
      <c r="U1917" s="3" t="n">
        <f aca="false">B1917-T1917</f>
        <v>98</v>
      </c>
      <c r="V1917" s="3" t="str">
        <f aca="false">INDEX(Pop_Inputs!$Q$2:$Q$29,MATCH(C1917,Pop_Inputs!$A$2:$A$29,0))</f>
        <v>Northeast</v>
      </c>
      <c r="W1917" s="29" t="n">
        <v>24917666</v>
      </c>
      <c r="X1917" s="3" t="n">
        <f aca="false">IF(W1917="","",LN(W1917))</f>
        <v>17.0310875877861</v>
      </c>
      <c r="Y1917" s="3" t="n">
        <f aca="false">IF(X1917="","",X1917-AVERAGEIFS($X$2:$X$2705,$B$2:$B$2705,B1917))</f>
        <v>-0.597349461205766</v>
      </c>
      <c r="Z1917" s="21" t="n">
        <f aca="false">P1917</f>
        <v>-0.900707254927877</v>
      </c>
      <c r="AA1917" s="3" t="n">
        <f aca="false">R1917</f>
        <v>0</v>
      </c>
      <c r="AB1917" s="21" t="n">
        <f aca="false">P1917</f>
        <v>-0.900707254927877</v>
      </c>
      <c r="AC1917" s="3" t="n">
        <f aca="false">Y1917</f>
        <v>-0.597349461205766</v>
      </c>
      <c r="AD1917" s="3" t="n">
        <f aca="false">R1917</f>
        <v>0</v>
      </c>
    </row>
    <row r="1918" customFormat="false" ht="15" hidden="false" customHeight="true" outlineLevel="0" collapsed="false">
      <c r="A1918" s="7" t="s">
        <v>78</v>
      </c>
      <c r="B1918" s="7" t="n">
        <v>1999</v>
      </c>
      <c r="C1918" s="7" t="s">
        <v>159</v>
      </c>
      <c r="D1918" s="7" t="n">
        <v>74</v>
      </c>
      <c r="E1918" s="7" t="n">
        <v>88</v>
      </c>
      <c r="F1918" s="3" t="n">
        <f aca="false">COUNTIFS($B$2:$B$2705,B1918,$C$2:$C$2705,C1918)</f>
        <v>1</v>
      </c>
      <c r="G1918" s="3" t="n">
        <f aca="false">MIN(INT((MIN(B1918,2020)-1900)/10)+1,12)</f>
        <v>10</v>
      </c>
      <c r="H1918" s="3" t="n">
        <f aca="false">(MIN(B1918,2020)-1900-10*(G1918-1))/10</f>
        <v>0.9</v>
      </c>
      <c r="I1918" s="20" t="n">
        <f aca="false">EXP(LN(INDEX(Pop_Inputs!$B$2:$N$29,MATCH(C1918,Pop_Inputs!$A$2:$A$29,0),G1918))*(1-H1918)+LN(INDEX(Pop_Inputs!$B$2:$N$29,MATCH(C1918,Pop_Inputs!$A$2:$A$29,0),G1918+1))*H1918)</f>
        <v>1211617.11958971</v>
      </c>
      <c r="J1918" s="20" t="n">
        <f aca="false">I1918/F1918</f>
        <v>1211617.11958971</v>
      </c>
      <c r="K1918" s="21" t="n">
        <f aca="false">D1918/(D1918+E1918)</f>
        <v>0.45679012345679</v>
      </c>
      <c r="L1918" s="21" t="n">
        <f aca="false">AVERAGEIFS($K$2:$K$2705,$B$2:$B$2705,B1918)</f>
        <v>0.499857060550264</v>
      </c>
      <c r="M1918" s="21" t="n">
        <f aca="false">K1918-L1918</f>
        <v>-0.0430669370934738</v>
      </c>
      <c r="N1918" s="21" t="n">
        <f aca="false">LN(J1918)</f>
        <v>14.0074664877727</v>
      </c>
      <c r="O1918" s="21" t="n">
        <f aca="false">AVERAGEIFS($N$2:$N$2705,$B$2:$B$2705,B1918)</f>
        <v>13.6313228088</v>
      </c>
      <c r="P1918" s="21" t="n">
        <f aca="false">N1918-O1918</f>
        <v>0.376143678972655</v>
      </c>
      <c r="Q1918" s="7" t="n">
        <v>1</v>
      </c>
      <c r="R1918" s="3" t="n">
        <f aca="false">IF(AND(Q1918=1,B1918-_xlfn.MINIFS($B$2:$B$2705,$A$2:$A$2705,A1918)&lt;10),1,0)</f>
        <v>0</v>
      </c>
      <c r="S1918" s="7" t="n">
        <v>0</v>
      </c>
      <c r="T1918" s="3" t="n">
        <f aca="false">_xlfn.MINIFS($B$2:$B$2705,$A$2:$A$2705,A1918)</f>
        <v>1969</v>
      </c>
      <c r="U1918" s="3" t="n">
        <f aca="false">B1918-T1918</f>
        <v>30</v>
      </c>
      <c r="V1918" s="3" t="str">
        <f aca="false">INDEX(Pop_Inputs!$Q$2:$Q$29,MATCH(C1918,Pop_Inputs!$A$2:$A$29,0))</f>
        <v>West</v>
      </c>
      <c r="W1918" s="29" t="n">
        <v>49768179</v>
      </c>
      <c r="X1918" s="3" t="n">
        <f aca="false">IF(W1918="","",LN(W1918))</f>
        <v>17.7228863618592</v>
      </c>
      <c r="Y1918" s="3" t="n">
        <f aca="false">IF(X1918="","",X1918-AVERAGEIFS($X$2:$X$2705,$B$2:$B$2705,B1918))</f>
        <v>0.0944493128672868</v>
      </c>
      <c r="Z1918" s="21" t="n">
        <f aca="false">P1918</f>
        <v>0.376143678972655</v>
      </c>
      <c r="AA1918" s="3" t="n">
        <f aca="false">R1918</f>
        <v>0</v>
      </c>
      <c r="AB1918" s="21" t="n">
        <f aca="false">P1918</f>
        <v>0.376143678972655</v>
      </c>
      <c r="AC1918" s="3" t="n">
        <f aca="false">Y1918</f>
        <v>0.0944493128672868</v>
      </c>
      <c r="AD1918" s="3" t="n">
        <f aca="false">R1918</f>
        <v>0</v>
      </c>
    </row>
    <row r="1919" customFormat="false" ht="15" hidden="false" customHeight="true" outlineLevel="0" collapsed="false">
      <c r="A1919" s="7" t="s">
        <v>80</v>
      </c>
      <c r="B1919" s="7" t="n">
        <v>1999</v>
      </c>
      <c r="C1919" s="7" t="s">
        <v>161</v>
      </c>
      <c r="D1919" s="7" t="n">
        <v>79</v>
      </c>
      <c r="E1919" s="7" t="n">
        <v>83</v>
      </c>
      <c r="F1919" s="3" t="n">
        <f aca="false">COUNTIFS($B$2:$B$2705,B1919,$C$2:$C$2705,C1919)</f>
        <v>1</v>
      </c>
      <c r="G1919" s="3" t="n">
        <f aca="false">MIN(INT((MIN(B1919,2020)-1900)/10)+1,12)</f>
        <v>10</v>
      </c>
      <c r="H1919" s="3" t="n">
        <f aca="false">(MIN(B1919,2020)-1900-10*(G1919-1))/10</f>
        <v>0.9</v>
      </c>
      <c r="I1919" s="20" t="n">
        <f aca="false">EXP(LN(INDEX(Pop_Inputs!$B$2:$N$29,MATCH(C1919,Pop_Inputs!$A$2:$A$29,0),G1919))*(1-H1919)+LN(INDEX(Pop_Inputs!$B$2:$N$29,MATCH(C1919,Pop_Inputs!$A$2:$A$29,0),G1919+1))*H1919)</f>
        <v>558475.188986342</v>
      </c>
      <c r="J1919" s="20" t="n">
        <f aca="false">I1919/F1919</f>
        <v>558475.188986342</v>
      </c>
      <c r="K1919" s="21" t="n">
        <f aca="false">D1919/(D1919+E1919)</f>
        <v>0.487654320987654</v>
      </c>
      <c r="L1919" s="21" t="n">
        <f aca="false">AVERAGEIFS($K$2:$K$2705,$B$2:$B$2705,B1919)</f>
        <v>0.499857060550264</v>
      </c>
      <c r="M1919" s="21" t="n">
        <f aca="false">K1919-L1919</f>
        <v>-0.0122027395626096</v>
      </c>
      <c r="N1919" s="21" t="n">
        <f aca="false">LN(J1919)</f>
        <v>13.2329654721292</v>
      </c>
      <c r="O1919" s="21" t="n">
        <f aca="false">AVERAGEIFS($N$2:$N$2705,$B$2:$B$2705,B1919)</f>
        <v>13.6313228088</v>
      </c>
      <c r="P1919" s="21" t="n">
        <f aca="false">N1919-O1919</f>
        <v>-0.398357336670832</v>
      </c>
      <c r="Q1919" s="7" t="n">
        <v>1</v>
      </c>
      <c r="R1919" s="3" t="n">
        <f aca="false">IF(AND(Q1919=1,B1919-_xlfn.MINIFS($B$2:$B$2705,$A$2:$A$2705,A1919)&lt;10),1,0)</f>
        <v>0</v>
      </c>
      <c r="S1919" s="7" t="n">
        <v>0</v>
      </c>
      <c r="T1919" s="3" t="n">
        <f aca="false">_xlfn.MINIFS($B$2:$B$2705,$A$2:$A$2705,A1919)</f>
        <v>1977</v>
      </c>
      <c r="U1919" s="3" t="n">
        <f aca="false">B1919-T1919</f>
        <v>22</v>
      </c>
      <c r="V1919" s="3" t="str">
        <f aca="false">INDEX(Pop_Inputs!$Q$2:$Q$29,MATCH(C1919,Pop_Inputs!$A$2:$A$29,0))</f>
        <v>West</v>
      </c>
      <c r="W1919" s="29" t="n">
        <v>54125003</v>
      </c>
      <c r="X1919" s="3" t="n">
        <f aca="false">IF(W1919="","",LN(W1919))</f>
        <v>17.8068067997142</v>
      </c>
      <c r="Y1919" s="3" t="n">
        <f aca="false">IF(X1919="","",X1919-AVERAGEIFS($X$2:$X$2705,$B$2:$B$2705,B1919))</f>
        <v>0.178369750722304</v>
      </c>
      <c r="Z1919" s="21" t="n">
        <f aca="false">P1919</f>
        <v>-0.398357336670832</v>
      </c>
      <c r="AA1919" s="3" t="n">
        <f aca="false">R1919</f>
        <v>0</v>
      </c>
      <c r="AB1919" s="21" t="n">
        <f aca="false">P1919</f>
        <v>-0.398357336670832</v>
      </c>
      <c r="AC1919" s="3" t="n">
        <f aca="false">Y1919</f>
        <v>0.178369750722304</v>
      </c>
      <c r="AD1919" s="3" t="n">
        <f aca="false">R1919</f>
        <v>0</v>
      </c>
    </row>
    <row r="1920" customFormat="false" ht="15" hidden="false" customHeight="true" outlineLevel="0" collapsed="false">
      <c r="A1920" s="7" t="s">
        <v>61</v>
      </c>
      <c r="B1920" s="7" t="n">
        <v>1999</v>
      </c>
      <c r="C1920" s="7" t="s">
        <v>147</v>
      </c>
      <c r="D1920" s="7" t="n">
        <v>86</v>
      </c>
      <c r="E1920" s="7" t="n">
        <v>76</v>
      </c>
      <c r="F1920" s="3" t="n">
        <f aca="false">COUNTIFS($B$2:$B$2705,B1920,$C$2:$C$2705,C1920)</f>
        <v>1</v>
      </c>
      <c r="G1920" s="3" t="n">
        <f aca="false">MIN(INT((MIN(B1920,2020)-1900)/10)+1,12)</f>
        <v>10</v>
      </c>
      <c r="H1920" s="3" t="n">
        <f aca="false">(MIN(B1920,2020)-1900-10*(G1920-1))/10</f>
        <v>0.9</v>
      </c>
      <c r="I1920" s="20" t="n">
        <f aca="false">EXP(LN(INDEX(Pop_Inputs!$B$2:$N$29,MATCH(C1920,Pop_Inputs!$A$2:$A$29,0),G1920))*(1-H1920)+LN(INDEX(Pop_Inputs!$B$2:$N$29,MATCH(C1920,Pop_Inputs!$A$2:$A$29,0),G1920+1))*H1920)</f>
        <v>771286.941174543</v>
      </c>
      <c r="J1920" s="20" t="n">
        <f aca="false">I1920/F1920</f>
        <v>771286.941174543</v>
      </c>
      <c r="K1920" s="21" t="n">
        <f aca="false">D1920/(D1920+E1920)</f>
        <v>0.530864197530864</v>
      </c>
      <c r="L1920" s="21" t="n">
        <f aca="false">AVERAGEIFS($K$2:$K$2705,$B$2:$B$2705,B1920)</f>
        <v>0.499857060550264</v>
      </c>
      <c r="M1920" s="21" t="n">
        <f aca="false">K1920-L1920</f>
        <v>0.0310071369806003</v>
      </c>
      <c r="N1920" s="21" t="n">
        <f aca="false">LN(J1920)</f>
        <v>13.5558157508499</v>
      </c>
      <c r="O1920" s="21" t="n">
        <f aca="false">AVERAGEIFS($N$2:$N$2705,$B$2:$B$2705,B1920)</f>
        <v>13.6313228088</v>
      </c>
      <c r="P1920" s="21" t="n">
        <f aca="false">N1920-O1920</f>
        <v>-0.0755070579501727</v>
      </c>
      <c r="Q1920" s="7" t="n">
        <v>0</v>
      </c>
      <c r="R1920" s="3" t="n">
        <f aca="false">IF(AND(Q1920=1,B1920-_xlfn.MINIFS($B$2:$B$2705,$A$2:$A$2705,A1920)&lt;10),1,0)</f>
        <v>0</v>
      </c>
      <c r="S1920" s="7" t="n">
        <v>0</v>
      </c>
      <c r="T1920" s="3" t="n">
        <f aca="false">_xlfn.MINIFS($B$2:$B$2705,$A$2:$A$2705,A1920)</f>
        <v>1901</v>
      </c>
      <c r="U1920" s="3" t="n">
        <f aca="false">B1920-T1920</f>
        <v>98</v>
      </c>
      <c r="V1920" s="3" t="str">
        <f aca="false">INDEX(Pop_Inputs!$Q$2:$Q$29,MATCH(C1920,Pop_Inputs!$A$2:$A$29,0))</f>
        <v>West</v>
      </c>
      <c r="W1920" s="29" t="n">
        <v>46595057</v>
      </c>
      <c r="X1920" s="3" t="n">
        <f aca="false">IF(W1920="","",LN(W1920))</f>
        <v>17.6570050205084</v>
      </c>
      <c r="Y1920" s="3" t="n">
        <f aca="false">IF(X1920="","",X1920-AVERAGEIFS($X$2:$X$2705,$B$2:$B$2705,B1920))</f>
        <v>0.0285679715164946</v>
      </c>
      <c r="Z1920" s="21" t="n">
        <f aca="false">P1920</f>
        <v>-0.0755070579501727</v>
      </c>
      <c r="AA1920" s="3" t="n">
        <f aca="false">R1920</f>
        <v>0</v>
      </c>
      <c r="AB1920" s="21" t="n">
        <f aca="false">P1920</f>
        <v>-0.0755070579501727</v>
      </c>
      <c r="AC1920" s="3" t="n">
        <f aca="false">Y1920</f>
        <v>0.0285679715164946</v>
      </c>
      <c r="AD1920" s="3" t="n">
        <f aca="false">R1920</f>
        <v>0</v>
      </c>
    </row>
    <row r="1921" customFormat="false" ht="15" hidden="false" customHeight="true" outlineLevel="0" collapsed="false">
      <c r="A1921" s="7" t="s">
        <v>59</v>
      </c>
      <c r="B1921" s="7" t="n">
        <v>1999</v>
      </c>
      <c r="C1921" s="7" t="s">
        <v>145</v>
      </c>
      <c r="D1921" s="7" t="n">
        <v>75</v>
      </c>
      <c r="E1921" s="7" t="n">
        <v>86</v>
      </c>
      <c r="F1921" s="3" t="n">
        <f aca="false">COUNTIFS($B$2:$B$2705,B1921,$C$2:$C$2705,C1921)</f>
        <v>1</v>
      </c>
      <c r="G1921" s="3" t="n">
        <f aca="false">MIN(INT((MIN(B1921,2020)-1900)/10)+1,12)</f>
        <v>10</v>
      </c>
      <c r="H1921" s="3" t="n">
        <f aca="false">(MIN(B1921,2020)-1900-10*(G1921-1))/10</f>
        <v>0.9</v>
      </c>
      <c r="I1921" s="20" t="n">
        <f aca="false">EXP(LN(INDEX(Pop_Inputs!$B$2:$N$29,MATCH(C1921,Pop_Inputs!$A$2:$A$29,0),G1921))*(1-H1921)+LN(INDEX(Pop_Inputs!$B$2:$N$29,MATCH(C1921,Pop_Inputs!$A$2:$A$29,0),G1921+1))*H1921)</f>
        <v>352759.013924861</v>
      </c>
      <c r="J1921" s="20" t="n">
        <f aca="false">I1921/F1921</f>
        <v>352759.013924861</v>
      </c>
      <c r="K1921" s="21" t="n">
        <f aca="false">D1921/(D1921+E1921)</f>
        <v>0.46583850931677</v>
      </c>
      <c r="L1921" s="21" t="n">
        <f aca="false">AVERAGEIFS($K$2:$K$2705,$B$2:$B$2705,B1921)</f>
        <v>0.499857060550264</v>
      </c>
      <c r="M1921" s="21" t="n">
        <f aca="false">K1921-L1921</f>
        <v>-0.0340185512334937</v>
      </c>
      <c r="N1921" s="21" t="n">
        <f aca="false">LN(J1921)</f>
        <v>12.7735404226837</v>
      </c>
      <c r="O1921" s="21" t="n">
        <f aca="false">AVERAGEIFS($N$2:$N$2705,$B$2:$B$2705,B1921)</f>
        <v>13.6313228088</v>
      </c>
      <c r="P1921" s="21" t="n">
        <f aca="false">N1921-O1921</f>
        <v>-0.857782386116316</v>
      </c>
      <c r="Q1921" s="7" t="n">
        <v>0</v>
      </c>
      <c r="R1921" s="3" t="n">
        <f aca="false">IF(AND(Q1921=1,B1921-_xlfn.MINIFS($B$2:$B$2705,$A$2:$A$2705,A1921)&lt;10),1,0)</f>
        <v>0</v>
      </c>
      <c r="S1921" s="7" t="n">
        <v>0</v>
      </c>
      <c r="T1921" s="3" t="n">
        <f aca="false">_xlfn.MINIFS($B$2:$B$2705,$A$2:$A$2705,A1921)</f>
        <v>1901</v>
      </c>
      <c r="U1921" s="3" t="n">
        <f aca="false">B1921-T1921</f>
        <v>98</v>
      </c>
      <c r="V1921" s="3" t="str">
        <f aca="false">INDEX(Pop_Inputs!$Q$2:$Q$29,MATCH(C1921,Pop_Inputs!$A$2:$A$29,0))</f>
        <v>Midwest</v>
      </c>
      <c r="W1921" s="29" t="n">
        <v>49778195</v>
      </c>
      <c r="X1921" s="3" t="n">
        <f aca="false">IF(W1921="","",LN(W1921))</f>
        <v>17.7230875947043</v>
      </c>
      <c r="Y1921" s="3" t="n">
        <f aca="false">IF(X1921="","",X1921-AVERAGEIFS($X$2:$X$2705,$B$2:$B$2705,B1921))</f>
        <v>0.0946505457124687</v>
      </c>
      <c r="Z1921" s="21" t="n">
        <f aca="false">P1921</f>
        <v>-0.857782386116316</v>
      </c>
      <c r="AA1921" s="3" t="n">
        <f aca="false">R1921</f>
        <v>0</v>
      </c>
      <c r="AB1921" s="21" t="n">
        <f aca="false">P1921</f>
        <v>-0.857782386116316</v>
      </c>
      <c r="AC1921" s="3" t="n">
        <f aca="false">Y1921</f>
        <v>0.0946505457124687</v>
      </c>
      <c r="AD1921" s="3" t="n">
        <f aca="false">R1921</f>
        <v>0</v>
      </c>
    </row>
    <row r="1922" customFormat="false" ht="15" hidden="false" customHeight="true" outlineLevel="0" collapsed="false">
      <c r="A1922" s="7" t="s">
        <v>85</v>
      </c>
      <c r="B1922" s="7" t="n">
        <v>1999</v>
      </c>
      <c r="C1922" s="7" t="s">
        <v>166</v>
      </c>
      <c r="D1922" s="7" t="n">
        <v>69</v>
      </c>
      <c r="E1922" s="7" t="n">
        <v>93</v>
      </c>
      <c r="F1922" s="3" t="n">
        <f aca="false">COUNTIFS($B$2:$B$2705,B1922,$C$2:$C$2705,C1922)</f>
        <v>1</v>
      </c>
      <c r="G1922" s="3" t="n">
        <f aca="false">MIN(INT((MIN(B1922,2020)-1900)/10)+1,12)</f>
        <v>10</v>
      </c>
      <c r="H1922" s="3" t="n">
        <f aca="false">(MIN(B1922,2020)-1900-10*(G1922-1))/10</f>
        <v>0.9</v>
      </c>
      <c r="I1922" s="20" t="n">
        <f aca="false">EXP(LN(INDEX(Pop_Inputs!$B$2:$N$29,MATCH(C1922,Pop_Inputs!$A$2:$A$29,0),G1922))*(1-H1922)+LN(INDEX(Pop_Inputs!$B$2:$N$29,MATCH(C1922,Pop_Inputs!$A$2:$A$29,0),G1922+1))*H1922)</f>
        <v>301018.157439659</v>
      </c>
      <c r="J1922" s="20" t="n">
        <f aca="false">I1922/F1922</f>
        <v>301018.157439659</v>
      </c>
      <c r="K1922" s="21" t="n">
        <f aca="false">D1922/(D1922+E1922)</f>
        <v>0.425925925925926</v>
      </c>
      <c r="L1922" s="21" t="n">
        <f aca="false">AVERAGEIFS($K$2:$K$2705,$B$2:$B$2705,B1922)</f>
        <v>0.499857060550264</v>
      </c>
      <c r="M1922" s="21" t="n">
        <f aca="false">K1922-L1922</f>
        <v>-0.073931134624338</v>
      </c>
      <c r="N1922" s="21" t="n">
        <f aca="false">LN(J1922)</f>
        <v>12.6149258656314</v>
      </c>
      <c r="O1922" s="21" t="n">
        <f aca="false">AVERAGEIFS($N$2:$N$2705,$B$2:$B$2705,B1922)</f>
        <v>13.6313228088</v>
      </c>
      <c r="P1922" s="21" t="n">
        <f aca="false">N1922-O1922</f>
        <v>-1.01639694316863</v>
      </c>
      <c r="Q1922" s="7" t="n">
        <v>1</v>
      </c>
      <c r="R1922" s="3" t="n">
        <f aca="false">IF(AND(Q1922=1,B1922-_xlfn.MINIFS($B$2:$B$2705,$A$2:$A$2705,A1922)&lt;10),1,0)</f>
        <v>1</v>
      </c>
      <c r="S1922" s="7" t="n">
        <v>0</v>
      </c>
      <c r="T1922" s="3" t="n">
        <f aca="false">_xlfn.MINIFS($B$2:$B$2705,$A$2:$A$2705,A1922)</f>
        <v>1998</v>
      </c>
      <c r="U1922" s="3" t="n">
        <f aca="false">B1922-T1922</f>
        <v>1</v>
      </c>
      <c r="V1922" s="3" t="str">
        <f aca="false">INDEX(Pop_Inputs!$Q$2:$Q$29,MATCH(C1922,Pop_Inputs!$A$2:$A$29,0))</f>
        <v>South</v>
      </c>
      <c r="W1922" s="29" t="n">
        <v>38870000</v>
      </c>
      <c r="X1922" s="3" t="n">
        <f aca="false">IF(W1922="","",LN(W1922))</f>
        <v>17.4757333028284</v>
      </c>
      <c r="Y1922" s="3" t="n">
        <f aca="false">IF(X1922="","",X1922-AVERAGEIFS($X$2:$X$2705,$B$2:$B$2705,B1922))</f>
        <v>-0.152703746163468</v>
      </c>
      <c r="Z1922" s="21" t="n">
        <f aca="false">P1922</f>
        <v>-1.01639694316863</v>
      </c>
      <c r="AA1922" s="3" t="n">
        <f aca="false">R1922</f>
        <v>1</v>
      </c>
      <c r="AB1922" s="21" t="n">
        <f aca="false">P1922</f>
        <v>-1.01639694316863</v>
      </c>
      <c r="AC1922" s="3" t="n">
        <f aca="false">Y1922</f>
        <v>-0.152703746163468</v>
      </c>
      <c r="AD1922" s="3" t="n">
        <f aca="false">R1922</f>
        <v>1</v>
      </c>
    </row>
    <row r="1923" customFormat="false" ht="15" hidden="false" customHeight="true" outlineLevel="0" collapsed="false">
      <c r="A1923" s="7" t="s">
        <v>73</v>
      </c>
      <c r="B1923" s="7" t="n">
        <v>1999</v>
      </c>
      <c r="C1923" s="7" t="s">
        <v>155</v>
      </c>
      <c r="D1923" s="7" t="n">
        <v>95</v>
      </c>
      <c r="E1923" s="7" t="n">
        <v>67</v>
      </c>
      <c r="F1923" s="3" t="n">
        <f aca="false">COUNTIFS($B$2:$B$2705,B1923,$C$2:$C$2705,C1923)</f>
        <v>1</v>
      </c>
      <c r="G1923" s="3" t="n">
        <f aca="false">MIN(INT((MIN(B1923,2020)-1900)/10)+1,12)</f>
        <v>10</v>
      </c>
      <c r="H1923" s="3" t="n">
        <f aca="false">(MIN(B1923,2020)-1900-10*(G1923-1))/10</f>
        <v>0.9</v>
      </c>
      <c r="I1923" s="20" t="n">
        <f aca="false">EXP(LN(INDEX(Pop_Inputs!$B$2:$N$29,MATCH(C1923,Pop_Inputs!$A$2:$A$29,0),G1923))*(1-H1923)+LN(INDEX(Pop_Inputs!$B$2:$N$29,MATCH(C1923,Pop_Inputs!$A$2:$A$29,0),G1923+1))*H1923)</f>
        <v>1169035.04762109</v>
      </c>
      <c r="J1923" s="20" t="n">
        <f aca="false">I1923/F1923</f>
        <v>1169035.04762109</v>
      </c>
      <c r="K1923" s="21" t="n">
        <f aca="false">D1923/(D1923+E1923)</f>
        <v>0.58641975308642</v>
      </c>
      <c r="L1923" s="21" t="n">
        <f aca="false">AVERAGEIFS($K$2:$K$2705,$B$2:$B$2705,B1923)</f>
        <v>0.499857060550264</v>
      </c>
      <c r="M1923" s="21" t="n">
        <f aca="false">K1923-L1923</f>
        <v>0.0865626925361559</v>
      </c>
      <c r="N1923" s="21" t="n">
        <f aca="false">LN(J1923)</f>
        <v>13.9716892208612</v>
      </c>
      <c r="O1923" s="21" t="n">
        <f aca="false">AVERAGEIFS($N$2:$N$2705,$B$2:$B$2705,B1923)</f>
        <v>13.6313228088</v>
      </c>
      <c r="P1923" s="21" t="n">
        <f aca="false">N1923-O1923</f>
        <v>0.340366412061115</v>
      </c>
      <c r="Q1923" s="7" t="n">
        <v>1</v>
      </c>
      <c r="R1923" s="3" t="n">
        <f aca="false">IF(AND(Q1923=1,B1923-_xlfn.MINIFS($B$2:$B$2705,$A$2:$A$2705,A1923)&lt;10),1,0)</f>
        <v>0</v>
      </c>
      <c r="S1923" s="7" t="n">
        <v>0</v>
      </c>
      <c r="T1923" s="3" t="n">
        <f aca="false">_xlfn.MINIFS($B$2:$B$2705,$A$2:$A$2705,A1923)</f>
        <v>1961</v>
      </c>
      <c r="U1923" s="3" t="n">
        <f aca="false">B1923-T1923</f>
        <v>38</v>
      </c>
      <c r="V1923" s="3" t="str">
        <f aca="false">INDEX(Pop_Inputs!$Q$2:$Q$29,MATCH(C1923,Pop_Inputs!$A$2:$A$29,0))</f>
        <v>South</v>
      </c>
      <c r="W1923" s="29" t="n">
        <v>76709931</v>
      </c>
      <c r="X1923" s="3" t="n">
        <f aca="false">IF(W1923="","",LN(W1923))</f>
        <v>18.1555417364435</v>
      </c>
      <c r="Y1923" s="3" t="n">
        <f aca="false">IF(X1923="","",X1923-AVERAGEIFS($X$2:$X$2705,$B$2:$B$2705,B1923))</f>
        <v>0.527104687451608</v>
      </c>
      <c r="Z1923" s="21" t="n">
        <f aca="false">P1923</f>
        <v>0.340366412061115</v>
      </c>
      <c r="AA1923" s="3" t="n">
        <f aca="false">R1923</f>
        <v>0</v>
      </c>
      <c r="AB1923" s="21" t="n">
        <f aca="false">P1923</f>
        <v>0.340366412061115</v>
      </c>
      <c r="AC1923" s="3" t="n">
        <f aca="false">Y1923</f>
        <v>0.527104687451608</v>
      </c>
      <c r="AD1923" s="3" t="n">
        <f aca="false">R1923</f>
        <v>0</v>
      </c>
    </row>
    <row r="1924" customFormat="false" ht="15" hidden="false" customHeight="true" outlineLevel="0" collapsed="false">
      <c r="A1924" s="7" t="s">
        <v>81</v>
      </c>
      <c r="B1924" s="7" t="n">
        <v>1999</v>
      </c>
      <c r="C1924" s="7" t="s">
        <v>162</v>
      </c>
      <c r="D1924" s="7" t="n">
        <v>84</v>
      </c>
      <c r="E1924" s="7" t="n">
        <v>78</v>
      </c>
      <c r="F1924" s="3" t="n">
        <f aca="false">COUNTIFS($B$2:$B$2705,B1924,$C$2:$C$2705,C1924)</f>
        <v>1</v>
      </c>
      <c r="G1924" s="3" t="n">
        <f aca="false">MIN(INT((MIN(B1924,2020)-1900)/10)+1,12)</f>
        <v>10</v>
      </c>
      <c r="H1924" s="3" t="n">
        <f aca="false">(MIN(B1924,2020)-1900-10*(G1924-1))/10</f>
        <v>0.9</v>
      </c>
      <c r="I1924" s="20" t="n">
        <f aca="false">EXP(LN(INDEX(Pop_Inputs!$B$2:$N$29,MATCH(C1924,Pop_Inputs!$A$2:$A$29,0),G1924))*(1-H1924)+LN(INDEX(Pop_Inputs!$B$2:$N$29,MATCH(C1924,Pop_Inputs!$A$2:$A$29,0),G1924+1))*H1924)</f>
        <v>2165440.65320432</v>
      </c>
      <c r="J1924" s="20" t="n">
        <f aca="false">I1924/F1924</f>
        <v>2165440.65320432</v>
      </c>
      <c r="K1924" s="21" t="n">
        <f aca="false">D1924/(D1924+E1924)</f>
        <v>0.518518518518519</v>
      </c>
      <c r="L1924" s="21" t="n">
        <f aca="false">AVERAGEIFS($K$2:$K$2705,$B$2:$B$2705,B1924)</f>
        <v>0.499857060550264</v>
      </c>
      <c r="M1924" s="21" t="n">
        <f aca="false">K1924-L1924</f>
        <v>0.0186614579682546</v>
      </c>
      <c r="N1924" s="21" t="n">
        <f aca="false">LN(J1924)</f>
        <v>14.5881344336756</v>
      </c>
      <c r="O1924" s="21" t="n">
        <f aca="false">AVERAGEIFS($N$2:$N$2705,$B$2:$B$2705,B1924)</f>
        <v>13.6313228088</v>
      </c>
      <c r="P1924" s="21" t="n">
        <f aca="false">N1924-O1924</f>
        <v>0.956811624875611</v>
      </c>
      <c r="Q1924" s="7" t="n">
        <v>1</v>
      </c>
      <c r="R1924" s="3" t="n">
        <f aca="false">IF(AND(Q1924=1,B1924-_xlfn.MINIFS($B$2:$B$2705,$A$2:$A$2705,A1924)&lt;10),1,0)</f>
        <v>0</v>
      </c>
      <c r="S1924" s="7" t="n">
        <v>0</v>
      </c>
      <c r="T1924" s="3" t="n">
        <f aca="false">_xlfn.MINIFS($B$2:$B$2705,$A$2:$A$2705,A1924)</f>
        <v>1977</v>
      </c>
      <c r="U1924" s="3" t="n">
        <f aca="false">B1924-T1924</f>
        <v>22</v>
      </c>
      <c r="V1924" s="3" t="str">
        <f aca="false">INDEX(Pop_Inputs!$Q$2:$Q$29,MATCH(C1924,Pop_Inputs!$A$2:$A$29,0))</f>
        <v>Canada</v>
      </c>
      <c r="W1924" s="29" t="n">
        <v>45444333</v>
      </c>
      <c r="X1924" s="3" t="n">
        <f aca="false">IF(W1924="","",LN(W1924))</f>
        <v>17.6319986843451</v>
      </c>
      <c r="Y1924" s="3" t="n">
        <f aca="false">IF(X1924="","",X1924-AVERAGEIFS($X$2:$X$2705,$B$2:$B$2705,B1924))</f>
        <v>0.00356163535323617</v>
      </c>
      <c r="Z1924" s="21" t="n">
        <f aca="false">P1924</f>
        <v>0.956811624875611</v>
      </c>
      <c r="AA1924" s="3" t="n">
        <f aca="false">R1924</f>
        <v>0</v>
      </c>
      <c r="AB1924" s="21" t="n">
        <f aca="false">P1924</f>
        <v>0.956811624875611</v>
      </c>
      <c r="AC1924" s="3" t="n">
        <f aca="false">Y1924</f>
        <v>0.00356163535323617</v>
      </c>
      <c r="AD1924" s="3" t="n">
        <f aca="false">R1924</f>
        <v>0</v>
      </c>
    </row>
    <row r="1925" customFormat="false" ht="15" hidden="false" customHeight="true" outlineLevel="0" collapsed="false">
      <c r="A1925" s="7" t="s">
        <v>79</v>
      </c>
      <c r="B1925" s="7" t="n">
        <v>1999</v>
      </c>
      <c r="C1925" s="7" t="s">
        <v>254</v>
      </c>
      <c r="D1925" s="7" t="n">
        <v>68</v>
      </c>
      <c r="E1925" s="7" t="n">
        <v>94</v>
      </c>
      <c r="F1925" s="3" t="n">
        <f aca="false">COUNTIFS($B$2:$B$2705,B1925,$C$2:$C$2705,C1925)</f>
        <v>1</v>
      </c>
      <c r="G1925" s="3" t="n">
        <f aca="false">MIN(INT((MIN(B1925,2020)-1900)/10)+1,12)</f>
        <v>10</v>
      </c>
      <c r="H1925" s="3" t="n">
        <f aca="false">(MIN(B1925,2020)-1900-10*(G1925-1))/10</f>
        <v>0.9</v>
      </c>
      <c r="I1925" s="20" t="n">
        <f aca="false">EXP(LN(INDEX(Pop_Inputs!$B$2:$N$29,MATCH(C1925,Pop_Inputs!$A$2:$A$29,0),G1925))*(1-H1925)+LN(INDEX(Pop_Inputs!$B$2:$N$29,MATCH(C1925,Pop_Inputs!$A$2:$A$29,0),G1925+1))*H1925)</f>
        <v>1037326.21889362</v>
      </c>
      <c r="J1925" s="20" t="n">
        <f aca="false">I1925/F1925</f>
        <v>1037326.21889362</v>
      </c>
      <c r="K1925" s="21" t="n">
        <f aca="false">D1925/(D1925+E1925)</f>
        <v>0.419753086419753</v>
      </c>
      <c r="L1925" s="21" t="n">
        <f aca="false">AVERAGEIFS($K$2:$K$2705,$B$2:$B$2705,B1925)</f>
        <v>0.499857060550264</v>
      </c>
      <c r="M1925" s="21" t="n">
        <f aca="false">K1925-L1925</f>
        <v>-0.0801039741305109</v>
      </c>
      <c r="N1925" s="21" t="n">
        <f aca="false">LN(J1925)</f>
        <v>13.8521570171958</v>
      </c>
      <c r="O1925" s="21" t="n">
        <f aca="false">AVERAGEIFS($N$2:$N$2705,$B$2:$B$2705,B1925)</f>
        <v>13.6313228088</v>
      </c>
      <c r="P1925" s="21" t="n">
        <f aca="false">N1925-O1925</f>
        <v>0.220834208395713</v>
      </c>
      <c r="Q1925" s="7" t="n">
        <v>1</v>
      </c>
      <c r="R1925" s="3" t="n">
        <f aca="false">IF(AND(Q1925=1,B1925-_xlfn.MINIFS($B$2:$B$2705,$A$2:$A$2705,A1925)&lt;10),1,0)</f>
        <v>0</v>
      </c>
      <c r="S1925" s="7" t="n">
        <v>0</v>
      </c>
      <c r="T1925" s="3" t="n">
        <f aca="false">_xlfn.MINIFS($B$2:$B$2705,$A$2:$A$2705,A1925)</f>
        <v>1969</v>
      </c>
      <c r="U1925" s="3" t="n">
        <f aca="false">B1925-T1925</f>
        <v>30</v>
      </c>
      <c r="V1925" s="3" t="str">
        <f aca="false">INDEX(Pop_Inputs!$Q$2:$Q$29,MATCH(C1925,Pop_Inputs!$A$2:$A$29,0))</f>
        <v>Canada</v>
      </c>
      <c r="W1925" s="29" t="n">
        <v>17903000</v>
      </c>
      <c r="X1925" s="3" t="n">
        <f aca="false">IF(W1925="","",LN(W1925))</f>
        <v>16.7004788545334</v>
      </c>
      <c r="Y1925" s="3" t="n">
        <f aca="false">IF(X1925="","",X1925-AVERAGEIFS($X$2:$X$2705,$B$2:$B$2705,B1925))</f>
        <v>-0.927958194458462</v>
      </c>
      <c r="Z1925" s="21" t="n">
        <f aca="false">P1925</f>
        <v>0.220834208395713</v>
      </c>
      <c r="AA1925" s="3" t="n">
        <f aca="false">R1925</f>
        <v>0</v>
      </c>
      <c r="AB1925" s="21" t="n">
        <f aca="false">P1925</f>
        <v>0.220834208395713</v>
      </c>
      <c r="AC1925" s="3" t="n">
        <f aca="false">Y1925</f>
        <v>-0.927958194458462</v>
      </c>
      <c r="AD1925" s="3" t="n">
        <f aca="false">R1925</f>
        <v>0</v>
      </c>
    </row>
    <row r="1926" customFormat="false" ht="15" hidden="false" customHeight="true" outlineLevel="0" collapsed="false">
      <c r="A1926" s="7" t="s">
        <v>71</v>
      </c>
      <c r="B1926" s="7" t="n">
        <v>2000</v>
      </c>
      <c r="C1926" s="7" t="s">
        <v>148</v>
      </c>
      <c r="D1926" s="7" t="n">
        <v>82</v>
      </c>
      <c r="E1926" s="7" t="n">
        <v>80</v>
      </c>
      <c r="F1926" s="3" t="n">
        <f aca="false">COUNTIFS($B$2:$B$2705,B1926,$C$2:$C$2705,C1926)</f>
        <v>2</v>
      </c>
      <c r="G1926" s="3" t="n">
        <f aca="false">MIN(INT((MIN(B1926,2020)-1900)/10)+1,12)</f>
        <v>11</v>
      </c>
      <c r="H1926" s="3" t="n">
        <f aca="false">(MIN(B1926,2020)-1900-10*(G1926-1))/10</f>
        <v>0</v>
      </c>
      <c r="I1926" s="20" t="n">
        <f aca="false">EXP(LN(INDEX(Pop_Inputs!$B$2:$N$29,MATCH(C1926,Pop_Inputs!$A$2:$A$29,0),G1926))*(1-H1926)+LN(INDEX(Pop_Inputs!$B$2:$N$29,MATCH(C1926,Pop_Inputs!$A$2:$A$29,0),G1926+1))*H1926)</f>
        <v>3694820</v>
      </c>
      <c r="J1926" s="20" t="n">
        <f aca="false">I1926/F1926</f>
        <v>1847410</v>
      </c>
      <c r="K1926" s="21" t="n">
        <f aca="false">D1926/(D1926+E1926)</f>
        <v>0.506172839506173</v>
      </c>
      <c r="L1926" s="21" t="n">
        <f aca="false">AVERAGEIFS($K$2:$K$2705,$B$2:$B$2705,B1926)</f>
        <v>0.500005112082407</v>
      </c>
      <c r="M1926" s="21" t="n">
        <f aca="false">K1926-L1926</f>
        <v>0.00616772742376615</v>
      </c>
      <c r="N1926" s="21" t="n">
        <f aca="false">LN(J1926)</f>
        <v>14.4292952161389</v>
      </c>
      <c r="O1926" s="21" t="n">
        <f aca="false">AVERAGEIFS($N$2:$N$2705,$B$2:$B$2705,B1926)</f>
        <v>13.639473994442</v>
      </c>
      <c r="P1926" s="21" t="n">
        <f aca="false">N1926-O1926</f>
        <v>0.789821221696872</v>
      </c>
      <c r="Q1926" s="7" t="n">
        <v>1</v>
      </c>
      <c r="R1926" s="3" t="n">
        <f aca="false">IF(AND(Q1926=1,B1926-_xlfn.MINIFS($B$2:$B$2705,$A$2:$A$2705,A1926)&lt;10),1,0)</f>
        <v>0</v>
      </c>
      <c r="S1926" s="7" t="n">
        <v>0</v>
      </c>
      <c r="T1926" s="3" t="n">
        <f aca="false">_xlfn.MINIFS($B$2:$B$2705,$A$2:$A$2705,A1926)</f>
        <v>1961</v>
      </c>
      <c r="U1926" s="3" t="n">
        <f aca="false">B1926-T1926</f>
        <v>39</v>
      </c>
      <c r="V1926" s="3" t="str">
        <f aca="false">INDEX(Pop_Inputs!$Q$2:$Q$29,MATCH(C1926,Pop_Inputs!$A$2:$A$29,0))</f>
        <v>West</v>
      </c>
      <c r="W1926" s="29" t="n">
        <v>51464167</v>
      </c>
      <c r="X1926" s="3" t="n">
        <f aca="false">IF(W1926="","",LN(W1926))</f>
        <v>17.7563963370545</v>
      </c>
      <c r="Y1926" s="3" t="n">
        <f aca="false">IF(X1926="","",X1926-AVERAGEIFS($X$2:$X$2705,$B$2:$B$2705,B1926))</f>
        <v>0.0124590691036275</v>
      </c>
      <c r="Z1926" s="21" t="n">
        <f aca="false">P1926</f>
        <v>0.789821221696872</v>
      </c>
      <c r="AA1926" s="3" t="n">
        <f aca="false">R1926</f>
        <v>0</v>
      </c>
      <c r="AB1926" s="21" t="n">
        <f aca="false">P1926</f>
        <v>0.789821221696872</v>
      </c>
      <c r="AC1926" s="3" t="n">
        <f aca="false">Y1926</f>
        <v>0.0124590691036275</v>
      </c>
      <c r="AD1926" s="3" t="n">
        <f aca="false">R1926</f>
        <v>0</v>
      </c>
    </row>
    <row r="1927" customFormat="false" ht="15" hidden="false" customHeight="true" outlineLevel="0" collapsed="false">
      <c r="A1927" s="7" t="s">
        <v>84</v>
      </c>
      <c r="B1927" s="7" t="n">
        <v>2000</v>
      </c>
      <c r="C1927" s="7" t="s">
        <v>165</v>
      </c>
      <c r="D1927" s="7" t="n">
        <v>85</v>
      </c>
      <c r="E1927" s="7" t="n">
        <v>77</v>
      </c>
      <c r="F1927" s="3" t="n">
        <f aca="false">COUNTIFS($B$2:$B$2705,B1927,$C$2:$C$2705,C1927)</f>
        <v>1</v>
      </c>
      <c r="G1927" s="3" t="n">
        <f aca="false">MIN(INT((MIN(B1927,2020)-1900)/10)+1,12)</f>
        <v>11</v>
      </c>
      <c r="H1927" s="3" t="n">
        <f aca="false">(MIN(B1927,2020)-1900-10*(G1927-1))/10</f>
        <v>0</v>
      </c>
      <c r="I1927" s="20" t="n">
        <f aca="false">EXP(LN(INDEX(Pop_Inputs!$B$2:$N$29,MATCH(C1927,Pop_Inputs!$A$2:$A$29,0),G1927))*(1-H1927)+LN(INDEX(Pop_Inputs!$B$2:$N$29,MATCH(C1927,Pop_Inputs!$A$2:$A$29,0),G1927+1))*H1927)</f>
        <v>1321045</v>
      </c>
      <c r="J1927" s="20" t="n">
        <f aca="false">I1927/F1927</f>
        <v>1321045</v>
      </c>
      <c r="K1927" s="21" t="n">
        <f aca="false">D1927/(D1927+E1927)</f>
        <v>0.524691358024691</v>
      </c>
      <c r="L1927" s="21" t="n">
        <f aca="false">AVERAGEIFS($K$2:$K$2705,$B$2:$B$2705,B1927)</f>
        <v>0.500005112082407</v>
      </c>
      <c r="M1927" s="21" t="n">
        <f aca="false">K1927-L1927</f>
        <v>0.0246862459422846</v>
      </c>
      <c r="N1927" s="21" t="n">
        <f aca="false">LN(J1927)</f>
        <v>14.0939336480265</v>
      </c>
      <c r="O1927" s="21" t="n">
        <f aca="false">AVERAGEIFS($N$2:$N$2705,$B$2:$B$2705,B1927)</f>
        <v>13.639473994442</v>
      </c>
      <c r="P1927" s="21" t="n">
        <f aca="false">N1927-O1927</f>
        <v>0.454459653584449</v>
      </c>
      <c r="Q1927" s="7" t="n">
        <v>1</v>
      </c>
      <c r="R1927" s="3" t="n">
        <f aca="false">IF(AND(Q1927=1,B1927-_xlfn.MINIFS($B$2:$B$2705,$A$2:$A$2705,A1927)&lt;10),1,0)</f>
        <v>1</v>
      </c>
      <c r="S1927" s="7" t="n">
        <v>0</v>
      </c>
      <c r="T1927" s="3" t="n">
        <f aca="false">_xlfn.MINIFS($B$2:$B$2705,$A$2:$A$2705,A1927)</f>
        <v>1998</v>
      </c>
      <c r="U1927" s="3" t="n">
        <f aca="false">B1927-T1927</f>
        <v>2</v>
      </c>
      <c r="V1927" s="3" t="str">
        <f aca="false">INDEX(Pop_Inputs!$Q$2:$Q$29,MATCH(C1927,Pop_Inputs!$A$2:$A$29,0))</f>
        <v>West</v>
      </c>
      <c r="W1927" s="29" t="n">
        <v>81027833</v>
      </c>
      <c r="X1927" s="3" t="n">
        <f aca="false">IF(W1927="","",LN(W1927))</f>
        <v>18.2103032708978</v>
      </c>
      <c r="Y1927" s="3" t="n">
        <f aca="false">IF(X1927="","",X1927-AVERAGEIFS($X$2:$X$2705,$B$2:$B$2705,B1927))</f>
        <v>0.466366002946895</v>
      </c>
      <c r="Z1927" s="21" t="n">
        <f aca="false">P1927</f>
        <v>0.454459653584449</v>
      </c>
      <c r="AA1927" s="3" t="n">
        <f aca="false">R1927</f>
        <v>1</v>
      </c>
      <c r="AB1927" s="21" t="n">
        <f aca="false">P1927</f>
        <v>0.454459653584449</v>
      </c>
      <c r="AC1927" s="3" t="n">
        <f aca="false">Y1927</f>
        <v>0.466366002946895</v>
      </c>
      <c r="AD1927" s="3" t="n">
        <f aca="false">R1927</f>
        <v>1</v>
      </c>
    </row>
    <row r="1928" customFormat="false" ht="15" hidden="false" customHeight="true" outlineLevel="0" collapsed="false">
      <c r="A1928" s="7" t="s">
        <v>54</v>
      </c>
      <c r="B1928" s="7" t="n">
        <v>2000</v>
      </c>
      <c r="C1928" s="7" t="s">
        <v>141</v>
      </c>
      <c r="D1928" s="7" t="n">
        <v>95</v>
      </c>
      <c r="E1928" s="7" t="n">
        <v>67</v>
      </c>
      <c r="F1928" s="3" t="n">
        <f aca="false">COUNTIFS($B$2:$B$2705,B1928,$C$2:$C$2705,C1928)</f>
        <v>1</v>
      </c>
      <c r="G1928" s="3" t="n">
        <f aca="false">MIN(INT((MIN(B1928,2020)-1900)/10)+1,12)</f>
        <v>11</v>
      </c>
      <c r="H1928" s="3" t="n">
        <f aca="false">(MIN(B1928,2020)-1900-10*(G1928-1))/10</f>
        <v>0</v>
      </c>
      <c r="I1928" s="20" t="n">
        <f aca="false">EXP(LN(INDEX(Pop_Inputs!$B$2:$N$29,MATCH(C1928,Pop_Inputs!$A$2:$A$29,0),G1928))*(1-H1928)+LN(INDEX(Pop_Inputs!$B$2:$N$29,MATCH(C1928,Pop_Inputs!$A$2:$A$29,0),G1928+1))*H1928)</f>
        <v>416474</v>
      </c>
      <c r="J1928" s="20" t="n">
        <f aca="false">I1928/F1928</f>
        <v>416474</v>
      </c>
      <c r="K1928" s="21" t="n">
        <f aca="false">D1928/(D1928+E1928)</f>
        <v>0.58641975308642</v>
      </c>
      <c r="L1928" s="21" t="n">
        <f aca="false">AVERAGEIFS($K$2:$K$2705,$B$2:$B$2705,B1928)</f>
        <v>0.500005112082407</v>
      </c>
      <c r="M1928" s="21" t="n">
        <f aca="false">K1928-L1928</f>
        <v>0.0864146410040131</v>
      </c>
      <c r="N1928" s="21" t="n">
        <f aca="false">LN(J1928)</f>
        <v>12.9395793136705</v>
      </c>
      <c r="O1928" s="21" t="n">
        <f aca="false">AVERAGEIFS($N$2:$N$2705,$B$2:$B$2705,B1928)</f>
        <v>13.639473994442</v>
      </c>
      <c r="P1928" s="21" t="n">
        <f aca="false">N1928-O1928</f>
        <v>-0.699894680771481</v>
      </c>
      <c r="Q1928" s="7" t="n">
        <v>0</v>
      </c>
      <c r="R1928" s="3" t="n">
        <f aca="false">IF(AND(Q1928=1,B1928-_xlfn.MINIFS($B$2:$B$2705,$A$2:$A$2705,A1928)&lt;10),1,0)</f>
        <v>0</v>
      </c>
      <c r="S1928" s="7" t="n">
        <v>0</v>
      </c>
      <c r="T1928" s="3" t="n">
        <f aca="false">_xlfn.MINIFS($B$2:$B$2705,$A$2:$A$2705,A1928)</f>
        <v>1901</v>
      </c>
      <c r="U1928" s="3" t="n">
        <f aca="false">B1928-T1928</f>
        <v>99</v>
      </c>
      <c r="V1928" s="3" t="str">
        <f aca="false">INDEX(Pop_Inputs!$Q$2:$Q$29,MATCH(C1928,Pop_Inputs!$A$2:$A$29,0))</f>
        <v>South</v>
      </c>
      <c r="W1928" s="29" t="n">
        <v>84537836</v>
      </c>
      <c r="X1928" s="3" t="n">
        <f aca="false">IF(W1928="","",LN(W1928))</f>
        <v>18.2527097554249</v>
      </c>
      <c r="Y1928" s="3" t="n">
        <f aca="false">IF(X1928="","",X1928-AVERAGEIFS($X$2:$X$2705,$B$2:$B$2705,B1928))</f>
        <v>0.508772487474065</v>
      </c>
      <c r="Z1928" s="21" t="n">
        <f aca="false">P1928</f>
        <v>-0.699894680771481</v>
      </c>
      <c r="AA1928" s="3" t="n">
        <f aca="false">R1928</f>
        <v>0</v>
      </c>
      <c r="AB1928" s="21" t="n">
        <f aca="false">P1928</f>
        <v>-0.699894680771481</v>
      </c>
      <c r="AC1928" s="3" t="n">
        <f aca="false">Y1928</f>
        <v>0.508772487474065</v>
      </c>
      <c r="AD1928" s="3" t="n">
        <f aca="false">R1928</f>
        <v>0</v>
      </c>
    </row>
    <row r="1929" customFormat="false" ht="15" hidden="false" customHeight="true" outlineLevel="0" collapsed="false">
      <c r="A1929" s="7" t="s">
        <v>63</v>
      </c>
      <c r="B1929" s="7" t="n">
        <v>2000</v>
      </c>
      <c r="C1929" s="7" t="s">
        <v>149</v>
      </c>
      <c r="D1929" s="7" t="n">
        <v>74</v>
      </c>
      <c r="E1929" s="7" t="n">
        <v>88</v>
      </c>
      <c r="F1929" s="3" t="n">
        <f aca="false">COUNTIFS($B$2:$B$2705,B1929,$C$2:$C$2705,C1929)</f>
        <v>1</v>
      </c>
      <c r="G1929" s="3" t="n">
        <f aca="false">MIN(INT((MIN(B1929,2020)-1900)/10)+1,12)</f>
        <v>11</v>
      </c>
      <c r="H1929" s="3" t="n">
        <f aca="false">(MIN(B1929,2020)-1900-10*(G1929-1))/10</f>
        <v>0</v>
      </c>
      <c r="I1929" s="20" t="n">
        <f aca="false">EXP(LN(INDEX(Pop_Inputs!$B$2:$N$29,MATCH(C1929,Pop_Inputs!$A$2:$A$29,0),G1929))*(1-H1929)+LN(INDEX(Pop_Inputs!$B$2:$N$29,MATCH(C1929,Pop_Inputs!$A$2:$A$29,0),G1929+1))*H1929)</f>
        <v>651154</v>
      </c>
      <c r="J1929" s="20" t="n">
        <f aca="false">I1929/F1929</f>
        <v>651154</v>
      </c>
      <c r="K1929" s="21" t="n">
        <f aca="false">D1929/(D1929+E1929)</f>
        <v>0.45679012345679</v>
      </c>
      <c r="L1929" s="21" t="n">
        <f aca="false">AVERAGEIFS($K$2:$K$2705,$B$2:$B$2705,B1929)</f>
        <v>0.500005112082407</v>
      </c>
      <c r="M1929" s="21" t="n">
        <f aca="false">K1929-L1929</f>
        <v>-0.0432149886256166</v>
      </c>
      <c r="N1929" s="21" t="n">
        <f aca="false">LN(J1929)</f>
        <v>13.3865014523548</v>
      </c>
      <c r="O1929" s="21" t="n">
        <f aca="false">AVERAGEIFS($N$2:$N$2705,$B$2:$B$2705,B1929)</f>
        <v>13.639473994442</v>
      </c>
      <c r="P1929" s="21" t="n">
        <f aca="false">N1929-O1929</f>
        <v>-0.252972542087218</v>
      </c>
      <c r="Q1929" s="7" t="n">
        <v>0</v>
      </c>
      <c r="R1929" s="3" t="n">
        <f aca="false">IF(AND(Q1929=1,B1929-_xlfn.MINIFS($B$2:$B$2705,$A$2:$A$2705,A1929)&lt;10),1,0)</f>
        <v>0</v>
      </c>
      <c r="S1929" s="7" t="n">
        <v>0</v>
      </c>
      <c r="T1929" s="3" t="n">
        <f aca="false">_xlfn.MINIFS($B$2:$B$2705,$A$2:$A$2705,A1929)</f>
        <v>1901</v>
      </c>
      <c r="U1929" s="3" t="n">
        <f aca="false">B1929-T1929</f>
        <v>99</v>
      </c>
      <c r="V1929" s="3" t="str">
        <f aca="false">INDEX(Pop_Inputs!$Q$2:$Q$29,MATCH(C1929,Pop_Inputs!$A$2:$A$29,0))</f>
        <v>South</v>
      </c>
      <c r="W1929" s="29" t="n">
        <v>81447435</v>
      </c>
      <c r="X1929" s="3" t="n">
        <f aca="false">IF(W1929="","",LN(W1929))</f>
        <v>18.2154684008037</v>
      </c>
      <c r="Y1929" s="3" t="n">
        <f aca="false">IF(X1929="","",X1929-AVERAGEIFS($X$2:$X$2705,$B$2:$B$2705,B1929))</f>
        <v>0.471531132852878</v>
      </c>
      <c r="Z1929" s="21" t="n">
        <f aca="false">P1929</f>
        <v>-0.252972542087218</v>
      </c>
      <c r="AA1929" s="3" t="n">
        <f aca="false">R1929</f>
        <v>0</v>
      </c>
      <c r="AB1929" s="21" t="n">
        <f aca="false">P1929</f>
        <v>-0.252972542087218</v>
      </c>
      <c r="AC1929" s="3" t="n">
        <f aca="false">Y1929</f>
        <v>0.471531132852878</v>
      </c>
      <c r="AD1929" s="3" t="n">
        <f aca="false">R1929</f>
        <v>0</v>
      </c>
    </row>
    <row r="1930" customFormat="false" ht="15" hidden="false" customHeight="true" outlineLevel="0" collapsed="false">
      <c r="A1930" s="7" t="s">
        <v>64</v>
      </c>
      <c r="B1930" s="7" t="n">
        <v>2000</v>
      </c>
      <c r="C1930" s="7" t="s">
        <v>150</v>
      </c>
      <c r="D1930" s="7" t="n">
        <v>85</v>
      </c>
      <c r="E1930" s="7" t="n">
        <v>77</v>
      </c>
      <c r="F1930" s="3" t="n">
        <f aca="false">COUNTIFS($B$2:$B$2705,B1930,$C$2:$C$2705,C1930)</f>
        <v>1</v>
      </c>
      <c r="G1930" s="3" t="n">
        <f aca="false">MIN(INT((MIN(B1930,2020)-1900)/10)+1,12)</f>
        <v>11</v>
      </c>
      <c r="H1930" s="3" t="n">
        <f aca="false">(MIN(B1930,2020)-1900-10*(G1930-1))/10</f>
        <v>0</v>
      </c>
      <c r="I1930" s="20" t="n">
        <f aca="false">EXP(LN(INDEX(Pop_Inputs!$B$2:$N$29,MATCH(C1930,Pop_Inputs!$A$2:$A$29,0),G1930))*(1-H1930)+LN(INDEX(Pop_Inputs!$B$2:$N$29,MATCH(C1930,Pop_Inputs!$A$2:$A$29,0),G1930+1))*H1930)</f>
        <v>589141</v>
      </c>
      <c r="J1930" s="20" t="n">
        <f aca="false">I1930/F1930</f>
        <v>589141</v>
      </c>
      <c r="K1930" s="21" t="n">
        <f aca="false">D1930/(D1930+E1930)</f>
        <v>0.524691358024691</v>
      </c>
      <c r="L1930" s="21" t="n">
        <f aca="false">AVERAGEIFS($K$2:$K$2705,$B$2:$B$2705,B1930)</f>
        <v>0.500005112082407</v>
      </c>
      <c r="M1930" s="21" t="n">
        <f aca="false">K1930-L1930</f>
        <v>0.0246862459422846</v>
      </c>
      <c r="N1930" s="21" t="n">
        <f aca="false">LN(J1930)</f>
        <v>13.2864208227794</v>
      </c>
      <c r="O1930" s="21" t="n">
        <f aca="false">AVERAGEIFS($N$2:$N$2705,$B$2:$B$2705,B1930)</f>
        <v>13.639473994442</v>
      </c>
      <c r="P1930" s="21" t="n">
        <f aca="false">N1930-O1930</f>
        <v>-0.353053171662641</v>
      </c>
      <c r="Q1930" s="7" t="n">
        <v>0</v>
      </c>
      <c r="R1930" s="3" t="n">
        <f aca="false">IF(AND(Q1930=1,B1930-_xlfn.MINIFS($B$2:$B$2705,$A$2:$A$2705,A1930)&lt;10),1,0)</f>
        <v>0</v>
      </c>
      <c r="S1930" s="7" t="n">
        <v>0</v>
      </c>
      <c r="T1930" s="3" t="n">
        <f aca="false">_xlfn.MINIFS($B$2:$B$2705,$A$2:$A$2705,A1930)</f>
        <v>1901</v>
      </c>
      <c r="U1930" s="3" t="n">
        <f aca="false">B1930-T1930</f>
        <v>99</v>
      </c>
      <c r="V1930" s="3" t="str">
        <f aca="false">INDEX(Pop_Inputs!$Q$2:$Q$29,MATCH(C1930,Pop_Inputs!$A$2:$A$29,0))</f>
        <v>Northeast</v>
      </c>
      <c r="W1930" s="29" t="n">
        <v>77940333</v>
      </c>
      <c r="X1930" s="3" t="n">
        <f aca="false">IF(W1930="","",LN(W1930))</f>
        <v>18.171454130383</v>
      </c>
      <c r="Y1930" s="3" t="n">
        <f aca="false">IF(X1930="","",X1930-AVERAGEIFS($X$2:$X$2705,$B$2:$B$2705,B1930))</f>
        <v>0.42751686243216</v>
      </c>
      <c r="Z1930" s="21" t="n">
        <f aca="false">P1930</f>
        <v>-0.353053171662641</v>
      </c>
      <c r="AA1930" s="3" t="n">
        <f aca="false">R1930</f>
        <v>0</v>
      </c>
      <c r="AB1930" s="21" t="n">
        <f aca="false">P1930</f>
        <v>-0.353053171662641</v>
      </c>
      <c r="AC1930" s="3" t="n">
        <f aca="false">Y1930</f>
        <v>0.42751686243216</v>
      </c>
      <c r="AD1930" s="3" t="n">
        <f aca="false">R1930</f>
        <v>0</v>
      </c>
    </row>
    <row r="1931" customFormat="false" ht="15" hidden="false" customHeight="true" outlineLevel="0" collapsed="false">
      <c r="A1931" s="7" t="s">
        <v>56</v>
      </c>
      <c r="B1931" s="7" t="n">
        <v>2000</v>
      </c>
      <c r="C1931" s="7" t="s">
        <v>142</v>
      </c>
      <c r="D1931" s="7" t="n">
        <v>65</v>
      </c>
      <c r="E1931" s="7" t="n">
        <v>97</v>
      </c>
      <c r="F1931" s="3" t="n">
        <f aca="false">COUNTIFS($B$2:$B$2705,B1931,$C$2:$C$2705,C1931)</f>
        <v>2</v>
      </c>
      <c r="G1931" s="3" t="n">
        <f aca="false">MIN(INT((MIN(B1931,2020)-1900)/10)+1,12)</f>
        <v>11</v>
      </c>
      <c r="H1931" s="3" t="n">
        <f aca="false">(MIN(B1931,2020)-1900-10*(G1931-1))/10</f>
        <v>0</v>
      </c>
      <c r="I1931" s="20" t="n">
        <f aca="false">EXP(LN(INDEX(Pop_Inputs!$B$2:$N$29,MATCH(C1931,Pop_Inputs!$A$2:$A$29,0),G1931))*(1-H1931)+LN(INDEX(Pop_Inputs!$B$2:$N$29,MATCH(C1931,Pop_Inputs!$A$2:$A$29,0),G1931+1))*H1931)</f>
        <v>2896016</v>
      </c>
      <c r="J1931" s="20" t="n">
        <f aca="false">I1931/F1931</f>
        <v>1448008</v>
      </c>
      <c r="K1931" s="21" t="n">
        <f aca="false">D1931/(D1931+E1931)</f>
        <v>0.401234567901235</v>
      </c>
      <c r="L1931" s="21" t="n">
        <f aca="false">AVERAGEIFS($K$2:$K$2705,$B$2:$B$2705,B1931)</f>
        <v>0.500005112082407</v>
      </c>
      <c r="M1931" s="21" t="n">
        <f aca="false">K1931-L1931</f>
        <v>-0.0987705441811722</v>
      </c>
      <c r="N1931" s="21" t="n">
        <f aca="false">LN(J1931)</f>
        <v>14.1856993767744</v>
      </c>
      <c r="O1931" s="21" t="n">
        <f aca="false">AVERAGEIFS($N$2:$N$2705,$B$2:$B$2705,B1931)</f>
        <v>13.639473994442</v>
      </c>
      <c r="P1931" s="21" t="n">
        <f aca="false">N1931-O1931</f>
        <v>0.546225382332409</v>
      </c>
      <c r="Q1931" s="7" t="n">
        <v>0</v>
      </c>
      <c r="R1931" s="3" t="n">
        <f aca="false">IF(AND(Q1931=1,B1931-_xlfn.MINIFS($B$2:$B$2705,$A$2:$A$2705,A1931)&lt;10),1,0)</f>
        <v>0</v>
      </c>
      <c r="S1931" s="7" t="n">
        <v>0</v>
      </c>
      <c r="T1931" s="3" t="n">
        <f aca="false">_xlfn.MINIFS($B$2:$B$2705,$A$2:$A$2705,A1931)</f>
        <v>1901</v>
      </c>
      <c r="U1931" s="3" t="n">
        <f aca="false">B1931-T1931</f>
        <v>99</v>
      </c>
      <c r="V1931" s="3" t="str">
        <f aca="false">INDEX(Pop_Inputs!$Q$2:$Q$29,MATCH(C1931,Pop_Inputs!$A$2:$A$29,0))</f>
        <v>Midwest</v>
      </c>
      <c r="W1931" s="29" t="n">
        <v>60539333</v>
      </c>
      <c r="X1931" s="3" t="n">
        <f aca="false">IF(W1931="","",LN(W1931))</f>
        <v>17.9188038439881</v>
      </c>
      <c r="Y1931" s="3" t="n">
        <f aca="false">IF(X1931="","",X1931-AVERAGEIFS($X$2:$X$2705,$B$2:$B$2705,B1931))</f>
        <v>0.1748665760372</v>
      </c>
      <c r="Z1931" s="21" t="n">
        <f aca="false">P1931</f>
        <v>0.546225382332409</v>
      </c>
      <c r="AA1931" s="3" t="n">
        <f aca="false">R1931</f>
        <v>0</v>
      </c>
      <c r="AB1931" s="21" t="n">
        <f aca="false">P1931</f>
        <v>0.546225382332409</v>
      </c>
      <c r="AC1931" s="3" t="n">
        <f aca="false">Y1931</f>
        <v>0.1748665760372</v>
      </c>
      <c r="AD1931" s="3" t="n">
        <f aca="false">R1931</f>
        <v>0</v>
      </c>
    </row>
    <row r="1932" customFormat="false" ht="15" hidden="false" customHeight="true" outlineLevel="0" collapsed="false">
      <c r="A1932" s="7" t="s">
        <v>65</v>
      </c>
      <c r="B1932" s="7" t="n">
        <v>2000</v>
      </c>
      <c r="C1932" s="7" t="s">
        <v>142</v>
      </c>
      <c r="D1932" s="7" t="n">
        <v>95</v>
      </c>
      <c r="E1932" s="7" t="n">
        <v>67</v>
      </c>
      <c r="F1932" s="3" t="n">
        <f aca="false">COUNTIFS($B$2:$B$2705,B1932,$C$2:$C$2705,C1932)</f>
        <v>2</v>
      </c>
      <c r="G1932" s="3" t="n">
        <f aca="false">MIN(INT((MIN(B1932,2020)-1900)/10)+1,12)</f>
        <v>11</v>
      </c>
      <c r="H1932" s="3" t="n">
        <f aca="false">(MIN(B1932,2020)-1900-10*(G1932-1))/10</f>
        <v>0</v>
      </c>
      <c r="I1932" s="20" t="n">
        <f aca="false">EXP(LN(INDEX(Pop_Inputs!$B$2:$N$29,MATCH(C1932,Pop_Inputs!$A$2:$A$29,0),G1932))*(1-H1932)+LN(INDEX(Pop_Inputs!$B$2:$N$29,MATCH(C1932,Pop_Inputs!$A$2:$A$29,0),G1932+1))*H1932)</f>
        <v>2896016</v>
      </c>
      <c r="J1932" s="20" t="n">
        <f aca="false">I1932/F1932</f>
        <v>1448008</v>
      </c>
      <c r="K1932" s="21" t="n">
        <f aca="false">D1932/(D1932+E1932)</f>
        <v>0.58641975308642</v>
      </c>
      <c r="L1932" s="21" t="n">
        <f aca="false">AVERAGEIFS($K$2:$K$2705,$B$2:$B$2705,B1932)</f>
        <v>0.500005112082407</v>
      </c>
      <c r="M1932" s="21" t="n">
        <f aca="false">K1932-L1932</f>
        <v>0.0864146410040131</v>
      </c>
      <c r="N1932" s="21" t="n">
        <f aca="false">LN(J1932)</f>
        <v>14.1856993767744</v>
      </c>
      <c r="O1932" s="21" t="n">
        <f aca="false">AVERAGEIFS($N$2:$N$2705,$B$2:$B$2705,B1932)</f>
        <v>13.639473994442</v>
      </c>
      <c r="P1932" s="21" t="n">
        <f aca="false">N1932-O1932</f>
        <v>0.546225382332409</v>
      </c>
      <c r="Q1932" s="7" t="n">
        <v>0</v>
      </c>
      <c r="R1932" s="3" t="n">
        <f aca="false">IF(AND(Q1932=1,B1932-_xlfn.MINIFS($B$2:$B$2705,$A$2:$A$2705,A1932)&lt;10),1,0)</f>
        <v>0</v>
      </c>
      <c r="S1932" s="7" t="n">
        <v>0</v>
      </c>
      <c r="T1932" s="3" t="n">
        <f aca="false">_xlfn.MINIFS($B$2:$B$2705,$A$2:$A$2705,A1932)</f>
        <v>1901</v>
      </c>
      <c r="U1932" s="3" t="n">
        <f aca="false">B1932-T1932</f>
        <v>99</v>
      </c>
      <c r="V1932" s="3" t="str">
        <f aca="false">INDEX(Pop_Inputs!$Q$2:$Q$29,MATCH(C1932,Pop_Inputs!$A$2:$A$29,0))</f>
        <v>Midwest</v>
      </c>
      <c r="W1932" s="29" t="n">
        <v>31133500</v>
      </c>
      <c r="X1932" s="3" t="n">
        <f aca="false">IF(W1932="","",LN(W1932))</f>
        <v>17.2537949678357</v>
      </c>
      <c r="Y1932" s="3" t="n">
        <f aca="false">IF(X1932="","",X1932-AVERAGEIFS($X$2:$X$2705,$B$2:$B$2705,B1932))</f>
        <v>-0.490142300115178</v>
      </c>
      <c r="Z1932" s="21" t="n">
        <f aca="false">P1932</f>
        <v>0.546225382332409</v>
      </c>
      <c r="AA1932" s="3" t="n">
        <f aca="false">R1932</f>
        <v>0</v>
      </c>
      <c r="AB1932" s="21" t="n">
        <f aca="false">P1932</f>
        <v>0.546225382332409</v>
      </c>
      <c r="AC1932" s="3" t="n">
        <f aca="false">Y1932</f>
        <v>-0.490142300115178</v>
      </c>
      <c r="AD1932" s="3" t="n">
        <f aca="false">R1932</f>
        <v>0</v>
      </c>
    </row>
    <row r="1933" customFormat="false" ht="15" hidden="false" customHeight="true" outlineLevel="0" collapsed="false">
      <c r="A1933" s="7" t="s">
        <v>57</v>
      </c>
      <c r="B1933" s="7" t="n">
        <v>2000</v>
      </c>
      <c r="C1933" s="7" t="s">
        <v>143</v>
      </c>
      <c r="D1933" s="7" t="n">
        <v>85</v>
      </c>
      <c r="E1933" s="7" t="n">
        <v>77</v>
      </c>
      <c r="F1933" s="3" t="n">
        <f aca="false">COUNTIFS($B$2:$B$2705,B1933,$C$2:$C$2705,C1933)</f>
        <v>1</v>
      </c>
      <c r="G1933" s="3" t="n">
        <f aca="false">MIN(INT((MIN(B1933,2020)-1900)/10)+1,12)</f>
        <v>11</v>
      </c>
      <c r="H1933" s="3" t="n">
        <f aca="false">(MIN(B1933,2020)-1900-10*(G1933-1))/10</f>
        <v>0</v>
      </c>
      <c r="I1933" s="20" t="n">
        <f aca="false">EXP(LN(INDEX(Pop_Inputs!$B$2:$N$29,MATCH(C1933,Pop_Inputs!$A$2:$A$29,0),G1933))*(1-H1933)+LN(INDEX(Pop_Inputs!$B$2:$N$29,MATCH(C1933,Pop_Inputs!$A$2:$A$29,0),G1933+1))*H1933)</f>
        <v>331285</v>
      </c>
      <c r="J1933" s="20" t="n">
        <f aca="false">I1933/F1933</f>
        <v>331285</v>
      </c>
      <c r="K1933" s="21" t="n">
        <f aca="false">D1933/(D1933+E1933)</f>
        <v>0.524691358024691</v>
      </c>
      <c r="L1933" s="21" t="n">
        <f aca="false">AVERAGEIFS($K$2:$K$2705,$B$2:$B$2705,B1933)</f>
        <v>0.500005112082407</v>
      </c>
      <c r="M1933" s="21" t="n">
        <f aca="false">K1933-L1933</f>
        <v>0.0246862459422846</v>
      </c>
      <c r="N1933" s="21" t="n">
        <f aca="false">LN(J1933)</f>
        <v>12.7107343110783</v>
      </c>
      <c r="O1933" s="21" t="n">
        <f aca="false">AVERAGEIFS($N$2:$N$2705,$B$2:$B$2705,B1933)</f>
        <v>13.639473994442</v>
      </c>
      <c r="P1933" s="21" t="n">
        <f aca="false">N1933-O1933</f>
        <v>-0.928739683363745</v>
      </c>
      <c r="Q1933" s="7" t="n">
        <v>0</v>
      </c>
      <c r="R1933" s="3" t="n">
        <f aca="false">IF(AND(Q1933=1,B1933-_xlfn.MINIFS($B$2:$B$2705,$A$2:$A$2705,A1933)&lt;10),1,0)</f>
        <v>0</v>
      </c>
      <c r="S1933" s="7" t="n">
        <v>0</v>
      </c>
      <c r="T1933" s="3" t="n">
        <f aca="false">_xlfn.MINIFS($B$2:$B$2705,$A$2:$A$2705,A1933)</f>
        <v>1901</v>
      </c>
      <c r="U1933" s="3" t="n">
        <f aca="false">B1933-T1933</f>
        <v>99</v>
      </c>
      <c r="V1933" s="3" t="str">
        <f aca="false">INDEX(Pop_Inputs!$Q$2:$Q$29,MATCH(C1933,Pop_Inputs!$A$2:$A$29,0))</f>
        <v>Midwest</v>
      </c>
      <c r="W1933" s="29" t="n">
        <v>46867200</v>
      </c>
      <c r="X1933" s="3" t="n">
        <f aca="false">IF(W1933="","",LN(W1933))</f>
        <v>17.6628286284088</v>
      </c>
      <c r="Y1933" s="3" t="n">
        <f aca="false">IF(X1933="","",X1933-AVERAGEIFS($X$2:$X$2705,$B$2:$B$2705,B1933))</f>
        <v>-0.0811086395420375</v>
      </c>
      <c r="Z1933" s="21" t="n">
        <f aca="false">P1933</f>
        <v>-0.928739683363745</v>
      </c>
      <c r="AA1933" s="3" t="n">
        <f aca="false">R1933</f>
        <v>0</v>
      </c>
      <c r="AB1933" s="21" t="n">
        <f aca="false">P1933</f>
        <v>-0.928739683363745</v>
      </c>
      <c r="AC1933" s="3" t="n">
        <f aca="false">Y1933</f>
        <v>-0.0811086395420375</v>
      </c>
      <c r="AD1933" s="3" t="n">
        <f aca="false">R1933</f>
        <v>0</v>
      </c>
    </row>
    <row r="1934" customFormat="false" ht="15" hidden="false" customHeight="true" outlineLevel="0" collapsed="false">
      <c r="A1934" s="7" t="s">
        <v>66</v>
      </c>
      <c r="B1934" s="7" t="n">
        <v>2000</v>
      </c>
      <c r="C1934" s="7" t="s">
        <v>151</v>
      </c>
      <c r="D1934" s="7" t="n">
        <v>90</v>
      </c>
      <c r="E1934" s="7" t="n">
        <v>72</v>
      </c>
      <c r="F1934" s="3" t="n">
        <f aca="false">COUNTIFS($B$2:$B$2705,B1934,$C$2:$C$2705,C1934)</f>
        <v>1</v>
      </c>
      <c r="G1934" s="3" t="n">
        <f aca="false">MIN(INT((MIN(B1934,2020)-1900)/10)+1,12)</f>
        <v>11</v>
      </c>
      <c r="H1934" s="3" t="n">
        <f aca="false">(MIN(B1934,2020)-1900-10*(G1934-1))/10</f>
        <v>0</v>
      </c>
      <c r="I1934" s="20" t="n">
        <f aca="false">EXP(LN(INDEX(Pop_Inputs!$B$2:$N$29,MATCH(C1934,Pop_Inputs!$A$2:$A$29,0),G1934))*(1-H1934)+LN(INDEX(Pop_Inputs!$B$2:$N$29,MATCH(C1934,Pop_Inputs!$A$2:$A$29,0),G1934+1))*H1934)</f>
        <v>478403</v>
      </c>
      <c r="J1934" s="20" t="n">
        <f aca="false">I1934/F1934</f>
        <v>478403</v>
      </c>
      <c r="K1934" s="21" t="n">
        <f aca="false">D1934/(D1934+E1934)</f>
        <v>0.555555555555556</v>
      </c>
      <c r="L1934" s="21" t="n">
        <f aca="false">AVERAGEIFS($K$2:$K$2705,$B$2:$B$2705,B1934)</f>
        <v>0.500005112082407</v>
      </c>
      <c r="M1934" s="21" t="n">
        <f aca="false">K1934-L1934</f>
        <v>0.0555504434731489</v>
      </c>
      <c r="N1934" s="21" t="n">
        <f aca="false">LN(J1934)</f>
        <v>13.0782087525019</v>
      </c>
      <c r="O1934" s="21" t="n">
        <f aca="false">AVERAGEIFS($N$2:$N$2705,$B$2:$B$2705,B1934)</f>
        <v>13.639473994442</v>
      </c>
      <c r="P1934" s="21" t="n">
        <f aca="false">N1934-O1934</f>
        <v>-0.561265241940101</v>
      </c>
      <c r="Q1934" s="7" t="n">
        <v>0</v>
      </c>
      <c r="R1934" s="3" t="n">
        <f aca="false">IF(AND(Q1934=1,B1934-_xlfn.MINIFS($B$2:$B$2705,$A$2:$A$2705,A1934)&lt;10),1,0)</f>
        <v>0</v>
      </c>
      <c r="S1934" s="7" t="n">
        <v>0</v>
      </c>
      <c r="T1934" s="3" t="n">
        <f aca="false">_xlfn.MINIFS($B$2:$B$2705,$A$2:$A$2705,A1934)</f>
        <v>1901</v>
      </c>
      <c r="U1934" s="3" t="n">
        <f aca="false">B1934-T1934</f>
        <v>99</v>
      </c>
      <c r="V1934" s="3" t="str">
        <f aca="false">INDEX(Pop_Inputs!$Q$2:$Q$29,MATCH(C1934,Pop_Inputs!$A$2:$A$29,0))</f>
        <v>Midwest</v>
      </c>
      <c r="W1934" s="29" t="n">
        <v>75880771</v>
      </c>
      <c r="X1934" s="3" t="n">
        <f aca="false">IF(W1934="","",LN(W1934))</f>
        <v>18.1446738637596</v>
      </c>
      <c r="Y1934" s="3" t="n">
        <f aca="false">IF(X1934="","",X1934-AVERAGEIFS($X$2:$X$2705,$B$2:$B$2705,B1934))</f>
        <v>0.400736595808777</v>
      </c>
      <c r="Z1934" s="21" t="n">
        <f aca="false">P1934</f>
        <v>-0.561265241940101</v>
      </c>
      <c r="AA1934" s="3" t="n">
        <f aca="false">R1934</f>
        <v>0</v>
      </c>
      <c r="AB1934" s="21" t="n">
        <f aca="false">P1934</f>
        <v>-0.561265241940101</v>
      </c>
      <c r="AC1934" s="3" t="n">
        <f aca="false">Y1934</f>
        <v>0.400736595808777</v>
      </c>
      <c r="AD1934" s="3" t="n">
        <f aca="false">R1934</f>
        <v>0</v>
      </c>
    </row>
    <row r="1935" customFormat="false" ht="15" hidden="false" customHeight="true" outlineLevel="0" collapsed="false">
      <c r="A1935" s="7" t="s">
        <v>82</v>
      </c>
      <c r="B1935" s="7" t="n">
        <v>2000</v>
      </c>
      <c r="C1935" s="7" t="s">
        <v>163</v>
      </c>
      <c r="D1935" s="7" t="n">
        <v>82</v>
      </c>
      <c r="E1935" s="7" t="n">
        <v>80</v>
      </c>
      <c r="F1935" s="3" t="n">
        <f aca="false">COUNTIFS($B$2:$B$2705,B1935,$C$2:$C$2705,C1935)</f>
        <v>1</v>
      </c>
      <c r="G1935" s="3" t="n">
        <f aca="false">MIN(INT((MIN(B1935,2020)-1900)/10)+1,12)</f>
        <v>11</v>
      </c>
      <c r="H1935" s="3" t="n">
        <f aca="false">(MIN(B1935,2020)-1900-10*(G1935-1))/10</f>
        <v>0</v>
      </c>
      <c r="I1935" s="20" t="n">
        <f aca="false">EXP(LN(INDEX(Pop_Inputs!$B$2:$N$29,MATCH(C1935,Pop_Inputs!$A$2:$A$29,0),G1935))*(1-H1935)+LN(INDEX(Pop_Inputs!$B$2:$N$29,MATCH(C1935,Pop_Inputs!$A$2:$A$29,0),G1935+1))*H1935)</f>
        <v>554636.000000001</v>
      </c>
      <c r="J1935" s="20" t="n">
        <f aca="false">I1935/F1935</f>
        <v>554636.000000001</v>
      </c>
      <c r="K1935" s="21" t="n">
        <f aca="false">D1935/(D1935+E1935)</f>
        <v>0.506172839506173</v>
      </c>
      <c r="L1935" s="21" t="n">
        <f aca="false">AVERAGEIFS($K$2:$K$2705,$B$2:$B$2705,B1935)</f>
        <v>0.500005112082407</v>
      </c>
      <c r="M1935" s="21" t="n">
        <f aca="false">K1935-L1935</f>
        <v>0.00616772742376615</v>
      </c>
      <c r="N1935" s="21" t="n">
        <f aca="false">LN(J1935)</f>
        <v>13.2260673217052</v>
      </c>
      <c r="O1935" s="21" t="n">
        <f aca="false">AVERAGEIFS($N$2:$N$2705,$B$2:$B$2705,B1935)</f>
        <v>13.639473994442</v>
      </c>
      <c r="P1935" s="21" t="n">
        <f aca="false">N1935-O1935</f>
        <v>-0.413406672736826</v>
      </c>
      <c r="Q1935" s="7" t="n">
        <v>1</v>
      </c>
      <c r="R1935" s="3" t="n">
        <f aca="false">IF(AND(Q1935=1,B1935-_xlfn.MINIFS($B$2:$B$2705,$A$2:$A$2705,A1935)&lt;10),1,0)</f>
        <v>1</v>
      </c>
      <c r="S1935" s="7" t="n">
        <v>0</v>
      </c>
      <c r="T1935" s="3" t="n">
        <f aca="false">_xlfn.MINIFS($B$2:$B$2705,$A$2:$A$2705,A1935)</f>
        <v>1993</v>
      </c>
      <c r="U1935" s="3" t="n">
        <f aca="false">B1935-T1935</f>
        <v>7</v>
      </c>
      <c r="V1935" s="3" t="str">
        <f aca="false">INDEX(Pop_Inputs!$Q$2:$Q$29,MATCH(C1935,Pop_Inputs!$A$2:$A$29,0))</f>
        <v>West</v>
      </c>
      <c r="W1935" s="29" t="n">
        <v>61111190</v>
      </c>
      <c r="X1935" s="3" t="n">
        <f aca="false">IF(W1935="","",LN(W1935))</f>
        <v>17.9282055497628</v>
      </c>
      <c r="Y1935" s="3" t="n">
        <f aca="false">IF(X1935="","",X1935-AVERAGEIFS($X$2:$X$2705,$B$2:$B$2705,B1935))</f>
        <v>0.18426828181196</v>
      </c>
      <c r="Z1935" s="21" t="n">
        <f aca="false">P1935</f>
        <v>-0.413406672736826</v>
      </c>
      <c r="AA1935" s="3" t="n">
        <f aca="false">R1935</f>
        <v>1</v>
      </c>
      <c r="AB1935" s="21" t="n">
        <f aca="false">P1935</f>
        <v>-0.413406672736826</v>
      </c>
      <c r="AC1935" s="3" t="n">
        <f aca="false">Y1935</f>
        <v>0.18426828181196</v>
      </c>
      <c r="AD1935" s="3" t="n">
        <f aca="false">R1935</f>
        <v>1</v>
      </c>
    </row>
    <row r="1936" customFormat="false" ht="15" hidden="false" customHeight="true" outlineLevel="0" collapsed="false">
      <c r="A1936" s="7" t="s">
        <v>67</v>
      </c>
      <c r="B1936" s="7" t="n">
        <v>2000</v>
      </c>
      <c r="C1936" s="7" t="s">
        <v>152</v>
      </c>
      <c r="D1936" s="7" t="n">
        <v>79</v>
      </c>
      <c r="E1936" s="7" t="n">
        <v>83</v>
      </c>
      <c r="F1936" s="3" t="n">
        <f aca="false">COUNTIFS($B$2:$B$2705,B1936,$C$2:$C$2705,C1936)</f>
        <v>1</v>
      </c>
      <c r="G1936" s="3" t="n">
        <f aca="false">MIN(INT((MIN(B1936,2020)-1900)/10)+1,12)</f>
        <v>11</v>
      </c>
      <c r="H1936" s="3" t="n">
        <f aca="false">(MIN(B1936,2020)-1900-10*(G1936-1))/10</f>
        <v>0</v>
      </c>
      <c r="I1936" s="20" t="n">
        <f aca="false">EXP(LN(INDEX(Pop_Inputs!$B$2:$N$29,MATCH(C1936,Pop_Inputs!$A$2:$A$29,0),G1936))*(1-H1936)+LN(INDEX(Pop_Inputs!$B$2:$N$29,MATCH(C1936,Pop_Inputs!$A$2:$A$29,0),G1936+1))*H1936)</f>
        <v>951269.999999999</v>
      </c>
      <c r="J1936" s="20" t="n">
        <f aca="false">I1936/F1936</f>
        <v>951269.999999999</v>
      </c>
      <c r="K1936" s="21" t="n">
        <f aca="false">D1936/(D1936+E1936)</f>
        <v>0.487654320987654</v>
      </c>
      <c r="L1936" s="21" t="n">
        <f aca="false">AVERAGEIFS($K$2:$K$2705,$B$2:$B$2705,B1936)</f>
        <v>0.500005112082407</v>
      </c>
      <c r="M1936" s="21" t="n">
        <f aca="false">K1936-L1936</f>
        <v>-0.0123507910947524</v>
      </c>
      <c r="N1936" s="21" t="n">
        <f aca="false">LN(J1936)</f>
        <v>13.7655532129042</v>
      </c>
      <c r="O1936" s="21" t="n">
        <f aca="false">AVERAGEIFS($N$2:$N$2705,$B$2:$B$2705,B1936)</f>
        <v>13.639473994442</v>
      </c>
      <c r="P1936" s="21" t="n">
        <f aca="false">N1936-O1936</f>
        <v>0.126079218462152</v>
      </c>
      <c r="Q1936" s="7" t="n">
        <v>0</v>
      </c>
      <c r="R1936" s="3" t="n">
        <f aca="false">IF(AND(Q1936=1,B1936-_xlfn.MINIFS($B$2:$B$2705,$A$2:$A$2705,A1936)&lt;10),1,0)</f>
        <v>0</v>
      </c>
      <c r="S1936" s="7" t="n">
        <v>0</v>
      </c>
      <c r="T1936" s="3" t="n">
        <f aca="false">_xlfn.MINIFS($B$2:$B$2705,$A$2:$A$2705,A1936)</f>
        <v>1901</v>
      </c>
      <c r="U1936" s="3" t="n">
        <f aca="false">B1936-T1936</f>
        <v>99</v>
      </c>
      <c r="V1936" s="3" t="str">
        <f aca="false">INDEX(Pop_Inputs!$Q$2:$Q$29,MATCH(C1936,Pop_Inputs!$A$2:$A$29,0))</f>
        <v>Midwest</v>
      </c>
      <c r="W1936" s="29" t="n">
        <v>58265167</v>
      </c>
      <c r="X1936" s="3" t="n">
        <f aca="false">IF(W1936="","",LN(W1936))</f>
        <v>17.8805149942001</v>
      </c>
      <c r="Y1936" s="3" t="n">
        <f aca="false">IF(X1936="","",X1936-AVERAGEIFS($X$2:$X$2705,$B$2:$B$2705,B1936))</f>
        <v>0.136577726249232</v>
      </c>
      <c r="Z1936" s="21" t="n">
        <f aca="false">P1936</f>
        <v>0.126079218462152</v>
      </c>
      <c r="AA1936" s="3" t="n">
        <f aca="false">R1936</f>
        <v>0</v>
      </c>
      <c r="AB1936" s="21" t="n">
        <f aca="false">P1936</f>
        <v>0.126079218462152</v>
      </c>
      <c r="AC1936" s="3" t="n">
        <f aca="false">Y1936</f>
        <v>0.136577726249232</v>
      </c>
      <c r="AD1936" s="3" t="n">
        <f aca="false">R1936</f>
        <v>0</v>
      </c>
    </row>
    <row r="1937" customFormat="false" ht="15" hidden="false" customHeight="true" outlineLevel="0" collapsed="false">
      <c r="A1937" s="7" t="s">
        <v>83</v>
      </c>
      <c r="B1937" s="7" t="n">
        <v>2000</v>
      </c>
      <c r="C1937" s="7" t="s">
        <v>164</v>
      </c>
      <c r="D1937" s="7" t="n">
        <v>79</v>
      </c>
      <c r="E1937" s="7" t="n">
        <v>82</v>
      </c>
      <c r="F1937" s="3" t="n">
        <f aca="false">COUNTIFS($B$2:$B$2705,B1937,$C$2:$C$2705,C1937)</f>
        <v>1</v>
      </c>
      <c r="G1937" s="3" t="n">
        <f aca="false">MIN(INT((MIN(B1937,2020)-1900)/10)+1,12)</f>
        <v>11</v>
      </c>
      <c r="H1937" s="3" t="n">
        <f aca="false">(MIN(B1937,2020)-1900-10*(G1937-1))/10</f>
        <v>0</v>
      </c>
      <c r="I1937" s="20" t="n">
        <f aca="false">EXP(LN(INDEX(Pop_Inputs!$B$2:$N$29,MATCH(C1937,Pop_Inputs!$A$2:$A$29,0),G1937))*(1-H1937)+LN(INDEX(Pop_Inputs!$B$2:$N$29,MATCH(C1937,Pop_Inputs!$A$2:$A$29,0),G1937+1))*H1937)</f>
        <v>362470</v>
      </c>
      <c r="J1937" s="20" t="n">
        <f aca="false">I1937/F1937</f>
        <v>362470</v>
      </c>
      <c r="K1937" s="21" t="n">
        <f aca="false">D1937/(D1937+E1937)</f>
        <v>0.490683229813665</v>
      </c>
      <c r="L1937" s="21" t="n">
        <f aca="false">AVERAGEIFS($K$2:$K$2705,$B$2:$B$2705,B1937)</f>
        <v>0.500005112082407</v>
      </c>
      <c r="M1937" s="21" t="n">
        <f aca="false">K1937-L1937</f>
        <v>-0.00932188226874214</v>
      </c>
      <c r="N1937" s="21" t="n">
        <f aca="false">LN(J1937)</f>
        <v>12.8006969912315</v>
      </c>
      <c r="O1937" s="21" t="n">
        <f aca="false">AVERAGEIFS($N$2:$N$2705,$B$2:$B$2705,B1937)</f>
        <v>13.639473994442</v>
      </c>
      <c r="P1937" s="21" t="n">
        <f aca="false">N1937-O1937</f>
        <v>-0.838777003210513</v>
      </c>
      <c r="Q1937" s="7" t="n">
        <v>1</v>
      </c>
      <c r="R1937" s="3" t="n">
        <f aca="false">IF(AND(Q1937=1,B1937-_xlfn.MINIFS($B$2:$B$2705,$A$2:$A$2705,A1937)&lt;10),1,0)</f>
        <v>1</v>
      </c>
      <c r="S1937" s="7" t="n">
        <v>0</v>
      </c>
      <c r="T1937" s="3" t="n">
        <f aca="false">_xlfn.MINIFS($B$2:$B$2705,$A$2:$A$2705,A1937)</f>
        <v>1993</v>
      </c>
      <c r="U1937" s="3" t="n">
        <f aca="false">B1937-T1937</f>
        <v>7</v>
      </c>
      <c r="V1937" s="3" t="str">
        <f aca="false">INDEX(Pop_Inputs!$Q$2:$Q$29,MATCH(C1937,Pop_Inputs!$A$2:$A$29,0))</f>
        <v>South</v>
      </c>
      <c r="W1937" s="29" t="n">
        <v>19872000</v>
      </c>
      <c r="X1937" s="3" t="n">
        <f aca="false">IF(W1937="","",LN(W1937))</f>
        <v>16.8048222637153</v>
      </c>
      <c r="Y1937" s="3" t="n">
        <f aca="false">IF(X1937="","",X1937-AVERAGEIFS($X$2:$X$2705,$B$2:$B$2705,B1937))</f>
        <v>-0.939115004235529</v>
      </c>
      <c r="Z1937" s="21" t="n">
        <f aca="false">P1937</f>
        <v>-0.838777003210513</v>
      </c>
      <c r="AA1937" s="3" t="n">
        <f aca="false">R1937</f>
        <v>1</v>
      </c>
      <c r="AB1937" s="21" t="n">
        <f aca="false">P1937</f>
        <v>-0.838777003210513</v>
      </c>
      <c r="AC1937" s="3" t="n">
        <f aca="false">Y1937</f>
        <v>-0.939115004235529</v>
      </c>
      <c r="AD1937" s="3" t="n">
        <f aca="false">R1937</f>
        <v>1</v>
      </c>
    </row>
    <row r="1938" customFormat="false" ht="15" hidden="false" customHeight="true" outlineLevel="0" collapsed="false">
      <c r="A1938" s="7" t="s">
        <v>74</v>
      </c>
      <c r="B1938" s="7" t="n">
        <v>2000</v>
      </c>
      <c r="C1938" s="7" t="s">
        <v>156</v>
      </c>
      <c r="D1938" s="7" t="n">
        <v>72</v>
      </c>
      <c r="E1938" s="7" t="n">
        <v>90</v>
      </c>
      <c r="F1938" s="3" t="n">
        <f aca="false">COUNTIFS($B$2:$B$2705,B1938,$C$2:$C$2705,C1938)</f>
        <v>1</v>
      </c>
      <c r="G1938" s="3" t="n">
        <f aca="false">MIN(INT((MIN(B1938,2020)-1900)/10)+1,12)</f>
        <v>11</v>
      </c>
      <c r="H1938" s="3" t="n">
        <f aca="false">(MIN(B1938,2020)-1900-10*(G1938-1))/10</f>
        <v>0</v>
      </c>
      <c r="I1938" s="20" t="n">
        <f aca="false">EXP(LN(INDEX(Pop_Inputs!$B$2:$N$29,MATCH(C1938,Pop_Inputs!$A$2:$A$29,0),G1938))*(1-H1938)+LN(INDEX(Pop_Inputs!$B$2:$N$29,MATCH(C1938,Pop_Inputs!$A$2:$A$29,0),G1938+1))*H1938)</f>
        <v>1953631</v>
      </c>
      <c r="J1938" s="20" t="n">
        <f aca="false">I1938/F1938</f>
        <v>1953631</v>
      </c>
      <c r="K1938" s="21" t="n">
        <f aca="false">D1938/(D1938+E1938)</f>
        <v>0.444444444444444</v>
      </c>
      <c r="L1938" s="21" t="n">
        <f aca="false">AVERAGEIFS($K$2:$K$2705,$B$2:$B$2705,B1938)</f>
        <v>0.500005112082407</v>
      </c>
      <c r="M1938" s="21" t="n">
        <f aca="false">K1938-L1938</f>
        <v>-0.0555606676379623</v>
      </c>
      <c r="N1938" s="21" t="n">
        <f aca="false">LN(J1938)</f>
        <v>14.4852002503535</v>
      </c>
      <c r="O1938" s="21" t="n">
        <f aca="false">AVERAGEIFS($N$2:$N$2705,$B$2:$B$2705,B1938)</f>
        <v>13.639473994442</v>
      </c>
      <c r="P1938" s="21" t="n">
        <f aca="false">N1938-O1938</f>
        <v>0.845726255911542</v>
      </c>
      <c r="Q1938" s="7" t="n">
        <v>1</v>
      </c>
      <c r="R1938" s="3" t="n">
        <f aca="false">IF(AND(Q1938=1,B1938-_xlfn.MINIFS($B$2:$B$2705,$A$2:$A$2705,A1938)&lt;10),1,0)</f>
        <v>0</v>
      </c>
      <c r="S1938" s="7" t="n">
        <v>0</v>
      </c>
      <c r="T1938" s="3" t="n">
        <f aca="false">_xlfn.MINIFS($B$2:$B$2705,$A$2:$A$2705,A1938)</f>
        <v>1962</v>
      </c>
      <c r="U1938" s="3" t="n">
        <f aca="false">B1938-T1938</f>
        <v>38</v>
      </c>
      <c r="V1938" s="3" t="str">
        <f aca="false">INDEX(Pop_Inputs!$Q$2:$Q$29,MATCH(C1938,Pop_Inputs!$A$2:$A$29,0))</f>
        <v>South</v>
      </c>
      <c r="W1938" s="29" t="n">
        <v>51289111</v>
      </c>
      <c r="X1938" s="3" t="n">
        <f aca="false">IF(W1938="","",LN(W1938))</f>
        <v>17.7529890264018</v>
      </c>
      <c r="Y1938" s="3" t="n">
        <f aca="false">IF(X1938="","",X1938-AVERAGEIFS($X$2:$X$2705,$B$2:$B$2705,B1938))</f>
        <v>0.0090517584509513</v>
      </c>
      <c r="Z1938" s="21" t="n">
        <f aca="false">P1938</f>
        <v>0.845726255911542</v>
      </c>
      <c r="AA1938" s="3" t="n">
        <f aca="false">R1938</f>
        <v>0</v>
      </c>
      <c r="AB1938" s="21" t="n">
        <f aca="false">P1938</f>
        <v>0.845726255911542</v>
      </c>
      <c r="AC1938" s="3" t="n">
        <f aca="false">Y1938</f>
        <v>0.0090517584509513</v>
      </c>
      <c r="AD1938" s="3" t="n">
        <f aca="false">R1938</f>
        <v>0</v>
      </c>
    </row>
    <row r="1939" customFormat="false" ht="15" hidden="false" customHeight="true" outlineLevel="0" collapsed="false">
      <c r="A1939" s="7" t="s">
        <v>76</v>
      </c>
      <c r="B1939" s="7" t="n">
        <v>2000</v>
      </c>
      <c r="C1939" s="7" t="s">
        <v>157</v>
      </c>
      <c r="D1939" s="7" t="n">
        <v>77</v>
      </c>
      <c r="E1939" s="7" t="n">
        <v>85</v>
      </c>
      <c r="F1939" s="3" t="n">
        <f aca="false">COUNTIFS($B$2:$B$2705,B1939,$C$2:$C$2705,C1939)</f>
        <v>1</v>
      </c>
      <c r="G1939" s="3" t="n">
        <f aca="false">MIN(INT((MIN(B1939,2020)-1900)/10)+1,12)</f>
        <v>11</v>
      </c>
      <c r="H1939" s="3" t="n">
        <f aca="false">(MIN(B1939,2020)-1900-10*(G1939-1))/10</f>
        <v>0</v>
      </c>
      <c r="I1939" s="20" t="n">
        <f aca="false">EXP(LN(INDEX(Pop_Inputs!$B$2:$N$29,MATCH(C1939,Pop_Inputs!$A$2:$A$29,0),G1939))*(1-H1939)+LN(INDEX(Pop_Inputs!$B$2:$N$29,MATCH(C1939,Pop_Inputs!$A$2:$A$29,0),G1939+1))*H1939)</f>
        <v>441545</v>
      </c>
      <c r="J1939" s="20" t="n">
        <f aca="false">I1939/F1939</f>
        <v>441545</v>
      </c>
      <c r="K1939" s="21" t="n">
        <f aca="false">D1939/(D1939+E1939)</f>
        <v>0.475308641975309</v>
      </c>
      <c r="L1939" s="21" t="n">
        <f aca="false">AVERAGEIFS($K$2:$K$2705,$B$2:$B$2705,B1939)</f>
        <v>0.500005112082407</v>
      </c>
      <c r="M1939" s="21" t="n">
        <f aca="false">K1939-L1939</f>
        <v>-0.0246964701070981</v>
      </c>
      <c r="N1939" s="21" t="n">
        <f aca="false">LN(J1939)</f>
        <v>12.9980352190869</v>
      </c>
      <c r="O1939" s="21" t="n">
        <f aca="false">AVERAGEIFS($N$2:$N$2705,$B$2:$B$2705,B1939)</f>
        <v>13.639473994442</v>
      </c>
      <c r="P1939" s="21" t="n">
        <f aca="false">N1939-O1939</f>
        <v>-0.641438775355068</v>
      </c>
      <c r="Q1939" s="7" t="n">
        <v>1</v>
      </c>
      <c r="R1939" s="3" t="n">
        <f aca="false">IF(AND(Q1939=1,B1939-_xlfn.MINIFS($B$2:$B$2705,$A$2:$A$2705,A1939)&lt;10),1,0)</f>
        <v>0</v>
      </c>
      <c r="S1939" s="7" t="n">
        <v>0</v>
      </c>
      <c r="T1939" s="3" t="n">
        <f aca="false">_xlfn.MINIFS($B$2:$B$2705,$A$2:$A$2705,A1939)</f>
        <v>1969</v>
      </c>
      <c r="U1939" s="3" t="n">
        <f aca="false">B1939-T1939</f>
        <v>31</v>
      </c>
      <c r="V1939" s="3" t="str">
        <f aca="false">INDEX(Pop_Inputs!$Q$2:$Q$29,MATCH(C1939,Pop_Inputs!$A$2:$A$29,0))</f>
        <v>Midwest</v>
      </c>
      <c r="W1939" s="29" t="n">
        <v>23433000</v>
      </c>
      <c r="X1939" s="3" t="n">
        <f aca="false">IF(W1939="","",LN(W1939))</f>
        <v>16.9696558432605</v>
      </c>
      <c r="Y1939" s="3" t="n">
        <f aca="false">IF(X1939="","",X1939-AVERAGEIFS($X$2:$X$2705,$B$2:$B$2705,B1939))</f>
        <v>-0.774281424690326</v>
      </c>
      <c r="Z1939" s="21" t="n">
        <f aca="false">P1939</f>
        <v>-0.641438775355068</v>
      </c>
      <c r="AA1939" s="3" t="n">
        <f aca="false">R1939</f>
        <v>0</v>
      </c>
      <c r="AB1939" s="21" t="n">
        <f aca="false">P1939</f>
        <v>-0.641438775355068</v>
      </c>
      <c r="AC1939" s="3" t="n">
        <f aca="false">Y1939</f>
        <v>-0.774281424690326</v>
      </c>
      <c r="AD1939" s="3" t="n">
        <f aca="false">R1939</f>
        <v>0</v>
      </c>
    </row>
    <row r="1940" customFormat="false" ht="15" hidden="false" customHeight="true" outlineLevel="0" collapsed="false">
      <c r="A1940" s="7" t="s">
        <v>62</v>
      </c>
      <c r="B1940" s="7" t="n">
        <v>2000</v>
      </c>
      <c r="C1940" s="7" t="s">
        <v>148</v>
      </c>
      <c r="D1940" s="7" t="n">
        <v>86</v>
      </c>
      <c r="E1940" s="7" t="n">
        <v>76</v>
      </c>
      <c r="F1940" s="3" t="n">
        <f aca="false">COUNTIFS($B$2:$B$2705,B1940,$C$2:$C$2705,C1940)</f>
        <v>2</v>
      </c>
      <c r="G1940" s="3" t="n">
        <f aca="false">MIN(INT((MIN(B1940,2020)-1900)/10)+1,12)</f>
        <v>11</v>
      </c>
      <c r="H1940" s="3" t="n">
        <f aca="false">(MIN(B1940,2020)-1900-10*(G1940-1))/10</f>
        <v>0</v>
      </c>
      <c r="I1940" s="20" t="n">
        <f aca="false">EXP(LN(INDEX(Pop_Inputs!$B$2:$N$29,MATCH(C1940,Pop_Inputs!$A$2:$A$29,0),G1940))*(1-H1940)+LN(INDEX(Pop_Inputs!$B$2:$N$29,MATCH(C1940,Pop_Inputs!$A$2:$A$29,0),G1940+1))*H1940)</f>
        <v>3694820</v>
      </c>
      <c r="J1940" s="20" t="n">
        <f aca="false">I1940/F1940</f>
        <v>1847410</v>
      </c>
      <c r="K1940" s="21" t="n">
        <f aca="false">D1940/(D1940+E1940)</f>
        <v>0.530864197530864</v>
      </c>
      <c r="L1940" s="21" t="n">
        <f aca="false">AVERAGEIFS($K$2:$K$2705,$B$2:$B$2705,B1940)</f>
        <v>0.500005112082407</v>
      </c>
      <c r="M1940" s="21" t="n">
        <f aca="false">K1940-L1940</f>
        <v>0.0308590854484575</v>
      </c>
      <c r="N1940" s="21" t="n">
        <f aca="false">LN(J1940)</f>
        <v>14.4292952161389</v>
      </c>
      <c r="O1940" s="21" t="n">
        <f aca="false">AVERAGEIFS($N$2:$N$2705,$B$2:$B$2705,B1940)</f>
        <v>13.639473994442</v>
      </c>
      <c r="P1940" s="21" t="n">
        <f aca="false">N1940-O1940</f>
        <v>0.789821221696872</v>
      </c>
      <c r="Q1940" s="7" t="n">
        <v>0</v>
      </c>
      <c r="R1940" s="3" t="n">
        <f aca="false">IF(AND(Q1940=1,B1940-_xlfn.MINIFS($B$2:$B$2705,$A$2:$A$2705,A1940)&lt;10),1,0)</f>
        <v>0</v>
      </c>
      <c r="S1940" s="7" t="n">
        <v>0</v>
      </c>
      <c r="T1940" s="3" t="n">
        <f aca="false">_xlfn.MINIFS($B$2:$B$2705,$A$2:$A$2705,A1940)</f>
        <v>1901</v>
      </c>
      <c r="U1940" s="3" t="n">
        <f aca="false">B1940-T1940</f>
        <v>99</v>
      </c>
      <c r="V1940" s="3" t="str">
        <f aca="false">INDEX(Pop_Inputs!$Q$2:$Q$29,MATCH(C1940,Pop_Inputs!$A$2:$A$29,0))</f>
        <v>West</v>
      </c>
      <c r="W1940" s="29" t="n">
        <v>87924286</v>
      </c>
      <c r="X1940" s="3" t="n">
        <f aca="false">IF(W1940="","",LN(W1940))</f>
        <v>18.2919866157341</v>
      </c>
      <c r="Y1940" s="3" t="n">
        <f aca="false">IF(X1940="","",X1940-AVERAGEIFS($X$2:$X$2705,$B$2:$B$2705,B1940))</f>
        <v>0.548049347783184</v>
      </c>
      <c r="Z1940" s="21" t="n">
        <f aca="false">P1940</f>
        <v>0.789821221696872</v>
      </c>
      <c r="AA1940" s="3" t="n">
        <f aca="false">R1940</f>
        <v>0</v>
      </c>
      <c r="AB1940" s="21" t="n">
        <f aca="false">P1940</f>
        <v>0.789821221696872</v>
      </c>
      <c r="AC1940" s="3" t="n">
        <f aca="false">Y1940</f>
        <v>0.548049347783184</v>
      </c>
      <c r="AD1940" s="3" t="n">
        <f aca="false">R1940</f>
        <v>0</v>
      </c>
    </row>
    <row r="1941" customFormat="false" ht="15" hidden="false" customHeight="true" outlineLevel="0" collapsed="false">
      <c r="A1941" s="7" t="s">
        <v>77</v>
      </c>
      <c r="B1941" s="7" t="n">
        <v>2000</v>
      </c>
      <c r="C1941" s="7" t="s">
        <v>158</v>
      </c>
      <c r="D1941" s="7" t="n">
        <v>73</v>
      </c>
      <c r="E1941" s="7" t="n">
        <v>89</v>
      </c>
      <c r="F1941" s="3" t="n">
        <f aca="false">COUNTIFS($B$2:$B$2705,B1941,$C$2:$C$2705,C1941)</f>
        <v>1</v>
      </c>
      <c r="G1941" s="3" t="n">
        <f aca="false">MIN(INT((MIN(B1941,2020)-1900)/10)+1,12)</f>
        <v>11</v>
      </c>
      <c r="H1941" s="3" t="n">
        <f aca="false">(MIN(B1941,2020)-1900-10*(G1941-1))/10</f>
        <v>0</v>
      </c>
      <c r="I1941" s="20" t="n">
        <f aca="false">EXP(LN(INDEX(Pop_Inputs!$B$2:$N$29,MATCH(C1941,Pop_Inputs!$A$2:$A$29,0),G1941))*(1-H1941)+LN(INDEX(Pop_Inputs!$B$2:$N$29,MATCH(C1941,Pop_Inputs!$A$2:$A$29,0),G1941+1))*H1941)</f>
        <v>596974.000000001</v>
      </c>
      <c r="J1941" s="20" t="n">
        <f aca="false">I1941/F1941</f>
        <v>596974.000000001</v>
      </c>
      <c r="K1941" s="21" t="n">
        <f aca="false">D1941/(D1941+E1941)</f>
        <v>0.450617283950617</v>
      </c>
      <c r="L1941" s="21" t="n">
        <f aca="false">AVERAGEIFS($K$2:$K$2705,$B$2:$B$2705,B1941)</f>
        <v>0.500005112082407</v>
      </c>
      <c r="M1941" s="21" t="n">
        <f aca="false">K1941-L1941</f>
        <v>-0.0493878281317894</v>
      </c>
      <c r="N1941" s="21" t="n">
        <f aca="false">LN(J1941)</f>
        <v>13.2996288403376</v>
      </c>
      <c r="O1941" s="21" t="n">
        <f aca="false">AVERAGEIFS($N$2:$N$2705,$B$2:$B$2705,B1941)</f>
        <v>13.639473994442</v>
      </c>
      <c r="P1941" s="21" t="n">
        <f aca="false">N1941-O1941</f>
        <v>-0.33984515410442</v>
      </c>
      <c r="Q1941" s="7" t="n">
        <v>1</v>
      </c>
      <c r="R1941" s="3" t="n">
        <f aca="false">IF(AND(Q1941=1,B1941-_xlfn.MINIFS($B$2:$B$2705,$A$2:$A$2705,A1941)&lt;10),1,0)</f>
        <v>0</v>
      </c>
      <c r="S1941" s="7" t="n">
        <v>0</v>
      </c>
      <c r="T1941" s="3" t="n">
        <f aca="false">_xlfn.MINIFS($B$2:$B$2705,$A$2:$A$2705,A1941)</f>
        <v>1969</v>
      </c>
      <c r="U1941" s="3" t="n">
        <f aca="false">B1941-T1941</f>
        <v>31</v>
      </c>
      <c r="V1941" s="3" t="str">
        <f aca="false">INDEX(Pop_Inputs!$Q$2:$Q$29,MATCH(C1941,Pop_Inputs!$A$2:$A$29,0))</f>
        <v>Midwest</v>
      </c>
      <c r="W1941" s="29" t="n">
        <v>36505333</v>
      </c>
      <c r="X1941" s="3" t="n">
        <f aca="false">IF(W1941="","",LN(W1941))</f>
        <v>17.4129689174688</v>
      </c>
      <c r="Y1941" s="3" t="n">
        <f aca="false">IF(X1941="","",X1941-AVERAGEIFS($X$2:$X$2705,$B$2:$B$2705,B1941))</f>
        <v>-0.330968350482074</v>
      </c>
      <c r="Z1941" s="21" t="n">
        <f aca="false">P1941</f>
        <v>-0.33984515410442</v>
      </c>
      <c r="AA1941" s="3" t="n">
        <f aca="false">R1941</f>
        <v>0</v>
      </c>
      <c r="AB1941" s="21" t="n">
        <f aca="false">P1941</f>
        <v>-0.33984515410442</v>
      </c>
      <c r="AC1941" s="3" t="n">
        <f aca="false">Y1941</f>
        <v>-0.330968350482074</v>
      </c>
      <c r="AD1941" s="3" t="n">
        <f aca="false">R1941</f>
        <v>0</v>
      </c>
    </row>
    <row r="1942" customFormat="false" ht="15" hidden="false" customHeight="true" outlineLevel="0" collapsed="false">
      <c r="A1942" s="7" t="s">
        <v>68</v>
      </c>
      <c r="B1942" s="7" t="n">
        <v>2000</v>
      </c>
      <c r="C1942" s="7" t="s">
        <v>153</v>
      </c>
      <c r="D1942" s="7" t="n">
        <v>69</v>
      </c>
      <c r="E1942" s="7" t="n">
        <v>93</v>
      </c>
      <c r="F1942" s="3" t="n">
        <f aca="false">COUNTIFS($B$2:$B$2705,B1942,$C$2:$C$2705,C1942)</f>
        <v>1</v>
      </c>
      <c r="G1942" s="3" t="n">
        <f aca="false">MIN(INT((MIN(B1942,2020)-1900)/10)+1,12)</f>
        <v>11</v>
      </c>
      <c r="H1942" s="3" t="n">
        <f aca="false">(MIN(B1942,2020)-1900-10*(G1942-1))/10</f>
        <v>0</v>
      </c>
      <c r="I1942" s="20" t="n">
        <f aca="false">EXP(LN(INDEX(Pop_Inputs!$B$2:$N$29,MATCH(C1942,Pop_Inputs!$A$2:$A$29,0),G1942))*(1-H1942)+LN(INDEX(Pop_Inputs!$B$2:$N$29,MATCH(C1942,Pop_Inputs!$A$2:$A$29,0),G1942+1))*H1942)</f>
        <v>382618</v>
      </c>
      <c r="J1942" s="20" t="n">
        <f aca="false">I1942/F1942</f>
        <v>382618</v>
      </c>
      <c r="K1942" s="21" t="n">
        <f aca="false">D1942/(D1942+E1942)</f>
        <v>0.425925925925926</v>
      </c>
      <c r="L1942" s="21" t="n">
        <f aca="false">AVERAGEIFS($K$2:$K$2705,$B$2:$B$2705,B1942)</f>
        <v>0.500005112082407</v>
      </c>
      <c r="M1942" s="21" t="n">
        <f aca="false">K1942-L1942</f>
        <v>-0.0740791861564808</v>
      </c>
      <c r="N1942" s="21" t="n">
        <f aca="false">LN(J1942)</f>
        <v>12.8547923814054</v>
      </c>
      <c r="O1942" s="21" t="n">
        <f aca="false">AVERAGEIFS($N$2:$N$2705,$B$2:$B$2705,B1942)</f>
        <v>13.639473994442</v>
      </c>
      <c r="P1942" s="21" t="n">
        <f aca="false">N1942-O1942</f>
        <v>-0.784681613036586</v>
      </c>
      <c r="Q1942" s="7" t="n">
        <v>0</v>
      </c>
      <c r="R1942" s="3" t="n">
        <f aca="false">IF(AND(Q1942=1,B1942-_xlfn.MINIFS($B$2:$B$2705,$A$2:$A$2705,A1942)&lt;10),1,0)</f>
        <v>0</v>
      </c>
      <c r="S1942" s="7" t="n">
        <v>0</v>
      </c>
      <c r="T1942" s="3" t="n">
        <f aca="false">_xlfn.MINIFS($B$2:$B$2705,$A$2:$A$2705,A1942)</f>
        <v>1901</v>
      </c>
      <c r="U1942" s="3" t="n">
        <f aca="false">B1942-T1942</f>
        <v>99</v>
      </c>
      <c r="V1942" s="3" t="str">
        <f aca="false">INDEX(Pop_Inputs!$Q$2:$Q$29,MATCH(C1942,Pop_Inputs!$A$2:$A$29,0))</f>
        <v>Midwest</v>
      </c>
      <c r="W1942" s="29" t="n">
        <v>16519500</v>
      </c>
      <c r="X1942" s="3" t="n">
        <f aca="false">IF(W1942="","",LN(W1942))</f>
        <v>16.6200520592552</v>
      </c>
      <c r="Y1942" s="3" t="n">
        <f aca="false">IF(X1942="","",X1942-AVERAGEIFS($X$2:$X$2705,$B$2:$B$2705,B1942))</f>
        <v>-1.12388520869563</v>
      </c>
      <c r="Z1942" s="21" t="n">
        <f aca="false">P1942</f>
        <v>-0.784681613036586</v>
      </c>
      <c r="AA1942" s="3" t="n">
        <f aca="false">R1942</f>
        <v>0</v>
      </c>
      <c r="AB1942" s="21" t="n">
        <f aca="false">P1942</f>
        <v>-0.784681613036586</v>
      </c>
      <c r="AC1942" s="3" t="n">
        <f aca="false">Y1942</f>
        <v>-1.12388520869563</v>
      </c>
      <c r="AD1942" s="3" t="n">
        <f aca="false">R1942</f>
        <v>0</v>
      </c>
    </row>
    <row r="1943" customFormat="false" ht="15" hidden="false" customHeight="true" outlineLevel="0" collapsed="false">
      <c r="A1943" s="7" t="s">
        <v>75</v>
      </c>
      <c r="B1943" s="7" t="n">
        <v>2000</v>
      </c>
      <c r="C1943" s="7" t="s">
        <v>154</v>
      </c>
      <c r="D1943" s="7" t="n">
        <v>94</v>
      </c>
      <c r="E1943" s="7" t="n">
        <v>68</v>
      </c>
      <c r="F1943" s="3" t="n">
        <f aca="false">COUNTIFS($B$2:$B$2705,B1943,$C$2:$C$2705,C1943)</f>
        <v>2</v>
      </c>
      <c r="G1943" s="3" t="n">
        <f aca="false">MIN(INT((MIN(B1943,2020)-1900)/10)+1,12)</f>
        <v>11</v>
      </c>
      <c r="H1943" s="3" t="n">
        <f aca="false">(MIN(B1943,2020)-1900-10*(G1943-1))/10</f>
        <v>0</v>
      </c>
      <c r="I1943" s="20" t="n">
        <f aca="false">EXP(LN(INDEX(Pop_Inputs!$B$2:$N$29,MATCH(C1943,Pop_Inputs!$A$2:$A$29,0),G1943))*(1-H1943)+LN(INDEX(Pop_Inputs!$B$2:$N$29,MATCH(C1943,Pop_Inputs!$A$2:$A$29,0),G1943+1))*H1943)</f>
        <v>8008278.00000001</v>
      </c>
      <c r="J1943" s="20" t="n">
        <f aca="false">I1943/F1943</f>
        <v>4004139</v>
      </c>
      <c r="K1943" s="21" t="n">
        <f aca="false">D1943/(D1943+E1943)</f>
        <v>0.580246913580247</v>
      </c>
      <c r="L1943" s="21" t="n">
        <f aca="false">AVERAGEIFS($K$2:$K$2705,$B$2:$B$2705,B1943)</f>
        <v>0.500005112082407</v>
      </c>
      <c r="M1943" s="21" t="n">
        <f aca="false">K1943-L1943</f>
        <v>0.0802418014978402</v>
      </c>
      <c r="N1943" s="21" t="n">
        <f aca="false">LN(J1943)</f>
        <v>15.2028391340994</v>
      </c>
      <c r="O1943" s="21" t="n">
        <f aca="false">AVERAGEIFS($N$2:$N$2705,$B$2:$B$2705,B1943)</f>
        <v>13.639473994442</v>
      </c>
      <c r="P1943" s="21" t="n">
        <f aca="false">N1943-O1943</f>
        <v>1.5633651396574</v>
      </c>
      <c r="Q1943" s="7" t="n">
        <v>1</v>
      </c>
      <c r="R1943" s="3" t="n">
        <f aca="false">IF(AND(Q1943=1,B1943-_xlfn.MINIFS($B$2:$B$2705,$A$2:$A$2705,A1943)&lt;10),1,0)</f>
        <v>0</v>
      </c>
      <c r="S1943" s="7" t="n">
        <v>0</v>
      </c>
      <c r="T1943" s="3" t="n">
        <f aca="false">_xlfn.MINIFS($B$2:$B$2705,$A$2:$A$2705,A1943)</f>
        <v>1962</v>
      </c>
      <c r="U1943" s="3" t="n">
        <f aca="false">B1943-T1943</f>
        <v>38</v>
      </c>
      <c r="V1943" s="3" t="str">
        <f aca="false">INDEX(Pop_Inputs!$Q$2:$Q$29,MATCH(C1943,Pop_Inputs!$A$2:$A$29,0))</f>
        <v>Northeast</v>
      </c>
      <c r="W1943" s="29" t="n">
        <v>79509776</v>
      </c>
      <c r="X1943" s="3" t="n">
        <f aca="false">IF(W1943="","",LN(W1943))</f>
        <v>18.191390540618</v>
      </c>
      <c r="Y1943" s="3" t="n">
        <f aca="false">IF(X1943="","",X1943-AVERAGEIFS($X$2:$X$2705,$B$2:$B$2705,B1943))</f>
        <v>0.447453272667136</v>
      </c>
      <c r="Z1943" s="21" t="n">
        <f aca="false">P1943</f>
        <v>1.5633651396574</v>
      </c>
      <c r="AA1943" s="3" t="n">
        <f aca="false">R1943</f>
        <v>0</v>
      </c>
      <c r="AB1943" s="21" t="n">
        <f aca="false">P1943</f>
        <v>1.5633651396574</v>
      </c>
      <c r="AC1943" s="3" t="n">
        <f aca="false">Y1943</f>
        <v>0.447453272667136</v>
      </c>
      <c r="AD1943" s="3" t="n">
        <f aca="false">R1943</f>
        <v>0</v>
      </c>
    </row>
    <row r="1944" customFormat="false" ht="15" hidden="false" customHeight="true" outlineLevel="0" collapsed="false">
      <c r="A1944" s="7" t="s">
        <v>70</v>
      </c>
      <c r="B1944" s="7" t="n">
        <v>2000</v>
      </c>
      <c r="C1944" s="7" t="s">
        <v>154</v>
      </c>
      <c r="D1944" s="7" t="n">
        <v>87</v>
      </c>
      <c r="E1944" s="7" t="n">
        <v>74</v>
      </c>
      <c r="F1944" s="3" t="n">
        <f aca="false">COUNTIFS($B$2:$B$2705,B1944,$C$2:$C$2705,C1944)</f>
        <v>2</v>
      </c>
      <c r="G1944" s="3" t="n">
        <f aca="false">MIN(INT((MIN(B1944,2020)-1900)/10)+1,12)</f>
        <v>11</v>
      </c>
      <c r="H1944" s="3" t="n">
        <f aca="false">(MIN(B1944,2020)-1900-10*(G1944-1))/10</f>
        <v>0</v>
      </c>
      <c r="I1944" s="20" t="n">
        <f aca="false">EXP(LN(INDEX(Pop_Inputs!$B$2:$N$29,MATCH(C1944,Pop_Inputs!$A$2:$A$29,0),G1944))*(1-H1944)+LN(INDEX(Pop_Inputs!$B$2:$N$29,MATCH(C1944,Pop_Inputs!$A$2:$A$29,0),G1944+1))*H1944)</f>
        <v>8008278.00000001</v>
      </c>
      <c r="J1944" s="20" t="n">
        <f aca="false">I1944/F1944</f>
        <v>4004139</v>
      </c>
      <c r="K1944" s="21" t="n">
        <f aca="false">D1944/(D1944+E1944)</f>
        <v>0.540372670807453</v>
      </c>
      <c r="L1944" s="21" t="n">
        <f aca="false">AVERAGEIFS($K$2:$K$2705,$B$2:$B$2705,B1944)</f>
        <v>0.500005112082407</v>
      </c>
      <c r="M1944" s="21" t="n">
        <f aca="false">K1944-L1944</f>
        <v>0.0403675587250467</v>
      </c>
      <c r="N1944" s="21" t="n">
        <f aca="false">LN(J1944)</f>
        <v>15.2028391340994</v>
      </c>
      <c r="O1944" s="21" t="n">
        <f aca="false">AVERAGEIFS($N$2:$N$2705,$B$2:$B$2705,B1944)</f>
        <v>13.639473994442</v>
      </c>
      <c r="P1944" s="21" t="n">
        <f aca="false">N1944-O1944</f>
        <v>1.5633651396574</v>
      </c>
      <c r="Q1944" s="7" t="n">
        <v>0</v>
      </c>
      <c r="R1944" s="3" t="n">
        <f aca="false">IF(AND(Q1944=1,B1944-_xlfn.MINIFS($B$2:$B$2705,$A$2:$A$2705,A1944)&lt;10),1,0)</f>
        <v>0</v>
      </c>
      <c r="S1944" s="7" t="n">
        <v>1</v>
      </c>
      <c r="T1944" s="3" t="n">
        <f aca="false">_xlfn.MINIFS($B$2:$B$2705,$A$2:$A$2705,A1944)</f>
        <v>1903</v>
      </c>
      <c r="U1944" s="3" t="n">
        <f aca="false">B1944-T1944</f>
        <v>97</v>
      </c>
      <c r="V1944" s="3" t="str">
        <f aca="false">INDEX(Pop_Inputs!$Q$2:$Q$29,MATCH(C1944,Pop_Inputs!$A$2:$A$29,0))</f>
        <v>Northeast</v>
      </c>
      <c r="W1944" s="29" t="n">
        <v>92338260</v>
      </c>
      <c r="X1944" s="3" t="n">
        <f aca="false">IF(W1944="","",LN(W1944))</f>
        <v>18.3409691314608</v>
      </c>
      <c r="Y1944" s="3" t="n">
        <f aca="false">IF(X1944="","",X1944-AVERAGEIFS($X$2:$X$2705,$B$2:$B$2705,B1944))</f>
        <v>0.597031863509901</v>
      </c>
      <c r="Z1944" s="21" t="n">
        <f aca="false">P1944</f>
        <v>1.5633651396574</v>
      </c>
      <c r="AA1944" s="3" t="n">
        <f aca="false">R1944</f>
        <v>0</v>
      </c>
      <c r="AB1944" s="21" t="n">
        <f aca="false">P1944</f>
        <v>1.5633651396574</v>
      </c>
      <c r="AC1944" s="3" t="n">
        <f aca="false">Y1944</f>
        <v>0.597031863509901</v>
      </c>
      <c r="AD1944" s="3" t="n">
        <f aca="false">R1944</f>
        <v>0</v>
      </c>
    </row>
    <row r="1945" customFormat="false" ht="15" hidden="false" customHeight="true" outlineLevel="0" collapsed="false">
      <c r="A1945" s="7" t="s">
        <v>69</v>
      </c>
      <c r="B1945" s="7" t="n">
        <v>2000</v>
      </c>
      <c r="C1945" s="7" t="s">
        <v>253</v>
      </c>
      <c r="D1945" s="7" t="n">
        <v>91</v>
      </c>
      <c r="E1945" s="7" t="n">
        <v>70</v>
      </c>
      <c r="F1945" s="3" t="n">
        <f aca="false">COUNTIFS($B$2:$B$2705,B1945,$C$2:$C$2705,C1945)</f>
        <v>1</v>
      </c>
      <c r="G1945" s="3" t="n">
        <f aca="false">MIN(INT((MIN(B1945,2020)-1900)/10)+1,12)</f>
        <v>11</v>
      </c>
      <c r="H1945" s="3" t="n">
        <f aca="false">(MIN(B1945,2020)-1900-10*(G1945-1))/10</f>
        <v>0</v>
      </c>
      <c r="I1945" s="20" t="n">
        <f aca="false">EXP(LN(INDEX(Pop_Inputs!$B$2:$N$29,MATCH(C1945,Pop_Inputs!$A$2:$A$29,0),G1945))*(1-H1945)+LN(INDEX(Pop_Inputs!$B$2:$N$29,MATCH(C1945,Pop_Inputs!$A$2:$A$29,0),G1945+1))*H1945)</f>
        <v>399484</v>
      </c>
      <c r="J1945" s="20" t="n">
        <f aca="false">I1945/F1945</f>
        <v>399484</v>
      </c>
      <c r="K1945" s="21" t="n">
        <f aca="false">D1945/(D1945+E1945)</f>
        <v>0.565217391304348</v>
      </c>
      <c r="L1945" s="21" t="n">
        <f aca="false">AVERAGEIFS($K$2:$K$2705,$B$2:$B$2705,B1945)</f>
        <v>0.500005112082407</v>
      </c>
      <c r="M1945" s="21" t="n">
        <f aca="false">K1945-L1945</f>
        <v>0.0652122792219411</v>
      </c>
      <c r="N1945" s="21" t="n">
        <f aca="false">LN(J1945)</f>
        <v>12.8979289933239</v>
      </c>
      <c r="O1945" s="21" t="n">
        <f aca="false">AVERAGEIFS($N$2:$N$2705,$B$2:$B$2705,B1945)</f>
        <v>13.639473994442</v>
      </c>
      <c r="P1945" s="21" t="n">
        <f aca="false">N1945-O1945</f>
        <v>-0.741545001118144</v>
      </c>
      <c r="Q1945" s="7" t="n">
        <v>0</v>
      </c>
      <c r="R1945" s="3" t="n">
        <f aca="false">IF(AND(Q1945=1,B1945-_xlfn.MINIFS($B$2:$B$2705,$A$2:$A$2705,A1945)&lt;10),1,0)</f>
        <v>0</v>
      </c>
      <c r="S1945" s="7" t="n">
        <v>0</v>
      </c>
      <c r="T1945" s="3" t="n">
        <f aca="false">_xlfn.MINIFS($B$2:$B$2705,$A$2:$A$2705,A1945)</f>
        <v>1901</v>
      </c>
      <c r="U1945" s="3" t="n">
        <f aca="false">B1945-T1945</f>
        <v>99</v>
      </c>
      <c r="V1945" s="3" t="str">
        <f aca="false">INDEX(Pop_Inputs!$Q$2:$Q$29,MATCH(C1945,Pop_Inputs!$A$2:$A$29,0))</f>
        <v>West</v>
      </c>
      <c r="W1945" s="29" t="n">
        <v>31971333</v>
      </c>
      <c r="X1945" s="3" t="n">
        <f aca="false">IF(W1945="","",LN(W1945))</f>
        <v>17.2803502155062</v>
      </c>
      <c r="Y1945" s="3" t="n">
        <f aca="false">IF(X1945="","",X1945-AVERAGEIFS($X$2:$X$2705,$B$2:$B$2705,B1945))</f>
        <v>-0.463587052444691</v>
      </c>
      <c r="Z1945" s="21" t="n">
        <f aca="false">P1945</f>
        <v>-0.741545001118144</v>
      </c>
      <c r="AA1945" s="3" t="n">
        <f aca="false">R1945</f>
        <v>0</v>
      </c>
      <c r="AB1945" s="21" t="n">
        <f aca="false">P1945</f>
        <v>-0.741545001118144</v>
      </c>
      <c r="AC1945" s="3" t="n">
        <f aca="false">Y1945</f>
        <v>-0.463587052444691</v>
      </c>
      <c r="AD1945" s="3" t="n">
        <f aca="false">R1945</f>
        <v>0</v>
      </c>
    </row>
    <row r="1946" customFormat="false" ht="15" hidden="false" customHeight="true" outlineLevel="0" collapsed="false">
      <c r="A1946" s="7" t="s">
        <v>60</v>
      </c>
      <c r="B1946" s="7" t="n">
        <v>2000</v>
      </c>
      <c r="C1946" s="7" t="s">
        <v>146</v>
      </c>
      <c r="D1946" s="7" t="n">
        <v>65</v>
      </c>
      <c r="E1946" s="7" t="n">
        <v>97</v>
      </c>
      <c r="F1946" s="3" t="n">
        <f aca="false">COUNTIFS($B$2:$B$2705,B1946,$C$2:$C$2705,C1946)</f>
        <v>1</v>
      </c>
      <c r="G1946" s="3" t="n">
        <f aca="false">MIN(INT((MIN(B1946,2020)-1900)/10)+1,12)</f>
        <v>11</v>
      </c>
      <c r="H1946" s="3" t="n">
        <f aca="false">(MIN(B1946,2020)-1900-10*(G1946-1))/10</f>
        <v>0</v>
      </c>
      <c r="I1946" s="20" t="n">
        <f aca="false">EXP(LN(INDEX(Pop_Inputs!$B$2:$N$29,MATCH(C1946,Pop_Inputs!$A$2:$A$29,0),G1946))*(1-H1946)+LN(INDEX(Pop_Inputs!$B$2:$N$29,MATCH(C1946,Pop_Inputs!$A$2:$A$29,0),G1946+1))*H1946)</f>
        <v>1517550</v>
      </c>
      <c r="J1946" s="20" t="n">
        <f aca="false">I1946/F1946</f>
        <v>1517550</v>
      </c>
      <c r="K1946" s="21" t="n">
        <f aca="false">D1946/(D1946+E1946)</f>
        <v>0.401234567901235</v>
      </c>
      <c r="L1946" s="21" t="n">
        <f aca="false">AVERAGEIFS($K$2:$K$2705,$B$2:$B$2705,B1946)</f>
        <v>0.500005112082407</v>
      </c>
      <c r="M1946" s="21" t="n">
        <f aca="false">K1946-L1946</f>
        <v>-0.0987705441811722</v>
      </c>
      <c r="N1946" s="21" t="n">
        <f aca="false">LN(J1946)</f>
        <v>14.2326077503021</v>
      </c>
      <c r="O1946" s="21" t="n">
        <f aca="false">AVERAGEIFS($N$2:$N$2705,$B$2:$B$2705,B1946)</f>
        <v>13.639473994442</v>
      </c>
      <c r="P1946" s="21" t="n">
        <f aca="false">N1946-O1946</f>
        <v>0.593133755860139</v>
      </c>
      <c r="Q1946" s="7" t="n">
        <v>0</v>
      </c>
      <c r="R1946" s="3" t="n">
        <f aca="false">IF(AND(Q1946=1,B1946-_xlfn.MINIFS($B$2:$B$2705,$A$2:$A$2705,A1946)&lt;10),1,0)</f>
        <v>0</v>
      </c>
      <c r="S1946" s="7" t="n">
        <v>0</v>
      </c>
      <c r="T1946" s="3" t="n">
        <f aca="false">_xlfn.MINIFS($B$2:$B$2705,$A$2:$A$2705,A1946)</f>
        <v>1901</v>
      </c>
      <c r="U1946" s="3" t="n">
        <f aca="false">B1946-T1946</f>
        <v>99</v>
      </c>
      <c r="V1946" s="3" t="str">
        <f aca="false">INDEX(Pop_Inputs!$Q$2:$Q$29,MATCH(C1946,Pop_Inputs!$A$2:$A$29,0))</f>
        <v>Northeast</v>
      </c>
      <c r="W1946" s="29" t="n">
        <v>47308000</v>
      </c>
      <c r="X1946" s="3" t="n">
        <f aca="false">IF(W1946="","",LN(W1946))</f>
        <v>17.6721899723531</v>
      </c>
      <c r="Y1946" s="3" t="n">
        <f aca="false">IF(X1946="","",X1946-AVERAGEIFS($X$2:$X$2705,$B$2:$B$2705,B1946))</f>
        <v>-0.0717472955977243</v>
      </c>
      <c r="Z1946" s="21" t="n">
        <f aca="false">P1946</f>
        <v>0.593133755860139</v>
      </c>
      <c r="AA1946" s="3" t="n">
        <f aca="false">R1946</f>
        <v>0</v>
      </c>
      <c r="AB1946" s="21" t="n">
        <f aca="false">P1946</f>
        <v>0.593133755860139</v>
      </c>
      <c r="AC1946" s="3" t="n">
        <f aca="false">Y1946</f>
        <v>-0.0717472955977243</v>
      </c>
      <c r="AD1946" s="3" t="n">
        <f aca="false">R1946</f>
        <v>0</v>
      </c>
    </row>
    <row r="1947" customFormat="false" ht="15" hidden="false" customHeight="true" outlineLevel="0" collapsed="false">
      <c r="A1947" s="7" t="s">
        <v>58</v>
      </c>
      <c r="B1947" s="7" t="n">
        <v>2000</v>
      </c>
      <c r="C1947" s="7" t="s">
        <v>144</v>
      </c>
      <c r="D1947" s="7" t="n">
        <v>69</v>
      </c>
      <c r="E1947" s="7" t="n">
        <v>93</v>
      </c>
      <c r="F1947" s="3" t="n">
        <f aca="false">COUNTIFS($B$2:$B$2705,B1947,$C$2:$C$2705,C1947)</f>
        <v>1</v>
      </c>
      <c r="G1947" s="3" t="n">
        <f aca="false">MIN(INT((MIN(B1947,2020)-1900)/10)+1,12)</f>
        <v>11</v>
      </c>
      <c r="H1947" s="3" t="n">
        <f aca="false">(MIN(B1947,2020)-1900-10*(G1947-1))/10</f>
        <v>0</v>
      </c>
      <c r="I1947" s="20" t="n">
        <f aca="false">EXP(LN(INDEX(Pop_Inputs!$B$2:$N$29,MATCH(C1947,Pop_Inputs!$A$2:$A$29,0),G1947))*(1-H1947)+LN(INDEX(Pop_Inputs!$B$2:$N$29,MATCH(C1947,Pop_Inputs!$A$2:$A$29,0),G1947+1))*H1947)</f>
        <v>334563</v>
      </c>
      <c r="J1947" s="20" t="n">
        <f aca="false">I1947/F1947</f>
        <v>334563</v>
      </c>
      <c r="K1947" s="21" t="n">
        <f aca="false">D1947/(D1947+E1947)</f>
        <v>0.425925925925926</v>
      </c>
      <c r="L1947" s="21" t="n">
        <f aca="false">AVERAGEIFS($K$2:$K$2705,$B$2:$B$2705,B1947)</f>
        <v>0.500005112082407</v>
      </c>
      <c r="M1947" s="21" t="n">
        <f aca="false">K1947-L1947</f>
        <v>-0.0740791861564808</v>
      </c>
      <c r="N1947" s="21" t="n">
        <f aca="false">LN(J1947)</f>
        <v>12.7205804816237</v>
      </c>
      <c r="O1947" s="21" t="n">
        <f aca="false">AVERAGEIFS($N$2:$N$2705,$B$2:$B$2705,B1947)</f>
        <v>13.639473994442</v>
      </c>
      <c r="P1947" s="21" t="n">
        <f aca="false">N1947-O1947</f>
        <v>-0.918893512818315</v>
      </c>
      <c r="Q1947" s="7" t="n">
        <v>0</v>
      </c>
      <c r="R1947" s="3" t="n">
        <f aca="false">IF(AND(Q1947=1,B1947-_xlfn.MINIFS($B$2:$B$2705,$A$2:$A$2705,A1947)&lt;10),1,0)</f>
        <v>0</v>
      </c>
      <c r="S1947" s="7" t="n">
        <v>0</v>
      </c>
      <c r="T1947" s="3" t="n">
        <f aca="false">_xlfn.MINIFS($B$2:$B$2705,$A$2:$A$2705,A1947)</f>
        <v>1901</v>
      </c>
      <c r="U1947" s="3" t="n">
        <f aca="false">B1947-T1947</f>
        <v>99</v>
      </c>
      <c r="V1947" s="3" t="str">
        <f aca="false">INDEX(Pop_Inputs!$Q$2:$Q$29,MATCH(C1947,Pop_Inputs!$A$2:$A$29,0))</f>
        <v>Northeast</v>
      </c>
      <c r="W1947" s="29" t="n">
        <v>28928334</v>
      </c>
      <c r="X1947" s="3" t="n">
        <f aca="false">IF(W1947="","",LN(W1947))</f>
        <v>17.1803320880145</v>
      </c>
      <c r="Y1947" s="3" t="n">
        <f aca="false">IF(X1947="","",X1947-AVERAGEIFS($X$2:$X$2705,$B$2:$B$2705,B1947))</f>
        <v>-0.563605179936403</v>
      </c>
      <c r="Z1947" s="21" t="n">
        <f aca="false">P1947</f>
        <v>-0.918893512818315</v>
      </c>
      <c r="AA1947" s="3" t="n">
        <f aca="false">R1947</f>
        <v>0</v>
      </c>
      <c r="AB1947" s="21" t="n">
        <f aca="false">P1947</f>
        <v>-0.918893512818315</v>
      </c>
      <c r="AC1947" s="3" t="n">
        <f aca="false">Y1947</f>
        <v>-0.563605179936403</v>
      </c>
      <c r="AD1947" s="3" t="n">
        <f aca="false">R1947</f>
        <v>0</v>
      </c>
    </row>
    <row r="1948" customFormat="false" ht="15" hidden="false" customHeight="true" outlineLevel="0" collapsed="false">
      <c r="A1948" s="7" t="s">
        <v>78</v>
      </c>
      <c r="B1948" s="7" t="n">
        <v>2000</v>
      </c>
      <c r="C1948" s="7" t="s">
        <v>159</v>
      </c>
      <c r="D1948" s="7" t="n">
        <v>76</v>
      </c>
      <c r="E1948" s="7" t="n">
        <v>86</v>
      </c>
      <c r="F1948" s="3" t="n">
        <f aca="false">COUNTIFS($B$2:$B$2705,B1948,$C$2:$C$2705,C1948)</f>
        <v>1</v>
      </c>
      <c r="G1948" s="3" t="n">
        <f aca="false">MIN(INT((MIN(B1948,2020)-1900)/10)+1,12)</f>
        <v>11</v>
      </c>
      <c r="H1948" s="3" t="n">
        <f aca="false">(MIN(B1948,2020)-1900-10*(G1948-1))/10</f>
        <v>0</v>
      </c>
      <c r="I1948" s="20" t="n">
        <f aca="false">EXP(LN(INDEX(Pop_Inputs!$B$2:$N$29,MATCH(C1948,Pop_Inputs!$A$2:$A$29,0),G1948))*(1-H1948)+LN(INDEX(Pop_Inputs!$B$2:$N$29,MATCH(C1948,Pop_Inputs!$A$2:$A$29,0),G1948+1))*H1948)</f>
        <v>1223400</v>
      </c>
      <c r="J1948" s="20" t="n">
        <f aca="false">I1948/F1948</f>
        <v>1223400</v>
      </c>
      <c r="K1948" s="21" t="n">
        <f aca="false">D1948/(D1948+E1948)</f>
        <v>0.469135802469136</v>
      </c>
      <c r="L1948" s="21" t="n">
        <f aca="false">AVERAGEIFS($K$2:$K$2705,$B$2:$B$2705,B1948)</f>
        <v>0.500005112082407</v>
      </c>
      <c r="M1948" s="21" t="n">
        <f aca="false">K1948-L1948</f>
        <v>-0.0308693096132709</v>
      </c>
      <c r="N1948" s="21" t="n">
        <f aca="false">LN(J1948)</f>
        <v>14.0171444257906</v>
      </c>
      <c r="O1948" s="21" t="n">
        <f aca="false">AVERAGEIFS($N$2:$N$2705,$B$2:$B$2705,B1948)</f>
        <v>13.639473994442</v>
      </c>
      <c r="P1948" s="21" t="n">
        <f aca="false">N1948-O1948</f>
        <v>0.377670431348594</v>
      </c>
      <c r="Q1948" s="7" t="n">
        <v>1</v>
      </c>
      <c r="R1948" s="3" t="n">
        <f aca="false">IF(AND(Q1948=1,B1948-_xlfn.MINIFS($B$2:$B$2705,$A$2:$A$2705,A1948)&lt;10),1,0)</f>
        <v>0</v>
      </c>
      <c r="S1948" s="7" t="n">
        <v>0</v>
      </c>
      <c r="T1948" s="3" t="n">
        <f aca="false">_xlfn.MINIFS($B$2:$B$2705,$A$2:$A$2705,A1948)</f>
        <v>1969</v>
      </c>
      <c r="U1948" s="3" t="n">
        <f aca="false">B1948-T1948</f>
        <v>31</v>
      </c>
      <c r="V1948" s="3" t="str">
        <f aca="false">INDEX(Pop_Inputs!$Q$2:$Q$29,MATCH(C1948,Pop_Inputs!$A$2:$A$29,0))</f>
        <v>West</v>
      </c>
      <c r="W1948" s="29" t="n">
        <v>54821000</v>
      </c>
      <c r="X1948" s="3" t="n">
        <f aca="false">IF(W1948="","",LN(W1948))</f>
        <v>17.8195838901902</v>
      </c>
      <c r="Y1948" s="3" t="n">
        <f aca="false">IF(X1948="","",X1948-AVERAGEIFS($X$2:$X$2705,$B$2:$B$2705,B1948))</f>
        <v>0.0756466222393648</v>
      </c>
      <c r="Z1948" s="21" t="n">
        <f aca="false">P1948</f>
        <v>0.377670431348594</v>
      </c>
      <c r="AA1948" s="3" t="n">
        <f aca="false">R1948</f>
        <v>0</v>
      </c>
      <c r="AB1948" s="21" t="n">
        <f aca="false">P1948</f>
        <v>0.377670431348594</v>
      </c>
      <c r="AC1948" s="3" t="n">
        <f aca="false">Y1948</f>
        <v>0.0756466222393648</v>
      </c>
      <c r="AD1948" s="3" t="n">
        <f aca="false">R1948</f>
        <v>0</v>
      </c>
    </row>
    <row r="1949" customFormat="false" ht="15" hidden="false" customHeight="true" outlineLevel="0" collapsed="false">
      <c r="A1949" s="7" t="s">
        <v>80</v>
      </c>
      <c r="B1949" s="7" t="n">
        <v>2000</v>
      </c>
      <c r="C1949" s="7" t="s">
        <v>161</v>
      </c>
      <c r="D1949" s="7" t="n">
        <v>91</v>
      </c>
      <c r="E1949" s="7" t="n">
        <v>71</v>
      </c>
      <c r="F1949" s="3" t="n">
        <f aca="false">COUNTIFS($B$2:$B$2705,B1949,$C$2:$C$2705,C1949)</f>
        <v>1</v>
      </c>
      <c r="G1949" s="3" t="n">
        <f aca="false">MIN(INT((MIN(B1949,2020)-1900)/10)+1,12)</f>
        <v>11</v>
      </c>
      <c r="H1949" s="3" t="n">
        <f aca="false">(MIN(B1949,2020)-1900-10*(G1949-1))/10</f>
        <v>0</v>
      </c>
      <c r="I1949" s="20" t="n">
        <f aca="false">EXP(LN(INDEX(Pop_Inputs!$B$2:$N$29,MATCH(C1949,Pop_Inputs!$A$2:$A$29,0),G1949))*(1-H1949)+LN(INDEX(Pop_Inputs!$B$2:$N$29,MATCH(C1949,Pop_Inputs!$A$2:$A$29,0),G1949+1))*H1949)</f>
        <v>563374</v>
      </c>
      <c r="J1949" s="20" t="n">
        <f aca="false">I1949/F1949</f>
        <v>563374</v>
      </c>
      <c r="K1949" s="21" t="n">
        <f aca="false">D1949/(D1949+E1949)</f>
        <v>0.561728395061728</v>
      </c>
      <c r="L1949" s="21" t="n">
        <f aca="false">AVERAGEIFS($K$2:$K$2705,$B$2:$B$2705,B1949)</f>
        <v>0.500005112082407</v>
      </c>
      <c r="M1949" s="21" t="n">
        <f aca="false">K1949-L1949</f>
        <v>0.0617232829793217</v>
      </c>
      <c r="N1949" s="21" t="n">
        <f aca="false">LN(J1949)</f>
        <v>13.2416989849747</v>
      </c>
      <c r="O1949" s="21" t="n">
        <f aca="false">AVERAGEIFS($N$2:$N$2705,$B$2:$B$2705,B1949)</f>
        <v>13.639473994442</v>
      </c>
      <c r="P1949" s="21" t="n">
        <f aca="false">N1949-O1949</f>
        <v>-0.397775009467274</v>
      </c>
      <c r="Q1949" s="7" t="n">
        <v>1</v>
      </c>
      <c r="R1949" s="3" t="n">
        <f aca="false">IF(AND(Q1949=1,B1949-_xlfn.MINIFS($B$2:$B$2705,$A$2:$A$2705,A1949)&lt;10),1,0)</f>
        <v>0</v>
      </c>
      <c r="S1949" s="7" t="n">
        <v>0</v>
      </c>
      <c r="T1949" s="3" t="n">
        <f aca="false">_xlfn.MINIFS($B$2:$B$2705,$A$2:$A$2705,A1949)</f>
        <v>1977</v>
      </c>
      <c r="U1949" s="3" t="n">
        <f aca="false">B1949-T1949</f>
        <v>23</v>
      </c>
      <c r="V1949" s="3" t="str">
        <f aca="false">INDEX(Pop_Inputs!$Q$2:$Q$29,MATCH(C1949,Pop_Inputs!$A$2:$A$29,0))</f>
        <v>West</v>
      </c>
      <c r="W1949" s="29" t="n">
        <v>58915000</v>
      </c>
      <c r="X1949" s="3" t="n">
        <f aca="false">IF(W1949="","",LN(W1949))</f>
        <v>17.8916062851296</v>
      </c>
      <c r="Y1949" s="3" t="n">
        <f aca="false">IF(X1949="","",X1949-AVERAGEIFS($X$2:$X$2705,$B$2:$B$2705,B1949))</f>
        <v>0.147669017178711</v>
      </c>
      <c r="Z1949" s="21" t="n">
        <f aca="false">P1949</f>
        <v>-0.397775009467274</v>
      </c>
      <c r="AA1949" s="3" t="n">
        <f aca="false">R1949</f>
        <v>0</v>
      </c>
      <c r="AB1949" s="21" t="n">
        <f aca="false">P1949</f>
        <v>-0.397775009467274</v>
      </c>
      <c r="AC1949" s="3" t="n">
        <f aca="false">Y1949</f>
        <v>0.147669017178711</v>
      </c>
      <c r="AD1949" s="3" t="n">
        <f aca="false">R1949</f>
        <v>0</v>
      </c>
    </row>
    <row r="1950" customFormat="false" ht="15" hidden="false" customHeight="true" outlineLevel="0" collapsed="false">
      <c r="A1950" s="7" t="s">
        <v>61</v>
      </c>
      <c r="B1950" s="7" t="n">
        <v>2000</v>
      </c>
      <c r="C1950" s="7" t="s">
        <v>147</v>
      </c>
      <c r="D1950" s="7" t="n">
        <v>97</v>
      </c>
      <c r="E1950" s="7" t="n">
        <v>65</v>
      </c>
      <c r="F1950" s="3" t="n">
        <f aca="false">COUNTIFS($B$2:$B$2705,B1950,$C$2:$C$2705,C1950)</f>
        <v>1</v>
      </c>
      <c r="G1950" s="3" t="n">
        <f aca="false">MIN(INT((MIN(B1950,2020)-1900)/10)+1,12)</f>
        <v>11</v>
      </c>
      <c r="H1950" s="3" t="n">
        <f aca="false">(MIN(B1950,2020)-1900-10*(G1950-1))/10</f>
        <v>0</v>
      </c>
      <c r="I1950" s="20" t="n">
        <f aca="false">EXP(LN(INDEX(Pop_Inputs!$B$2:$N$29,MATCH(C1950,Pop_Inputs!$A$2:$A$29,0),G1950))*(1-H1950)+LN(INDEX(Pop_Inputs!$B$2:$N$29,MATCH(C1950,Pop_Inputs!$A$2:$A$29,0),G1950+1))*H1950)</f>
        <v>776733</v>
      </c>
      <c r="J1950" s="20" t="n">
        <f aca="false">I1950/F1950</f>
        <v>776733</v>
      </c>
      <c r="K1950" s="21" t="n">
        <f aca="false">D1950/(D1950+E1950)</f>
        <v>0.598765432098765</v>
      </c>
      <c r="L1950" s="21" t="n">
        <f aca="false">AVERAGEIFS($K$2:$K$2705,$B$2:$B$2705,B1950)</f>
        <v>0.500005112082407</v>
      </c>
      <c r="M1950" s="21" t="n">
        <f aca="false">K1950-L1950</f>
        <v>0.0987603200163587</v>
      </c>
      <c r="N1950" s="21" t="n">
        <f aca="false">LN(J1950)</f>
        <v>13.5628519409521</v>
      </c>
      <c r="O1950" s="21" t="n">
        <f aca="false">AVERAGEIFS($N$2:$N$2705,$B$2:$B$2705,B1950)</f>
        <v>13.639473994442</v>
      </c>
      <c r="P1950" s="21" t="n">
        <f aca="false">N1950-O1950</f>
        <v>-0.0766220534899436</v>
      </c>
      <c r="Q1950" s="7" t="n">
        <v>0</v>
      </c>
      <c r="R1950" s="3" t="n">
        <f aca="false">IF(AND(Q1950=1,B1950-_xlfn.MINIFS($B$2:$B$2705,$A$2:$A$2705,A1950)&lt;10),1,0)</f>
        <v>0</v>
      </c>
      <c r="S1950" s="7" t="n">
        <v>0</v>
      </c>
      <c r="T1950" s="3" t="n">
        <f aca="false">_xlfn.MINIFS($B$2:$B$2705,$A$2:$A$2705,A1950)</f>
        <v>1901</v>
      </c>
      <c r="U1950" s="3" t="n">
        <f aca="false">B1950-T1950</f>
        <v>99</v>
      </c>
      <c r="V1950" s="3" t="str">
        <f aca="false">INDEX(Pop_Inputs!$Q$2:$Q$29,MATCH(C1950,Pop_Inputs!$A$2:$A$29,0))</f>
        <v>West</v>
      </c>
      <c r="W1950" s="29" t="n">
        <v>53737826</v>
      </c>
      <c r="X1950" s="3" t="n">
        <f aca="false">IF(W1950="","",LN(W1950))</f>
        <v>17.7996277062954</v>
      </c>
      <c r="Y1950" s="3" t="n">
        <f aca="false">IF(X1950="","",X1950-AVERAGEIFS($X$2:$X$2705,$B$2:$B$2705,B1950))</f>
        <v>0.0556904383445023</v>
      </c>
      <c r="Z1950" s="21" t="n">
        <f aca="false">P1950</f>
        <v>-0.0766220534899436</v>
      </c>
      <c r="AA1950" s="3" t="n">
        <f aca="false">R1950</f>
        <v>0</v>
      </c>
      <c r="AB1950" s="21" t="n">
        <f aca="false">P1950</f>
        <v>-0.0766220534899436</v>
      </c>
      <c r="AC1950" s="3" t="n">
        <f aca="false">Y1950</f>
        <v>0.0556904383445023</v>
      </c>
      <c r="AD1950" s="3" t="n">
        <f aca="false">R1950</f>
        <v>0</v>
      </c>
    </row>
    <row r="1951" customFormat="false" ht="15" hidden="false" customHeight="true" outlineLevel="0" collapsed="false">
      <c r="A1951" s="7" t="s">
        <v>59</v>
      </c>
      <c r="B1951" s="7" t="n">
        <v>2000</v>
      </c>
      <c r="C1951" s="7" t="s">
        <v>145</v>
      </c>
      <c r="D1951" s="7" t="n">
        <v>95</v>
      </c>
      <c r="E1951" s="7" t="n">
        <v>67</v>
      </c>
      <c r="F1951" s="3" t="n">
        <f aca="false">COUNTIFS($B$2:$B$2705,B1951,$C$2:$C$2705,C1951)</f>
        <v>1</v>
      </c>
      <c r="G1951" s="3" t="n">
        <f aca="false">MIN(INT((MIN(B1951,2020)-1900)/10)+1,12)</f>
        <v>11</v>
      </c>
      <c r="H1951" s="3" t="n">
        <f aca="false">(MIN(B1951,2020)-1900-10*(G1951-1))/10</f>
        <v>0</v>
      </c>
      <c r="I1951" s="20" t="n">
        <f aca="false">EXP(LN(INDEX(Pop_Inputs!$B$2:$N$29,MATCH(C1951,Pop_Inputs!$A$2:$A$29,0),G1951))*(1-H1951)+LN(INDEX(Pop_Inputs!$B$2:$N$29,MATCH(C1951,Pop_Inputs!$A$2:$A$29,0),G1951+1))*H1951)</f>
        <v>348189</v>
      </c>
      <c r="J1951" s="20" t="n">
        <f aca="false">I1951/F1951</f>
        <v>348189</v>
      </c>
      <c r="K1951" s="21" t="n">
        <f aca="false">D1951/(D1951+E1951)</f>
        <v>0.58641975308642</v>
      </c>
      <c r="L1951" s="21" t="n">
        <f aca="false">AVERAGEIFS($K$2:$K$2705,$B$2:$B$2705,B1951)</f>
        <v>0.500005112082407</v>
      </c>
      <c r="M1951" s="21" t="n">
        <f aca="false">K1951-L1951</f>
        <v>0.0864146410040131</v>
      </c>
      <c r="N1951" s="21" t="n">
        <f aca="false">LN(J1951)</f>
        <v>12.7605007147776</v>
      </c>
      <c r="O1951" s="21" t="n">
        <f aca="false">AVERAGEIFS($N$2:$N$2705,$B$2:$B$2705,B1951)</f>
        <v>13.639473994442</v>
      </c>
      <c r="P1951" s="21" t="n">
        <f aca="false">N1951-O1951</f>
        <v>-0.878973279664422</v>
      </c>
      <c r="Q1951" s="7" t="n">
        <v>0</v>
      </c>
      <c r="R1951" s="3" t="n">
        <f aca="false">IF(AND(Q1951=1,B1951-_xlfn.MINIFS($B$2:$B$2705,$A$2:$A$2705,A1951)&lt;10),1,0)</f>
        <v>0</v>
      </c>
      <c r="S1951" s="7" t="n">
        <v>0</v>
      </c>
      <c r="T1951" s="3" t="n">
        <f aca="false">_xlfn.MINIFS($B$2:$B$2705,$A$2:$A$2705,A1951)</f>
        <v>1901</v>
      </c>
      <c r="U1951" s="3" t="n">
        <f aca="false">B1951-T1951</f>
        <v>99</v>
      </c>
      <c r="V1951" s="3" t="str">
        <f aca="false">INDEX(Pop_Inputs!$Q$2:$Q$29,MATCH(C1951,Pop_Inputs!$A$2:$A$29,0))</f>
        <v>Midwest</v>
      </c>
      <c r="W1951" s="29" t="n">
        <v>61453863</v>
      </c>
      <c r="X1951" s="3" t="n">
        <f aca="false">IF(W1951="","",LN(W1951))</f>
        <v>17.9337972561176</v>
      </c>
      <c r="Y1951" s="3" t="n">
        <f aca="false">IF(X1951="","",X1951-AVERAGEIFS($X$2:$X$2705,$B$2:$B$2705,B1951))</f>
        <v>0.189859988166752</v>
      </c>
      <c r="Z1951" s="21" t="n">
        <f aca="false">P1951</f>
        <v>-0.878973279664422</v>
      </c>
      <c r="AA1951" s="3" t="n">
        <f aca="false">R1951</f>
        <v>0</v>
      </c>
      <c r="AB1951" s="21" t="n">
        <f aca="false">P1951</f>
        <v>-0.878973279664422</v>
      </c>
      <c r="AC1951" s="3" t="n">
        <f aca="false">Y1951</f>
        <v>0.189859988166752</v>
      </c>
      <c r="AD1951" s="3" t="n">
        <f aca="false">R1951</f>
        <v>0</v>
      </c>
    </row>
    <row r="1952" customFormat="false" ht="15" hidden="false" customHeight="true" outlineLevel="0" collapsed="false">
      <c r="A1952" s="7" t="s">
        <v>85</v>
      </c>
      <c r="B1952" s="7" t="n">
        <v>2000</v>
      </c>
      <c r="C1952" s="7" t="s">
        <v>166</v>
      </c>
      <c r="D1952" s="7" t="n">
        <v>69</v>
      </c>
      <c r="E1952" s="7" t="n">
        <v>92</v>
      </c>
      <c r="F1952" s="3" t="n">
        <f aca="false">COUNTIFS($B$2:$B$2705,B1952,$C$2:$C$2705,C1952)</f>
        <v>1</v>
      </c>
      <c r="G1952" s="3" t="n">
        <f aca="false">MIN(INT((MIN(B1952,2020)-1900)/10)+1,12)</f>
        <v>11</v>
      </c>
      <c r="H1952" s="3" t="n">
        <f aca="false">(MIN(B1952,2020)-1900-10*(G1952-1))/10</f>
        <v>0</v>
      </c>
      <c r="I1952" s="20" t="n">
        <f aca="false">EXP(LN(INDEX(Pop_Inputs!$B$2:$N$29,MATCH(C1952,Pop_Inputs!$A$2:$A$29,0),G1952))*(1-H1952)+LN(INDEX(Pop_Inputs!$B$2:$N$29,MATCH(C1952,Pop_Inputs!$A$2:$A$29,0),G1952+1))*H1952)</f>
        <v>303447</v>
      </c>
      <c r="J1952" s="20" t="n">
        <f aca="false">I1952/F1952</f>
        <v>303447</v>
      </c>
      <c r="K1952" s="21" t="n">
        <f aca="false">D1952/(D1952+E1952)</f>
        <v>0.428571428571429</v>
      </c>
      <c r="L1952" s="21" t="n">
        <f aca="false">AVERAGEIFS($K$2:$K$2705,$B$2:$B$2705,B1952)</f>
        <v>0.500005112082407</v>
      </c>
      <c r="M1952" s="21" t="n">
        <f aca="false">K1952-L1952</f>
        <v>-0.0714336835109782</v>
      </c>
      <c r="N1952" s="21" t="n">
        <f aca="false">LN(J1952)</f>
        <v>12.6229622449077</v>
      </c>
      <c r="O1952" s="21" t="n">
        <f aca="false">AVERAGEIFS($N$2:$N$2705,$B$2:$B$2705,B1952)</f>
        <v>13.639473994442</v>
      </c>
      <c r="P1952" s="21" t="n">
        <f aca="false">N1952-O1952</f>
        <v>-1.01651174953434</v>
      </c>
      <c r="Q1952" s="7" t="n">
        <v>1</v>
      </c>
      <c r="R1952" s="3" t="n">
        <f aca="false">IF(AND(Q1952=1,B1952-_xlfn.MINIFS($B$2:$B$2705,$A$2:$A$2705,A1952)&lt;10),1,0)</f>
        <v>1</v>
      </c>
      <c r="S1952" s="7" t="n">
        <v>0</v>
      </c>
      <c r="T1952" s="3" t="n">
        <f aca="false">_xlfn.MINIFS($B$2:$B$2705,$A$2:$A$2705,A1952)</f>
        <v>1998</v>
      </c>
      <c r="U1952" s="3" t="n">
        <f aca="false">B1952-T1952</f>
        <v>2</v>
      </c>
      <c r="V1952" s="3" t="str">
        <f aca="false">INDEX(Pop_Inputs!$Q$2:$Q$29,MATCH(C1952,Pop_Inputs!$A$2:$A$29,0))</f>
        <v>South</v>
      </c>
      <c r="W1952" s="29" t="n">
        <v>62765129</v>
      </c>
      <c r="X1952" s="3" t="n">
        <f aca="false">IF(W1952="","",LN(W1952))</f>
        <v>17.9549102065179</v>
      </c>
      <c r="Y1952" s="3" t="n">
        <f aca="false">IF(X1952="","",X1952-AVERAGEIFS($X$2:$X$2705,$B$2:$B$2705,B1952))</f>
        <v>0.210972938567053</v>
      </c>
      <c r="Z1952" s="21" t="n">
        <f aca="false">P1952</f>
        <v>-1.01651174953434</v>
      </c>
      <c r="AA1952" s="3" t="n">
        <f aca="false">R1952</f>
        <v>1</v>
      </c>
      <c r="AB1952" s="21" t="n">
        <f aca="false">P1952</f>
        <v>-1.01651174953434</v>
      </c>
      <c r="AC1952" s="3" t="n">
        <f aca="false">Y1952</f>
        <v>0.210972938567053</v>
      </c>
      <c r="AD1952" s="3" t="n">
        <f aca="false">R1952</f>
        <v>1</v>
      </c>
    </row>
    <row r="1953" customFormat="false" ht="15" hidden="false" customHeight="true" outlineLevel="0" collapsed="false">
      <c r="A1953" s="7" t="s">
        <v>73</v>
      </c>
      <c r="B1953" s="7" t="n">
        <v>2000</v>
      </c>
      <c r="C1953" s="7" t="s">
        <v>155</v>
      </c>
      <c r="D1953" s="7" t="n">
        <v>71</v>
      </c>
      <c r="E1953" s="7" t="n">
        <v>91</v>
      </c>
      <c r="F1953" s="3" t="n">
        <f aca="false">COUNTIFS($B$2:$B$2705,B1953,$C$2:$C$2705,C1953)</f>
        <v>1</v>
      </c>
      <c r="G1953" s="3" t="n">
        <f aca="false">MIN(INT((MIN(B1953,2020)-1900)/10)+1,12)</f>
        <v>11</v>
      </c>
      <c r="H1953" s="3" t="n">
        <f aca="false">(MIN(B1953,2020)-1900-10*(G1953-1))/10</f>
        <v>0</v>
      </c>
      <c r="I1953" s="20" t="n">
        <f aca="false">EXP(LN(INDEX(Pop_Inputs!$B$2:$N$29,MATCH(C1953,Pop_Inputs!$A$2:$A$29,0),G1953))*(1-H1953)+LN(INDEX(Pop_Inputs!$B$2:$N$29,MATCH(C1953,Pop_Inputs!$A$2:$A$29,0),G1953+1))*H1953)</f>
        <v>1188580</v>
      </c>
      <c r="J1953" s="20" t="n">
        <f aca="false">I1953/F1953</f>
        <v>1188580</v>
      </c>
      <c r="K1953" s="21" t="n">
        <f aca="false">D1953/(D1953+E1953)</f>
        <v>0.438271604938272</v>
      </c>
      <c r="L1953" s="21" t="n">
        <f aca="false">AVERAGEIFS($K$2:$K$2705,$B$2:$B$2705,B1953)</f>
        <v>0.500005112082407</v>
      </c>
      <c r="M1953" s="21" t="n">
        <f aca="false">K1953-L1953</f>
        <v>-0.0617335071441351</v>
      </c>
      <c r="N1953" s="21" t="n">
        <f aca="false">LN(J1953)</f>
        <v>13.9882698752545</v>
      </c>
      <c r="O1953" s="21" t="n">
        <f aca="false">AVERAGEIFS($N$2:$N$2705,$B$2:$B$2705,B1953)</f>
        <v>13.639473994442</v>
      </c>
      <c r="P1953" s="21" t="n">
        <f aca="false">N1953-O1953</f>
        <v>0.34879588081253</v>
      </c>
      <c r="Q1953" s="7" t="n">
        <v>1</v>
      </c>
      <c r="R1953" s="3" t="n">
        <f aca="false">IF(AND(Q1953=1,B1953-_xlfn.MINIFS($B$2:$B$2705,$A$2:$A$2705,A1953)&lt;10),1,0)</f>
        <v>0</v>
      </c>
      <c r="S1953" s="7" t="n">
        <v>0</v>
      </c>
      <c r="T1953" s="3" t="n">
        <f aca="false">_xlfn.MINIFS($B$2:$B$2705,$A$2:$A$2705,A1953)</f>
        <v>1961</v>
      </c>
      <c r="U1953" s="3" t="n">
        <f aca="false">B1953-T1953</f>
        <v>39</v>
      </c>
      <c r="V1953" s="3" t="str">
        <f aca="false">INDEX(Pop_Inputs!$Q$2:$Q$29,MATCH(C1953,Pop_Inputs!$A$2:$A$29,0))</f>
        <v>South</v>
      </c>
      <c r="W1953" s="29" t="n">
        <v>70795921</v>
      </c>
      <c r="X1953" s="3" t="n">
        <f aca="false">IF(W1953="","",LN(W1953))</f>
        <v>18.0753119440099</v>
      </c>
      <c r="Y1953" s="3" t="n">
        <f aca="false">IF(X1953="","",X1953-AVERAGEIFS($X$2:$X$2705,$B$2:$B$2705,B1953))</f>
        <v>0.331374676059035</v>
      </c>
      <c r="Z1953" s="21" t="n">
        <f aca="false">P1953</f>
        <v>0.34879588081253</v>
      </c>
      <c r="AA1953" s="3" t="n">
        <f aca="false">R1953</f>
        <v>0</v>
      </c>
      <c r="AB1953" s="21" t="n">
        <f aca="false">P1953</f>
        <v>0.34879588081253</v>
      </c>
      <c r="AC1953" s="3" t="n">
        <f aca="false">Y1953</f>
        <v>0.331374676059035</v>
      </c>
      <c r="AD1953" s="3" t="n">
        <f aca="false">R1953</f>
        <v>0</v>
      </c>
    </row>
    <row r="1954" customFormat="false" ht="15" hidden="false" customHeight="true" outlineLevel="0" collapsed="false">
      <c r="A1954" s="7" t="s">
        <v>81</v>
      </c>
      <c r="B1954" s="7" t="n">
        <v>2000</v>
      </c>
      <c r="C1954" s="7" t="s">
        <v>162</v>
      </c>
      <c r="D1954" s="7" t="n">
        <v>83</v>
      </c>
      <c r="E1954" s="7" t="n">
        <v>79</v>
      </c>
      <c r="F1954" s="3" t="n">
        <f aca="false">COUNTIFS($B$2:$B$2705,B1954,$C$2:$C$2705,C1954)</f>
        <v>1</v>
      </c>
      <c r="G1954" s="3" t="n">
        <f aca="false">MIN(INT((MIN(B1954,2020)-1900)/10)+1,12)</f>
        <v>11</v>
      </c>
      <c r="H1954" s="3" t="n">
        <f aca="false">(MIN(B1954,2020)-1900-10*(G1954-1))/10</f>
        <v>0</v>
      </c>
      <c r="I1954" s="20" t="n">
        <f aca="false">EXP(LN(INDEX(Pop_Inputs!$B$2:$N$29,MATCH(C1954,Pop_Inputs!$A$2:$A$29,0),G1954))*(1-H1954)+LN(INDEX(Pop_Inputs!$B$2:$N$29,MATCH(C1954,Pop_Inputs!$A$2:$A$29,0),G1954+1))*H1954)</f>
        <v>2481494</v>
      </c>
      <c r="J1954" s="20" t="n">
        <f aca="false">I1954/F1954</f>
        <v>2481494</v>
      </c>
      <c r="K1954" s="21" t="n">
        <f aca="false">D1954/(D1954+E1954)</f>
        <v>0.512345679012346</v>
      </c>
      <c r="L1954" s="21" t="n">
        <f aca="false">AVERAGEIFS($K$2:$K$2705,$B$2:$B$2705,B1954)</f>
        <v>0.500005112082407</v>
      </c>
      <c r="M1954" s="21" t="n">
        <f aca="false">K1954-L1954</f>
        <v>0.012340566929939</v>
      </c>
      <c r="N1954" s="21" t="n">
        <f aca="false">LN(J1954)</f>
        <v>14.7243713561143</v>
      </c>
      <c r="O1954" s="21" t="n">
        <f aca="false">AVERAGEIFS($N$2:$N$2705,$B$2:$B$2705,B1954)</f>
        <v>13.639473994442</v>
      </c>
      <c r="P1954" s="21" t="n">
        <f aca="false">N1954-O1954</f>
        <v>1.0848973616723</v>
      </c>
      <c r="Q1954" s="7" t="n">
        <v>1</v>
      </c>
      <c r="R1954" s="3" t="n">
        <f aca="false">IF(AND(Q1954=1,B1954-_xlfn.MINIFS($B$2:$B$2705,$A$2:$A$2705,A1954)&lt;10),1,0)</f>
        <v>0</v>
      </c>
      <c r="S1954" s="7" t="n">
        <v>0</v>
      </c>
      <c r="T1954" s="3" t="n">
        <f aca="false">_xlfn.MINIFS($B$2:$B$2705,$A$2:$A$2705,A1954)</f>
        <v>1977</v>
      </c>
      <c r="U1954" s="3" t="n">
        <f aca="false">B1954-T1954</f>
        <v>23</v>
      </c>
      <c r="V1954" s="3" t="str">
        <f aca="false">INDEX(Pop_Inputs!$Q$2:$Q$29,MATCH(C1954,Pop_Inputs!$A$2:$A$29,0))</f>
        <v>Canada</v>
      </c>
      <c r="W1954" s="29" t="n">
        <v>44838332</v>
      </c>
      <c r="X1954" s="3" t="n">
        <f aca="false">IF(W1954="","",LN(W1954))</f>
        <v>17.6185739565468</v>
      </c>
      <c r="Y1954" s="3" t="n">
        <f aca="false">IF(X1954="","",X1954-AVERAGEIFS($X$2:$X$2705,$B$2:$B$2705,B1954))</f>
        <v>-0.125363311404062</v>
      </c>
      <c r="Z1954" s="21" t="n">
        <f aca="false">P1954</f>
        <v>1.0848973616723</v>
      </c>
      <c r="AA1954" s="3" t="n">
        <f aca="false">R1954</f>
        <v>0</v>
      </c>
      <c r="AB1954" s="21" t="n">
        <f aca="false">P1954</f>
        <v>1.0848973616723</v>
      </c>
      <c r="AC1954" s="3" t="n">
        <f aca="false">Y1954</f>
        <v>-0.125363311404062</v>
      </c>
      <c r="AD1954" s="3" t="n">
        <f aca="false">R1954</f>
        <v>0</v>
      </c>
    </row>
    <row r="1955" customFormat="false" ht="15" hidden="false" customHeight="true" outlineLevel="0" collapsed="false">
      <c r="A1955" s="7" t="s">
        <v>79</v>
      </c>
      <c r="B1955" s="7" t="n">
        <v>2000</v>
      </c>
      <c r="C1955" s="7" t="s">
        <v>254</v>
      </c>
      <c r="D1955" s="7" t="n">
        <v>67</v>
      </c>
      <c r="E1955" s="7" t="n">
        <v>95</v>
      </c>
      <c r="F1955" s="3" t="n">
        <f aca="false">COUNTIFS($B$2:$B$2705,B1955,$C$2:$C$2705,C1955)</f>
        <v>1</v>
      </c>
      <c r="G1955" s="3" t="n">
        <f aca="false">MIN(INT((MIN(B1955,2020)-1900)/10)+1,12)</f>
        <v>11</v>
      </c>
      <c r="H1955" s="3" t="n">
        <f aca="false">(MIN(B1955,2020)-1900-10*(G1955-1))/10</f>
        <v>0</v>
      </c>
      <c r="I1955" s="20" t="n">
        <f aca="false">EXP(LN(INDEX(Pop_Inputs!$B$2:$N$29,MATCH(C1955,Pop_Inputs!$A$2:$A$29,0),G1955))*(1-H1955)+LN(INDEX(Pop_Inputs!$B$2:$N$29,MATCH(C1955,Pop_Inputs!$A$2:$A$29,0),G1955+1))*H1955)</f>
        <v>1039534</v>
      </c>
      <c r="J1955" s="20" t="n">
        <f aca="false">I1955/F1955</f>
        <v>1039534</v>
      </c>
      <c r="K1955" s="21" t="n">
        <f aca="false">D1955/(D1955+E1955)</f>
        <v>0.41358024691358</v>
      </c>
      <c r="L1955" s="21" t="n">
        <f aca="false">AVERAGEIFS($K$2:$K$2705,$B$2:$B$2705,B1955)</f>
        <v>0.500005112082407</v>
      </c>
      <c r="M1955" s="21" t="n">
        <f aca="false">K1955-L1955</f>
        <v>-0.0864248651688265</v>
      </c>
      <c r="N1955" s="21" t="n">
        <f aca="false">LN(J1955)</f>
        <v>13.854283093778</v>
      </c>
      <c r="O1955" s="21" t="n">
        <f aca="false">AVERAGEIFS($N$2:$N$2705,$B$2:$B$2705,B1955)</f>
        <v>13.639473994442</v>
      </c>
      <c r="P1955" s="21" t="n">
        <f aca="false">N1955-O1955</f>
        <v>0.21480909933601</v>
      </c>
      <c r="Q1955" s="7" t="n">
        <v>1</v>
      </c>
      <c r="R1955" s="3" t="n">
        <f aca="false">IF(AND(Q1955=1,B1955-_xlfn.MINIFS($B$2:$B$2705,$A$2:$A$2705,A1955)&lt;10),1,0)</f>
        <v>0</v>
      </c>
      <c r="S1955" s="7" t="n">
        <v>0</v>
      </c>
      <c r="T1955" s="3" t="n">
        <f aca="false">_xlfn.MINIFS($B$2:$B$2705,$A$2:$A$2705,A1955)</f>
        <v>1969</v>
      </c>
      <c r="U1955" s="3" t="n">
        <f aca="false">B1955-T1955</f>
        <v>31</v>
      </c>
      <c r="V1955" s="3" t="str">
        <f aca="false">INDEX(Pop_Inputs!$Q$2:$Q$29,MATCH(C1955,Pop_Inputs!$A$2:$A$29,0))</f>
        <v>Canada</v>
      </c>
      <c r="W1955" s="29" t="n">
        <v>32994333</v>
      </c>
      <c r="X1955" s="3" t="n">
        <f aca="false">IF(W1955="","",LN(W1955))</f>
        <v>17.3118463774112</v>
      </c>
      <c r="Y1955" s="3" t="n">
        <f aca="false">IF(X1955="","",X1955-AVERAGEIFS($X$2:$X$2705,$B$2:$B$2705,B1955))</f>
        <v>-0.432090890539659</v>
      </c>
      <c r="Z1955" s="21" t="n">
        <f aca="false">P1955</f>
        <v>0.21480909933601</v>
      </c>
      <c r="AA1955" s="3" t="n">
        <f aca="false">R1955</f>
        <v>0</v>
      </c>
      <c r="AB1955" s="21" t="n">
        <f aca="false">P1955</f>
        <v>0.21480909933601</v>
      </c>
      <c r="AC1955" s="3" t="n">
        <f aca="false">Y1955</f>
        <v>-0.432090890539659</v>
      </c>
      <c r="AD1955" s="3" t="n">
        <f aca="false">R1955</f>
        <v>0</v>
      </c>
    </row>
    <row r="1956" customFormat="false" ht="15" hidden="false" customHeight="true" outlineLevel="0" collapsed="false">
      <c r="A1956" s="7" t="s">
        <v>71</v>
      </c>
      <c r="B1956" s="7" t="n">
        <v>2001</v>
      </c>
      <c r="C1956" s="7" t="s">
        <v>148</v>
      </c>
      <c r="D1956" s="7" t="n">
        <v>75</v>
      </c>
      <c r="E1956" s="7" t="n">
        <v>87</v>
      </c>
      <c r="F1956" s="3" t="n">
        <f aca="false">COUNTIFS($B$2:$B$2705,B1956,$C$2:$C$2705,C1956)</f>
        <v>2</v>
      </c>
      <c r="G1956" s="3" t="n">
        <f aca="false">MIN(INT((MIN(B1956,2020)-1900)/10)+1,12)</f>
        <v>11</v>
      </c>
      <c r="H1956" s="3" t="n">
        <f aca="false">(MIN(B1956,2020)-1900-10*(G1956-1))/10</f>
        <v>0.1</v>
      </c>
      <c r="I1956" s="20" t="n">
        <f aca="false">EXP(LN(INDEX(Pop_Inputs!$B$2:$N$29,MATCH(C1956,Pop_Inputs!$A$2:$A$29,0),G1956))*(1-H1956)+LN(INDEX(Pop_Inputs!$B$2:$N$29,MATCH(C1956,Pop_Inputs!$A$2:$A$29,0),G1956+1))*H1956)</f>
        <v>3704485.52160966</v>
      </c>
      <c r="J1956" s="20" t="n">
        <f aca="false">I1956/F1956</f>
        <v>1852242.76080483</v>
      </c>
      <c r="K1956" s="21" t="n">
        <f aca="false">D1956/(D1956+E1956)</f>
        <v>0.462962962962963</v>
      </c>
      <c r="L1956" s="21" t="n">
        <f aca="false">AVERAGEIFS($K$2:$K$2705,$B$2:$B$2705,B1956)</f>
        <v>0.500018131917287</v>
      </c>
      <c r="M1956" s="21" t="n">
        <f aca="false">K1956-L1956</f>
        <v>-0.0370551689543235</v>
      </c>
      <c r="N1956" s="21" t="n">
        <f aca="false">LN(J1956)</f>
        <v>14.4319077659462</v>
      </c>
      <c r="O1956" s="21" t="n">
        <f aca="false">AVERAGEIFS($N$2:$N$2705,$B$2:$B$2705,B1956)</f>
        <v>13.6406696598957</v>
      </c>
      <c r="P1956" s="21" t="n">
        <f aca="false">N1956-O1956</f>
        <v>0.791238106050498</v>
      </c>
      <c r="Q1956" s="7" t="n">
        <v>1</v>
      </c>
      <c r="R1956" s="3" t="n">
        <f aca="false">IF(AND(Q1956=1,B1956-_xlfn.MINIFS($B$2:$B$2705,$A$2:$A$2705,A1956)&lt;10),1,0)</f>
        <v>0</v>
      </c>
      <c r="S1956" s="7" t="n">
        <v>0</v>
      </c>
      <c r="T1956" s="3" t="n">
        <f aca="false">_xlfn.MINIFS($B$2:$B$2705,$A$2:$A$2705,A1956)</f>
        <v>1961</v>
      </c>
      <c r="U1956" s="3" t="n">
        <f aca="false">B1956-T1956</f>
        <v>40</v>
      </c>
      <c r="V1956" s="3" t="str">
        <f aca="false">INDEX(Pop_Inputs!$Q$2:$Q$29,MATCH(C1956,Pop_Inputs!$A$2:$A$29,0))</f>
        <v>West</v>
      </c>
      <c r="W1956" s="29" t="n">
        <v>47535167</v>
      </c>
      <c r="X1956" s="3" t="n">
        <f aca="false">IF(W1956="","",LN(W1956))</f>
        <v>17.6769803529699</v>
      </c>
      <c r="Y1956" s="3" t="n">
        <f aca="false">IF(X1956="","",X1956-AVERAGEIFS($X$2:$X$2705,$B$2:$B$2705,B1956))</f>
        <v>-0.243872402166311</v>
      </c>
      <c r="Z1956" s="21" t="n">
        <f aca="false">P1956</f>
        <v>0.791238106050498</v>
      </c>
      <c r="AA1956" s="3" t="n">
        <f aca="false">R1956</f>
        <v>0</v>
      </c>
      <c r="AB1956" s="21" t="n">
        <f aca="false">P1956</f>
        <v>0.791238106050498</v>
      </c>
      <c r="AC1956" s="3" t="n">
        <f aca="false">Y1956</f>
        <v>-0.243872402166311</v>
      </c>
      <c r="AD1956" s="3" t="n">
        <f aca="false">R1956</f>
        <v>0</v>
      </c>
    </row>
    <row r="1957" customFormat="false" ht="15" hidden="false" customHeight="true" outlineLevel="0" collapsed="false">
      <c r="A1957" s="7" t="s">
        <v>84</v>
      </c>
      <c r="B1957" s="7" t="n">
        <v>2001</v>
      </c>
      <c r="C1957" s="7" t="s">
        <v>165</v>
      </c>
      <c r="D1957" s="7" t="n">
        <v>92</v>
      </c>
      <c r="E1957" s="7" t="n">
        <v>70</v>
      </c>
      <c r="F1957" s="3" t="n">
        <f aca="false">COUNTIFS($B$2:$B$2705,B1957,$C$2:$C$2705,C1957)</f>
        <v>1</v>
      </c>
      <c r="G1957" s="3" t="n">
        <f aca="false">MIN(INT((MIN(B1957,2020)-1900)/10)+1,12)</f>
        <v>11</v>
      </c>
      <c r="H1957" s="3" t="n">
        <f aca="false">(MIN(B1957,2020)-1900-10*(G1957-1))/10</f>
        <v>0.1</v>
      </c>
      <c r="I1957" s="20" t="n">
        <f aca="false">EXP(LN(INDEX(Pop_Inputs!$B$2:$N$29,MATCH(C1957,Pop_Inputs!$A$2:$A$29,0),G1957))*(1-H1957)+LN(INDEX(Pop_Inputs!$B$2:$N$29,MATCH(C1957,Pop_Inputs!$A$2:$A$29,0),G1957+1))*H1957)</f>
        <v>1333004.53151215</v>
      </c>
      <c r="J1957" s="20" t="n">
        <f aca="false">I1957/F1957</f>
        <v>1333004.53151215</v>
      </c>
      <c r="K1957" s="21" t="n">
        <f aca="false">D1957/(D1957+E1957)</f>
        <v>0.567901234567901</v>
      </c>
      <c r="L1957" s="21" t="n">
        <f aca="false">AVERAGEIFS($K$2:$K$2705,$B$2:$B$2705,B1957)</f>
        <v>0.500018131917287</v>
      </c>
      <c r="M1957" s="21" t="n">
        <f aca="false">K1957-L1957</f>
        <v>0.0678831026506147</v>
      </c>
      <c r="N1957" s="21" t="n">
        <f aca="false">LN(J1957)</f>
        <v>14.1029459986391</v>
      </c>
      <c r="O1957" s="21" t="n">
        <f aca="false">AVERAGEIFS($N$2:$N$2705,$B$2:$B$2705,B1957)</f>
        <v>13.6406696598957</v>
      </c>
      <c r="P1957" s="21" t="n">
        <f aca="false">N1957-O1957</f>
        <v>0.462276338743385</v>
      </c>
      <c r="Q1957" s="7" t="n">
        <v>1</v>
      </c>
      <c r="R1957" s="3" t="n">
        <f aca="false">IF(AND(Q1957=1,B1957-_xlfn.MINIFS($B$2:$B$2705,$A$2:$A$2705,A1957)&lt;10),1,0)</f>
        <v>1</v>
      </c>
      <c r="S1957" s="7" t="n">
        <v>0</v>
      </c>
      <c r="T1957" s="3" t="n">
        <f aca="false">_xlfn.MINIFS($B$2:$B$2705,$A$2:$A$2705,A1957)</f>
        <v>1998</v>
      </c>
      <c r="U1957" s="3" t="n">
        <f aca="false">B1957-T1957</f>
        <v>3</v>
      </c>
      <c r="V1957" s="3" t="str">
        <f aca="false">INDEX(Pop_Inputs!$Q$2:$Q$29,MATCH(C1957,Pop_Inputs!$A$2:$A$29,0))</f>
        <v>West</v>
      </c>
      <c r="W1957" s="29" t="n">
        <v>85082999</v>
      </c>
      <c r="X1957" s="3" t="n">
        <f aca="false">IF(W1957="","",LN(W1957))</f>
        <v>18.2591377968523</v>
      </c>
      <c r="Y1957" s="3" t="n">
        <f aca="false">IF(X1957="","",X1957-AVERAGEIFS($X$2:$X$2705,$B$2:$B$2705,B1957))</f>
        <v>0.338285041716112</v>
      </c>
      <c r="Z1957" s="21" t="n">
        <f aca="false">P1957</f>
        <v>0.462276338743385</v>
      </c>
      <c r="AA1957" s="3" t="n">
        <f aca="false">R1957</f>
        <v>1</v>
      </c>
      <c r="AB1957" s="21" t="n">
        <f aca="false">P1957</f>
        <v>0.462276338743385</v>
      </c>
      <c r="AC1957" s="3" t="n">
        <f aca="false">Y1957</f>
        <v>0.338285041716112</v>
      </c>
      <c r="AD1957" s="3" t="n">
        <f aca="false">R1957</f>
        <v>1</v>
      </c>
    </row>
    <row r="1958" customFormat="false" ht="15" hidden="false" customHeight="true" outlineLevel="0" collapsed="false">
      <c r="A1958" s="7" t="s">
        <v>54</v>
      </c>
      <c r="B1958" s="7" t="n">
        <v>2001</v>
      </c>
      <c r="C1958" s="7" t="s">
        <v>141</v>
      </c>
      <c r="D1958" s="7" t="n">
        <v>88</v>
      </c>
      <c r="E1958" s="7" t="n">
        <v>74</v>
      </c>
      <c r="F1958" s="3" t="n">
        <f aca="false">COUNTIFS($B$2:$B$2705,B1958,$C$2:$C$2705,C1958)</f>
        <v>1</v>
      </c>
      <c r="G1958" s="3" t="n">
        <f aca="false">MIN(INT((MIN(B1958,2020)-1900)/10)+1,12)</f>
        <v>11</v>
      </c>
      <c r="H1958" s="3" t="n">
        <f aca="false">(MIN(B1958,2020)-1900-10*(G1958-1))/10</f>
        <v>0.1</v>
      </c>
      <c r="I1958" s="20" t="n">
        <f aca="false">EXP(LN(INDEX(Pop_Inputs!$B$2:$N$29,MATCH(C1958,Pop_Inputs!$A$2:$A$29,0),G1958))*(1-H1958)+LN(INDEX(Pop_Inputs!$B$2:$N$29,MATCH(C1958,Pop_Inputs!$A$2:$A$29,0),G1958+1))*H1958)</f>
        <v>416825.561540321</v>
      </c>
      <c r="J1958" s="20" t="n">
        <f aca="false">I1958/F1958</f>
        <v>416825.561540321</v>
      </c>
      <c r="K1958" s="21" t="n">
        <f aca="false">D1958/(D1958+E1958)</f>
        <v>0.54320987654321</v>
      </c>
      <c r="L1958" s="21" t="n">
        <f aca="false">AVERAGEIFS($K$2:$K$2705,$B$2:$B$2705,B1958)</f>
        <v>0.500018131917287</v>
      </c>
      <c r="M1958" s="21" t="n">
        <f aca="false">K1958-L1958</f>
        <v>0.0431917446259233</v>
      </c>
      <c r="N1958" s="21" t="n">
        <f aca="false">LN(J1958)</f>
        <v>12.9404230956126</v>
      </c>
      <c r="O1958" s="21" t="n">
        <f aca="false">AVERAGEIFS($N$2:$N$2705,$B$2:$B$2705,B1958)</f>
        <v>13.6406696598957</v>
      </c>
      <c r="P1958" s="21" t="n">
        <f aca="false">N1958-O1958</f>
        <v>-0.700246564283074</v>
      </c>
      <c r="Q1958" s="7" t="n">
        <v>0</v>
      </c>
      <c r="R1958" s="3" t="n">
        <f aca="false">IF(AND(Q1958=1,B1958-_xlfn.MINIFS($B$2:$B$2705,$A$2:$A$2705,A1958)&lt;10),1,0)</f>
        <v>0</v>
      </c>
      <c r="S1958" s="7" t="n">
        <v>0</v>
      </c>
      <c r="T1958" s="3" t="n">
        <f aca="false">_xlfn.MINIFS($B$2:$B$2705,$A$2:$A$2705,A1958)</f>
        <v>1901</v>
      </c>
      <c r="U1958" s="3" t="n">
        <f aca="false">B1958-T1958</f>
        <v>100</v>
      </c>
      <c r="V1958" s="3" t="str">
        <f aca="false">INDEX(Pop_Inputs!$Q$2:$Q$29,MATCH(C1958,Pop_Inputs!$A$2:$A$29,0))</f>
        <v>South</v>
      </c>
      <c r="W1958" s="29" t="n">
        <v>91936166</v>
      </c>
      <c r="X1958" s="3" t="n">
        <f aca="false">IF(W1958="","",LN(W1958))</f>
        <v>18.3366050463634</v>
      </c>
      <c r="Y1958" s="3" t="n">
        <f aca="false">IF(X1958="","",X1958-AVERAGEIFS($X$2:$X$2705,$B$2:$B$2705,B1958))</f>
        <v>0.415752291227214</v>
      </c>
      <c r="Z1958" s="21" t="n">
        <f aca="false">P1958</f>
        <v>-0.700246564283074</v>
      </c>
      <c r="AA1958" s="3" t="n">
        <f aca="false">R1958</f>
        <v>0</v>
      </c>
      <c r="AB1958" s="21" t="n">
        <f aca="false">P1958</f>
        <v>-0.700246564283074</v>
      </c>
      <c r="AC1958" s="3" t="n">
        <f aca="false">Y1958</f>
        <v>0.415752291227214</v>
      </c>
      <c r="AD1958" s="3" t="n">
        <f aca="false">R1958</f>
        <v>0</v>
      </c>
    </row>
    <row r="1959" customFormat="false" ht="15" hidden="false" customHeight="true" outlineLevel="0" collapsed="false">
      <c r="A1959" s="7" t="s">
        <v>63</v>
      </c>
      <c r="B1959" s="7" t="n">
        <v>2001</v>
      </c>
      <c r="C1959" s="7" t="s">
        <v>149</v>
      </c>
      <c r="D1959" s="7" t="n">
        <v>63</v>
      </c>
      <c r="E1959" s="7" t="n">
        <v>98</v>
      </c>
      <c r="F1959" s="3" t="n">
        <f aca="false">COUNTIFS($B$2:$B$2705,B1959,$C$2:$C$2705,C1959)</f>
        <v>1</v>
      </c>
      <c r="G1959" s="3" t="n">
        <f aca="false">MIN(INT((MIN(B1959,2020)-1900)/10)+1,12)</f>
        <v>11</v>
      </c>
      <c r="H1959" s="3" t="n">
        <f aca="false">(MIN(B1959,2020)-1900-10*(G1959-1))/10</f>
        <v>0.1</v>
      </c>
      <c r="I1959" s="20" t="n">
        <f aca="false">EXP(LN(INDEX(Pop_Inputs!$B$2:$N$29,MATCH(C1959,Pop_Inputs!$A$2:$A$29,0),G1959))*(1-H1959)+LN(INDEX(Pop_Inputs!$B$2:$N$29,MATCH(C1959,Pop_Inputs!$A$2:$A$29,0),G1959+1))*H1959)</f>
        <v>648069.785248368</v>
      </c>
      <c r="J1959" s="20" t="n">
        <f aca="false">I1959/F1959</f>
        <v>648069.785248368</v>
      </c>
      <c r="K1959" s="21" t="n">
        <f aca="false">D1959/(D1959+E1959)</f>
        <v>0.391304347826087</v>
      </c>
      <c r="L1959" s="21" t="n">
        <f aca="false">AVERAGEIFS($K$2:$K$2705,$B$2:$B$2705,B1959)</f>
        <v>0.500018131917287</v>
      </c>
      <c r="M1959" s="21" t="n">
        <f aca="false">K1959-L1959</f>
        <v>-0.1087137840912</v>
      </c>
      <c r="N1959" s="21" t="n">
        <f aca="false">LN(J1959)</f>
        <v>13.3817536628204</v>
      </c>
      <c r="O1959" s="21" t="n">
        <f aca="false">AVERAGEIFS($N$2:$N$2705,$B$2:$B$2705,B1959)</f>
        <v>13.6406696598957</v>
      </c>
      <c r="P1959" s="21" t="n">
        <f aca="false">N1959-O1959</f>
        <v>-0.258915997075242</v>
      </c>
      <c r="Q1959" s="7" t="n">
        <v>0</v>
      </c>
      <c r="R1959" s="3" t="n">
        <f aca="false">IF(AND(Q1959=1,B1959-_xlfn.MINIFS($B$2:$B$2705,$A$2:$A$2705,A1959)&lt;10),1,0)</f>
        <v>0</v>
      </c>
      <c r="S1959" s="7" t="n">
        <v>0</v>
      </c>
      <c r="T1959" s="3" t="n">
        <f aca="false">_xlfn.MINIFS($B$2:$B$2705,$A$2:$A$2705,A1959)</f>
        <v>1901</v>
      </c>
      <c r="U1959" s="3" t="n">
        <f aca="false">B1959-T1959</f>
        <v>100</v>
      </c>
      <c r="V1959" s="3" t="str">
        <f aca="false">INDEX(Pop_Inputs!$Q$2:$Q$29,MATCH(C1959,Pop_Inputs!$A$2:$A$29,0))</f>
        <v>South</v>
      </c>
      <c r="W1959" s="29" t="n">
        <v>67599540</v>
      </c>
      <c r="X1959" s="3" t="n">
        <f aca="false">IF(W1959="","",LN(W1959))</f>
        <v>18.0291117362563</v>
      </c>
      <c r="Y1959" s="3" t="n">
        <f aca="false">IF(X1959="","",X1959-AVERAGEIFS($X$2:$X$2705,$B$2:$B$2705,B1959))</f>
        <v>0.108258981120105</v>
      </c>
      <c r="Z1959" s="21" t="n">
        <f aca="false">P1959</f>
        <v>-0.258915997075242</v>
      </c>
      <c r="AA1959" s="3" t="n">
        <f aca="false">R1959</f>
        <v>0</v>
      </c>
      <c r="AB1959" s="21" t="n">
        <f aca="false">P1959</f>
        <v>-0.258915997075242</v>
      </c>
      <c r="AC1959" s="3" t="n">
        <f aca="false">Y1959</f>
        <v>0.108258981120105</v>
      </c>
      <c r="AD1959" s="3" t="n">
        <f aca="false">R1959</f>
        <v>0</v>
      </c>
    </row>
    <row r="1960" customFormat="false" ht="15" hidden="false" customHeight="true" outlineLevel="0" collapsed="false">
      <c r="A1960" s="7" t="s">
        <v>64</v>
      </c>
      <c r="B1960" s="7" t="n">
        <v>2001</v>
      </c>
      <c r="C1960" s="7" t="s">
        <v>150</v>
      </c>
      <c r="D1960" s="7" t="n">
        <v>82</v>
      </c>
      <c r="E1960" s="7" t="n">
        <v>79</v>
      </c>
      <c r="F1960" s="3" t="n">
        <f aca="false">COUNTIFS($B$2:$B$2705,B1960,$C$2:$C$2705,C1960)</f>
        <v>1</v>
      </c>
      <c r="G1960" s="3" t="n">
        <f aca="false">MIN(INT((MIN(B1960,2020)-1900)/10)+1,12)</f>
        <v>11</v>
      </c>
      <c r="H1960" s="3" t="n">
        <f aca="false">(MIN(B1960,2020)-1900-10*(G1960-1))/10</f>
        <v>0.1</v>
      </c>
      <c r="I1960" s="20" t="n">
        <f aca="false">EXP(LN(INDEX(Pop_Inputs!$B$2:$N$29,MATCH(C1960,Pop_Inputs!$A$2:$A$29,0),G1960))*(1-H1960)+LN(INDEX(Pop_Inputs!$B$2:$N$29,MATCH(C1960,Pop_Inputs!$A$2:$A$29,0),G1960+1))*H1960)</f>
        <v>591926.290464315</v>
      </c>
      <c r="J1960" s="20" t="n">
        <f aca="false">I1960/F1960</f>
        <v>591926.290464315</v>
      </c>
      <c r="K1960" s="21" t="n">
        <f aca="false">D1960/(D1960+E1960)</f>
        <v>0.509316770186335</v>
      </c>
      <c r="L1960" s="21" t="n">
        <f aca="false">AVERAGEIFS($K$2:$K$2705,$B$2:$B$2705,B1960)</f>
        <v>0.500018131917287</v>
      </c>
      <c r="M1960" s="21" t="n">
        <f aca="false">K1960-L1960</f>
        <v>0.00929863826904886</v>
      </c>
      <c r="N1960" s="21" t="n">
        <f aca="false">LN(J1960)</f>
        <v>13.2911373967634</v>
      </c>
      <c r="O1960" s="21" t="n">
        <f aca="false">AVERAGEIFS($N$2:$N$2705,$B$2:$B$2705,B1960)</f>
        <v>13.6406696598957</v>
      </c>
      <c r="P1960" s="21" t="n">
        <f aca="false">N1960-O1960</f>
        <v>-0.349532263132275</v>
      </c>
      <c r="Q1960" s="7" t="n">
        <v>0</v>
      </c>
      <c r="R1960" s="3" t="n">
        <f aca="false">IF(AND(Q1960=1,B1960-_xlfn.MINIFS($B$2:$B$2705,$A$2:$A$2705,A1960)&lt;10),1,0)</f>
        <v>0</v>
      </c>
      <c r="S1960" s="7" t="n">
        <v>0</v>
      </c>
      <c r="T1960" s="3" t="n">
        <f aca="false">_xlfn.MINIFS($B$2:$B$2705,$A$2:$A$2705,A1960)</f>
        <v>1901</v>
      </c>
      <c r="U1960" s="3" t="n">
        <f aca="false">B1960-T1960</f>
        <v>100</v>
      </c>
      <c r="V1960" s="3" t="str">
        <f aca="false">INDEX(Pop_Inputs!$Q$2:$Q$29,MATCH(C1960,Pop_Inputs!$A$2:$A$29,0))</f>
        <v>Northeast</v>
      </c>
      <c r="W1960" s="29" t="n">
        <v>110035833</v>
      </c>
      <c r="X1960" s="3" t="n">
        <f aca="false">IF(W1960="","",LN(W1960))</f>
        <v>18.5163166252557</v>
      </c>
      <c r="Y1960" s="3" t="n">
        <f aca="false">IF(X1960="","",X1960-AVERAGEIFS($X$2:$X$2705,$B$2:$B$2705,B1960))</f>
        <v>0.595463870119446</v>
      </c>
      <c r="Z1960" s="21" t="n">
        <f aca="false">P1960</f>
        <v>-0.349532263132275</v>
      </c>
      <c r="AA1960" s="3" t="n">
        <f aca="false">R1960</f>
        <v>0</v>
      </c>
      <c r="AB1960" s="21" t="n">
        <f aca="false">P1960</f>
        <v>-0.349532263132275</v>
      </c>
      <c r="AC1960" s="3" t="n">
        <f aca="false">Y1960</f>
        <v>0.595463870119446</v>
      </c>
      <c r="AD1960" s="3" t="n">
        <f aca="false">R1960</f>
        <v>0</v>
      </c>
    </row>
    <row r="1961" customFormat="false" ht="15" hidden="false" customHeight="true" outlineLevel="0" collapsed="false">
      <c r="A1961" s="7" t="s">
        <v>56</v>
      </c>
      <c r="B1961" s="7" t="n">
        <v>2001</v>
      </c>
      <c r="C1961" s="7" t="s">
        <v>142</v>
      </c>
      <c r="D1961" s="7" t="n">
        <v>88</v>
      </c>
      <c r="E1961" s="7" t="n">
        <v>74</v>
      </c>
      <c r="F1961" s="3" t="n">
        <f aca="false">COUNTIFS($B$2:$B$2705,B1961,$C$2:$C$2705,C1961)</f>
        <v>2</v>
      </c>
      <c r="G1961" s="3" t="n">
        <f aca="false">MIN(INT((MIN(B1961,2020)-1900)/10)+1,12)</f>
        <v>11</v>
      </c>
      <c r="H1961" s="3" t="n">
        <f aca="false">(MIN(B1961,2020)-1900-10*(G1961-1))/10</f>
        <v>0.1</v>
      </c>
      <c r="I1961" s="20" t="n">
        <f aca="false">EXP(LN(INDEX(Pop_Inputs!$B$2:$N$29,MATCH(C1961,Pop_Inputs!$A$2:$A$29,0),G1961))*(1-H1961)+LN(INDEX(Pop_Inputs!$B$2:$N$29,MATCH(C1961,Pop_Inputs!$A$2:$A$29,0),G1961+1))*H1961)</f>
        <v>2875321.24859012</v>
      </c>
      <c r="J1961" s="20" t="n">
        <f aca="false">I1961/F1961</f>
        <v>1437660.62429506</v>
      </c>
      <c r="K1961" s="21" t="n">
        <f aca="false">D1961/(D1961+E1961)</f>
        <v>0.54320987654321</v>
      </c>
      <c r="L1961" s="21" t="n">
        <f aca="false">AVERAGEIFS($K$2:$K$2705,$B$2:$B$2705,B1961)</f>
        <v>0.500018131917287</v>
      </c>
      <c r="M1961" s="21" t="n">
        <f aca="false">K1961-L1961</f>
        <v>0.0431917446259233</v>
      </c>
      <c r="N1961" s="21" t="n">
        <f aca="false">LN(J1961)</f>
        <v>14.1785277840514</v>
      </c>
      <c r="O1961" s="21" t="n">
        <f aca="false">AVERAGEIFS($N$2:$N$2705,$B$2:$B$2705,B1961)</f>
        <v>13.6406696598957</v>
      </c>
      <c r="P1961" s="21" t="n">
        <f aca="false">N1961-O1961</f>
        <v>0.537858124155722</v>
      </c>
      <c r="Q1961" s="7" t="n">
        <v>0</v>
      </c>
      <c r="R1961" s="3" t="n">
        <f aca="false">IF(AND(Q1961=1,B1961-_xlfn.MINIFS($B$2:$B$2705,$A$2:$A$2705,A1961)&lt;10),1,0)</f>
        <v>0</v>
      </c>
      <c r="S1961" s="7" t="n">
        <v>0</v>
      </c>
      <c r="T1961" s="3" t="n">
        <f aca="false">_xlfn.MINIFS($B$2:$B$2705,$A$2:$A$2705,A1961)</f>
        <v>1901</v>
      </c>
      <c r="U1961" s="3" t="n">
        <f aca="false">B1961-T1961</f>
        <v>100</v>
      </c>
      <c r="V1961" s="3" t="str">
        <f aca="false">INDEX(Pop_Inputs!$Q$2:$Q$29,MATCH(C1961,Pop_Inputs!$A$2:$A$29,0))</f>
        <v>Midwest</v>
      </c>
      <c r="W1961" s="29" t="n">
        <v>64715833</v>
      </c>
      <c r="X1961" s="3" t="n">
        <f aca="false">IF(W1961="","",LN(W1961))</f>
        <v>17.9855164435984</v>
      </c>
      <c r="Y1961" s="3" t="n">
        <f aca="false">IF(X1961="","",X1961-AVERAGEIFS($X$2:$X$2705,$B$2:$B$2705,B1961))</f>
        <v>0.064663688462236</v>
      </c>
      <c r="Z1961" s="21" t="n">
        <f aca="false">P1961</f>
        <v>0.537858124155722</v>
      </c>
      <c r="AA1961" s="3" t="n">
        <f aca="false">R1961</f>
        <v>0</v>
      </c>
      <c r="AB1961" s="21" t="n">
        <f aca="false">P1961</f>
        <v>0.537858124155722</v>
      </c>
      <c r="AC1961" s="3" t="n">
        <f aca="false">Y1961</f>
        <v>0.064663688462236</v>
      </c>
      <c r="AD1961" s="3" t="n">
        <f aca="false">R1961</f>
        <v>0</v>
      </c>
    </row>
    <row r="1962" customFormat="false" ht="15" hidden="false" customHeight="true" outlineLevel="0" collapsed="false">
      <c r="A1962" s="7" t="s">
        <v>65</v>
      </c>
      <c r="B1962" s="7" t="n">
        <v>2001</v>
      </c>
      <c r="C1962" s="7" t="s">
        <v>142</v>
      </c>
      <c r="D1962" s="7" t="n">
        <v>83</v>
      </c>
      <c r="E1962" s="7" t="n">
        <v>79</v>
      </c>
      <c r="F1962" s="3" t="n">
        <f aca="false">COUNTIFS($B$2:$B$2705,B1962,$C$2:$C$2705,C1962)</f>
        <v>2</v>
      </c>
      <c r="G1962" s="3" t="n">
        <f aca="false">MIN(INT((MIN(B1962,2020)-1900)/10)+1,12)</f>
        <v>11</v>
      </c>
      <c r="H1962" s="3" t="n">
        <f aca="false">(MIN(B1962,2020)-1900-10*(G1962-1))/10</f>
        <v>0.1</v>
      </c>
      <c r="I1962" s="20" t="n">
        <f aca="false">EXP(LN(INDEX(Pop_Inputs!$B$2:$N$29,MATCH(C1962,Pop_Inputs!$A$2:$A$29,0),G1962))*(1-H1962)+LN(INDEX(Pop_Inputs!$B$2:$N$29,MATCH(C1962,Pop_Inputs!$A$2:$A$29,0),G1962+1))*H1962)</f>
        <v>2875321.24859012</v>
      </c>
      <c r="J1962" s="20" t="n">
        <f aca="false">I1962/F1962</f>
        <v>1437660.62429506</v>
      </c>
      <c r="K1962" s="21" t="n">
        <f aca="false">D1962/(D1962+E1962)</f>
        <v>0.512345679012346</v>
      </c>
      <c r="L1962" s="21" t="n">
        <f aca="false">AVERAGEIFS($K$2:$K$2705,$B$2:$B$2705,B1962)</f>
        <v>0.500018131917287</v>
      </c>
      <c r="M1962" s="21" t="n">
        <f aca="false">K1962-L1962</f>
        <v>0.0123275470950592</v>
      </c>
      <c r="N1962" s="21" t="n">
        <f aca="false">LN(J1962)</f>
        <v>14.1785277840514</v>
      </c>
      <c r="O1962" s="21" t="n">
        <f aca="false">AVERAGEIFS($N$2:$N$2705,$B$2:$B$2705,B1962)</f>
        <v>13.6406696598957</v>
      </c>
      <c r="P1962" s="21" t="n">
        <f aca="false">N1962-O1962</f>
        <v>0.537858124155722</v>
      </c>
      <c r="Q1962" s="7" t="n">
        <v>0</v>
      </c>
      <c r="R1962" s="3" t="n">
        <f aca="false">IF(AND(Q1962=1,B1962-_xlfn.MINIFS($B$2:$B$2705,$A$2:$A$2705,A1962)&lt;10),1,0)</f>
        <v>0</v>
      </c>
      <c r="S1962" s="7" t="n">
        <v>0</v>
      </c>
      <c r="T1962" s="3" t="n">
        <f aca="false">_xlfn.MINIFS($B$2:$B$2705,$A$2:$A$2705,A1962)</f>
        <v>1901</v>
      </c>
      <c r="U1962" s="3" t="n">
        <f aca="false">B1962-T1962</f>
        <v>100</v>
      </c>
      <c r="V1962" s="3" t="str">
        <f aca="false">INDEX(Pop_Inputs!$Q$2:$Q$29,MATCH(C1962,Pop_Inputs!$A$2:$A$29,0))</f>
        <v>Midwest</v>
      </c>
      <c r="W1962" s="29" t="n">
        <v>65653667</v>
      </c>
      <c r="X1962" s="3" t="n">
        <f aca="false">IF(W1962="","",LN(W1962))</f>
        <v>17.9999040139696</v>
      </c>
      <c r="Y1962" s="3" t="n">
        <f aca="false">IF(X1962="","",X1962-AVERAGEIFS($X$2:$X$2705,$B$2:$B$2705,B1962))</f>
        <v>0.0790512588333918</v>
      </c>
      <c r="Z1962" s="21" t="n">
        <f aca="false">P1962</f>
        <v>0.537858124155722</v>
      </c>
      <c r="AA1962" s="3" t="n">
        <f aca="false">R1962</f>
        <v>0</v>
      </c>
      <c r="AB1962" s="21" t="n">
        <f aca="false">P1962</f>
        <v>0.537858124155722</v>
      </c>
      <c r="AC1962" s="3" t="n">
        <f aca="false">Y1962</f>
        <v>0.0790512588333918</v>
      </c>
      <c r="AD1962" s="3" t="n">
        <f aca="false">R1962</f>
        <v>0</v>
      </c>
    </row>
    <row r="1963" customFormat="false" ht="15" hidden="false" customHeight="true" outlineLevel="0" collapsed="false">
      <c r="A1963" s="7" t="s">
        <v>57</v>
      </c>
      <c r="B1963" s="7" t="n">
        <v>2001</v>
      </c>
      <c r="C1963" s="7" t="s">
        <v>143</v>
      </c>
      <c r="D1963" s="7" t="n">
        <v>66</v>
      </c>
      <c r="E1963" s="7" t="n">
        <v>96</v>
      </c>
      <c r="F1963" s="3" t="n">
        <f aca="false">COUNTIFS($B$2:$B$2705,B1963,$C$2:$C$2705,C1963)</f>
        <v>1</v>
      </c>
      <c r="G1963" s="3" t="n">
        <f aca="false">MIN(INT((MIN(B1963,2020)-1900)/10)+1,12)</f>
        <v>11</v>
      </c>
      <c r="H1963" s="3" t="n">
        <f aca="false">(MIN(B1963,2020)-1900-10*(G1963-1))/10</f>
        <v>0.1</v>
      </c>
      <c r="I1963" s="20" t="n">
        <f aca="false">EXP(LN(INDEX(Pop_Inputs!$B$2:$N$29,MATCH(C1963,Pop_Inputs!$A$2:$A$29,0),G1963))*(1-H1963)+LN(INDEX(Pop_Inputs!$B$2:$N$29,MATCH(C1963,Pop_Inputs!$A$2:$A$29,0),G1963+1))*H1963)</f>
        <v>327679.222283447</v>
      </c>
      <c r="J1963" s="20" t="n">
        <f aca="false">I1963/F1963</f>
        <v>327679.222283447</v>
      </c>
      <c r="K1963" s="21" t="n">
        <f aca="false">D1963/(D1963+E1963)</f>
        <v>0.407407407407407</v>
      </c>
      <c r="L1963" s="21" t="n">
        <f aca="false">AVERAGEIFS($K$2:$K$2705,$B$2:$B$2705,B1963)</f>
        <v>0.500018131917287</v>
      </c>
      <c r="M1963" s="21" t="n">
        <f aca="false">K1963-L1963</f>
        <v>-0.0926107245098791</v>
      </c>
      <c r="N1963" s="21" t="n">
        <f aca="false">LN(J1963)</f>
        <v>12.6997904279878</v>
      </c>
      <c r="O1963" s="21" t="n">
        <f aca="false">AVERAGEIFS($N$2:$N$2705,$B$2:$B$2705,B1963)</f>
        <v>13.6406696598957</v>
      </c>
      <c r="P1963" s="21" t="n">
        <f aca="false">N1963-O1963</f>
        <v>-0.940879231907823</v>
      </c>
      <c r="Q1963" s="7" t="n">
        <v>0</v>
      </c>
      <c r="R1963" s="3" t="n">
        <f aca="false">IF(AND(Q1963=1,B1963-_xlfn.MINIFS($B$2:$B$2705,$A$2:$A$2705,A1963)&lt;10),1,0)</f>
        <v>0</v>
      </c>
      <c r="S1963" s="7" t="n">
        <v>0</v>
      </c>
      <c r="T1963" s="3" t="n">
        <f aca="false">_xlfn.MINIFS($B$2:$B$2705,$A$2:$A$2705,A1963)</f>
        <v>1901</v>
      </c>
      <c r="U1963" s="3" t="n">
        <f aca="false">B1963-T1963</f>
        <v>100</v>
      </c>
      <c r="V1963" s="3" t="str">
        <f aca="false">INDEX(Pop_Inputs!$Q$2:$Q$29,MATCH(C1963,Pop_Inputs!$A$2:$A$29,0))</f>
        <v>Midwest</v>
      </c>
      <c r="W1963" s="29" t="n">
        <v>48986000</v>
      </c>
      <c r="X1963" s="3" t="n">
        <f aca="false">IF(W1963="","",LN(W1963))</f>
        <v>17.7070451009651</v>
      </c>
      <c r="Y1963" s="3" t="n">
        <f aca="false">IF(X1963="","",X1963-AVERAGEIFS($X$2:$X$2705,$B$2:$B$2705,B1963))</f>
        <v>-0.213807654171124</v>
      </c>
      <c r="Z1963" s="21" t="n">
        <f aca="false">P1963</f>
        <v>-0.940879231907823</v>
      </c>
      <c r="AA1963" s="3" t="n">
        <f aca="false">R1963</f>
        <v>0</v>
      </c>
      <c r="AB1963" s="21" t="n">
        <f aca="false">P1963</f>
        <v>-0.940879231907823</v>
      </c>
      <c r="AC1963" s="3" t="n">
        <f aca="false">Y1963</f>
        <v>-0.213807654171124</v>
      </c>
      <c r="AD1963" s="3" t="n">
        <f aca="false">R1963</f>
        <v>0</v>
      </c>
    </row>
    <row r="1964" customFormat="false" ht="15" hidden="false" customHeight="true" outlineLevel="0" collapsed="false">
      <c r="A1964" s="7" t="s">
        <v>66</v>
      </c>
      <c r="B1964" s="7" t="n">
        <v>2001</v>
      </c>
      <c r="C1964" s="7" t="s">
        <v>151</v>
      </c>
      <c r="D1964" s="7" t="n">
        <v>91</v>
      </c>
      <c r="E1964" s="7" t="n">
        <v>71</v>
      </c>
      <c r="F1964" s="3" t="n">
        <f aca="false">COUNTIFS($B$2:$B$2705,B1964,$C$2:$C$2705,C1964)</f>
        <v>1</v>
      </c>
      <c r="G1964" s="3" t="n">
        <f aca="false">MIN(INT((MIN(B1964,2020)-1900)/10)+1,12)</f>
        <v>11</v>
      </c>
      <c r="H1964" s="3" t="n">
        <f aca="false">(MIN(B1964,2020)-1900-10*(G1964-1))/10</f>
        <v>0.1</v>
      </c>
      <c r="I1964" s="20" t="n">
        <f aca="false">EXP(LN(INDEX(Pop_Inputs!$B$2:$N$29,MATCH(C1964,Pop_Inputs!$A$2:$A$29,0),G1964))*(1-H1964)+LN(INDEX(Pop_Inputs!$B$2:$N$29,MATCH(C1964,Pop_Inputs!$A$2:$A$29,0),G1964+1))*H1964)</f>
        <v>469540.775606528</v>
      </c>
      <c r="J1964" s="20" t="n">
        <f aca="false">I1964/F1964</f>
        <v>469540.775606528</v>
      </c>
      <c r="K1964" s="21" t="n">
        <f aca="false">D1964/(D1964+E1964)</f>
        <v>0.561728395061728</v>
      </c>
      <c r="L1964" s="21" t="n">
        <f aca="false">AVERAGEIFS($K$2:$K$2705,$B$2:$B$2705,B1964)</f>
        <v>0.500018131917287</v>
      </c>
      <c r="M1964" s="21" t="n">
        <f aca="false">K1964-L1964</f>
        <v>0.0617102631444419</v>
      </c>
      <c r="N1964" s="21" t="n">
        <f aca="false">LN(J1964)</f>
        <v>13.0595104228615</v>
      </c>
      <c r="O1964" s="21" t="n">
        <f aca="false">AVERAGEIFS($N$2:$N$2705,$B$2:$B$2705,B1964)</f>
        <v>13.6406696598957</v>
      </c>
      <c r="P1964" s="21" t="n">
        <f aca="false">N1964-O1964</f>
        <v>-0.581159237034179</v>
      </c>
      <c r="Q1964" s="7" t="n">
        <v>0</v>
      </c>
      <c r="R1964" s="3" t="n">
        <f aca="false">IF(AND(Q1964=1,B1964-_xlfn.MINIFS($B$2:$B$2705,$A$2:$A$2705,A1964)&lt;10),1,0)</f>
        <v>0</v>
      </c>
      <c r="S1964" s="7" t="n">
        <v>0</v>
      </c>
      <c r="T1964" s="3" t="n">
        <f aca="false">_xlfn.MINIFS($B$2:$B$2705,$A$2:$A$2705,A1964)</f>
        <v>1901</v>
      </c>
      <c r="U1964" s="3" t="n">
        <f aca="false">B1964-T1964</f>
        <v>100</v>
      </c>
      <c r="V1964" s="3" t="str">
        <f aca="false">INDEX(Pop_Inputs!$Q$2:$Q$29,MATCH(C1964,Pop_Inputs!$A$2:$A$29,0))</f>
        <v>Midwest</v>
      </c>
      <c r="W1964" s="29" t="n">
        <v>93152001</v>
      </c>
      <c r="X1964" s="3" t="n">
        <f aca="false">IF(W1964="","",LN(W1964))</f>
        <v>18.3497431362626</v>
      </c>
      <c r="Y1964" s="3" t="n">
        <f aca="false">IF(X1964="","",X1964-AVERAGEIFS($X$2:$X$2705,$B$2:$B$2705,B1964))</f>
        <v>0.428890381126422</v>
      </c>
      <c r="Z1964" s="21" t="n">
        <f aca="false">P1964</f>
        <v>-0.581159237034179</v>
      </c>
      <c r="AA1964" s="3" t="n">
        <f aca="false">R1964</f>
        <v>0</v>
      </c>
      <c r="AB1964" s="21" t="n">
        <f aca="false">P1964</f>
        <v>-0.581159237034179</v>
      </c>
      <c r="AC1964" s="3" t="n">
        <f aca="false">Y1964</f>
        <v>0.428890381126422</v>
      </c>
      <c r="AD1964" s="3" t="n">
        <f aca="false">R1964</f>
        <v>0</v>
      </c>
    </row>
    <row r="1965" customFormat="false" ht="15" hidden="false" customHeight="true" outlineLevel="0" collapsed="false">
      <c r="A1965" s="7" t="s">
        <v>82</v>
      </c>
      <c r="B1965" s="7" t="n">
        <v>2001</v>
      </c>
      <c r="C1965" s="7" t="s">
        <v>163</v>
      </c>
      <c r="D1965" s="7" t="n">
        <v>73</v>
      </c>
      <c r="E1965" s="7" t="n">
        <v>89</v>
      </c>
      <c r="F1965" s="3" t="n">
        <f aca="false">COUNTIFS($B$2:$B$2705,B1965,$C$2:$C$2705,C1965)</f>
        <v>1</v>
      </c>
      <c r="G1965" s="3" t="n">
        <f aca="false">MIN(INT((MIN(B1965,2020)-1900)/10)+1,12)</f>
        <v>11</v>
      </c>
      <c r="H1965" s="3" t="n">
        <f aca="false">(MIN(B1965,2020)-1900-10*(G1965-1))/10</f>
        <v>0.1</v>
      </c>
      <c r="I1965" s="20" t="n">
        <f aca="false">EXP(LN(INDEX(Pop_Inputs!$B$2:$N$29,MATCH(C1965,Pop_Inputs!$A$2:$A$29,0),G1965))*(1-H1965)+LN(INDEX(Pop_Inputs!$B$2:$N$29,MATCH(C1965,Pop_Inputs!$A$2:$A$29,0),G1965+1))*H1965)</f>
        <v>559028.320039692</v>
      </c>
      <c r="J1965" s="20" t="n">
        <f aca="false">I1965/F1965</f>
        <v>559028.320039692</v>
      </c>
      <c r="K1965" s="21" t="n">
        <f aca="false">D1965/(D1965+E1965)</f>
        <v>0.450617283950617</v>
      </c>
      <c r="L1965" s="21" t="n">
        <f aca="false">AVERAGEIFS($K$2:$K$2705,$B$2:$B$2705,B1965)</f>
        <v>0.500018131917287</v>
      </c>
      <c r="M1965" s="21" t="n">
        <f aca="false">K1965-L1965</f>
        <v>-0.0494008479666692</v>
      </c>
      <c r="N1965" s="21" t="n">
        <f aca="false">LN(J1965)</f>
        <v>13.2339554128212</v>
      </c>
      <c r="O1965" s="21" t="n">
        <f aca="false">AVERAGEIFS($N$2:$N$2705,$B$2:$B$2705,B1965)</f>
        <v>13.6406696598957</v>
      </c>
      <c r="P1965" s="21" t="n">
        <f aca="false">N1965-O1965</f>
        <v>-0.406714247074456</v>
      </c>
      <c r="Q1965" s="7" t="n">
        <v>1</v>
      </c>
      <c r="R1965" s="3" t="n">
        <f aca="false">IF(AND(Q1965=1,B1965-_xlfn.MINIFS($B$2:$B$2705,$A$2:$A$2705,A1965)&lt;10),1,0)</f>
        <v>1</v>
      </c>
      <c r="S1965" s="7" t="n">
        <v>0</v>
      </c>
      <c r="T1965" s="3" t="n">
        <f aca="false">_xlfn.MINIFS($B$2:$B$2705,$A$2:$A$2705,A1965)</f>
        <v>1993</v>
      </c>
      <c r="U1965" s="3" t="n">
        <f aca="false">B1965-T1965</f>
        <v>8</v>
      </c>
      <c r="V1965" s="3" t="str">
        <f aca="false">INDEX(Pop_Inputs!$Q$2:$Q$29,MATCH(C1965,Pop_Inputs!$A$2:$A$29,0))</f>
        <v>West</v>
      </c>
      <c r="W1965" s="29" t="n">
        <v>71541334</v>
      </c>
      <c r="X1965" s="3" t="n">
        <f aca="false">IF(W1965="","",LN(W1965))</f>
        <v>18.0857859385321</v>
      </c>
      <c r="Y1965" s="3" t="n">
        <f aca="false">IF(X1965="","",X1965-AVERAGEIFS($X$2:$X$2705,$B$2:$B$2705,B1965))</f>
        <v>0.164933183395906</v>
      </c>
      <c r="Z1965" s="21" t="n">
        <f aca="false">P1965</f>
        <v>-0.406714247074456</v>
      </c>
      <c r="AA1965" s="3" t="n">
        <f aca="false">R1965</f>
        <v>1</v>
      </c>
      <c r="AB1965" s="21" t="n">
        <f aca="false">P1965</f>
        <v>-0.406714247074456</v>
      </c>
      <c r="AC1965" s="3" t="n">
        <f aca="false">Y1965</f>
        <v>0.164933183395906</v>
      </c>
      <c r="AD1965" s="3" t="n">
        <f aca="false">R1965</f>
        <v>1</v>
      </c>
    </row>
    <row r="1966" customFormat="false" ht="15" hidden="false" customHeight="true" outlineLevel="0" collapsed="false">
      <c r="A1966" s="7" t="s">
        <v>67</v>
      </c>
      <c r="B1966" s="7" t="n">
        <v>2001</v>
      </c>
      <c r="C1966" s="7" t="s">
        <v>152</v>
      </c>
      <c r="D1966" s="7" t="n">
        <v>66</v>
      </c>
      <c r="E1966" s="7" t="n">
        <v>96</v>
      </c>
      <c r="F1966" s="3" t="n">
        <f aca="false">COUNTIFS($B$2:$B$2705,B1966,$C$2:$C$2705,C1966)</f>
        <v>1</v>
      </c>
      <c r="G1966" s="3" t="n">
        <f aca="false">MIN(INT((MIN(B1966,2020)-1900)/10)+1,12)</f>
        <v>11</v>
      </c>
      <c r="H1966" s="3" t="n">
        <f aca="false">(MIN(B1966,2020)-1900-10*(G1966-1))/10</f>
        <v>0.1</v>
      </c>
      <c r="I1966" s="20" t="n">
        <f aca="false">EXP(LN(INDEX(Pop_Inputs!$B$2:$N$29,MATCH(C1966,Pop_Inputs!$A$2:$A$29,0),G1966))*(1-H1966)+LN(INDEX(Pop_Inputs!$B$2:$N$29,MATCH(C1966,Pop_Inputs!$A$2:$A$29,0),G1966+1))*H1966)</f>
        <v>924335.590969191</v>
      </c>
      <c r="J1966" s="20" t="n">
        <f aca="false">I1966/F1966</f>
        <v>924335.590969191</v>
      </c>
      <c r="K1966" s="21" t="n">
        <f aca="false">D1966/(D1966+E1966)</f>
        <v>0.407407407407407</v>
      </c>
      <c r="L1966" s="21" t="n">
        <f aca="false">AVERAGEIFS($K$2:$K$2705,$B$2:$B$2705,B1966)</f>
        <v>0.500018131917287</v>
      </c>
      <c r="M1966" s="21" t="n">
        <f aca="false">K1966-L1966</f>
        <v>-0.0926107245098791</v>
      </c>
      <c r="N1966" s="21" t="n">
        <f aca="false">LN(J1966)</f>
        <v>13.7368304783746</v>
      </c>
      <c r="O1966" s="21" t="n">
        <f aca="false">AVERAGEIFS($N$2:$N$2705,$B$2:$B$2705,B1966)</f>
        <v>13.6406696598957</v>
      </c>
      <c r="P1966" s="21" t="n">
        <f aca="false">N1966-O1966</f>
        <v>0.0961608184788929</v>
      </c>
      <c r="Q1966" s="7" t="n">
        <v>0</v>
      </c>
      <c r="R1966" s="3" t="n">
        <f aca="false">IF(AND(Q1966=1,B1966-_xlfn.MINIFS($B$2:$B$2705,$A$2:$A$2705,A1966)&lt;10),1,0)</f>
        <v>0</v>
      </c>
      <c r="S1966" s="7" t="n">
        <v>0</v>
      </c>
      <c r="T1966" s="3" t="n">
        <f aca="false">_xlfn.MINIFS($B$2:$B$2705,$A$2:$A$2705,A1966)</f>
        <v>1901</v>
      </c>
      <c r="U1966" s="3" t="n">
        <f aca="false">B1966-T1966</f>
        <v>100</v>
      </c>
      <c r="V1966" s="3" t="str">
        <f aca="false">INDEX(Pop_Inputs!$Q$2:$Q$29,MATCH(C1966,Pop_Inputs!$A$2:$A$29,0))</f>
        <v>Midwest</v>
      </c>
      <c r="W1966" s="29" t="n">
        <v>53416167</v>
      </c>
      <c r="X1966" s="3" t="n">
        <f aca="false">IF(W1966="","",LN(W1966))</f>
        <v>17.793624010919</v>
      </c>
      <c r="Y1966" s="3" t="n">
        <f aca="false">IF(X1966="","",X1966-AVERAGEIFS($X$2:$X$2705,$B$2:$B$2705,B1966))</f>
        <v>-0.127228744217177</v>
      </c>
      <c r="Z1966" s="21" t="n">
        <f aca="false">P1966</f>
        <v>0.0961608184788929</v>
      </c>
      <c r="AA1966" s="3" t="n">
        <f aca="false">R1966</f>
        <v>0</v>
      </c>
      <c r="AB1966" s="21" t="n">
        <f aca="false">P1966</f>
        <v>0.0961608184788929</v>
      </c>
      <c r="AC1966" s="3" t="n">
        <f aca="false">Y1966</f>
        <v>-0.127228744217177</v>
      </c>
      <c r="AD1966" s="3" t="n">
        <f aca="false">R1966</f>
        <v>0</v>
      </c>
    </row>
    <row r="1967" customFormat="false" ht="15" hidden="false" customHeight="true" outlineLevel="0" collapsed="false">
      <c r="A1967" s="7" t="s">
        <v>83</v>
      </c>
      <c r="B1967" s="7" t="n">
        <v>2001</v>
      </c>
      <c r="C1967" s="7" t="s">
        <v>164</v>
      </c>
      <c r="D1967" s="7" t="n">
        <v>76</v>
      </c>
      <c r="E1967" s="7" t="n">
        <v>86</v>
      </c>
      <c r="F1967" s="3" t="n">
        <f aca="false">COUNTIFS($B$2:$B$2705,B1967,$C$2:$C$2705,C1967)</f>
        <v>1</v>
      </c>
      <c r="G1967" s="3" t="n">
        <f aca="false">MIN(INT((MIN(B1967,2020)-1900)/10)+1,12)</f>
        <v>11</v>
      </c>
      <c r="H1967" s="3" t="n">
        <f aca="false">(MIN(B1967,2020)-1900-10*(G1967-1))/10</f>
        <v>0.1</v>
      </c>
      <c r="I1967" s="20" t="n">
        <f aca="false">EXP(LN(INDEX(Pop_Inputs!$B$2:$N$29,MATCH(C1967,Pop_Inputs!$A$2:$A$29,0),G1967))*(1-H1967)+LN(INDEX(Pop_Inputs!$B$2:$N$29,MATCH(C1967,Pop_Inputs!$A$2:$A$29,0),G1967+1))*H1967)</f>
        <v>366009.084273021</v>
      </c>
      <c r="J1967" s="20" t="n">
        <f aca="false">I1967/F1967</f>
        <v>366009.084273021</v>
      </c>
      <c r="K1967" s="21" t="n">
        <f aca="false">D1967/(D1967+E1967)</f>
        <v>0.469135802469136</v>
      </c>
      <c r="L1967" s="21" t="n">
        <f aca="false">AVERAGEIFS($K$2:$K$2705,$B$2:$B$2705,B1967)</f>
        <v>0.500018131917287</v>
      </c>
      <c r="M1967" s="21" t="n">
        <f aca="false">K1967-L1967</f>
        <v>-0.0308823294481507</v>
      </c>
      <c r="N1967" s="21" t="n">
        <f aca="false">LN(J1967)</f>
        <v>12.8104134324936</v>
      </c>
      <c r="O1967" s="21" t="n">
        <f aca="false">AVERAGEIFS($N$2:$N$2705,$B$2:$B$2705,B1967)</f>
        <v>13.6406696598957</v>
      </c>
      <c r="P1967" s="21" t="n">
        <f aca="false">N1967-O1967</f>
        <v>-0.830256227402094</v>
      </c>
      <c r="Q1967" s="7" t="n">
        <v>1</v>
      </c>
      <c r="R1967" s="3" t="n">
        <f aca="false">IF(AND(Q1967=1,B1967-_xlfn.MINIFS($B$2:$B$2705,$A$2:$A$2705,A1967)&lt;10),1,0)</f>
        <v>1</v>
      </c>
      <c r="S1967" s="7" t="n">
        <v>0</v>
      </c>
      <c r="T1967" s="3" t="n">
        <f aca="false">_xlfn.MINIFS($B$2:$B$2705,$A$2:$A$2705,A1967)</f>
        <v>1993</v>
      </c>
      <c r="U1967" s="3" t="n">
        <f aca="false">B1967-T1967</f>
        <v>8</v>
      </c>
      <c r="V1967" s="3" t="str">
        <f aca="false">INDEX(Pop_Inputs!$Q$2:$Q$29,MATCH(C1967,Pop_Inputs!$A$2:$A$29,0))</f>
        <v>South</v>
      </c>
      <c r="W1967" s="29" t="n">
        <v>35762500</v>
      </c>
      <c r="X1967" s="3" t="n">
        <f aca="false">IF(W1967="","",LN(W1967))</f>
        <v>17.3924104163405</v>
      </c>
      <c r="Y1967" s="3" t="n">
        <f aca="false">IF(X1967="","",X1967-AVERAGEIFS($X$2:$X$2705,$B$2:$B$2705,B1967))</f>
        <v>-0.528442338795703</v>
      </c>
      <c r="Z1967" s="21" t="n">
        <f aca="false">P1967</f>
        <v>-0.830256227402094</v>
      </c>
      <c r="AA1967" s="3" t="n">
        <f aca="false">R1967</f>
        <v>1</v>
      </c>
      <c r="AB1967" s="21" t="n">
        <f aca="false">P1967</f>
        <v>-0.830256227402094</v>
      </c>
      <c r="AC1967" s="3" t="n">
        <f aca="false">Y1967</f>
        <v>-0.528442338795703</v>
      </c>
      <c r="AD1967" s="3" t="n">
        <f aca="false">R1967</f>
        <v>1</v>
      </c>
    </row>
    <row r="1968" customFormat="false" ht="15" hidden="false" customHeight="true" outlineLevel="0" collapsed="false">
      <c r="A1968" s="7" t="s">
        <v>74</v>
      </c>
      <c r="B1968" s="7" t="n">
        <v>2001</v>
      </c>
      <c r="C1968" s="7" t="s">
        <v>156</v>
      </c>
      <c r="D1968" s="7" t="n">
        <v>93</v>
      </c>
      <c r="E1968" s="7" t="n">
        <v>69</v>
      </c>
      <c r="F1968" s="3" t="n">
        <f aca="false">COUNTIFS($B$2:$B$2705,B1968,$C$2:$C$2705,C1968)</f>
        <v>1</v>
      </c>
      <c r="G1968" s="3" t="n">
        <f aca="false">MIN(INT((MIN(B1968,2020)-1900)/10)+1,12)</f>
        <v>11</v>
      </c>
      <c r="H1968" s="3" t="n">
        <f aca="false">(MIN(B1968,2020)-1900-10*(G1968-1))/10</f>
        <v>0.1</v>
      </c>
      <c r="I1968" s="20" t="n">
        <f aca="false">EXP(LN(INDEX(Pop_Inputs!$B$2:$N$29,MATCH(C1968,Pop_Inputs!$A$2:$A$29,0),G1968))*(1-H1968)+LN(INDEX(Pop_Inputs!$B$2:$N$29,MATCH(C1968,Pop_Inputs!$A$2:$A$29,0),G1968+1))*H1968)</f>
        <v>1967745.18552747</v>
      </c>
      <c r="J1968" s="20" t="n">
        <f aca="false">I1968/F1968</f>
        <v>1967745.18552747</v>
      </c>
      <c r="K1968" s="21" t="n">
        <f aca="false">D1968/(D1968+E1968)</f>
        <v>0.574074074074074</v>
      </c>
      <c r="L1968" s="21" t="n">
        <f aca="false">AVERAGEIFS($K$2:$K$2705,$B$2:$B$2705,B1968)</f>
        <v>0.500018131917287</v>
      </c>
      <c r="M1968" s="21" t="n">
        <f aca="false">K1968-L1968</f>
        <v>0.0740559421567876</v>
      </c>
      <c r="N1968" s="21" t="n">
        <f aca="false">LN(J1968)</f>
        <v>14.4923988693126</v>
      </c>
      <c r="O1968" s="21" t="n">
        <f aca="false">AVERAGEIFS($N$2:$N$2705,$B$2:$B$2705,B1968)</f>
        <v>13.6406696598957</v>
      </c>
      <c r="P1968" s="21" t="n">
        <f aca="false">N1968-O1968</f>
        <v>0.851729209416909</v>
      </c>
      <c r="Q1968" s="7" t="n">
        <v>1</v>
      </c>
      <c r="R1968" s="3" t="n">
        <f aca="false">IF(AND(Q1968=1,B1968-_xlfn.MINIFS($B$2:$B$2705,$A$2:$A$2705,A1968)&lt;10),1,0)</f>
        <v>0</v>
      </c>
      <c r="S1968" s="7" t="n">
        <v>0</v>
      </c>
      <c r="T1968" s="3" t="n">
        <f aca="false">_xlfn.MINIFS($B$2:$B$2705,$A$2:$A$2705,A1968)</f>
        <v>1962</v>
      </c>
      <c r="U1968" s="3" t="n">
        <f aca="false">B1968-T1968</f>
        <v>39</v>
      </c>
      <c r="V1968" s="3" t="str">
        <f aca="false">INDEX(Pop_Inputs!$Q$2:$Q$29,MATCH(C1968,Pop_Inputs!$A$2:$A$29,0))</f>
        <v>South</v>
      </c>
      <c r="W1968" s="29" t="n">
        <v>60612667</v>
      </c>
      <c r="X1968" s="3" t="n">
        <f aca="false">IF(W1968="","",LN(W1968))</f>
        <v>17.9200144555992</v>
      </c>
      <c r="Y1968" s="3" t="n">
        <f aca="false">IF(X1968="","",X1968-AVERAGEIFS($X$2:$X$2705,$B$2:$B$2705,B1968))</f>
        <v>-0.000838299536997766</v>
      </c>
      <c r="Z1968" s="21" t="n">
        <f aca="false">P1968</f>
        <v>0.851729209416909</v>
      </c>
      <c r="AA1968" s="3" t="n">
        <f aca="false">R1968</f>
        <v>0</v>
      </c>
      <c r="AB1968" s="21" t="n">
        <f aca="false">P1968</f>
        <v>0.851729209416909</v>
      </c>
      <c r="AC1968" s="3" t="n">
        <f aca="false">Y1968</f>
        <v>-0.000838299536997766</v>
      </c>
      <c r="AD1968" s="3" t="n">
        <f aca="false">R1968</f>
        <v>0</v>
      </c>
    </row>
    <row r="1969" customFormat="false" ht="15" hidden="false" customHeight="true" outlineLevel="0" collapsed="false">
      <c r="A1969" s="7" t="s">
        <v>76</v>
      </c>
      <c r="B1969" s="7" t="n">
        <v>2001</v>
      </c>
      <c r="C1969" s="7" t="s">
        <v>157</v>
      </c>
      <c r="D1969" s="7" t="n">
        <v>65</v>
      </c>
      <c r="E1969" s="7" t="n">
        <v>97</v>
      </c>
      <c r="F1969" s="3" t="n">
        <f aca="false">COUNTIFS($B$2:$B$2705,B1969,$C$2:$C$2705,C1969)</f>
        <v>1</v>
      </c>
      <c r="G1969" s="3" t="n">
        <f aca="false">MIN(INT((MIN(B1969,2020)-1900)/10)+1,12)</f>
        <v>11</v>
      </c>
      <c r="H1969" s="3" t="n">
        <f aca="false">(MIN(B1969,2020)-1900-10*(G1969-1))/10</f>
        <v>0.1</v>
      </c>
      <c r="I1969" s="20" t="n">
        <f aca="false">EXP(LN(INDEX(Pop_Inputs!$B$2:$N$29,MATCH(C1969,Pop_Inputs!$A$2:$A$29,0),G1969))*(1-H1969)+LN(INDEX(Pop_Inputs!$B$2:$N$29,MATCH(C1969,Pop_Inputs!$A$2:$A$29,0),G1969+1))*H1969)</f>
        <v>443336.147366615</v>
      </c>
      <c r="J1969" s="20" t="n">
        <f aca="false">I1969/F1969</f>
        <v>443336.147366615</v>
      </c>
      <c r="K1969" s="21" t="n">
        <f aca="false">D1969/(D1969+E1969)</f>
        <v>0.401234567901235</v>
      </c>
      <c r="L1969" s="21" t="n">
        <f aca="false">AVERAGEIFS($K$2:$K$2705,$B$2:$B$2705,B1969)</f>
        <v>0.500018131917287</v>
      </c>
      <c r="M1969" s="21" t="n">
        <f aca="false">K1969-L1969</f>
        <v>-0.0987835640160519</v>
      </c>
      <c r="N1969" s="21" t="n">
        <f aca="false">LN(J1969)</f>
        <v>13.0020835589532</v>
      </c>
      <c r="O1969" s="21" t="n">
        <f aca="false">AVERAGEIFS($N$2:$N$2705,$B$2:$B$2705,B1969)</f>
        <v>13.6406696598957</v>
      </c>
      <c r="P1969" s="21" t="n">
        <f aca="false">N1969-O1969</f>
        <v>-0.638586100942492</v>
      </c>
      <c r="Q1969" s="7" t="n">
        <v>1</v>
      </c>
      <c r="R1969" s="3" t="n">
        <f aca="false">IF(AND(Q1969=1,B1969-_xlfn.MINIFS($B$2:$B$2705,$A$2:$A$2705,A1969)&lt;10),1,0)</f>
        <v>0</v>
      </c>
      <c r="S1969" s="7" t="n">
        <v>0</v>
      </c>
      <c r="T1969" s="3" t="n">
        <f aca="false">_xlfn.MINIFS($B$2:$B$2705,$A$2:$A$2705,A1969)</f>
        <v>1969</v>
      </c>
      <c r="U1969" s="3" t="n">
        <f aca="false">B1969-T1969</f>
        <v>32</v>
      </c>
      <c r="V1969" s="3" t="str">
        <f aca="false">INDEX(Pop_Inputs!$Q$2:$Q$29,MATCH(C1969,Pop_Inputs!$A$2:$A$29,0))</f>
        <v>Midwest</v>
      </c>
      <c r="W1969" s="29" t="n">
        <v>35422500</v>
      </c>
      <c r="X1969" s="3" t="n">
        <f aca="false">IF(W1969="","",LN(W1969))</f>
        <v>17.3828577694205</v>
      </c>
      <c r="Y1969" s="3" t="n">
        <f aca="false">IF(X1969="","",X1969-AVERAGEIFS($X$2:$X$2705,$B$2:$B$2705,B1969))</f>
        <v>-0.537994985715688</v>
      </c>
      <c r="Z1969" s="21" t="n">
        <f aca="false">P1969</f>
        <v>-0.638586100942492</v>
      </c>
      <c r="AA1969" s="3" t="n">
        <f aca="false">R1969</f>
        <v>0</v>
      </c>
      <c r="AB1969" s="21" t="n">
        <f aca="false">P1969</f>
        <v>-0.638586100942492</v>
      </c>
      <c r="AC1969" s="3" t="n">
        <f aca="false">Y1969</f>
        <v>-0.537994985715688</v>
      </c>
      <c r="AD1969" s="3" t="n">
        <f aca="false">R1969</f>
        <v>0</v>
      </c>
    </row>
    <row r="1970" customFormat="false" ht="15" hidden="false" customHeight="true" outlineLevel="0" collapsed="false">
      <c r="A1970" s="7" t="s">
        <v>62</v>
      </c>
      <c r="B1970" s="7" t="n">
        <v>2001</v>
      </c>
      <c r="C1970" s="7" t="s">
        <v>148</v>
      </c>
      <c r="D1970" s="7" t="n">
        <v>86</v>
      </c>
      <c r="E1970" s="7" t="n">
        <v>76</v>
      </c>
      <c r="F1970" s="3" t="n">
        <f aca="false">COUNTIFS($B$2:$B$2705,B1970,$C$2:$C$2705,C1970)</f>
        <v>2</v>
      </c>
      <c r="G1970" s="3" t="n">
        <f aca="false">MIN(INT((MIN(B1970,2020)-1900)/10)+1,12)</f>
        <v>11</v>
      </c>
      <c r="H1970" s="3" t="n">
        <f aca="false">(MIN(B1970,2020)-1900-10*(G1970-1))/10</f>
        <v>0.1</v>
      </c>
      <c r="I1970" s="20" t="n">
        <f aca="false">EXP(LN(INDEX(Pop_Inputs!$B$2:$N$29,MATCH(C1970,Pop_Inputs!$A$2:$A$29,0),G1970))*(1-H1970)+LN(INDEX(Pop_Inputs!$B$2:$N$29,MATCH(C1970,Pop_Inputs!$A$2:$A$29,0),G1970+1))*H1970)</f>
        <v>3704485.52160966</v>
      </c>
      <c r="J1970" s="20" t="n">
        <f aca="false">I1970/F1970</f>
        <v>1852242.76080483</v>
      </c>
      <c r="K1970" s="21" t="n">
        <f aca="false">D1970/(D1970+E1970)</f>
        <v>0.530864197530864</v>
      </c>
      <c r="L1970" s="21" t="n">
        <f aca="false">AVERAGEIFS($K$2:$K$2705,$B$2:$B$2705,B1970)</f>
        <v>0.500018131917287</v>
      </c>
      <c r="M1970" s="21" t="n">
        <f aca="false">K1970-L1970</f>
        <v>0.0308460656135777</v>
      </c>
      <c r="N1970" s="21" t="n">
        <f aca="false">LN(J1970)</f>
        <v>14.4319077659462</v>
      </c>
      <c r="O1970" s="21" t="n">
        <f aca="false">AVERAGEIFS($N$2:$N$2705,$B$2:$B$2705,B1970)</f>
        <v>13.6406696598957</v>
      </c>
      <c r="P1970" s="21" t="n">
        <f aca="false">N1970-O1970</f>
        <v>0.791238106050498</v>
      </c>
      <c r="Q1970" s="7" t="n">
        <v>0</v>
      </c>
      <c r="R1970" s="3" t="n">
        <f aca="false">IF(AND(Q1970=1,B1970-_xlfn.MINIFS($B$2:$B$2705,$A$2:$A$2705,A1970)&lt;10),1,0)</f>
        <v>0</v>
      </c>
      <c r="S1970" s="7" t="n">
        <v>0</v>
      </c>
      <c r="T1970" s="3" t="n">
        <f aca="false">_xlfn.MINIFS($B$2:$B$2705,$A$2:$A$2705,A1970)</f>
        <v>1901</v>
      </c>
      <c r="U1970" s="3" t="n">
        <f aca="false">B1970-T1970</f>
        <v>100</v>
      </c>
      <c r="V1970" s="3" t="str">
        <f aca="false">INDEX(Pop_Inputs!$Q$2:$Q$29,MATCH(C1970,Pop_Inputs!$A$2:$A$29,0))</f>
        <v>West</v>
      </c>
      <c r="W1970" s="29" t="n">
        <v>109105953</v>
      </c>
      <c r="X1970" s="3" t="n">
        <f aca="false">IF(W1970="","",LN(W1970))</f>
        <v>18.5078300139343</v>
      </c>
      <c r="Y1970" s="3" t="n">
        <f aca="false">IF(X1970="","",X1970-AVERAGEIFS($X$2:$X$2705,$B$2:$B$2705,B1970))</f>
        <v>0.586977258798115</v>
      </c>
      <c r="Z1970" s="21" t="n">
        <f aca="false">P1970</f>
        <v>0.791238106050498</v>
      </c>
      <c r="AA1970" s="3" t="n">
        <f aca="false">R1970</f>
        <v>0</v>
      </c>
      <c r="AB1970" s="21" t="n">
        <f aca="false">P1970</f>
        <v>0.791238106050498</v>
      </c>
      <c r="AC1970" s="3" t="n">
        <f aca="false">Y1970</f>
        <v>0.586977258798115</v>
      </c>
      <c r="AD1970" s="3" t="n">
        <f aca="false">R1970</f>
        <v>0</v>
      </c>
    </row>
    <row r="1971" customFormat="false" ht="15" hidden="false" customHeight="true" outlineLevel="0" collapsed="false">
      <c r="A1971" s="7" t="s">
        <v>77</v>
      </c>
      <c r="B1971" s="7" t="n">
        <v>2001</v>
      </c>
      <c r="C1971" s="7" t="s">
        <v>158</v>
      </c>
      <c r="D1971" s="7" t="n">
        <v>68</v>
      </c>
      <c r="E1971" s="7" t="n">
        <v>94</v>
      </c>
      <c r="F1971" s="3" t="n">
        <f aca="false">COUNTIFS($B$2:$B$2705,B1971,$C$2:$C$2705,C1971)</f>
        <v>1</v>
      </c>
      <c r="G1971" s="3" t="n">
        <f aca="false">MIN(INT((MIN(B1971,2020)-1900)/10)+1,12)</f>
        <v>11</v>
      </c>
      <c r="H1971" s="3" t="n">
        <f aca="false">(MIN(B1971,2020)-1900-10*(G1971-1))/10</f>
        <v>0.1</v>
      </c>
      <c r="I1971" s="20" t="n">
        <f aca="false">EXP(LN(INDEX(Pop_Inputs!$B$2:$N$29,MATCH(C1971,Pop_Inputs!$A$2:$A$29,0),G1971))*(1-H1971)+LN(INDEX(Pop_Inputs!$B$2:$N$29,MATCH(C1971,Pop_Inputs!$A$2:$A$29,0),G1971+1))*H1971)</f>
        <v>596759.553679392</v>
      </c>
      <c r="J1971" s="20" t="n">
        <f aca="false">I1971/F1971</f>
        <v>596759.553679392</v>
      </c>
      <c r="K1971" s="21" t="n">
        <f aca="false">D1971/(D1971+E1971)</f>
        <v>0.419753086419753</v>
      </c>
      <c r="L1971" s="21" t="n">
        <f aca="false">AVERAGEIFS($K$2:$K$2705,$B$2:$B$2705,B1971)</f>
        <v>0.500018131917287</v>
      </c>
      <c r="M1971" s="21" t="n">
        <f aca="false">K1971-L1971</f>
        <v>-0.0802650454975334</v>
      </c>
      <c r="N1971" s="21" t="n">
        <f aca="false">LN(J1971)</f>
        <v>13.2992695535901</v>
      </c>
      <c r="O1971" s="21" t="n">
        <f aca="false">AVERAGEIFS($N$2:$N$2705,$B$2:$B$2705,B1971)</f>
        <v>13.6406696598957</v>
      </c>
      <c r="P1971" s="21" t="n">
        <f aca="false">N1971-O1971</f>
        <v>-0.341400106305535</v>
      </c>
      <c r="Q1971" s="7" t="n">
        <v>1</v>
      </c>
      <c r="R1971" s="3" t="n">
        <f aca="false">IF(AND(Q1971=1,B1971-_xlfn.MINIFS($B$2:$B$2705,$A$2:$A$2705,A1971)&lt;10),1,0)</f>
        <v>0</v>
      </c>
      <c r="S1971" s="7" t="n">
        <v>0</v>
      </c>
      <c r="T1971" s="3" t="n">
        <f aca="false">_xlfn.MINIFS($B$2:$B$2705,$A$2:$A$2705,A1971)</f>
        <v>1969</v>
      </c>
      <c r="U1971" s="3" t="n">
        <f aca="false">B1971-T1971</f>
        <v>32</v>
      </c>
      <c r="V1971" s="3" t="str">
        <f aca="false">INDEX(Pop_Inputs!$Q$2:$Q$29,MATCH(C1971,Pop_Inputs!$A$2:$A$29,0))</f>
        <v>Midwest</v>
      </c>
      <c r="W1971" s="29" t="n">
        <v>43886833</v>
      </c>
      <c r="X1971" s="3" t="n">
        <f aca="false">IF(W1971="","",LN(W1971))</f>
        <v>17.597124901394</v>
      </c>
      <c r="Y1971" s="3" t="n">
        <f aca="false">IF(X1971="","",X1971-AVERAGEIFS($X$2:$X$2705,$B$2:$B$2705,B1971))</f>
        <v>-0.323727853742174</v>
      </c>
      <c r="Z1971" s="21" t="n">
        <f aca="false">P1971</f>
        <v>-0.341400106305535</v>
      </c>
      <c r="AA1971" s="3" t="n">
        <f aca="false">R1971</f>
        <v>0</v>
      </c>
      <c r="AB1971" s="21" t="n">
        <f aca="false">P1971</f>
        <v>-0.341400106305535</v>
      </c>
      <c r="AC1971" s="3" t="n">
        <f aca="false">Y1971</f>
        <v>-0.323727853742174</v>
      </c>
      <c r="AD1971" s="3" t="n">
        <f aca="false">R1971</f>
        <v>0</v>
      </c>
    </row>
    <row r="1972" customFormat="false" ht="15" hidden="false" customHeight="true" outlineLevel="0" collapsed="false">
      <c r="A1972" s="7" t="s">
        <v>68</v>
      </c>
      <c r="B1972" s="7" t="n">
        <v>2001</v>
      </c>
      <c r="C1972" s="7" t="s">
        <v>153</v>
      </c>
      <c r="D1972" s="7" t="n">
        <v>85</v>
      </c>
      <c r="E1972" s="7" t="n">
        <v>77</v>
      </c>
      <c r="F1972" s="3" t="n">
        <f aca="false">COUNTIFS($B$2:$B$2705,B1972,$C$2:$C$2705,C1972)</f>
        <v>1</v>
      </c>
      <c r="G1972" s="3" t="n">
        <f aca="false">MIN(INT((MIN(B1972,2020)-1900)/10)+1,12)</f>
        <v>11</v>
      </c>
      <c r="H1972" s="3" t="n">
        <f aca="false">(MIN(B1972,2020)-1900-10*(G1972-1))/10</f>
        <v>0.1</v>
      </c>
      <c r="I1972" s="20" t="n">
        <f aca="false">EXP(LN(INDEX(Pop_Inputs!$B$2:$N$29,MATCH(C1972,Pop_Inputs!$A$2:$A$29,0),G1972))*(1-H1972)+LN(INDEX(Pop_Inputs!$B$2:$N$29,MATCH(C1972,Pop_Inputs!$A$2:$A$29,0),G1972+1))*H1972)</f>
        <v>382613.99981181</v>
      </c>
      <c r="J1972" s="20" t="n">
        <f aca="false">I1972/F1972</f>
        <v>382613.99981181</v>
      </c>
      <c r="K1972" s="21" t="n">
        <f aca="false">D1972/(D1972+E1972)</f>
        <v>0.524691358024691</v>
      </c>
      <c r="L1972" s="21" t="n">
        <f aca="false">AVERAGEIFS($K$2:$K$2705,$B$2:$B$2705,B1972)</f>
        <v>0.500018131917287</v>
      </c>
      <c r="M1972" s="21" t="n">
        <f aca="false">K1972-L1972</f>
        <v>0.0246732261074049</v>
      </c>
      <c r="N1972" s="21" t="n">
        <f aca="false">LN(J1972)</f>
        <v>12.8547819265677</v>
      </c>
      <c r="O1972" s="21" t="n">
        <f aca="false">AVERAGEIFS($N$2:$N$2705,$B$2:$B$2705,B1972)</f>
        <v>13.6406696598957</v>
      </c>
      <c r="P1972" s="21" t="n">
        <f aca="false">N1972-O1972</f>
        <v>-0.78588773332797</v>
      </c>
      <c r="Q1972" s="7" t="n">
        <v>0</v>
      </c>
      <c r="R1972" s="3" t="n">
        <f aca="false">IF(AND(Q1972=1,B1972-_xlfn.MINIFS($B$2:$B$2705,$A$2:$A$2705,A1972)&lt;10),1,0)</f>
        <v>0</v>
      </c>
      <c r="S1972" s="7" t="n">
        <v>0</v>
      </c>
      <c r="T1972" s="3" t="n">
        <f aca="false">_xlfn.MINIFS($B$2:$B$2705,$A$2:$A$2705,A1972)</f>
        <v>1901</v>
      </c>
      <c r="U1972" s="3" t="n">
        <f aca="false">B1972-T1972</f>
        <v>100</v>
      </c>
      <c r="V1972" s="3" t="str">
        <f aca="false">INDEX(Pop_Inputs!$Q$2:$Q$29,MATCH(C1972,Pop_Inputs!$A$2:$A$29,0))</f>
        <v>Midwest</v>
      </c>
      <c r="W1972" s="29" t="n">
        <v>24130000</v>
      </c>
      <c r="X1972" s="3" t="n">
        <f aca="false">IF(W1972="","",LN(W1972))</f>
        <v>16.9989664376012</v>
      </c>
      <c r="Y1972" s="3" t="n">
        <f aca="false">IF(X1972="","",X1972-AVERAGEIFS($X$2:$X$2705,$B$2:$B$2705,B1972))</f>
        <v>-0.921886317534991</v>
      </c>
      <c r="Z1972" s="21" t="n">
        <f aca="false">P1972</f>
        <v>-0.78588773332797</v>
      </c>
      <c r="AA1972" s="3" t="n">
        <f aca="false">R1972</f>
        <v>0</v>
      </c>
      <c r="AB1972" s="21" t="n">
        <f aca="false">P1972</f>
        <v>-0.78588773332797</v>
      </c>
      <c r="AC1972" s="3" t="n">
        <f aca="false">Y1972</f>
        <v>-0.921886317534991</v>
      </c>
      <c r="AD1972" s="3" t="n">
        <f aca="false">R1972</f>
        <v>0</v>
      </c>
    </row>
    <row r="1973" customFormat="false" ht="15" hidden="false" customHeight="true" outlineLevel="0" collapsed="false">
      <c r="A1973" s="7" t="s">
        <v>75</v>
      </c>
      <c r="B1973" s="7" t="n">
        <v>2001</v>
      </c>
      <c r="C1973" s="7" t="s">
        <v>154</v>
      </c>
      <c r="D1973" s="7" t="n">
        <v>82</v>
      </c>
      <c r="E1973" s="7" t="n">
        <v>80</v>
      </c>
      <c r="F1973" s="3" t="n">
        <f aca="false">COUNTIFS($B$2:$B$2705,B1973,$C$2:$C$2705,C1973)</f>
        <v>2</v>
      </c>
      <c r="G1973" s="3" t="n">
        <f aca="false">MIN(INT((MIN(B1973,2020)-1900)/10)+1,12)</f>
        <v>11</v>
      </c>
      <c r="H1973" s="3" t="n">
        <f aca="false">(MIN(B1973,2020)-1900-10*(G1973-1))/10</f>
        <v>0.1</v>
      </c>
      <c r="I1973" s="20" t="n">
        <f aca="false">EXP(LN(INDEX(Pop_Inputs!$B$2:$N$29,MATCH(C1973,Pop_Inputs!$A$2:$A$29,0),G1973))*(1-H1973)+LN(INDEX(Pop_Inputs!$B$2:$N$29,MATCH(C1973,Pop_Inputs!$A$2:$A$29,0),G1973+1))*H1973)</f>
        <v>8024809.09222266</v>
      </c>
      <c r="J1973" s="20" t="n">
        <f aca="false">I1973/F1973</f>
        <v>4012404.54611133</v>
      </c>
      <c r="K1973" s="21" t="n">
        <f aca="false">D1973/(D1973+E1973)</f>
        <v>0.506172839506173</v>
      </c>
      <c r="L1973" s="21" t="n">
        <f aca="false">AVERAGEIFS($K$2:$K$2705,$B$2:$B$2705,B1973)</f>
        <v>0.500018131917287</v>
      </c>
      <c r="M1973" s="21" t="n">
        <f aca="false">K1973-L1973</f>
        <v>0.00615470758888637</v>
      </c>
      <c r="N1973" s="21" t="n">
        <f aca="false">LN(J1973)</f>
        <v>15.2049012570063</v>
      </c>
      <c r="O1973" s="21" t="n">
        <f aca="false">AVERAGEIFS($N$2:$N$2705,$B$2:$B$2705,B1973)</f>
        <v>13.6406696598957</v>
      </c>
      <c r="P1973" s="21" t="n">
        <f aca="false">N1973-O1973</f>
        <v>1.56423159711064</v>
      </c>
      <c r="Q1973" s="7" t="n">
        <v>1</v>
      </c>
      <c r="R1973" s="3" t="n">
        <f aca="false">IF(AND(Q1973=1,B1973-_xlfn.MINIFS($B$2:$B$2705,$A$2:$A$2705,A1973)&lt;10),1,0)</f>
        <v>0</v>
      </c>
      <c r="S1973" s="7" t="n">
        <v>0</v>
      </c>
      <c r="T1973" s="3" t="n">
        <f aca="false">_xlfn.MINIFS($B$2:$B$2705,$A$2:$A$2705,A1973)</f>
        <v>1962</v>
      </c>
      <c r="U1973" s="3" t="n">
        <f aca="false">B1973-T1973</f>
        <v>39</v>
      </c>
      <c r="V1973" s="3" t="str">
        <f aca="false">INDEX(Pop_Inputs!$Q$2:$Q$29,MATCH(C1973,Pop_Inputs!$A$2:$A$29,0))</f>
        <v>Northeast</v>
      </c>
      <c r="W1973" s="29" t="n">
        <v>93174428</v>
      </c>
      <c r="X1973" s="3" t="n">
        <f aca="false">IF(W1973="","",LN(W1973))</f>
        <v>18.349983864325</v>
      </c>
      <c r="Y1973" s="3" t="n">
        <f aca="false">IF(X1973="","",X1973-AVERAGEIFS($X$2:$X$2705,$B$2:$B$2705,B1973))</f>
        <v>0.429131109188766</v>
      </c>
      <c r="Z1973" s="21" t="n">
        <f aca="false">P1973</f>
        <v>1.56423159711064</v>
      </c>
      <c r="AA1973" s="3" t="n">
        <f aca="false">R1973</f>
        <v>0</v>
      </c>
      <c r="AB1973" s="21" t="n">
        <f aca="false">P1973</f>
        <v>1.56423159711064</v>
      </c>
      <c r="AC1973" s="3" t="n">
        <f aca="false">Y1973</f>
        <v>0.429131109188766</v>
      </c>
      <c r="AD1973" s="3" t="n">
        <f aca="false">R1973</f>
        <v>0</v>
      </c>
    </row>
    <row r="1974" customFormat="false" ht="15" hidden="false" customHeight="true" outlineLevel="0" collapsed="false">
      <c r="A1974" s="7" t="s">
        <v>70</v>
      </c>
      <c r="B1974" s="7" t="n">
        <v>2001</v>
      </c>
      <c r="C1974" s="7" t="s">
        <v>154</v>
      </c>
      <c r="D1974" s="7" t="n">
        <v>95</v>
      </c>
      <c r="E1974" s="7" t="n">
        <v>65</v>
      </c>
      <c r="F1974" s="3" t="n">
        <f aca="false">COUNTIFS($B$2:$B$2705,B1974,$C$2:$C$2705,C1974)</f>
        <v>2</v>
      </c>
      <c r="G1974" s="3" t="n">
        <f aca="false">MIN(INT((MIN(B1974,2020)-1900)/10)+1,12)</f>
        <v>11</v>
      </c>
      <c r="H1974" s="3" t="n">
        <f aca="false">(MIN(B1974,2020)-1900-10*(G1974-1))/10</f>
        <v>0.1</v>
      </c>
      <c r="I1974" s="20" t="n">
        <f aca="false">EXP(LN(INDEX(Pop_Inputs!$B$2:$N$29,MATCH(C1974,Pop_Inputs!$A$2:$A$29,0),G1974))*(1-H1974)+LN(INDEX(Pop_Inputs!$B$2:$N$29,MATCH(C1974,Pop_Inputs!$A$2:$A$29,0),G1974+1))*H1974)</f>
        <v>8024809.09222266</v>
      </c>
      <c r="J1974" s="20" t="n">
        <f aca="false">I1974/F1974</f>
        <v>4012404.54611133</v>
      </c>
      <c r="K1974" s="21" t="n">
        <f aca="false">D1974/(D1974+E1974)</f>
        <v>0.59375</v>
      </c>
      <c r="L1974" s="21" t="n">
        <f aca="false">AVERAGEIFS($K$2:$K$2705,$B$2:$B$2705,B1974)</f>
        <v>0.500018131917287</v>
      </c>
      <c r="M1974" s="21" t="n">
        <f aca="false">K1974-L1974</f>
        <v>0.0937318680827135</v>
      </c>
      <c r="N1974" s="21" t="n">
        <f aca="false">LN(J1974)</f>
        <v>15.2049012570063</v>
      </c>
      <c r="O1974" s="21" t="n">
        <f aca="false">AVERAGEIFS($N$2:$N$2705,$B$2:$B$2705,B1974)</f>
        <v>13.6406696598957</v>
      </c>
      <c r="P1974" s="21" t="n">
        <f aca="false">N1974-O1974</f>
        <v>1.56423159711064</v>
      </c>
      <c r="Q1974" s="7" t="n">
        <v>0</v>
      </c>
      <c r="R1974" s="3" t="n">
        <f aca="false">IF(AND(Q1974=1,B1974-_xlfn.MINIFS($B$2:$B$2705,$A$2:$A$2705,A1974)&lt;10),1,0)</f>
        <v>0</v>
      </c>
      <c r="S1974" s="7" t="n">
        <v>1</v>
      </c>
      <c r="T1974" s="3" t="n">
        <f aca="false">_xlfn.MINIFS($B$2:$B$2705,$A$2:$A$2705,A1974)</f>
        <v>1903</v>
      </c>
      <c r="U1974" s="3" t="n">
        <f aca="false">B1974-T1974</f>
        <v>98</v>
      </c>
      <c r="V1974" s="3" t="str">
        <f aca="false">INDEX(Pop_Inputs!$Q$2:$Q$29,MATCH(C1974,Pop_Inputs!$A$2:$A$29,0))</f>
        <v>Northeast</v>
      </c>
      <c r="W1974" s="29" t="n">
        <v>112287143</v>
      </c>
      <c r="X1974" s="3" t="n">
        <f aca="false">IF(W1974="","",LN(W1974))</f>
        <v>18.5365699251758</v>
      </c>
      <c r="Y1974" s="3" t="n">
        <f aca="false">IF(X1974="","",X1974-AVERAGEIFS($X$2:$X$2705,$B$2:$B$2705,B1974))</f>
        <v>0.615717170039588</v>
      </c>
      <c r="Z1974" s="21" t="n">
        <f aca="false">P1974</f>
        <v>1.56423159711064</v>
      </c>
      <c r="AA1974" s="3" t="n">
        <f aca="false">R1974</f>
        <v>0</v>
      </c>
      <c r="AB1974" s="21" t="n">
        <f aca="false">P1974</f>
        <v>1.56423159711064</v>
      </c>
      <c r="AC1974" s="3" t="n">
        <f aca="false">Y1974</f>
        <v>0.615717170039588</v>
      </c>
      <c r="AD1974" s="3" t="n">
        <f aca="false">R1974</f>
        <v>0</v>
      </c>
    </row>
    <row r="1975" customFormat="false" ht="15" hidden="false" customHeight="true" outlineLevel="0" collapsed="false">
      <c r="A1975" s="7" t="s">
        <v>69</v>
      </c>
      <c r="B1975" s="7" t="n">
        <v>2001</v>
      </c>
      <c r="C1975" s="7" t="s">
        <v>253</v>
      </c>
      <c r="D1975" s="7" t="n">
        <v>102</v>
      </c>
      <c r="E1975" s="7" t="n">
        <v>60</v>
      </c>
      <c r="F1975" s="3" t="n">
        <f aca="false">COUNTIFS($B$2:$B$2705,B1975,$C$2:$C$2705,C1975)</f>
        <v>1</v>
      </c>
      <c r="G1975" s="3" t="n">
        <f aca="false">MIN(INT((MIN(B1975,2020)-1900)/10)+1,12)</f>
        <v>11</v>
      </c>
      <c r="H1975" s="3" t="n">
        <f aca="false">(MIN(B1975,2020)-1900-10*(G1975-1))/10</f>
        <v>0.1</v>
      </c>
      <c r="I1975" s="20" t="n">
        <f aca="false">EXP(LN(INDEX(Pop_Inputs!$B$2:$N$29,MATCH(C1975,Pop_Inputs!$A$2:$A$29,0),G1975))*(1-H1975)+LN(INDEX(Pop_Inputs!$B$2:$N$29,MATCH(C1975,Pop_Inputs!$A$2:$A$29,0),G1975+1))*H1975)</f>
        <v>398599.233878333</v>
      </c>
      <c r="J1975" s="20" t="n">
        <f aca="false">I1975/F1975</f>
        <v>398599.233878333</v>
      </c>
      <c r="K1975" s="21" t="n">
        <f aca="false">D1975/(D1975+E1975)</f>
        <v>0.62962962962963</v>
      </c>
      <c r="L1975" s="21" t="n">
        <f aca="false">AVERAGEIFS($K$2:$K$2705,$B$2:$B$2705,B1975)</f>
        <v>0.500018131917287</v>
      </c>
      <c r="M1975" s="21" t="n">
        <f aca="false">K1975-L1975</f>
        <v>0.129611497712343</v>
      </c>
      <c r="N1975" s="21" t="n">
        <f aca="false">LN(J1975)</f>
        <v>12.8957117647277</v>
      </c>
      <c r="O1975" s="21" t="n">
        <f aca="false">AVERAGEIFS($N$2:$N$2705,$B$2:$B$2705,B1975)</f>
        <v>13.6406696598957</v>
      </c>
      <c r="P1975" s="21" t="n">
        <f aca="false">N1975-O1975</f>
        <v>-0.744957895167959</v>
      </c>
      <c r="Q1975" s="7" t="n">
        <v>0</v>
      </c>
      <c r="R1975" s="3" t="n">
        <f aca="false">IF(AND(Q1975=1,B1975-_xlfn.MINIFS($B$2:$B$2705,$A$2:$A$2705,A1975)&lt;10),1,0)</f>
        <v>0</v>
      </c>
      <c r="S1975" s="7" t="n">
        <v>0</v>
      </c>
      <c r="T1975" s="3" t="n">
        <f aca="false">_xlfn.MINIFS($B$2:$B$2705,$A$2:$A$2705,A1975)</f>
        <v>1901</v>
      </c>
      <c r="U1975" s="3" t="n">
        <f aca="false">B1975-T1975</f>
        <v>100</v>
      </c>
      <c r="V1975" s="3" t="str">
        <f aca="false">INDEX(Pop_Inputs!$Q$2:$Q$29,MATCH(C1975,Pop_Inputs!$A$2:$A$29,0))</f>
        <v>West</v>
      </c>
      <c r="W1975" s="29" t="n">
        <v>33810750</v>
      </c>
      <c r="X1975" s="3" t="n">
        <f aca="false">IF(W1975="","",LN(W1975))</f>
        <v>17.3362893572242</v>
      </c>
      <c r="Y1975" s="3" t="n">
        <f aca="false">IF(X1975="","",X1975-AVERAGEIFS($X$2:$X$2705,$B$2:$B$2705,B1975))</f>
        <v>-0.584563397912014</v>
      </c>
      <c r="Z1975" s="21" t="n">
        <f aca="false">P1975</f>
        <v>-0.744957895167959</v>
      </c>
      <c r="AA1975" s="3" t="n">
        <f aca="false">R1975</f>
        <v>0</v>
      </c>
      <c r="AB1975" s="21" t="n">
        <f aca="false">P1975</f>
        <v>-0.744957895167959</v>
      </c>
      <c r="AC1975" s="3" t="n">
        <f aca="false">Y1975</f>
        <v>-0.584563397912014</v>
      </c>
      <c r="AD1975" s="3" t="n">
        <f aca="false">R1975</f>
        <v>0</v>
      </c>
    </row>
    <row r="1976" customFormat="false" ht="15" hidden="false" customHeight="true" outlineLevel="0" collapsed="false">
      <c r="A1976" s="7" t="s">
        <v>60</v>
      </c>
      <c r="B1976" s="7" t="n">
        <v>2001</v>
      </c>
      <c r="C1976" s="7" t="s">
        <v>146</v>
      </c>
      <c r="D1976" s="7" t="n">
        <v>86</v>
      </c>
      <c r="E1976" s="7" t="n">
        <v>76</v>
      </c>
      <c r="F1976" s="3" t="n">
        <f aca="false">COUNTIFS($B$2:$B$2705,B1976,$C$2:$C$2705,C1976)</f>
        <v>1</v>
      </c>
      <c r="G1976" s="3" t="n">
        <f aca="false">MIN(INT((MIN(B1976,2020)-1900)/10)+1,12)</f>
        <v>11</v>
      </c>
      <c r="H1976" s="3" t="n">
        <f aca="false">(MIN(B1976,2020)-1900-10*(G1976-1))/10</f>
        <v>0.1</v>
      </c>
      <c r="I1976" s="20" t="n">
        <f aca="false">EXP(LN(INDEX(Pop_Inputs!$B$2:$N$29,MATCH(C1976,Pop_Inputs!$A$2:$A$29,0),G1976))*(1-H1976)+LN(INDEX(Pop_Inputs!$B$2:$N$29,MATCH(C1976,Pop_Inputs!$A$2:$A$29,0),G1976+1))*H1976)</f>
        <v>1518393.48714208</v>
      </c>
      <c r="J1976" s="20" t="n">
        <f aca="false">I1976/F1976</f>
        <v>1518393.48714208</v>
      </c>
      <c r="K1976" s="21" t="n">
        <f aca="false">D1976/(D1976+E1976)</f>
        <v>0.530864197530864</v>
      </c>
      <c r="L1976" s="21" t="n">
        <f aca="false">AVERAGEIFS($K$2:$K$2705,$B$2:$B$2705,B1976)</f>
        <v>0.500018131917287</v>
      </c>
      <c r="M1976" s="21" t="n">
        <f aca="false">K1976-L1976</f>
        <v>0.0308460656135777</v>
      </c>
      <c r="N1976" s="21" t="n">
        <f aca="false">LN(J1976)</f>
        <v>14.2331634175386</v>
      </c>
      <c r="O1976" s="21" t="n">
        <f aca="false">AVERAGEIFS($N$2:$N$2705,$B$2:$B$2705,B1976)</f>
        <v>13.6406696598957</v>
      </c>
      <c r="P1976" s="21" t="n">
        <f aca="false">N1976-O1976</f>
        <v>0.592493757642943</v>
      </c>
      <c r="Q1976" s="7" t="n">
        <v>0</v>
      </c>
      <c r="R1976" s="3" t="n">
        <f aca="false">IF(AND(Q1976=1,B1976-_xlfn.MINIFS($B$2:$B$2705,$A$2:$A$2705,A1976)&lt;10),1,0)</f>
        <v>0</v>
      </c>
      <c r="S1976" s="7" t="n">
        <v>0</v>
      </c>
      <c r="T1976" s="3" t="n">
        <f aca="false">_xlfn.MINIFS($B$2:$B$2705,$A$2:$A$2705,A1976)</f>
        <v>1901</v>
      </c>
      <c r="U1976" s="3" t="n">
        <f aca="false">B1976-T1976</f>
        <v>100</v>
      </c>
      <c r="V1976" s="3" t="str">
        <f aca="false">INDEX(Pop_Inputs!$Q$2:$Q$29,MATCH(C1976,Pop_Inputs!$A$2:$A$29,0))</f>
        <v>Northeast</v>
      </c>
      <c r="W1976" s="29" t="n">
        <v>41663833</v>
      </c>
      <c r="X1976" s="3" t="n">
        <f aca="false">IF(W1976="","",LN(W1976))</f>
        <v>17.5451439962858</v>
      </c>
      <c r="Y1976" s="3" t="n">
        <f aca="false">IF(X1976="","",X1976-AVERAGEIFS($X$2:$X$2705,$B$2:$B$2705,B1976))</f>
        <v>-0.37570875885039</v>
      </c>
      <c r="Z1976" s="21" t="n">
        <f aca="false">P1976</f>
        <v>0.592493757642943</v>
      </c>
      <c r="AA1976" s="3" t="n">
        <f aca="false">R1976</f>
        <v>0</v>
      </c>
      <c r="AB1976" s="21" t="n">
        <f aca="false">P1976</f>
        <v>0.592493757642943</v>
      </c>
      <c r="AC1976" s="3" t="n">
        <f aca="false">Y1976</f>
        <v>-0.37570875885039</v>
      </c>
      <c r="AD1976" s="3" t="n">
        <f aca="false">R1976</f>
        <v>0</v>
      </c>
    </row>
    <row r="1977" customFormat="false" ht="15" hidden="false" customHeight="true" outlineLevel="0" collapsed="false">
      <c r="A1977" s="7" t="s">
        <v>58</v>
      </c>
      <c r="B1977" s="7" t="n">
        <v>2001</v>
      </c>
      <c r="C1977" s="7" t="s">
        <v>144</v>
      </c>
      <c r="D1977" s="7" t="n">
        <v>62</v>
      </c>
      <c r="E1977" s="7" t="n">
        <v>100</v>
      </c>
      <c r="F1977" s="3" t="n">
        <f aca="false">COUNTIFS($B$2:$B$2705,B1977,$C$2:$C$2705,C1977)</f>
        <v>1</v>
      </c>
      <c r="G1977" s="3" t="n">
        <f aca="false">MIN(INT((MIN(B1977,2020)-1900)/10)+1,12)</f>
        <v>11</v>
      </c>
      <c r="H1977" s="3" t="n">
        <f aca="false">(MIN(B1977,2020)-1900-10*(G1977-1))/10</f>
        <v>0.1</v>
      </c>
      <c r="I1977" s="20" t="n">
        <f aca="false">EXP(LN(INDEX(Pop_Inputs!$B$2:$N$29,MATCH(C1977,Pop_Inputs!$A$2:$A$29,0),G1977))*(1-H1977)+LN(INDEX(Pop_Inputs!$B$2:$N$29,MATCH(C1977,Pop_Inputs!$A$2:$A$29,0),G1977+1))*H1977)</f>
        <v>331558.549430677</v>
      </c>
      <c r="J1977" s="20" t="n">
        <f aca="false">I1977/F1977</f>
        <v>331558.549430677</v>
      </c>
      <c r="K1977" s="21" t="n">
        <f aca="false">D1977/(D1977+E1977)</f>
        <v>0.382716049382716</v>
      </c>
      <c r="L1977" s="21" t="n">
        <f aca="false">AVERAGEIFS($K$2:$K$2705,$B$2:$B$2705,B1977)</f>
        <v>0.500018131917287</v>
      </c>
      <c r="M1977" s="21" t="n">
        <f aca="false">K1977-L1977</f>
        <v>-0.11730208253457</v>
      </c>
      <c r="N1977" s="21" t="n">
        <f aca="false">LN(J1977)</f>
        <v>12.711559692713</v>
      </c>
      <c r="O1977" s="21" t="n">
        <f aca="false">AVERAGEIFS($N$2:$N$2705,$B$2:$B$2705,B1977)</f>
        <v>13.6406696598957</v>
      </c>
      <c r="P1977" s="21" t="n">
        <f aca="false">N1977-O1977</f>
        <v>-0.929109967182653</v>
      </c>
      <c r="Q1977" s="7" t="n">
        <v>0</v>
      </c>
      <c r="R1977" s="3" t="n">
        <f aca="false">IF(AND(Q1977=1,B1977-_xlfn.MINIFS($B$2:$B$2705,$A$2:$A$2705,A1977)&lt;10),1,0)</f>
        <v>0</v>
      </c>
      <c r="S1977" s="7" t="n">
        <v>0</v>
      </c>
      <c r="T1977" s="3" t="n">
        <f aca="false">_xlfn.MINIFS($B$2:$B$2705,$A$2:$A$2705,A1977)</f>
        <v>1901</v>
      </c>
      <c r="U1977" s="3" t="n">
        <f aca="false">B1977-T1977</f>
        <v>100</v>
      </c>
      <c r="V1977" s="3" t="str">
        <f aca="false">INDEX(Pop_Inputs!$Q$2:$Q$29,MATCH(C1977,Pop_Inputs!$A$2:$A$29,0))</f>
        <v>Northeast</v>
      </c>
      <c r="W1977" s="29" t="n">
        <v>57760833</v>
      </c>
      <c r="X1977" s="3" t="n">
        <f aca="false">IF(W1977="","",LN(W1977))</f>
        <v>17.87182147419</v>
      </c>
      <c r="Y1977" s="3" t="n">
        <f aca="false">IF(X1977="","",X1977-AVERAGEIFS($X$2:$X$2705,$B$2:$B$2705,B1977))</f>
        <v>-0.0490312809462026</v>
      </c>
      <c r="Z1977" s="21" t="n">
        <f aca="false">P1977</f>
        <v>-0.929109967182653</v>
      </c>
      <c r="AA1977" s="3" t="n">
        <f aca="false">R1977</f>
        <v>0</v>
      </c>
      <c r="AB1977" s="21" t="n">
        <f aca="false">P1977</f>
        <v>-0.929109967182653</v>
      </c>
      <c r="AC1977" s="3" t="n">
        <f aca="false">Y1977</f>
        <v>-0.0490312809462026</v>
      </c>
      <c r="AD1977" s="3" t="n">
        <f aca="false">R1977</f>
        <v>0</v>
      </c>
    </row>
    <row r="1978" customFormat="false" ht="15" hidden="false" customHeight="true" outlineLevel="0" collapsed="false">
      <c r="A1978" s="7" t="s">
        <v>78</v>
      </c>
      <c r="B1978" s="7" t="n">
        <v>2001</v>
      </c>
      <c r="C1978" s="7" t="s">
        <v>159</v>
      </c>
      <c r="D1978" s="7" t="n">
        <v>79</v>
      </c>
      <c r="E1978" s="7" t="n">
        <v>83</v>
      </c>
      <c r="F1978" s="3" t="n">
        <f aca="false">COUNTIFS($B$2:$B$2705,B1978,$C$2:$C$2705,C1978)</f>
        <v>1</v>
      </c>
      <c r="G1978" s="3" t="n">
        <f aca="false">MIN(INT((MIN(B1978,2020)-1900)/10)+1,12)</f>
        <v>11</v>
      </c>
      <c r="H1978" s="3" t="n">
        <f aca="false">(MIN(B1978,2020)-1900-10*(G1978-1))/10</f>
        <v>0.1</v>
      </c>
      <c r="I1978" s="20" t="n">
        <f aca="false">EXP(LN(INDEX(Pop_Inputs!$B$2:$N$29,MATCH(C1978,Pop_Inputs!$A$2:$A$29,0),G1978))*(1-H1978)+LN(INDEX(Pop_Inputs!$B$2:$N$29,MATCH(C1978,Pop_Inputs!$A$2:$A$29,0),G1978+1))*H1978)</f>
        <v>1231551.40223269</v>
      </c>
      <c r="J1978" s="20" t="n">
        <f aca="false">I1978/F1978</f>
        <v>1231551.40223269</v>
      </c>
      <c r="K1978" s="21" t="n">
        <f aca="false">D1978/(D1978+E1978)</f>
        <v>0.487654320987654</v>
      </c>
      <c r="L1978" s="21" t="n">
        <f aca="false">AVERAGEIFS($K$2:$K$2705,$B$2:$B$2705,B1978)</f>
        <v>0.500018131917287</v>
      </c>
      <c r="M1978" s="21" t="n">
        <f aca="false">K1978-L1978</f>
        <v>-0.0123638109296322</v>
      </c>
      <c r="N1978" s="21" t="n">
        <f aca="false">LN(J1978)</f>
        <v>14.0237852352029</v>
      </c>
      <c r="O1978" s="21" t="n">
        <f aca="false">AVERAGEIFS($N$2:$N$2705,$B$2:$B$2705,B1978)</f>
        <v>13.6406696598957</v>
      </c>
      <c r="P1978" s="21" t="n">
        <f aca="false">N1978-O1978</f>
        <v>0.383115575307206</v>
      </c>
      <c r="Q1978" s="7" t="n">
        <v>1</v>
      </c>
      <c r="R1978" s="3" t="n">
        <f aca="false">IF(AND(Q1978=1,B1978-_xlfn.MINIFS($B$2:$B$2705,$A$2:$A$2705,A1978)&lt;10),1,0)</f>
        <v>0</v>
      </c>
      <c r="S1978" s="7" t="n">
        <v>0</v>
      </c>
      <c r="T1978" s="3" t="n">
        <f aca="false">_xlfn.MINIFS($B$2:$B$2705,$A$2:$A$2705,A1978)</f>
        <v>1969</v>
      </c>
      <c r="U1978" s="3" t="n">
        <f aca="false">B1978-T1978</f>
        <v>32</v>
      </c>
      <c r="V1978" s="3" t="str">
        <f aca="false">INDEX(Pop_Inputs!$Q$2:$Q$29,MATCH(C1978,Pop_Inputs!$A$2:$A$29,0))</f>
        <v>West</v>
      </c>
      <c r="W1978" s="29" t="n">
        <v>39182833</v>
      </c>
      <c r="X1978" s="3" t="n">
        <f aca="false">IF(W1978="","",LN(W1978))</f>
        <v>17.4837492751663</v>
      </c>
      <c r="Y1978" s="3" t="n">
        <f aca="false">IF(X1978="","",X1978-AVERAGEIFS($X$2:$X$2705,$B$2:$B$2705,B1978))</f>
        <v>-0.437103479969942</v>
      </c>
      <c r="Z1978" s="21" t="n">
        <f aca="false">P1978</f>
        <v>0.383115575307206</v>
      </c>
      <c r="AA1978" s="3" t="n">
        <f aca="false">R1978</f>
        <v>0</v>
      </c>
      <c r="AB1978" s="21" t="n">
        <f aca="false">P1978</f>
        <v>0.383115575307206</v>
      </c>
      <c r="AC1978" s="3" t="n">
        <f aca="false">Y1978</f>
        <v>-0.437103479969942</v>
      </c>
      <c r="AD1978" s="3" t="n">
        <f aca="false">R1978</f>
        <v>0</v>
      </c>
    </row>
    <row r="1979" customFormat="false" ht="15" hidden="false" customHeight="true" outlineLevel="0" collapsed="false">
      <c r="A1979" s="7" t="s">
        <v>80</v>
      </c>
      <c r="B1979" s="7" t="n">
        <v>2001</v>
      </c>
      <c r="C1979" s="7" t="s">
        <v>161</v>
      </c>
      <c r="D1979" s="7" t="n">
        <v>116</v>
      </c>
      <c r="E1979" s="7" t="n">
        <v>46</v>
      </c>
      <c r="F1979" s="3" t="n">
        <f aca="false">COUNTIFS($B$2:$B$2705,B1979,$C$2:$C$2705,C1979)</f>
        <v>1</v>
      </c>
      <c r="G1979" s="3" t="n">
        <f aca="false">MIN(INT((MIN(B1979,2020)-1900)/10)+1,12)</f>
        <v>11</v>
      </c>
      <c r="H1979" s="3" t="n">
        <f aca="false">(MIN(B1979,2020)-1900-10*(G1979-1))/10</f>
        <v>0.1</v>
      </c>
      <c r="I1979" s="20" t="n">
        <f aca="false">EXP(LN(INDEX(Pop_Inputs!$B$2:$N$29,MATCH(C1979,Pop_Inputs!$A$2:$A$29,0),G1979))*(1-H1979)+LN(INDEX(Pop_Inputs!$B$2:$N$29,MATCH(C1979,Pop_Inputs!$A$2:$A$29,0),G1979+1))*H1979)</f>
        <v>567746.670928206</v>
      </c>
      <c r="J1979" s="20" t="n">
        <f aca="false">I1979/F1979</f>
        <v>567746.670928206</v>
      </c>
      <c r="K1979" s="21" t="n">
        <f aca="false">D1979/(D1979+E1979)</f>
        <v>0.716049382716049</v>
      </c>
      <c r="L1979" s="21" t="n">
        <f aca="false">AVERAGEIFS($K$2:$K$2705,$B$2:$B$2705,B1979)</f>
        <v>0.500018131917287</v>
      </c>
      <c r="M1979" s="21" t="n">
        <f aca="false">K1979-L1979</f>
        <v>0.216031250798763</v>
      </c>
      <c r="N1979" s="21" t="n">
        <f aca="false">LN(J1979)</f>
        <v>13.2494305963279</v>
      </c>
      <c r="O1979" s="21" t="n">
        <f aca="false">AVERAGEIFS($N$2:$N$2705,$B$2:$B$2705,B1979)</f>
        <v>13.6406696598957</v>
      </c>
      <c r="P1979" s="21" t="n">
        <f aca="false">N1979-O1979</f>
        <v>-0.391239063567763</v>
      </c>
      <c r="Q1979" s="7" t="n">
        <v>1</v>
      </c>
      <c r="R1979" s="3" t="n">
        <f aca="false">IF(AND(Q1979=1,B1979-_xlfn.MINIFS($B$2:$B$2705,$A$2:$A$2705,A1979)&lt;10),1,0)</f>
        <v>0</v>
      </c>
      <c r="S1979" s="7" t="n">
        <v>0</v>
      </c>
      <c r="T1979" s="3" t="n">
        <f aca="false">_xlfn.MINIFS($B$2:$B$2705,$A$2:$A$2705,A1979)</f>
        <v>1977</v>
      </c>
      <c r="U1979" s="3" t="n">
        <f aca="false">B1979-T1979</f>
        <v>24</v>
      </c>
      <c r="V1979" s="3" t="str">
        <f aca="false">INDEX(Pop_Inputs!$Q$2:$Q$29,MATCH(C1979,Pop_Inputs!$A$2:$A$29,0))</f>
        <v>West</v>
      </c>
      <c r="W1979" s="29" t="n">
        <v>74720834</v>
      </c>
      <c r="X1979" s="3" t="n">
        <f aca="false">IF(W1979="","",LN(W1979))</f>
        <v>18.1292695134928</v>
      </c>
      <c r="Y1979" s="3" t="n">
        <f aca="false">IF(X1979="","",X1979-AVERAGEIFS($X$2:$X$2705,$B$2:$B$2705,B1979))</f>
        <v>0.208416758356599</v>
      </c>
      <c r="Z1979" s="21" t="n">
        <f aca="false">P1979</f>
        <v>-0.391239063567763</v>
      </c>
      <c r="AA1979" s="3" t="n">
        <f aca="false">R1979</f>
        <v>0</v>
      </c>
      <c r="AB1979" s="21" t="n">
        <f aca="false">P1979</f>
        <v>-0.391239063567763</v>
      </c>
      <c r="AC1979" s="3" t="n">
        <f aca="false">Y1979</f>
        <v>0.208416758356599</v>
      </c>
      <c r="AD1979" s="3" t="n">
        <f aca="false">R1979</f>
        <v>0</v>
      </c>
    </row>
    <row r="1980" customFormat="false" ht="15" hidden="false" customHeight="true" outlineLevel="0" collapsed="false">
      <c r="A1980" s="7" t="s">
        <v>61</v>
      </c>
      <c r="B1980" s="7" t="n">
        <v>2001</v>
      </c>
      <c r="C1980" s="7" t="s">
        <v>147</v>
      </c>
      <c r="D1980" s="7" t="n">
        <v>90</v>
      </c>
      <c r="E1980" s="7" t="n">
        <v>72</v>
      </c>
      <c r="F1980" s="3" t="n">
        <f aca="false">COUNTIFS($B$2:$B$2705,B1980,$C$2:$C$2705,C1980)</f>
        <v>1</v>
      </c>
      <c r="G1980" s="3" t="n">
        <f aca="false">MIN(INT((MIN(B1980,2020)-1900)/10)+1,12)</f>
        <v>11</v>
      </c>
      <c r="H1980" s="3" t="n">
        <f aca="false">(MIN(B1980,2020)-1900-10*(G1980-1))/10</f>
        <v>0.1</v>
      </c>
      <c r="I1980" s="20" t="n">
        <f aca="false">EXP(LN(INDEX(Pop_Inputs!$B$2:$N$29,MATCH(C1980,Pop_Inputs!$A$2:$A$29,0),G1980))*(1-H1980)+LN(INDEX(Pop_Inputs!$B$2:$N$29,MATCH(C1980,Pop_Inputs!$A$2:$A$29,0),G1980+1))*H1980)</f>
        <v>779537.201202635</v>
      </c>
      <c r="J1980" s="20" t="n">
        <f aca="false">I1980/F1980</f>
        <v>779537.201202635</v>
      </c>
      <c r="K1980" s="21" t="n">
        <f aca="false">D1980/(D1980+E1980)</f>
        <v>0.555555555555556</v>
      </c>
      <c r="L1980" s="21" t="n">
        <f aca="false">AVERAGEIFS($K$2:$K$2705,$B$2:$B$2705,B1980)</f>
        <v>0.500018131917287</v>
      </c>
      <c r="M1980" s="21" t="n">
        <f aca="false">K1980-L1980</f>
        <v>0.0555374236382691</v>
      </c>
      <c r="N1980" s="21" t="n">
        <f aca="false">LN(J1980)</f>
        <v>13.5664556907833</v>
      </c>
      <c r="O1980" s="21" t="n">
        <f aca="false">AVERAGEIFS($N$2:$N$2705,$B$2:$B$2705,B1980)</f>
        <v>13.6406696598957</v>
      </c>
      <c r="P1980" s="21" t="n">
        <f aca="false">N1980-O1980</f>
        <v>-0.0742139691123498</v>
      </c>
      <c r="Q1980" s="7" t="n">
        <v>0</v>
      </c>
      <c r="R1980" s="3" t="n">
        <f aca="false">IF(AND(Q1980=1,B1980-_xlfn.MINIFS($B$2:$B$2705,$A$2:$A$2705,A1980)&lt;10),1,0)</f>
        <v>0</v>
      </c>
      <c r="S1980" s="7" t="n">
        <v>0</v>
      </c>
      <c r="T1980" s="3" t="n">
        <f aca="false">_xlfn.MINIFS($B$2:$B$2705,$A$2:$A$2705,A1980)</f>
        <v>1901</v>
      </c>
      <c r="U1980" s="3" t="n">
        <f aca="false">B1980-T1980</f>
        <v>100</v>
      </c>
      <c r="V1980" s="3" t="str">
        <f aca="false">INDEX(Pop_Inputs!$Q$2:$Q$29,MATCH(C1980,Pop_Inputs!$A$2:$A$29,0))</f>
        <v>West</v>
      </c>
      <c r="W1980" s="29" t="n">
        <v>63280167</v>
      </c>
      <c r="X1980" s="3" t="n">
        <f aca="false">IF(W1980="","",LN(W1980))</f>
        <v>17.9630825204847</v>
      </c>
      <c r="Y1980" s="3" t="n">
        <f aca="false">IF(X1980="","",X1980-AVERAGEIFS($X$2:$X$2705,$B$2:$B$2705,B1980))</f>
        <v>0.0422297653484591</v>
      </c>
      <c r="Z1980" s="21" t="n">
        <f aca="false">P1980</f>
        <v>-0.0742139691123498</v>
      </c>
      <c r="AA1980" s="3" t="n">
        <f aca="false">R1980</f>
        <v>0</v>
      </c>
      <c r="AB1980" s="21" t="n">
        <f aca="false">P1980</f>
        <v>-0.0742139691123498</v>
      </c>
      <c r="AC1980" s="3" t="n">
        <f aca="false">Y1980</f>
        <v>0.0422297653484591</v>
      </c>
      <c r="AD1980" s="3" t="n">
        <f aca="false">R1980</f>
        <v>0</v>
      </c>
    </row>
    <row r="1981" customFormat="false" ht="15" hidden="false" customHeight="true" outlineLevel="0" collapsed="false">
      <c r="A1981" s="7" t="s">
        <v>59</v>
      </c>
      <c r="B1981" s="7" t="n">
        <v>2001</v>
      </c>
      <c r="C1981" s="7" t="s">
        <v>145</v>
      </c>
      <c r="D1981" s="7" t="n">
        <v>93</v>
      </c>
      <c r="E1981" s="7" t="n">
        <v>69</v>
      </c>
      <c r="F1981" s="3" t="n">
        <f aca="false">COUNTIFS($B$2:$B$2705,B1981,$C$2:$C$2705,C1981)</f>
        <v>1</v>
      </c>
      <c r="G1981" s="3" t="n">
        <f aca="false">MIN(INT((MIN(B1981,2020)-1900)/10)+1,12)</f>
        <v>11</v>
      </c>
      <c r="H1981" s="3" t="n">
        <f aca="false">(MIN(B1981,2020)-1900-10*(G1981-1))/10</f>
        <v>0.1</v>
      </c>
      <c r="I1981" s="20" t="n">
        <f aca="false">EXP(LN(INDEX(Pop_Inputs!$B$2:$N$29,MATCH(C1981,Pop_Inputs!$A$2:$A$29,0),G1981))*(1-H1981)+LN(INDEX(Pop_Inputs!$B$2:$N$29,MATCH(C1981,Pop_Inputs!$A$2:$A$29,0),G1981+1))*H1981)</f>
        <v>345185.558463282</v>
      </c>
      <c r="J1981" s="20" t="n">
        <f aca="false">I1981/F1981</f>
        <v>345185.558463282</v>
      </c>
      <c r="K1981" s="21" t="n">
        <f aca="false">D1981/(D1981+E1981)</f>
        <v>0.574074074074074</v>
      </c>
      <c r="L1981" s="21" t="n">
        <f aca="false">AVERAGEIFS($K$2:$K$2705,$B$2:$B$2705,B1981)</f>
        <v>0.500018131917287</v>
      </c>
      <c r="M1981" s="21" t="n">
        <f aca="false">K1981-L1981</f>
        <v>0.0740559421567876</v>
      </c>
      <c r="N1981" s="21" t="n">
        <f aca="false">LN(J1981)</f>
        <v>12.7518374020419</v>
      </c>
      <c r="O1981" s="21" t="n">
        <f aca="false">AVERAGEIFS($N$2:$N$2705,$B$2:$B$2705,B1981)</f>
        <v>13.6406696598957</v>
      </c>
      <c r="P1981" s="21" t="n">
        <f aca="false">N1981-O1981</f>
        <v>-0.888832257853762</v>
      </c>
      <c r="Q1981" s="7" t="n">
        <v>0</v>
      </c>
      <c r="R1981" s="3" t="n">
        <f aca="false">IF(AND(Q1981=1,B1981-_xlfn.MINIFS($B$2:$B$2705,$A$2:$A$2705,A1981)&lt;10),1,0)</f>
        <v>0</v>
      </c>
      <c r="S1981" s="7" t="n">
        <v>0</v>
      </c>
      <c r="T1981" s="3" t="n">
        <f aca="false">_xlfn.MINIFS($B$2:$B$2705,$A$2:$A$2705,A1981)</f>
        <v>1901</v>
      </c>
      <c r="U1981" s="3" t="n">
        <f aca="false">B1981-T1981</f>
        <v>100</v>
      </c>
      <c r="V1981" s="3" t="str">
        <f aca="false">INDEX(Pop_Inputs!$Q$2:$Q$29,MATCH(C1981,Pop_Inputs!$A$2:$A$29,0))</f>
        <v>Midwest</v>
      </c>
      <c r="W1981" s="29" t="n">
        <v>78538333</v>
      </c>
      <c r="X1981" s="3" t="n">
        <f aca="false">IF(W1981="","",LN(W1981))</f>
        <v>18.1790973820353</v>
      </c>
      <c r="Y1981" s="3" t="n">
        <f aca="false">IF(X1981="","",X1981-AVERAGEIFS($X$2:$X$2705,$B$2:$B$2705,B1981))</f>
        <v>0.258244626899103</v>
      </c>
      <c r="Z1981" s="21" t="n">
        <f aca="false">P1981</f>
        <v>-0.888832257853762</v>
      </c>
      <c r="AA1981" s="3" t="n">
        <f aca="false">R1981</f>
        <v>0</v>
      </c>
      <c r="AB1981" s="21" t="n">
        <f aca="false">P1981</f>
        <v>-0.888832257853762</v>
      </c>
      <c r="AC1981" s="3" t="n">
        <f aca="false">Y1981</f>
        <v>0.258244626899103</v>
      </c>
      <c r="AD1981" s="3" t="n">
        <f aca="false">R1981</f>
        <v>0</v>
      </c>
    </row>
    <row r="1982" customFormat="false" ht="15" hidden="false" customHeight="true" outlineLevel="0" collapsed="false">
      <c r="A1982" s="7" t="s">
        <v>85</v>
      </c>
      <c r="B1982" s="7" t="n">
        <v>2001</v>
      </c>
      <c r="C1982" s="7" t="s">
        <v>166</v>
      </c>
      <c r="D1982" s="7" t="n">
        <v>62</v>
      </c>
      <c r="E1982" s="7" t="n">
        <v>100</v>
      </c>
      <c r="F1982" s="3" t="n">
        <f aca="false">COUNTIFS($B$2:$B$2705,B1982,$C$2:$C$2705,C1982)</f>
        <v>1</v>
      </c>
      <c r="G1982" s="3" t="n">
        <f aca="false">MIN(INT((MIN(B1982,2020)-1900)/10)+1,12)</f>
        <v>11</v>
      </c>
      <c r="H1982" s="3" t="n">
        <f aca="false">(MIN(B1982,2020)-1900-10*(G1982-1))/10</f>
        <v>0.1</v>
      </c>
      <c r="I1982" s="20" t="n">
        <f aca="false">EXP(LN(INDEX(Pop_Inputs!$B$2:$N$29,MATCH(C1982,Pop_Inputs!$A$2:$A$29,0),G1982))*(1-H1982)+LN(INDEX(Pop_Inputs!$B$2:$N$29,MATCH(C1982,Pop_Inputs!$A$2:$A$29,0),G1982+1))*H1982)</f>
        <v>306528.501314786</v>
      </c>
      <c r="J1982" s="20" t="n">
        <f aca="false">I1982/F1982</f>
        <v>306528.501314786</v>
      </c>
      <c r="K1982" s="21" t="n">
        <f aca="false">D1982/(D1982+E1982)</f>
        <v>0.382716049382716</v>
      </c>
      <c r="L1982" s="21" t="n">
        <f aca="false">AVERAGEIFS($K$2:$K$2705,$B$2:$B$2705,B1982)</f>
        <v>0.500018131917287</v>
      </c>
      <c r="M1982" s="21" t="n">
        <f aca="false">K1982-L1982</f>
        <v>-0.11730208253457</v>
      </c>
      <c r="N1982" s="21" t="n">
        <f aca="false">LN(J1982)</f>
        <v>12.6330660196429</v>
      </c>
      <c r="O1982" s="21" t="n">
        <f aca="false">AVERAGEIFS($N$2:$N$2705,$B$2:$B$2705,B1982)</f>
        <v>13.6406696598957</v>
      </c>
      <c r="P1982" s="21" t="n">
        <f aca="false">N1982-O1982</f>
        <v>-1.00760364025274</v>
      </c>
      <c r="Q1982" s="7" t="n">
        <v>1</v>
      </c>
      <c r="R1982" s="3" t="n">
        <f aca="false">IF(AND(Q1982=1,B1982-_xlfn.MINIFS($B$2:$B$2705,$A$2:$A$2705,A1982)&lt;10),1,0)</f>
        <v>1</v>
      </c>
      <c r="S1982" s="7" t="n">
        <v>0</v>
      </c>
      <c r="T1982" s="3" t="n">
        <f aca="false">_xlfn.MINIFS($B$2:$B$2705,$A$2:$A$2705,A1982)</f>
        <v>1998</v>
      </c>
      <c r="U1982" s="3" t="n">
        <f aca="false">B1982-T1982</f>
        <v>3</v>
      </c>
      <c r="V1982" s="3" t="str">
        <f aca="false">INDEX(Pop_Inputs!$Q$2:$Q$29,MATCH(C1982,Pop_Inputs!$A$2:$A$29,0))</f>
        <v>South</v>
      </c>
      <c r="W1982" s="29" t="n">
        <v>56980000</v>
      </c>
      <c r="X1982" s="3" t="n">
        <f aca="false">IF(W1982="","",LN(W1982))</f>
        <v>17.858210887034</v>
      </c>
      <c r="Y1982" s="3" t="n">
        <f aca="false">IF(X1982="","",X1982-AVERAGEIFS($X$2:$X$2705,$B$2:$B$2705,B1982))</f>
        <v>-0.062641868102169</v>
      </c>
      <c r="Z1982" s="21" t="n">
        <f aca="false">P1982</f>
        <v>-1.00760364025274</v>
      </c>
      <c r="AA1982" s="3" t="n">
        <f aca="false">R1982</f>
        <v>1</v>
      </c>
      <c r="AB1982" s="21" t="n">
        <f aca="false">P1982</f>
        <v>-1.00760364025274</v>
      </c>
      <c r="AC1982" s="3" t="n">
        <f aca="false">Y1982</f>
        <v>-0.062641868102169</v>
      </c>
      <c r="AD1982" s="3" t="n">
        <f aca="false">R1982</f>
        <v>1</v>
      </c>
    </row>
    <row r="1983" customFormat="false" ht="15" hidden="false" customHeight="true" outlineLevel="0" collapsed="false">
      <c r="A1983" s="7" t="s">
        <v>73</v>
      </c>
      <c r="B1983" s="7" t="n">
        <v>2001</v>
      </c>
      <c r="C1983" s="7" t="s">
        <v>155</v>
      </c>
      <c r="D1983" s="7" t="n">
        <v>73</v>
      </c>
      <c r="E1983" s="7" t="n">
        <v>89</v>
      </c>
      <c r="F1983" s="3" t="n">
        <f aca="false">COUNTIFS($B$2:$B$2705,B1983,$C$2:$C$2705,C1983)</f>
        <v>1</v>
      </c>
      <c r="G1983" s="3" t="n">
        <f aca="false">MIN(INT((MIN(B1983,2020)-1900)/10)+1,12)</f>
        <v>11</v>
      </c>
      <c r="H1983" s="3" t="n">
        <f aca="false">(MIN(B1983,2020)-1900-10*(G1983-1))/10</f>
        <v>0.1</v>
      </c>
      <c r="I1983" s="20" t="n">
        <f aca="false">EXP(LN(INDEX(Pop_Inputs!$B$2:$N$29,MATCH(C1983,Pop_Inputs!$A$2:$A$29,0),G1983))*(1-H1983)+LN(INDEX(Pop_Inputs!$B$2:$N$29,MATCH(C1983,Pop_Inputs!$A$2:$A$29,0),G1983+1))*H1983)</f>
        <v>1189500.38618138</v>
      </c>
      <c r="J1983" s="20" t="n">
        <f aca="false">I1983/F1983</f>
        <v>1189500.38618138</v>
      </c>
      <c r="K1983" s="21" t="n">
        <f aca="false">D1983/(D1983+E1983)</f>
        <v>0.450617283950617</v>
      </c>
      <c r="L1983" s="21" t="n">
        <f aca="false">AVERAGEIFS($K$2:$K$2705,$B$2:$B$2705,B1983)</f>
        <v>0.500018131917287</v>
      </c>
      <c r="M1983" s="21" t="n">
        <f aca="false">K1983-L1983</f>
        <v>-0.0494008479666692</v>
      </c>
      <c r="N1983" s="21" t="n">
        <f aca="false">LN(J1983)</f>
        <v>13.9890439333837</v>
      </c>
      <c r="O1983" s="21" t="n">
        <f aca="false">AVERAGEIFS($N$2:$N$2705,$B$2:$B$2705,B1983)</f>
        <v>13.6406696598957</v>
      </c>
      <c r="P1983" s="21" t="n">
        <f aca="false">N1983-O1983</f>
        <v>0.348374273488012</v>
      </c>
      <c r="Q1983" s="7" t="n">
        <v>1</v>
      </c>
      <c r="R1983" s="3" t="n">
        <f aca="false">IF(AND(Q1983=1,B1983-_xlfn.MINIFS($B$2:$B$2705,$A$2:$A$2705,A1983)&lt;10),1,0)</f>
        <v>0</v>
      </c>
      <c r="S1983" s="7" t="n">
        <v>0</v>
      </c>
      <c r="T1983" s="3" t="n">
        <f aca="false">_xlfn.MINIFS($B$2:$B$2705,$A$2:$A$2705,A1983)</f>
        <v>1961</v>
      </c>
      <c r="U1983" s="3" t="n">
        <f aca="false">B1983-T1983</f>
        <v>40</v>
      </c>
      <c r="V1983" s="3" t="str">
        <f aca="false">INDEX(Pop_Inputs!$Q$2:$Q$29,MATCH(C1983,Pop_Inputs!$A$2:$A$29,0))</f>
        <v>South</v>
      </c>
      <c r="W1983" s="29" t="n">
        <v>88633500</v>
      </c>
      <c r="X1983" s="3" t="n">
        <f aca="false">IF(W1983="","",LN(W1983))</f>
        <v>18.3000204479495</v>
      </c>
      <c r="Y1983" s="3" t="n">
        <f aca="false">IF(X1983="","",X1983-AVERAGEIFS($X$2:$X$2705,$B$2:$B$2705,B1983))</f>
        <v>0.379167692813333</v>
      </c>
      <c r="Z1983" s="21" t="n">
        <f aca="false">P1983</f>
        <v>0.348374273488012</v>
      </c>
      <c r="AA1983" s="3" t="n">
        <f aca="false">R1983</f>
        <v>0</v>
      </c>
      <c r="AB1983" s="21" t="n">
        <f aca="false">P1983</f>
        <v>0.348374273488012</v>
      </c>
      <c r="AC1983" s="3" t="n">
        <f aca="false">Y1983</f>
        <v>0.379167692813333</v>
      </c>
      <c r="AD1983" s="3" t="n">
        <f aca="false">R1983</f>
        <v>0</v>
      </c>
    </row>
    <row r="1984" customFormat="false" ht="15" hidden="false" customHeight="true" outlineLevel="0" collapsed="false">
      <c r="A1984" s="7" t="s">
        <v>81</v>
      </c>
      <c r="B1984" s="7" t="n">
        <v>2001</v>
      </c>
      <c r="C1984" s="7" t="s">
        <v>162</v>
      </c>
      <c r="D1984" s="7" t="n">
        <v>80</v>
      </c>
      <c r="E1984" s="7" t="n">
        <v>82</v>
      </c>
      <c r="F1984" s="3" t="n">
        <f aca="false">COUNTIFS($B$2:$B$2705,B1984,$C$2:$C$2705,C1984)</f>
        <v>1</v>
      </c>
      <c r="G1984" s="3" t="n">
        <f aca="false">MIN(INT((MIN(B1984,2020)-1900)/10)+1,12)</f>
        <v>11</v>
      </c>
      <c r="H1984" s="3" t="n">
        <f aca="false">(MIN(B1984,2020)-1900-10*(G1984-1))/10</f>
        <v>0.1</v>
      </c>
      <c r="I1984" s="20" t="n">
        <f aca="false">EXP(LN(INDEX(Pop_Inputs!$B$2:$N$29,MATCH(C1984,Pop_Inputs!$A$2:$A$29,0),G1984))*(1-H1984)+LN(INDEX(Pop_Inputs!$B$2:$N$29,MATCH(C1984,Pop_Inputs!$A$2:$A$29,0),G1984+1))*H1984)</f>
        <v>2494537.70264811</v>
      </c>
      <c r="J1984" s="20" t="n">
        <f aca="false">I1984/F1984</f>
        <v>2494537.70264811</v>
      </c>
      <c r="K1984" s="21" t="n">
        <f aca="false">D1984/(D1984+E1984)</f>
        <v>0.493827160493827</v>
      </c>
      <c r="L1984" s="21" t="n">
        <f aca="false">AVERAGEIFS($K$2:$K$2705,$B$2:$B$2705,B1984)</f>
        <v>0.500018131917287</v>
      </c>
      <c r="M1984" s="21" t="n">
        <f aca="false">K1984-L1984</f>
        <v>-0.00619097142345937</v>
      </c>
      <c r="N1984" s="21" t="n">
        <f aca="false">LN(J1984)</f>
        <v>14.7296139804797</v>
      </c>
      <c r="O1984" s="21" t="n">
        <f aca="false">AVERAGEIFS($N$2:$N$2705,$B$2:$B$2705,B1984)</f>
        <v>13.6406696598957</v>
      </c>
      <c r="P1984" s="21" t="n">
        <f aca="false">N1984-O1984</f>
        <v>1.08894432058407</v>
      </c>
      <c r="Q1984" s="7" t="n">
        <v>1</v>
      </c>
      <c r="R1984" s="3" t="n">
        <f aca="false">IF(AND(Q1984=1,B1984-_xlfn.MINIFS($B$2:$B$2705,$A$2:$A$2705,A1984)&lt;10),1,0)</f>
        <v>0</v>
      </c>
      <c r="S1984" s="7" t="n">
        <v>0</v>
      </c>
      <c r="T1984" s="3" t="n">
        <f aca="false">_xlfn.MINIFS($B$2:$B$2705,$A$2:$A$2705,A1984)</f>
        <v>1977</v>
      </c>
      <c r="U1984" s="3" t="n">
        <f aca="false">B1984-T1984</f>
        <v>24</v>
      </c>
      <c r="V1984" s="3" t="str">
        <f aca="false">INDEX(Pop_Inputs!$Q$2:$Q$29,MATCH(C1984,Pop_Inputs!$A$2:$A$29,0))</f>
        <v>Canada</v>
      </c>
      <c r="W1984" s="29" t="n">
        <v>76895999</v>
      </c>
      <c r="X1984" s="3" t="n">
        <f aca="false">IF(W1984="","",LN(W1984))</f>
        <v>18.1579644045138</v>
      </c>
      <c r="Y1984" s="3" t="n">
        <f aca="false">IF(X1984="","",X1984-AVERAGEIFS($X$2:$X$2705,$B$2:$B$2705,B1984))</f>
        <v>0.23711164937755</v>
      </c>
      <c r="Z1984" s="21" t="n">
        <f aca="false">P1984</f>
        <v>1.08894432058407</v>
      </c>
      <c r="AA1984" s="3" t="n">
        <f aca="false">R1984</f>
        <v>0</v>
      </c>
      <c r="AB1984" s="21" t="n">
        <f aca="false">P1984</f>
        <v>1.08894432058407</v>
      </c>
      <c r="AC1984" s="3" t="n">
        <f aca="false">Y1984</f>
        <v>0.23711164937755</v>
      </c>
      <c r="AD1984" s="3" t="n">
        <f aca="false">R1984</f>
        <v>0</v>
      </c>
    </row>
    <row r="1985" customFormat="false" ht="15" hidden="false" customHeight="true" outlineLevel="0" collapsed="false">
      <c r="A1985" s="7" t="s">
        <v>79</v>
      </c>
      <c r="B1985" s="7" t="n">
        <v>2001</v>
      </c>
      <c r="C1985" s="7" t="s">
        <v>254</v>
      </c>
      <c r="D1985" s="7" t="n">
        <v>68</v>
      </c>
      <c r="E1985" s="7" t="n">
        <v>94</v>
      </c>
      <c r="F1985" s="3" t="n">
        <f aca="false">COUNTIFS($B$2:$B$2705,B1985,$C$2:$C$2705,C1985)</f>
        <v>1</v>
      </c>
      <c r="G1985" s="3" t="n">
        <f aca="false">MIN(INT((MIN(B1985,2020)-1900)/10)+1,12)</f>
        <v>11</v>
      </c>
      <c r="H1985" s="3" t="n">
        <f aca="false">(MIN(B1985,2020)-1900-10*(G1985-1))/10</f>
        <v>0.1</v>
      </c>
      <c r="I1985" s="20" t="n">
        <f aca="false">EXP(LN(INDEX(Pop_Inputs!$B$2:$N$29,MATCH(C1985,Pop_Inputs!$A$2:$A$29,0),G1985))*(1-H1985)+LN(INDEX(Pop_Inputs!$B$2:$N$29,MATCH(C1985,Pop_Inputs!$A$2:$A$29,0),G1985+1))*H1985)</f>
        <v>1088655.72494496</v>
      </c>
      <c r="J1985" s="20" t="n">
        <f aca="false">I1985/F1985</f>
        <v>1088655.72494496</v>
      </c>
      <c r="K1985" s="21" t="n">
        <f aca="false">D1985/(D1985+E1985)</f>
        <v>0.419753086419753</v>
      </c>
      <c r="L1985" s="21" t="n">
        <f aca="false">AVERAGEIFS($K$2:$K$2705,$B$2:$B$2705,B1985)</f>
        <v>0.500018131917287</v>
      </c>
      <c r="M1985" s="21" t="n">
        <f aca="false">K1985-L1985</f>
        <v>-0.0802650454975334</v>
      </c>
      <c r="N1985" s="21" t="n">
        <f aca="false">LN(J1985)</f>
        <v>13.9004542132229</v>
      </c>
      <c r="O1985" s="21" t="n">
        <f aca="false">AVERAGEIFS($N$2:$N$2705,$B$2:$B$2705,B1985)</f>
        <v>13.6406696598957</v>
      </c>
      <c r="P1985" s="21" t="n">
        <f aca="false">N1985-O1985</f>
        <v>0.259784553327195</v>
      </c>
      <c r="Q1985" s="7" t="n">
        <v>1</v>
      </c>
      <c r="R1985" s="3" t="n">
        <f aca="false">IF(AND(Q1985=1,B1985-_xlfn.MINIFS($B$2:$B$2705,$A$2:$A$2705,A1985)&lt;10),1,0)</f>
        <v>0</v>
      </c>
      <c r="S1985" s="7" t="n">
        <v>0</v>
      </c>
      <c r="T1985" s="3" t="n">
        <f aca="false">_xlfn.MINIFS($B$2:$B$2705,$A$2:$A$2705,A1985)</f>
        <v>1969</v>
      </c>
      <c r="U1985" s="3" t="n">
        <f aca="false">B1985-T1985</f>
        <v>32</v>
      </c>
      <c r="V1985" s="3" t="str">
        <f aca="false">INDEX(Pop_Inputs!$Q$2:$Q$29,MATCH(C1985,Pop_Inputs!$A$2:$A$29,0))</f>
        <v>Canada</v>
      </c>
      <c r="W1985" s="29" t="n">
        <v>35159500</v>
      </c>
      <c r="X1985" s="3" t="n">
        <f aca="false">IF(W1985="","",LN(W1985))</f>
        <v>17.3754054099748</v>
      </c>
      <c r="Y1985" s="3" t="n">
        <f aca="false">IF(X1985="","",X1985-AVERAGEIFS($X$2:$X$2705,$B$2:$B$2705,B1985))</f>
        <v>-0.545447345161417</v>
      </c>
      <c r="Z1985" s="21" t="n">
        <f aca="false">P1985</f>
        <v>0.259784553327195</v>
      </c>
      <c r="AA1985" s="3" t="n">
        <f aca="false">R1985</f>
        <v>0</v>
      </c>
      <c r="AB1985" s="21" t="n">
        <f aca="false">P1985</f>
        <v>0.259784553327195</v>
      </c>
      <c r="AC1985" s="3" t="n">
        <f aca="false">Y1985</f>
        <v>-0.545447345161417</v>
      </c>
      <c r="AD1985" s="3" t="n">
        <f aca="false">R1985</f>
        <v>0</v>
      </c>
    </row>
    <row r="1986" customFormat="false" ht="15" hidden="false" customHeight="true" outlineLevel="0" collapsed="false">
      <c r="A1986" s="7" t="s">
        <v>71</v>
      </c>
      <c r="B1986" s="7" t="n">
        <v>2002</v>
      </c>
      <c r="C1986" s="7" t="s">
        <v>148</v>
      </c>
      <c r="D1986" s="7" t="n">
        <v>99</v>
      </c>
      <c r="E1986" s="7" t="n">
        <v>63</v>
      </c>
      <c r="F1986" s="3" t="n">
        <f aca="false">COUNTIFS($B$2:$B$2705,B1986,$C$2:$C$2705,C1986)</f>
        <v>2</v>
      </c>
      <c r="G1986" s="3" t="n">
        <f aca="false">MIN(INT((MIN(B1986,2020)-1900)/10)+1,12)</f>
        <v>11</v>
      </c>
      <c r="H1986" s="3" t="n">
        <f aca="false">(MIN(B1986,2020)-1900-10*(G1986-1))/10</f>
        <v>0.2</v>
      </c>
      <c r="I1986" s="20" t="n">
        <f aca="false">EXP(LN(INDEX(Pop_Inputs!$B$2:$N$29,MATCH(C1986,Pop_Inputs!$A$2:$A$29,0),G1986))*(1-H1986)+LN(INDEX(Pop_Inputs!$B$2:$N$29,MATCH(C1986,Pop_Inputs!$A$2:$A$29,0),G1986+1))*H1986)</f>
        <v>3714176.3278903</v>
      </c>
      <c r="J1986" s="20" t="n">
        <f aca="false">I1986/F1986</f>
        <v>1857088.16394515</v>
      </c>
      <c r="K1986" s="21" t="n">
        <f aca="false">D1986/(D1986+E1986)</f>
        <v>0.611111111111111</v>
      </c>
      <c r="L1986" s="21" t="n">
        <f aca="false">AVERAGEIFS($K$2:$K$2705,$B$2:$B$2705,B1986)</f>
        <v>0.500034842036654</v>
      </c>
      <c r="M1986" s="21" t="n">
        <f aca="false">K1986-L1986</f>
        <v>0.111076269074458</v>
      </c>
      <c r="N1986" s="21" t="n">
        <f aca="false">LN(J1986)</f>
        <v>14.4345203157535</v>
      </c>
      <c r="O1986" s="21" t="n">
        <f aca="false">AVERAGEIFS($N$2:$N$2705,$B$2:$B$2705,B1986)</f>
        <v>13.6418653253493</v>
      </c>
      <c r="P1986" s="21" t="n">
        <f aca="false">N1986-O1986</f>
        <v>0.792654990404127</v>
      </c>
      <c r="Q1986" s="7" t="n">
        <v>1</v>
      </c>
      <c r="R1986" s="3" t="n">
        <f aca="false">IF(AND(Q1986=1,B1986-_xlfn.MINIFS($B$2:$B$2705,$A$2:$A$2705,A1986)&lt;10),1,0)</f>
        <v>0</v>
      </c>
      <c r="S1986" s="7" t="n">
        <v>0</v>
      </c>
      <c r="T1986" s="3" t="n">
        <f aca="false">_xlfn.MINIFS($B$2:$B$2705,$A$2:$A$2705,A1986)</f>
        <v>1961</v>
      </c>
      <c r="U1986" s="3" t="n">
        <f aca="false">B1986-T1986</f>
        <v>41</v>
      </c>
      <c r="V1986" s="3" t="str">
        <f aca="false">INDEX(Pop_Inputs!$Q$2:$Q$29,MATCH(C1986,Pop_Inputs!$A$2:$A$29,0))</f>
        <v>West</v>
      </c>
      <c r="W1986" s="29" t="n">
        <v>61721667</v>
      </c>
      <c r="X1986" s="3" t="n">
        <f aca="false">IF(W1986="","",LN(W1986))</f>
        <v>17.9381455941677</v>
      </c>
      <c r="Y1986" s="3" t="n">
        <f aca="false">IF(X1986="","",X1986-AVERAGEIFS($X$2:$X$2705,$B$2:$B$2705,B1986))</f>
        <v>-0.0253309851242562</v>
      </c>
      <c r="Z1986" s="21" t="n">
        <f aca="false">P1986</f>
        <v>0.792654990404127</v>
      </c>
      <c r="AA1986" s="3" t="n">
        <f aca="false">R1986</f>
        <v>0</v>
      </c>
      <c r="AB1986" s="21" t="n">
        <f aca="false">P1986</f>
        <v>0.792654990404127</v>
      </c>
      <c r="AC1986" s="3" t="n">
        <f aca="false">Y1986</f>
        <v>-0.0253309851242562</v>
      </c>
      <c r="AD1986" s="3" t="n">
        <f aca="false">R1986</f>
        <v>0</v>
      </c>
    </row>
    <row r="1987" customFormat="false" ht="15" hidden="false" customHeight="true" outlineLevel="0" collapsed="false">
      <c r="A1987" s="7" t="s">
        <v>84</v>
      </c>
      <c r="B1987" s="7" t="n">
        <v>2002</v>
      </c>
      <c r="C1987" s="7" t="s">
        <v>165</v>
      </c>
      <c r="D1987" s="7" t="n">
        <v>98</v>
      </c>
      <c r="E1987" s="7" t="n">
        <v>64</v>
      </c>
      <c r="F1987" s="3" t="n">
        <f aca="false">COUNTIFS($B$2:$B$2705,B1987,$C$2:$C$2705,C1987)</f>
        <v>1</v>
      </c>
      <c r="G1987" s="3" t="n">
        <f aca="false">MIN(INT((MIN(B1987,2020)-1900)/10)+1,12)</f>
        <v>11</v>
      </c>
      <c r="H1987" s="3" t="n">
        <f aca="false">(MIN(B1987,2020)-1900-10*(G1987-1))/10</f>
        <v>0.2</v>
      </c>
      <c r="I1987" s="20" t="n">
        <f aca="false">EXP(LN(INDEX(Pop_Inputs!$B$2:$N$29,MATCH(C1987,Pop_Inputs!$A$2:$A$29,0),G1987))*(1-H1987)+LN(INDEX(Pop_Inputs!$B$2:$N$29,MATCH(C1987,Pop_Inputs!$A$2:$A$29,0),G1987+1))*H1987)</f>
        <v>1345072.33366912</v>
      </c>
      <c r="J1987" s="20" t="n">
        <f aca="false">I1987/F1987</f>
        <v>1345072.33366912</v>
      </c>
      <c r="K1987" s="21" t="n">
        <f aca="false">D1987/(D1987+E1987)</f>
        <v>0.604938271604938</v>
      </c>
      <c r="L1987" s="21" t="n">
        <f aca="false">AVERAGEIFS($K$2:$K$2705,$B$2:$B$2705,B1987)</f>
        <v>0.500034842036654</v>
      </c>
      <c r="M1987" s="21" t="n">
        <f aca="false">K1987-L1987</f>
        <v>0.104903429568285</v>
      </c>
      <c r="N1987" s="21" t="n">
        <f aca="false">LN(J1987)</f>
        <v>14.1119583492516</v>
      </c>
      <c r="O1987" s="21" t="n">
        <f aca="false">AVERAGEIFS($N$2:$N$2705,$B$2:$B$2705,B1987)</f>
        <v>13.6418653253493</v>
      </c>
      <c r="P1987" s="21" t="n">
        <f aca="false">N1987-O1987</f>
        <v>0.47009302390232</v>
      </c>
      <c r="Q1987" s="7" t="n">
        <v>1</v>
      </c>
      <c r="R1987" s="3" t="n">
        <f aca="false">IF(AND(Q1987=1,B1987-_xlfn.MINIFS($B$2:$B$2705,$A$2:$A$2705,A1987)&lt;10),1,0)</f>
        <v>1</v>
      </c>
      <c r="S1987" s="7" t="n">
        <v>0</v>
      </c>
      <c r="T1987" s="3" t="n">
        <f aca="false">_xlfn.MINIFS($B$2:$B$2705,$A$2:$A$2705,A1987)</f>
        <v>1998</v>
      </c>
      <c r="U1987" s="3" t="n">
        <f aca="false">B1987-T1987</f>
        <v>4</v>
      </c>
      <c r="V1987" s="3" t="str">
        <f aca="false">INDEX(Pop_Inputs!$Q$2:$Q$29,MATCH(C1987,Pop_Inputs!$A$2:$A$29,0))</f>
        <v>West</v>
      </c>
      <c r="W1987" s="29" t="n">
        <v>102819999</v>
      </c>
      <c r="X1987" s="3" t="n">
        <f aca="false">IF(W1987="","",LN(W1987))</f>
        <v>18.4484904348659</v>
      </c>
      <c r="Y1987" s="3" t="n">
        <f aca="false">IF(X1987="","",X1987-AVERAGEIFS($X$2:$X$2705,$B$2:$B$2705,B1987))</f>
        <v>0.485013855573914</v>
      </c>
      <c r="Z1987" s="21" t="n">
        <f aca="false">P1987</f>
        <v>0.47009302390232</v>
      </c>
      <c r="AA1987" s="3" t="n">
        <f aca="false">R1987</f>
        <v>1</v>
      </c>
      <c r="AB1987" s="21" t="n">
        <f aca="false">P1987</f>
        <v>0.47009302390232</v>
      </c>
      <c r="AC1987" s="3" t="n">
        <f aca="false">Y1987</f>
        <v>0.485013855573914</v>
      </c>
      <c r="AD1987" s="3" t="n">
        <f aca="false">R1987</f>
        <v>1</v>
      </c>
    </row>
    <row r="1988" customFormat="false" ht="15" hidden="false" customHeight="true" outlineLevel="0" collapsed="false">
      <c r="A1988" s="7" t="s">
        <v>54</v>
      </c>
      <c r="B1988" s="7" t="n">
        <v>2002</v>
      </c>
      <c r="C1988" s="7" t="s">
        <v>141</v>
      </c>
      <c r="D1988" s="7" t="n">
        <v>101</v>
      </c>
      <c r="E1988" s="7" t="n">
        <v>59</v>
      </c>
      <c r="F1988" s="3" t="n">
        <f aca="false">COUNTIFS($B$2:$B$2705,B1988,$C$2:$C$2705,C1988)</f>
        <v>1</v>
      </c>
      <c r="G1988" s="3" t="n">
        <f aca="false">MIN(INT((MIN(B1988,2020)-1900)/10)+1,12)</f>
        <v>11</v>
      </c>
      <c r="H1988" s="3" t="n">
        <f aca="false">(MIN(B1988,2020)-1900-10*(G1988-1))/10</f>
        <v>0.2</v>
      </c>
      <c r="I1988" s="20" t="n">
        <f aca="false">EXP(LN(INDEX(Pop_Inputs!$B$2:$N$29,MATCH(C1988,Pop_Inputs!$A$2:$A$29,0),G1988))*(1-H1988)+LN(INDEX(Pop_Inputs!$B$2:$N$29,MATCH(C1988,Pop_Inputs!$A$2:$A$29,0),G1988+1))*H1988)</f>
        <v>417177.419847106</v>
      </c>
      <c r="J1988" s="20" t="n">
        <f aca="false">I1988/F1988</f>
        <v>417177.419847106</v>
      </c>
      <c r="K1988" s="21" t="n">
        <f aca="false">D1988/(D1988+E1988)</f>
        <v>0.63125</v>
      </c>
      <c r="L1988" s="21" t="n">
        <f aca="false">AVERAGEIFS($K$2:$K$2705,$B$2:$B$2705,B1988)</f>
        <v>0.500034842036654</v>
      </c>
      <c r="M1988" s="21" t="n">
        <f aca="false">K1988-L1988</f>
        <v>0.131215157963346</v>
      </c>
      <c r="N1988" s="21" t="n">
        <f aca="false">LN(J1988)</f>
        <v>12.9412668775547</v>
      </c>
      <c r="O1988" s="21" t="n">
        <f aca="false">AVERAGEIFS($N$2:$N$2705,$B$2:$B$2705,B1988)</f>
        <v>13.6418653253493</v>
      </c>
      <c r="P1988" s="21" t="n">
        <f aca="false">N1988-O1988</f>
        <v>-0.700598447794667</v>
      </c>
      <c r="Q1988" s="7" t="n">
        <v>0</v>
      </c>
      <c r="R1988" s="3" t="n">
        <f aca="false">IF(AND(Q1988=1,B1988-_xlfn.MINIFS($B$2:$B$2705,$A$2:$A$2705,A1988)&lt;10),1,0)</f>
        <v>0</v>
      </c>
      <c r="S1988" s="7" t="n">
        <v>0</v>
      </c>
      <c r="T1988" s="3" t="n">
        <f aca="false">_xlfn.MINIFS($B$2:$B$2705,$A$2:$A$2705,A1988)</f>
        <v>1901</v>
      </c>
      <c r="U1988" s="3" t="n">
        <f aca="false">B1988-T1988</f>
        <v>101</v>
      </c>
      <c r="V1988" s="3" t="str">
        <f aca="false">INDEX(Pop_Inputs!$Q$2:$Q$29,MATCH(C1988,Pop_Inputs!$A$2:$A$29,0))</f>
        <v>South</v>
      </c>
      <c r="W1988" s="29" t="n">
        <v>92870367</v>
      </c>
      <c r="X1988" s="3" t="n">
        <f aca="false">IF(W1988="","",LN(W1988))</f>
        <v>18.3467151755049</v>
      </c>
      <c r="Y1988" s="3" t="n">
        <f aca="false">IF(X1988="","",X1988-AVERAGEIFS($X$2:$X$2705,$B$2:$B$2705,B1988))</f>
        <v>0.383238596212923</v>
      </c>
      <c r="Z1988" s="21" t="n">
        <f aca="false">P1988</f>
        <v>-0.700598447794667</v>
      </c>
      <c r="AA1988" s="3" t="n">
        <f aca="false">R1988</f>
        <v>0</v>
      </c>
      <c r="AB1988" s="21" t="n">
        <f aca="false">P1988</f>
        <v>-0.700598447794667</v>
      </c>
      <c r="AC1988" s="3" t="n">
        <f aca="false">Y1988</f>
        <v>0.383238596212923</v>
      </c>
      <c r="AD1988" s="3" t="n">
        <f aca="false">R1988</f>
        <v>0</v>
      </c>
    </row>
    <row r="1989" customFormat="false" ht="15" hidden="false" customHeight="true" outlineLevel="0" collapsed="false">
      <c r="A1989" s="7" t="s">
        <v>63</v>
      </c>
      <c r="B1989" s="7" t="n">
        <v>2002</v>
      </c>
      <c r="C1989" s="7" t="s">
        <v>149</v>
      </c>
      <c r="D1989" s="7" t="n">
        <v>67</v>
      </c>
      <c r="E1989" s="7" t="n">
        <v>95</v>
      </c>
      <c r="F1989" s="3" t="n">
        <f aca="false">COUNTIFS($B$2:$B$2705,B1989,$C$2:$C$2705,C1989)</f>
        <v>1</v>
      </c>
      <c r="G1989" s="3" t="n">
        <f aca="false">MIN(INT((MIN(B1989,2020)-1900)/10)+1,12)</f>
        <v>11</v>
      </c>
      <c r="H1989" s="3" t="n">
        <f aca="false">(MIN(B1989,2020)-1900-10*(G1989-1))/10</f>
        <v>0.2</v>
      </c>
      <c r="I1989" s="20" t="n">
        <f aca="false">EXP(LN(INDEX(Pop_Inputs!$B$2:$N$29,MATCH(C1989,Pop_Inputs!$A$2:$A$29,0),G1989))*(1-H1989)+LN(INDEX(Pop_Inputs!$B$2:$N$29,MATCH(C1989,Pop_Inputs!$A$2:$A$29,0),G1989+1))*H1989)</f>
        <v>645000.17899278</v>
      </c>
      <c r="J1989" s="20" t="n">
        <f aca="false">I1989/F1989</f>
        <v>645000.17899278</v>
      </c>
      <c r="K1989" s="21" t="n">
        <f aca="false">D1989/(D1989+E1989)</f>
        <v>0.41358024691358</v>
      </c>
      <c r="L1989" s="21" t="n">
        <f aca="false">AVERAGEIFS($K$2:$K$2705,$B$2:$B$2705,B1989)</f>
        <v>0.500034842036654</v>
      </c>
      <c r="M1989" s="21" t="n">
        <f aca="false">K1989-L1989</f>
        <v>-0.0864545951230734</v>
      </c>
      <c r="N1989" s="21" t="n">
        <f aca="false">LN(J1989)</f>
        <v>13.3770058732861</v>
      </c>
      <c r="O1989" s="21" t="n">
        <f aca="false">AVERAGEIFS($N$2:$N$2705,$B$2:$B$2705,B1989)</f>
        <v>13.6418653253493</v>
      </c>
      <c r="P1989" s="21" t="n">
        <f aca="false">N1989-O1989</f>
        <v>-0.264859452063266</v>
      </c>
      <c r="Q1989" s="7" t="n">
        <v>0</v>
      </c>
      <c r="R1989" s="3" t="n">
        <f aca="false">IF(AND(Q1989=1,B1989-_xlfn.MINIFS($B$2:$B$2705,$A$2:$A$2705,A1989)&lt;10),1,0)</f>
        <v>0</v>
      </c>
      <c r="S1989" s="7" t="n">
        <v>0</v>
      </c>
      <c r="T1989" s="3" t="n">
        <f aca="false">_xlfn.MINIFS($B$2:$B$2705,$A$2:$A$2705,A1989)</f>
        <v>1901</v>
      </c>
      <c r="U1989" s="3" t="n">
        <f aca="false">B1989-T1989</f>
        <v>101</v>
      </c>
      <c r="V1989" s="3" t="str">
        <f aca="false">INDEX(Pop_Inputs!$Q$2:$Q$29,MATCH(C1989,Pop_Inputs!$A$2:$A$29,0))</f>
        <v>South</v>
      </c>
      <c r="W1989" s="29" t="n">
        <v>60493487</v>
      </c>
      <c r="X1989" s="3" t="n">
        <f aca="false">IF(W1989="","",LN(W1989))</f>
        <v>17.9180462643135</v>
      </c>
      <c r="Y1989" s="3" t="n">
        <f aca="false">IF(X1989="","",X1989-AVERAGEIFS($X$2:$X$2705,$B$2:$B$2705,B1989))</f>
        <v>-0.0454303149784643</v>
      </c>
      <c r="Z1989" s="21" t="n">
        <f aca="false">P1989</f>
        <v>-0.264859452063266</v>
      </c>
      <c r="AA1989" s="3" t="n">
        <f aca="false">R1989</f>
        <v>0</v>
      </c>
      <c r="AB1989" s="21" t="n">
        <f aca="false">P1989</f>
        <v>-0.264859452063266</v>
      </c>
      <c r="AC1989" s="3" t="n">
        <f aca="false">Y1989</f>
        <v>-0.0454303149784643</v>
      </c>
      <c r="AD1989" s="3" t="n">
        <f aca="false">R1989</f>
        <v>0</v>
      </c>
    </row>
    <row r="1990" customFormat="false" ht="15" hidden="false" customHeight="true" outlineLevel="0" collapsed="false">
      <c r="A1990" s="7" t="s">
        <v>64</v>
      </c>
      <c r="B1990" s="7" t="n">
        <v>2002</v>
      </c>
      <c r="C1990" s="7" t="s">
        <v>150</v>
      </c>
      <c r="D1990" s="7" t="n">
        <v>93</v>
      </c>
      <c r="E1990" s="7" t="n">
        <v>69</v>
      </c>
      <c r="F1990" s="3" t="n">
        <f aca="false">COUNTIFS($B$2:$B$2705,B1990,$C$2:$C$2705,C1990)</f>
        <v>1</v>
      </c>
      <c r="G1990" s="3" t="n">
        <f aca="false">MIN(INT((MIN(B1990,2020)-1900)/10)+1,12)</f>
        <v>11</v>
      </c>
      <c r="H1990" s="3" t="n">
        <f aca="false">(MIN(B1990,2020)-1900-10*(G1990-1))/10</f>
        <v>0.2</v>
      </c>
      <c r="I1990" s="20" t="n">
        <f aca="false">EXP(LN(INDEX(Pop_Inputs!$B$2:$N$29,MATCH(C1990,Pop_Inputs!$A$2:$A$29,0),G1990))*(1-H1990)+LN(INDEX(Pop_Inputs!$B$2:$N$29,MATCH(C1990,Pop_Inputs!$A$2:$A$29,0),G1990+1))*H1990)</f>
        <v>594724.748986821</v>
      </c>
      <c r="J1990" s="20" t="n">
        <f aca="false">I1990/F1990</f>
        <v>594724.748986821</v>
      </c>
      <c r="K1990" s="21" t="n">
        <f aca="false">D1990/(D1990+E1990)</f>
        <v>0.574074074074074</v>
      </c>
      <c r="L1990" s="21" t="n">
        <f aca="false">AVERAGEIFS($K$2:$K$2705,$B$2:$B$2705,B1990)</f>
        <v>0.500034842036654</v>
      </c>
      <c r="M1990" s="21" t="n">
        <f aca="false">K1990-L1990</f>
        <v>0.0740392320374205</v>
      </c>
      <c r="N1990" s="21" t="n">
        <f aca="false">LN(J1990)</f>
        <v>13.2958539707474</v>
      </c>
      <c r="O1990" s="21" t="n">
        <f aca="false">AVERAGEIFS($N$2:$N$2705,$B$2:$B$2705,B1990)</f>
        <v>13.6418653253493</v>
      </c>
      <c r="P1990" s="21" t="n">
        <f aca="false">N1990-O1990</f>
        <v>-0.346011354601908</v>
      </c>
      <c r="Q1990" s="7" t="n">
        <v>0</v>
      </c>
      <c r="R1990" s="3" t="n">
        <f aca="false">IF(AND(Q1990=1,B1990-_xlfn.MINIFS($B$2:$B$2705,$A$2:$A$2705,A1990)&lt;10),1,0)</f>
        <v>0</v>
      </c>
      <c r="S1990" s="7" t="n">
        <v>0</v>
      </c>
      <c r="T1990" s="3" t="n">
        <f aca="false">_xlfn.MINIFS($B$2:$B$2705,$A$2:$A$2705,A1990)</f>
        <v>1901</v>
      </c>
      <c r="U1990" s="3" t="n">
        <f aca="false">B1990-T1990</f>
        <v>101</v>
      </c>
      <c r="V1990" s="3" t="str">
        <f aca="false">INDEX(Pop_Inputs!$Q$2:$Q$29,MATCH(C1990,Pop_Inputs!$A$2:$A$29,0))</f>
        <v>Northeast</v>
      </c>
      <c r="W1990" s="29" t="n">
        <v>108366060</v>
      </c>
      <c r="X1990" s="3" t="n">
        <f aca="false">IF(W1990="","",LN(W1990))</f>
        <v>18.5010254983129</v>
      </c>
      <c r="Y1990" s="3" t="n">
        <f aca="false">IF(X1990="","",X1990-AVERAGEIFS($X$2:$X$2705,$B$2:$B$2705,B1990))</f>
        <v>0.537548919020917</v>
      </c>
      <c r="Z1990" s="21" t="n">
        <f aca="false">P1990</f>
        <v>-0.346011354601908</v>
      </c>
      <c r="AA1990" s="3" t="n">
        <f aca="false">R1990</f>
        <v>0</v>
      </c>
      <c r="AB1990" s="21" t="n">
        <f aca="false">P1990</f>
        <v>-0.346011354601908</v>
      </c>
      <c r="AC1990" s="3" t="n">
        <f aca="false">Y1990</f>
        <v>0.537548919020917</v>
      </c>
      <c r="AD1990" s="3" t="n">
        <f aca="false">R1990</f>
        <v>0</v>
      </c>
    </row>
    <row r="1991" customFormat="false" ht="15" hidden="false" customHeight="true" outlineLevel="0" collapsed="false">
      <c r="A1991" s="7" t="s">
        <v>56</v>
      </c>
      <c r="B1991" s="7" t="n">
        <v>2002</v>
      </c>
      <c r="C1991" s="7" t="s">
        <v>142</v>
      </c>
      <c r="D1991" s="7" t="n">
        <v>67</v>
      </c>
      <c r="E1991" s="7" t="n">
        <v>95</v>
      </c>
      <c r="F1991" s="3" t="n">
        <f aca="false">COUNTIFS($B$2:$B$2705,B1991,$C$2:$C$2705,C1991)</f>
        <v>2</v>
      </c>
      <c r="G1991" s="3" t="n">
        <f aca="false">MIN(INT((MIN(B1991,2020)-1900)/10)+1,12)</f>
        <v>11</v>
      </c>
      <c r="H1991" s="3" t="n">
        <f aca="false">(MIN(B1991,2020)-1900-10*(G1991-1))/10</f>
        <v>0.2</v>
      </c>
      <c r="I1991" s="20" t="n">
        <f aca="false">EXP(LN(INDEX(Pop_Inputs!$B$2:$N$29,MATCH(C1991,Pop_Inputs!$A$2:$A$29,0),G1991))*(1-H1991)+LN(INDEX(Pop_Inputs!$B$2:$N$29,MATCH(C1991,Pop_Inputs!$A$2:$A$29,0),G1991+1))*H1991)</f>
        <v>2854774.38059522</v>
      </c>
      <c r="J1991" s="20" t="n">
        <f aca="false">I1991/F1991</f>
        <v>1427387.19029761</v>
      </c>
      <c r="K1991" s="21" t="n">
        <f aca="false">D1991/(D1991+E1991)</f>
        <v>0.41358024691358</v>
      </c>
      <c r="L1991" s="21" t="n">
        <f aca="false">AVERAGEIFS($K$2:$K$2705,$B$2:$B$2705,B1991)</f>
        <v>0.500034842036654</v>
      </c>
      <c r="M1991" s="21" t="n">
        <f aca="false">K1991-L1991</f>
        <v>-0.0864545951230734</v>
      </c>
      <c r="N1991" s="21" t="n">
        <f aca="false">LN(J1991)</f>
        <v>14.1713561913284</v>
      </c>
      <c r="O1991" s="21" t="n">
        <f aca="false">AVERAGEIFS($N$2:$N$2705,$B$2:$B$2705,B1991)</f>
        <v>13.6418653253493</v>
      </c>
      <c r="P1991" s="21" t="n">
        <f aca="false">N1991-O1991</f>
        <v>0.529490865979037</v>
      </c>
      <c r="Q1991" s="7" t="n">
        <v>0</v>
      </c>
      <c r="R1991" s="3" t="n">
        <f aca="false">IF(AND(Q1991=1,B1991-_xlfn.MINIFS($B$2:$B$2705,$A$2:$A$2705,A1991)&lt;10),1,0)</f>
        <v>0</v>
      </c>
      <c r="S1991" s="7" t="n">
        <v>0</v>
      </c>
      <c r="T1991" s="3" t="n">
        <f aca="false">_xlfn.MINIFS($B$2:$B$2705,$A$2:$A$2705,A1991)</f>
        <v>1901</v>
      </c>
      <c r="U1991" s="3" t="n">
        <f aca="false">B1991-T1991</f>
        <v>101</v>
      </c>
      <c r="V1991" s="3" t="str">
        <f aca="false">INDEX(Pop_Inputs!$Q$2:$Q$29,MATCH(C1991,Pop_Inputs!$A$2:$A$29,0))</f>
        <v>Midwest</v>
      </c>
      <c r="W1991" s="29" t="n">
        <v>75690833</v>
      </c>
      <c r="X1991" s="3" t="n">
        <f aca="false">IF(W1991="","",LN(W1991))</f>
        <v>18.1421676146416</v>
      </c>
      <c r="Y1991" s="3" t="n">
        <f aca="false">IF(X1991="","",X1991-AVERAGEIFS($X$2:$X$2705,$B$2:$B$2705,B1991))</f>
        <v>0.178691035349637</v>
      </c>
      <c r="Z1991" s="21" t="n">
        <f aca="false">P1991</f>
        <v>0.529490865979037</v>
      </c>
      <c r="AA1991" s="3" t="n">
        <f aca="false">R1991</f>
        <v>0</v>
      </c>
      <c r="AB1991" s="21" t="n">
        <f aca="false">P1991</f>
        <v>0.529490865979037</v>
      </c>
      <c r="AC1991" s="3" t="n">
        <f aca="false">Y1991</f>
        <v>0.178691035349637</v>
      </c>
      <c r="AD1991" s="3" t="n">
        <f aca="false">R1991</f>
        <v>0</v>
      </c>
    </row>
    <row r="1992" customFormat="false" ht="15" hidden="false" customHeight="true" outlineLevel="0" collapsed="false">
      <c r="A1992" s="7" t="s">
        <v>65</v>
      </c>
      <c r="B1992" s="7" t="n">
        <v>2002</v>
      </c>
      <c r="C1992" s="7" t="s">
        <v>142</v>
      </c>
      <c r="D1992" s="7" t="n">
        <v>81</v>
      </c>
      <c r="E1992" s="7" t="n">
        <v>81</v>
      </c>
      <c r="F1992" s="3" t="n">
        <f aca="false">COUNTIFS($B$2:$B$2705,B1992,$C$2:$C$2705,C1992)</f>
        <v>2</v>
      </c>
      <c r="G1992" s="3" t="n">
        <f aca="false">MIN(INT((MIN(B1992,2020)-1900)/10)+1,12)</f>
        <v>11</v>
      </c>
      <c r="H1992" s="3" t="n">
        <f aca="false">(MIN(B1992,2020)-1900-10*(G1992-1))/10</f>
        <v>0.2</v>
      </c>
      <c r="I1992" s="20" t="n">
        <f aca="false">EXP(LN(INDEX(Pop_Inputs!$B$2:$N$29,MATCH(C1992,Pop_Inputs!$A$2:$A$29,0),G1992))*(1-H1992)+LN(INDEX(Pop_Inputs!$B$2:$N$29,MATCH(C1992,Pop_Inputs!$A$2:$A$29,0),G1992+1))*H1992)</f>
        <v>2854774.38059522</v>
      </c>
      <c r="J1992" s="20" t="n">
        <f aca="false">I1992/F1992</f>
        <v>1427387.19029761</v>
      </c>
      <c r="K1992" s="21" t="n">
        <f aca="false">D1992/(D1992+E1992)</f>
        <v>0.5</v>
      </c>
      <c r="L1992" s="21" t="n">
        <f aca="false">AVERAGEIFS($K$2:$K$2705,$B$2:$B$2705,B1992)</f>
        <v>0.500034842036654</v>
      </c>
      <c r="M1992" s="21" t="n">
        <f aca="false">K1992-L1992</f>
        <v>-3.4842036653604E-005</v>
      </c>
      <c r="N1992" s="21" t="n">
        <f aca="false">LN(J1992)</f>
        <v>14.1713561913284</v>
      </c>
      <c r="O1992" s="21" t="n">
        <f aca="false">AVERAGEIFS($N$2:$N$2705,$B$2:$B$2705,B1992)</f>
        <v>13.6418653253493</v>
      </c>
      <c r="P1992" s="21" t="n">
        <f aca="false">N1992-O1992</f>
        <v>0.529490865979037</v>
      </c>
      <c r="Q1992" s="7" t="n">
        <v>0</v>
      </c>
      <c r="R1992" s="3" t="n">
        <f aca="false">IF(AND(Q1992=1,B1992-_xlfn.MINIFS($B$2:$B$2705,$A$2:$A$2705,A1992)&lt;10),1,0)</f>
        <v>0</v>
      </c>
      <c r="S1992" s="7" t="n">
        <v>0</v>
      </c>
      <c r="T1992" s="3" t="n">
        <f aca="false">_xlfn.MINIFS($B$2:$B$2705,$A$2:$A$2705,A1992)</f>
        <v>1901</v>
      </c>
      <c r="U1992" s="3" t="n">
        <f aca="false">B1992-T1992</f>
        <v>101</v>
      </c>
      <c r="V1992" s="3" t="str">
        <f aca="false">INDEX(Pop_Inputs!$Q$2:$Q$29,MATCH(C1992,Pop_Inputs!$A$2:$A$29,0))</f>
        <v>Midwest</v>
      </c>
      <c r="W1992" s="29" t="n">
        <v>57052833</v>
      </c>
      <c r="X1992" s="3" t="n">
        <f aca="false">IF(W1992="","",LN(W1992))</f>
        <v>17.859488291234</v>
      </c>
      <c r="Y1992" s="3" t="n">
        <f aca="false">IF(X1992="","",X1992-AVERAGEIFS($X$2:$X$2705,$B$2:$B$2705,B1992))</f>
        <v>-0.103988288057987</v>
      </c>
      <c r="Z1992" s="21" t="n">
        <f aca="false">P1992</f>
        <v>0.529490865979037</v>
      </c>
      <c r="AA1992" s="3" t="n">
        <f aca="false">R1992</f>
        <v>0</v>
      </c>
      <c r="AB1992" s="21" t="n">
        <f aca="false">P1992</f>
        <v>0.529490865979037</v>
      </c>
      <c r="AC1992" s="3" t="n">
        <f aca="false">Y1992</f>
        <v>-0.103988288057987</v>
      </c>
      <c r="AD1992" s="3" t="n">
        <f aca="false">R1992</f>
        <v>0</v>
      </c>
    </row>
    <row r="1993" customFormat="false" ht="15" hidden="false" customHeight="true" outlineLevel="0" collapsed="false">
      <c r="A1993" s="7" t="s">
        <v>57</v>
      </c>
      <c r="B1993" s="7" t="n">
        <v>2002</v>
      </c>
      <c r="C1993" s="7" t="s">
        <v>143</v>
      </c>
      <c r="D1993" s="7" t="n">
        <v>78</v>
      </c>
      <c r="E1993" s="7" t="n">
        <v>84</v>
      </c>
      <c r="F1993" s="3" t="n">
        <f aca="false">COUNTIFS($B$2:$B$2705,B1993,$C$2:$C$2705,C1993)</f>
        <v>1</v>
      </c>
      <c r="G1993" s="3" t="n">
        <f aca="false">MIN(INT((MIN(B1993,2020)-1900)/10)+1,12)</f>
        <v>11</v>
      </c>
      <c r="H1993" s="3" t="n">
        <f aca="false">(MIN(B1993,2020)-1900-10*(G1993-1))/10</f>
        <v>0.2</v>
      </c>
      <c r="I1993" s="20" t="n">
        <f aca="false">EXP(LN(INDEX(Pop_Inputs!$B$2:$N$29,MATCH(C1993,Pop_Inputs!$A$2:$A$29,0),G1993))*(1-H1993)+LN(INDEX(Pop_Inputs!$B$2:$N$29,MATCH(C1993,Pop_Inputs!$A$2:$A$29,0),G1993+1))*H1993)</f>
        <v>324112.690632794</v>
      </c>
      <c r="J1993" s="20" t="n">
        <f aca="false">I1993/F1993</f>
        <v>324112.690632794</v>
      </c>
      <c r="K1993" s="21" t="n">
        <f aca="false">D1993/(D1993+E1993)</f>
        <v>0.481481481481481</v>
      </c>
      <c r="L1993" s="21" t="n">
        <f aca="false">AVERAGEIFS($K$2:$K$2705,$B$2:$B$2705,B1993)</f>
        <v>0.500034842036654</v>
      </c>
      <c r="M1993" s="21" t="n">
        <f aca="false">K1993-L1993</f>
        <v>-0.0185533605551722</v>
      </c>
      <c r="N1993" s="21" t="n">
        <f aca="false">LN(J1993)</f>
        <v>12.6888465448974</v>
      </c>
      <c r="O1993" s="21" t="n">
        <f aca="false">AVERAGEIFS($N$2:$N$2705,$B$2:$B$2705,B1993)</f>
        <v>13.6418653253493</v>
      </c>
      <c r="P1993" s="21" t="n">
        <f aca="false">N1993-O1993</f>
        <v>-0.953018780451899</v>
      </c>
      <c r="Q1993" s="7" t="n">
        <v>0</v>
      </c>
      <c r="R1993" s="3" t="n">
        <f aca="false">IF(AND(Q1993=1,B1993-_xlfn.MINIFS($B$2:$B$2705,$A$2:$A$2705,A1993)&lt;10),1,0)</f>
        <v>0</v>
      </c>
      <c r="S1993" s="7" t="n">
        <v>0</v>
      </c>
      <c r="T1993" s="3" t="n">
        <f aca="false">_xlfn.MINIFS($B$2:$B$2705,$A$2:$A$2705,A1993)</f>
        <v>1901</v>
      </c>
      <c r="U1993" s="3" t="n">
        <f aca="false">B1993-T1993</f>
        <v>101</v>
      </c>
      <c r="V1993" s="3" t="str">
        <f aca="false">INDEX(Pop_Inputs!$Q$2:$Q$29,MATCH(C1993,Pop_Inputs!$A$2:$A$29,0))</f>
        <v>Midwest</v>
      </c>
      <c r="W1993" s="29" t="n">
        <v>45050390</v>
      </c>
      <c r="X1993" s="3" t="n">
        <f aca="false">IF(W1993="","",LN(W1993))</f>
        <v>17.6232921990289</v>
      </c>
      <c r="Y1993" s="3" t="n">
        <f aca="false">IF(X1993="","",X1993-AVERAGEIFS($X$2:$X$2705,$B$2:$B$2705,B1993))</f>
        <v>-0.340184380263111</v>
      </c>
      <c r="Z1993" s="21" t="n">
        <f aca="false">P1993</f>
        <v>-0.953018780451899</v>
      </c>
      <c r="AA1993" s="3" t="n">
        <f aca="false">R1993</f>
        <v>0</v>
      </c>
      <c r="AB1993" s="21" t="n">
        <f aca="false">P1993</f>
        <v>-0.953018780451899</v>
      </c>
      <c r="AC1993" s="3" t="n">
        <f aca="false">Y1993</f>
        <v>-0.340184380263111</v>
      </c>
      <c r="AD1993" s="3" t="n">
        <f aca="false">R1993</f>
        <v>0</v>
      </c>
    </row>
    <row r="1994" customFormat="false" ht="15" hidden="false" customHeight="true" outlineLevel="0" collapsed="false">
      <c r="A1994" s="7" t="s">
        <v>66</v>
      </c>
      <c r="B1994" s="7" t="n">
        <v>2002</v>
      </c>
      <c r="C1994" s="7" t="s">
        <v>151</v>
      </c>
      <c r="D1994" s="7" t="n">
        <v>74</v>
      </c>
      <c r="E1994" s="7" t="n">
        <v>88</v>
      </c>
      <c r="F1994" s="3" t="n">
        <f aca="false">COUNTIFS($B$2:$B$2705,B1994,$C$2:$C$2705,C1994)</f>
        <v>1</v>
      </c>
      <c r="G1994" s="3" t="n">
        <f aca="false">MIN(INT((MIN(B1994,2020)-1900)/10)+1,12)</f>
        <v>11</v>
      </c>
      <c r="H1994" s="3" t="n">
        <f aca="false">(MIN(B1994,2020)-1900-10*(G1994-1))/10</f>
        <v>0.2</v>
      </c>
      <c r="I1994" s="20" t="n">
        <f aca="false">EXP(LN(INDEX(Pop_Inputs!$B$2:$N$29,MATCH(C1994,Pop_Inputs!$A$2:$A$29,0),G1994))*(1-H1994)+LN(INDEX(Pop_Inputs!$B$2:$N$29,MATCH(C1994,Pop_Inputs!$A$2:$A$29,0),G1994+1))*H1994)</f>
        <v>460842.720378384</v>
      </c>
      <c r="J1994" s="20" t="n">
        <f aca="false">I1994/F1994</f>
        <v>460842.720378384</v>
      </c>
      <c r="K1994" s="21" t="n">
        <f aca="false">D1994/(D1994+E1994)</f>
        <v>0.45679012345679</v>
      </c>
      <c r="L1994" s="21" t="n">
        <f aca="false">AVERAGEIFS($K$2:$K$2705,$B$2:$B$2705,B1994)</f>
        <v>0.500034842036654</v>
      </c>
      <c r="M1994" s="21" t="n">
        <f aca="false">K1994-L1994</f>
        <v>-0.0432447185798635</v>
      </c>
      <c r="N1994" s="21" t="n">
        <f aca="false">LN(J1994)</f>
        <v>13.0408120932211</v>
      </c>
      <c r="O1994" s="21" t="n">
        <f aca="false">AVERAGEIFS($N$2:$N$2705,$B$2:$B$2705,B1994)</f>
        <v>13.6418653253493</v>
      </c>
      <c r="P1994" s="21" t="n">
        <f aca="false">N1994-O1994</f>
        <v>-0.601053232128255</v>
      </c>
      <c r="Q1994" s="7" t="n">
        <v>0</v>
      </c>
      <c r="R1994" s="3" t="n">
        <f aca="false">IF(AND(Q1994=1,B1994-_xlfn.MINIFS($B$2:$B$2705,$A$2:$A$2705,A1994)&lt;10),1,0)</f>
        <v>0</v>
      </c>
      <c r="S1994" s="7" t="n">
        <v>0</v>
      </c>
      <c r="T1994" s="3" t="n">
        <f aca="false">_xlfn.MINIFS($B$2:$B$2705,$A$2:$A$2705,A1994)</f>
        <v>1901</v>
      </c>
      <c r="U1994" s="3" t="n">
        <f aca="false">B1994-T1994</f>
        <v>101</v>
      </c>
      <c r="V1994" s="3" t="str">
        <f aca="false">INDEX(Pop_Inputs!$Q$2:$Q$29,MATCH(C1994,Pop_Inputs!$A$2:$A$29,0))</f>
        <v>Midwest</v>
      </c>
      <c r="W1994" s="29" t="n">
        <v>78909449</v>
      </c>
      <c r="X1994" s="3" t="n">
        <f aca="false">IF(W1994="","",LN(W1994))</f>
        <v>18.1838115378344</v>
      </c>
      <c r="Y1994" s="3" t="n">
        <f aca="false">IF(X1994="","",X1994-AVERAGEIFS($X$2:$X$2705,$B$2:$B$2705,B1994))</f>
        <v>0.220334958542406</v>
      </c>
      <c r="Z1994" s="21" t="n">
        <f aca="false">P1994</f>
        <v>-0.601053232128255</v>
      </c>
      <c r="AA1994" s="3" t="n">
        <f aca="false">R1994</f>
        <v>0</v>
      </c>
      <c r="AB1994" s="21" t="n">
        <f aca="false">P1994</f>
        <v>-0.601053232128255</v>
      </c>
      <c r="AC1994" s="3" t="n">
        <f aca="false">Y1994</f>
        <v>0.220334958542406</v>
      </c>
      <c r="AD1994" s="3" t="n">
        <f aca="false">R1994</f>
        <v>0</v>
      </c>
    </row>
    <row r="1995" customFormat="false" ht="15" hidden="false" customHeight="true" outlineLevel="0" collapsed="false">
      <c r="A1995" s="7" t="s">
        <v>82</v>
      </c>
      <c r="B1995" s="7" t="n">
        <v>2002</v>
      </c>
      <c r="C1995" s="7" t="s">
        <v>163</v>
      </c>
      <c r="D1995" s="7" t="n">
        <v>73</v>
      </c>
      <c r="E1995" s="7" t="n">
        <v>89</v>
      </c>
      <c r="F1995" s="3" t="n">
        <f aca="false">COUNTIFS($B$2:$B$2705,B1995,$C$2:$C$2705,C1995)</f>
        <v>1</v>
      </c>
      <c r="G1995" s="3" t="n">
        <f aca="false">MIN(INT((MIN(B1995,2020)-1900)/10)+1,12)</f>
        <v>11</v>
      </c>
      <c r="H1995" s="3" t="n">
        <f aca="false">(MIN(B1995,2020)-1900-10*(G1995-1))/10</f>
        <v>0.2</v>
      </c>
      <c r="I1995" s="20" t="n">
        <f aca="false">EXP(LN(INDEX(Pop_Inputs!$B$2:$N$29,MATCH(C1995,Pop_Inputs!$A$2:$A$29,0),G1995))*(1-H1995)+LN(INDEX(Pop_Inputs!$B$2:$N$29,MATCH(C1995,Pop_Inputs!$A$2:$A$29,0),G1995+1))*H1995)</f>
        <v>563455.424109506</v>
      </c>
      <c r="J1995" s="20" t="n">
        <f aca="false">I1995/F1995</f>
        <v>563455.424109506</v>
      </c>
      <c r="K1995" s="21" t="n">
        <f aca="false">D1995/(D1995+E1995)</f>
        <v>0.450617283950617</v>
      </c>
      <c r="L1995" s="21" t="n">
        <f aca="false">AVERAGEIFS($K$2:$K$2705,$B$2:$B$2705,B1995)</f>
        <v>0.500034842036654</v>
      </c>
      <c r="M1995" s="21" t="n">
        <f aca="false">K1995-L1995</f>
        <v>-0.0494175580860363</v>
      </c>
      <c r="N1995" s="21" t="n">
        <f aca="false">LN(J1995)</f>
        <v>13.2418435039372</v>
      </c>
      <c r="O1995" s="21" t="n">
        <f aca="false">AVERAGEIFS($N$2:$N$2705,$B$2:$B$2705,B1995)</f>
        <v>13.6418653253493</v>
      </c>
      <c r="P1995" s="21" t="n">
        <f aca="false">N1995-O1995</f>
        <v>-0.400021821412082</v>
      </c>
      <c r="Q1995" s="7" t="n">
        <v>1</v>
      </c>
      <c r="R1995" s="3" t="n">
        <f aca="false">IF(AND(Q1995=1,B1995-_xlfn.MINIFS($B$2:$B$2705,$A$2:$A$2705,A1995)&lt;10),1,0)</f>
        <v>1</v>
      </c>
      <c r="S1995" s="7" t="n">
        <v>0</v>
      </c>
      <c r="T1995" s="3" t="n">
        <f aca="false">_xlfn.MINIFS($B$2:$B$2705,$A$2:$A$2705,A1995)</f>
        <v>1993</v>
      </c>
      <c r="U1995" s="3" t="n">
        <f aca="false">B1995-T1995</f>
        <v>9</v>
      </c>
      <c r="V1995" s="3" t="str">
        <f aca="false">INDEX(Pop_Inputs!$Q$2:$Q$29,MATCH(C1995,Pop_Inputs!$A$2:$A$29,0))</f>
        <v>West</v>
      </c>
      <c r="W1995" s="29" t="n">
        <v>56851043</v>
      </c>
      <c r="X1995" s="3" t="n">
        <f aca="false">IF(W1995="","",LN(W1995))</f>
        <v>17.8559451245185</v>
      </c>
      <c r="Y1995" s="3" t="n">
        <f aca="false">IF(X1995="","",X1995-AVERAGEIFS($X$2:$X$2705,$B$2:$B$2705,B1995))</f>
        <v>-0.107531454773515</v>
      </c>
      <c r="Z1995" s="21" t="n">
        <f aca="false">P1995</f>
        <v>-0.400021821412082</v>
      </c>
      <c r="AA1995" s="3" t="n">
        <f aca="false">R1995</f>
        <v>1</v>
      </c>
      <c r="AB1995" s="21" t="n">
        <f aca="false">P1995</f>
        <v>-0.400021821412082</v>
      </c>
      <c r="AC1995" s="3" t="n">
        <f aca="false">Y1995</f>
        <v>-0.107531454773515</v>
      </c>
      <c r="AD1995" s="3" t="n">
        <f aca="false">R1995</f>
        <v>1</v>
      </c>
    </row>
    <row r="1996" customFormat="false" ht="15" hidden="false" customHeight="true" outlineLevel="0" collapsed="false">
      <c r="A1996" s="7" t="s">
        <v>67</v>
      </c>
      <c r="B1996" s="7" t="n">
        <v>2002</v>
      </c>
      <c r="C1996" s="7" t="s">
        <v>152</v>
      </c>
      <c r="D1996" s="7" t="n">
        <v>55</v>
      </c>
      <c r="E1996" s="7" t="n">
        <v>106</v>
      </c>
      <c r="F1996" s="3" t="n">
        <f aca="false">COUNTIFS($B$2:$B$2705,B1996,$C$2:$C$2705,C1996)</f>
        <v>1</v>
      </c>
      <c r="G1996" s="3" t="n">
        <f aca="false">MIN(INT((MIN(B1996,2020)-1900)/10)+1,12)</f>
        <v>11</v>
      </c>
      <c r="H1996" s="3" t="n">
        <f aca="false">(MIN(B1996,2020)-1900-10*(G1996-1))/10</f>
        <v>0.2</v>
      </c>
      <c r="I1996" s="20" t="n">
        <f aca="false">EXP(LN(INDEX(Pop_Inputs!$B$2:$N$29,MATCH(C1996,Pop_Inputs!$A$2:$A$29,0),G1996))*(1-H1996)+LN(INDEX(Pop_Inputs!$B$2:$N$29,MATCH(C1996,Pop_Inputs!$A$2:$A$29,0),G1996+1))*H1996)</f>
        <v>898163.807049908</v>
      </c>
      <c r="J1996" s="20" t="n">
        <f aca="false">I1996/F1996</f>
        <v>898163.807049908</v>
      </c>
      <c r="K1996" s="21" t="n">
        <f aca="false">D1996/(D1996+E1996)</f>
        <v>0.341614906832298</v>
      </c>
      <c r="L1996" s="21" t="n">
        <f aca="false">AVERAGEIFS($K$2:$K$2705,$B$2:$B$2705,B1996)</f>
        <v>0.500034842036654</v>
      </c>
      <c r="M1996" s="21" t="n">
        <f aca="false">K1996-L1996</f>
        <v>-0.158419935204356</v>
      </c>
      <c r="N1996" s="21" t="n">
        <f aca="false">LN(J1996)</f>
        <v>13.708107743845</v>
      </c>
      <c r="O1996" s="21" t="n">
        <f aca="false">AVERAGEIFS($N$2:$N$2705,$B$2:$B$2705,B1996)</f>
        <v>13.6418653253493</v>
      </c>
      <c r="P1996" s="21" t="n">
        <f aca="false">N1996-O1996</f>
        <v>0.0662424184956372</v>
      </c>
      <c r="Q1996" s="7" t="n">
        <v>0</v>
      </c>
      <c r="R1996" s="3" t="n">
        <f aca="false">IF(AND(Q1996=1,B1996-_xlfn.MINIFS($B$2:$B$2705,$A$2:$A$2705,A1996)&lt;10),1,0)</f>
        <v>0</v>
      </c>
      <c r="S1996" s="7" t="n">
        <v>0</v>
      </c>
      <c r="T1996" s="3" t="n">
        <f aca="false">_xlfn.MINIFS($B$2:$B$2705,$A$2:$A$2705,A1996)</f>
        <v>1901</v>
      </c>
      <c r="U1996" s="3" t="n">
        <f aca="false">B1996-T1996</f>
        <v>101</v>
      </c>
      <c r="V1996" s="3" t="str">
        <f aca="false">INDEX(Pop_Inputs!$Q$2:$Q$29,MATCH(C1996,Pop_Inputs!$A$2:$A$29,0))</f>
        <v>Midwest</v>
      </c>
      <c r="W1996" s="29" t="n">
        <v>55048000</v>
      </c>
      <c r="X1996" s="3" t="n">
        <f aca="false">IF(W1996="","",LN(W1996))</f>
        <v>17.8237160898645</v>
      </c>
      <c r="Y1996" s="3" t="n">
        <f aca="false">IF(X1996="","",X1996-AVERAGEIFS($X$2:$X$2705,$B$2:$B$2705,B1996))</f>
        <v>-0.139760489427534</v>
      </c>
      <c r="Z1996" s="21" t="n">
        <f aca="false">P1996</f>
        <v>0.0662424184956372</v>
      </c>
      <c r="AA1996" s="3" t="n">
        <f aca="false">R1996</f>
        <v>0</v>
      </c>
      <c r="AB1996" s="21" t="n">
        <f aca="false">P1996</f>
        <v>0.0662424184956372</v>
      </c>
      <c r="AC1996" s="3" t="n">
        <f aca="false">Y1996</f>
        <v>-0.139760489427534</v>
      </c>
      <c r="AD1996" s="3" t="n">
        <f aca="false">R1996</f>
        <v>0</v>
      </c>
    </row>
    <row r="1997" customFormat="false" ht="15" hidden="false" customHeight="true" outlineLevel="0" collapsed="false">
      <c r="A1997" s="7" t="s">
        <v>83</v>
      </c>
      <c r="B1997" s="7" t="n">
        <v>2002</v>
      </c>
      <c r="C1997" s="7" t="s">
        <v>164</v>
      </c>
      <c r="D1997" s="7" t="n">
        <v>79</v>
      </c>
      <c r="E1997" s="7" t="n">
        <v>83</v>
      </c>
      <c r="F1997" s="3" t="n">
        <f aca="false">COUNTIFS($B$2:$B$2705,B1997,$C$2:$C$2705,C1997)</f>
        <v>1</v>
      </c>
      <c r="G1997" s="3" t="n">
        <f aca="false">MIN(INT((MIN(B1997,2020)-1900)/10)+1,12)</f>
        <v>11</v>
      </c>
      <c r="H1997" s="3" t="n">
        <f aca="false">(MIN(B1997,2020)-1900-10*(G1997-1))/10</f>
        <v>0.2</v>
      </c>
      <c r="I1997" s="20" t="n">
        <f aca="false">EXP(LN(INDEX(Pop_Inputs!$B$2:$N$29,MATCH(C1997,Pop_Inputs!$A$2:$A$29,0),G1997))*(1-H1997)+LN(INDEX(Pop_Inputs!$B$2:$N$29,MATCH(C1997,Pop_Inputs!$A$2:$A$29,0),G1997+1))*H1997)</f>
        <v>369582.723454011</v>
      </c>
      <c r="J1997" s="20" t="n">
        <f aca="false">I1997/F1997</f>
        <v>369582.723454011</v>
      </c>
      <c r="K1997" s="21" t="n">
        <f aca="false">D1997/(D1997+E1997)</f>
        <v>0.487654320987654</v>
      </c>
      <c r="L1997" s="21" t="n">
        <f aca="false">AVERAGEIFS($K$2:$K$2705,$B$2:$B$2705,B1997)</f>
        <v>0.500034842036654</v>
      </c>
      <c r="M1997" s="21" t="n">
        <f aca="false">K1997-L1997</f>
        <v>-0.0123805210489993</v>
      </c>
      <c r="N1997" s="21" t="n">
        <f aca="false">LN(J1997)</f>
        <v>12.8201298737557</v>
      </c>
      <c r="O1997" s="21" t="n">
        <f aca="false">AVERAGEIFS($N$2:$N$2705,$B$2:$B$2705,B1997)</f>
        <v>13.6418653253493</v>
      </c>
      <c r="P1997" s="21" t="n">
        <f aca="false">N1997-O1997</f>
        <v>-0.821735451593673</v>
      </c>
      <c r="Q1997" s="7" t="n">
        <v>1</v>
      </c>
      <c r="R1997" s="3" t="n">
        <f aca="false">IF(AND(Q1997=1,B1997-_xlfn.MINIFS($B$2:$B$2705,$A$2:$A$2705,A1997)&lt;10),1,0)</f>
        <v>1</v>
      </c>
      <c r="S1997" s="7" t="n">
        <v>0</v>
      </c>
      <c r="T1997" s="3" t="n">
        <f aca="false">_xlfn.MINIFS($B$2:$B$2705,$A$2:$A$2705,A1997)</f>
        <v>1993</v>
      </c>
      <c r="U1997" s="3" t="n">
        <f aca="false">B1997-T1997</f>
        <v>9</v>
      </c>
      <c r="V1997" s="3" t="str">
        <f aca="false">INDEX(Pop_Inputs!$Q$2:$Q$29,MATCH(C1997,Pop_Inputs!$A$2:$A$29,0))</f>
        <v>South</v>
      </c>
      <c r="W1997" s="29" t="n">
        <v>41979917</v>
      </c>
      <c r="X1997" s="3" t="n">
        <f aca="false">IF(W1997="","",LN(W1997))</f>
        <v>17.5527018952228</v>
      </c>
      <c r="Y1997" s="3" t="n">
        <f aca="false">IF(X1997="","",X1997-AVERAGEIFS($X$2:$X$2705,$B$2:$B$2705,B1997))</f>
        <v>-0.410774684069146</v>
      </c>
      <c r="Z1997" s="21" t="n">
        <f aca="false">P1997</f>
        <v>-0.821735451593673</v>
      </c>
      <c r="AA1997" s="3" t="n">
        <f aca="false">R1997</f>
        <v>1</v>
      </c>
      <c r="AB1997" s="21" t="n">
        <f aca="false">P1997</f>
        <v>-0.821735451593673</v>
      </c>
      <c r="AC1997" s="3" t="n">
        <f aca="false">Y1997</f>
        <v>-0.410774684069146</v>
      </c>
      <c r="AD1997" s="3" t="n">
        <f aca="false">R1997</f>
        <v>1</v>
      </c>
    </row>
    <row r="1998" customFormat="false" ht="15" hidden="false" customHeight="true" outlineLevel="0" collapsed="false">
      <c r="A1998" s="7" t="s">
        <v>74</v>
      </c>
      <c r="B1998" s="7" t="n">
        <v>2002</v>
      </c>
      <c r="C1998" s="7" t="s">
        <v>156</v>
      </c>
      <c r="D1998" s="7" t="n">
        <v>84</v>
      </c>
      <c r="E1998" s="7" t="n">
        <v>78</v>
      </c>
      <c r="F1998" s="3" t="n">
        <f aca="false">COUNTIFS($B$2:$B$2705,B1998,$C$2:$C$2705,C1998)</f>
        <v>1</v>
      </c>
      <c r="G1998" s="3" t="n">
        <f aca="false">MIN(INT((MIN(B1998,2020)-1900)/10)+1,12)</f>
        <v>11</v>
      </c>
      <c r="H1998" s="3" t="n">
        <f aca="false">(MIN(B1998,2020)-1900-10*(G1998-1))/10</f>
        <v>0.2</v>
      </c>
      <c r="I1998" s="20" t="n">
        <f aca="false">EXP(LN(INDEX(Pop_Inputs!$B$2:$N$29,MATCH(C1998,Pop_Inputs!$A$2:$A$29,0),G1998))*(1-H1998)+LN(INDEX(Pop_Inputs!$B$2:$N$29,MATCH(C1998,Pop_Inputs!$A$2:$A$29,0),G1998+1))*H1998)</f>
        <v>1981961.34027691</v>
      </c>
      <c r="J1998" s="20" t="n">
        <f aca="false">I1998/F1998</f>
        <v>1981961.34027691</v>
      </c>
      <c r="K1998" s="21" t="n">
        <f aca="false">D1998/(D1998+E1998)</f>
        <v>0.518518518518519</v>
      </c>
      <c r="L1998" s="21" t="n">
        <f aca="false">AVERAGEIFS($K$2:$K$2705,$B$2:$B$2705,B1998)</f>
        <v>0.500034842036654</v>
      </c>
      <c r="M1998" s="21" t="n">
        <f aca="false">K1998-L1998</f>
        <v>0.0184836764818649</v>
      </c>
      <c r="N1998" s="21" t="n">
        <f aca="false">LN(J1998)</f>
        <v>14.4995974882716</v>
      </c>
      <c r="O1998" s="21" t="n">
        <f aca="false">AVERAGEIFS($N$2:$N$2705,$B$2:$B$2705,B1998)</f>
        <v>13.6418653253493</v>
      </c>
      <c r="P1998" s="21" t="n">
        <f aca="false">N1998-O1998</f>
        <v>0.857732162922279</v>
      </c>
      <c r="Q1998" s="7" t="n">
        <v>1</v>
      </c>
      <c r="R1998" s="3" t="n">
        <f aca="false">IF(AND(Q1998=1,B1998-_xlfn.MINIFS($B$2:$B$2705,$A$2:$A$2705,A1998)&lt;10),1,0)</f>
        <v>0</v>
      </c>
      <c r="S1998" s="7" t="n">
        <v>0</v>
      </c>
      <c r="T1998" s="3" t="n">
        <f aca="false">_xlfn.MINIFS($B$2:$B$2705,$A$2:$A$2705,A1998)</f>
        <v>1962</v>
      </c>
      <c r="U1998" s="3" t="n">
        <f aca="false">B1998-T1998</f>
        <v>40</v>
      </c>
      <c r="V1998" s="3" t="str">
        <f aca="false">INDEX(Pop_Inputs!$Q$2:$Q$29,MATCH(C1998,Pop_Inputs!$A$2:$A$29,0))</f>
        <v>South</v>
      </c>
      <c r="W1998" s="29" t="n">
        <v>63448417</v>
      </c>
      <c r="X1998" s="3" t="n">
        <f aca="false">IF(W1998="","",LN(W1998))</f>
        <v>17.9657378030349</v>
      </c>
      <c r="Y1998" s="3" t="n">
        <f aca="false">IF(X1998="","",X1998-AVERAGEIFS($X$2:$X$2705,$B$2:$B$2705,B1998))</f>
        <v>0.00226122374289517</v>
      </c>
      <c r="Z1998" s="21" t="n">
        <f aca="false">P1998</f>
        <v>0.857732162922279</v>
      </c>
      <c r="AA1998" s="3" t="n">
        <f aca="false">R1998</f>
        <v>0</v>
      </c>
      <c r="AB1998" s="21" t="n">
        <f aca="false">P1998</f>
        <v>0.857732162922279</v>
      </c>
      <c r="AC1998" s="3" t="n">
        <f aca="false">Y1998</f>
        <v>0.00226122374289517</v>
      </c>
      <c r="AD1998" s="3" t="n">
        <f aca="false">R1998</f>
        <v>0</v>
      </c>
    </row>
    <row r="1999" customFormat="false" ht="15" hidden="false" customHeight="true" outlineLevel="0" collapsed="false">
      <c r="A1999" s="7" t="s">
        <v>76</v>
      </c>
      <c r="B1999" s="7" t="n">
        <v>2002</v>
      </c>
      <c r="C1999" s="7" t="s">
        <v>157</v>
      </c>
      <c r="D1999" s="7" t="n">
        <v>62</v>
      </c>
      <c r="E1999" s="7" t="n">
        <v>100</v>
      </c>
      <c r="F1999" s="3" t="n">
        <f aca="false">COUNTIFS($B$2:$B$2705,B1999,$C$2:$C$2705,C1999)</f>
        <v>1</v>
      </c>
      <c r="G1999" s="3" t="n">
        <f aca="false">MIN(INT((MIN(B1999,2020)-1900)/10)+1,12)</f>
        <v>11</v>
      </c>
      <c r="H1999" s="3" t="n">
        <f aca="false">(MIN(B1999,2020)-1900-10*(G1999-1))/10</f>
        <v>0.2</v>
      </c>
      <c r="I1999" s="20" t="n">
        <f aca="false">EXP(LN(INDEX(Pop_Inputs!$B$2:$N$29,MATCH(C1999,Pop_Inputs!$A$2:$A$29,0),G1999))*(1-H1999)+LN(INDEX(Pop_Inputs!$B$2:$N$29,MATCH(C1999,Pop_Inputs!$A$2:$A$29,0),G1999+1))*H1999)</f>
        <v>445134.560603954</v>
      </c>
      <c r="J1999" s="20" t="n">
        <f aca="false">I1999/F1999</f>
        <v>445134.560603954</v>
      </c>
      <c r="K1999" s="21" t="n">
        <f aca="false">D1999/(D1999+E1999)</f>
        <v>0.382716049382716</v>
      </c>
      <c r="L1999" s="21" t="n">
        <f aca="false">AVERAGEIFS($K$2:$K$2705,$B$2:$B$2705,B1999)</f>
        <v>0.500034842036654</v>
      </c>
      <c r="M1999" s="21" t="n">
        <f aca="false">K1999-L1999</f>
        <v>-0.117318792653938</v>
      </c>
      <c r="N1999" s="21" t="n">
        <f aca="false">LN(J1999)</f>
        <v>13.0061318988194</v>
      </c>
      <c r="O1999" s="21" t="n">
        <f aca="false">AVERAGEIFS($N$2:$N$2705,$B$2:$B$2705,B1999)</f>
        <v>13.6418653253493</v>
      </c>
      <c r="P1999" s="21" t="n">
        <f aca="false">N1999-O1999</f>
        <v>-0.635733426529916</v>
      </c>
      <c r="Q1999" s="7" t="n">
        <v>1</v>
      </c>
      <c r="R1999" s="3" t="n">
        <f aca="false">IF(AND(Q1999=1,B1999-_xlfn.MINIFS($B$2:$B$2705,$A$2:$A$2705,A1999)&lt;10),1,0)</f>
        <v>0</v>
      </c>
      <c r="S1999" s="7" t="n">
        <v>0</v>
      </c>
      <c r="T1999" s="3" t="n">
        <f aca="false">_xlfn.MINIFS($B$2:$B$2705,$A$2:$A$2705,A1999)</f>
        <v>1969</v>
      </c>
      <c r="U1999" s="3" t="n">
        <f aca="false">B1999-T1999</f>
        <v>33</v>
      </c>
      <c r="V1999" s="3" t="str">
        <f aca="false">INDEX(Pop_Inputs!$Q$2:$Q$29,MATCH(C1999,Pop_Inputs!$A$2:$A$29,0))</f>
        <v>Midwest</v>
      </c>
      <c r="W1999" s="29" t="n">
        <v>47257000</v>
      </c>
      <c r="X1999" s="3" t="n">
        <f aca="false">IF(W1999="","",LN(W1999))</f>
        <v>17.6711113490793</v>
      </c>
      <c r="Y1999" s="3" t="n">
        <f aca="false">IF(X1999="","",X1999-AVERAGEIFS($X$2:$X$2705,$B$2:$B$2705,B1999))</f>
        <v>-0.292365230212663</v>
      </c>
      <c r="Z1999" s="21" t="n">
        <f aca="false">P1999</f>
        <v>-0.635733426529916</v>
      </c>
      <c r="AA1999" s="3" t="n">
        <f aca="false">R1999</f>
        <v>0</v>
      </c>
      <c r="AB1999" s="21" t="n">
        <f aca="false">P1999</f>
        <v>-0.635733426529916</v>
      </c>
      <c r="AC1999" s="3" t="n">
        <f aca="false">Y1999</f>
        <v>-0.292365230212663</v>
      </c>
      <c r="AD1999" s="3" t="n">
        <f aca="false">R1999</f>
        <v>0</v>
      </c>
    </row>
    <row r="2000" customFormat="false" ht="15" hidden="false" customHeight="true" outlineLevel="0" collapsed="false">
      <c r="A2000" s="7" t="s">
        <v>62</v>
      </c>
      <c r="B2000" s="7" t="n">
        <v>2002</v>
      </c>
      <c r="C2000" s="7" t="s">
        <v>148</v>
      </c>
      <c r="D2000" s="7" t="n">
        <v>92</v>
      </c>
      <c r="E2000" s="7" t="n">
        <v>70</v>
      </c>
      <c r="F2000" s="3" t="n">
        <f aca="false">COUNTIFS($B$2:$B$2705,B2000,$C$2:$C$2705,C2000)</f>
        <v>2</v>
      </c>
      <c r="G2000" s="3" t="n">
        <f aca="false">MIN(INT((MIN(B2000,2020)-1900)/10)+1,12)</f>
        <v>11</v>
      </c>
      <c r="H2000" s="3" t="n">
        <f aca="false">(MIN(B2000,2020)-1900-10*(G2000-1))/10</f>
        <v>0.2</v>
      </c>
      <c r="I2000" s="20" t="n">
        <f aca="false">EXP(LN(INDEX(Pop_Inputs!$B$2:$N$29,MATCH(C2000,Pop_Inputs!$A$2:$A$29,0),G2000))*(1-H2000)+LN(INDEX(Pop_Inputs!$B$2:$N$29,MATCH(C2000,Pop_Inputs!$A$2:$A$29,0),G2000+1))*H2000)</f>
        <v>3714176.3278903</v>
      </c>
      <c r="J2000" s="20" t="n">
        <f aca="false">I2000/F2000</f>
        <v>1857088.16394515</v>
      </c>
      <c r="K2000" s="21" t="n">
        <f aca="false">D2000/(D2000+E2000)</f>
        <v>0.567901234567901</v>
      </c>
      <c r="L2000" s="21" t="n">
        <f aca="false">AVERAGEIFS($K$2:$K$2705,$B$2:$B$2705,B2000)</f>
        <v>0.500034842036654</v>
      </c>
      <c r="M2000" s="21" t="n">
        <f aca="false">K2000-L2000</f>
        <v>0.0678663925312476</v>
      </c>
      <c r="N2000" s="21" t="n">
        <f aca="false">LN(J2000)</f>
        <v>14.4345203157535</v>
      </c>
      <c r="O2000" s="21" t="n">
        <f aca="false">AVERAGEIFS($N$2:$N$2705,$B$2:$B$2705,B2000)</f>
        <v>13.6418653253493</v>
      </c>
      <c r="P2000" s="21" t="n">
        <f aca="false">N2000-O2000</f>
        <v>0.792654990404127</v>
      </c>
      <c r="Q2000" s="7" t="n">
        <v>0</v>
      </c>
      <c r="R2000" s="3" t="n">
        <f aca="false">IF(AND(Q2000=1,B2000-_xlfn.MINIFS($B$2:$B$2705,$A$2:$A$2705,A2000)&lt;10),1,0)</f>
        <v>0</v>
      </c>
      <c r="S2000" s="7" t="n">
        <v>0</v>
      </c>
      <c r="T2000" s="3" t="n">
        <f aca="false">_xlfn.MINIFS($B$2:$B$2705,$A$2:$A$2705,A2000)</f>
        <v>1901</v>
      </c>
      <c r="U2000" s="3" t="n">
        <f aca="false">B2000-T2000</f>
        <v>101</v>
      </c>
      <c r="V2000" s="3" t="str">
        <f aca="false">INDEX(Pop_Inputs!$Q$2:$Q$29,MATCH(C2000,Pop_Inputs!$A$2:$A$29,0))</f>
        <v>West</v>
      </c>
      <c r="W2000" s="29" t="n">
        <v>94850953</v>
      </c>
      <c r="X2000" s="3" t="n">
        <f aca="false">IF(W2000="","",LN(W2000))</f>
        <v>18.3678173017382</v>
      </c>
      <c r="Y2000" s="3" t="n">
        <f aca="false">IF(X2000="","",X2000-AVERAGEIFS($X$2:$X$2705,$B$2:$B$2705,B2000))</f>
        <v>0.404340722446168</v>
      </c>
      <c r="Z2000" s="21" t="n">
        <f aca="false">P2000</f>
        <v>0.792654990404127</v>
      </c>
      <c r="AA2000" s="3" t="n">
        <f aca="false">R2000</f>
        <v>0</v>
      </c>
      <c r="AB2000" s="21" t="n">
        <f aca="false">P2000</f>
        <v>0.792654990404127</v>
      </c>
      <c r="AC2000" s="3" t="n">
        <f aca="false">Y2000</f>
        <v>0.404340722446168</v>
      </c>
      <c r="AD2000" s="3" t="n">
        <f aca="false">R2000</f>
        <v>0</v>
      </c>
    </row>
    <row r="2001" customFormat="false" ht="15" hidden="false" customHeight="true" outlineLevel="0" collapsed="false">
      <c r="A2001" s="7" t="s">
        <v>77</v>
      </c>
      <c r="B2001" s="7" t="n">
        <v>2002</v>
      </c>
      <c r="C2001" s="7" t="s">
        <v>158</v>
      </c>
      <c r="D2001" s="7" t="n">
        <v>56</v>
      </c>
      <c r="E2001" s="7" t="n">
        <v>106</v>
      </c>
      <c r="F2001" s="3" t="n">
        <f aca="false">COUNTIFS($B$2:$B$2705,B2001,$C$2:$C$2705,C2001)</f>
        <v>1</v>
      </c>
      <c r="G2001" s="3" t="n">
        <f aca="false">MIN(INT((MIN(B2001,2020)-1900)/10)+1,12)</f>
        <v>11</v>
      </c>
      <c r="H2001" s="3" t="n">
        <f aca="false">(MIN(B2001,2020)-1900-10*(G2001-1))/10</f>
        <v>0.2</v>
      </c>
      <c r="I2001" s="20" t="n">
        <f aca="false">EXP(LN(INDEX(Pop_Inputs!$B$2:$N$29,MATCH(C2001,Pop_Inputs!$A$2:$A$29,0),G2001))*(1-H2001)+LN(INDEX(Pop_Inputs!$B$2:$N$29,MATCH(C2001,Pop_Inputs!$A$2:$A$29,0),G2001+1))*H2001)</f>
        <v>596545.184392666</v>
      </c>
      <c r="J2001" s="20" t="n">
        <f aca="false">I2001/F2001</f>
        <v>596545.184392666</v>
      </c>
      <c r="K2001" s="21" t="n">
        <f aca="false">D2001/(D2001+E2001)</f>
        <v>0.345679012345679</v>
      </c>
      <c r="L2001" s="21" t="n">
        <f aca="false">AVERAGEIFS($K$2:$K$2705,$B$2:$B$2705,B2001)</f>
        <v>0.500034842036654</v>
      </c>
      <c r="M2001" s="21" t="n">
        <f aca="false">K2001-L2001</f>
        <v>-0.154355829690975</v>
      </c>
      <c r="N2001" s="21" t="n">
        <f aca="false">LN(J2001)</f>
        <v>13.2989102668427</v>
      </c>
      <c r="O2001" s="21" t="n">
        <f aca="false">AVERAGEIFS($N$2:$N$2705,$B$2:$B$2705,B2001)</f>
        <v>13.6418653253493</v>
      </c>
      <c r="P2001" s="21" t="n">
        <f aca="false">N2001-O2001</f>
        <v>-0.342955058506648</v>
      </c>
      <c r="Q2001" s="7" t="n">
        <v>1</v>
      </c>
      <c r="R2001" s="3" t="n">
        <f aca="false">IF(AND(Q2001=1,B2001-_xlfn.MINIFS($B$2:$B$2705,$A$2:$A$2705,A2001)&lt;10),1,0)</f>
        <v>0</v>
      </c>
      <c r="S2001" s="7" t="n">
        <v>0</v>
      </c>
      <c r="T2001" s="3" t="n">
        <f aca="false">_xlfn.MINIFS($B$2:$B$2705,$A$2:$A$2705,A2001)</f>
        <v>1969</v>
      </c>
      <c r="U2001" s="3" t="n">
        <f aca="false">B2001-T2001</f>
        <v>33</v>
      </c>
      <c r="V2001" s="3" t="str">
        <f aca="false">INDEX(Pop_Inputs!$Q$2:$Q$29,MATCH(C2001,Pop_Inputs!$A$2:$A$29,0))</f>
        <v>Midwest</v>
      </c>
      <c r="W2001" s="29" t="n">
        <v>50287833</v>
      </c>
      <c r="X2001" s="3" t="n">
        <f aca="false">IF(W2001="","",LN(W2001))</f>
        <v>17.7332737171422</v>
      </c>
      <c r="Y2001" s="3" t="n">
        <f aca="false">IF(X2001="","",X2001-AVERAGEIFS($X$2:$X$2705,$B$2:$B$2705,B2001))</f>
        <v>-0.230202862149792</v>
      </c>
      <c r="Z2001" s="21" t="n">
        <f aca="false">P2001</f>
        <v>-0.342955058506648</v>
      </c>
      <c r="AA2001" s="3" t="n">
        <f aca="false">R2001</f>
        <v>0</v>
      </c>
      <c r="AB2001" s="21" t="n">
        <f aca="false">P2001</f>
        <v>-0.342955058506648</v>
      </c>
      <c r="AC2001" s="3" t="n">
        <f aca="false">Y2001</f>
        <v>-0.230202862149792</v>
      </c>
      <c r="AD2001" s="3" t="n">
        <f aca="false">R2001</f>
        <v>0</v>
      </c>
    </row>
    <row r="2002" customFormat="false" ht="15" hidden="false" customHeight="true" outlineLevel="0" collapsed="false">
      <c r="A2002" s="7" t="s">
        <v>68</v>
      </c>
      <c r="B2002" s="7" t="n">
        <v>2002</v>
      </c>
      <c r="C2002" s="7" t="s">
        <v>153</v>
      </c>
      <c r="D2002" s="7" t="n">
        <v>94</v>
      </c>
      <c r="E2002" s="7" t="n">
        <v>67</v>
      </c>
      <c r="F2002" s="3" t="n">
        <f aca="false">COUNTIFS($B$2:$B$2705,B2002,$C$2:$C$2705,C2002)</f>
        <v>1</v>
      </c>
      <c r="G2002" s="3" t="n">
        <f aca="false">MIN(INT((MIN(B2002,2020)-1900)/10)+1,12)</f>
        <v>11</v>
      </c>
      <c r="H2002" s="3" t="n">
        <f aca="false">(MIN(B2002,2020)-1900-10*(G2002-1))/10</f>
        <v>0.2</v>
      </c>
      <c r="I2002" s="20" t="n">
        <f aca="false">EXP(LN(INDEX(Pop_Inputs!$B$2:$N$29,MATCH(C2002,Pop_Inputs!$A$2:$A$29,0),G2002))*(1-H2002)+LN(INDEX(Pop_Inputs!$B$2:$N$29,MATCH(C2002,Pop_Inputs!$A$2:$A$29,0),G2002+1))*H2002)</f>
        <v>382609.999665442</v>
      </c>
      <c r="J2002" s="20" t="n">
        <f aca="false">I2002/F2002</f>
        <v>382609.999665442</v>
      </c>
      <c r="K2002" s="21" t="n">
        <f aca="false">D2002/(D2002+E2002)</f>
        <v>0.583850931677019</v>
      </c>
      <c r="L2002" s="21" t="n">
        <f aca="false">AVERAGEIFS($K$2:$K$2705,$B$2:$B$2705,B2002)</f>
        <v>0.500034842036654</v>
      </c>
      <c r="M2002" s="21" t="n">
        <f aca="false">K2002-L2002</f>
        <v>0.083816089640365</v>
      </c>
      <c r="N2002" s="21" t="n">
        <f aca="false">LN(J2002)</f>
        <v>12.85477147173</v>
      </c>
      <c r="O2002" s="21" t="n">
        <f aca="false">AVERAGEIFS($N$2:$N$2705,$B$2:$B$2705,B2002)</f>
        <v>13.6418653253493</v>
      </c>
      <c r="P2002" s="21" t="n">
        <f aca="false">N2002-O2002</f>
        <v>-0.78709385361935</v>
      </c>
      <c r="Q2002" s="7" t="n">
        <v>0</v>
      </c>
      <c r="R2002" s="3" t="n">
        <f aca="false">IF(AND(Q2002=1,B2002-_xlfn.MINIFS($B$2:$B$2705,$A$2:$A$2705,A2002)&lt;10),1,0)</f>
        <v>0</v>
      </c>
      <c r="S2002" s="7" t="n">
        <v>0</v>
      </c>
      <c r="T2002" s="3" t="n">
        <f aca="false">_xlfn.MINIFS($B$2:$B$2705,$A$2:$A$2705,A2002)</f>
        <v>1901</v>
      </c>
      <c r="U2002" s="3" t="n">
        <f aca="false">B2002-T2002</f>
        <v>101</v>
      </c>
      <c r="V2002" s="3" t="str">
        <f aca="false">INDEX(Pop_Inputs!$Q$2:$Q$29,MATCH(C2002,Pop_Inputs!$A$2:$A$29,0))</f>
        <v>Midwest</v>
      </c>
      <c r="W2002" s="29" t="n">
        <v>40425000</v>
      </c>
      <c r="X2002" s="3" t="n">
        <f aca="false">IF(W2002="","",LN(W2002))</f>
        <v>17.5149589634274</v>
      </c>
      <c r="Y2002" s="3" t="n">
        <f aca="false">IF(X2002="","",X2002-AVERAGEIFS($X$2:$X$2705,$B$2:$B$2705,B2002))</f>
        <v>-0.448517615864539</v>
      </c>
      <c r="Z2002" s="21" t="n">
        <f aca="false">P2002</f>
        <v>-0.78709385361935</v>
      </c>
      <c r="AA2002" s="3" t="n">
        <f aca="false">R2002</f>
        <v>0</v>
      </c>
      <c r="AB2002" s="21" t="n">
        <f aca="false">P2002</f>
        <v>-0.78709385361935</v>
      </c>
      <c r="AC2002" s="3" t="n">
        <f aca="false">Y2002</f>
        <v>-0.448517615864539</v>
      </c>
      <c r="AD2002" s="3" t="n">
        <f aca="false">R2002</f>
        <v>0</v>
      </c>
    </row>
    <row r="2003" customFormat="false" ht="15" hidden="false" customHeight="true" outlineLevel="0" collapsed="false">
      <c r="A2003" s="7" t="s">
        <v>75</v>
      </c>
      <c r="B2003" s="7" t="n">
        <v>2002</v>
      </c>
      <c r="C2003" s="7" t="s">
        <v>154</v>
      </c>
      <c r="D2003" s="7" t="n">
        <v>75</v>
      </c>
      <c r="E2003" s="7" t="n">
        <v>86</v>
      </c>
      <c r="F2003" s="3" t="n">
        <f aca="false">COUNTIFS($B$2:$B$2705,B2003,$C$2:$C$2705,C2003)</f>
        <v>2</v>
      </c>
      <c r="G2003" s="3" t="n">
        <f aca="false">MIN(INT((MIN(B2003,2020)-1900)/10)+1,12)</f>
        <v>11</v>
      </c>
      <c r="H2003" s="3" t="n">
        <f aca="false">(MIN(B2003,2020)-1900-10*(G2003-1))/10</f>
        <v>0.2</v>
      </c>
      <c r="I2003" s="20" t="n">
        <f aca="false">EXP(LN(INDEX(Pop_Inputs!$B$2:$N$29,MATCH(C2003,Pop_Inputs!$A$2:$A$29,0),G2003))*(1-H2003)+LN(INDEX(Pop_Inputs!$B$2:$N$29,MATCH(C2003,Pop_Inputs!$A$2:$A$29,0),G2003+1))*H2003)</f>
        <v>8041374.30876141</v>
      </c>
      <c r="J2003" s="20" t="n">
        <f aca="false">I2003/F2003</f>
        <v>4020687.15438071</v>
      </c>
      <c r="K2003" s="21" t="n">
        <f aca="false">D2003/(D2003+E2003)</f>
        <v>0.46583850931677</v>
      </c>
      <c r="L2003" s="21" t="n">
        <f aca="false">AVERAGEIFS($K$2:$K$2705,$B$2:$B$2705,B2003)</f>
        <v>0.500034842036654</v>
      </c>
      <c r="M2003" s="21" t="n">
        <f aca="false">K2003-L2003</f>
        <v>-0.0341963327198834</v>
      </c>
      <c r="N2003" s="21" t="n">
        <f aca="false">LN(J2003)</f>
        <v>15.2069633799132</v>
      </c>
      <c r="O2003" s="21" t="n">
        <f aca="false">AVERAGEIFS($N$2:$N$2705,$B$2:$B$2705,B2003)</f>
        <v>13.6418653253493</v>
      </c>
      <c r="P2003" s="21" t="n">
        <f aca="false">N2003-O2003</f>
        <v>1.56509805456389</v>
      </c>
      <c r="Q2003" s="7" t="n">
        <v>1</v>
      </c>
      <c r="R2003" s="3" t="n">
        <f aca="false">IF(AND(Q2003=1,B2003-_xlfn.MINIFS($B$2:$B$2705,$A$2:$A$2705,A2003)&lt;10),1,0)</f>
        <v>0</v>
      </c>
      <c r="S2003" s="7" t="n">
        <v>0</v>
      </c>
      <c r="T2003" s="3" t="n">
        <f aca="false">_xlfn.MINIFS($B$2:$B$2705,$A$2:$A$2705,A2003)</f>
        <v>1962</v>
      </c>
      <c r="U2003" s="3" t="n">
        <f aca="false">B2003-T2003</f>
        <v>40</v>
      </c>
      <c r="V2003" s="3" t="str">
        <f aca="false">INDEX(Pop_Inputs!$Q$2:$Q$29,MATCH(C2003,Pop_Inputs!$A$2:$A$29,0))</f>
        <v>Northeast</v>
      </c>
      <c r="W2003" s="29" t="n">
        <v>94633593</v>
      </c>
      <c r="X2003" s="3" t="n">
        <f aca="false">IF(W2003="","",LN(W2003))</f>
        <v>18.3655230766952</v>
      </c>
      <c r="Y2003" s="3" t="n">
        <f aca="false">IF(X2003="","",X2003-AVERAGEIFS($X$2:$X$2705,$B$2:$B$2705,B2003))</f>
        <v>0.402046497403259</v>
      </c>
      <c r="Z2003" s="21" t="n">
        <f aca="false">P2003</f>
        <v>1.56509805456389</v>
      </c>
      <c r="AA2003" s="3" t="n">
        <f aca="false">R2003</f>
        <v>0</v>
      </c>
      <c r="AB2003" s="21" t="n">
        <f aca="false">P2003</f>
        <v>1.56509805456389</v>
      </c>
      <c r="AC2003" s="3" t="n">
        <f aca="false">Y2003</f>
        <v>0.402046497403259</v>
      </c>
      <c r="AD2003" s="3" t="n">
        <f aca="false">R2003</f>
        <v>0</v>
      </c>
    </row>
    <row r="2004" customFormat="false" ht="15" hidden="false" customHeight="true" outlineLevel="0" collapsed="false">
      <c r="A2004" s="7" t="s">
        <v>70</v>
      </c>
      <c r="B2004" s="7" t="n">
        <v>2002</v>
      </c>
      <c r="C2004" s="7" t="s">
        <v>154</v>
      </c>
      <c r="D2004" s="7" t="n">
        <v>103</v>
      </c>
      <c r="E2004" s="7" t="n">
        <v>58</v>
      </c>
      <c r="F2004" s="3" t="n">
        <f aca="false">COUNTIFS($B$2:$B$2705,B2004,$C$2:$C$2705,C2004)</f>
        <v>2</v>
      </c>
      <c r="G2004" s="3" t="n">
        <f aca="false">MIN(INT((MIN(B2004,2020)-1900)/10)+1,12)</f>
        <v>11</v>
      </c>
      <c r="H2004" s="3" t="n">
        <f aca="false">(MIN(B2004,2020)-1900-10*(G2004-1))/10</f>
        <v>0.2</v>
      </c>
      <c r="I2004" s="20" t="n">
        <f aca="false">EXP(LN(INDEX(Pop_Inputs!$B$2:$N$29,MATCH(C2004,Pop_Inputs!$A$2:$A$29,0),G2004))*(1-H2004)+LN(INDEX(Pop_Inputs!$B$2:$N$29,MATCH(C2004,Pop_Inputs!$A$2:$A$29,0),G2004+1))*H2004)</f>
        <v>8041374.30876141</v>
      </c>
      <c r="J2004" s="20" t="n">
        <f aca="false">I2004/F2004</f>
        <v>4020687.15438071</v>
      </c>
      <c r="K2004" s="21" t="n">
        <f aca="false">D2004/(D2004+E2004)</f>
        <v>0.639751552795031</v>
      </c>
      <c r="L2004" s="21" t="n">
        <f aca="false">AVERAGEIFS($K$2:$K$2705,$B$2:$B$2705,B2004)</f>
        <v>0.500034842036654</v>
      </c>
      <c r="M2004" s="21" t="n">
        <f aca="false">K2004-L2004</f>
        <v>0.139716710758377</v>
      </c>
      <c r="N2004" s="21" t="n">
        <f aca="false">LN(J2004)</f>
        <v>15.2069633799132</v>
      </c>
      <c r="O2004" s="21" t="n">
        <f aca="false">AVERAGEIFS($N$2:$N$2705,$B$2:$B$2705,B2004)</f>
        <v>13.6418653253493</v>
      </c>
      <c r="P2004" s="21" t="n">
        <f aca="false">N2004-O2004</f>
        <v>1.56509805456389</v>
      </c>
      <c r="Q2004" s="7" t="n">
        <v>0</v>
      </c>
      <c r="R2004" s="3" t="n">
        <f aca="false">IF(AND(Q2004=1,B2004-_xlfn.MINIFS($B$2:$B$2705,$A$2:$A$2705,A2004)&lt;10),1,0)</f>
        <v>0</v>
      </c>
      <c r="S2004" s="7" t="n">
        <v>1</v>
      </c>
      <c r="T2004" s="3" t="n">
        <f aca="false">_xlfn.MINIFS($B$2:$B$2705,$A$2:$A$2705,A2004)</f>
        <v>1903</v>
      </c>
      <c r="U2004" s="3" t="n">
        <f aca="false">B2004-T2004</f>
        <v>99</v>
      </c>
      <c r="V2004" s="3" t="str">
        <f aca="false">INDEX(Pop_Inputs!$Q$2:$Q$29,MATCH(C2004,Pop_Inputs!$A$2:$A$29,0))</f>
        <v>Northeast</v>
      </c>
      <c r="W2004" s="29" t="n">
        <v>125928583</v>
      </c>
      <c r="X2004" s="3" t="n">
        <f aca="false">IF(W2004="","",LN(W2004))</f>
        <v>18.6512255026357</v>
      </c>
      <c r="Y2004" s="3" t="n">
        <f aca="false">IF(X2004="","",X2004-AVERAGEIFS($X$2:$X$2705,$B$2:$B$2705,B2004))</f>
        <v>0.687748923343722</v>
      </c>
      <c r="Z2004" s="21" t="n">
        <f aca="false">P2004</f>
        <v>1.56509805456389</v>
      </c>
      <c r="AA2004" s="3" t="n">
        <f aca="false">R2004</f>
        <v>0</v>
      </c>
      <c r="AB2004" s="21" t="n">
        <f aca="false">P2004</f>
        <v>1.56509805456389</v>
      </c>
      <c r="AC2004" s="3" t="n">
        <f aca="false">Y2004</f>
        <v>0.687748923343722</v>
      </c>
      <c r="AD2004" s="3" t="n">
        <f aca="false">R2004</f>
        <v>0</v>
      </c>
    </row>
    <row r="2005" customFormat="false" ht="15" hidden="false" customHeight="true" outlineLevel="0" collapsed="false">
      <c r="A2005" s="7" t="s">
        <v>69</v>
      </c>
      <c r="B2005" s="7" t="n">
        <v>2002</v>
      </c>
      <c r="C2005" s="7" t="s">
        <v>253</v>
      </c>
      <c r="D2005" s="7" t="n">
        <v>103</v>
      </c>
      <c r="E2005" s="7" t="n">
        <v>59</v>
      </c>
      <c r="F2005" s="3" t="n">
        <f aca="false">COUNTIFS($B$2:$B$2705,B2005,$C$2:$C$2705,C2005)</f>
        <v>1</v>
      </c>
      <c r="G2005" s="3" t="n">
        <f aca="false">MIN(INT((MIN(B2005,2020)-1900)/10)+1,12)</f>
        <v>11</v>
      </c>
      <c r="H2005" s="3" t="n">
        <f aca="false">(MIN(B2005,2020)-1900-10*(G2005-1))/10</f>
        <v>0.2</v>
      </c>
      <c r="I2005" s="20" t="n">
        <f aca="false">EXP(LN(INDEX(Pop_Inputs!$B$2:$N$29,MATCH(C2005,Pop_Inputs!$A$2:$A$29,0),G2005))*(1-H2005)+LN(INDEX(Pop_Inputs!$B$2:$N$29,MATCH(C2005,Pop_Inputs!$A$2:$A$29,0),G2005+1))*H2005)</f>
        <v>397716.427312219</v>
      </c>
      <c r="J2005" s="20" t="n">
        <f aca="false">I2005/F2005</f>
        <v>397716.427312219</v>
      </c>
      <c r="K2005" s="21" t="n">
        <f aca="false">D2005/(D2005+E2005)</f>
        <v>0.635802469135803</v>
      </c>
      <c r="L2005" s="21" t="n">
        <f aca="false">AVERAGEIFS($K$2:$K$2705,$B$2:$B$2705,B2005)</f>
        <v>0.500034842036654</v>
      </c>
      <c r="M2005" s="21" t="n">
        <f aca="false">K2005-L2005</f>
        <v>0.135767627099149</v>
      </c>
      <c r="N2005" s="21" t="n">
        <f aca="false">LN(J2005)</f>
        <v>12.8934945361316</v>
      </c>
      <c r="O2005" s="21" t="n">
        <f aca="false">AVERAGEIFS($N$2:$N$2705,$B$2:$B$2705,B2005)</f>
        <v>13.6418653253493</v>
      </c>
      <c r="P2005" s="21" t="n">
        <f aca="false">N2005-O2005</f>
        <v>-0.74837078921777</v>
      </c>
      <c r="Q2005" s="7" t="n">
        <v>0</v>
      </c>
      <c r="R2005" s="3" t="n">
        <f aca="false">IF(AND(Q2005=1,B2005-_xlfn.MINIFS($B$2:$B$2705,$A$2:$A$2705,A2005)&lt;10),1,0)</f>
        <v>0</v>
      </c>
      <c r="S2005" s="7" t="n">
        <v>0</v>
      </c>
      <c r="T2005" s="3" t="n">
        <f aca="false">_xlfn.MINIFS($B$2:$B$2705,$A$2:$A$2705,A2005)</f>
        <v>1901</v>
      </c>
      <c r="U2005" s="3" t="n">
        <f aca="false">B2005-T2005</f>
        <v>101</v>
      </c>
      <c r="V2005" s="3" t="str">
        <f aca="false">INDEX(Pop_Inputs!$Q$2:$Q$29,MATCH(C2005,Pop_Inputs!$A$2:$A$29,0))</f>
        <v>West</v>
      </c>
      <c r="W2005" s="29" t="n">
        <v>40004167</v>
      </c>
      <c r="X2005" s="3" t="n">
        <f aca="false">IF(W2005="","",LN(W2005))</f>
        <v>17.5044941816524</v>
      </c>
      <c r="Y2005" s="3" t="n">
        <f aca="false">IF(X2005="","",X2005-AVERAGEIFS($X$2:$X$2705,$B$2:$B$2705,B2005))</f>
        <v>-0.458982397639613</v>
      </c>
      <c r="Z2005" s="21" t="n">
        <f aca="false">P2005</f>
        <v>-0.74837078921777</v>
      </c>
      <c r="AA2005" s="3" t="n">
        <f aca="false">R2005</f>
        <v>0</v>
      </c>
      <c r="AB2005" s="21" t="n">
        <f aca="false">P2005</f>
        <v>-0.74837078921777</v>
      </c>
      <c r="AC2005" s="3" t="n">
        <f aca="false">Y2005</f>
        <v>-0.458982397639613</v>
      </c>
      <c r="AD2005" s="3" t="n">
        <f aca="false">R2005</f>
        <v>0</v>
      </c>
    </row>
    <row r="2006" customFormat="false" ht="15" hidden="false" customHeight="true" outlineLevel="0" collapsed="false">
      <c r="A2006" s="7" t="s">
        <v>60</v>
      </c>
      <c r="B2006" s="7" t="n">
        <v>2002</v>
      </c>
      <c r="C2006" s="7" t="s">
        <v>146</v>
      </c>
      <c r="D2006" s="7" t="n">
        <v>80</v>
      </c>
      <c r="E2006" s="7" t="n">
        <v>81</v>
      </c>
      <c r="F2006" s="3" t="n">
        <f aca="false">COUNTIFS($B$2:$B$2705,B2006,$C$2:$C$2705,C2006)</f>
        <v>1</v>
      </c>
      <c r="G2006" s="3" t="n">
        <f aca="false">MIN(INT((MIN(B2006,2020)-1900)/10)+1,12)</f>
        <v>11</v>
      </c>
      <c r="H2006" s="3" t="n">
        <f aca="false">(MIN(B2006,2020)-1900-10*(G2006-1))/10</f>
        <v>0.2</v>
      </c>
      <c r="I2006" s="20" t="n">
        <f aca="false">EXP(LN(INDEX(Pop_Inputs!$B$2:$N$29,MATCH(C2006,Pop_Inputs!$A$2:$A$29,0),G2006))*(1-H2006)+LN(INDEX(Pop_Inputs!$B$2:$N$29,MATCH(C2006,Pop_Inputs!$A$2:$A$29,0),G2006+1))*H2006)</f>
        <v>1519237.44311257</v>
      </c>
      <c r="J2006" s="20" t="n">
        <f aca="false">I2006/F2006</f>
        <v>1519237.44311257</v>
      </c>
      <c r="K2006" s="21" t="n">
        <f aca="false">D2006/(D2006+E2006)</f>
        <v>0.496894409937888</v>
      </c>
      <c r="L2006" s="21" t="n">
        <f aca="false">AVERAGEIFS($K$2:$K$2705,$B$2:$B$2705,B2006)</f>
        <v>0.500034842036654</v>
      </c>
      <c r="M2006" s="21" t="n">
        <f aca="false">K2006-L2006</f>
        <v>-0.00314043209876541</v>
      </c>
      <c r="N2006" s="21" t="n">
        <f aca="false">LN(J2006)</f>
        <v>14.2337190847751</v>
      </c>
      <c r="O2006" s="21" t="n">
        <f aca="false">AVERAGEIFS($N$2:$N$2705,$B$2:$B$2705,B2006)</f>
        <v>13.6418653253493</v>
      </c>
      <c r="P2006" s="21" t="n">
        <f aca="false">N2006-O2006</f>
        <v>0.591853759425749</v>
      </c>
      <c r="Q2006" s="7" t="n">
        <v>0</v>
      </c>
      <c r="R2006" s="3" t="n">
        <f aca="false">IF(AND(Q2006=1,B2006-_xlfn.MINIFS($B$2:$B$2705,$A$2:$A$2705,A2006)&lt;10),1,0)</f>
        <v>0</v>
      </c>
      <c r="S2006" s="7" t="n">
        <v>0</v>
      </c>
      <c r="T2006" s="3" t="n">
        <f aca="false">_xlfn.MINIFS($B$2:$B$2705,$A$2:$A$2705,A2006)</f>
        <v>1901</v>
      </c>
      <c r="U2006" s="3" t="n">
        <f aca="false">B2006-T2006</f>
        <v>101</v>
      </c>
      <c r="V2006" s="3" t="str">
        <f aca="false">INDEX(Pop_Inputs!$Q$2:$Q$29,MATCH(C2006,Pop_Inputs!$A$2:$A$29,0))</f>
        <v>Northeast</v>
      </c>
      <c r="W2006" s="29" t="n">
        <v>57954999</v>
      </c>
      <c r="X2006" s="3" t="n">
        <f aca="false">IF(W2006="","",LN(W2006))</f>
        <v>17.8751773880502</v>
      </c>
      <c r="Y2006" s="3" t="n">
        <f aca="false">IF(X2006="","",X2006-AVERAGEIFS($X$2:$X$2705,$B$2:$B$2705,B2006))</f>
        <v>-0.0882991912417701</v>
      </c>
      <c r="Z2006" s="21" t="n">
        <f aca="false">P2006</f>
        <v>0.591853759425749</v>
      </c>
      <c r="AA2006" s="3" t="n">
        <f aca="false">R2006</f>
        <v>0</v>
      </c>
      <c r="AB2006" s="21" t="n">
        <f aca="false">P2006</f>
        <v>0.591853759425749</v>
      </c>
      <c r="AC2006" s="3" t="n">
        <f aca="false">Y2006</f>
        <v>-0.0882991912417701</v>
      </c>
      <c r="AD2006" s="3" t="n">
        <f aca="false">R2006</f>
        <v>0</v>
      </c>
    </row>
    <row r="2007" customFormat="false" ht="15" hidden="false" customHeight="true" outlineLevel="0" collapsed="false">
      <c r="A2007" s="7" t="s">
        <v>58</v>
      </c>
      <c r="B2007" s="7" t="n">
        <v>2002</v>
      </c>
      <c r="C2007" s="7" t="s">
        <v>144</v>
      </c>
      <c r="D2007" s="7" t="n">
        <v>72</v>
      </c>
      <c r="E2007" s="7" t="n">
        <v>89</v>
      </c>
      <c r="F2007" s="3" t="n">
        <f aca="false">COUNTIFS($B$2:$B$2705,B2007,$C$2:$C$2705,C2007)</f>
        <v>1</v>
      </c>
      <c r="G2007" s="3" t="n">
        <f aca="false">MIN(INT((MIN(B2007,2020)-1900)/10)+1,12)</f>
        <v>11</v>
      </c>
      <c r="H2007" s="3" t="n">
        <f aca="false">(MIN(B2007,2020)-1900-10*(G2007-1))/10</f>
        <v>0.2</v>
      </c>
      <c r="I2007" s="20" t="n">
        <f aca="false">EXP(LN(INDEX(Pop_Inputs!$B$2:$N$29,MATCH(C2007,Pop_Inputs!$A$2:$A$29,0),G2007))*(1-H2007)+LN(INDEX(Pop_Inputs!$B$2:$N$29,MATCH(C2007,Pop_Inputs!$A$2:$A$29,0),G2007+1))*H2007)</f>
        <v>328581.079499451</v>
      </c>
      <c r="J2007" s="20" t="n">
        <f aca="false">I2007/F2007</f>
        <v>328581.079499451</v>
      </c>
      <c r="K2007" s="21" t="n">
        <f aca="false">D2007/(D2007+E2007)</f>
        <v>0.447204968944099</v>
      </c>
      <c r="L2007" s="21" t="n">
        <f aca="false">AVERAGEIFS($K$2:$K$2705,$B$2:$B$2705,B2007)</f>
        <v>0.500034842036654</v>
      </c>
      <c r="M2007" s="21" t="n">
        <f aca="false">K2007-L2007</f>
        <v>-0.0528298730925542</v>
      </c>
      <c r="N2007" s="21" t="n">
        <f aca="false">LN(J2007)</f>
        <v>12.7025389038023</v>
      </c>
      <c r="O2007" s="21" t="n">
        <f aca="false">AVERAGEIFS($N$2:$N$2705,$B$2:$B$2705,B2007)</f>
        <v>13.6418653253493</v>
      </c>
      <c r="P2007" s="21" t="n">
        <f aca="false">N2007-O2007</f>
        <v>-0.939326421546987</v>
      </c>
      <c r="Q2007" s="7" t="n">
        <v>0</v>
      </c>
      <c r="R2007" s="3" t="n">
        <f aca="false">IF(AND(Q2007=1,B2007-_xlfn.MINIFS($B$2:$B$2705,$A$2:$A$2705,A2007)&lt;10),1,0)</f>
        <v>0</v>
      </c>
      <c r="S2007" s="7" t="n">
        <v>0</v>
      </c>
      <c r="T2007" s="3" t="n">
        <f aca="false">_xlfn.MINIFS($B$2:$B$2705,$A$2:$A$2705,A2007)</f>
        <v>1901</v>
      </c>
      <c r="U2007" s="3" t="n">
        <f aca="false">B2007-T2007</f>
        <v>101</v>
      </c>
      <c r="V2007" s="3" t="str">
        <f aca="false">INDEX(Pop_Inputs!$Q$2:$Q$29,MATCH(C2007,Pop_Inputs!$A$2:$A$29,0))</f>
        <v>Northeast</v>
      </c>
      <c r="W2007" s="29" t="n">
        <v>42323599</v>
      </c>
      <c r="X2007" s="3" t="n">
        <f aca="false">IF(W2007="","",LN(W2007))</f>
        <v>17.5608553844315</v>
      </c>
      <c r="Y2007" s="3" t="n">
        <f aca="false">IF(X2007="","",X2007-AVERAGEIFS($X$2:$X$2705,$B$2:$B$2705,B2007))</f>
        <v>-0.402621194860497</v>
      </c>
      <c r="Z2007" s="21" t="n">
        <f aca="false">P2007</f>
        <v>-0.939326421546987</v>
      </c>
      <c r="AA2007" s="3" t="n">
        <f aca="false">R2007</f>
        <v>0</v>
      </c>
      <c r="AB2007" s="21" t="n">
        <f aca="false">P2007</f>
        <v>-0.939326421546987</v>
      </c>
      <c r="AC2007" s="3" t="n">
        <f aca="false">Y2007</f>
        <v>-0.402621194860497</v>
      </c>
      <c r="AD2007" s="3" t="n">
        <f aca="false">R2007</f>
        <v>0</v>
      </c>
    </row>
    <row r="2008" customFormat="false" ht="15" hidden="false" customHeight="true" outlineLevel="0" collapsed="false">
      <c r="A2008" s="7" t="s">
        <v>78</v>
      </c>
      <c r="B2008" s="7" t="n">
        <v>2002</v>
      </c>
      <c r="C2008" s="7" t="s">
        <v>159</v>
      </c>
      <c r="D2008" s="7" t="n">
        <v>66</v>
      </c>
      <c r="E2008" s="7" t="n">
        <v>96</v>
      </c>
      <c r="F2008" s="3" t="n">
        <f aca="false">COUNTIFS($B$2:$B$2705,B2008,$C$2:$C$2705,C2008)</f>
        <v>1</v>
      </c>
      <c r="G2008" s="3" t="n">
        <f aca="false">MIN(INT((MIN(B2008,2020)-1900)/10)+1,12)</f>
        <v>11</v>
      </c>
      <c r="H2008" s="3" t="n">
        <f aca="false">(MIN(B2008,2020)-1900-10*(G2008-1))/10</f>
        <v>0.2</v>
      </c>
      <c r="I2008" s="20" t="n">
        <f aca="false">EXP(LN(INDEX(Pop_Inputs!$B$2:$N$29,MATCH(C2008,Pop_Inputs!$A$2:$A$29,0),G2008))*(1-H2008)+LN(INDEX(Pop_Inputs!$B$2:$N$29,MATCH(C2008,Pop_Inputs!$A$2:$A$29,0),G2008+1))*H2008)</f>
        <v>1239757.11651243</v>
      </c>
      <c r="J2008" s="20" t="n">
        <f aca="false">I2008/F2008</f>
        <v>1239757.11651243</v>
      </c>
      <c r="K2008" s="21" t="n">
        <f aca="false">D2008/(D2008+E2008)</f>
        <v>0.407407407407407</v>
      </c>
      <c r="L2008" s="21" t="n">
        <f aca="false">AVERAGEIFS($K$2:$K$2705,$B$2:$B$2705,B2008)</f>
        <v>0.500034842036654</v>
      </c>
      <c r="M2008" s="21" t="n">
        <f aca="false">K2008-L2008</f>
        <v>-0.0926274346292462</v>
      </c>
      <c r="N2008" s="21" t="n">
        <f aca="false">LN(J2008)</f>
        <v>14.0304260446151</v>
      </c>
      <c r="O2008" s="21" t="n">
        <f aca="false">AVERAGEIFS($N$2:$N$2705,$B$2:$B$2705,B2008)</f>
        <v>13.6418653253493</v>
      </c>
      <c r="P2008" s="21" t="n">
        <f aca="false">N2008-O2008</f>
        <v>0.38856071926582</v>
      </c>
      <c r="Q2008" s="7" t="n">
        <v>1</v>
      </c>
      <c r="R2008" s="3" t="n">
        <f aca="false">IF(AND(Q2008=1,B2008-_xlfn.MINIFS($B$2:$B$2705,$A$2:$A$2705,A2008)&lt;10),1,0)</f>
        <v>0</v>
      </c>
      <c r="S2008" s="7" t="n">
        <v>0</v>
      </c>
      <c r="T2008" s="3" t="n">
        <f aca="false">_xlfn.MINIFS($B$2:$B$2705,$A$2:$A$2705,A2008)</f>
        <v>1969</v>
      </c>
      <c r="U2008" s="3" t="n">
        <f aca="false">B2008-T2008</f>
        <v>33</v>
      </c>
      <c r="V2008" s="3" t="str">
        <f aca="false">INDEX(Pop_Inputs!$Q$2:$Q$29,MATCH(C2008,Pop_Inputs!$A$2:$A$29,0))</f>
        <v>West</v>
      </c>
      <c r="W2008" s="29" t="n">
        <v>41425000</v>
      </c>
      <c r="X2008" s="3" t="n">
        <f aca="false">IF(W2008="","",LN(W2008))</f>
        <v>17.5393951212769</v>
      </c>
      <c r="Y2008" s="3" t="n">
        <f aca="false">IF(X2008="","",X2008-AVERAGEIFS($X$2:$X$2705,$B$2:$B$2705,B2008))</f>
        <v>-0.424081458015085</v>
      </c>
      <c r="Z2008" s="21" t="n">
        <f aca="false">P2008</f>
        <v>0.38856071926582</v>
      </c>
      <c r="AA2008" s="3" t="n">
        <f aca="false">R2008</f>
        <v>0</v>
      </c>
      <c r="AB2008" s="21" t="n">
        <f aca="false">P2008</f>
        <v>0.38856071926582</v>
      </c>
      <c r="AC2008" s="3" t="n">
        <f aca="false">Y2008</f>
        <v>-0.424081458015085</v>
      </c>
      <c r="AD2008" s="3" t="n">
        <f aca="false">R2008</f>
        <v>0</v>
      </c>
    </row>
    <row r="2009" customFormat="false" ht="15" hidden="false" customHeight="true" outlineLevel="0" collapsed="false">
      <c r="A2009" s="7" t="s">
        <v>80</v>
      </c>
      <c r="B2009" s="7" t="n">
        <v>2002</v>
      </c>
      <c r="C2009" s="7" t="s">
        <v>161</v>
      </c>
      <c r="D2009" s="7" t="n">
        <v>93</v>
      </c>
      <c r="E2009" s="7" t="n">
        <v>69</v>
      </c>
      <c r="F2009" s="3" t="n">
        <f aca="false">COUNTIFS($B$2:$B$2705,B2009,$C$2:$C$2705,C2009)</f>
        <v>1</v>
      </c>
      <c r="G2009" s="3" t="n">
        <f aca="false">MIN(INT((MIN(B2009,2020)-1900)/10)+1,12)</f>
        <v>11</v>
      </c>
      <c r="H2009" s="3" t="n">
        <f aca="false">(MIN(B2009,2020)-1900-10*(G2009-1))/10</f>
        <v>0.2</v>
      </c>
      <c r="I2009" s="20" t="n">
        <f aca="false">EXP(LN(INDEX(Pop_Inputs!$B$2:$N$29,MATCH(C2009,Pop_Inputs!$A$2:$A$29,0),G2009))*(1-H2009)+LN(INDEX(Pop_Inputs!$B$2:$N$29,MATCH(C2009,Pop_Inputs!$A$2:$A$29,0),G2009+1))*H2009)</f>
        <v>572153.280680438</v>
      </c>
      <c r="J2009" s="20" t="n">
        <f aca="false">I2009/F2009</f>
        <v>572153.280680438</v>
      </c>
      <c r="K2009" s="21" t="n">
        <f aca="false">D2009/(D2009+E2009)</f>
        <v>0.574074074074074</v>
      </c>
      <c r="L2009" s="21" t="n">
        <f aca="false">AVERAGEIFS($K$2:$K$2705,$B$2:$B$2705,B2009)</f>
        <v>0.500034842036654</v>
      </c>
      <c r="M2009" s="21" t="n">
        <f aca="false">K2009-L2009</f>
        <v>0.0740392320374205</v>
      </c>
      <c r="N2009" s="21" t="n">
        <f aca="false">LN(J2009)</f>
        <v>13.2571622076811</v>
      </c>
      <c r="O2009" s="21" t="n">
        <f aca="false">AVERAGEIFS($N$2:$N$2705,$B$2:$B$2705,B2009)</f>
        <v>13.6418653253493</v>
      </c>
      <c r="P2009" s="21" t="n">
        <f aca="false">N2009-O2009</f>
        <v>-0.38470311766825</v>
      </c>
      <c r="Q2009" s="7" t="n">
        <v>1</v>
      </c>
      <c r="R2009" s="3" t="n">
        <f aca="false">IF(AND(Q2009=1,B2009-_xlfn.MINIFS($B$2:$B$2705,$A$2:$A$2705,A2009)&lt;10),1,0)</f>
        <v>0</v>
      </c>
      <c r="S2009" s="7" t="n">
        <v>0</v>
      </c>
      <c r="T2009" s="3" t="n">
        <f aca="false">_xlfn.MINIFS($B$2:$B$2705,$A$2:$A$2705,A2009)</f>
        <v>1977</v>
      </c>
      <c r="U2009" s="3" t="n">
        <f aca="false">B2009-T2009</f>
        <v>25</v>
      </c>
      <c r="V2009" s="3" t="str">
        <f aca="false">INDEX(Pop_Inputs!$Q$2:$Q$29,MATCH(C2009,Pop_Inputs!$A$2:$A$29,0))</f>
        <v>West</v>
      </c>
      <c r="W2009" s="29" t="n">
        <v>80282668</v>
      </c>
      <c r="X2009" s="3" t="n">
        <f aca="false">IF(W2009="","",LN(W2009))</f>
        <v>18.2010643150223</v>
      </c>
      <c r="Y2009" s="3" t="n">
        <f aca="false">IF(X2009="","",X2009-AVERAGEIFS($X$2:$X$2705,$B$2:$B$2705,B2009))</f>
        <v>0.237587735730312</v>
      </c>
      <c r="Z2009" s="21" t="n">
        <f aca="false">P2009</f>
        <v>-0.38470311766825</v>
      </c>
      <c r="AA2009" s="3" t="n">
        <f aca="false">R2009</f>
        <v>0</v>
      </c>
      <c r="AB2009" s="21" t="n">
        <f aca="false">P2009</f>
        <v>-0.38470311766825</v>
      </c>
      <c r="AC2009" s="3" t="n">
        <f aca="false">Y2009</f>
        <v>0.237587735730312</v>
      </c>
      <c r="AD2009" s="3" t="n">
        <f aca="false">R2009</f>
        <v>0</v>
      </c>
    </row>
    <row r="2010" customFormat="false" ht="15" hidden="false" customHeight="true" outlineLevel="0" collapsed="false">
      <c r="A2010" s="7" t="s">
        <v>61</v>
      </c>
      <c r="B2010" s="7" t="n">
        <v>2002</v>
      </c>
      <c r="C2010" s="7" t="s">
        <v>147</v>
      </c>
      <c r="D2010" s="7" t="n">
        <v>95</v>
      </c>
      <c r="E2010" s="7" t="n">
        <v>66</v>
      </c>
      <c r="F2010" s="3" t="n">
        <f aca="false">COUNTIFS($B$2:$B$2705,B2010,$C$2:$C$2705,C2010)</f>
        <v>1</v>
      </c>
      <c r="G2010" s="3" t="n">
        <f aca="false">MIN(INT((MIN(B2010,2020)-1900)/10)+1,12)</f>
        <v>11</v>
      </c>
      <c r="H2010" s="3" t="n">
        <f aca="false">(MIN(B2010,2020)-1900-10*(G2010-1))/10</f>
        <v>0.2</v>
      </c>
      <c r="I2010" s="20" t="n">
        <f aca="false">EXP(LN(INDEX(Pop_Inputs!$B$2:$N$29,MATCH(C2010,Pop_Inputs!$A$2:$A$29,0),G2010))*(1-H2010)+LN(INDEX(Pop_Inputs!$B$2:$N$29,MATCH(C2010,Pop_Inputs!$A$2:$A$29,0),G2010+1))*H2010)</f>
        <v>782351.526275873</v>
      </c>
      <c r="J2010" s="20" t="n">
        <f aca="false">I2010/F2010</f>
        <v>782351.526275873</v>
      </c>
      <c r="K2010" s="21" t="n">
        <f aca="false">D2010/(D2010+E2010)</f>
        <v>0.590062111801242</v>
      </c>
      <c r="L2010" s="21" t="n">
        <f aca="false">AVERAGEIFS($K$2:$K$2705,$B$2:$B$2705,B2010)</f>
        <v>0.500034842036654</v>
      </c>
      <c r="M2010" s="21" t="n">
        <f aca="false">K2010-L2010</f>
        <v>0.0900272697645886</v>
      </c>
      <c r="N2010" s="21" t="n">
        <f aca="false">LN(J2010)</f>
        <v>13.5700594406146</v>
      </c>
      <c r="O2010" s="21" t="n">
        <f aca="false">AVERAGEIFS($N$2:$N$2705,$B$2:$B$2705,B2010)</f>
        <v>13.6418653253493</v>
      </c>
      <c r="P2010" s="21" t="n">
        <f aca="false">N2010-O2010</f>
        <v>-0.0718058847347542</v>
      </c>
      <c r="Q2010" s="7" t="n">
        <v>0</v>
      </c>
      <c r="R2010" s="3" t="n">
        <f aca="false">IF(AND(Q2010=1,B2010-_xlfn.MINIFS($B$2:$B$2705,$A$2:$A$2705,A2010)&lt;10),1,0)</f>
        <v>0</v>
      </c>
      <c r="S2010" s="7" t="n">
        <v>0</v>
      </c>
      <c r="T2010" s="3" t="n">
        <f aca="false">_xlfn.MINIFS($B$2:$B$2705,$A$2:$A$2705,A2010)</f>
        <v>1901</v>
      </c>
      <c r="U2010" s="3" t="n">
        <f aca="false">B2010-T2010</f>
        <v>101</v>
      </c>
      <c r="V2010" s="3" t="str">
        <f aca="false">INDEX(Pop_Inputs!$Q$2:$Q$29,MATCH(C2010,Pop_Inputs!$A$2:$A$29,0))</f>
        <v>West</v>
      </c>
      <c r="W2010" s="29" t="n">
        <v>78299835</v>
      </c>
      <c r="X2010" s="3" t="n">
        <f aca="false">IF(W2010="","",LN(W2010))</f>
        <v>18.1760560536791</v>
      </c>
      <c r="Y2010" s="3" t="n">
        <f aca="false">IF(X2010="","",X2010-AVERAGEIFS($X$2:$X$2705,$B$2:$B$2705,B2010))</f>
        <v>0.212579474387134</v>
      </c>
      <c r="Z2010" s="21" t="n">
        <f aca="false">P2010</f>
        <v>-0.0718058847347542</v>
      </c>
      <c r="AA2010" s="3" t="n">
        <f aca="false">R2010</f>
        <v>0</v>
      </c>
      <c r="AB2010" s="21" t="n">
        <f aca="false">P2010</f>
        <v>-0.0718058847347542</v>
      </c>
      <c r="AC2010" s="3" t="n">
        <f aca="false">Y2010</f>
        <v>0.212579474387134</v>
      </c>
      <c r="AD2010" s="3" t="n">
        <f aca="false">R2010</f>
        <v>0</v>
      </c>
    </row>
    <row r="2011" customFormat="false" ht="15" hidden="false" customHeight="true" outlineLevel="0" collapsed="false">
      <c r="A2011" s="7" t="s">
        <v>59</v>
      </c>
      <c r="B2011" s="7" t="n">
        <v>2002</v>
      </c>
      <c r="C2011" s="7" t="s">
        <v>145</v>
      </c>
      <c r="D2011" s="7" t="n">
        <v>97</v>
      </c>
      <c r="E2011" s="7" t="n">
        <v>65</v>
      </c>
      <c r="F2011" s="3" t="n">
        <f aca="false">COUNTIFS($B$2:$B$2705,B2011,$C$2:$C$2705,C2011)</f>
        <v>1</v>
      </c>
      <c r="G2011" s="3" t="n">
        <f aca="false">MIN(INT((MIN(B2011,2020)-1900)/10)+1,12)</f>
        <v>11</v>
      </c>
      <c r="H2011" s="3" t="n">
        <f aca="false">(MIN(B2011,2020)-1900-10*(G2011-1))/10</f>
        <v>0.2</v>
      </c>
      <c r="I2011" s="20" t="n">
        <f aca="false">EXP(LN(INDEX(Pop_Inputs!$B$2:$N$29,MATCH(C2011,Pop_Inputs!$A$2:$A$29,0),G2011))*(1-H2011)+LN(INDEX(Pop_Inputs!$B$2:$N$29,MATCH(C2011,Pop_Inputs!$A$2:$A$29,0),G2011+1))*H2011)</f>
        <v>342208.024296023</v>
      </c>
      <c r="J2011" s="20" t="n">
        <f aca="false">I2011/F2011</f>
        <v>342208.024296023</v>
      </c>
      <c r="K2011" s="21" t="n">
        <f aca="false">D2011/(D2011+E2011)</f>
        <v>0.598765432098765</v>
      </c>
      <c r="L2011" s="21" t="n">
        <f aca="false">AVERAGEIFS($K$2:$K$2705,$B$2:$B$2705,B2011)</f>
        <v>0.500034842036654</v>
      </c>
      <c r="M2011" s="21" t="n">
        <f aca="false">K2011-L2011</f>
        <v>0.0987305900621118</v>
      </c>
      <c r="N2011" s="21" t="n">
        <f aca="false">LN(J2011)</f>
        <v>12.7431740893062</v>
      </c>
      <c r="O2011" s="21" t="n">
        <f aca="false">AVERAGEIFS($N$2:$N$2705,$B$2:$B$2705,B2011)</f>
        <v>13.6418653253493</v>
      </c>
      <c r="P2011" s="21" t="n">
        <f aca="false">N2011-O2011</f>
        <v>-0.898691236043101</v>
      </c>
      <c r="Q2011" s="7" t="n">
        <v>0</v>
      </c>
      <c r="R2011" s="3" t="n">
        <f aca="false">IF(AND(Q2011=1,B2011-_xlfn.MINIFS($B$2:$B$2705,$A$2:$A$2705,A2011)&lt;10),1,0)</f>
        <v>0</v>
      </c>
      <c r="S2011" s="7" t="n">
        <v>0</v>
      </c>
      <c r="T2011" s="3" t="n">
        <f aca="false">_xlfn.MINIFS($B$2:$B$2705,$A$2:$A$2705,A2011)</f>
        <v>1901</v>
      </c>
      <c r="U2011" s="3" t="n">
        <f aca="false">B2011-T2011</f>
        <v>101</v>
      </c>
      <c r="V2011" s="3" t="str">
        <f aca="false">INDEX(Pop_Inputs!$Q$2:$Q$29,MATCH(C2011,Pop_Inputs!$A$2:$A$29,0))</f>
        <v>Midwest</v>
      </c>
      <c r="W2011" s="29" t="n">
        <v>74660875</v>
      </c>
      <c r="X2011" s="3" t="n">
        <f aca="false">IF(W2011="","",LN(W2011))</f>
        <v>18.1284667511784</v>
      </c>
      <c r="Y2011" s="3" t="n">
        <f aca="false">IF(X2011="","",X2011-AVERAGEIFS($X$2:$X$2705,$B$2:$B$2705,B2011))</f>
        <v>0.164990171886462</v>
      </c>
      <c r="Z2011" s="21" t="n">
        <f aca="false">P2011</f>
        <v>-0.898691236043101</v>
      </c>
      <c r="AA2011" s="3" t="n">
        <f aca="false">R2011</f>
        <v>0</v>
      </c>
      <c r="AB2011" s="21" t="n">
        <f aca="false">P2011</f>
        <v>-0.898691236043101</v>
      </c>
      <c r="AC2011" s="3" t="n">
        <f aca="false">Y2011</f>
        <v>0.164990171886462</v>
      </c>
      <c r="AD2011" s="3" t="n">
        <f aca="false">R2011</f>
        <v>0</v>
      </c>
    </row>
    <row r="2012" customFormat="false" ht="15" hidden="false" customHeight="true" outlineLevel="0" collapsed="false">
      <c r="A2012" s="7" t="s">
        <v>85</v>
      </c>
      <c r="B2012" s="7" t="n">
        <v>2002</v>
      </c>
      <c r="C2012" s="7" t="s">
        <v>166</v>
      </c>
      <c r="D2012" s="7" t="n">
        <v>55</v>
      </c>
      <c r="E2012" s="7" t="n">
        <v>106</v>
      </c>
      <c r="F2012" s="3" t="n">
        <f aca="false">COUNTIFS($B$2:$B$2705,B2012,$C$2:$C$2705,C2012)</f>
        <v>1</v>
      </c>
      <c r="G2012" s="3" t="n">
        <f aca="false">MIN(INT((MIN(B2012,2020)-1900)/10)+1,12)</f>
        <v>11</v>
      </c>
      <c r="H2012" s="3" t="n">
        <f aca="false">(MIN(B2012,2020)-1900-10*(G2012-1))/10</f>
        <v>0.2</v>
      </c>
      <c r="I2012" s="20" t="n">
        <f aca="false">EXP(LN(INDEX(Pop_Inputs!$B$2:$N$29,MATCH(C2012,Pop_Inputs!$A$2:$A$29,0),G2012))*(1-H2012)+LN(INDEX(Pop_Inputs!$B$2:$N$29,MATCH(C2012,Pop_Inputs!$A$2:$A$29,0),G2012+1))*H2012)</f>
        <v>309641.295245262</v>
      </c>
      <c r="J2012" s="20" t="n">
        <f aca="false">I2012/F2012</f>
        <v>309641.295245262</v>
      </c>
      <c r="K2012" s="21" t="n">
        <f aca="false">D2012/(D2012+E2012)</f>
        <v>0.341614906832298</v>
      </c>
      <c r="L2012" s="21" t="n">
        <f aca="false">AVERAGEIFS($K$2:$K$2705,$B$2:$B$2705,B2012)</f>
        <v>0.500034842036654</v>
      </c>
      <c r="M2012" s="21" t="n">
        <f aca="false">K2012-L2012</f>
        <v>-0.158419935204356</v>
      </c>
      <c r="N2012" s="21" t="n">
        <f aca="false">LN(J2012)</f>
        <v>12.6431697943782</v>
      </c>
      <c r="O2012" s="21" t="n">
        <f aca="false">AVERAGEIFS($N$2:$N$2705,$B$2:$B$2705,B2012)</f>
        <v>13.6418653253493</v>
      </c>
      <c r="P2012" s="21" t="n">
        <f aca="false">N2012-O2012</f>
        <v>-0.998695530971144</v>
      </c>
      <c r="Q2012" s="7" t="n">
        <v>1</v>
      </c>
      <c r="R2012" s="3" t="n">
        <f aca="false">IF(AND(Q2012=1,B2012-_xlfn.MINIFS($B$2:$B$2705,$A$2:$A$2705,A2012)&lt;10),1,0)</f>
        <v>1</v>
      </c>
      <c r="S2012" s="7" t="n">
        <v>0</v>
      </c>
      <c r="T2012" s="3" t="n">
        <f aca="false">_xlfn.MINIFS($B$2:$B$2705,$A$2:$A$2705,A2012)</f>
        <v>1998</v>
      </c>
      <c r="U2012" s="3" t="n">
        <f aca="false">B2012-T2012</f>
        <v>4</v>
      </c>
      <c r="V2012" s="3" t="str">
        <f aca="false">INDEX(Pop_Inputs!$Q$2:$Q$29,MATCH(C2012,Pop_Inputs!$A$2:$A$29,0))</f>
        <v>South</v>
      </c>
      <c r="W2012" s="29" t="n">
        <v>34380000</v>
      </c>
      <c r="X2012" s="3" t="n">
        <f aca="false">IF(W2012="","",LN(W2012))</f>
        <v>17.352985557919</v>
      </c>
      <c r="Y2012" s="3" t="n">
        <f aca="false">IF(X2012="","",X2012-AVERAGEIFS($X$2:$X$2705,$B$2:$B$2705,B2012))</f>
        <v>-0.610491021373008</v>
      </c>
      <c r="Z2012" s="21" t="n">
        <f aca="false">P2012</f>
        <v>-0.998695530971144</v>
      </c>
      <c r="AA2012" s="3" t="n">
        <f aca="false">R2012</f>
        <v>1</v>
      </c>
      <c r="AB2012" s="21" t="n">
        <f aca="false">P2012</f>
        <v>-0.998695530971144</v>
      </c>
      <c r="AC2012" s="3" t="n">
        <f aca="false">Y2012</f>
        <v>-0.610491021373008</v>
      </c>
      <c r="AD2012" s="3" t="n">
        <f aca="false">R2012</f>
        <v>1</v>
      </c>
    </row>
    <row r="2013" customFormat="false" ht="15" hidden="false" customHeight="true" outlineLevel="0" collapsed="false">
      <c r="A2013" s="7" t="s">
        <v>73</v>
      </c>
      <c r="B2013" s="7" t="n">
        <v>2002</v>
      </c>
      <c r="C2013" s="7" t="s">
        <v>155</v>
      </c>
      <c r="D2013" s="7" t="n">
        <v>72</v>
      </c>
      <c r="E2013" s="7" t="n">
        <v>90</v>
      </c>
      <c r="F2013" s="3" t="n">
        <f aca="false">COUNTIFS($B$2:$B$2705,B2013,$C$2:$C$2705,C2013)</f>
        <v>1</v>
      </c>
      <c r="G2013" s="3" t="n">
        <f aca="false">MIN(INT((MIN(B2013,2020)-1900)/10)+1,12)</f>
        <v>11</v>
      </c>
      <c r="H2013" s="3" t="n">
        <f aca="false">(MIN(B2013,2020)-1900-10*(G2013-1))/10</f>
        <v>0.2</v>
      </c>
      <c r="I2013" s="20" t="n">
        <f aca="false">EXP(LN(INDEX(Pop_Inputs!$B$2:$N$29,MATCH(C2013,Pop_Inputs!$A$2:$A$29,0),G2013))*(1-H2013)+LN(INDEX(Pop_Inputs!$B$2:$N$29,MATCH(C2013,Pop_Inputs!$A$2:$A$29,0),G2013+1))*H2013)</f>
        <v>1190421.48507098</v>
      </c>
      <c r="J2013" s="20" t="n">
        <f aca="false">I2013/F2013</f>
        <v>1190421.48507098</v>
      </c>
      <c r="K2013" s="21" t="n">
        <f aca="false">D2013/(D2013+E2013)</f>
        <v>0.444444444444444</v>
      </c>
      <c r="L2013" s="21" t="n">
        <f aca="false">AVERAGEIFS($K$2:$K$2705,$B$2:$B$2705,B2013)</f>
        <v>0.500034842036654</v>
      </c>
      <c r="M2013" s="21" t="n">
        <f aca="false">K2013-L2013</f>
        <v>-0.0555903975922092</v>
      </c>
      <c r="N2013" s="21" t="n">
        <f aca="false">LN(J2013)</f>
        <v>13.9898179915128</v>
      </c>
      <c r="O2013" s="21" t="n">
        <f aca="false">AVERAGEIFS($N$2:$N$2705,$B$2:$B$2705,B2013)</f>
        <v>13.6418653253493</v>
      </c>
      <c r="P2013" s="21" t="n">
        <f aca="false">N2013-O2013</f>
        <v>0.347952666163499</v>
      </c>
      <c r="Q2013" s="7" t="n">
        <v>1</v>
      </c>
      <c r="R2013" s="3" t="n">
        <f aca="false">IF(AND(Q2013=1,B2013-_xlfn.MINIFS($B$2:$B$2705,$A$2:$A$2705,A2013)&lt;10),1,0)</f>
        <v>0</v>
      </c>
      <c r="S2013" s="7" t="n">
        <v>0</v>
      </c>
      <c r="T2013" s="3" t="n">
        <f aca="false">_xlfn.MINIFS($B$2:$B$2705,$A$2:$A$2705,A2013)</f>
        <v>1961</v>
      </c>
      <c r="U2013" s="3" t="n">
        <f aca="false">B2013-T2013</f>
        <v>41</v>
      </c>
      <c r="V2013" s="3" t="str">
        <f aca="false">INDEX(Pop_Inputs!$Q$2:$Q$29,MATCH(C2013,Pop_Inputs!$A$2:$A$29,0))</f>
        <v>South</v>
      </c>
      <c r="W2013" s="29" t="n">
        <v>105526122</v>
      </c>
      <c r="X2013" s="3" t="n">
        <f aca="false">IF(W2013="","",LN(W2013))</f>
        <v>18.4744690821278</v>
      </c>
      <c r="Y2013" s="3" t="n">
        <f aca="false">IF(X2013="","",X2013-AVERAGEIFS($X$2:$X$2705,$B$2:$B$2705,B2013))</f>
        <v>0.510992502835855</v>
      </c>
      <c r="Z2013" s="21" t="n">
        <f aca="false">P2013</f>
        <v>0.347952666163499</v>
      </c>
      <c r="AA2013" s="3" t="n">
        <f aca="false">R2013</f>
        <v>0</v>
      </c>
      <c r="AB2013" s="21" t="n">
        <f aca="false">P2013</f>
        <v>0.347952666163499</v>
      </c>
      <c r="AC2013" s="3" t="n">
        <f aca="false">Y2013</f>
        <v>0.510992502835855</v>
      </c>
      <c r="AD2013" s="3" t="n">
        <f aca="false">R2013</f>
        <v>0</v>
      </c>
    </row>
    <row r="2014" customFormat="false" ht="15" hidden="false" customHeight="true" outlineLevel="0" collapsed="false">
      <c r="A2014" s="7" t="s">
        <v>81</v>
      </c>
      <c r="B2014" s="7" t="n">
        <v>2002</v>
      </c>
      <c r="C2014" s="7" t="s">
        <v>162</v>
      </c>
      <c r="D2014" s="7" t="n">
        <v>78</v>
      </c>
      <c r="E2014" s="7" t="n">
        <v>84</v>
      </c>
      <c r="F2014" s="3" t="n">
        <f aca="false">COUNTIFS($B$2:$B$2705,B2014,$C$2:$C$2705,C2014)</f>
        <v>1</v>
      </c>
      <c r="G2014" s="3" t="n">
        <f aca="false">MIN(INT((MIN(B2014,2020)-1900)/10)+1,12)</f>
        <v>11</v>
      </c>
      <c r="H2014" s="3" t="n">
        <f aca="false">(MIN(B2014,2020)-1900-10*(G2014-1))/10</f>
        <v>0.2</v>
      </c>
      <c r="I2014" s="20" t="n">
        <f aca="false">EXP(LN(INDEX(Pop_Inputs!$B$2:$N$29,MATCH(C2014,Pop_Inputs!$A$2:$A$29,0),G2014))*(1-H2014)+LN(INDEX(Pop_Inputs!$B$2:$N$29,MATCH(C2014,Pop_Inputs!$A$2:$A$29,0),G2014+1))*H2014)</f>
        <v>2507649.968097</v>
      </c>
      <c r="J2014" s="20" t="n">
        <f aca="false">I2014/F2014</f>
        <v>2507649.968097</v>
      </c>
      <c r="K2014" s="21" t="n">
        <f aca="false">D2014/(D2014+E2014)</f>
        <v>0.481481481481481</v>
      </c>
      <c r="L2014" s="21" t="n">
        <f aca="false">AVERAGEIFS($K$2:$K$2705,$B$2:$B$2705,B2014)</f>
        <v>0.500034842036654</v>
      </c>
      <c r="M2014" s="21" t="n">
        <f aca="false">K2014-L2014</f>
        <v>-0.0185533605551722</v>
      </c>
      <c r="N2014" s="21" t="n">
        <f aca="false">LN(J2014)</f>
        <v>14.7348566048452</v>
      </c>
      <c r="O2014" s="21" t="n">
        <f aca="false">AVERAGEIFS($N$2:$N$2705,$B$2:$B$2705,B2014)</f>
        <v>13.6418653253493</v>
      </c>
      <c r="P2014" s="21" t="n">
        <f aca="false">N2014-O2014</f>
        <v>1.09299127949584</v>
      </c>
      <c r="Q2014" s="7" t="n">
        <v>1</v>
      </c>
      <c r="R2014" s="3" t="n">
        <f aca="false">IF(AND(Q2014=1,B2014-_xlfn.MINIFS($B$2:$B$2705,$A$2:$A$2705,A2014)&lt;10),1,0)</f>
        <v>0</v>
      </c>
      <c r="S2014" s="7" t="n">
        <v>0</v>
      </c>
      <c r="T2014" s="3" t="n">
        <f aca="false">_xlfn.MINIFS($B$2:$B$2705,$A$2:$A$2705,A2014)</f>
        <v>1977</v>
      </c>
      <c r="U2014" s="3" t="n">
        <f aca="false">B2014-T2014</f>
        <v>25</v>
      </c>
      <c r="V2014" s="3" t="str">
        <f aca="false">INDEX(Pop_Inputs!$Q$2:$Q$29,MATCH(C2014,Pop_Inputs!$A$2:$A$29,0))</f>
        <v>Canada</v>
      </c>
      <c r="W2014" s="29" t="n">
        <v>76864333</v>
      </c>
      <c r="X2014" s="3" t="n">
        <f aca="false">IF(W2014="","",LN(W2014))</f>
        <v>18.1575525167396</v>
      </c>
      <c r="Y2014" s="3" t="n">
        <f aca="false">IF(X2014="","",X2014-AVERAGEIFS($X$2:$X$2705,$B$2:$B$2705,B2014))</f>
        <v>0.19407593744765</v>
      </c>
      <c r="Z2014" s="21" t="n">
        <f aca="false">P2014</f>
        <v>1.09299127949584</v>
      </c>
      <c r="AA2014" s="3" t="n">
        <f aca="false">R2014</f>
        <v>0</v>
      </c>
      <c r="AB2014" s="21" t="n">
        <f aca="false">P2014</f>
        <v>1.09299127949584</v>
      </c>
      <c r="AC2014" s="3" t="n">
        <f aca="false">Y2014</f>
        <v>0.19407593744765</v>
      </c>
      <c r="AD2014" s="3" t="n">
        <f aca="false">R2014</f>
        <v>0</v>
      </c>
    </row>
    <row r="2015" customFormat="false" ht="15" hidden="false" customHeight="true" outlineLevel="0" collapsed="false">
      <c r="A2015" s="7" t="s">
        <v>79</v>
      </c>
      <c r="B2015" s="7" t="n">
        <v>2002</v>
      </c>
      <c r="C2015" s="7" t="s">
        <v>254</v>
      </c>
      <c r="D2015" s="7" t="n">
        <v>83</v>
      </c>
      <c r="E2015" s="7" t="n">
        <v>79</v>
      </c>
      <c r="F2015" s="3" t="n">
        <f aca="false">COUNTIFS($B$2:$B$2705,B2015,$C$2:$C$2705,C2015)</f>
        <v>1</v>
      </c>
      <c r="G2015" s="3" t="n">
        <f aca="false">MIN(INT((MIN(B2015,2020)-1900)/10)+1,12)</f>
        <v>11</v>
      </c>
      <c r="H2015" s="3" t="n">
        <f aca="false">(MIN(B2015,2020)-1900-10*(G2015-1))/10</f>
        <v>0.2</v>
      </c>
      <c r="I2015" s="20" t="n">
        <f aca="false">EXP(LN(INDEX(Pop_Inputs!$B$2:$N$29,MATCH(C2015,Pop_Inputs!$A$2:$A$29,0),G2015))*(1-H2015)+LN(INDEX(Pop_Inputs!$B$2:$N$29,MATCH(C2015,Pop_Inputs!$A$2:$A$29,0),G2015+1))*H2015)</f>
        <v>1140098.62828483</v>
      </c>
      <c r="J2015" s="20" t="n">
        <f aca="false">I2015/F2015</f>
        <v>1140098.62828483</v>
      </c>
      <c r="K2015" s="21" t="n">
        <f aca="false">D2015/(D2015+E2015)</f>
        <v>0.512345679012346</v>
      </c>
      <c r="L2015" s="21" t="n">
        <f aca="false">AVERAGEIFS($K$2:$K$2705,$B$2:$B$2705,B2015)</f>
        <v>0.500034842036654</v>
      </c>
      <c r="M2015" s="21" t="n">
        <f aca="false">K2015-L2015</f>
        <v>0.0123108369756921</v>
      </c>
      <c r="N2015" s="21" t="n">
        <f aca="false">LN(J2015)</f>
        <v>13.9466253326677</v>
      </c>
      <c r="O2015" s="21" t="n">
        <f aca="false">AVERAGEIFS($N$2:$N$2705,$B$2:$B$2705,B2015)</f>
        <v>13.6418653253493</v>
      </c>
      <c r="P2015" s="21" t="n">
        <f aca="false">N2015-O2015</f>
        <v>0.304760007318381</v>
      </c>
      <c r="Q2015" s="7" t="n">
        <v>1</v>
      </c>
      <c r="R2015" s="3" t="n">
        <f aca="false">IF(AND(Q2015=1,B2015-_xlfn.MINIFS($B$2:$B$2705,$A$2:$A$2705,A2015)&lt;10),1,0)</f>
        <v>0</v>
      </c>
      <c r="S2015" s="7" t="n">
        <v>0</v>
      </c>
      <c r="T2015" s="3" t="n">
        <f aca="false">_xlfn.MINIFS($B$2:$B$2705,$A$2:$A$2705,A2015)</f>
        <v>1969</v>
      </c>
      <c r="U2015" s="3" t="n">
        <f aca="false">B2015-T2015</f>
        <v>33</v>
      </c>
      <c r="V2015" s="3" t="str">
        <f aca="false">INDEX(Pop_Inputs!$Q$2:$Q$29,MATCH(C2015,Pop_Inputs!$A$2:$A$29,0))</f>
        <v>Canada</v>
      </c>
      <c r="W2015" s="29" t="n">
        <v>38670500</v>
      </c>
      <c r="X2015" s="3" t="n">
        <f aca="false">IF(W2015="","",LN(W2015))</f>
        <v>17.4705875934197</v>
      </c>
      <c r="Y2015" s="3" t="n">
        <f aca="false">IF(X2015="","",X2015-AVERAGEIFS($X$2:$X$2705,$B$2:$B$2705,B2015))</f>
        <v>-0.492888985872263</v>
      </c>
      <c r="Z2015" s="21" t="n">
        <f aca="false">P2015</f>
        <v>0.304760007318381</v>
      </c>
      <c r="AA2015" s="3" t="n">
        <f aca="false">R2015</f>
        <v>0</v>
      </c>
      <c r="AB2015" s="21" t="n">
        <f aca="false">P2015</f>
        <v>0.304760007318381</v>
      </c>
      <c r="AC2015" s="3" t="n">
        <f aca="false">Y2015</f>
        <v>-0.492888985872263</v>
      </c>
      <c r="AD2015" s="3" t="n">
        <f aca="false">R2015</f>
        <v>0</v>
      </c>
    </row>
    <row r="2016" customFormat="false" ht="15" hidden="false" customHeight="true" outlineLevel="0" collapsed="false">
      <c r="A2016" s="7" t="s">
        <v>71</v>
      </c>
      <c r="B2016" s="7" t="n">
        <v>2003</v>
      </c>
      <c r="C2016" s="7" t="s">
        <v>148</v>
      </c>
      <c r="D2016" s="7" t="n">
        <v>77</v>
      </c>
      <c r="E2016" s="7" t="n">
        <v>85</v>
      </c>
      <c r="F2016" s="3" t="n">
        <f aca="false">COUNTIFS($B$2:$B$2705,B2016,$C$2:$C$2705,C2016)</f>
        <v>2</v>
      </c>
      <c r="G2016" s="3" t="n">
        <f aca="false">MIN(INT((MIN(B2016,2020)-1900)/10)+1,12)</f>
        <v>11</v>
      </c>
      <c r="H2016" s="3" t="n">
        <f aca="false">(MIN(B2016,2020)-1900-10*(G2016-1))/10</f>
        <v>0.3</v>
      </c>
      <c r="I2016" s="20" t="n">
        <f aca="false">EXP(LN(INDEX(Pop_Inputs!$B$2:$N$29,MATCH(C2016,Pop_Inputs!$A$2:$A$29,0),G2016))*(1-H2016)+LN(INDEX(Pop_Inputs!$B$2:$N$29,MATCH(C2016,Pop_Inputs!$A$2:$A$29,0),G2016+1))*H2016)</f>
        <v>3723892.48498572</v>
      </c>
      <c r="J2016" s="20" t="n">
        <f aca="false">I2016/F2016</f>
        <v>1861946.24249286</v>
      </c>
      <c r="K2016" s="21" t="n">
        <f aca="false">D2016/(D2016+E2016)</f>
        <v>0.475308641975309</v>
      </c>
      <c r="L2016" s="21" t="n">
        <f aca="false">AVERAGEIFS($K$2:$K$2705,$B$2:$B$2705,B2016)</f>
        <v>0.500006390103008</v>
      </c>
      <c r="M2016" s="21" t="n">
        <f aca="false">K2016-L2016</f>
        <v>-0.0246977481276998</v>
      </c>
      <c r="N2016" s="21" t="n">
        <f aca="false">LN(J2016)</f>
        <v>14.4371328655607</v>
      </c>
      <c r="O2016" s="21" t="n">
        <f aca="false">AVERAGEIFS($N$2:$N$2705,$B$2:$B$2705,B2016)</f>
        <v>13.643060990803</v>
      </c>
      <c r="P2016" s="21" t="n">
        <f aca="false">N2016-O2016</f>
        <v>0.794071874757757</v>
      </c>
      <c r="Q2016" s="7" t="n">
        <v>1</v>
      </c>
      <c r="R2016" s="3" t="n">
        <f aca="false">IF(AND(Q2016=1,B2016-_xlfn.MINIFS($B$2:$B$2705,$A$2:$A$2705,A2016)&lt;10),1,0)</f>
        <v>0</v>
      </c>
      <c r="S2016" s="7" t="n">
        <v>0</v>
      </c>
      <c r="T2016" s="3" t="n">
        <f aca="false">_xlfn.MINIFS($B$2:$B$2705,$A$2:$A$2705,A2016)</f>
        <v>1961</v>
      </c>
      <c r="U2016" s="3" t="n">
        <f aca="false">B2016-T2016</f>
        <v>42</v>
      </c>
      <c r="V2016" s="3" t="str">
        <f aca="false">INDEX(Pop_Inputs!$Q$2:$Q$29,MATCH(C2016,Pop_Inputs!$A$2:$A$29,0))</f>
        <v>West</v>
      </c>
      <c r="W2016" s="29" t="n">
        <v>79031667</v>
      </c>
      <c r="X2016" s="3" t="n">
        <f aca="false">IF(W2016="","",LN(W2016))</f>
        <v>18.1853591782144</v>
      </c>
      <c r="Y2016" s="3" t="n">
        <f aca="false">IF(X2016="","",X2016-AVERAGEIFS($X$2:$X$2705,$B$2:$B$2705,B2016))</f>
        <v>0.184595979566279</v>
      </c>
      <c r="Z2016" s="21" t="n">
        <f aca="false">P2016</f>
        <v>0.794071874757757</v>
      </c>
      <c r="AA2016" s="3" t="n">
        <f aca="false">R2016</f>
        <v>0</v>
      </c>
      <c r="AB2016" s="21" t="n">
        <f aca="false">P2016</f>
        <v>0.794071874757757</v>
      </c>
      <c r="AC2016" s="3" t="n">
        <f aca="false">Y2016</f>
        <v>0.184595979566279</v>
      </c>
      <c r="AD2016" s="3" t="n">
        <f aca="false">R2016</f>
        <v>0</v>
      </c>
    </row>
    <row r="2017" customFormat="false" ht="15" hidden="false" customHeight="true" outlineLevel="0" collapsed="false">
      <c r="A2017" s="7" t="s">
        <v>84</v>
      </c>
      <c r="B2017" s="7" t="n">
        <v>2003</v>
      </c>
      <c r="C2017" s="7" t="s">
        <v>165</v>
      </c>
      <c r="D2017" s="7" t="n">
        <v>84</v>
      </c>
      <c r="E2017" s="7" t="n">
        <v>78</v>
      </c>
      <c r="F2017" s="3" t="n">
        <f aca="false">COUNTIFS($B$2:$B$2705,B2017,$C$2:$C$2705,C2017)</f>
        <v>1</v>
      </c>
      <c r="G2017" s="3" t="n">
        <f aca="false">MIN(INT((MIN(B2017,2020)-1900)/10)+1,12)</f>
        <v>11</v>
      </c>
      <c r="H2017" s="3" t="n">
        <f aca="false">(MIN(B2017,2020)-1900-10*(G2017-1))/10</f>
        <v>0.3</v>
      </c>
      <c r="I2017" s="20" t="n">
        <f aca="false">EXP(LN(INDEX(Pop_Inputs!$B$2:$N$29,MATCH(C2017,Pop_Inputs!$A$2:$A$29,0),G2017))*(1-H2017)+LN(INDEX(Pop_Inputs!$B$2:$N$29,MATCH(C2017,Pop_Inputs!$A$2:$A$29,0),G2017+1))*H2017)</f>
        <v>1357249.38665417</v>
      </c>
      <c r="J2017" s="20" t="n">
        <f aca="false">I2017/F2017</f>
        <v>1357249.38665417</v>
      </c>
      <c r="K2017" s="21" t="n">
        <f aca="false">D2017/(D2017+E2017)</f>
        <v>0.518518518518519</v>
      </c>
      <c r="L2017" s="21" t="n">
        <f aca="false">AVERAGEIFS($K$2:$K$2705,$B$2:$B$2705,B2017)</f>
        <v>0.500006390103008</v>
      </c>
      <c r="M2017" s="21" t="n">
        <f aca="false">K2017-L2017</f>
        <v>0.0185121284155101</v>
      </c>
      <c r="N2017" s="21" t="n">
        <f aca="false">LN(J2017)</f>
        <v>14.1209706998642</v>
      </c>
      <c r="O2017" s="21" t="n">
        <f aca="false">AVERAGEIFS($N$2:$N$2705,$B$2:$B$2705,B2017)</f>
        <v>13.643060990803</v>
      </c>
      <c r="P2017" s="21" t="n">
        <f aca="false">N2017-O2017</f>
        <v>0.47790970906126</v>
      </c>
      <c r="Q2017" s="7" t="n">
        <v>1</v>
      </c>
      <c r="R2017" s="3" t="n">
        <f aca="false">IF(AND(Q2017=1,B2017-_xlfn.MINIFS($B$2:$B$2705,$A$2:$A$2705,A2017)&lt;10),1,0)</f>
        <v>1</v>
      </c>
      <c r="S2017" s="7" t="n">
        <v>0</v>
      </c>
      <c r="T2017" s="3" t="n">
        <f aca="false">_xlfn.MINIFS($B$2:$B$2705,$A$2:$A$2705,A2017)</f>
        <v>1998</v>
      </c>
      <c r="U2017" s="3" t="n">
        <f aca="false">B2017-T2017</f>
        <v>5</v>
      </c>
      <c r="V2017" s="3" t="str">
        <f aca="false">INDEX(Pop_Inputs!$Q$2:$Q$29,MATCH(C2017,Pop_Inputs!$A$2:$A$29,0))</f>
        <v>West</v>
      </c>
      <c r="W2017" s="29" t="n">
        <v>80657000</v>
      </c>
      <c r="X2017" s="3" t="n">
        <f aca="false">IF(W2017="","",LN(W2017))</f>
        <v>18.2057161535614</v>
      </c>
      <c r="Y2017" s="3" t="n">
        <f aca="false">IF(X2017="","",X2017-AVERAGEIFS($X$2:$X$2705,$B$2:$B$2705,B2017))</f>
        <v>0.20495295491321</v>
      </c>
      <c r="Z2017" s="21" t="n">
        <f aca="false">P2017</f>
        <v>0.47790970906126</v>
      </c>
      <c r="AA2017" s="3" t="n">
        <f aca="false">R2017</f>
        <v>1</v>
      </c>
      <c r="AB2017" s="21" t="n">
        <f aca="false">P2017</f>
        <v>0.47790970906126</v>
      </c>
      <c r="AC2017" s="3" t="n">
        <f aca="false">Y2017</f>
        <v>0.20495295491321</v>
      </c>
      <c r="AD2017" s="3" t="n">
        <f aca="false">R2017</f>
        <v>1</v>
      </c>
    </row>
    <row r="2018" customFormat="false" ht="15" hidden="false" customHeight="true" outlineLevel="0" collapsed="false">
      <c r="A2018" s="7" t="s">
        <v>54</v>
      </c>
      <c r="B2018" s="7" t="n">
        <v>2003</v>
      </c>
      <c r="C2018" s="7" t="s">
        <v>141</v>
      </c>
      <c r="D2018" s="7" t="n">
        <v>101</v>
      </c>
      <c r="E2018" s="7" t="n">
        <v>61</v>
      </c>
      <c r="F2018" s="3" t="n">
        <f aca="false">COUNTIFS($B$2:$B$2705,B2018,$C$2:$C$2705,C2018)</f>
        <v>1</v>
      </c>
      <c r="G2018" s="3" t="n">
        <f aca="false">MIN(INT((MIN(B2018,2020)-1900)/10)+1,12)</f>
        <v>11</v>
      </c>
      <c r="H2018" s="3" t="n">
        <f aca="false">(MIN(B2018,2020)-1900-10*(G2018-1))/10</f>
        <v>0.3</v>
      </c>
      <c r="I2018" s="20" t="n">
        <f aca="false">EXP(LN(INDEX(Pop_Inputs!$B$2:$N$29,MATCH(C2018,Pop_Inputs!$A$2:$A$29,0),G2018))*(1-H2018)+LN(INDEX(Pop_Inputs!$B$2:$N$29,MATCH(C2018,Pop_Inputs!$A$2:$A$29,0),G2018+1))*H2018)</f>
        <v>417529.575170869</v>
      </c>
      <c r="J2018" s="20" t="n">
        <f aca="false">I2018/F2018</f>
        <v>417529.575170869</v>
      </c>
      <c r="K2018" s="21" t="n">
        <f aca="false">D2018/(D2018+E2018)</f>
        <v>0.623456790123457</v>
      </c>
      <c r="L2018" s="21" t="n">
        <f aca="false">AVERAGEIFS($K$2:$K$2705,$B$2:$B$2705,B2018)</f>
        <v>0.500006390103008</v>
      </c>
      <c r="M2018" s="21" t="n">
        <f aca="false">K2018-L2018</f>
        <v>0.123450400020448</v>
      </c>
      <c r="N2018" s="21" t="n">
        <f aca="false">LN(J2018)</f>
        <v>12.9421106594967</v>
      </c>
      <c r="O2018" s="21" t="n">
        <f aca="false">AVERAGEIFS($N$2:$N$2705,$B$2:$B$2705,B2018)</f>
        <v>13.643060990803</v>
      </c>
      <c r="P2018" s="21" t="n">
        <f aca="false">N2018-O2018</f>
        <v>-0.700950331306254</v>
      </c>
      <c r="Q2018" s="7" t="n">
        <v>0</v>
      </c>
      <c r="R2018" s="3" t="n">
        <f aca="false">IF(AND(Q2018=1,B2018-_xlfn.MINIFS($B$2:$B$2705,$A$2:$A$2705,A2018)&lt;10),1,0)</f>
        <v>0</v>
      </c>
      <c r="S2018" s="7" t="n">
        <v>0</v>
      </c>
      <c r="T2018" s="3" t="n">
        <f aca="false">_xlfn.MINIFS($B$2:$B$2705,$A$2:$A$2705,A2018)</f>
        <v>1901</v>
      </c>
      <c r="U2018" s="3" t="n">
        <f aca="false">B2018-T2018</f>
        <v>102</v>
      </c>
      <c r="V2018" s="3" t="str">
        <f aca="false">INDEX(Pop_Inputs!$Q$2:$Q$29,MATCH(C2018,Pop_Inputs!$A$2:$A$29,0))</f>
        <v>South</v>
      </c>
      <c r="W2018" s="29" t="n">
        <v>106243667</v>
      </c>
      <c r="X2018" s="3" t="n">
        <f aca="false">IF(W2018="","",LN(W2018))</f>
        <v>18.4812457592865</v>
      </c>
      <c r="Y2018" s="3" t="n">
        <f aca="false">IF(X2018="","",X2018-AVERAGEIFS($X$2:$X$2705,$B$2:$B$2705,B2018))</f>
        <v>0.480482560638343</v>
      </c>
      <c r="Z2018" s="21" t="n">
        <f aca="false">P2018</f>
        <v>-0.700950331306254</v>
      </c>
      <c r="AA2018" s="3" t="n">
        <f aca="false">R2018</f>
        <v>0</v>
      </c>
      <c r="AB2018" s="21" t="n">
        <f aca="false">P2018</f>
        <v>-0.700950331306254</v>
      </c>
      <c r="AC2018" s="3" t="n">
        <f aca="false">Y2018</f>
        <v>0.480482560638343</v>
      </c>
      <c r="AD2018" s="3" t="n">
        <f aca="false">R2018</f>
        <v>0</v>
      </c>
    </row>
    <row r="2019" customFormat="false" ht="15" hidden="false" customHeight="true" outlineLevel="0" collapsed="false">
      <c r="A2019" s="7" t="s">
        <v>63</v>
      </c>
      <c r="B2019" s="7" t="n">
        <v>2003</v>
      </c>
      <c r="C2019" s="7" t="s">
        <v>149</v>
      </c>
      <c r="D2019" s="7" t="n">
        <v>71</v>
      </c>
      <c r="E2019" s="7" t="n">
        <v>91</v>
      </c>
      <c r="F2019" s="3" t="n">
        <f aca="false">COUNTIFS($B$2:$B$2705,B2019,$C$2:$C$2705,C2019)</f>
        <v>1</v>
      </c>
      <c r="G2019" s="3" t="n">
        <f aca="false">MIN(INT((MIN(B2019,2020)-1900)/10)+1,12)</f>
        <v>11</v>
      </c>
      <c r="H2019" s="3" t="n">
        <f aca="false">(MIN(B2019,2020)-1900-10*(G2019-1))/10</f>
        <v>0.3</v>
      </c>
      <c r="I2019" s="20" t="n">
        <f aca="false">EXP(LN(INDEX(Pop_Inputs!$B$2:$N$29,MATCH(C2019,Pop_Inputs!$A$2:$A$29,0),G2019))*(1-H2019)+LN(INDEX(Pop_Inputs!$B$2:$N$29,MATCH(C2019,Pop_Inputs!$A$2:$A$29,0),G2019+1))*H2019)</f>
        <v>641945.112039561</v>
      </c>
      <c r="J2019" s="20" t="n">
        <f aca="false">I2019/F2019</f>
        <v>641945.112039561</v>
      </c>
      <c r="K2019" s="21" t="n">
        <f aca="false">D2019/(D2019+E2019)</f>
        <v>0.438271604938272</v>
      </c>
      <c r="L2019" s="21" t="n">
        <f aca="false">AVERAGEIFS($K$2:$K$2705,$B$2:$B$2705,B2019)</f>
        <v>0.500006390103008</v>
      </c>
      <c r="M2019" s="21" t="n">
        <f aca="false">K2019-L2019</f>
        <v>-0.0617347851647368</v>
      </c>
      <c r="N2019" s="21" t="n">
        <f aca="false">LN(J2019)</f>
        <v>13.3722580837517</v>
      </c>
      <c r="O2019" s="21" t="n">
        <f aca="false">AVERAGEIFS($N$2:$N$2705,$B$2:$B$2705,B2019)</f>
        <v>13.643060990803</v>
      </c>
      <c r="P2019" s="21" t="n">
        <f aca="false">N2019-O2019</f>
        <v>-0.270802907051289</v>
      </c>
      <c r="Q2019" s="7" t="n">
        <v>0</v>
      </c>
      <c r="R2019" s="3" t="n">
        <f aca="false">IF(AND(Q2019=1,B2019-_xlfn.MINIFS($B$2:$B$2705,$A$2:$A$2705,A2019)&lt;10),1,0)</f>
        <v>0</v>
      </c>
      <c r="S2019" s="7" t="n">
        <v>0</v>
      </c>
      <c r="T2019" s="3" t="n">
        <f aca="false">_xlfn.MINIFS($B$2:$B$2705,$A$2:$A$2705,A2019)</f>
        <v>1901</v>
      </c>
      <c r="U2019" s="3" t="n">
        <f aca="false">B2019-T2019</f>
        <v>102</v>
      </c>
      <c r="V2019" s="3" t="str">
        <f aca="false">INDEX(Pop_Inputs!$Q$2:$Q$29,MATCH(C2019,Pop_Inputs!$A$2:$A$29,0))</f>
        <v>South</v>
      </c>
      <c r="W2019" s="29" t="n">
        <v>73877500</v>
      </c>
      <c r="X2019" s="3" t="n">
        <f aca="false">IF(W2019="","",LN(W2019))</f>
        <v>18.1179188740655</v>
      </c>
      <c r="Y2019" s="3" t="n">
        <f aca="false">IF(X2019="","",X2019-AVERAGEIFS($X$2:$X$2705,$B$2:$B$2705,B2019))</f>
        <v>0.117155675417347</v>
      </c>
      <c r="Z2019" s="21" t="n">
        <f aca="false">P2019</f>
        <v>-0.270802907051289</v>
      </c>
      <c r="AA2019" s="3" t="n">
        <f aca="false">R2019</f>
        <v>0</v>
      </c>
      <c r="AB2019" s="21" t="n">
        <f aca="false">P2019</f>
        <v>-0.270802907051289</v>
      </c>
      <c r="AC2019" s="3" t="n">
        <f aca="false">Y2019</f>
        <v>0.117155675417347</v>
      </c>
      <c r="AD2019" s="3" t="n">
        <f aca="false">R2019</f>
        <v>0</v>
      </c>
    </row>
    <row r="2020" customFormat="false" ht="15" hidden="false" customHeight="true" outlineLevel="0" collapsed="false">
      <c r="A2020" s="7" t="s">
        <v>64</v>
      </c>
      <c r="B2020" s="7" t="n">
        <v>2003</v>
      </c>
      <c r="C2020" s="7" t="s">
        <v>150</v>
      </c>
      <c r="D2020" s="7" t="n">
        <v>95</v>
      </c>
      <c r="E2020" s="7" t="n">
        <v>67</v>
      </c>
      <c r="F2020" s="3" t="n">
        <f aca="false">COUNTIFS($B$2:$B$2705,B2020,$C$2:$C$2705,C2020)</f>
        <v>1</v>
      </c>
      <c r="G2020" s="3" t="n">
        <f aca="false">MIN(INT((MIN(B2020,2020)-1900)/10)+1,12)</f>
        <v>11</v>
      </c>
      <c r="H2020" s="3" t="n">
        <f aca="false">(MIN(B2020,2020)-1900-10*(G2020-1))/10</f>
        <v>0.3</v>
      </c>
      <c r="I2020" s="20" t="n">
        <f aca="false">EXP(LN(INDEX(Pop_Inputs!$B$2:$N$29,MATCH(C2020,Pop_Inputs!$A$2:$A$29,0),G2020))*(1-H2020)+LN(INDEX(Pop_Inputs!$B$2:$N$29,MATCH(C2020,Pop_Inputs!$A$2:$A$29,0),G2020+1))*H2020)</f>
        <v>597536.437822334</v>
      </c>
      <c r="J2020" s="20" t="n">
        <f aca="false">I2020/F2020</f>
        <v>597536.437822334</v>
      </c>
      <c r="K2020" s="21" t="n">
        <f aca="false">D2020/(D2020+E2020)</f>
        <v>0.58641975308642</v>
      </c>
      <c r="L2020" s="21" t="n">
        <f aca="false">AVERAGEIFS($K$2:$K$2705,$B$2:$B$2705,B2020)</f>
        <v>0.500006390103008</v>
      </c>
      <c r="M2020" s="21" t="n">
        <f aca="false">K2020-L2020</f>
        <v>0.0864133629834114</v>
      </c>
      <c r="N2020" s="21" t="n">
        <f aca="false">LN(J2020)</f>
        <v>13.3005705447314</v>
      </c>
      <c r="O2020" s="21" t="n">
        <f aca="false">AVERAGEIFS($N$2:$N$2705,$B$2:$B$2705,B2020)</f>
        <v>13.643060990803</v>
      </c>
      <c r="P2020" s="21" t="n">
        <f aca="false">N2020-O2020</f>
        <v>-0.342490446071542</v>
      </c>
      <c r="Q2020" s="7" t="n">
        <v>0</v>
      </c>
      <c r="R2020" s="3" t="n">
        <f aca="false">IF(AND(Q2020=1,B2020-_xlfn.MINIFS($B$2:$B$2705,$A$2:$A$2705,A2020)&lt;10),1,0)</f>
        <v>0</v>
      </c>
      <c r="S2020" s="7" t="n">
        <v>0</v>
      </c>
      <c r="T2020" s="3" t="n">
        <f aca="false">_xlfn.MINIFS($B$2:$B$2705,$A$2:$A$2705,A2020)</f>
        <v>1901</v>
      </c>
      <c r="U2020" s="3" t="n">
        <f aca="false">B2020-T2020</f>
        <v>102</v>
      </c>
      <c r="V2020" s="3" t="str">
        <f aca="false">INDEX(Pop_Inputs!$Q$2:$Q$29,MATCH(C2020,Pop_Inputs!$A$2:$A$29,0))</f>
        <v>Northeast</v>
      </c>
      <c r="W2020" s="29" t="n">
        <v>99946500</v>
      </c>
      <c r="X2020" s="3" t="n">
        <f aca="false">IF(W2020="","",LN(W2020))</f>
        <v>18.4201456007888</v>
      </c>
      <c r="Y2020" s="3" t="n">
        <f aca="false">IF(X2020="","",X2020-AVERAGEIFS($X$2:$X$2705,$B$2:$B$2705,B2020))</f>
        <v>0.419382402140656</v>
      </c>
      <c r="Z2020" s="21" t="n">
        <f aca="false">P2020</f>
        <v>-0.342490446071542</v>
      </c>
      <c r="AA2020" s="3" t="n">
        <f aca="false">R2020</f>
        <v>0</v>
      </c>
      <c r="AB2020" s="21" t="n">
        <f aca="false">P2020</f>
        <v>-0.342490446071542</v>
      </c>
      <c r="AC2020" s="3" t="n">
        <f aca="false">Y2020</f>
        <v>0.419382402140656</v>
      </c>
      <c r="AD2020" s="3" t="n">
        <f aca="false">R2020</f>
        <v>0</v>
      </c>
    </row>
    <row r="2021" customFormat="false" ht="15" hidden="false" customHeight="true" outlineLevel="0" collapsed="false">
      <c r="A2021" s="7" t="s">
        <v>56</v>
      </c>
      <c r="B2021" s="7" t="n">
        <v>2003</v>
      </c>
      <c r="C2021" s="7" t="s">
        <v>142</v>
      </c>
      <c r="D2021" s="7" t="n">
        <v>88</v>
      </c>
      <c r="E2021" s="7" t="n">
        <v>74</v>
      </c>
      <c r="F2021" s="3" t="n">
        <f aca="false">COUNTIFS($B$2:$B$2705,B2021,$C$2:$C$2705,C2021)</f>
        <v>2</v>
      </c>
      <c r="G2021" s="3" t="n">
        <f aca="false">MIN(INT((MIN(B2021,2020)-1900)/10)+1,12)</f>
        <v>11</v>
      </c>
      <c r="H2021" s="3" t="n">
        <f aca="false">(MIN(B2021,2020)-1900-10*(G2021-1))/10</f>
        <v>0.3</v>
      </c>
      <c r="I2021" s="20" t="n">
        <f aca="false">EXP(LN(INDEX(Pop_Inputs!$B$2:$N$29,MATCH(C2021,Pop_Inputs!$A$2:$A$29,0),G2021))*(1-H2021)+LN(INDEX(Pop_Inputs!$B$2:$N$29,MATCH(C2021,Pop_Inputs!$A$2:$A$29,0),G2021+1))*H2021)</f>
        <v>2834374.33924955</v>
      </c>
      <c r="J2021" s="20" t="n">
        <f aca="false">I2021/F2021</f>
        <v>1417187.16962478</v>
      </c>
      <c r="K2021" s="21" t="n">
        <f aca="false">D2021/(D2021+E2021)</f>
        <v>0.54320987654321</v>
      </c>
      <c r="L2021" s="21" t="n">
        <f aca="false">AVERAGEIFS($K$2:$K$2705,$B$2:$B$2705,B2021)</f>
        <v>0.500006390103008</v>
      </c>
      <c r="M2021" s="21" t="n">
        <f aca="false">K2021-L2021</f>
        <v>0.0432034864402014</v>
      </c>
      <c r="N2021" s="21" t="n">
        <f aca="false">LN(J2021)</f>
        <v>14.1641845986053</v>
      </c>
      <c r="O2021" s="21" t="n">
        <f aca="false">AVERAGEIFS($N$2:$N$2705,$B$2:$B$2705,B2021)</f>
        <v>13.643060990803</v>
      </c>
      <c r="P2021" s="21" t="n">
        <f aca="false">N2021-O2021</f>
        <v>0.521123607802354</v>
      </c>
      <c r="Q2021" s="7" t="n">
        <v>0</v>
      </c>
      <c r="R2021" s="3" t="n">
        <f aca="false">IF(AND(Q2021=1,B2021-_xlfn.MINIFS($B$2:$B$2705,$A$2:$A$2705,A2021)&lt;10),1,0)</f>
        <v>0</v>
      </c>
      <c r="S2021" s="7" t="n">
        <v>0</v>
      </c>
      <c r="T2021" s="3" t="n">
        <f aca="false">_xlfn.MINIFS($B$2:$B$2705,$A$2:$A$2705,A2021)</f>
        <v>1901</v>
      </c>
      <c r="U2021" s="3" t="n">
        <f aca="false">B2021-T2021</f>
        <v>102</v>
      </c>
      <c r="V2021" s="3" t="str">
        <f aca="false">INDEX(Pop_Inputs!$Q$2:$Q$29,MATCH(C2021,Pop_Inputs!$A$2:$A$29,0))</f>
        <v>Midwest</v>
      </c>
      <c r="W2021" s="29" t="n">
        <v>79868333</v>
      </c>
      <c r="X2021" s="3" t="n">
        <f aca="false">IF(W2021="","",LN(W2021))</f>
        <v>18.1958899992597</v>
      </c>
      <c r="Y2021" s="3" t="n">
        <f aca="false">IF(X2021="","",X2021-AVERAGEIFS($X$2:$X$2705,$B$2:$B$2705,B2021))</f>
        <v>0.195126800611565</v>
      </c>
      <c r="Z2021" s="21" t="n">
        <f aca="false">P2021</f>
        <v>0.521123607802354</v>
      </c>
      <c r="AA2021" s="3" t="n">
        <f aca="false">R2021</f>
        <v>0</v>
      </c>
      <c r="AB2021" s="21" t="n">
        <f aca="false">P2021</f>
        <v>0.521123607802354</v>
      </c>
      <c r="AC2021" s="3" t="n">
        <f aca="false">Y2021</f>
        <v>0.195126800611565</v>
      </c>
      <c r="AD2021" s="3" t="n">
        <f aca="false">R2021</f>
        <v>0</v>
      </c>
    </row>
    <row r="2022" customFormat="false" ht="15" hidden="false" customHeight="true" outlineLevel="0" collapsed="false">
      <c r="A2022" s="7" t="s">
        <v>65</v>
      </c>
      <c r="B2022" s="7" t="n">
        <v>2003</v>
      </c>
      <c r="C2022" s="7" t="s">
        <v>142</v>
      </c>
      <c r="D2022" s="7" t="n">
        <v>86</v>
      </c>
      <c r="E2022" s="7" t="n">
        <v>76</v>
      </c>
      <c r="F2022" s="3" t="n">
        <f aca="false">COUNTIFS($B$2:$B$2705,B2022,$C$2:$C$2705,C2022)</f>
        <v>2</v>
      </c>
      <c r="G2022" s="3" t="n">
        <f aca="false">MIN(INT((MIN(B2022,2020)-1900)/10)+1,12)</f>
        <v>11</v>
      </c>
      <c r="H2022" s="3" t="n">
        <f aca="false">(MIN(B2022,2020)-1900-10*(G2022-1))/10</f>
        <v>0.3</v>
      </c>
      <c r="I2022" s="20" t="n">
        <f aca="false">EXP(LN(INDEX(Pop_Inputs!$B$2:$N$29,MATCH(C2022,Pop_Inputs!$A$2:$A$29,0),G2022))*(1-H2022)+LN(INDEX(Pop_Inputs!$B$2:$N$29,MATCH(C2022,Pop_Inputs!$A$2:$A$29,0),G2022+1))*H2022)</f>
        <v>2834374.33924955</v>
      </c>
      <c r="J2022" s="20" t="n">
        <f aca="false">I2022/F2022</f>
        <v>1417187.16962478</v>
      </c>
      <c r="K2022" s="21" t="n">
        <f aca="false">D2022/(D2022+E2022)</f>
        <v>0.530864197530864</v>
      </c>
      <c r="L2022" s="21" t="n">
        <f aca="false">AVERAGEIFS($K$2:$K$2705,$B$2:$B$2705,B2022)</f>
        <v>0.500006390103008</v>
      </c>
      <c r="M2022" s="21" t="n">
        <f aca="false">K2022-L2022</f>
        <v>0.0308578074278558</v>
      </c>
      <c r="N2022" s="21" t="n">
        <f aca="false">LN(J2022)</f>
        <v>14.1641845986053</v>
      </c>
      <c r="O2022" s="21" t="n">
        <f aca="false">AVERAGEIFS($N$2:$N$2705,$B$2:$B$2705,B2022)</f>
        <v>13.643060990803</v>
      </c>
      <c r="P2022" s="21" t="n">
        <f aca="false">N2022-O2022</f>
        <v>0.521123607802354</v>
      </c>
      <c r="Q2022" s="7" t="n">
        <v>0</v>
      </c>
      <c r="R2022" s="3" t="n">
        <f aca="false">IF(AND(Q2022=1,B2022-_xlfn.MINIFS($B$2:$B$2705,$A$2:$A$2705,A2022)&lt;10),1,0)</f>
        <v>0</v>
      </c>
      <c r="S2022" s="7" t="n">
        <v>0</v>
      </c>
      <c r="T2022" s="3" t="n">
        <f aca="false">_xlfn.MINIFS($B$2:$B$2705,$A$2:$A$2705,A2022)</f>
        <v>1901</v>
      </c>
      <c r="U2022" s="3" t="n">
        <f aca="false">B2022-T2022</f>
        <v>102</v>
      </c>
      <c r="V2022" s="3" t="str">
        <f aca="false">INDEX(Pop_Inputs!$Q$2:$Q$29,MATCH(C2022,Pop_Inputs!$A$2:$A$29,0))</f>
        <v>Midwest</v>
      </c>
      <c r="W2022" s="29" t="n">
        <v>51010000</v>
      </c>
      <c r="X2022" s="3" t="n">
        <f aca="false">IF(W2022="","",LN(W2022))</f>
        <v>17.7475322498991</v>
      </c>
      <c r="Y2022" s="3" t="n">
        <f aca="false">IF(X2022="","",X2022-AVERAGEIFS($X$2:$X$2705,$B$2:$B$2705,B2022))</f>
        <v>-0.253230948749035</v>
      </c>
      <c r="Z2022" s="21" t="n">
        <f aca="false">P2022</f>
        <v>0.521123607802354</v>
      </c>
      <c r="AA2022" s="3" t="n">
        <f aca="false">R2022</f>
        <v>0</v>
      </c>
      <c r="AB2022" s="21" t="n">
        <f aca="false">P2022</f>
        <v>0.521123607802354</v>
      </c>
      <c r="AC2022" s="3" t="n">
        <f aca="false">Y2022</f>
        <v>-0.253230948749035</v>
      </c>
      <c r="AD2022" s="3" t="n">
        <f aca="false">R2022</f>
        <v>0</v>
      </c>
    </row>
    <row r="2023" customFormat="false" ht="15" hidden="false" customHeight="true" outlineLevel="0" collapsed="false">
      <c r="A2023" s="7" t="s">
        <v>57</v>
      </c>
      <c r="B2023" s="7" t="n">
        <v>2003</v>
      </c>
      <c r="C2023" s="7" t="s">
        <v>143</v>
      </c>
      <c r="D2023" s="7" t="n">
        <v>69</v>
      </c>
      <c r="E2023" s="7" t="n">
        <v>93</v>
      </c>
      <c r="F2023" s="3" t="n">
        <f aca="false">COUNTIFS($B$2:$B$2705,B2023,$C$2:$C$2705,C2023)</f>
        <v>1</v>
      </c>
      <c r="G2023" s="3" t="n">
        <f aca="false">MIN(INT((MIN(B2023,2020)-1900)/10)+1,12)</f>
        <v>11</v>
      </c>
      <c r="H2023" s="3" t="n">
        <f aca="false">(MIN(B2023,2020)-1900-10*(G2023-1))/10</f>
        <v>0.3</v>
      </c>
      <c r="I2023" s="20" t="n">
        <f aca="false">EXP(LN(INDEX(Pop_Inputs!$B$2:$N$29,MATCH(C2023,Pop_Inputs!$A$2:$A$29,0),G2023))*(1-H2023)+LN(INDEX(Pop_Inputs!$B$2:$N$29,MATCH(C2023,Pop_Inputs!$A$2:$A$29,0),G2023+1))*H2023)</f>
        <v>320584.977885354</v>
      </c>
      <c r="J2023" s="20" t="n">
        <f aca="false">I2023/F2023</f>
        <v>320584.977885354</v>
      </c>
      <c r="K2023" s="21" t="n">
        <f aca="false">D2023/(D2023+E2023)</f>
        <v>0.425925925925926</v>
      </c>
      <c r="L2023" s="21" t="n">
        <f aca="false">AVERAGEIFS($K$2:$K$2705,$B$2:$B$2705,B2023)</f>
        <v>0.500006390103008</v>
      </c>
      <c r="M2023" s="21" t="n">
        <f aca="false">K2023-L2023</f>
        <v>-0.0740804641770825</v>
      </c>
      <c r="N2023" s="21" t="n">
        <f aca="false">LN(J2023)</f>
        <v>12.677902661807</v>
      </c>
      <c r="O2023" s="21" t="n">
        <f aca="false">AVERAGEIFS($N$2:$N$2705,$B$2:$B$2705,B2023)</f>
        <v>13.643060990803</v>
      </c>
      <c r="P2023" s="21" t="n">
        <f aca="false">N2023-O2023</f>
        <v>-0.965158328995972</v>
      </c>
      <c r="Q2023" s="7" t="n">
        <v>0</v>
      </c>
      <c r="R2023" s="3" t="n">
        <f aca="false">IF(AND(Q2023=1,B2023-_xlfn.MINIFS($B$2:$B$2705,$A$2:$A$2705,A2023)&lt;10),1,0)</f>
        <v>0</v>
      </c>
      <c r="S2023" s="7" t="n">
        <v>0</v>
      </c>
      <c r="T2023" s="3" t="n">
        <f aca="false">_xlfn.MINIFS($B$2:$B$2705,$A$2:$A$2705,A2023)</f>
        <v>1901</v>
      </c>
      <c r="U2023" s="3" t="n">
        <f aca="false">B2023-T2023</f>
        <v>102</v>
      </c>
      <c r="V2023" s="3" t="str">
        <f aca="false">INDEX(Pop_Inputs!$Q$2:$Q$29,MATCH(C2023,Pop_Inputs!$A$2:$A$29,0))</f>
        <v>Midwest</v>
      </c>
      <c r="W2023" s="29" t="n">
        <v>59355667</v>
      </c>
      <c r="X2023" s="3" t="n">
        <f aca="false">IF(W2023="","",LN(W2023))</f>
        <v>17.8990581588761</v>
      </c>
      <c r="Y2023" s="3" t="n">
        <f aca="false">IF(X2023="","",X2023-AVERAGEIFS($X$2:$X$2705,$B$2:$B$2705,B2023))</f>
        <v>-0.10170503977205</v>
      </c>
      <c r="Z2023" s="21" t="n">
        <f aca="false">P2023</f>
        <v>-0.965158328995972</v>
      </c>
      <c r="AA2023" s="3" t="n">
        <f aca="false">R2023</f>
        <v>0</v>
      </c>
      <c r="AB2023" s="21" t="n">
        <f aca="false">P2023</f>
        <v>-0.965158328995972</v>
      </c>
      <c r="AC2023" s="3" t="n">
        <f aca="false">Y2023</f>
        <v>-0.10170503977205</v>
      </c>
      <c r="AD2023" s="3" t="n">
        <f aca="false">R2023</f>
        <v>0</v>
      </c>
    </row>
    <row r="2024" customFormat="false" ht="15" hidden="false" customHeight="true" outlineLevel="0" collapsed="false">
      <c r="A2024" s="7" t="s">
        <v>66</v>
      </c>
      <c r="B2024" s="7" t="n">
        <v>2003</v>
      </c>
      <c r="C2024" s="7" t="s">
        <v>151</v>
      </c>
      <c r="D2024" s="7" t="n">
        <v>68</v>
      </c>
      <c r="E2024" s="7" t="n">
        <v>94</v>
      </c>
      <c r="F2024" s="3" t="n">
        <f aca="false">COUNTIFS($B$2:$B$2705,B2024,$C$2:$C$2705,C2024)</f>
        <v>1</v>
      </c>
      <c r="G2024" s="3" t="n">
        <f aca="false">MIN(INT((MIN(B2024,2020)-1900)/10)+1,12)</f>
        <v>11</v>
      </c>
      <c r="H2024" s="3" t="n">
        <f aca="false">(MIN(B2024,2020)-1900-10*(G2024-1))/10</f>
        <v>0.3</v>
      </c>
      <c r="I2024" s="20" t="n">
        <f aca="false">EXP(LN(INDEX(Pop_Inputs!$B$2:$N$29,MATCH(C2024,Pop_Inputs!$A$2:$A$29,0),G2024))*(1-H2024)+LN(INDEX(Pop_Inputs!$B$2:$N$29,MATCH(C2024,Pop_Inputs!$A$2:$A$29,0),G2024+1))*H2024)</f>
        <v>452305.793147385</v>
      </c>
      <c r="J2024" s="20" t="n">
        <f aca="false">I2024/F2024</f>
        <v>452305.793147385</v>
      </c>
      <c r="K2024" s="21" t="n">
        <f aca="false">D2024/(D2024+E2024)</f>
        <v>0.419753086419753</v>
      </c>
      <c r="L2024" s="21" t="n">
        <f aca="false">AVERAGEIFS($K$2:$K$2705,$B$2:$B$2705,B2024)</f>
        <v>0.500006390103008</v>
      </c>
      <c r="M2024" s="21" t="n">
        <f aca="false">K2024-L2024</f>
        <v>-0.0802533036832553</v>
      </c>
      <c r="N2024" s="21" t="n">
        <f aca="false">LN(J2024)</f>
        <v>13.0221137635806</v>
      </c>
      <c r="O2024" s="21" t="n">
        <f aca="false">AVERAGEIFS($N$2:$N$2705,$B$2:$B$2705,B2024)</f>
        <v>13.643060990803</v>
      </c>
      <c r="P2024" s="21" t="n">
        <f aca="false">N2024-O2024</f>
        <v>-0.620947227222329</v>
      </c>
      <c r="Q2024" s="7" t="n">
        <v>0</v>
      </c>
      <c r="R2024" s="3" t="n">
        <f aca="false">IF(AND(Q2024=1,B2024-_xlfn.MINIFS($B$2:$B$2705,$A$2:$A$2705,A2024)&lt;10),1,0)</f>
        <v>0</v>
      </c>
      <c r="S2024" s="7" t="n">
        <v>0</v>
      </c>
      <c r="T2024" s="3" t="n">
        <f aca="false">_xlfn.MINIFS($B$2:$B$2705,$A$2:$A$2705,A2024)</f>
        <v>1901</v>
      </c>
      <c r="U2024" s="3" t="n">
        <f aca="false">B2024-T2024</f>
        <v>102</v>
      </c>
      <c r="V2024" s="3" t="str">
        <f aca="false">INDEX(Pop_Inputs!$Q$2:$Q$29,MATCH(C2024,Pop_Inputs!$A$2:$A$29,0))</f>
        <v>Midwest</v>
      </c>
      <c r="W2024" s="29" t="n">
        <v>48584834</v>
      </c>
      <c r="X2024" s="3" t="n">
        <f aca="false">IF(W2024="","",LN(W2024))</f>
        <v>17.6988219825574</v>
      </c>
      <c r="Y2024" s="3" t="n">
        <f aca="false">IF(X2024="","",X2024-AVERAGEIFS($X$2:$X$2705,$B$2:$B$2705,B2024))</f>
        <v>-0.3019412160907</v>
      </c>
      <c r="Z2024" s="21" t="n">
        <f aca="false">P2024</f>
        <v>-0.620947227222329</v>
      </c>
      <c r="AA2024" s="3" t="n">
        <f aca="false">R2024</f>
        <v>0</v>
      </c>
      <c r="AB2024" s="21" t="n">
        <f aca="false">P2024</f>
        <v>-0.620947227222329</v>
      </c>
      <c r="AC2024" s="3" t="n">
        <f aca="false">Y2024</f>
        <v>-0.3019412160907</v>
      </c>
      <c r="AD2024" s="3" t="n">
        <f aca="false">R2024</f>
        <v>0</v>
      </c>
    </row>
    <row r="2025" customFormat="false" ht="15" hidden="false" customHeight="true" outlineLevel="0" collapsed="false">
      <c r="A2025" s="7" t="s">
        <v>82</v>
      </c>
      <c r="B2025" s="7" t="n">
        <v>2003</v>
      </c>
      <c r="C2025" s="7" t="s">
        <v>163</v>
      </c>
      <c r="D2025" s="7" t="n">
        <v>74</v>
      </c>
      <c r="E2025" s="7" t="n">
        <v>88</v>
      </c>
      <c r="F2025" s="3" t="n">
        <f aca="false">COUNTIFS($B$2:$B$2705,B2025,$C$2:$C$2705,C2025)</f>
        <v>1</v>
      </c>
      <c r="G2025" s="3" t="n">
        <f aca="false">MIN(INT((MIN(B2025,2020)-1900)/10)+1,12)</f>
        <v>11</v>
      </c>
      <c r="H2025" s="3" t="n">
        <f aca="false">(MIN(B2025,2020)-1900-10*(G2025-1))/10</f>
        <v>0.3</v>
      </c>
      <c r="I2025" s="20" t="n">
        <f aca="false">EXP(LN(INDEX(Pop_Inputs!$B$2:$N$29,MATCH(C2025,Pop_Inputs!$A$2:$A$29,0),G2025))*(1-H2025)+LN(INDEX(Pop_Inputs!$B$2:$N$29,MATCH(C2025,Pop_Inputs!$A$2:$A$29,0),G2025+1))*H2025)</f>
        <v>567917.587674057</v>
      </c>
      <c r="J2025" s="20" t="n">
        <f aca="false">I2025/F2025</f>
        <v>567917.587674057</v>
      </c>
      <c r="K2025" s="21" t="n">
        <f aca="false">D2025/(D2025+E2025)</f>
        <v>0.45679012345679</v>
      </c>
      <c r="L2025" s="21" t="n">
        <f aca="false">AVERAGEIFS($K$2:$K$2705,$B$2:$B$2705,B2025)</f>
        <v>0.500006390103008</v>
      </c>
      <c r="M2025" s="21" t="n">
        <f aca="false">K2025-L2025</f>
        <v>-0.0432162666462183</v>
      </c>
      <c r="N2025" s="21" t="n">
        <f aca="false">LN(J2025)</f>
        <v>13.2497315950533</v>
      </c>
      <c r="O2025" s="21" t="n">
        <f aca="false">AVERAGEIFS($N$2:$N$2705,$B$2:$B$2705,B2025)</f>
        <v>13.643060990803</v>
      </c>
      <c r="P2025" s="21" t="n">
        <f aca="false">N2025-O2025</f>
        <v>-0.393329395749708</v>
      </c>
      <c r="Q2025" s="7" t="n">
        <v>1</v>
      </c>
      <c r="R2025" s="3" t="n">
        <f aca="false">IF(AND(Q2025=1,B2025-_xlfn.MINIFS($B$2:$B$2705,$A$2:$A$2705,A2025)&lt;10),1,0)</f>
        <v>0</v>
      </c>
      <c r="S2025" s="7" t="n">
        <v>0</v>
      </c>
      <c r="T2025" s="3" t="n">
        <f aca="false">_xlfn.MINIFS($B$2:$B$2705,$A$2:$A$2705,A2025)</f>
        <v>1993</v>
      </c>
      <c r="U2025" s="3" t="n">
        <f aca="false">B2025-T2025</f>
        <v>10</v>
      </c>
      <c r="V2025" s="3" t="str">
        <f aca="false">INDEX(Pop_Inputs!$Q$2:$Q$29,MATCH(C2025,Pop_Inputs!$A$2:$A$29,0))</f>
        <v>West</v>
      </c>
      <c r="W2025" s="29" t="n">
        <v>67179667</v>
      </c>
      <c r="X2025" s="3" t="n">
        <f aca="false">IF(W2025="","",LN(W2025))</f>
        <v>18.0228811853037</v>
      </c>
      <c r="Y2025" s="3" t="n">
        <f aca="false">IF(X2025="","",X2025-AVERAGEIFS($X$2:$X$2705,$B$2:$B$2705,B2025))</f>
        <v>0.0221179866556014</v>
      </c>
      <c r="Z2025" s="21" t="n">
        <f aca="false">P2025</f>
        <v>-0.393329395749708</v>
      </c>
      <c r="AA2025" s="3" t="n">
        <f aca="false">R2025</f>
        <v>0</v>
      </c>
      <c r="AB2025" s="21" t="n">
        <f aca="false">P2025</f>
        <v>-0.393329395749708</v>
      </c>
      <c r="AC2025" s="3" t="n">
        <f aca="false">Y2025</f>
        <v>0.0221179866556014</v>
      </c>
      <c r="AD2025" s="3" t="n">
        <f aca="false">R2025</f>
        <v>0</v>
      </c>
    </row>
    <row r="2026" customFormat="false" ht="15" hidden="false" customHeight="true" outlineLevel="0" collapsed="false">
      <c r="A2026" s="7" t="s">
        <v>67</v>
      </c>
      <c r="B2026" s="7" t="n">
        <v>2003</v>
      </c>
      <c r="C2026" s="7" t="s">
        <v>152</v>
      </c>
      <c r="D2026" s="7" t="n">
        <v>43</v>
      </c>
      <c r="E2026" s="7" t="n">
        <v>119</v>
      </c>
      <c r="F2026" s="3" t="n">
        <f aca="false">COUNTIFS($B$2:$B$2705,B2026,$C$2:$C$2705,C2026)</f>
        <v>1</v>
      </c>
      <c r="G2026" s="3" t="n">
        <f aca="false">MIN(INT((MIN(B2026,2020)-1900)/10)+1,12)</f>
        <v>11</v>
      </c>
      <c r="H2026" s="3" t="n">
        <f aca="false">(MIN(B2026,2020)-1900-10*(G2026-1))/10</f>
        <v>0.3</v>
      </c>
      <c r="I2026" s="20" t="n">
        <f aca="false">EXP(LN(INDEX(Pop_Inputs!$B$2:$N$29,MATCH(C2026,Pop_Inputs!$A$2:$A$29,0),G2026))*(1-H2026)+LN(INDEX(Pop_Inputs!$B$2:$N$29,MATCH(C2026,Pop_Inputs!$A$2:$A$29,0),G2026+1))*H2026)</f>
        <v>872733.05515428</v>
      </c>
      <c r="J2026" s="20" t="n">
        <f aca="false">I2026/F2026</f>
        <v>872733.05515428</v>
      </c>
      <c r="K2026" s="21" t="n">
        <f aca="false">D2026/(D2026+E2026)</f>
        <v>0.265432098765432</v>
      </c>
      <c r="L2026" s="21" t="n">
        <f aca="false">AVERAGEIFS($K$2:$K$2705,$B$2:$B$2705,B2026)</f>
        <v>0.500006390103008</v>
      </c>
      <c r="M2026" s="21" t="n">
        <f aca="false">K2026-L2026</f>
        <v>-0.234574291337576</v>
      </c>
      <c r="N2026" s="21" t="n">
        <f aca="false">LN(J2026)</f>
        <v>13.6793850093154</v>
      </c>
      <c r="O2026" s="21" t="n">
        <f aca="false">AVERAGEIFS($N$2:$N$2705,$B$2:$B$2705,B2026)</f>
        <v>13.643060990803</v>
      </c>
      <c r="P2026" s="21" t="n">
        <f aca="false">N2026-O2026</f>
        <v>0.0363240185123797</v>
      </c>
      <c r="Q2026" s="7" t="n">
        <v>0</v>
      </c>
      <c r="R2026" s="3" t="n">
        <f aca="false">IF(AND(Q2026=1,B2026-_xlfn.MINIFS($B$2:$B$2705,$A$2:$A$2705,A2026)&lt;10),1,0)</f>
        <v>0</v>
      </c>
      <c r="S2026" s="7" t="n">
        <v>0</v>
      </c>
      <c r="T2026" s="3" t="n">
        <f aca="false">_xlfn.MINIFS($B$2:$B$2705,$A$2:$A$2705,A2026)</f>
        <v>1901</v>
      </c>
      <c r="U2026" s="3" t="n">
        <f aca="false">B2026-T2026</f>
        <v>102</v>
      </c>
      <c r="V2026" s="3" t="str">
        <f aca="false">INDEX(Pop_Inputs!$Q$2:$Q$29,MATCH(C2026,Pop_Inputs!$A$2:$A$29,0))</f>
        <v>Midwest</v>
      </c>
      <c r="W2026" s="29" t="n">
        <v>49168000</v>
      </c>
      <c r="X2026" s="3" t="n">
        <f aca="false">IF(W2026="","",LN(W2026))</f>
        <v>17.7107535633524</v>
      </c>
      <c r="Y2026" s="3" t="n">
        <f aca="false">IF(X2026="","",X2026-AVERAGEIFS($X$2:$X$2705,$B$2:$B$2705,B2026))</f>
        <v>-0.290009635295743</v>
      </c>
      <c r="Z2026" s="21" t="n">
        <f aca="false">P2026</f>
        <v>0.0363240185123797</v>
      </c>
      <c r="AA2026" s="3" t="n">
        <f aca="false">R2026</f>
        <v>0</v>
      </c>
      <c r="AB2026" s="21" t="n">
        <f aca="false">P2026</f>
        <v>0.0363240185123797</v>
      </c>
      <c r="AC2026" s="3" t="n">
        <f aca="false">Y2026</f>
        <v>-0.290009635295743</v>
      </c>
      <c r="AD2026" s="3" t="n">
        <f aca="false">R2026</f>
        <v>0</v>
      </c>
    </row>
    <row r="2027" customFormat="false" ht="15" hidden="false" customHeight="true" outlineLevel="0" collapsed="false">
      <c r="A2027" s="7" t="s">
        <v>83</v>
      </c>
      <c r="B2027" s="7" t="n">
        <v>2003</v>
      </c>
      <c r="C2027" s="7" t="s">
        <v>164</v>
      </c>
      <c r="D2027" s="7" t="n">
        <v>91</v>
      </c>
      <c r="E2027" s="7" t="n">
        <v>71</v>
      </c>
      <c r="F2027" s="3" t="n">
        <f aca="false">COUNTIFS($B$2:$B$2705,B2027,$C$2:$C$2705,C2027)</f>
        <v>1</v>
      </c>
      <c r="G2027" s="3" t="n">
        <f aca="false">MIN(INT((MIN(B2027,2020)-1900)/10)+1,12)</f>
        <v>11</v>
      </c>
      <c r="H2027" s="3" t="n">
        <f aca="false">(MIN(B2027,2020)-1900-10*(G2027-1))/10</f>
        <v>0.3</v>
      </c>
      <c r="I2027" s="20" t="n">
        <f aca="false">EXP(LN(INDEX(Pop_Inputs!$B$2:$N$29,MATCH(C2027,Pop_Inputs!$A$2:$A$29,0),G2027))*(1-H2027)+LN(INDEX(Pop_Inputs!$B$2:$N$29,MATCH(C2027,Pop_Inputs!$A$2:$A$29,0),G2027+1))*H2027)</f>
        <v>373191.25493015</v>
      </c>
      <c r="J2027" s="20" t="n">
        <f aca="false">I2027/F2027</f>
        <v>373191.25493015</v>
      </c>
      <c r="K2027" s="21" t="n">
        <f aca="false">D2027/(D2027+E2027)</f>
        <v>0.561728395061728</v>
      </c>
      <c r="L2027" s="21" t="n">
        <f aca="false">AVERAGEIFS($K$2:$K$2705,$B$2:$B$2705,B2027)</f>
        <v>0.500006390103008</v>
      </c>
      <c r="M2027" s="21" t="n">
        <f aca="false">K2027-L2027</f>
        <v>0.06172200495872</v>
      </c>
      <c r="N2027" s="21" t="n">
        <f aca="false">LN(J2027)</f>
        <v>12.8298463150177</v>
      </c>
      <c r="O2027" s="21" t="n">
        <f aca="false">AVERAGEIFS($N$2:$N$2705,$B$2:$B$2705,B2027)</f>
        <v>13.643060990803</v>
      </c>
      <c r="P2027" s="21" t="n">
        <f aca="false">N2027-O2027</f>
        <v>-0.81321467578525</v>
      </c>
      <c r="Q2027" s="7" t="n">
        <v>1</v>
      </c>
      <c r="R2027" s="3" t="n">
        <f aca="false">IF(AND(Q2027=1,B2027-_xlfn.MINIFS($B$2:$B$2705,$A$2:$A$2705,A2027)&lt;10),1,0)</f>
        <v>0</v>
      </c>
      <c r="S2027" s="7" t="n">
        <v>0</v>
      </c>
      <c r="T2027" s="3" t="n">
        <f aca="false">_xlfn.MINIFS($B$2:$B$2705,$A$2:$A$2705,A2027)</f>
        <v>1993</v>
      </c>
      <c r="U2027" s="3" t="n">
        <f aca="false">B2027-T2027</f>
        <v>10</v>
      </c>
      <c r="V2027" s="3" t="str">
        <f aca="false">INDEX(Pop_Inputs!$Q$2:$Q$29,MATCH(C2027,Pop_Inputs!$A$2:$A$29,0))</f>
        <v>South</v>
      </c>
      <c r="W2027" s="29" t="n">
        <v>49450000</v>
      </c>
      <c r="X2027" s="3" t="n">
        <f aca="false">IF(W2027="","",LN(W2027))</f>
        <v>17.716472616033</v>
      </c>
      <c r="Y2027" s="3" t="n">
        <f aca="false">IF(X2027="","",X2027-AVERAGEIFS($X$2:$X$2705,$B$2:$B$2705,B2027))</f>
        <v>-0.284290582615149</v>
      </c>
      <c r="Z2027" s="21" t="n">
        <f aca="false">P2027</f>
        <v>-0.81321467578525</v>
      </c>
      <c r="AA2027" s="3" t="n">
        <f aca="false">R2027</f>
        <v>0</v>
      </c>
      <c r="AB2027" s="21" t="n">
        <f aca="false">P2027</f>
        <v>-0.81321467578525</v>
      </c>
      <c r="AC2027" s="3" t="n">
        <f aca="false">Y2027</f>
        <v>-0.284290582615149</v>
      </c>
      <c r="AD2027" s="3" t="n">
        <f aca="false">R2027</f>
        <v>0</v>
      </c>
    </row>
    <row r="2028" customFormat="false" ht="15" hidden="false" customHeight="true" outlineLevel="0" collapsed="false">
      <c r="A2028" s="7" t="s">
        <v>74</v>
      </c>
      <c r="B2028" s="7" t="n">
        <v>2003</v>
      </c>
      <c r="C2028" s="7" t="s">
        <v>156</v>
      </c>
      <c r="D2028" s="7" t="n">
        <v>87</v>
      </c>
      <c r="E2028" s="7" t="n">
        <v>75</v>
      </c>
      <c r="F2028" s="3" t="n">
        <f aca="false">COUNTIFS($B$2:$B$2705,B2028,$C$2:$C$2705,C2028)</f>
        <v>1</v>
      </c>
      <c r="G2028" s="3" t="n">
        <f aca="false">MIN(INT((MIN(B2028,2020)-1900)/10)+1,12)</f>
        <v>11</v>
      </c>
      <c r="H2028" s="3" t="n">
        <f aca="false">(MIN(B2028,2020)-1900-10*(G2028-1))/10</f>
        <v>0.3</v>
      </c>
      <c r="I2028" s="20" t="n">
        <f aca="false">EXP(LN(INDEX(Pop_Inputs!$B$2:$N$29,MATCH(C2028,Pop_Inputs!$A$2:$A$29,0),G2028))*(1-H2028)+LN(INDEX(Pop_Inputs!$B$2:$N$29,MATCH(C2028,Pop_Inputs!$A$2:$A$29,0),G2028+1))*H2028)</f>
        <v>1996280.20093429</v>
      </c>
      <c r="J2028" s="20" t="n">
        <f aca="false">I2028/F2028</f>
        <v>1996280.20093429</v>
      </c>
      <c r="K2028" s="21" t="n">
        <f aca="false">D2028/(D2028+E2028)</f>
        <v>0.537037037037037</v>
      </c>
      <c r="L2028" s="21" t="n">
        <f aca="false">AVERAGEIFS($K$2:$K$2705,$B$2:$B$2705,B2028)</f>
        <v>0.500006390103008</v>
      </c>
      <c r="M2028" s="21" t="n">
        <f aca="false">K2028-L2028</f>
        <v>0.0370306469340287</v>
      </c>
      <c r="N2028" s="21" t="n">
        <f aca="false">LN(J2028)</f>
        <v>14.5067961072306</v>
      </c>
      <c r="O2028" s="21" t="n">
        <f aca="false">AVERAGEIFS($N$2:$N$2705,$B$2:$B$2705,B2028)</f>
        <v>13.643060990803</v>
      </c>
      <c r="P2028" s="21" t="n">
        <f aca="false">N2028-O2028</f>
        <v>0.86373511642765</v>
      </c>
      <c r="Q2028" s="7" t="n">
        <v>1</v>
      </c>
      <c r="R2028" s="3" t="n">
        <f aca="false">IF(AND(Q2028=1,B2028-_xlfn.MINIFS($B$2:$B$2705,$A$2:$A$2705,A2028)&lt;10),1,0)</f>
        <v>0</v>
      </c>
      <c r="S2028" s="7" t="n">
        <v>0</v>
      </c>
      <c r="T2028" s="3" t="n">
        <f aca="false">_xlfn.MINIFS($B$2:$B$2705,$A$2:$A$2705,A2028)</f>
        <v>1962</v>
      </c>
      <c r="U2028" s="3" t="n">
        <f aca="false">B2028-T2028</f>
        <v>41</v>
      </c>
      <c r="V2028" s="3" t="str">
        <f aca="false">INDEX(Pop_Inputs!$Q$2:$Q$29,MATCH(C2028,Pop_Inputs!$A$2:$A$29,0))</f>
        <v>South</v>
      </c>
      <c r="W2028" s="29" t="n">
        <v>71040000</v>
      </c>
      <c r="X2028" s="3" t="n">
        <f aca="false">IF(W2028="","",LN(W2028))</f>
        <v>18.0787536566482</v>
      </c>
      <c r="Y2028" s="3" t="n">
        <f aca="false">IF(X2028="","",X2028-AVERAGEIFS($X$2:$X$2705,$B$2:$B$2705,B2028))</f>
        <v>0.0779904580000448</v>
      </c>
      <c r="Z2028" s="21" t="n">
        <f aca="false">P2028</f>
        <v>0.86373511642765</v>
      </c>
      <c r="AA2028" s="3" t="n">
        <f aca="false">R2028</f>
        <v>0</v>
      </c>
      <c r="AB2028" s="21" t="n">
        <f aca="false">P2028</f>
        <v>0.86373511642765</v>
      </c>
      <c r="AC2028" s="3" t="n">
        <f aca="false">Y2028</f>
        <v>0.0779904580000448</v>
      </c>
      <c r="AD2028" s="3" t="n">
        <f aca="false">R2028</f>
        <v>0</v>
      </c>
    </row>
    <row r="2029" customFormat="false" ht="15" hidden="false" customHeight="true" outlineLevel="0" collapsed="false">
      <c r="A2029" s="7" t="s">
        <v>76</v>
      </c>
      <c r="B2029" s="7" t="n">
        <v>2003</v>
      </c>
      <c r="C2029" s="7" t="s">
        <v>157</v>
      </c>
      <c r="D2029" s="7" t="n">
        <v>83</v>
      </c>
      <c r="E2029" s="7" t="n">
        <v>79</v>
      </c>
      <c r="F2029" s="3" t="n">
        <f aca="false">COUNTIFS($B$2:$B$2705,B2029,$C$2:$C$2705,C2029)</f>
        <v>1</v>
      </c>
      <c r="G2029" s="3" t="n">
        <f aca="false">MIN(INT((MIN(B2029,2020)-1900)/10)+1,12)</f>
        <v>11</v>
      </c>
      <c r="H2029" s="3" t="n">
        <f aca="false">(MIN(B2029,2020)-1900-10*(G2029-1))/10</f>
        <v>0.3</v>
      </c>
      <c r="I2029" s="20" t="n">
        <f aca="false">EXP(LN(INDEX(Pop_Inputs!$B$2:$N$29,MATCH(C2029,Pop_Inputs!$A$2:$A$29,0),G2029))*(1-H2029)+LN(INDEX(Pop_Inputs!$B$2:$N$29,MATCH(C2029,Pop_Inputs!$A$2:$A$29,0),G2029+1))*H2029)</f>
        <v>446940.269186351</v>
      </c>
      <c r="J2029" s="20" t="n">
        <f aca="false">I2029/F2029</f>
        <v>446940.269186351</v>
      </c>
      <c r="K2029" s="21" t="n">
        <f aca="false">D2029/(D2029+E2029)</f>
        <v>0.512345679012346</v>
      </c>
      <c r="L2029" s="21" t="n">
        <f aca="false">AVERAGEIFS($K$2:$K$2705,$B$2:$B$2705,B2029)</f>
        <v>0.500006390103008</v>
      </c>
      <c r="M2029" s="21" t="n">
        <f aca="false">K2029-L2029</f>
        <v>0.0123392889093373</v>
      </c>
      <c r="N2029" s="21" t="n">
        <f aca="false">LN(J2029)</f>
        <v>13.0101802386856</v>
      </c>
      <c r="O2029" s="21" t="n">
        <f aca="false">AVERAGEIFS($N$2:$N$2705,$B$2:$B$2705,B2029)</f>
        <v>13.643060990803</v>
      </c>
      <c r="P2029" s="21" t="n">
        <f aca="false">N2029-O2029</f>
        <v>-0.632880752117337</v>
      </c>
      <c r="Q2029" s="7" t="n">
        <v>1</v>
      </c>
      <c r="R2029" s="3" t="n">
        <f aca="false">IF(AND(Q2029=1,B2029-_xlfn.MINIFS($B$2:$B$2705,$A$2:$A$2705,A2029)&lt;10),1,0)</f>
        <v>0</v>
      </c>
      <c r="S2029" s="7" t="n">
        <v>0</v>
      </c>
      <c r="T2029" s="3" t="n">
        <f aca="false">_xlfn.MINIFS($B$2:$B$2705,$A$2:$A$2705,A2029)</f>
        <v>1969</v>
      </c>
      <c r="U2029" s="3" t="n">
        <f aca="false">B2029-T2029</f>
        <v>34</v>
      </c>
      <c r="V2029" s="3" t="str">
        <f aca="false">INDEX(Pop_Inputs!$Q$2:$Q$29,MATCH(C2029,Pop_Inputs!$A$2:$A$29,0))</f>
        <v>Midwest</v>
      </c>
      <c r="W2029" s="29" t="n">
        <v>40518000</v>
      </c>
      <c r="X2029" s="3" t="n">
        <f aca="false">IF(W2029="","",LN(W2029))</f>
        <v>17.517256877785</v>
      </c>
      <c r="Y2029" s="3" t="n">
        <f aca="false">IF(X2029="","",X2029-AVERAGEIFS($X$2:$X$2705,$B$2:$B$2705,B2029))</f>
        <v>-0.483506320863111</v>
      </c>
      <c r="Z2029" s="21" t="n">
        <f aca="false">P2029</f>
        <v>-0.632880752117337</v>
      </c>
      <c r="AA2029" s="3" t="n">
        <f aca="false">R2029</f>
        <v>0</v>
      </c>
      <c r="AB2029" s="21" t="n">
        <f aca="false">P2029</f>
        <v>-0.632880752117337</v>
      </c>
      <c r="AC2029" s="3" t="n">
        <f aca="false">Y2029</f>
        <v>-0.483506320863111</v>
      </c>
      <c r="AD2029" s="3" t="n">
        <f aca="false">R2029</f>
        <v>0</v>
      </c>
    </row>
    <row r="2030" customFormat="false" ht="15" hidden="false" customHeight="true" outlineLevel="0" collapsed="false">
      <c r="A2030" s="7" t="s">
        <v>62</v>
      </c>
      <c r="B2030" s="7" t="n">
        <v>2003</v>
      </c>
      <c r="C2030" s="7" t="s">
        <v>148</v>
      </c>
      <c r="D2030" s="7" t="n">
        <v>85</v>
      </c>
      <c r="E2030" s="7" t="n">
        <v>77</v>
      </c>
      <c r="F2030" s="3" t="n">
        <f aca="false">COUNTIFS($B$2:$B$2705,B2030,$C$2:$C$2705,C2030)</f>
        <v>2</v>
      </c>
      <c r="G2030" s="3" t="n">
        <f aca="false">MIN(INT((MIN(B2030,2020)-1900)/10)+1,12)</f>
        <v>11</v>
      </c>
      <c r="H2030" s="3" t="n">
        <f aca="false">(MIN(B2030,2020)-1900-10*(G2030-1))/10</f>
        <v>0.3</v>
      </c>
      <c r="I2030" s="20" t="n">
        <f aca="false">EXP(LN(INDEX(Pop_Inputs!$B$2:$N$29,MATCH(C2030,Pop_Inputs!$A$2:$A$29,0),G2030))*(1-H2030)+LN(INDEX(Pop_Inputs!$B$2:$N$29,MATCH(C2030,Pop_Inputs!$A$2:$A$29,0),G2030+1))*H2030)</f>
        <v>3723892.48498572</v>
      </c>
      <c r="J2030" s="20" t="n">
        <f aca="false">I2030/F2030</f>
        <v>1861946.24249286</v>
      </c>
      <c r="K2030" s="21" t="n">
        <f aca="false">D2030/(D2030+E2030)</f>
        <v>0.524691358024691</v>
      </c>
      <c r="L2030" s="21" t="n">
        <f aca="false">AVERAGEIFS($K$2:$K$2705,$B$2:$B$2705,B2030)</f>
        <v>0.500006390103008</v>
      </c>
      <c r="M2030" s="21" t="n">
        <f aca="false">K2030-L2030</f>
        <v>0.024684967921683</v>
      </c>
      <c r="N2030" s="21" t="n">
        <f aca="false">LN(J2030)</f>
        <v>14.4371328655607</v>
      </c>
      <c r="O2030" s="21" t="n">
        <f aca="false">AVERAGEIFS($N$2:$N$2705,$B$2:$B$2705,B2030)</f>
        <v>13.643060990803</v>
      </c>
      <c r="P2030" s="21" t="n">
        <f aca="false">N2030-O2030</f>
        <v>0.794071874757757</v>
      </c>
      <c r="Q2030" s="7" t="n">
        <v>0</v>
      </c>
      <c r="R2030" s="3" t="n">
        <f aca="false">IF(AND(Q2030=1,B2030-_xlfn.MINIFS($B$2:$B$2705,$A$2:$A$2705,A2030)&lt;10),1,0)</f>
        <v>0</v>
      </c>
      <c r="S2030" s="7" t="n">
        <v>0</v>
      </c>
      <c r="T2030" s="3" t="n">
        <f aca="false">_xlfn.MINIFS($B$2:$B$2705,$A$2:$A$2705,A2030)</f>
        <v>1901</v>
      </c>
      <c r="U2030" s="3" t="n">
        <f aca="false">B2030-T2030</f>
        <v>102</v>
      </c>
      <c r="V2030" s="3" t="str">
        <f aca="false">INDEX(Pop_Inputs!$Q$2:$Q$29,MATCH(C2030,Pop_Inputs!$A$2:$A$29,0))</f>
        <v>West</v>
      </c>
      <c r="W2030" s="29" t="n">
        <v>105572620</v>
      </c>
      <c r="X2030" s="3" t="n">
        <f aca="false">IF(W2030="","",LN(W2030))</f>
        <v>18.4749096153145</v>
      </c>
      <c r="Y2030" s="3" t="n">
        <f aca="false">IF(X2030="","",X2030-AVERAGEIFS($X$2:$X$2705,$B$2:$B$2705,B2030))</f>
        <v>0.474146416666311</v>
      </c>
      <c r="Z2030" s="21" t="n">
        <f aca="false">P2030</f>
        <v>0.794071874757757</v>
      </c>
      <c r="AA2030" s="3" t="n">
        <f aca="false">R2030</f>
        <v>0</v>
      </c>
      <c r="AB2030" s="21" t="n">
        <f aca="false">P2030</f>
        <v>0.794071874757757</v>
      </c>
      <c r="AC2030" s="3" t="n">
        <f aca="false">Y2030</f>
        <v>0.474146416666311</v>
      </c>
      <c r="AD2030" s="3" t="n">
        <f aca="false">R2030</f>
        <v>0</v>
      </c>
    </row>
    <row r="2031" customFormat="false" ht="15" hidden="false" customHeight="true" outlineLevel="0" collapsed="false">
      <c r="A2031" s="7" t="s">
        <v>77</v>
      </c>
      <c r="B2031" s="7" t="n">
        <v>2003</v>
      </c>
      <c r="C2031" s="7" t="s">
        <v>158</v>
      </c>
      <c r="D2031" s="7" t="n">
        <v>68</v>
      </c>
      <c r="E2031" s="7" t="n">
        <v>94</v>
      </c>
      <c r="F2031" s="3" t="n">
        <f aca="false">COUNTIFS($B$2:$B$2705,B2031,$C$2:$C$2705,C2031)</f>
        <v>1</v>
      </c>
      <c r="G2031" s="3" t="n">
        <f aca="false">MIN(INT((MIN(B2031,2020)-1900)/10)+1,12)</f>
        <v>11</v>
      </c>
      <c r="H2031" s="3" t="n">
        <f aca="false">(MIN(B2031,2020)-1900-10*(G2031-1))/10</f>
        <v>0.3</v>
      </c>
      <c r="I2031" s="20" t="n">
        <f aca="false">EXP(LN(INDEX(Pop_Inputs!$B$2:$N$29,MATCH(C2031,Pop_Inputs!$A$2:$A$29,0),G2031))*(1-H2031)+LN(INDEX(Pop_Inputs!$B$2:$N$29,MATCH(C2031,Pop_Inputs!$A$2:$A$29,0),G2031+1))*H2031)</f>
        <v>596330.892112147</v>
      </c>
      <c r="J2031" s="20" t="n">
        <f aca="false">I2031/F2031</f>
        <v>596330.892112147</v>
      </c>
      <c r="K2031" s="21" t="n">
        <f aca="false">D2031/(D2031+E2031)</f>
        <v>0.419753086419753</v>
      </c>
      <c r="L2031" s="21" t="n">
        <f aca="false">AVERAGEIFS($K$2:$K$2705,$B$2:$B$2705,B2031)</f>
        <v>0.500006390103008</v>
      </c>
      <c r="M2031" s="21" t="n">
        <f aca="false">K2031-L2031</f>
        <v>-0.0802533036832553</v>
      </c>
      <c r="N2031" s="21" t="n">
        <f aca="false">LN(J2031)</f>
        <v>13.2985509800952</v>
      </c>
      <c r="O2031" s="21" t="n">
        <f aca="false">AVERAGEIFS($N$2:$N$2705,$B$2:$B$2705,B2031)</f>
        <v>13.643060990803</v>
      </c>
      <c r="P2031" s="21" t="n">
        <f aca="false">N2031-O2031</f>
        <v>-0.34451001070776</v>
      </c>
      <c r="Q2031" s="7" t="n">
        <v>1</v>
      </c>
      <c r="R2031" s="3" t="n">
        <f aca="false">IF(AND(Q2031=1,B2031-_xlfn.MINIFS($B$2:$B$2705,$A$2:$A$2705,A2031)&lt;10),1,0)</f>
        <v>0</v>
      </c>
      <c r="S2031" s="7" t="n">
        <v>0</v>
      </c>
      <c r="T2031" s="3" t="n">
        <f aca="false">_xlfn.MINIFS($B$2:$B$2705,$A$2:$A$2705,A2031)</f>
        <v>1969</v>
      </c>
      <c r="U2031" s="3" t="n">
        <f aca="false">B2031-T2031</f>
        <v>34</v>
      </c>
      <c r="V2031" s="3" t="str">
        <f aca="false">INDEX(Pop_Inputs!$Q$2:$Q$29,MATCH(C2031,Pop_Inputs!$A$2:$A$29,0))</f>
        <v>Midwest</v>
      </c>
      <c r="W2031" s="29" t="n">
        <v>40627000</v>
      </c>
      <c r="X2031" s="3" t="n">
        <f aca="false">IF(W2031="","",LN(W2031))</f>
        <v>17.5199434281716</v>
      </c>
      <c r="Y2031" s="3" t="n">
        <f aca="false">IF(X2031="","",X2031-AVERAGEIFS($X$2:$X$2705,$B$2:$B$2705,B2031))</f>
        <v>-0.480819770476533</v>
      </c>
      <c r="Z2031" s="21" t="n">
        <f aca="false">P2031</f>
        <v>-0.34451001070776</v>
      </c>
      <c r="AA2031" s="3" t="n">
        <f aca="false">R2031</f>
        <v>0</v>
      </c>
      <c r="AB2031" s="21" t="n">
        <f aca="false">P2031</f>
        <v>-0.34451001070776</v>
      </c>
      <c r="AC2031" s="3" t="n">
        <f aca="false">Y2031</f>
        <v>-0.480819770476533</v>
      </c>
      <c r="AD2031" s="3" t="n">
        <f aca="false">R2031</f>
        <v>0</v>
      </c>
    </row>
    <row r="2032" customFormat="false" ht="15" hidden="false" customHeight="true" outlineLevel="0" collapsed="false">
      <c r="A2032" s="7" t="s">
        <v>68</v>
      </c>
      <c r="B2032" s="7" t="n">
        <v>2003</v>
      </c>
      <c r="C2032" s="7" t="s">
        <v>153</v>
      </c>
      <c r="D2032" s="7" t="n">
        <v>90</v>
      </c>
      <c r="E2032" s="7" t="n">
        <v>72</v>
      </c>
      <c r="F2032" s="3" t="n">
        <f aca="false">COUNTIFS($B$2:$B$2705,B2032,$C$2:$C$2705,C2032)</f>
        <v>1</v>
      </c>
      <c r="G2032" s="3" t="n">
        <f aca="false">MIN(INT((MIN(B2032,2020)-1900)/10)+1,12)</f>
        <v>11</v>
      </c>
      <c r="H2032" s="3" t="n">
        <f aca="false">(MIN(B2032,2020)-1900-10*(G2032-1))/10</f>
        <v>0.3</v>
      </c>
      <c r="I2032" s="20" t="n">
        <f aca="false">EXP(LN(INDEX(Pop_Inputs!$B$2:$N$29,MATCH(C2032,Pop_Inputs!$A$2:$A$29,0),G2032))*(1-H2032)+LN(INDEX(Pop_Inputs!$B$2:$N$29,MATCH(C2032,Pop_Inputs!$A$2:$A$29,0),G2032+1))*H2032)</f>
        <v>382605.999560893</v>
      </c>
      <c r="J2032" s="20" t="n">
        <f aca="false">I2032/F2032</f>
        <v>382605.999560893</v>
      </c>
      <c r="K2032" s="21" t="n">
        <f aca="false">D2032/(D2032+E2032)</f>
        <v>0.555555555555556</v>
      </c>
      <c r="L2032" s="21" t="n">
        <f aca="false">AVERAGEIFS($K$2:$K$2705,$B$2:$B$2705,B2032)</f>
        <v>0.500006390103008</v>
      </c>
      <c r="M2032" s="21" t="n">
        <f aca="false">K2032-L2032</f>
        <v>0.0555491654525472</v>
      </c>
      <c r="N2032" s="21" t="n">
        <f aca="false">LN(J2032)</f>
        <v>12.8547610168922</v>
      </c>
      <c r="O2032" s="21" t="n">
        <f aca="false">AVERAGEIFS($N$2:$N$2705,$B$2:$B$2705,B2032)</f>
        <v>13.643060990803</v>
      </c>
      <c r="P2032" s="21" t="n">
        <f aca="false">N2032-O2032</f>
        <v>-0.78829997391073</v>
      </c>
      <c r="Q2032" s="7" t="n">
        <v>0</v>
      </c>
      <c r="R2032" s="3" t="n">
        <f aca="false">IF(AND(Q2032=1,B2032-_xlfn.MINIFS($B$2:$B$2705,$A$2:$A$2705,A2032)&lt;10),1,0)</f>
        <v>0</v>
      </c>
      <c r="S2032" s="7" t="n">
        <v>0</v>
      </c>
      <c r="T2032" s="3" t="n">
        <f aca="false">_xlfn.MINIFS($B$2:$B$2705,$A$2:$A$2705,A2032)</f>
        <v>1901</v>
      </c>
      <c r="U2032" s="3" t="n">
        <f aca="false">B2032-T2032</f>
        <v>102</v>
      </c>
      <c r="V2032" s="3" t="str">
        <f aca="false">INDEX(Pop_Inputs!$Q$2:$Q$29,MATCH(C2032,Pop_Inputs!$A$2:$A$29,0))</f>
        <v>Midwest</v>
      </c>
      <c r="W2032" s="29" t="n">
        <v>55505000</v>
      </c>
      <c r="X2032" s="3" t="n">
        <f aca="false">IF(W2032="","",LN(W2032))</f>
        <v>17.8319836647489</v>
      </c>
      <c r="Y2032" s="3" t="n">
        <f aca="false">IF(X2032="","",X2032-AVERAGEIFS($X$2:$X$2705,$B$2:$B$2705,B2032))</f>
        <v>-0.168779533899258</v>
      </c>
      <c r="Z2032" s="21" t="n">
        <f aca="false">P2032</f>
        <v>-0.78829997391073</v>
      </c>
      <c r="AA2032" s="3" t="n">
        <f aca="false">R2032</f>
        <v>0</v>
      </c>
      <c r="AB2032" s="21" t="n">
        <f aca="false">P2032</f>
        <v>-0.78829997391073</v>
      </c>
      <c r="AC2032" s="3" t="n">
        <f aca="false">Y2032</f>
        <v>-0.168779533899258</v>
      </c>
      <c r="AD2032" s="3" t="n">
        <f aca="false">R2032</f>
        <v>0</v>
      </c>
    </row>
    <row r="2033" customFormat="false" ht="15" hidden="false" customHeight="true" outlineLevel="0" collapsed="false">
      <c r="A2033" s="7" t="s">
        <v>75</v>
      </c>
      <c r="B2033" s="7" t="n">
        <v>2003</v>
      </c>
      <c r="C2033" s="7" t="s">
        <v>154</v>
      </c>
      <c r="D2033" s="7" t="n">
        <v>66</v>
      </c>
      <c r="E2033" s="7" t="n">
        <v>95</v>
      </c>
      <c r="F2033" s="3" t="n">
        <f aca="false">COUNTIFS($B$2:$B$2705,B2033,$C$2:$C$2705,C2033)</f>
        <v>2</v>
      </c>
      <c r="G2033" s="3" t="n">
        <f aca="false">MIN(INT((MIN(B2033,2020)-1900)/10)+1,12)</f>
        <v>11</v>
      </c>
      <c r="H2033" s="3" t="n">
        <f aca="false">(MIN(B2033,2020)-1900-10*(G2033-1))/10</f>
        <v>0.3</v>
      </c>
      <c r="I2033" s="20" t="n">
        <f aca="false">EXP(LN(INDEX(Pop_Inputs!$B$2:$N$29,MATCH(C2033,Pop_Inputs!$A$2:$A$29,0),G2033))*(1-H2033)+LN(INDEX(Pop_Inputs!$B$2:$N$29,MATCH(C2033,Pop_Inputs!$A$2:$A$29,0),G2033+1))*H2033)</f>
        <v>8057973.72005742</v>
      </c>
      <c r="J2033" s="20" t="n">
        <f aca="false">I2033/F2033</f>
        <v>4028986.86002871</v>
      </c>
      <c r="K2033" s="21" t="n">
        <f aca="false">D2033/(D2033+E2033)</f>
        <v>0.409937888198758</v>
      </c>
      <c r="L2033" s="21" t="n">
        <f aca="false">AVERAGEIFS($K$2:$K$2705,$B$2:$B$2705,B2033)</f>
        <v>0.500006390103008</v>
      </c>
      <c r="M2033" s="21" t="n">
        <f aca="false">K2033-L2033</f>
        <v>-0.0900685019042506</v>
      </c>
      <c r="N2033" s="21" t="n">
        <f aca="false">LN(J2033)</f>
        <v>15.2090255028201</v>
      </c>
      <c r="O2033" s="21" t="n">
        <f aca="false">AVERAGEIFS($N$2:$N$2705,$B$2:$B$2705,B2033)</f>
        <v>13.643060990803</v>
      </c>
      <c r="P2033" s="21" t="n">
        <f aca="false">N2033-O2033</f>
        <v>1.56596451201714</v>
      </c>
      <c r="Q2033" s="7" t="n">
        <v>1</v>
      </c>
      <c r="R2033" s="3" t="n">
        <f aca="false">IF(AND(Q2033=1,B2033-_xlfn.MINIFS($B$2:$B$2705,$A$2:$A$2705,A2033)&lt;10),1,0)</f>
        <v>0</v>
      </c>
      <c r="S2033" s="7" t="n">
        <v>0</v>
      </c>
      <c r="T2033" s="3" t="n">
        <f aca="false">_xlfn.MINIFS($B$2:$B$2705,$A$2:$A$2705,A2033)</f>
        <v>1962</v>
      </c>
      <c r="U2033" s="3" t="n">
        <f aca="false">B2033-T2033</f>
        <v>41</v>
      </c>
      <c r="V2033" s="3" t="str">
        <f aca="false">INDEX(Pop_Inputs!$Q$2:$Q$29,MATCH(C2033,Pop_Inputs!$A$2:$A$29,0))</f>
        <v>Northeast</v>
      </c>
      <c r="W2033" s="29" t="n">
        <v>116876429</v>
      </c>
      <c r="X2033" s="3" t="n">
        <f aca="false">IF(W2033="","",LN(W2033))</f>
        <v>18.5766277722363</v>
      </c>
      <c r="Y2033" s="3" t="n">
        <f aca="false">IF(X2033="","",X2033-AVERAGEIFS($X$2:$X$2705,$B$2:$B$2705,B2033))</f>
        <v>0.575864573588202</v>
      </c>
      <c r="Z2033" s="21" t="n">
        <f aca="false">P2033</f>
        <v>1.56596451201714</v>
      </c>
      <c r="AA2033" s="3" t="n">
        <f aca="false">R2033</f>
        <v>0</v>
      </c>
      <c r="AB2033" s="21" t="n">
        <f aca="false">P2033</f>
        <v>1.56596451201714</v>
      </c>
      <c r="AC2033" s="3" t="n">
        <f aca="false">Y2033</f>
        <v>0.575864573588202</v>
      </c>
      <c r="AD2033" s="3" t="n">
        <f aca="false">R2033</f>
        <v>0</v>
      </c>
    </row>
    <row r="2034" customFormat="false" ht="15" hidden="false" customHeight="true" outlineLevel="0" collapsed="false">
      <c r="A2034" s="7" t="s">
        <v>70</v>
      </c>
      <c r="B2034" s="7" t="n">
        <v>2003</v>
      </c>
      <c r="C2034" s="7" t="s">
        <v>154</v>
      </c>
      <c r="D2034" s="7" t="n">
        <v>101</v>
      </c>
      <c r="E2034" s="7" t="n">
        <v>61</v>
      </c>
      <c r="F2034" s="3" t="n">
        <f aca="false">COUNTIFS($B$2:$B$2705,B2034,$C$2:$C$2705,C2034)</f>
        <v>2</v>
      </c>
      <c r="G2034" s="3" t="n">
        <f aca="false">MIN(INT((MIN(B2034,2020)-1900)/10)+1,12)</f>
        <v>11</v>
      </c>
      <c r="H2034" s="3" t="n">
        <f aca="false">(MIN(B2034,2020)-1900-10*(G2034-1))/10</f>
        <v>0.3</v>
      </c>
      <c r="I2034" s="20" t="n">
        <f aca="false">EXP(LN(INDEX(Pop_Inputs!$B$2:$N$29,MATCH(C2034,Pop_Inputs!$A$2:$A$29,0),G2034))*(1-H2034)+LN(INDEX(Pop_Inputs!$B$2:$N$29,MATCH(C2034,Pop_Inputs!$A$2:$A$29,0),G2034+1))*H2034)</f>
        <v>8057973.72005742</v>
      </c>
      <c r="J2034" s="20" t="n">
        <f aca="false">I2034/F2034</f>
        <v>4028986.86002871</v>
      </c>
      <c r="K2034" s="21" t="n">
        <f aca="false">D2034/(D2034+E2034)</f>
        <v>0.623456790123457</v>
      </c>
      <c r="L2034" s="21" t="n">
        <f aca="false">AVERAGEIFS($K$2:$K$2705,$B$2:$B$2705,B2034)</f>
        <v>0.500006390103008</v>
      </c>
      <c r="M2034" s="21" t="n">
        <f aca="false">K2034-L2034</f>
        <v>0.123450400020448</v>
      </c>
      <c r="N2034" s="21" t="n">
        <f aca="false">LN(J2034)</f>
        <v>15.2090255028201</v>
      </c>
      <c r="O2034" s="21" t="n">
        <f aca="false">AVERAGEIFS($N$2:$N$2705,$B$2:$B$2705,B2034)</f>
        <v>13.643060990803</v>
      </c>
      <c r="P2034" s="21" t="n">
        <f aca="false">N2034-O2034</f>
        <v>1.56596451201714</v>
      </c>
      <c r="Q2034" s="7" t="n">
        <v>0</v>
      </c>
      <c r="R2034" s="3" t="n">
        <f aca="false">IF(AND(Q2034=1,B2034-_xlfn.MINIFS($B$2:$B$2705,$A$2:$A$2705,A2034)&lt;10),1,0)</f>
        <v>0</v>
      </c>
      <c r="S2034" s="7" t="n">
        <v>1</v>
      </c>
      <c r="T2034" s="3" t="n">
        <f aca="false">_xlfn.MINIFS($B$2:$B$2705,$A$2:$A$2705,A2034)</f>
        <v>1903</v>
      </c>
      <c r="U2034" s="3" t="n">
        <f aca="false">B2034-T2034</f>
        <v>100</v>
      </c>
      <c r="V2034" s="3" t="str">
        <f aca="false">INDEX(Pop_Inputs!$Q$2:$Q$29,MATCH(C2034,Pop_Inputs!$A$2:$A$29,0))</f>
        <v>Northeast</v>
      </c>
      <c r="W2034" s="29" t="n">
        <v>152749814</v>
      </c>
      <c r="X2034" s="3" t="n">
        <f aca="false">IF(W2034="","",LN(W2034))</f>
        <v>18.8443119383393</v>
      </c>
      <c r="Y2034" s="3" t="n">
        <f aca="false">IF(X2034="","",X2034-AVERAGEIFS($X$2:$X$2705,$B$2:$B$2705,B2034))</f>
        <v>0.843548739691151</v>
      </c>
      <c r="Z2034" s="21" t="n">
        <f aca="false">P2034</f>
        <v>1.56596451201714</v>
      </c>
      <c r="AA2034" s="3" t="n">
        <f aca="false">R2034</f>
        <v>0</v>
      </c>
      <c r="AB2034" s="21" t="n">
        <f aca="false">P2034</f>
        <v>1.56596451201714</v>
      </c>
      <c r="AC2034" s="3" t="n">
        <f aca="false">Y2034</f>
        <v>0.843548739691151</v>
      </c>
      <c r="AD2034" s="3" t="n">
        <f aca="false">R2034</f>
        <v>0</v>
      </c>
    </row>
    <row r="2035" customFormat="false" ht="15" hidden="false" customHeight="true" outlineLevel="0" collapsed="false">
      <c r="A2035" s="7" t="s">
        <v>69</v>
      </c>
      <c r="B2035" s="7" t="n">
        <v>2003</v>
      </c>
      <c r="C2035" s="7" t="s">
        <v>253</v>
      </c>
      <c r="D2035" s="7" t="n">
        <v>96</v>
      </c>
      <c r="E2035" s="7" t="n">
        <v>66</v>
      </c>
      <c r="F2035" s="3" t="n">
        <f aca="false">COUNTIFS($B$2:$B$2705,B2035,$C$2:$C$2705,C2035)</f>
        <v>1</v>
      </c>
      <c r="G2035" s="3" t="n">
        <f aca="false">MIN(INT((MIN(B2035,2020)-1900)/10)+1,12)</f>
        <v>11</v>
      </c>
      <c r="H2035" s="3" t="n">
        <f aca="false">(MIN(B2035,2020)-1900-10*(G2035-1))/10</f>
        <v>0.3</v>
      </c>
      <c r="I2035" s="20" t="n">
        <f aca="false">EXP(LN(INDEX(Pop_Inputs!$B$2:$N$29,MATCH(C2035,Pop_Inputs!$A$2:$A$29,0),G2035))*(1-H2035)+LN(INDEX(Pop_Inputs!$B$2:$N$29,MATCH(C2035,Pop_Inputs!$A$2:$A$29,0),G2035+1))*H2035)</f>
        <v>396835.575961685</v>
      </c>
      <c r="J2035" s="20" t="n">
        <f aca="false">I2035/F2035</f>
        <v>396835.575961685</v>
      </c>
      <c r="K2035" s="21" t="n">
        <f aca="false">D2035/(D2035+E2035)</f>
        <v>0.592592592592593</v>
      </c>
      <c r="L2035" s="21" t="n">
        <f aca="false">AVERAGEIFS($K$2:$K$2705,$B$2:$B$2705,B2035)</f>
        <v>0.500006390103008</v>
      </c>
      <c r="M2035" s="21" t="n">
        <f aca="false">K2035-L2035</f>
        <v>0.0925862024895842</v>
      </c>
      <c r="N2035" s="21" t="n">
        <f aca="false">LN(J2035)</f>
        <v>12.8912773075354</v>
      </c>
      <c r="O2035" s="21" t="n">
        <f aca="false">AVERAGEIFS($N$2:$N$2705,$B$2:$B$2705,B2035)</f>
        <v>13.643060990803</v>
      </c>
      <c r="P2035" s="21" t="n">
        <f aca="false">N2035-O2035</f>
        <v>-0.751783683267581</v>
      </c>
      <c r="Q2035" s="7" t="n">
        <v>0</v>
      </c>
      <c r="R2035" s="3" t="n">
        <f aca="false">IF(AND(Q2035=1,B2035-_xlfn.MINIFS($B$2:$B$2705,$A$2:$A$2705,A2035)&lt;10),1,0)</f>
        <v>0</v>
      </c>
      <c r="S2035" s="7" t="n">
        <v>0</v>
      </c>
      <c r="T2035" s="3" t="n">
        <f aca="false">_xlfn.MINIFS($B$2:$B$2705,$A$2:$A$2705,A2035)</f>
        <v>1901</v>
      </c>
      <c r="U2035" s="3" t="n">
        <f aca="false">B2035-T2035</f>
        <v>102</v>
      </c>
      <c r="V2035" s="3" t="str">
        <f aca="false">INDEX(Pop_Inputs!$Q$2:$Q$29,MATCH(C2035,Pop_Inputs!$A$2:$A$29,0))</f>
        <v>West</v>
      </c>
      <c r="W2035" s="29" t="n">
        <v>50260834</v>
      </c>
      <c r="X2035" s="3" t="n">
        <f aca="false">IF(W2035="","",LN(W2035))</f>
        <v>17.7327366836547</v>
      </c>
      <c r="Y2035" s="3" t="n">
        <f aca="false">IF(X2035="","",X2035-AVERAGEIFS($X$2:$X$2705,$B$2:$B$2705,B2035))</f>
        <v>-0.268026514993405</v>
      </c>
      <c r="Z2035" s="21" t="n">
        <f aca="false">P2035</f>
        <v>-0.751783683267581</v>
      </c>
      <c r="AA2035" s="3" t="n">
        <f aca="false">R2035</f>
        <v>0</v>
      </c>
      <c r="AB2035" s="21" t="n">
        <f aca="false">P2035</f>
        <v>-0.751783683267581</v>
      </c>
      <c r="AC2035" s="3" t="n">
        <f aca="false">Y2035</f>
        <v>-0.268026514993405</v>
      </c>
      <c r="AD2035" s="3" t="n">
        <f aca="false">R2035</f>
        <v>0</v>
      </c>
    </row>
    <row r="2036" customFormat="false" ht="15" hidden="false" customHeight="true" outlineLevel="0" collapsed="false">
      <c r="A2036" s="7" t="s">
        <v>60</v>
      </c>
      <c r="B2036" s="7" t="n">
        <v>2003</v>
      </c>
      <c r="C2036" s="7" t="s">
        <v>146</v>
      </c>
      <c r="D2036" s="7" t="n">
        <v>86</v>
      </c>
      <c r="E2036" s="7" t="n">
        <v>76</v>
      </c>
      <c r="F2036" s="3" t="n">
        <f aca="false">COUNTIFS($B$2:$B$2705,B2036,$C$2:$C$2705,C2036)</f>
        <v>1</v>
      </c>
      <c r="G2036" s="3" t="n">
        <f aca="false">MIN(INT((MIN(B2036,2020)-1900)/10)+1,12)</f>
        <v>11</v>
      </c>
      <c r="H2036" s="3" t="n">
        <f aca="false">(MIN(B2036,2020)-1900-10*(G2036-1))/10</f>
        <v>0.3</v>
      </c>
      <c r="I2036" s="20" t="n">
        <f aca="false">EXP(LN(INDEX(Pop_Inputs!$B$2:$N$29,MATCH(C2036,Pop_Inputs!$A$2:$A$29,0),G2036))*(1-H2036)+LN(INDEX(Pop_Inputs!$B$2:$N$29,MATCH(C2036,Pop_Inputs!$A$2:$A$29,0),G2036+1))*H2036)</f>
        <v>1520081.86817205</v>
      </c>
      <c r="J2036" s="20" t="n">
        <f aca="false">I2036/F2036</f>
        <v>1520081.86817205</v>
      </c>
      <c r="K2036" s="21" t="n">
        <f aca="false">D2036/(D2036+E2036)</f>
        <v>0.530864197530864</v>
      </c>
      <c r="L2036" s="21" t="n">
        <f aca="false">AVERAGEIFS($K$2:$K$2705,$B$2:$B$2705,B2036)</f>
        <v>0.500006390103008</v>
      </c>
      <c r="M2036" s="21" t="n">
        <f aca="false">K2036-L2036</f>
        <v>0.0308578074278558</v>
      </c>
      <c r="N2036" s="21" t="n">
        <f aca="false">LN(J2036)</f>
        <v>14.2342747520115</v>
      </c>
      <c r="O2036" s="21" t="n">
        <f aca="false">AVERAGEIFS($N$2:$N$2705,$B$2:$B$2705,B2036)</f>
        <v>13.643060990803</v>
      </c>
      <c r="P2036" s="21" t="n">
        <f aca="false">N2036-O2036</f>
        <v>0.591213761208557</v>
      </c>
      <c r="Q2036" s="7" t="n">
        <v>0</v>
      </c>
      <c r="R2036" s="3" t="n">
        <f aca="false">IF(AND(Q2036=1,B2036-_xlfn.MINIFS($B$2:$B$2705,$A$2:$A$2705,A2036)&lt;10),1,0)</f>
        <v>0</v>
      </c>
      <c r="S2036" s="7" t="n">
        <v>0</v>
      </c>
      <c r="T2036" s="3" t="n">
        <f aca="false">_xlfn.MINIFS($B$2:$B$2705,$A$2:$A$2705,A2036)</f>
        <v>1901</v>
      </c>
      <c r="U2036" s="3" t="n">
        <f aca="false">B2036-T2036</f>
        <v>102</v>
      </c>
      <c r="V2036" s="3" t="str">
        <f aca="false">INDEX(Pop_Inputs!$Q$2:$Q$29,MATCH(C2036,Pop_Inputs!$A$2:$A$29,0))</f>
        <v>Northeast</v>
      </c>
      <c r="W2036" s="29" t="n">
        <v>70780000</v>
      </c>
      <c r="X2036" s="3" t="n">
        <f aca="false">IF(W2036="","",LN(W2036))</f>
        <v>18.0750870328816</v>
      </c>
      <c r="Y2036" s="3" t="n">
        <f aca="false">IF(X2036="","",X2036-AVERAGEIFS($X$2:$X$2705,$B$2:$B$2705,B2036))</f>
        <v>0.0743238342334465</v>
      </c>
      <c r="Z2036" s="21" t="n">
        <f aca="false">P2036</f>
        <v>0.591213761208557</v>
      </c>
      <c r="AA2036" s="3" t="n">
        <f aca="false">R2036</f>
        <v>0</v>
      </c>
      <c r="AB2036" s="21" t="n">
        <f aca="false">P2036</f>
        <v>0.591213761208557</v>
      </c>
      <c r="AC2036" s="3" t="n">
        <f aca="false">Y2036</f>
        <v>0.0743238342334465</v>
      </c>
      <c r="AD2036" s="3" t="n">
        <f aca="false">R2036</f>
        <v>0</v>
      </c>
    </row>
    <row r="2037" customFormat="false" ht="15" hidden="false" customHeight="true" outlineLevel="0" collapsed="false">
      <c r="A2037" s="7" t="s">
        <v>58</v>
      </c>
      <c r="B2037" s="7" t="n">
        <v>2003</v>
      </c>
      <c r="C2037" s="7" t="s">
        <v>144</v>
      </c>
      <c r="D2037" s="7" t="n">
        <v>75</v>
      </c>
      <c r="E2037" s="7" t="n">
        <v>87</v>
      </c>
      <c r="F2037" s="3" t="n">
        <f aca="false">COUNTIFS($B$2:$B$2705,B2037,$C$2:$C$2705,C2037)</f>
        <v>1</v>
      </c>
      <c r="G2037" s="3" t="n">
        <f aca="false">MIN(INT((MIN(B2037,2020)-1900)/10)+1,12)</f>
        <v>11</v>
      </c>
      <c r="H2037" s="3" t="n">
        <f aca="false">(MIN(B2037,2020)-1900-10*(G2037-1))/10</f>
        <v>0.3</v>
      </c>
      <c r="I2037" s="20" t="n">
        <f aca="false">EXP(LN(INDEX(Pop_Inputs!$B$2:$N$29,MATCH(C2037,Pop_Inputs!$A$2:$A$29,0),G2037))*(1-H2037)+LN(INDEX(Pop_Inputs!$B$2:$N$29,MATCH(C2037,Pop_Inputs!$A$2:$A$29,0),G2037+1))*H2037)</f>
        <v>325630.347914155</v>
      </c>
      <c r="J2037" s="20" t="n">
        <f aca="false">I2037/F2037</f>
        <v>325630.347914155</v>
      </c>
      <c r="K2037" s="21" t="n">
        <f aca="false">D2037/(D2037+E2037)</f>
        <v>0.462962962962963</v>
      </c>
      <c r="L2037" s="21" t="n">
        <f aca="false">AVERAGEIFS($K$2:$K$2705,$B$2:$B$2705,B2037)</f>
        <v>0.500006390103008</v>
      </c>
      <c r="M2037" s="21" t="n">
        <f aca="false">K2037-L2037</f>
        <v>-0.0370434271400454</v>
      </c>
      <c r="N2037" s="21" t="n">
        <f aca="false">LN(J2037)</f>
        <v>12.6935181148917</v>
      </c>
      <c r="O2037" s="21" t="n">
        <f aca="false">AVERAGEIFS($N$2:$N$2705,$B$2:$B$2705,B2037)</f>
        <v>13.643060990803</v>
      </c>
      <c r="P2037" s="21" t="n">
        <f aca="false">N2037-O2037</f>
        <v>-0.949542875911323</v>
      </c>
      <c r="Q2037" s="7" t="n">
        <v>0</v>
      </c>
      <c r="R2037" s="3" t="n">
        <f aca="false">IF(AND(Q2037=1,B2037-_xlfn.MINIFS($B$2:$B$2705,$A$2:$A$2705,A2037)&lt;10),1,0)</f>
        <v>0</v>
      </c>
      <c r="S2037" s="7" t="n">
        <v>0</v>
      </c>
      <c r="T2037" s="3" t="n">
        <f aca="false">_xlfn.MINIFS($B$2:$B$2705,$A$2:$A$2705,A2037)</f>
        <v>1901</v>
      </c>
      <c r="U2037" s="3" t="n">
        <f aca="false">B2037-T2037</f>
        <v>102</v>
      </c>
      <c r="V2037" s="3" t="str">
        <f aca="false">INDEX(Pop_Inputs!$Q$2:$Q$29,MATCH(C2037,Pop_Inputs!$A$2:$A$29,0))</f>
        <v>Northeast</v>
      </c>
      <c r="W2037" s="29" t="n">
        <v>54812429</v>
      </c>
      <c r="X2037" s="3" t="n">
        <f aca="false">IF(W2037="","",LN(W2037))</f>
        <v>17.8194275327709</v>
      </c>
      <c r="Y2037" s="3" t="n">
        <f aca="false">IF(X2037="","",X2037-AVERAGEIFS($X$2:$X$2705,$B$2:$B$2705,B2037))</f>
        <v>-0.181335665877278</v>
      </c>
      <c r="Z2037" s="21" t="n">
        <f aca="false">P2037</f>
        <v>-0.949542875911323</v>
      </c>
      <c r="AA2037" s="3" t="n">
        <f aca="false">R2037</f>
        <v>0</v>
      </c>
      <c r="AB2037" s="21" t="n">
        <f aca="false">P2037</f>
        <v>-0.949542875911323</v>
      </c>
      <c r="AC2037" s="3" t="n">
        <f aca="false">Y2037</f>
        <v>-0.181335665877278</v>
      </c>
      <c r="AD2037" s="3" t="n">
        <f aca="false">R2037</f>
        <v>0</v>
      </c>
    </row>
    <row r="2038" customFormat="false" ht="15" hidden="false" customHeight="true" outlineLevel="0" collapsed="false">
      <c r="A2038" s="7" t="s">
        <v>78</v>
      </c>
      <c r="B2038" s="7" t="n">
        <v>2003</v>
      </c>
      <c r="C2038" s="7" t="s">
        <v>159</v>
      </c>
      <c r="D2038" s="7" t="n">
        <v>64</v>
      </c>
      <c r="E2038" s="7" t="n">
        <v>98</v>
      </c>
      <c r="F2038" s="3" t="n">
        <f aca="false">COUNTIFS($B$2:$B$2705,B2038,$C$2:$C$2705,C2038)</f>
        <v>1</v>
      </c>
      <c r="G2038" s="3" t="n">
        <f aca="false">MIN(INT((MIN(B2038,2020)-1900)/10)+1,12)</f>
        <v>11</v>
      </c>
      <c r="H2038" s="3" t="n">
        <f aca="false">(MIN(B2038,2020)-1900-10*(G2038-1))/10</f>
        <v>0.3</v>
      </c>
      <c r="I2038" s="20" t="n">
        <f aca="false">EXP(LN(INDEX(Pop_Inputs!$B$2:$N$29,MATCH(C2038,Pop_Inputs!$A$2:$A$29,0),G2038))*(1-H2038)+LN(INDEX(Pop_Inputs!$B$2:$N$29,MATCH(C2038,Pop_Inputs!$A$2:$A$29,0),G2038+1))*H2038)</f>
        <v>1248017.50471541</v>
      </c>
      <c r="J2038" s="20" t="n">
        <f aca="false">I2038/F2038</f>
        <v>1248017.50471541</v>
      </c>
      <c r="K2038" s="21" t="n">
        <f aca="false">D2038/(D2038+E2038)</f>
        <v>0.395061728395062</v>
      </c>
      <c r="L2038" s="21" t="n">
        <f aca="false">AVERAGEIFS($K$2:$K$2705,$B$2:$B$2705,B2038)</f>
        <v>0.500006390103008</v>
      </c>
      <c r="M2038" s="21" t="n">
        <f aca="false">K2038-L2038</f>
        <v>-0.104944661707947</v>
      </c>
      <c r="N2038" s="21" t="n">
        <f aca="false">LN(J2038)</f>
        <v>14.0370668540274</v>
      </c>
      <c r="O2038" s="21" t="n">
        <f aca="false">AVERAGEIFS($N$2:$N$2705,$B$2:$B$2705,B2038)</f>
        <v>13.643060990803</v>
      </c>
      <c r="P2038" s="21" t="n">
        <f aca="false">N2038-O2038</f>
        <v>0.394005863224434</v>
      </c>
      <c r="Q2038" s="7" t="n">
        <v>1</v>
      </c>
      <c r="R2038" s="3" t="n">
        <f aca="false">IF(AND(Q2038=1,B2038-_xlfn.MINIFS($B$2:$B$2705,$A$2:$A$2705,A2038)&lt;10),1,0)</f>
        <v>0</v>
      </c>
      <c r="S2038" s="7" t="n">
        <v>0</v>
      </c>
      <c r="T2038" s="3" t="n">
        <f aca="false">_xlfn.MINIFS($B$2:$B$2705,$A$2:$A$2705,A2038)</f>
        <v>1969</v>
      </c>
      <c r="U2038" s="3" t="n">
        <f aca="false">B2038-T2038</f>
        <v>34</v>
      </c>
      <c r="V2038" s="3" t="str">
        <f aca="false">INDEX(Pop_Inputs!$Q$2:$Q$29,MATCH(C2038,Pop_Inputs!$A$2:$A$29,0))</f>
        <v>West</v>
      </c>
      <c r="W2038" s="29" t="n">
        <v>45210000</v>
      </c>
      <c r="X2038" s="3" t="n">
        <f aca="false">IF(W2038="","",LN(W2038))</f>
        <v>17.6268288592708</v>
      </c>
      <c r="Y2038" s="3" t="n">
        <f aca="false">IF(X2038="","",X2038-AVERAGEIFS($X$2:$X$2705,$B$2:$B$2705,B2038))</f>
        <v>-0.373934339377357</v>
      </c>
      <c r="Z2038" s="21" t="n">
        <f aca="false">P2038</f>
        <v>0.394005863224434</v>
      </c>
      <c r="AA2038" s="3" t="n">
        <f aca="false">R2038</f>
        <v>0</v>
      </c>
      <c r="AB2038" s="21" t="n">
        <f aca="false">P2038</f>
        <v>0.394005863224434</v>
      </c>
      <c r="AC2038" s="3" t="n">
        <f aca="false">Y2038</f>
        <v>-0.373934339377357</v>
      </c>
      <c r="AD2038" s="3" t="n">
        <f aca="false">R2038</f>
        <v>0</v>
      </c>
    </row>
    <row r="2039" customFormat="false" ht="15" hidden="false" customHeight="true" outlineLevel="0" collapsed="false">
      <c r="A2039" s="7" t="s">
        <v>80</v>
      </c>
      <c r="B2039" s="7" t="n">
        <v>2003</v>
      </c>
      <c r="C2039" s="7" t="s">
        <v>161</v>
      </c>
      <c r="D2039" s="7" t="n">
        <v>93</v>
      </c>
      <c r="E2039" s="7" t="n">
        <v>69</v>
      </c>
      <c r="F2039" s="3" t="n">
        <f aca="false">COUNTIFS($B$2:$B$2705,B2039,$C$2:$C$2705,C2039)</f>
        <v>1</v>
      </c>
      <c r="G2039" s="3" t="n">
        <f aca="false">MIN(INT((MIN(B2039,2020)-1900)/10)+1,12)</f>
        <v>11</v>
      </c>
      <c r="H2039" s="3" t="n">
        <f aca="false">(MIN(B2039,2020)-1900-10*(G2039-1))/10</f>
        <v>0.3</v>
      </c>
      <c r="I2039" s="20" t="n">
        <f aca="false">EXP(LN(INDEX(Pop_Inputs!$B$2:$N$29,MATCH(C2039,Pop_Inputs!$A$2:$A$29,0),G2039))*(1-H2039)+LN(INDEX(Pop_Inputs!$B$2:$N$29,MATCH(C2039,Pop_Inputs!$A$2:$A$29,0),G2039+1))*H2039)</f>
        <v>576594.092675505</v>
      </c>
      <c r="J2039" s="20" t="n">
        <f aca="false">I2039/F2039</f>
        <v>576594.092675505</v>
      </c>
      <c r="K2039" s="21" t="n">
        <f aca="false">D2039/(D2039+E2039)</f>
        <v>0.574074074074074</v>
      </c>
      <c r="L2039" s="21" t="n">
        <f aca="false">AVERAGEIFS($K$2:$K$2705,$B$2:$B$2705,B2039)</f>
        <v>0.500006390103008</v>
      </c>
      <c r="M2039" s="21" t="n">
        <f aca="false">K2039-L2039</f>
        <v>0.0740676839710657</v>
      </c>
      <c r="N2039" s="21" t="n">
        <f aca="false">LN(J2039)</f>
        <v>13.2648938190342</v>
      </c>
      <c r="O2039" s="21" t="n">
        <f aca="false">AVERAGEIFS($N$2:$N$2705,$B$2:$B$2705,B2039)</f>
        <v>13.643060990803</v>
      </c>
      <c r="P2039" s="21" t="n">
        <f aca="false">N2039-O2039</f>
        <v>-0.378167171768734</v>
      </c>
      <c r="Q2039" s="7" t="n">
        <v>1</v>
      </c>
      <c r="R2039" s="3" t="n">
        <f aca="false">IF(AND(Q2039=1,B2039-_xlfn.MINIFS($B$2:$B$2705,$A$2:$A$2705,A2039)&lt;10),1,0)</f>
        <v>0</v>
      </c>
      <c r="S2039" s="7" t="n">
        <v>0</v>
      </c>
      <c r="T2039" s="3" t="n">
        <f aca="false">_xlfn.MINIFS($B$2:$B$2705,$A$2:$A$2705,A2039)</f>
        <v>1977</v>
      </c>
      <c r="U2039" s="3" t="n">
        <f aca="false">B2039-T2039</f>
        <v>26</v>
      </c>
      <c r="V2039" s="3" t="str">
        <f aca="false">INDEX(Pop_Inputs!$Q$2:$Q$29,MATCH(C2039,Pop_Inputs!$A$2:$A$29,0))</f>
        <v>West</v>
      </c>
      <c r="W2039" s="29" t="n">
        <v>86959167</v>
      </c>
      <c r="X2039" s="3" t="n">
        <f aca="false">IF(W2039="","",LN(W2039))</f>
        <v>18.2809492216145</v>
      </c>
      <c r="Y2039" s="3" t="n">
        <f aca="false">IF(X2039="","",X2039-AVERAGEIFS($X$2:$X$2705,$B$2:$B$2705,B2039))</f>
        <v>0.280186022966369</v>
      </c>
      <c r="Z2039" s="21" t="n">
        <f aca="false">P2039</f>
        <v>-0.378167171768734</v>
      </c>
      <c r="AA2039" s="3" t="n">
        <f aca="false">R2039</f>
        <v>0</v>
      </c>
      <c r="AB2039" s="21" t="n">
        <f aca="false">P2039</f>
        <v>-0.378167171768734</v>
      </c>
      <c r="AC2039" s="3" t="n">
        <f aca="false">Y2039</f>
        <v>0.280186022966369</v>
      </c>
      <c r="AD2039" s="3" t="n">
        <f aca="false">R2039</f>
        <v>0</v>
      </c>
    </row>
    <row r="2040" customFormat="false" ht="15" hidden="false" customHeight="true" outlineLevel="0" collapsed="false">
      <c r="A2040" s="7" t="s">
        <v>61</v>
      </c>
      <c r="B2040" s="7" t="n">
        <v>2003</v>
      </c>
      <c r="C2040" s="7" t="s">
        <v>147</v>
      </c>
      <c r="D2040" s="7" t="n">
        <v>100</v>
      </c>
      <c r="E2040" s="7" t="n">
        <v>61</v>
      </c>
      <c r="F2040" s="3" t="n">
        <f aca="false">COUNTIFS($B$2:$B$2705,B2040,$C$2:$C$2705,C2040)</f>
        <v>1</v>
      </c>
      <c r="G2040" s="3" t="n">
        <f aca="false">MIN(INT((MIN(B2040,2020)-1900)/10)+1,12)</f>
        <v>11</v>
      </c>
      <c r="H2040" s="3" t="n">
        <f aca="false">(MIN(B2040,2020)-1900-10*(G2040-1))/10</f>
        <v>0.3</v>
      </c>
      <c r="I2040" s="20" t="n">
        <f aca="false">EXP(LN(INDEX(Pop_Inputs!$B$2:$N$29,MATCH(C2040,Pop_Inputs!$A$2:$A$29,0),G2040))*(1-H2040)+LN(INDEX(Pop_Inputs!$B$2:$N$29,MATCH(C2040,Pop_Inputs!$A$2:$A$29,0),G2040+1))*H2040)</f>
        <v>785176.011769427</v>
      </c>
      <c r="J2040" s="20" t="n">
        <f aca="false">I2040/F2040</f>
        <v>785176.011769427</v>
      </c>
      <c r="K2040" s="21" t="n">
        <f aca="false">D2040/(D2040+E2040)</f>
        <v>0.62111801242236</v>
      </c>
      <c r="L2040" s="21" t="n">
        <f aca="false">AVERAGEIFS($K$2:$K$2705,$B$2:$B$2705,B2040)</f>
        <v>0.500006390103008</v>
      </c>
      <c r="M2040" s="21" t="n">
        <f aca="false">K2040-L2040</f>
        <v>0.121111622319352</v>
      </c>
      <c r="N2040" s="21" t="n">
        <f aca="false">LN(J2040)</f>
        <v>13.5736631904458</v>
      </c>
      <c r="O2040" s="21" t="n">
        <f aca="false">AVERAGEIFS($N$2:$N$2705,$B$2:$B$2705,B2040)</f>
        <v>13.643060990803</v>
      </c>
      <c r="P2040" s="21" t="n">
        <f aca="false">N2040-O2040</f>
        <v>-0.0693978003571569</v>
      </c>
      <c r="Q2040" s="7" t="n">
        <v>0</v>
      </c>
      <c r="R2040" s="3" t="n">
        <f aca="false">IF(AND(Q2040=1,B2040-_xlfn.MINIFS($B$2:$B$2705,$A$2:$A$2705,A2040)&lt;10),1,0)</f>
        <v>0</v>
      </c>
      <c r="S2040" s="7" t="n">
        <v>0</v>
      </c>
      <c r="T2040" s="3" t="n">
        <f aca="false">_xlfn.MINIFS($B$2:$B$2705,$A$2:$A$2705,A2040)</f>
        <v>1901</v>
      </c>
      <c r="U2040" s="3" t="n">
        <f aca="false">B2040-T2040</f>
        <v>102</v>
      </c>
      <c r="V2040" s="3" t="str">
        <f aca="false">INDEX(Pop_Inputs!$Q$2:$Q$29,MATCH(C2040,Pop_Inputs!$A$2:$A$29,0))</f>
        <v>West</v>
      </c>
      <c r="W2040" s="29" t="n">
        <v>82852167</v>
      </c>
      <c r="X2040" s="3" t="n">
        <f aca="false">IF(W2040="","",LN(W2040))</f>
        <v>18.2325684571979</v>
      </c>
      <c r="Y2040" s="3" t="n">
        <f aca="false">IF(X2040="","",X2040-AVERAGEIFS($X$2:$X$2705,$B$2:$B$2705,B2040))</f>
        <v>0.231805258549723</v>
      </c>
      <c r="Z2040" s="21" t="n">
        <f aca="false">P2040</f>
        <v>-0.0693978003571569</v>
      </c>
      <c r="AA2040" s="3" t="n">
        <f aca="false">R2040</f>
        <v>0</v>
      </c>
      <c r="AB2040" s="21" t="n">
        <f aca="false">P2040</f>
        <v>-0.0693978003571569</v>
      </c>
      <c r="AC2040" s="3" t="n">
        <f aca="false">Y2040</f>
        <v>0.231805258549723</v>
      </c>
      <c r="AD2040" s="3" t="n">
        <f aca="false">R2040</f>
        <v>0</v>
      </c>
    </row>
    <row r="2041" customFormat="false" ht="15" hidden="false" customHeight="true" outlineLevel="0" collapsed="false">
      <c r="A2041" s="7" t="s">
        <v>59</v>
      </c>
      <c r="B2041" s="7" t="n">
        <v>2003</v>
      </c>
      <c r="C2041" s="7" t="s">
        <v>145</v>
      </c>
      <c r="D2041" s="7" t="n">
        <v>85</v>
      </c>
      <c r="E2041" s="7" t="n">
        <v>77</v>
      </c>
      <c r="F2041" s="3" t="n">
        <f aca="false">COUNTIFS($B$2:$B$2705,B2041,$C$2:$C$2705,C2041)</f>
        <v>1</v>
      </c>
      <c r="G2041" s="3" t="n">
        <f aca="false">MIN(INT((MIN(B2041,2020)-1900)/10)+1,12)</f>
        <v>11</v>
      </c>
      <c r="H2041" s="3" t="n">
        <f aca="false">(MIN(B2041,2020)-1900-10*(G2041-1))/10</f>
        <v>0.3</v>
      </c>
      <c r="I2041" s="20" t="n">
        <f aca="false">EXP(LN(INDEX(Pop_Inputs!$B$2:$N$29,MATCH(C2041,Pop_Inputs!$A$2:$A$29,0),G2041))*(1-H2041)+LN(INDEX(Pop_Inputs!$B$2:$N$29,MATCH(C2041,Pop_Inputs!$A$2:$A$29,0),G2041+1))*H2041)</f>
        <v>339256.17402399</v>
      </c>
      <c r="J2041" s="20" t="n">
        <f aca="false">I2041/F2041</f>
        <v>339256.17402399</v>
      </c>
      <c r="K2041" s="21" t="n">
        <f aca="false">D2041/(D2041+E2041)</f>
        <v>0.524691358024691</v>
      </c>
      <c r="L2041" s="21" t="n">
        <f aca="false">AVERAGEIFS($K$2:$K$2705,$B$2:$B$2705,B2041)</f>
        <v>0.500006390103008</v>
      </c>
      <c r="M2041" s="21" t="n">
        <f aca="false">K2041-L2041</f>
        <v>0.024684967921683</v>
      </c>
      <c r="N2041" s="21" t="n">
        <f aca="false">LN(J2041)</f>
        <v>12.7345107765705</v>
      </c>
      <c r="O2041" s="21" t="n">
        <f aca="false">AVERAGEIFS($N$2:$N$2705,$B$2:$B$2705,B2041)</f>
        <v>13.643060990803</v>
      </c>
      <c r="P2041" s="21" t="n">
        <f aca="false">N2041-O2041</f>
        <v>-0.908550214232436</v>
      </c>
      <c r="Q2041" s="7" t="n">
        <v>0</v>
      </c>
      <c r="R2041" s="3" t="n">
        <f aca="false">IF(AND(Q2041=1,B2041-_xlfn.MINIFS($B$2:$B$2705,$A$2:$A$2705,A2041)&lt;10),1,0)</f>
        <v>0</v>
      </c>
      <c r="S2041" s="7" t="n">
        <v>0</v>
      </c>
      <c r="T2041" s="3" t="n">
        <f aca="false">_xlfn.MINIFS($B$2:$B$2705,$A$2:$A$2705,A2041)</f>
        <v>1901</v>
      </c>
      <c r="U2041" s="3" t="n">
        <f aca="false">B2041-T2041</f>
        <v>102</v>
      </c>
      <c r="V2041" s="3" t="str">
        <f aca="false">INDEX(Pop_Inputs!$Q$2:$Q$29,MATCH(C2041,Pop_Inputs!$A$2:$A$29,0))</f>
        <v>Midwest</v>
      </c>
      <c r="W2041" s="29" t="n">
        <v>83786666</v>
      </c>
      <c r="X2041" s="3" t="n">
        <f aca="false">IF(W2041="","",LN(W2041))</f>
        <v>18.2437844358468</v>
      </c>
      <c r="Y2041" s="3" t="n">
        <f aca="false">IF(X2041="","",X2041-AVERAGEIFS($X$2:$X$2705,$B$2:$B$2705,B2041))</f>
        <v>0.243021237198615</v>
      </c>
      <c r="Z2041" s="21" t="n">
        <f aca="false">P2041</f>
        <v>-0.908550214232436</v>
      </c>
      <c r="AA2041" s="3" t="n">
        <f aca="false">R2041</f>
        <v>0</v>
      </c>
      <c r="AB2041" s="21" t="n">
        <f aca="false">P2041</f>
        <v>-0.908550214232436</v>
      </c>
      <c r="AC2041" s="3" t="n">
        <f aca="false">Y2041</f>
        <v>0.243021237198615</v>
      </c>
      <c r="AD2041" s="3" t="n">
        <f aca="false">R2041</f>
        <v>0</v>
      </c>
    </row>
    <row r="2042" customFormat="false" ht="15" hidden="false" customHeight="true" outlineLevel="0" collapsed="false">
      <c r="A2042" s="7" t="s">
        <v>85</v>
      </c>
      <c r="B2042" s="7" t="n">
        <v>2003</v>
      </c>
      <c r="C2042" s="7" t="s">
        <v>166</v>
      </c>
      <c r="D2042" s="7" t="n">
        <v>63</v>
      </c>
      <c r="E2042" s="7" t="n">
        <v>99</v>
      </c>
      <c r="F2042" s="3" t="n">
        <f aca="false">COUNTIFS($B$2:$B$2705,B2042,$C$2:$C$2705,C2042)</f>
        <v>1</v>
      </c>
      <c r="G2042" s="3" t="n">
        <f aca="false">MIN(INT((MIN(B2042,2020)-1900)/10)+1,12)</f>
        <v>11</v>
      </c>
      <c r="H2042" s="3" t="n">
        <f aca="false">(MIN(B2042,2020)-1900-10*(G2042-1))/10</f>
        <v>0.3</v>
      </c>
      <c r="I2042" s="20" t="n">
        <f aca="false">EXP(LN(INDEX(Pop_Inputs!$B$2:$N$29,MATCH(C2042,Pop_Inputs!$A$2:$A$29,0),G2042))*(1-H2042)+LN(INDEX(Pop_Inputs!$B$2:$N$29,MATCH(C2042,Pop_Inputs!$A$2:$A$29,0),G2042+1))*H2042)</f>
        <v>312785.699567632</v>
      </c>
      <c r="J2042" s="20" t="n">
        <f aca="false">I2042/F2042</f>
        <v>312785.699567632</v>
      </c>
      <c r="K2042" s="21" t="n">
        <f aca="false">D2042/(D2042+E2042)</f>
        <v>0.388888888888889</v>
      </c>
      <c r="L2042" s="21" t="n">
        <f aca="false">AVERAGEIFS($K$2:$K$2705,$B$2:$B$2705,B2042)</f>
        <v>0.500006390103008</v>
      </c>
      <c r="M2042" s="21" t="n">
        <f aca="false">K2042-L2042</f>
        <v>-0.11111750121412</v>
      </c>
      <c r="N2042" s="21" t="n">
        <f aca="false">LN(J2042)</f>
        <v>12.6532735691134</v>
      </c>
      <c r="O2042" s="21" t="n">
        <f aca="false">AVERAGEIFS($N$2:$N$2705,$B$2:$B$2705,B2042)</f>
        <v>13.643060990803</v>
      </c>
      <c r="P2042" s="21" t="n">
        <f aca="false">N2042-O2042</f>
        <v>-0.989787421689544</v>
      </c>
      <c r="Q2042" s="7" t="n">
        <v>1</v>
      </c>
      <c r="R2042" s="3" t="n">
        <f aca="false">IF(AND(Q2042=1,B2042-_xlfn.MINIFS($B$2:$B$2705,$A$2:$A$2705,A2042)&lt;10),1,0)</f>
        <v>1</v>
      </c>
      <c r="S2042" s="7" t="n">
        <v>0</v>
      </c>
      <c r="T2042" s="3" t="n">
        <f aca="false">_xlfn.MINIFS($B$2:$B$2705,$A$2:$A$2705,A2042)</f>
        <v>1998</v>
      </c>
      <c r="U2042" s="3" t="n">
        <f aca="false">B2042-T2042</f>
        <v>5</v>
      </c>
      <c r="V2042" s="3" t="str">
        <f aca="false">INDEX(Pop_Inputs!$Q$2:$Q$29,MATCH(C2042,Pop_Inputs!$A$2:$A$29,0))</f>
        <v>South</v>
      </c>
      <c r="W2042" s="29" t="n">
        <v>19630000</v>
      </c>
      <c r="X2042" s="3" t="n">
        <f aca="false">IF(W2042="","",LN(W2042))</f>
        <v>16.7925695662526</v>
      </c>
      <c r="Y2042" s="3" t="n">
        <f aca="false">IF(X2042="","",X2042-AVERAGEIFS($X$2:$X$2705,$B$2:$B$2705,B2042))</f>
        <v>-1.2081936323955</v>
      </c>
      <c r="Z2042" s="21" t="n">
        <f aca="false">P2042</f>
        <v>-0.989787421689544</v>
      </c>
      <c r="AA2042" s="3" t="n">
        <f aca="false">R2042</f>
        <v>1</v>
      </c>
      <c r="AB2042" s="21" t="n">
        <f aca="false">P2042</f>
        <v>-0.989787421689544</v>
      </c>
      <c r="AC2042" s="3" t="n">
        <f aca="false">Y2042</f>
        <v>-1.2081936323955</v>
      </c>
      <c r="AD2042" s="3" t="n">
        <f aca="false">R2042</f>
        <v>1</v>
      </c>
    </row>
    <row r="2043" customFormat="false" ht="15" hidden="false" customHeight="true" outlineLevel="0" collapsed="false">
      <c r="A2043" s="7" t="s">
        <v>73</v>
      </c>
      <c r="B2043" s="7" t="n">
        <v>2003</v>
      </c>
      <c r="C2043" s="7" t="s">
        <v>155</v>
      </c>
      <c r="D2043" s="7" t="n">
        <v>71</v>
      </c>
      <c r="E2043" s="7" t="n">
        <v>91</v>
      </c>
      <c r="F2043" s="3" t="n">
        <f aca="false">COUNTIFS($B$2:$B$2705,B2043,$C$2:$C$2705,C2043)</f>
        <v>1</v>
      </c>
      <c r="G2043" s="3" t="n">
        <f aca="false">MIN(INT((MIN(B2043,2020)-1900)/10)+1,12)</f>
        <v>11</v>
      </c>
      <c r="H2043" s="3" t="n">
        <f aca="false">(MIN(B2043,2020)-1900-10*(G2043-1))/10</f>
        <v>0.3</v>
      </c>
      <c r="I2043" s="20" t="n">
        <f aca="false">EXP(LN(INDEX(Pop_Inputs!$B$2:$N$29,MATCH(C2043,Pop_Inputs!$A$2:$A$29,0),G2043))*(1-H2043)+LN(INDEX(Pop_Inputs!$B$2:$N$29,MATCH(C2043,Pop_Inputs!$A$2:$A$29,0),G2043+1))*H2043)</f>
        <v>1191343.29722067</v>
      </c>
      <c r="J2043" s="20" t="n">
        <f aca="false">I2043/F2043</f>
        <v>1191343.29722067</v>
      </c>
      <c r="K2043" s="21" t="n">
        <f aca="false">D2043/(D2043+E2043)</f>
        <v>0.438271604938272</v>
      </c>
      <c r="L2043" s="21" t="n">
        <f aca="false">AVERAGEIFS($K$2:$K$2705,$B$2:$B$2705,B2043)</f>
        <v>0.500006390103008</v>
      </c>
      <c r="M2043" s="21" t="n">
        <f aca="false">K2043-L2043</f>
        <v>-0.0617347851647368</v>
      </c>
      <c r="N2043" s="21" t="n">
        <f aca="false">LN(J2043)</f>
        <v>13.990592049642</v>
      </c>
      <c r="O2043" s="21" t="n">
        <f aca="false">AVERAGEIFS($N$2:$N$2705,$B$2:$B$2705,B2043)</f>
        <v>13.643060990803</v>
      </c>
      <c r="P2043" s="21" t="n">
        <f aca="false">N2043-O2043</f>
        <v>0.347531058838985</v>
      </c>
      <c r="Q2043" s="7" t="n">
        <v>1</v>
      </c>
      <c r="R2043" s="3" t="n">
        <f aca="false">IF(AND(Q2043=1,B2043-_xlfn.MINIFS($B$2:$B$2705,$A$2:$A$2705,A2043)&lt;10),1,0)</f>
        <v>0</v>
      </c>
      <c r="S2043" s="7" t="n">
        <v>0</v>
      </c>
      <c r="T2043" s="3" t="n">
        <f aca="false">_xlfn.MINIFS($B$2:$B$2705,$A$2:$A$2705,A2043)</f>
        <v>1961</v>
      </c>
      <c r="U2043" s="3" t="n">
        <f aca="false">B2043-T2043</f>
        <v>42</v>
      </c>
      <c r="V2043" s="3" t="str">
        <f aca="false">INDEX(Pop_Inputs!$Q$2:$Q$29,MATCH(C2043,Pop_Inputs!$A$2:$A$29,0))</f>
        <v>South</v>
      </c>
      <c r="W2043" s="29" t="n">
        <v>103491667</v>
      </c>
      <c r="X2043" s="3" t="n">
        <f aca="false">IF(W2043="","",LN(W2043))</f>
        <v>18.4550016553511</v>
      </c>
      <c r="Y2043" s="3" t="n">
        <f aca="false">IF(X2043="","",X2043-AVERAGEIFS($X$2:$X$2705,$B$2:$B$2705,B2043))</f>
        <v>0.454238456702988</v>
      </c>
      <c r="Z2043" s="21" t="n">
        <f aca="false">P2043</f>
        <v>0.347531058838985</v>
      </c>
      <c r="AA2043" s="3" t="n">
        <f aca="false">R2043</f>
        <v>0</v>
      </c>
      <c r="AB2043" s="21" t="n">
        <f aca="false">P2043</f>
        <v>0.347531058838985</v>
      </c>
      <c r="AC2043" s="3" t="n">
        <f aca="false">Y2043</f>
        <v>0.454238456702988</v>
      </c>
      <c r="AD2043" s="3" t="n">
        <f aca="false">R2043</f>
        <v>0</v>
      </c>
    </row>
    <row r="2044" customFormat="false" ht="15" hidden="false" customHeight="true" outlineLevel="0" collapsed="false">
      <c r="A2044" s="7" t="s">
        <v>81</v>
      </c>
      <c r="B2044" s="7" t="n">
        <v>2003</v>
      </c>
      <c r="C2044" s="7" t="s">
        <v>162</v>
      </c>
      <c r="D2044" s="7" t="n">
        <v>86</v>
      </c>
      <c r="E2044" s="7" t="n">
        <v>76</v>
      </c>
      <c r="F2044" s="3" t="n">
        <f aca="false">COUNTIFS($B$2:$B$2705,B2044,$C$2:$C$2705,C2044)</f>
        <v>1</v>
      </c>
      <c r="G2044" s="3" t="n">
        <f aca="false">MIN(INT((MIN(B2044,2020)-1900)/10)+1,12)</f>
        <v>11</v>
      </c>
      <c r="H2044" s="3" t="n">
        <f aca="false">(MIN(B2044,2020)-1900-10*(G2044-1))/10</f>
        <v>0.3</v>
      </c>
      <c r="I2044" s="20" t="n">
        <f aca="false">EXP(LN(INDEX(Pop_Inputs!$B$2:$N$29,MATCH(C2044,Pop_Inputs!$A$2:$A$29,0),G2044))*(1-H2044)+LN(INDEX(Pop_Inputs!$B$2:$N$29,MATCH(C2044,Pop_Inputs!$A$2:$A$29,0),G2044+1))*H2044)</f>
        <v>2520831.15673957</v>
      </c>
      <c r="J2044" s="20" t="n">
        <f aca="false">I2044/F2044</f>
        <v>2520831.15673957</v>
      </c>
      <c r="K2044" s="21" t="n">
        <f aca="false">D2044/(D2044+E2044)</f>
        <v>0.530864197530864</v>
      </c>
      <c r="L2044" s="21" t="n">
        <f aca="false">AVERAGEIFS($K$2:$K$2705,$B$2:$B$2705,B2044)</f>
        <v>0.500006390103008</v>
      </c>
      <c r="M2044" s="21" t="n">
        <f aca="false">K2044-L2044</f>
        <v>0.0308578074278558</v>
      </c>
      <c r="N2044" s="21" t="n">
        <f aca="false">LN(J2044)</f>
        <v>14.7400992292106</v>
      </c>
      <c r="O2044" s="21" t="n">
        <f aca="false">AVERAGEIFS($N$2:$N$2705,$B$2:$B$2705,B2044)</f>
        <v>13.643060990803</v>
      </c>
      <c r="P2044" s="21" t="n">
        <f aca="false">N2044-O2044</f>
        <v>1.09703823840762</v>
      </c>
      <c r="Q2044" s="7" t="n">
        <v>1</v>
      </c>
      <c r="R2044" s="3" t="n">
        <f aca="false">IF(AND(Q2044=1,B2044-_xlfn.MINIFS($B$2:$B$2705,$A$2:$A$2705,A2044)&lt;10),1,0)</f>
        <v>0</v>
      </c>
      <c r="S2044" s="7" t="n">
        <v>0</v>
      </c>
      <c r="T2044" s="3" t="n">
        <f aca="false">_xlfn.MINIFS($B$2:$B$2705,$A$2:$A$2705,A2044)</f>
        <v>1977</v>
      </c>
      <c r="U2044" s="3" t="n">
        <f aca="false">B2044-T2044</f>
        <v>26</v>
      </c>
      <c r="V2044" s="3" t="str">
        <f aca="false">INDEX(Pop_Inputs!$Q$2:$Q$29,MATCH(C2044,Pop_Inputs!$A$2:$A$29,0))</f>
        <v>Canada</v>
      </c>
      <c r="W2044" s="29" t="n">
        <v>51269000</v>
      </c>
      <c r="X2044" s="3" t="n">
        <f aca="false">IF(W2044="","",LN(W2044))</f>
        <v>17.7525968389861</v>
      </c>
      <c r="Y2044" s="3" t="n">
        <f aca="false">IF(X2044="","",X2044-AVERAGEIFS($X$2:$X$2705,$B$2:$B$2705,B2044))</f>
        <v>-0.248166359662054</v>
      </c>
      <c r="Z2044" s="21" t="n">
        <f aca="false">P2044</f>
        <v>1.09703823840762</v>
      </c>
      <c r="AA2044" s="3" t="n">
        <f aca="false">R2044</f>
        <v>0</v>
      </c>
      <c r="AB2044" s="21" t="n">
        <f aca="false">P2044</f>
        <v>1.09703823840762</v>
      </c>
      <c r="AC2044" s="3" t="n">
        <f aca="false">Y2044</f>
        <v>-0.248166359662054</v>
      </c>
      <c r="AD2044" s="3" t="n">
        <f aca="false">R2044</f>
        <v>0</v>
      </c>
    </row>
    <row r="2045" customFormat="false" ht="15" hidden="false" customHeight="true" outlineLevel="0" collapsed="false">
      <c r="A2045" s="7" t="s">
        <v>79</v>
      </c>
      <c r="B2045" s="7" t="n">
        <v>2003</v>
      </c>
      <c r="C2045" s="7" t="s">
        <v>254</v>
      </c>
      <c r="D2045" s="7" t="n">
        <v>83</v>
      </c>
      <c r="E2045" s="7" t="n">
        <v>79</v>
      </c>
      <c r="F2045" s="3" t="n">
        <f aca="false">COUNTIFS($B$2:$B$2705,B2045,$C$2:$C$2705,C2045)</f>
        <v>1</v>
      </c>
      <c r="G2045" s="3" t="n">
        <f aca="false">MIN(INT((MIN(B2045,2020)-1900)/10)+1,12)</f>
        <v>11</v>
      </c>
      <c r="H2045" s="3" t="n">
        <f aca="false">(MIN(B2045,2020)-1900-10*(G2045-1))/10</f>
        <v>0.3</v>
      </c>
      <c r="I2045" s="20" t="n">
        <f aca="false">EXP(LN(INDEX(Pop_Inputs!$B$2:$N$29,MATCH(C2045,Pop_Inputs!$A$2:$A$29,0),G2045))*(1-H2045)+LN(INDEX(Pop_Inputs!$B$2:$N$29,MATCH(C2045,Pop_Inputs!$A$2:$A$29,0),G2045+1))*H2045)</f>
        <v>1193972.3940575</v>
      </c>
      <c r="J2045" s="20" t="n">
        <f aca="false">I2045/F2045</f>
        <v>1193972.3940575</v>
      </c>
      <c r="K2045" s="21" t="n">
        <f aca="false">D2045/(D2045+E2045)</f>
        <v>0.512345679012346</v>
      </c>
      <c r="L2045" s="21" t="n">
        <f aca="false">AVERAGEIFS($K$2:$K$2705,$B$2:$B$2705,B2045)</f>
        <v>0.500006390103008</v>
      </c>
      <c r="M2045" s="21" t="n">
        <f aca="false">K2045-L2045</f>
        <v>0.0123392889093373</v>
      </c>
      <c r="N2045" s="21" t="n">
        <f aca="false">LN(J2045)</f>
        <v>13.9927964521125</v>
      </c>
      <c r="O2045" s="21" t="n">
        <f aca="false">AVERAGEIFS($N$2:$N$2705,$B$2:$B$2705,B2045)</f>
        <v>13.643060990803</v>
      </c>
      <c r="P2045" s="21" t="n">
        <f aca="false">N2045-O2045</f>
        <v>0.349735461309567</v>
      </c>
      <c r="Q2045" s="7" t="n">
        <v>1</v>
      </c>
      <c r="R2045" s="3" t="n">
        <f aca="false">IF(AND(Q2045=1,B2045-_xlfn.MINIFS($B$2:$B$2705,$A$2:$A$2705,A2045)&lt;10),1,0)</f>
        <v>0</v>
      </c>
      <c r="S2045" s="7" t="n">
        <v>0</v>
      </c>
      <c r="T2045" s="3" t="n">
        <f aca="false">_xlfn.MINIFS($B$2:$B$2705,$A$2:$A$2705,A2045)</f>
        <v>1969</v>
      </c>
      <c r="U2045" s="3" t="n">
        <f aca="false">B2045-T2045</f>
        <v>34</v>
      </c>
      <c r="V2045" s="3" t="str">
        <f aca="false">INDEX(Pop_Inputs!$Q$2:$Q$29,MATCH(C2045,Pop_Inputs!$A$2:$A$29,0))</f>
        <v>Canada</v>
      </c>
      <c r="W2045" s="29" t="n">
        <v>51948500</v>
      </c>
      <c r="X2045" s="3" t="n">
        <f aca="false">IF(W2045="","",LN(W2045))</f>
        <v>17.7657634011754</v>
      </c>
      <c r="Y2045" s="3" t="n">
        <f aca="false">IF(X2045="","",X2045-AVERAGEIFS($X$2:$X$2705,$B$2:$B$2705,B2045))</f>
        <v>-0.234999797472721</v>
      </c>
      <c r="Z2045" s="21" t="n">
        <f aca="false">P2045</f>
        <v>0.349735461309567</v>
      </c>
      <c r="AA2045" s="3" t="n">
        <f aca="false">R2045</f>
        <v>0</v>
      </c>
      <c r="AB2045" s="21" t="n">
        <f aca="false">P2045</f>
        <v>0.349735461309567</v>
      </c>
      <c r="AC2045" s="3" t="n">
        <f aca="false">Y2045</f>
        <v>-0.234999797472721</v>
      </c>
      <c r="AD2045" s="3" t="n">
        <f aca="false">R2045</f>
        <v>0</v>
      </c>
    </row>
    <row r="2046" customFormat="false" ht="15" hidden="false" customHeight="true" outlineLevel="0" collapsed="false">
      <c r="A2046" s="7" t="s">
        <v>71</v>
      </c>
      <c r="B2046" s="7" t="n">
        <v>2004</v>
      </c>
      <c r="C2046" s="7" t="s">
        <v>148</v>
      </c>
      <c r="D2046" s="7" t="n">
        <v>92</v>
      </c>
      <c r="E2046" s="7" t="n">
        <v>70</v>
      </c>
      <c r="F2046" s="3" t="n">
        <f aca="false">COUNTIFS($B$2:$B$2705,B2046,$C$2:$C$2705,C2046)</f>
        <v>2</v>
      </c>
      <c r="G2046" s="3" t="n">
        <f aca="false">MIN(INT((MIN(B2046,2020)-1900)/10)+1,12)</f>
        <v>11</v>
      </c>
      <c r="H2046" s="3" t="n">
        <f aca="false">(MIN(B2046,2020)-1900-10*(G2046-1))/10</f>
        <v>0.4</v>
      </c>
      <c r="I2046" s="20" t="n">
        <f aca="false">EXP(LN(INDEX(Pop_Inputs!$B$2:$N$29,MATCH(C2046,Pop_Inputs!$A$2:$A$29,0),G2046))*(1-H2046)+LN(INDEX(Pop_Inputs!$B$2:$N$29,MATCH(C2046,Pop_Inputs!$A$2:$A$29,0),G2046+1))*H2046)</f>
        <v>3733634.05921279</v>
      </c>
      <c r="J2046" s="20" t="n">
        <f aca="false">I2046/F2046</f>
        <v>1866817.0296064</v>
      </c>
      <c r="K2046" s="21" t="n">
        <f aca="false">D2046/(D2046+E2046)</f>
        <v>0.567901234567901</v>
      </c>
      <c r="L2046" s="21" t="n">
        <f aca="false">AVERAGEIFS($K$2:$K$2705,$B$2:$B$2705,B2046)</f>
        <v>0.499941211052322</v>
      </c>
      <c r="M2046" s="21" t="n">
        <f aca="false">K2046-L2046</f>
        <v>0.0679600235155791</v>
      </c>
      <c r="N2046" s="21" t="n">
        <f aca="false">LN(J2046)</f>
        <v>14.439745415368</v>
      </c>
      <c r="O2046" s="21" t="n">
        <f aca="false">AVERAGEIFS($N$2:$N$2705,$B$2:$B$2705,B2046)</f>
        <v>13.6442566562566</v>
      </c>
      <c r="P2046" s="21" t="n">
        <f aca="false">N2046-O2046</f>
        <v>0.795488759111384</v>
      </c>
      <c r="Q2046" s="7" t="n">
        <v>1</v>
      </c>
      <c r="R2046" s="3" t="n">
        <f aca="false">IF(AND(Q2046=1,B2046-_xlfn.MINIFS($B$2:$B$2705,$A$2:$A$2705,A2046)&lt;10),1,0)</f>
        <v>0</v>
      </c>
      <c r="S2046" s="7" t="n">
        <v>0</v>
      </c>
      <c r="T2046" s="3" t="n">
        <f aca="false">_xlfn.MINIFS($B$2:$B$2705,$A$2:$A$2705,A2046)</f>
        <v>1961</v>
      </c>
      <c r="U2046" s="3" t="n">
        <f aca="false">B2046-T2046</f>
        <v>43</v>
      </c>
      <c r="V2046" s="3" t="str">
        <f aca="false">INDEX(Pop_Inputs!$Q$2:$Q$29,MATCH(C2046,Pop_Inputs!$A$2:$A$29,0))</f>
        <v>West</v>
      </c>
      <c r="W2046" s="29" t="n">
        <v>100534667</v>
      </c>
      <c r="X2046" s="3" t="n">
        <f aca="false">IF(W2046="","",LN(W2046))</f>
        <v>18.4260131712571</v>
      </c>
      <c r="Y2046" s="3" t="n">
        <f aca="false">IF(X2046="","",X2046-AVERAGEIFS($X$2:$X$2705,$B$2:$B$2705,B2046))</f>
        <v>0.472825891544431</v>
      </c>
      <c r="Z2046" s="21" t="n">
        <f aca="false">P2046</f>
        <v>0.795488759111384</v>
      </c>
      <c r="AA2046" s="3" t="n">
        <f aca="false">R2046</f>
        <v>0</v>
      </c>
      <c r="AB2046" s="21" t="n">
        <f aca="false">P2046</f>
        <v>0.795488759111384</v>
      </c>
      <c r="AC2046" s="3" t="n">
        <f aca="false">Y2046</f>
        <v>0.472825891544431</v>
      </c>
      <c r="AD2046" s="3" t="n">
        <f aca="false">R2046</f>
        <v>0</v>
      </c>
    </row>
    <row r="2047" customFormat="false" ht="15" hidden="false" customHeight="true" outlineLevel="0" collapsed="false">
      <c r="A2047" s="7" t="s">
        <v>84</v>
      </c>
      <c r="B2047" s="7" t="n">
        <v>2004</v>
      </c>
      <c r="C2047" s="7" t="s">
        <v>165</v>
      </c>
      <c r="D2047" s="7" t="n">
        <v>51</v>
      </c>
      <c r="E2047" s="7" t="n">
        <v>111</v>
      </c>
      <c r="F2047" s="3" t="n">
        <f aca="false">COUNTIFS($B$2:$B$2705,B2047,$C$2:$C$2705,C2047)</f>
        <v>1</v>
      </c>
      <c r="G2047" s="3" t="n">
        <f aca="false">MIN(INT((MIN(B2047,2020)-1900)/10)+1,12)</f>
        <v>11</v>
      </c>
      <c r="H2047" s="3" t="n">
        <f aca="false">(MIN(B2047,2020)-1900-10*(G2047-1))/10</f>
        <v>0.4</v>
      </c>
      <c r="I2047" s="20" t="n">
        <f aca="false">EXP(LN(INDEX(Pop_Inputs!$B$2:$N$29,MATCH(C2047,Pop_Inputs!$A$2:$A$29,0),G2047))*(1-H2047)+LN(INDEX(Pop_Inputs!$B$2:$N$29,MATCH(C2047,Pop_Inputs!$A$2:$A$29,0),G2047+1))*H2047)</f>
        <v>1369536.67952423</v>
      </c>
      <c r="J2047" s="20" t="n">
        <f aca="false">I2047/F2047</f>
        <v>1369536.67952423</v>
      </c>
      <c r="K2047" s="21" t="n">
        <f aca="false">D2047/(D2047+E2047)</f>
        <v>0.314814814814815</v>
      </c>
      <c r="L2047" s="21" t="n">
        <f aca="false">AVERAGEIFS($K$2:$K$2705,$B$2:$B$2705,B2047)</f>
        <v>0.499941211052322</v>
      </c>
      <c r="M2047" s="21" t="n">
        <f aca="false">K2047-L2047</f>
        <v>-0.185126396237507</v>
      </c>
      <c r="N2047" s="21" t="n">
        <f aca="false">LN(J2047)</f>
        <v>14.1299830504768</v>
      </c>
      <c r="O2047" s="21" t="n">
        <f aca="false">AVERAGEIFS($N$2:$N$2705,$B$2:$B$2705,B2047)</f>
        <v>13.6442566562566</v>
      </c>
      <c r="P2047" s="21" t="n">
        <f aca="false">N2047-O2047</f>
        <v>0.485726394220198</v>
      </c>
      <c r="Q2047" s="7" t="n">
        <v>1</v>
      </c>
      <c r="R2047" s="3" t="n">
        <f aca="false">IF(AND(Q2047=1,B2047-_xlfn.MINIFS($B$2:$B$2705,$A$2:$A$2705,A2047)&lt;10),1,0)</f>
        <v>1</v>
      </c>
      <c r="S2047" s="7" t="n">
        <v>0</v>
      </c>
      <c r="T2047" s="3" t="n">
        <f aca="false">_xlfn.MINIFS($B$2:$B$2705,$A$2:$A$2705,A2047)</f>
        <v>1998</v>
      </c>
      <c r="U2047" s="3" t="n">
        <f aca="false">B2047-T2047</f>
        <v>6</v>
      </c>
      <c r="V2047" s="3" t="str">
        <f aca="false">INDEX(Pop_Inputs!$Q$2:$Q$29,MATCH(C2047,Pop_Inputs!$A$2:$A$29,0))</f>
        <v>West</v>
      </c>
      <c r="W2047" s="29" t="n">
        <v>69780750</v>
      </c>
      <c r="X2047" s="3" t="n">
        <f aca="false">IF(W2047="","",LN(W2047))</f>
        <v>18.0608687417305</v>
      </c>
      <c r="Y2047" s="3" t="n">
        <f aca="false">IF(X2047="","",X2047-AVERAGEIFS($X$2:$X$2705,$B$2:$B$2705,B2047))</f>
        <v>0.10768146201783</v>
      </c>
      <c r="Z2047" s="21" t="n">
        <f aca="false">P2047</f>
        <v>0.485726394220198</v>
      </c>
      <c r="AA2047" s="3" t="n">
        <f aca="false">R2047</f>
        <v>1</v>
      </c>
      <c r="AB2047" s="21" t="n">
        <f aca="false">P2047</f>
        <v>0.485726394220198</v>
      </c>
      <c r="AC2047" s="3" t="n">
        <f aca="false">Y2047</f>
        <v>0.10768146201783</v>
      </c>
      <c r="AD2047" s="3" t="n">
        <f aca="false">R2047</f>
        <v>1</v>
      </c>
    </row>
    <row r="2048" customFormat="false" ht="15" hidden="false" customHeight="true" outlineLevel="0" collapsed="false">
      <c r="A2048" s="7" t="s">
        <v>54</v>
      </c>
      <c r="B2048" s="7" t="n">
        <v>2004</v>
      </c>
      <c r="C2048" s="7" t="s">
        <v>141</v>
      </c>
      <c r="D2048" s="7" t="n">
        <v>96</v>
      </c>
      <c r="E2048" s="7" t="n">
        <v>66</v>
      </c>
      <c r="F2048" s="3" t="n">
        <f aca="false">COUNTIFS($B$2:$B$2705,B2048,$C$2:$C$2705,C2048)</f>
        <v>1</v>
      </c>
      <c r="G2048" s="3" t="n">
        <f aca="false">MIN(INT((MIN(B2048,2020)-1900)/10)+1,12)</f>
        <v>11</v>
      </c>
      <c r="H2048" s="3" t="n">
        <f aca="false">(MIN(B2048,2020)-1900-10*(G2048-1))/10</f>
        <v>0.4</v>
      </c>
      <c r="I2048" s="20" t="n">
        <f aca="false">EXP(LN(INDEX(Pop_Inputs!$B$2:$N$29,MATCH(C2048,Pop_Inputs!$A$2:$A$29,0),G2048))*(1-H2048)+LN(INDEX(Pop_Inputs!$B$2:$N$29,MATCH(C2048,Pop_Inputs!$A$2:$A$29,0),G2048+1))*H2048)</f>
        <v>417882.027762332</v>
      </c>
      <c r="J2048" s="20" t="n">
        <f aca="false">I2048/F2048</f>
        <v>417882.027762332</v>
      </c>
      <c r="K2048" s="21" t="n">
        <f aca="false">D2048/(D2048+E2048)</f>
        <v>0.592592592592593</v>
      </c>
      <c r="L2048" s="21" t="n">
        <f aca="false">AVERAGEIFS($K$2:$K$2705,$B$2:$B$2705,B2048)</f>
        <v>0.499941211052322</v>
      </c>
      <c r="M2048" s="21" t="n">
        <f aca="false">K2048-L2048</f>
        <v>0.0926513815402704</v>
      </c>
      <c r="N2048" s="21" t="n">
        <f aca="false">LN(J2048)</f>
        <v>12.9429544414388</v>
      </c>
      <c r="O2048" s="21" t="n">
        <f aca="false">AVERAGEIFS($N$2:$N$2705,$B$2:$B$2705,B2048)</f>
        <v>13.6442566562566</v>
      </c>
      <c r="P2048" s="21" t="n">
        <f aca="false">N2048-O2048</f>
        <v>-0.701302214817845</v>
      </c>
      <c r="Q2048" s="7" t="n">
        <v>0</v>
      </c>
      <c r="R2048" s="3" t="n">
        <f aca="false">IF(AND(Q2048=1,B2048-_xlfn.MINIFS($B$2:$B$2705,$A$2:$A$2705,A2048)&lt;10),1,0)</f>
        <v>0</v>
      </c>
      <c r="S2048" s="7" t="n">
        <v>0</v>
      </c>
      <c r="T2048" s="3" t="n">
        <f aca="false">_xlfn.MINIFS($B$2:$B$2705,$A$2:$A$2705,A2048)</f>
        <v>1901</v>
      </c>
      <c r="U2048" s="3" t="n">
        <f aca="false">B2048-T2048</f>
        <v>103</v>
      </c>
      <c r="V2048" s="3" t="str">
        <f aca="false">INDEX(Pop_Inputs!$Q$2:$Q$29,MATCH(C2048,Pop_Inputs!$A$2:$A$29,0))</f>
        <v>South</v>
      </c>
      <c r="W2048" s="29" t="n">
        <v>90182500</v>
      </c>
      <c r="X2048" s="3" t="n">
        <f aca="false">IF(W2048="","",LN(W2048))</f>
        <v>18.3173459529061</v>
      </c>
      <c r="Y2048" s="3" t="n">
        <f aca="false">IF(X2048="","",X2048-AVERAGEIFS($X$2:$X$2705,$B$2:$B$2705,B2048))</f>
        <v>0.364158673193405</v>
      </c>
      <c r="Z2048" s="21" t="n">
        <f aca="false">P2048</f>
        <v>-0.701302214817845</v>
      </c>
      <c r="AA2048" s="3" t="n">
        <f aca="false">R2048</f>
        <v>0</v>
      </c>
      <c r="AB2048" s="21" t="n">
        <f aca="false">P2048</f>
        <v>-0.701302214817845</v>
      </c>
      <c r="AC2048" s="3" t="n">
        <f aca="false">Y2048</f>
        <v>0.364158673193405</v>
      </c>
      <c r="AD2048" s="3" t="n">
        <f aca="false">R2048</f>
        <v>0</v>
      </c>
    </row>
    <row r="2049" customFormat="false" ht="15" hidden="false" customHeight="true" outlineLevel="0" collapsed="false">
      <c r="A2049" s="7" t="s">
        <v>63</v>
      </c>
      <c r="B2049" s="7" t="n">
        <v>2004</v>
      </c>
      <c r="C2049" s="7" t="s">
        <v>149</v>
      </c>
      <c r="D2049" s="7" t="n">
        <v>78</v>
      </c>
      <c r="E2049" s="7" t="n">
        <v>84</v>
      </c>
      <c r="F2049" s="3" t="n">
        <f aca="false">COUNTIFS($B$2:$B$2705,B2049,$C$2:$C$2705,C2049)</f>
        <v>1</v>
      </c>
      <c r="G2049" s="3" t="n">
        <f aca="false">MIN(INT((MIN(B2049,2020)-1900)/10)+1,12)</f>
        <v>11</v>
      </c>
      <c r="H2049" s="3" t="n">
        <f aca="false">(MIN(B2049,2020)-1900-10*(G2049-1))/10</f>
        <v>0.4</v>
      </c>
      <c r="I2049" s="20" t="n">
        <f aca="false">EXP(LN(INDEX(Pop_Inputs!$B$2:$N$29,MATCH(C2049,Pop_Inputs!$A$2:$A$29,0),G2049))*(1-H2049)+LN(INDEX(Pop_Inputs!$B$2:$N$29,MATCH(C2049,Pop_Inputs!$A$2:$A$29,0),G2049+1))*H2049)</f>
        <v>638904.515522775</v>
      </c>
      <c r="J2049" s="20" t="n">
        <f aca="false">I2049/F2049</f>
        <v>638904.515522775</v>
      </c>
      <c r="K2049" s="21" t="n">
        <f aca="false">D2049/(D2049+E2049)</f>
        <v>0.481481481481481</v>
      </c>
      <c r="L2049" s="21" t="n">
        <f aca="false">AVERAGEIFS($K$2:$K$2705,$B$2:$B$2705,B2049)</f>
        <v>0.499941211052322</v>
      </c>
      <c r="M2049" s="21" t="n">
        <f aca="false">K2049-L2049</f>
        <v>-0.0184597295708407</v>
      </c>
      <c r="N2049" s="21" t="n">
        <f aca="false">LN(J2049)</f>
        <v>13.3675102942173</v>
      </c>
      <c r="O2049" s="21" t="n">
        <f aca="false">AVERAGEIFS($N$2:$N$2705,$B$2:$B$2705,B2049)</f>
        <v>13.6442566562566</v>
      </c>
      <c r="P2049" s="21" t="n">
        <f aca="false">N2049-O2049</f>
        <v>-0.276746362039313</v>
      </c>
      <c r="Q2049" s="7" t="n">
        <v>0</v>
      </c>
      <c r="R2049" s="3" t="n">
        <f aca="false">IF(AND(Q2049=1,B2049-_xlfn.MINIFS($B$2:$B$2705,$A$2:$A$2705,A2049)&lt;10),1,0)</f>
        <v>0</v>
      </c>
      <c r="S2049" s="7" t="n">
        <v>0</v>
      </c>
      <c r="T2049" s="3" t="n">
        <f aca="false">_xlfn.MINIFS($B$2:$B$2705,$A$2:$A$2705,A2049)</f>
        <v>1901</v>
      </c>
      <c r="U2049" s="3" t="n">
        <f aca="false">B2049-T2049</f>
        <v>103</v>
      </c>
      <c r="V2049" s="3" t="str">
        <f aca="false">INDEX(Pop_Inputs!$Q$2:$Q$29,MATCH(C2049,Pop_Inputs!$A$2:$A$29,0))</f>
        <v>South</v>
      </c>
      <c r="W2049" s="29" t="n">
        <v>51623333</v>
      </c>
      <c r="X2049" s="3" t="n">
        <f aca="false">IF(W2049="","",LN(W2049))</f>
        <v>17.7594843181672</v>
      </c>
      <c r="Y2049" s="3" t="n">
        <f aca="false">IF(X2049="","",X2049-AVERAGEIFS($X$2:$X$2705,$B$2:$B$2705,B2049))</f>
        <v>-0.193702961545444</v>
      </c>
      <c r="Z2049" s="21" t="n">
        <f aca="false">P2049</f>
        <v>-0.276746362039313</v>
      </c>
      <c r="AA2049" s="3" t="n">
        <f aca="false">R2049</f>
        <v>0</v>
      </c>
      <c r="AB2049" s="21" t="n">
        <f aca="false">P2049</f>
        <v>-0.276746362039313</v>
      </c>
      <c r="AC2049" s="3" t="n">
        <f aca="false">Y2049</f>
        <v>-0.193702961545444</v>
      </c>
      <c r="AD2049" s="3" t="n">
        <f aca="false">R2049</f>
        <v>0</v>
      </c>
    </row>
    <row r="2050" customFormat="false" ht="15" hidden="false" customHeight="true" outlineLevel="0" collapsed="false">
      <c r="A2050" s="7" t="s">
        <v>64</v>
      </c>
      <c r="B2050" s="7" t="n">
        <v>2004</v>
      </c>
      <c r="C2050" s="7" t="s">
        <v>150</v>
      </c>
      <c r="D2050" s="7" t="n">
        <v>98</v>
      </c>
      <c r="E2050" s="7" t="n">
        <v>64</v>
      </c>
      <c r="F2050" s="3" t="n">
        <f aca="false">COUNTIFS($B$2:$B$2705,B2050,$C$2:$C$2705,C2050)</f>
        <v>1</v>
      </c>
      <c r="G2050" s="3" t="n">
        <f aca="false">MIN(INT((MIN(B2050,2020)-1900)/10)+1,12)</f>
        <v>11</v>
      </c>
      <c r="H2050" s="3" t="n">
        <f aca="false">(MIN(B2050,2020)-1900-10*(G2050-1))/10</f>
        <v>0.4</v>
      </c>
      <c r="I2050" s="20" t="n">
        <f aca="false">EXP(LN(INDEX(Pop_Inputs!$B$2:$N$29,MATCH(C2050,Pop_Inputs!$A$2:$A$29,0),G2050))*(1-H2050)+LN(INDEX(Pop_Inputs!$B$2:$N$29,MATCH(C2050,Pop_Inputs!$A$2:$A$29,0),G2050+1))*H2050)</f>
        <v>600361.419520005</v>
      </c>
      <c r="J2050" s="20" t="n">
        <f aca="false">I2050/F2050</f>
        <v>600361.419520005</v>
      </c>
      <c r="K2050" s="21" t="n">
        <f aca="false">D2050/(D2050+E2050)</f>
        <v>0.604938271604938</v>
      </c>
      <c r="L2050" s="21" t="n">
        <f aca="false">AVERAGEIFS($K$2:$K$2705,$B$2:$B$2705,B2050)</f>
        <v>0.499941211052322</v>
      </c>
      <c r="M2050" s="21" t="n">
        <f aca="false">K2050-L2050</f>
        <v>0.104997060552616</v>
      </c>
      <c r="N2050" s="21" t="n">
        <f aca="false">LN(J2050)</f>
        <v>13.3052871187155</v>
      </c>
      <c r="O2050" s="21" t="n">
        <f aca="false">AVERAGEIFS($N$2:$N$2705,$B$2:$B$2705,B2050)</f>
        <v>13.6442566562566</v>
      </c>
      <c r="P2050" s="21" t="n">
        <f aca="false">N2050-O2050</f>
        <v>-0.338969537541173</v>
      </c>
      <c r="Q2050" s="7" t="n">
        <v>0</v>
      </c>
      <c r="R2050" s="3" t="n">
        <f aca="false">IF(AND(Q2050=1,B2050-_xlfn.MINIFS($B$2:$B$2705,$A$2:$A$2705,A2050)&lt;10),1,0)</f>
        <v>0</v>
      </c>
      <c r="S2050" s="7" t="n">
        <v>0</v>
      </c>
      <c r="T2050" s="3" t="n">
        <f aca="false">_xlfn.MINIFS($B$2:$B$2705,$A$2:$A$2705,A2050)</f>
        <v>1901</v>
      </c>
      <c r="U2050" s="3" t="n">
        <f aca="false">B2050-T2050</f>
        <v>103</v>
      </c>
      <c r="V2050" s="3" t="str">
        <f aca="false">INDEX(Pop_Inputs!$Q$2:$Q$29,MATCH(C2050,Pop_Inputs!$A$2:$A$29,0))</f>
        <v>Northeast</v>
      </c>
      <c r="W2050" s="29" t="n">
        <v>127298500</v>
      </c>
      <c r="X2050" s="3" t="n">
        <f aca="false">IF(W2050="","",LN(W2050))</f>
        <v>18.6620452802689</v>
      </c>
      <c r="Y2050" s="3" t="n">
        <f aca="false">IF(X2050="","",X2050-AVERAGEIFS($X$2:$X$2705,$B$2:$B$2705,B2050))</f>
        <v>0.708858000556234</v>
      </c>
      <c r="Z2050" s="21" t="n">
        <f aca="false">P2050</f>
        <v>-0.338969537541173</v>
      </c>
      <c r="AA2050" s="3" t="n">
        <f aca="false">R2050</f>
        <v>0</v>
      </c>
      <c r="AB2050" s="21" t="n">
        <f aca="false">P2050</f>
        <v>-0.338969537541173</v>
      </c>
      <c r="AC2050" s="3" t="n">
        <f aca="false">Y2050</f>
        <v>0.708858000556234</v>
      </c>
      <c r="AD2050" s="3" t="n">
        <f aca="false">R2050</f>
        <v>0</v>
      </c>
    </row>
    <row r="2051" customFormat="false" ht="15" hidden="false" customHeight="true" outlineLevel="0" collapsed="false">
      <c r="A2051" s="7" t="s">
        <v>56</v>
      </c>
      <c r="B2051" s="7" t="n">
        <v>2004</v>
      </c>
      <c r="C2051" s="7" t="s">
        <v>142</v>
      </c>
      <c r="D2051" s="7" t="n">
        <v>89</v>
      </c>
      <c r="E2051" s="7" t="n">
        <v>73</v>
      </c>
      <c r="F2051" s="3" t="n">
        <f aca="false">COUNTIFS($B$2:$B$2705,B2051,$C$2:$C$2705,C2051)</f>
        <v>2</v>
      </c>
      <c r="G2051" s="3" t="n">
        <f aca="false">MIN(INT((MIN(B2051,2020)-1900)/10)+1,12)</f>
        <v>11</v>
      </c>
      <c r="H2051" s="3" t="n">
        <f aca="false">(MIN(B2051,2020)-1900-10*(G2051-1))/10</f>
        <v>0.4</v>
      </c>
      <c r="I2051" s="20" t="n">
        <f aca="false">EXP(LN(INDEX(Pop_Inputs!$B$2:$N$29,MATCH(C2051,Pop_Inputs!$A$2:$A$29,0),G2051))*(1-H2051)+LN(INDEX(Pop_Inputs!$B$2:$N$29,MATCH(C2051,Pop_Inputs!$A$2:$A$29,0),G2051+1))*H2051)</f>
        <v>2814120.07533895</v>
      </c>
      <c r="J2051" s="20" t="n">
        <f aca="false">I2051/F2051</f>
        <v>1407060.03766948</v>
      </c>
      <c r="K2051" s="21" t="n">
        <f aca="false">D2051/(D2051+E2051)</f>
        <v>0.549382716049383</v>
      </c>
      <c r="L2051" s="21" t="n">
        <f aca="false">AVERAGEIFS($K$2:$K$2705,$B$2:$B$2705,B2051)</f>
        <v>0.499941211052322</v>
      </c>
      <c r="M2051" s="21" t="n">
        <f aca="false">K2051-L2051</f>
        <v>0.0494415049970606</v>
      </c>
      <c r="N2051" s="21" t="n">
        <f aca="false">LN(J2051)</f>
        <v>14.1570130058823</v>
      </c>
      <c r="O2051" s="21" t="n">
        <f aca="false">AVERAGEIFS($N$2:$N$2705,$B$2:$B$2705,B2051)</f>
        <v>13.6442566562566</v>
      </c>
      <c r="P2051" s="21" t="n">
        <f aca="false">N2051-O2051</f>
        <v>0.512756349625668</v>
      </c>
      <c r="Q2051" s="7" t="n">
        <v>0</v>
      </c>
      <c r="R2051" s="3" t="n">
        <f aca="false">IF(AND(Q2051=1,B2051-_xlfn.MINIFS($B$2:$B$2705,$A$2:$A$2705,A2051)&lt;10),1,0)</f>
        <v>0</v>
      </c>
      <c r="S2051" s="7" t="n">
        <v>0</v>
      </c>
      <c r="T2051" s="3" t="n">
        <f aca="false">_xlfn.MINIFS($B$2:$B$2705,$A$2:$A$2705,A2051)</f>
        <v>1901</v>
      </c>
      <c r="U2051" s="3" t="n">
        <f aca="false">B2051-T2051</f>
        <v>103</v>
      </c>
      <c r="V2051" s="3" t="str">
        <f aca="false">INDEX(Pop_Inputs!$Q$2:$Q$29,MATCH(C2051,Pop_Inputs!$A$2:$A$29,0))</f>
        <v>Midwest</v>
      </c>
      <c r="W2051" s="29" t="n">
        <v>90560000</v>
      </c>
      <c r="X2051" s="3" t="n">
        <f aca="false">IF(W2051="","",LN(W2051))</f>
        <v>18.3215231724192</v>
      </c>
      <c r="Y2051" s="3" t="n">
        <f aca="false">IF(X2051="","",X2051-AVERAGEIFS($X$2:$X$2705,$B$2:$B$2705,B2051))</f>
        <v>0.368335892706487</v>
      </c>
      <c r="Z2051" s="21" t="n">
        <f aca="false">P2051</f>
        <v>0.512756349625668</v>
      </c>
      <c r="AA2051" s="3" t="n">
        <f aca="false">R2051</f>
        <v>0</v>
      </c>
      <c r="AB2051" s="21" t="n">
        <f aca="false">P2051</f>
        <v>0.512756349625668</v>
      </c>
      <c r="AC2051" s="3" t="n">
        <f aca="false">Y2051</f>
        <v>0.368335892706487</v>
      </c>
      <c r="AD2051" s="3" t="n">
        <f aca="false">R2051</f>
        <v>0</v>
      </c>
    </row>
    <row r="2052" customFormat="false" ht="15" hidden="false" customHeight="true" outlineLevel="0" collapsed="false">
      <c r="A2052" s="7" t="s">
        <v>65</v>
      </c>
      <c r="B2052" s="7" t="n">
        <v>2004</v>
      </c>
      <c r="C2052" s="7" t="s">
        <v>142</v>
      </c>
      <c r="D2052" s="7" t="n">
        <v>83</v>
      </c>
      <c r="E2052" s="7" t="n">
        <v>79</v>
      </c>
      <c r="F2052" s="3" t="n">
        <f aca="false">COUNTIFS($B$2:$B$2705,B2052,$C$2:$C$2705,C2052)</f>
        <v>2</v>
      </c>
      <c r="G2052" s="3" t="n">
        <f aca="false">MIN(INT((MIN(B2052,2020)-1900)/10)+1,12)</f>
        <v>11</v>
      </c>
      <c r="H2052" s="3" t="n">
        <f aca="false">(MIN(B2052,2020)-1900-10*(G2052-1))/10</f>
        <v>0.4</v>
      </c>
      <c r="I2052" s="20" t="n">
        <f aca="false">EXP(LN(INDEX(Pop_Inputs!$B$2:$N$29,MATCH(C2052,Pop_Inputs!$A$2:$A$29,0),G2052))*(1-H2052)+LN(INDEX(Pop_Inputs!$B$2:$N$29,MATCH(C2052,Pop_Inputs!$A$2:$A$29,0),G2052+1))*H2052)</f>
        <v>2814120.07533895</v>
      </c>
      <c r="J2052" s="20" t="n">
        <f aca="false">I2052/F2052</f>
        <v>1407060.03766948</v>
      </c>
      <c r="K2052" s="21" t="n">
        <f aca="false">D2052/(D2052+E2052)</f>
        <v>0.512345679012346</v>
      </c>
      <c r="L2052" s="21" t="n">
        <f aca="false">AVERAGEIFS($K$2:$K$2705,$B$2:$B$2705,B2052)</f>
        <v>0.499941211052322</v>
      </c>
      <c r="M2052" s="21" t="n">
        <f aca="false">K2052-L2052</f>
        <v>0.0124044679600236</v>
      </c>
      <c r="N2052" s="21" t="n">
        <f aca="false">LN(J2052)</f>
        <v>14.1570130058823</v>
      </c>
      <c r="O2052" s="21" t="n">
        <f aca="false">AVERAGEIFS($N$2:$N$2705,$B$2:$B$2705,B2052)</f>
        <v>13.6442566562566</v>
      </c>
      <c r="P2052" s="21" t="n">
        <f aca="false">N2052-O2052</f>
        <v>0.512756349625668</v>
      </c>
      <c r="Q2052" s="7" t="n">
        <v>0</v>
      </c>
      <c r="R2052" s="3" t="n">
        <f aca="false">IF(AND(Q2052=1,B2052-_xlfn.MINIFS($B$2:$B$2705,$A$2:$A$2705,A2052)&lt;10),1,0)</f>
        <v>0</v>
      </c>
      <c r="S2052" s="7" t="n">
        <v>0</v>
      </c>
      <c r="T2052" s="3" t="n">
        <f aca="false">_xlfn.MINIFS($B$2:$B$2705,$A$2:$A$2705,A2052)</f>
        <v>1901</v>
      </c>
      <c r="U2052" s="3" t="n">
        <f aca="false">B2052-T2052</f>
        <v>103</v>
      </c>
      <c r="V2052" s="3" t="str">
        <f aca="false">INDEX(Pop_Inputs!$Q$2:$Q$29,MATCH(C2052,Pop_Inputs!$A$2:$A$29,0))</f>
        <v>Midwest</v>
      </c>
      <c r="W2052" s="29" t="n">
        <v>65212500</v>
      </c>
      <c r="X2052" s="3" t="n">
        <f aca="false">IF(W2052="","",LN(W2052))</f>
        <v>17.9931617263128</v>
      </c>
      <c r="Y2052" s="3" t="n">
        <f aca="false">IF(X2052="","",X2052-AVERAGEIFS($X$2:$X$2705,$B$2:$B$2705,B2052))</f>
        <v>0.0399744466001231</v>
      </c>
      <c r="Z2052" s="21" t="n">
        <f aca="false">P2052</f>
        <v>0.512756349625668</v>
      </c>
      <c r="AA2052" s="3" t="n">
        <f aca="false">R2052</f>
        <v>0</v>
      </c>
      <c r="AB2052" s="21" t="n">
        <f aca="false">P2052</f>
        <v>0.512756349625668</v>
      </c>
      <c r="AC2052" s="3" t="n">
        <f aca="false">Y2052</f>
        <v>0.0399744466001231</v>
      </c>
      <c r="AD2052" s="3" t="n">
        <f aca="false">R2052</f>
        <v>0</v>
      </c>
    </row>
    <row r="2053" customFormat="false" ht="15" hidden="false" customHeight="true" outlineLevel="0" collapsed="false">
      <c r="A2053" s="7" t="s">
        <v>57</v>
      </c>
      <c r="B2053" s="7" t="n">
        <v>2004</v>
      </c>
      <c r="C2053" s="7" t="s">
        <v>143</v>
      </c>
      <c r="D2053" s="7" t="n">
        <v>76</v>
      </c>
      <c r="E2053" s="7" t="n">
        <v>86</v>
      </c>
      <c r="F2053" s="3" t="n">
        <f aca="false">COUNTIFS($B$2:$B$2705,B2053,$C$2:$C$2705,C2053)</f>
        <v>1</v>
      </c>
      <c r="G2053" s="3" t="n">
        <f aca="false">MIN(INT((MIN(B2053,2020)-1900)/10)+1,12)</f>
        <v>11</v>
      </c>
      <c r="H2053" s="3" t="n">
        <f aca="false">(MIN(B2053,2020)-1900-10*(G2053-1))/10</f>
        <v>0.4</v>
      </c>
      <c r="I2053" s="20" t="n">
        <f aca="false">EXP(LN(INDEX(Pop_Inputs!$B$2:$N$29,MATCH(C2053,Pop_Inputs!$A$2:$A$29,0),G2053))*(1-H2053)+LN(INDEX(Pop_Inputs!$B$2:$N$29,MATCH(C2053,Pop_Inputs!$A$2:$A$29,0),G2053+1))*H2053)</f>
        <v>317095.661527775</v>
      </c>
      <c r="J2053" s="20" t="n">
        <f aca="false">I2053/F2053</f>
        <v>317095.661527775</v>
      </c>
      <c r="K2053" s="21" t="n">
        <f aca="false">D2053/(D2053+E2053)</f>
        <v>0.469135802469136</v>
      </c>
      <c r="L2053" s="21" t="n">
        <f aca="false">AVERAGEIFS($K$2:$K$2705,$B$2:$B$2705,B2053)</f>
        <v>0.499941211052322</v>
      </c>
      <c r="M2053" s="21" t="n">
        <f aca="false">K2053-L2053</f>
        <v>-0.0308054085831864</v>
      </c>
      <c r="N2053" s="21" t="n">
        <f aca="false">LN(J2053)</f>
        <v>12.6669587787166</v>
      </c>
      <c r="O2053" s="21" t="n">
        <f aca="false">AVERAGEIFS($N$2:$N$2705,$B$2:$B$2705,B2053)</f>
        <v>13.6442566562566</v>
      </c>
      <c r="P2053" s="21" t="n">
        <f aca="false">N2053-O2053</f>
        <v>-0.977297877540048</v>
      </c>
      <c r="Q2053" s="7" t="n">
        <v>0</v>
      </c>
      <c r="R2053" s="3" t="n">
        <f aca="false">IF(AND(Q2053=1,B2053-_xlfn.MINIFS($B$2:$B$2705,$A$2:$A$2705,A2053)&lt;10),1,0)</f>
        <v>0</v>
      </c>
      <c r="S2053" s="7" t="n">
        <v>0</v>
      </c>
      <c r="T2053" s="3" t="n">
        <f aca="false">_xlfn.MINIFS($B$2:$B$2705,$A$2:$A$2705,A2053)</f>
        <v>1901</v>
      </c>
      <c r="U2053" s="3" t="n">
        <f aca="false">B2053-T2053</f>
        <v>103</v>
      </c>
      <c r="V2053" s="3" t="str">
        <f aca="false">INDEX(Pop_Inputs!$Q$2:$Q$29,MATCH(C2053,Pop_Inputs!$A$2:$A$29,0))</f>
        <v>Midwest</v>
      </c>
      <c r="W2053" s="29" t="n">
        <v>46615250</v>
      </c>
      <c r="X2053" s="3" t="n">
        <f aca="false">IF(W2053="","",LN(W2053))</f>
        <v>17.6574382987791</v>
      </c>
      <c r="Y2053" s="3" t="n">
        <f aca="false">IF(X2053="","",X2053-AVERAGEIFS($X$2:$X$2705,$B$2:$B$2705,B2053))</f>
        <v>-0.29574898093356</v>
      </c>
      <c r="Z2053" s="21" t="n">
        <f aca="false">P2053</f>
        <v>-0.977297877540048</v>
      </c>
      <c r="AA2053" s="3" t="n">
        <f aca="false">R2053</f>
        <v>0</v>
      </c>
      <c r="AB2053" s="21" t="n">
        <f aca="false">P2053</f>
        <v>-0.977297877540048</v>
      </c>
      <c r="AC2053" s="3" t="n">
        <f aca="false">Y2053</f>
        <v>-0.29574898093356</v>
      </c>
      <c r="AD2053" s="3" t="n">
        <f aca="false">R2053</f>
        <v>0</v>
      </c>
    </row>
    <row r="2054" customFormat="false" ht="15" hidden="false" customHeight="true" outlineLevel="0" collapsed="false">
      <c r="A2054" s="7" t="s">
        <v>66</v>
      </c>
      <c r="B2054" s="7" t="n">
        <v>2004</v>
      </c>
      <c r="C2054" s="7" t="s">
        <v>151</v>
      </c>
      <c r="D2054" s="7" t="n">
        <v>80</v>
      </c>
      <c r="E2054" s="7" t="n">
        <v>82</v>
      </c>
      <c r="F2054" s="3" t="n">
        <f aca="false">COUNTIFS($B$2:$B$2705,B2054,$C$2:$C$2705,C2054)</f>
        <v>1</v>
      </c>
      <c r="G2054" s="3" t="n">
        <f aca="false">MIN(INT((MIN(B2054,2020)-1900)/10)+1,12)</f>
        <v>11</v>
      </c>
      <c r="H2054" s="3" t="n">
        <f aca="false">(MIN(B2054,2020)-1900-10*(G2054-1))/10</f>
        <v>0.4</v>
      </c>
      <c r="I2054" s="20" t="n">
        <f aca="false">EXP(LN(INDEX(Pop_Inputs!$B$2:$N$29,MATCH(C2054,Pop_Inputs!$A$2:$A$29,0),G2054))*(1-H2054)+LN(INDEX(Pop_Inputs!$B$2:$N$29,MATCH(C2054,Pop_Inputs!$A$2:$A$29,0),G2054+1))*H2054)</f>
        <v>443927.009081776</v>
      </c>
      <c r="J2054" s="20" t="n">
        <f aca="false">I2054/F2054</f>
        <v>443927.009081776</v>
      </c>
      <c r="K2054" s="21" t="n">
        <f aca="false">D2054/(D2054+E2054)</f>
        <v>0.493827160493827</v>
      </c>
      <c r="L2054" s="21" t="n">
        <f aca="false">AVERAGEIFS($K$2:$K$2705,$B$2:$B$2705,B2054)</f>
        <v>0.499941211052322</v>
      </c>
      <c r="M2054" s="21" t="n">
        <f aca="false">K2054-L2054</f>
        <v>-0.00611405055849501</v>
      </c>
      <c r="N2054" s="21" t="n">
        <f aca="false">LN(J2054)</f>
        <v>13.0034154339402</v>
      </c>
      <c r="O2054" s="21" t="n">
        <f aca="false">AVERAGEIFS($N$2:$N$2705,$B$2:$B$2705,B2054)</f>
        <v>13.6442566562566</v>
      </c>
      <c r="P2054" s="21" t="n">
        <f aca="false">N2054-O2054</f>
        <v>-0.640841222316405</v>
      </c>
      <c r="Q2054" s="7" t="n">
        <v>0</v>
      </c>
      <c r="R2054" s="3" t="n">
        <f aca="false">IF(AND(Q2054=1,B2054-_xlfn.MINIFS($B$2:$B$2705,$A$2:$A$2705,A2054)&lt;10),1,0)</f>
        <v>0</v>
      </c>
      <c r="S2054" s="7" t="n">
        <v>0</v>
      </c>
      <c r="T2054" s="3" t="n">
        <f aca="false">_xlfn.MINIFS($B$2:$B$2705,$A$2:$A$2705,A2054)</f>
        <v>1901</v>
      </c>
      <c r="U2054" s="3" t="n">
        <f aca="false">B2054-T2054</f>
        <v>103</v>
      </c>
      <c r="V2054" s="3" t="str">
        <f aca="false">INDEX(Pop_Inputs!$Q$2:$Q$29,MATCH(C2054,Pop_Inputs!$A$2:$A$29,0))</f>
        <v>Midwest</v>
      </c>
      <c r="W2054" s="29" t="n">
        <v>34319300</v>
      </c>
      <c r="X2054" s="3" t="n">
        <f aca="false">IF(W2054="","",LN(W2054))</f>
        <v>17.3512184361056</v>
      </c>
      <c r="Y2054" s="3" t="n">
        <f aca="false">IF(X2054="","",X2054-AVERAGEIFS($X$2:$X$2705,$B$2:$B$2705,B2054))</f>
        <v>-0.601968843607029</v>
      </c>
      <c r="Z2054" s="21" t="n">
        <f aca="false">P2054</f>
        <v>-0.640841222316405</v>
      </c>
      <c r="AA2054" s="3" t="n">
        <f aca="false">R2054</f>
        <v>0</v>
      </c>
      <c r="AB2054" s="21" t="n">
        <f aca="false">P2054</f>
        <v>-0.640841222316405</v>
      </c>
      <c r="AC2054" s="3" t="n">
        <f aca="false">Y2054</f>
        <v>-0.601968843607029</v>
      </c>
      <c r="AD2054" s="3" t="n">
        <f aca="false">R2054</f>
        <v>0</v>
      </c>
    </row>
    <row r="2055" customFormat="false" ht="15" hidden="false" customHeight="true" outlineLevel="0" collapsed="false">
      <c r="A2055" s="7" t="s">
        <v>82</v>
      </c>
      <c r="B2055" s="7" t="n">
        <v>2004</v>
      </c>
      <c r="C2055" s="7" t="s">
        <v>163</v>
      </c>
      <c r="D2055" s="7" t="n">
        <v>68</v>
      </c>
      <c r="E2055" s="7" t="n">
        <v>94</v>
      </c>
      <c r="F2055" s="3" t="n">
        <f aca="false">COUNTIFS($B$2:$B$2705,B2055,$C$2:$C$2705,C2055)</f>
        <v>1</v>
      </c>
      <c r="G2055" s="3" t="n">
        <f aca="false">MIN(INT((MIN(B2055,2020)-1900)/10)+1,12)</f>
        <v>11</v>
      </c>
      <c r="H2055" s="3" t="n">
        <f aca="false">(MIN(B2055,2020)-1900-10*(G2055-1))/10</f>
        <v>0.4</v>
      </c>
      <c r="I2055" s="20" t="n">
        <f aca="false">EXP(LN(INDEX(Pop_Inputs!$B$2:$N$29,MATCH(C2055,Pop_Inputs!$A$2:$A$29,0),G2055))*(1-H2055)+LN(INDEX(Pop_Inputs!$B$2:$N$29,MATCH(C2055,Pop_Inputs!$A$2:$A$29,0),G2055+1))*H2055)</f>
        <v>572415.088379446</v>
      </c>
      <c r="J2055" s="20" t="n">
        <f aca="false">I2055/F2055</f>
        <v>572415.088379446</v>
      </c>
      <c r="K2055" s="21" t="n">
        <f aca="false">D2055/(D2055+E2055)</f>
        <v>0.419753086419753</v>
      </c>
      <c r="L2055" s="21" t="n">
        <f aca="false">AVERAGEIFS($K$2:$K$2705,$B$2:$B$2705,B2055)</f>
        <v>0.499941211052322</v>
      </c>
      <c r="M2055" s="21" t="n">
        <f aca="false">K2055-L2055</f>
        <v>-0.0801881246325691</v>
      </c>
      <c r="N2055" s="21" t="n">
        <f aca="false">LN(J2055)</f>
        <v>13.2576196861693</v>
      </c>
      <c r="O2055" s="21" t="n">
        <f aca="false">AVERAGEIFS($N$2:$N$2705,$B$2:$B$2705,B2055)</f>
        <v>13.6442566562566</v>
      </c>
      <c r="P2055" s="21" t="n">
        <f aca="false">N2055-O2055</f>
        <v>-0.386636970087336</v>
      </c>
      <c r="Q2055" s="7" t="n">
        <v>1</v>
      </c>
      <c r="R2055" s="3" t="n">
        <f aca="false">IF(AND(Q2055=1,B2055-_xlfn.MINIFS($B$2:$B$2705,$A$2:$A$2705,A2055)&lt;10),1,0)</f>
        <v>0</v>
      </c>
      <c r="S2055" s="7" t="n">
        <v>0</v>
      </c>
      <c r="T2055" s="3" t="n">
        <f aca="false">_xlfn.MINIFS($B$2:$B$2705,$A$2:$A$2705,A2055)</f>
        <v>1993</v>
      </c>
      <c r="U2055" s="3" t="n">
        <f aca="false">B2055-T2055</f>
        <v>11</v>
      </c>
      <c r="V2055" s="3" t="str">
        <f aca="false">INDEX(Pop_Inputs!$Q$2:$Q$29,MATCH(C2055,Pop_Inputs!$A$2:$A$29,0))</f>
        <v>West</v>
      </c>
      <c r="W2055" s="29" t="n">
        <v>65445167</v>
      </c>
      <c r="X2055" s="3" t="n">
        <f aca="false">IF(W2055="","",LN(W2055))</f>
        <v>17.9967232049657</v>
      </c>
      <c r="Y2055" s="3" t="n">
        <f aca="false">IF(X2055="","",X2055-AVERAGEIFS($X$2:$X$2705,$B$2:$B$2705,B2055))</f>
        <v>0.0435359252530603</v>
      </c>
      <c r="Z2055" s="21" t="n">
        <f aca="false">P2055</f>
        <v>-0.386636970087336</v>
      </c>
      <c r="AA2055" s="3" t="n">
        <f aca="false">R2055</f>
        <v>0</v>
      </c>
      <c r="AB2055" s="21" t="n">
        <f aca="false">P2055</f>
        <v>-0.386636970087336</v>
      </c>
      <c r="AC2055" s="3" t="n">
        <f aca="false">Y2055</f>
        <v>0.0435359252530603</v>
      </c>
      <c r="AD2055" s="3" t="n">
        <f aca="false">R2055</f>
        <v>0</v>
      </c>
    </row>
    <row r="2056" customFormat="false" ht="15" hidden="false" customHeight="true" outlineLevel="0" collapsed="false">
      <c r="A2056" s="7" t="s">
        <v>67</v>
      </c>
      <c r="B2056" s="7" t="n">
        <v>2004</v>
      </c>
      <c r="C2056" s="7" t="s">
        <v>152</v>
      </c>
      <c r="D2056" s="7" t="n">
        <v>72</v>
      </c>
      <c r="E2056" s="7" t="n">
        <v>90</v>
      </c>
      <c r="F2056" s="3" t="n">
        <f aca="false">COUNTIFS($B$2:$B$2705,B2056,$C$2:$C$2705,C2056)</f>
        <v>1</v>
      </c>
      <c r="G2056" s="3" t="n">
        <f aca="false">MIN(INT((MIN(B2056,2020)-1900)/10)+1,12)</f>
        <v>11</v>
      </c>
      <c r="H2056" s="3" t="n">
        <f aca="false">(MIN(B2056,2020)-1900-10*(G2056-1))/10</f>
        <v>0.4</v>
      </c>
      <c r="I2056" s="20" t="n">
        <f aca="false">EXP(LN(INDEX(Pop_Inputs!$B$2:$N$29,MATCH(C2056,Pop_Inputs!$A$2:$A$29,0),G2056))*(1-H2056)+LN(INDEX(Pop_Inputs!$B$2:$N$29,MATCH(C2056,Pop_Inputs!$A$2:$A$29,0),G2056+1))*H2056)</f>
        <v>848022.353584558</v>
      </c>
      <c r="J2056" s="20" t="n">
        <f aca="false">I2056/F2056</f>
        <v>848022.353584558</v>
      </c>
      <c r="K2056" s="21" t="n">
        <f aca="false">D2056/(D2056+E2056)</f>
        <v>0.444444444444444</v>
      </c>
      <c r="L2056" s="21" t="n">
        <f aca="false">AVERAGEIFS($K$2:$K$2705,$B$2:$B$2705,B2056)</f>
        <v>0.499941211052322</v>
      </c>
      <c r="M2056" s="21" t="n">
        <f aca="false">K2056-L2056</f>
        <v>-0.0554967666078777</v>
      </c>
      <c r="N2056" s="21" t="n">
        <f aca="false">LN(J2056)</f>
        <v>13.6506622747858</v>
      </c>
      <c r="O2056" s="21" t="n">
        <f aca="false">AVERAGEIFS($N$2:$N$2705,$B$2:$B$2705,B2056)</f>
        <v>13.6442566562566</v>
      </c>
      <c r="P2056" s="21" t="n">
        <f aca="false">N2056-O2056</f>
        <v>0.00640561852912569</v>
      </c>
      <c r="Q2056" s="7" t="n">
        <v>0</v>
      </c>
      <c r="R2056" s="3" t="n">
        <f aca="false">IF(AND(Q2056=1,B2056-_xlfn.MINIFS($B$2:$B$2705,$A$2:$A$2705,A2056)&lt;10),1,0)</f>
        <v>0</v>
      </c>
      <c r="S2056" s="7" t="n">
        <v>0</v>
      </c>
      <c r="T2056" s="3" t="n">
        <f aca="false">_xlfn.MINIFS($B$2:$B$2705,$A$2:$A$2705,A2056)</f>
        <v>1901</v>
      </c>
      <c r="U2056" s="3" t="n">
        <f aca="false">B2056-T2056</f>
        <v>103</v>
      </c>
      <c r="V2056" s="3" t="str">
        <f aca="false">INDEX(Pop_Inputs!$Q$2:$Q$29,MATCH(C2056,Pop_Inputs!$A$2:$A$29,0))</f>
        <v>Midwest</v>
      </c>
      <c r="W2056" s="29" t="n">
        <v>46832000</v>
      </c>
      <c r="X2056" s="3" t="n">
        <f aca="false">IF(W2056="","",LN(W2056))</f>
        <v>17.6620772879138</v>
      </c>
      <c r="Y2056" s="3" t="n">
        <f aca="false">IF(X2056="","",X2056-AVERAGEIFS($X$2:$X$2705,$B$2:$B$2705,B2056))</f>
        <v>-0.291109991798859</v>
      </c>
      <c r="Z2056" s="21" t="n">
        <f aca="false">P2056</f>
        <v>0.00640561852912569</v>
      </c>
      <c r="AA2056" s="3" t="n">
        <f aca="false">R2056</f>
        <v>0</v>
      </c>
      <c r="AB2056" s="21" t="n">
        <f aca="false">P2056</f>
        <v>0.00640561852912569</v>
      </c>
      <c r="AC2056" s="3" t="n">
        <f aca="false">Y2056</f>
        <v>-0.291109991798859</v>
      </c>
      <c r="AD2056" s="3" t="n">
        <f aca="false">R2056</f>
        <v>0</v>
      </c>
    </row>
    <row r="2057" customFormat="false" ht="15" hidden="false" customHeight="true" outlineLevel="0" collapsed="false">
      <c r="A2057" s="7" t="s">
        <v>83</v>
      </c>
      <c r="B2057" s="7" t="n">
        <v>2004</v>
      </c>
      <c r="C2057" s="7" t="s">
        <v>164</v>
      </c>
      <c r="D2057" s="7" t="n">
        <v>83</v>
      </c>
      <c r="E2057" s="7" t="n">
        <v>79</v>
      </c>
      <c r="F2057" s="3" t="n">
        <f aca="false">COUNTIFS($B$2:$B$2705,B2057,$C$2:$C$2705,C2057)</f>
        <v>1</v>
      </c>
      <c r="G2057" s="3" t="n">
        <f aca="false">MIN(INT((MIN(B2057,2020)-1900)/10)+1,12)</f>
        <v>11</v>
      </c>
      <c r="H2057" s="3" t="n">
        <f aca="false">(MIN(B2057,2020)-1900-10*(G2057-1))/10</f>
        <v>0.4</v>
      </c>
      <c r="I2057" s="20" t="n">
        <f aca="false">EXP(LN(INDEX(Pop_Inputs!$B$2:$N$29,MATCH(C2057,Pop_Inputs!$A$2:$A$29,0),G2057))*(1-H2057)+LN(INDEX(Pop_Inputs!$B$2:$N$29,MATCH(C2057,Pop_Inputs!$A$2:$A$29,0),G2057+1))*H2057)</f>
        <v>376835.019382801</v>
      </c>
      <c r="J2057" s="20" t="n">
        <f aca="false">I2057/F2057</f>
        <v>376835.019382801</v>
      </c>
      <c r="K2057" s="21" t="n">
        <f aca="false">D2057/(D2057+E2057)</f>
        <v>0.512345679012346</v>
      </c>
      <c r="L2057" s="21" t="n">
        <f aca="false">AVERAGEIFS($K$2:$K$2705,$B$2:$B$2705,B2057)</f>
        <v>0.499941211052322</v>
      </c>
      <c r="M2057" s="21" t="n">
        <f aca="false">K2057-L2057</f>
        <v>0.0124044679600236</v>
      </c>
      <c r="N2057" s="21" t="n">
        <f aca="false">LN(J2057)</f>
        <v>12.8395627562798</v>
      </c>
      <c r="O2057" s="21" t="n">
        <f aca="false">AVERAGEIFS($N$2:$N$2705,$B$2:$B$2705,B2057)</f>
        <v>13.6442566562566</v>
      </c>
      <c r="P2057" s="21" t="n">
        <f aca="false">N2057-O2057</f>
        <v>-0.804693899976829</v>
      </c>
      <c r="Q2057" s="7" t="n">
        <v>1</v>
      </c>
      <c r="R2057" s="3" t="n">
        <f aca="false">IF(AND(Q2057=1,B2057-_xlfn.MINIFS($B$2:$B$2705,$A$2:$A$2705,A2057)&lt;10),1,0)</f>
        <v>0</v>
      </c>
      <c r="S2057" s="7" t="n">
        <v>0</v>
      </c>
      <c r="T2057" s="3" t="n">
        <f aca="false">_xlfn.MINIFS($B$2:$B$2705,$A$2:$A$2705,A2057)</f>
        <v>1993</v>
      </c>
      <c r="U2057" s="3" t="n">
        <f aca="false">B2057-T2057</f>
        <v>11</v>
      </c>
      <c r="V2057" s="3" t="str">
        <f aca="false">INDEX(Pop_Inputs!$Q$2:$Q$29,MATCH(C2057,Pop_Inputs!$A$2:$A$29,0))</f>
        <v>South</v>
      </c>
      <c r="W2057" s="29" t="n">
        <v>42143042</v>
      </c>
      <c r="X2057" s="3" t="n">
        <f aca="false">IF(W2057="","",LN(W2057))</f>
        <v>17.5565801516798</v>
      </c>
      <c r="Y2057" s="3" t="n">
        <f aca="false">IF(X2057="","",X2057-AVERAGEIFS($X$2:$X$2705,$B$2:$B$2705,B2057))</f>
        <v>-0.396607128032823</v>
      </c>
      <c r="Z2057" s="21" t="n">
        <f aca="false">P2057</f>
        <v>-0.804693899976829</v>
      </c>
      <c r="AA2057" s="3" t="n">
        <f aca="false">R2057</f>
        <v>0</v>
      </c>
      <c r="AB2057" s="21" t="n">
        <f aca="false">P2057</f>
        <v>-0.804693899976829</v>
      </c>
      <c r="AC2057" s="3" t="n">
        <f aca="false">Y2057</f>
        <v>-0.396607128032823</v>
      </c>
      <c r="AD2057" s="3" t="n">
        <f aca="false">R2057</f>
        <v>0</v>
      </c>
    </row>
    <row r="2058" customFormat="false" ht="15" hidden="false" customHeight="true" outlineLevel="0" collapsed="false">
      <c r="A2058" s="7" t="s">
        <v>74</v>
      </c>
      <c r="B2058" s="7" t="n">
        <v>2004</v>
      </c>
      <c r="C2058" s="7" t="s">
        <v>156</v>
      </c>
      <c r="D2058" s="7" t="n">
        <v>92</v>
      </c>
      <c r="E2058" s="7" t="n">
        <v>70</v>
      </c>
      <c r="F2058" s="3" t="n">
        <f aca="false">COUNTIFS($B$2:$B$2705,B2058,$C$2:$C$2705,C2058)</f>
        <v>1</v>
      </c>
      <c r="G2058" s="3" t="n">
        <f aca="false">MIN(INT((MIN(B2058,2020)-1900)/10)+1,12)</f>
        <v>11</v>
      </c>
      <c r="H2058" s="3" t="n">
        <f aca="false">(MIN(B2058,2020)-1900-10*(G2058-1))/10</f>
        <v>0.4</v>
      </c>
      <c r="I2058" s="20" t="n">
        <f aca="false">EXP(LN(INDEX(Pop_Inputs!$B$2:$N$29,MATCH(C2058,Pop_Inputs!$A$2:$A$29,0),G2058))*(1-H2058)+LN(INDEX(Pop_Inputs!$B$2:$N$29,MATCH(C2058,Pop_Inputs!$A$2:$A$29,0),G2058+1))*H2058)</f>
        <v>2010702.50950781</v>
      </c>
      <c r="J2058" s="20" t="n">
        <f aca="false">I2058/F2058</f>
        <v>2010702.50950781</v>
      </c>
      <c r="K2058" s="21" t="n">
        <f aca="false">D2058/(D2058+E2058)</f>
        <v>0.567901234567901</v>
      </c>
      <c r="L2058" s="21" t="n">
        <f aca="false">AVERAGEIFS($K$2:$K$2705,$B$2:$B$2705,B2058)</f>
        <v>0.499941211052322</v>
      </c>
      <c r="M2058" s="21" t="n">
        <f aca="false">K2058-L2058</f>
        <v>0.0679600235155791</v>
      </c>
      <c r="N2058" s="21" t="n">
        <f aca="false">LN(J2058)</f>
        <v>14.5139947261897</v>
      </c>
      <c r="O2058" s="21" t="n">
        <f aca="false">AVERAGEIFS($N$2:$N$2705,$B$2:$B$2705,B2058)</f>
        <v>13.6442566562566</v>
      </c>
      <c r="P2058" s="21" t="n">
        <f aca="false">N2058-O2058</f>
        <v>0.869738069933019</v>
      </c>
      <c r="Q2058" s="7" t="n">
        <v>1</v>
      </c>
      <c r="R2058" s="3" t="n">
        <f aca="false">IF(AND(Q2058=1,B2058-_xlfn.MINIFS($B$2:$B$2705,$A$2:$A$2705,A2058)&lt;10),1,0)</f>
        <v>0</v>
      </c>
      <c r="S2058" s="7" t="n">
        <v>0</v>
      </c>
      <c r="T2058" s="3" t="n">
        <f aca="false">_xlfn.MINIFS($B$2:$B$2705,$A$2:$A$2705,A2058)</f>
        <v>1962</v>
      </c>
      <c r="U2058" s="3" t="n">
        <f aca="false">B2058-T2058</f>
        <v>42</v>
      </c>
      <c r="V2058" s="3" t="str">
        <f aca="false">INDEX(Pop_Inputs!$Q$2:$Q$29,MATCH(C2058,Pop_Inputs!$A$2:$A$29,0))</f>
        <v>South</v>
      </c>
      <c r="W2058" s="29" t="n">
        <v>75397000</v>
      </c>
      <c r="X2058" s="3" t="n">
        <f aca="false">IF(W2058="","",LN(W2058))</f>
        <v>18.1382780443882</v>
      </c>
      <c r="Y2058" s="3" t="n">
        <f aca="false">IF(X2058="","",X2058-AVERAGEIFS($X$2:$X$2705,$B$2:$B$2705,B2058))</f>
        <v>0.185090764675557</v>
      </c>
      <c r="Z2058" s="21" t="n">
        <f aca="false">P2058</f>
        <v>0.869738069933019</v>
      </c>
      <c r="AA2058" s="3" t="n">
        <f aca="false">R2058</f>
        <v>0</v>
      </c>
      <c r="AB2058" s="21" t="n">
        <f aca="false">P2058</f>
        <v>0.869738069933019</v>
      </c>
      <c r="AC2058" s="3" t="n">
        <f aca="false">Y2058</f>
        <v>0.185090764675557</v>
      </c>
      <c r="AD2058" s="3" t="n">
        <f aca="false">R2058</f>
        <v>0</v>
      </c>
    </row>
    <row r="2059" customFormat="false" ht="15" hidden="false" customHeight="true" outlineLevel="0" collapsed="false">
      <c r="A2059" s="7" t="s">
        <v>76</v>
      </c>
      <c r="B2059" s="7" t="n">
        <v>2004</v>
      </c>
      <c r="C2059" s="7" t="s">
        <v>157</v>
      </c>
      <c r="D2059" s="7" t="n">
        <v>58</v>
      </c>
      <c r="E2059" s="7" t="n">
        <v>104</v>
      </c>
      <c r="F2059" s="3" t="n">
        <f aca="false">COUNTIFS($B$2:$B$2705,B2059,$C$2:$C$2705,C2059)</f>
        <v>1</v>
      </c>
      <c r="G2059" s="3" t="n">
        <f aca="false">MIN(INT((MIN(B2059,2020)-1900)/10)+1,12)</f>
        <v>11</v>
      </c>
      <c r="H2059" s="3" t="n">
        <f aca="false">(MIN(B2059,2020)-1900-10*(G2059-1))/10</f>
        <v>0.4</v>
      </c>
      <c r="I2059" s="20" t="n">
        <f aca="false">EXP(LN(INDEX(Pop_Inputs!$B$2:$N$29,MATCH(C2059,Pop_Inputs!$A$2:$A$29,0),G2059))*(1-H2059)+LN(INDEX(Pop_Inputs!$B$2:$N$29,MATCH(C2059,Pop_Inputs!$A$2:$A$29,0),G2059+1))*H2059)</f>
        <v>448753.302707707</v>
      </c>
      <c r="J2059" s="20" t="n">
        <f aca="false">I2059/F2059</f>
        <v>448753.302707707</v>
      </c>
      <c r="K2059" s="21" t="n">
        <f aca="false">D2059/(D2059+E2059)</f>
        <v>0.358024691358025</v>
      </c>
      <c r="L2059" s="21" t="n">
        <f aca="false">AVERAGEIFS($K$2:$K$2705,$B$2:$B$2705,B2059)</f>
        <v>0.499941211052322</v>
      </c>
      <c r="M2059" s="21" t="n">
        <f aca="false">K2059-L2059</f>
        <v>-0.141916519694297</v>
      </c>
      <c r="N2059" s="21" t="n">
        <f aca="false">LN(J2059)</f>
        <v>13.0142285785519</v>
      </c>
      <c r="O2059" s="21" t="n">
        <f aca="false">AVERAGEIFS($N$2:$N$2705,$B$2:$B$2705,B2059)</f>
        <v>13.6442566562566</v>
      </c>
      <c r="P2059" s="21" t="n">
        <f aca="false">N2059-O2059</f>
        <v>-0.630028077704759</v>
      </c>
      <c r="Q2059" s="7" t="n">
        <v>1</v>
      </c>
      <c r="R2059" s="3" t="n">
        <f aca="false">IF(AND(Q2059=1,B2059-_xlfn.MINIFS($B$2:$B$2705,$A$2:$A$2705,A2059)&lt;10),1,0)</f>
        <v>0</v>
      </c>
      <c r="S2059" s="7" t="n">
        <v>0</v>
      </c>
      <c r="T2059" s="3" t="n">
        <f aca="false">_xlfn.MINIFS($B$2:$B$2705,$A$2:$A$2705,A2059)</f>
        <v>1969</v>
      </c>
      <c r="U2059" s="3" t="n">
        <f aca="false">B2059-T2059</f>
        <v>35</v>
      </c>
      <c r="V2059" s="3" t="str">
        <f aca="false">INDEX(Pop_Inputs!$Q$2:$Q$29,MATCH(C2059,Pop_Inputs!$A$2:$A$29,0))</f>
        <v>Midwest</v>
      </c>
      <c r="W2059" s="29" t="n">
        <v>47609000</v>
      </c>
      <c r="X2059" s="3" t="n">
        <f aca="false">IF(W2059="","",LN(W2059))</f>
        <v>17.6785323769594</v>
      </c>
      <c r="Y2059" s="3" t="n">
        <f aca="false">IF(X2059="","",X2059-AVERAGEIFS($X$2:$X$2705,$B$2:$B$2705,B2059))</f>
        <v>-0.274654902753305</v>
      </c>
      <c r="Z2059" s="21" t="n">
        <f aca="false">P2059</f>
        <v>-0.630028077704759</v>
      </c>
      <c r="AA2059" s="3" t="n">
        <f aca="false">R2059</f>
        <v>0</v>
      </c>
      <c r="AB2059" s="21" t="n">
        <f aca="false">P2059</f>
        <v>-0.630028077704759</v>
      </c>
      <c r="AC2059" s="3" t="n">
        <f aca="false">Y2059</f>
        <v>-0.274654902753305</v>
      </c>
      <c r="AD2059" s="3" t="n">
        <f aca="false">R2059</f>
        <v>0</v>
      </c>
    </row>
    <row r="2060" customFormat="false" ht="15" hidden="false" customHeight="true" outlineLevel="0" collapsed="false">
      <c r="A2060" s="7" t="s">
        <v>62</v>
      </c>
      <c r="B2060" s="7" t="n">
        <v>2004</v>
      </c>
      <c r="C2060" s="7" t="s">
        <v>148</v>
      </c>
      <c r="D2060" s="7" t="n">
        <v>93</v>
      </c>
      <c r="E2060" s="7" t="n">
        <v>69</v>
      </c>
      <c r="F2060" s="3" t="n">
        <f aca="false">COUNTIFS($B$2:$B$2705,B2060,$C$2:$C$2705,C2060)</f>
        <v>2</v>
      </c>
      <c r="G2060" s="3" t="n">
        <f aca="false">MIN(INT((MIN(B2060,2020)-1900)/10)+1,12)</f>
        <v>11</v>
      </c>
      <c r="H2060" s="3" t="n">
        <f aca="false">(MIN(B2060,2020)-1900-10*(G2060-1))/10</f>
        <v>0.4</v>
      </c>
      <c r="I2060" s="20" t="n">
        <f aca="false">EXP(LN(INDEX(Pop_Inputs!$B$2:$N$29,MATCH(C2060,Pop_Inputs!$A$2:$A$29,0),G2060))*(1-H2060)+LN(INDEX(Pop_Inputs!$B$2:$N$29,MATCH(C2060,Pop_Inputs!$A$2:$A$29,0),G2060+1))*H2060)</f>
        <v>3733634.05921279</v>
      </c>
      <c r="J2060" s="20" t="n">
        <f aca="false">I2060/F2060</f>
        <v>1866817.0296064</v>
      </c>
      <c r="K2060" s="21" t="n">
        <f aca="false">D2060/(D2060+E2060)</f>
        <v>0.574074074074074</v>
      </c>
      <c r="L2060" s="21" t="n">
        <f aca="false">AVERAGEIFS($K$2:$K$2705,$B$2:$B$2705,B2060)</f>
        <v>0.499941211052322</v>
      </c>
      <c r="M2060" s="21" t="n">
        <f aca="false">K2060-L2060</f>
        <v>0.0741328630217519</v>
      </c>
      <c r="N2060" s="21" t="n">
        <f aca="false">LN(J2060)</f>
        <v>14.439745415368</v>
      </c>
      <c r="O2060" s="21" t="n">
        <f aca="false">AVERAGEIFS($N$2:$N$2705,$B$2:$B$2705,B2060)</f>
        <v>13.6442566562566</v>
      </c>
      <c r="P2060" s="21" t="n">
        <f aca="false">N2060-O2060</f>
        <v>0.795488759111384</v>
      </c>
      <c r="Q2060" s="7" t="n">
        <v>0</v>
      </c>
      <c r="R2060" s="3" t="n">
        <f aca="false">IF(AND(Q2060=1,B2060-_xlfn.MINIFS($B$2:$B$2705,$A$2:$A$2705,A2060)&lt;10),1,0)</f>
        <v>0</v>
      </c>
      <c r="S2060" s="7" t="n">
        <v>0</v>
      </c>
      <c r="T2060" s="3" t="n">
        <f aca="false">_xlfn.MINIFS($B$2:$B$2705,$A$2:$A$2705,A2060)</f>
        <v>1901</v>
      </c>
      <c r="U2060" s="3" t="n">
        <f aca="false">B2060-T2060</f>
        <v>103</v>
      </c>
      <c r="V2060" s="3" t="str">
        <f aca="false">INDEX(Pop_Inputs!$Q$2:$Q$29,MATCH(C2060,Pop_Inputs!$A$2:$A$29,0))</f>
        <v>West</v>
      </c>
      <c r="W2060" s="29" t="n">
        <v>92902001</v>
      </c>
      <c r="X2060" s="3" t="n">
        <f aca="false">IF(W2060="","",LN(W2060))</f>
        <v>18.3470557428417</v>
      </c>
      <c r="Y2060" s="3" t="n">
        <f aca="false">IF(X2060="","",X2060-AVERAGEIFS($X$2:$X$2705,$B$2:$B$2705,B2060))</f>
        <v>0.393868463128996</v>
      </c>
      <c r="Z2060" s="21" t="n">
        <f aca="false">P2060</f>
        <v>0.795488759111384</v>
      </c>
      <c r="AA2060" s="3" t="n">
        <f aca="false">R2060</f>
        <v>0</v>
      </c>
      <c r="AB2060" s="21" t="n">
        <f aca="false">P2060</f>
        <v>0.795488759111384</v>
      </c>
      <c r="AC2060" s="3" t="n">
        <f aca="false">Y2060</f>
        <v>0.393868463128996</v>
      </c>
      <c r="AD2060" s="3" t="n">
        <f aca="false">R2060</f>
        <v>0</v>
      </c>
    </row>
    <row r="2061" customFormat="false" ht="15" hidden="false" customHeight="true" outlineLevel="0" collapsed="false">
      <c r="A2061" s="7" t="s">
        <v>77</v>
      </c>
      <c r="B2061" s="7" t="n">
        <v>2004</v>
      </c>
      <c r="C2061" s="7" t="s">
        <v>158</v>
      </c>
      <c r="D2061" s="7" t="n">
        <v>67</v>
      </c>
      <c r="E2061" s="7" t="n">
        <v>94</v>
      </c>
      <c r="F2061" s="3" t="n">
        <f aca="false">COUNTIFS($B$2:$B$2705,B2061,$C$2:$C$2705,C2061)</f>
        <v>1</v>
      </c>
      <c r="G2061" s="3" t="n">
        <f aca="false">MIN(INT((MIN(B2061,2020)-1900)/10)+1,12)</f>
        <v>11</v>
      </c>
      <c r="H2061" s="3" t="n">
        <f aca="false">(MIN(B2061,2020)-1900-10*(G2061-1))/10</f>
        <v>0.4</v>
      </c>
      <c r="I2061" s="20" t="n">
        <f aca="false">EXP(LN(INDEX(Pop_Inputs!$B$2:$N$29,MATCH(C2061,Pop_Inputs!$A$2:$A$29,0),G2061))*(1-H2061)+LN(INDEX(Pop_Inputs!$B$2:$N$29,MATCH(C2061,Pop_Inputs!$A$2:$A$29,0),G2061+1))*H2061)</f>
        <v>596116.676810177</v>
      </c>
      <c r="J2061" s="20" t="n">
        <f aca="false">I2061/F2061</f>
        <v>596116.676810177</v>
      </c>
      <c r="K2061" s="21" t="n">
        <f aca="false">D2061/(D2061+E2061)</f>
        <v>0.416149068322981</v>
      </c>
      <c r="L2061" s="21" t="n">
        <f aca="false">AVERAGEIFS($K$2:$K$2705,$B$2:$B$2705,B2061)</f>
        <v>0.499941211052322</v>
      </c>
      <c r="M2061" s="21" t="n">
        <f aca="false">K2061-L2061</f>
        <v>-0.0837921427293408</v>
      </c>
      <c r="N2061" s="21" t="n">
        <f aca="false">LN(J2061)</f>
        <v>13.2981916933478</v>
      </c>
      <c r="O2061" s="21" t="n">
        <f aca="false">AVERAGEIFS($N$2:$N$2705,$B$2:$B$2705,B2061)</f>
        <v>13.6442566562566</v>
      </c>
      <c r="P2061" s="21" t="n">
        <f aca="false">N2061-O2061</f>
        <v>-0.346064962908873</v>
      </c>
      <c r="Q2061" s="7" t="n">
        <v>1</v>
      </c>
      <c r="R2061" s="3" t="n">
        <f aca="false">IF(AND(Q2061=1,B2061-_xlfn.MINIFS($B$2:$B$2705,$A$2:$A$2705,A2061)&lt;10),1,0)</f>
        <v>0</v>
      </c>
      <c r="S2061" s="7" t="n">
        <v>0</v>
      </c>
      <c r="T2061" s="3" t="n">
        <f aca="false">_xlfn.MINIFS($B$2:$B$2705,$A$2:$A$2705,A2061)</f>
        <v>1969</v>
      </c>
      <c r="U2061" s="3" t="n">
        <f aca="false">B2061-T2061</f>
        <v>35</v>
      </c>
      <c r="V2061" s="3" t="str">
        <f aca="false">INDEX(Pop_Inputs!$Q$2:$Q$29,MATCH(C2061,Pop_Inputs!$A$2:$A$29,0))</f>
        <v>Midwest</v>
      </c>
      <c r="W2061" s="29" t="n">
        <v>27528500</v>
      </c>
      <c r="X2061" s="3" t="n">
        <f aca="false">IF(W2061="","",LN(W2061))</f>
        <v>17.1307323896191</v>
      </c>
      <c r="Y2061" s="3" t="n">
        <f aca="false">IF(X2061="","",X2061-AVERAGEIFS($X$2:$X$2705,$B$2:$B$2705,B2061))</f>
        <v>-0.822454890093546</v>
      </c>
      <c r="Z2061" s="21" t="n">
        <f aca="false">P2061</f>
        <v>-0.346064962908873</v>
      </c>
      <c r="AA2061" s="3" t="n">
        <f aca="false">R2061</f>
        <v>0</v>
      </c>
      <c r="AB2061" s="21" t="n">
        <f aca="false">P2061</f>
        <v>-0.346064962908873</v>
      </c>
      <c r="AC2061" s="3" t="n">
        <f aca="false">Y2061</f>
        <v>-0.822454890093546</v>
      </c>
      <c r="AD2061" s="3" t="n">
        <f aca="false">R2061</f>
        <v>0</v>
      </c>
    </row>
    <row r="2062" customFormat="false" ht="15" hidden="false" customHeight="true" outlineLevel="0" collapsed="false">
      <c r="A2062" s="7" t="s">
        <v>68</v>
      </c>
      <c r="B2062" s="7" t="n">
        <v>2004</v>
      </c>
      <c r="C2062" s="7" t="s">
        <v>153</v>
      </c>
      <c r="D2062" s="7" t="n">
        <v>92</v>
      </c>
      <c r="E2062" s="7" t="n">
        <v>70</v>
      </c>
      <c r="F2062" s="3" t="n">
        <f aca="false">COUNTIFS($B$2:$B$2705,B2062,$C$2:$C$2705,C2062)</f>
        <v>1</v>
      </c>
      <c r="G2062" s="3" t="n">
        <f aca="false">MIN(INT((MIN(B2062,2020)-1900)/10)+1,12)</f>
        <v>11</v>
      </c>
      <c r="H2062" s="3" t="n">
        <f aca="false">(MIN(B2062,2020)-1900-10*(G2062-1))/10</f>
        <v>0.4</v>
      </c>
      <c r="I2062" s="20" t="n">
        <f aca="false">EXP(LN(INDEX(Pop_Inputs!$B$2:$N$29,MATCH(C2062,Pop_Inputs!$A$2:$A$29,0),G2062))*(1-H2062)+LN(INDEX(Pop_Inputs!$B$2:$N$29,MATCH(C2062,Pop_Inputs!$A$2:$A$29,0),G2062+1))*H2062)</f>
        <v>382601.999498166</v>
      </c>
      <c r="J2062" s="20" t="n">
        <f aca="false">I2062/F2062</f>
        <v>382601.999498166</v>
      </c>
      <c r="K2062" s="21" t="n">
        <f aca="false">D2062/(D2062+E2062)</f>
        <v>0.567901234567901</v>
      </c>
      <c r="L2062" s="21" t="n">
        <f aca="false">AVERAGEIFS($K$2:$K$2705,$B$2:$B$2705,B2062)</f>
        <v>0.499941211052322</v>
      </c>
      <c r="M2062" s="21" t="n">
        <f aca="false">K2062-L2062</f>
        <v>0.0679600235155791</v>
      </c>
      <c r="N2062" s="21" t="n">
        <f aca="false">LN(J2062)</f>
        <v>12.8547505620545</v>
      </c>
      <c r="O2062" s="21" t="n">
        <f aca="false">AVERAGEIFS($N$2:$N$2705,$B$2:$B$2705,B2062)</f>
        <v>13.6442566562566</v>
      </c>
      <c r="P2062" s="21" t="n">
        <f aca="false">N2062-O2062</f>
        <v>-0.789506094202112</v>
      </c>
      <c r="Q2062" s="7" t="n">
        <v>0</v>
      </c>
      <c r="R2062" s="3" t="n">
        <f aca="false">IF(AND(Q2062=1,B2062-_xlfn.MINIFS($B$2:$B$2705,$A$2:$A$2705,A2062)&lt;10),1,0)</f>
        <v>0</v>
      </c>
      <c r="S2062" s="7" t="n">
        <v>0</v>
      </c>
      <c r="T2062" s="3" t="n">
        <f aca="false">_xlfn.MINIFS($B$2:$B$2705,$A$2:$A$2705,A2062)</f>
        <v>1901</v>
      </c>
      <c r="U2062" s="3" t="n">
        <f aca="false">B2062-T2062</f>
        <v>103</v>
      </c>
      <c r="V2062" s="3" t="str">
        <f aca="false">INDEX(Pop_Inputs!$Q$2:$Q$29,MATCH(C2062,Pop_Inputs!$A$2:$A$29,0))</f>
        <v>Midwest</v>
      </c>
      <c r="W2062" s="29" t="n">
        <v>53585000</v>
      </c>
      <c r="X2062" s="3" t="n">
        <f aca="false">IF(W2062="","",LN(W2062))</f>
        <v>17.7967797361292</v>
      </c>
      <c r="Y2062" s="3" t="n">
        <f aca="false">IF(X2062="","",X2062-AVERAGEIFS($X$2:$X$2705,$B$2:$B$2705,B2062))</f>
        <v>-0.156407543583427</v>
      </c>
      <c r="Z2062" s="21" t="n">
        <f aca="false">P2062</f>
        <v>-0.789506094202112</v>
      </c>
      <c r="AA2062" s="3" t="n">
        <f aca="false">R2062</f>
        <v>0</v>
      </c>
      <c r="AB2062" s="21" t="n">
        <f aca="false">P2062</f>
        <v>-0.789506094202112</v>
      </c>
      <c r="AC2062" s="3" t="n">
        <f aca="false">Y2062</f>
        <v>-0.156407543583427</v>
      </c>
      <c r="AD2062" s="3" t="n">
        <f aca="false">R2062</f>
        <v>0</v>
      </c>
    </row>
    <row r="2063" customFormat="false" ht="15" hidden="false" customHeight="true" outlineLevel="0" collapsed="false">
      <c r="A2063" s="7" t="s">
        <v>75</v>
      </c>
      <c r="B2063" s="7" t="n">
        <v>2004</v>
      </c>
      <c r="C2063" s="7" t="s">
        <v>154</v>
      </c>
      <c r="D2063" s="7" t="n">
        <v>71</v>
      </c>
      <c r="E2063" s="7" t="n">
        <v>91</v>
      </c>
      <c r="F2063" s="3" t="n">
        <f aca="false">COUNTIFS($B$2:$B$2705,B2063,$C$2:$C$2705,C2063)</f>
        <v>2</v>
      </c>
      <c r="G2063" s="3" t="n">
        <f aca="false">MIN(INT((MIN(B2063,2020)-1900)/10)+1,12)</f>
        <v>11</v>
      </c>
      <c r="H2063" s="3" t="n">
        <f aca="false">(MIN(B2063,2020)-1900-10*(G2063-1))/10</f>
        <v>0.4</v>
      </c>
      <c r="I2063" s="20" t="n">
        <f aca="false">EXP(LN(INDEX(Pop_Inputs!$B$2:$N$29,MATCH(C2063,Pop_Inputs!$A$2:$A$29,0),G2063))*(1-H2063)+LN(INDEX(Pop_Inputs!$B$2:$N$29,MATCH(C2063,Pop_Inputs!$A$2:$A$29,0),G2063+1))*H2063)</f>
        <v>8074607.39669726</v>
      </c>
      <c r="J2063" s="20" t="n">
        <f aca="false">I2063/F2063</f>
        <v>4037303.69834863</v>
      </c>
      <c r="K2063" s="21" t="n">
        <f aca="false">D2063/(D2063+E2063)</f>
        <v>0.438271604938272</v>
      </c>
      <c r="L2063" s="21" t="n">
        <f aca="false">AVERAGEIFS($K$2:$K$2705,$B$2:$B$2705,B2063)</f>
        <v>0.499941211052322</v>
      </c>
      <c r="M2063" s="21" t="n">
        <f aca="false">K2063-L2063</f>
        <v>-0.0616696061140505</v>
      </c>
      <c r="N2063" s="21" t="n">
        <f aca="false">LN(J2063)</f>
        <v>15.211087625727</v>
      </c>
      <c r="O2063" s="21" t="n">
        <f aca="false">AVERAGEIFS($N$2:$N$2705,$B$2:$B$2705,B2063)</f>
        <v>13.6442566562566</v>
      </c>
      <c r="P2063" s="21" t="n">
        <f aca="false">N2063-O2063</f>
        <v>1.56683096947039</v>
      </c>
      <c r="Q2063" s="7" t="n">
        <v>1</v>
      </c>
      <c r="R2063" s="3" t="n">
        <f aca="false">IF(AND(Q2063=1,B2063-_xlfn.MINIFS($B$2:$B$2705,$A$2:$A$2705,A2063)&lt;10),1,0)</f>
        <v>0</v>
      </c>
      <c r="S2063" s="7" t="n">
        <v>0</v>
      </c>
      <c r="T2063" s="3" t="n">
        <f aca="false">_xlfn.MINIFS($B$2:$B$2705,$A$2:$A$2705,A2063)</f>
        <v>1962</v>
      </c>
      <c r="U2063" s="3" t="n">
        <f aca="false">B2063-T2063</f>
        <v>42</v>
      </c>
      <c r="V2063" s="3" t="str">
        <f aca="false">INDEX(Pop_Inputs!$Q$2:$Q$29,MATCH(C2063,Pop_Inputs!$A$2:$A$29,0))</f>
        <v>Northeast</v>
      </c>
      <c r="W2063" s="29" t="n">
        <v>96660970</v>
      </c>
      <c r="X2063" s="3" t="n">
        <f aca="false">IF(W2063="","",LN(W2063))</f>
        <v>18.3867202595057</v>
      </c>
      <c r="Y2063" s="3" t="n">
        <f aca="false">IF(X2063="","",X2063-AVERAGEIFS($X$2:$X$2705,$B$2:$B$2705,B2063))</f>
        <v>0.433532979793039</v>
      </c>
      <c r="Z2063" s="21" t="n">
        <f aca="false">P2063</f>
        <v>1.56683096947039</v>
      </c>
      <c r="AA2063" s="3" t="n">
        <f aca="false">R2063</f>
        <v>0</v>
      </c>
      <c r="AB2063" s="21" t="n">
        <f aca="false">P2063</f>
        <v>1.56683096947039</v>
      </c>
      <c r="AC2063" s="3" t="n">
        <f aca="false">Y2063</f>
        <v>0.433532979793039</v>
      </c>
      <c r="AD2063" s="3" t="n">
        <f aca="false">R2063</f>
        <v>0</v>
      </c>
    </row>
    <row r="2064" customFormat="false" ht="15" hidden="false" customHeight="true" outlineLevel="0" collapsed="false">
      <c r="A2064" s="7" t="s">
        <v>70</v>
      </c>
      <c r="B2064" s="7" t="n">
        <v>2004</v>
      </c>
      <c r="C2064" s="7" t="s">
        <v>154</v>
      </c>
      <c r="D2064" s="7" t="n">
        <v>101</v>
      </c>
      <c r="E2064" s="7" t="n">
        <v>61</v>
      </c>
      <c r="F2064" s="3" t="n">
        <f aca="false">COUNTIFS($B$2:$B$2705,B2064,$C$2:$C$2705,C2064)</f>
        <v>2</v>
      </c>
      <c r="G2064" s="3" t="n">
        <f aca="false">MIN(INT((MIN(B2064,2020)-1900)/10)+1,12)</f>
        <v>11</v>
      </c>
      <c r="H2064" s="3" t="n">
        <f aca="false">(MIN(B2064,2020)-1900-10*(G2064-1))/10</f>
        <v>0.4</v>
      </c>
      <c r="I2064" s="20" t="n">
        <f aca="false">EXP(LN(INDEX(Pop_Inputs!$B$2:$N$29,MATCH(C2064,Pop_Inputs!$A$2:$A$29,0),G2064))*(1-H2064)+LN(INDEX(Pop_Inputs!$B$2:$N$29,MATCH(C2064,Pop_Inputs!$A$2:$A$29,0),G2064+1))*H2064)</f>
        <v>8074607.39669726</v>
      </c>
      <c r="J2064" s="20" t="n">
        <f aca="false">I2064/F2064</f>
        <v>4037303.69834863</v>
      </c>
      <c r="K2064" s="21" t="n">
        <f aca="false">D2064/(D2064+E2064)</f>
        <v>0.623456790123457</v>
      </c>
      <c r="L2064" s="21" t="n">
        <f aca="false">AVERAGEIFS($K$2:$K$2705,$B$2:$B$2705,B2064)</f>
        <v>0.499941211052322</v>
      </c>
      <c r="M2064" s="21" t="n">
        <f aca="false">K2064-L2064</f>
        <v>0.123515579071135</v>
      </c>
      <c r="N2064" s="21" t="n">
        <f aca="false">LN(J2064)</f>
        <v>15.211087625727</v>
      </c>
      <c r="O2064" s="21" t="n">
        <f aca="false">AVERAGEIFS($N$2:$N$2705,$B$2:$B$2705,B2064)</f>
        <v>13.6442566562566</v>
      </c>
      <c r="P2064" s="21" t="n">
        <f aca="false">N2064-O2064</f>
        <v>1.56683096947039</v>
      </c>
      <c r="Q2064" s="7" t="n">
        <v>0</v>
      </c>
      <c r="R2064" s="3" t="n">
        <f aca="false">IF(AND(Q2064=1,B2064-_xlfn.MINIFS($B$2:$B$2705,$A$2:$A$2705,A2064)&lt;10),1,0)</f>
        <v>0</v>
      </c>
      <c r="S2064" s="7" t="n">
        <v>1</v>
      </c>
      <c r="T2064" s="3" t="n">
        <f aca="false">_xlfn.MINIFS($B$2:$B$2705,$A$2:$A$2705,A2064)</f>
        <v>1903</v>
      </c>
      <c r="U2064" s="3" t="n">
        <f aca="false">B2064-T2064</f>
        <v>101</v>
      </c>
      <c r="V2064" s="3" t="str">
        <f aca="false">INDEX(Pop_Inputs!$Q$2:$Q$29,MATCH(C2064,Pop_Inputs!$A$2:$A$29,0))</f>
        <v>Northeast</v>
      </c>
      <c r="W2064" s="29" t="n">
        <v>184193950</v>
      </c>
      <c r="X2064" s="3" t="n">
        <f aca="false">IF(W2064="","",LN(W2064))</f>
        <v>19.0314998365121</v>
      </c>
      <c r="Y2064" s="3" t="n">
        <f aca="false">IF(X2064="","",X2064-AVERAGEIFS($X$2:$X$2705,$B$2:$B$2705,B2064))</f>
        <v>1.07831255679944</v>
      </c>
      <c r="Z2064" s="21" t="n">
        <f aca="false">P2064</f>
        <v>1.56683096947039</v>
      </c>
      <c r="AA2064" s="3" t="n">
        <f aca="false">R2064</f>
        <v>0</v>
      </c>
      <c r="AB2064" s="21" t="n">
        <f aca="false">P2064</f>
        <v>1.56683096947039</v>
      </c>
      <c r="AC2064" s="3" t="n">
        <f aca="false">Y2064</f>
        <v>1.07831255679944</v>
      </c>
      <c r="AD2064" s="3" t="n">
        <f aca="false">R2064</f>
        <v>0</v>
      </c>
    </row>
    <row r="2065" customFormat="false" ht="15" hidden="false" customHeight="true" outlineLevel="0" collapsed="false">
      <c r="A2065" s="7" t="s">
        <v>69</v>
      </c>
      <c r="B2065" s="7" t="n">
        <v>2004</v>
      </c>
      <c r="C2065" s="7" t="s">
        <v>253</v>
      </c>
      <c r="D2065" s="7" t="n">
        <v>91</v>
      </c>
      <c r="E2065" s="7" t="n">
        <v>71</v>
      </c>
      <c r="F2065" s="3" t="n">
        <f aca="false">COUNTIFS($B$2:$B$2705,B2065,$C$2:$C$2705,C2065)</f>
        <v>1</v>
      </c>
      <c r="G2065" s="3" t="n">
        <f aca="false">MIN(INT((MIN(B2065,2020)-1900)/10)+1,12)</f>
        <v>11</v>
      </c>
      <c r="H2065" s="3" t="n">
        <f aca="false">(MIN(B2065,2020)-1900-10*(G2065-1))/10</f>
        <v>0.4</v>
      </c>
      <c r="I2065" s="20" t="n">
        <f aca="false">EXP(LN(INDEX(Pop_Inputs!$B$2:$N$29,MATCH(C2065,Pop_Inputs!$A$2:$A$29,0),G2065))*(1-H2065)+LN(INDEX(Pop_Inputs!$B$2:$N$29,MATCH(C2065,Pop_Inputs!$A$2:$A$29,0),G2065+1))*H2065)</f>
        <v>395956.675496377</v>
      </c>
      <c r="J2065" s="20" t="n">
        <f aca="false">I2065/F2065</f>
        <v>395956.675496377</v>
      </c>
      <c r="K2065" s="21" t="n">
        <f aca="false">D2065/(D2065+E2065)</f>
        <v>0.561728395061728</v>
      </c>
      <c r="L2065" s="21" t="n">
        <f aca="false">AVERAGEIFS($K$2:$K$2705,$B$2:$B$2705,B2065)</f>
        <v>0.499941211052322</v>
      </c>
      <c r="M2065" s="21" t="n">
        <f aca="false">K2065-L2065</f>
        <v>0.0617871840094063</v>
      </c>
      <c r="N2065" s="21" t="n">
        <f aca="false">LN(J2065)</f>
        <v>12.8890600789392</v>
      </c>
      <c r="O2065" s="21" t="n">
        <f aca="false">AVERAGEIFS($N$2:$N$2705,$B$2:$B$2705,B2065)</f>
        <v>13.6442566562566</v>
      </c>
      <c r="P2065" s="21" t="n">
        <f aca="false">N2065-O2065</f>
        <v>-0.755196577317394</v>
      </c>
      <c r="Q2065" s="7" t="n">
        <v>0</v>
      </c>
      <c r="R2065" s="3" t="n">
        <f aca="false">IF(AND(Q2065=1,B2065-_xlfn.MINIFS($B$2:$B$2705,$A$2:$A$2705,A2065)&lt;10),1,0)</f>
        <v>0</v>
      </c>
      <c r="S2065" s="7" t="n">
        <v>0</v>
      </c>
      <c r="T2065" s="3" t="n">
        <f aca="false">_xlfn.MINIFS($B$2:$B$2705,$A$2:$A$2705,A2065)</f>
        <v>1901</v>
      </c>
      <c r="U2065" s="3" t="n">
        <f aca="false">B2065-T2065</f>
        <v>103</v>
      </c>
      <c r="V2065" s="3" t="str">
        <f aca="false">INDEX(Pop_Inputs!$Q$2:$Q$29,MATCH(C2065,Pop_Inputs!$A$2:$A$29,0))</f>
        <v>West</v>
      </c>
      <c r="W2065" s="29" t="n">
        <v>59425667</v>
      </c>
      <c r="X2065" s="3" t="n">
        <f aca="false">IF(W2065="","",LN(W2065))</f>
        <v>17.9002367953798</v>
      </c>
      <c r="Y2065" s="3" t="n">
        <f aca="false">IF(X2065="","",X2065-AVERAGEIFS($X$2:$X$2705,$B$2:$B$2705,B2065))</f>
        <v>-0.0529504843328965</v>
      </c>
      <c r="Z2065" s="21" t="n">
        <f aca="false">P2065</f>
        <v>-0.755196577317394</v>
      </c>
      <c r="AA2065" s="3" t="n">
        <f aca="false">R2065</f>
        <v>0</v>
      </c>
      <c r="AB2065" s="21" t="n">
        <f aca="false">P2065</f>
        <v>-0.755196577317394</v>
      </c>
      <c r="AC2065" s="3" t="n">
        <f aca="false">Y2065</f>
        <v>-0.0529504843328965</v>
      </c>
      <c r="AD2065" s="3" t="n">
        <f aca="false">R2065</f>
        <v>0</v>
      </c>
    </row>
    <row r="2066" customFormat="false" ht="15" hidden="false" customHeight="true" outlineLevel="0" collapsed="false">
      <c r="A2066" s="7" t="s">
        <v>60</v>
      </c>
      <c r="B2066" s="7" t="n">
        <v>2004</v>
      </c>
      <c r="C2066" s="7" t="s">
        <v>146</v>
      </c>
      <c r="D2066" s="7" t="n">
        <v>86</v>
      </c>
      <c r="E2066" s="7" t="n">
        <v>76</v>
      </c>
      <c r="F2066" s="3" t="n">
        <f aca="false">COUNTIFS($B$2:$B$2705,B2066,$C$2:$C$2705,C2066)</f>
        <v>1</v>
      </c>
      <c r="G2066" s="3" t="n">
        <f aca="false">MIN(INT((MIN(B2066,2020)-1900)/10)+1,12)</f>
        <v>11</v>
      </c>
      <c r="H2066" s="3" t="n">
        <f aca="false">(MIN(B2066,2020)-1900-10*(G2066-1))/10</f>
        <v>0.4</v>
      </c>
      <c r="I2066" s="20" t="n">
        <f aca="false">EXP(LN(INDEX(Pop_Inputs!$B$2:$N$29,MATCH(C2066,Pop_Inputs!$A$2:$A$29,0),G2066))*(1-H2066)+LN(INDEX(Pop_Inputs!$B$2:$N$29,MATCH(C2066,Pop_Inputs!$A$2:$A$29,0),G2066+1))*H2066)</f>
        <v>1520926.76258127</v>
      </c>
      <c r="J2066" s="20" t="n">
        <f aca="false">I2066/F2066</f>
        <v>1520926.76258127</v>
      </c>
      <c r="K2066" s="21" t="n">
        <f aca="false">D2066/(D2066+E2066)</f>
        <v>0.530864197530864</v>
      </c>
      <c r="L2066" s="21" t="n">
        <f aca="false">AVERAGEIFS($K$2:$K$2705,$B$2:$B$2705,B2066)</f>
        <v>0.499941211052322</v>
      </c>
      <c r="M2066" s="21" t="n">
        <f aca="false">K2066-L2066</f>
        <v>0.0309229864785421</v>
      </c>
      <c r="N2066" s="21" t="n">
        <f aca="false">LN(J2066)</f>
        <v>14.234830419248</v>
      </c>
      <c r="O2066" s="21" t="n">
        <f aca="false">AVERAGEIFS($N$2:$N$2705,$B$2:$B$2705,B2066)</f>
        <v>13.6442566562566</v>
      </c>
      <c r="P2066" s="21" t="n">
        <f aca="false">N2066-O2066</f>
        <v>0.590573762991363</v>
      </c>
      <c r="Q2066" s="7" t="n">
        <v>0</v>
      </c>
      <c r="R2066" s="3" t="n">
        <f aca="false">IF(AND(Q2066=1,B2066-_xlfn.MINIFS($B$2:$B$2705,$A$2:$A$2705,A2066)&lt;10),1,0)</f>
        <v>0</v>
      </c>
      <c r="S2066" s="7" t="n">
        <v>0</v>
      </c>
      <c r="T2066" s="3" t="n">
        <f aca="false">_xlfn.MINIFS($B$2:$B$2705,$A$2:$A$2705,A2066)</f>
        <v>1901</v>
      </c>
      <c r="U2066" s="3" t="n">
        <f aca="false">B2066-T2066</f>
        <v>103</v>
      </c>
      <c r="V2066" s="3" t="str">
        <f aca="false">INDEX(Pop_Inputs!$Q$2:$Q$29,MATCH(C2066,Pop_Inputs!$A$2:$A$29,0))</f>
        <v>Northeast</v>
      </c>
      <c r="W2066" s="29" t="n">
        <v>92919167</v>
      </c>
      <c r="X2066" s="3" t="n">
        <f aca="false">IF(W2066="","",LN(W2066))</f>
        <v>18.3472405011255</v>
      </c>
      <c r="Y2066" s="3" t="n">
        <f aca="false">IF(X2066="","",X2066-AVERAGEIFS($X$2:$X$2705,$B$2:$B$2705,B2066))</f>
        <v>0.394053221412818</v>
      </c>
      <c r="Z2066" s="21" t="n">
        <f aca="false">P2066</f>
        <v>0.590573762991363</v>
      </c>
      <c r="AA2066" s="3" t="n">
        <f aca="false">R2066</f>
        <v>0</v>
      </c>
      <c r="AB2066" s="21" t="n">
        <f aca="false">P2066</f>
        <v>0.590573762991363</v>
      </c>
      <c r="AC2066" s="3" t="n">
        <f aca="false">Y2066</f>
        <v>0.394053221412818</v>
      </c>
      <c r="AD2066" s="3" t="n">
        <f aca="false">R2066</f>
        <v>0</v>
      </c>
    </row>
    <row r="2067" customFormat="false" ht="15" hidden="false" customHeight="true" outlineLevel="0" collapsed="false">
      <c r="A2067" s="7" t="s">
        <v>58</v>
      </c>
      <c r="B2067" s="7" t="n">
        <v>2004</v>
      </c>
      <c r="C2067" s="7" t="s">
        <v>144</v>
      </c>
      <c r="D2067" s="7" t="n">
        <v>72</v>
      </c>
      <c r="E2067" s="7" t="n">
        <v>89</v>
      </c>
      <c r="F2067" s="3" t="n">
        <f aca="false">COUNTIFS($B$2:$B$2705,B2067,$C$2:$C$2705,C2067)</f>
        <v>1</v>
      </c>
      <c r="G2067" s="3" t="n">
        <f aca="false">MIN(INT((MIN(B2067,2020)-1900)/10)+1,12)</f>
        <v>11</v>
      </c>
      <c r="H2067" s="3" t="n">
        <f aca="false">(MIN(B2067,2020)-1900-10*(G2067-1))/10</f>
        <v>0.4</v>
      </c>
      <c r="I2067" s="20" t="n">
        <f aca="false">EXP(LN(INDEX(Pop_Inputs!$B$2:$N$29,MATCH(C2067,Pop_Inputs!$A$2:$A$29,0),G2067))*(1-H2067)+LN(INDEX(Pop_Inputs!$B$2:$N$29,MATCH(C2067,Pop_Inputs!$A$2:$A$29,0),G2067+1))*H2067)</f>
        <v>322706.114558465</v>
      </c>
      <c r="J2067" s="20" t="n">
        <f aca="false">I2067/F2067</f>
        <v>322706.114558465</v>
      </c>
      <c r="K2067" s="21" t="n">
        <f aca="false">D2067/(D2067+E2067)</f>
        <v>0.447204968944099</v>
      </c>
      <c r="L2067" s="21" t="n">
        <f aca="false">AVERAGEIFS($K$2:$K$2705,$B$2:$B$2705,B2067)</f>
        <v>0.499941211052322</v>
      </c>
      <c r="M2067" s="21" t="n">
        <f aca="false">K2067-L2067</f>
        <v>-0.0527362421082228</v>
      </c>
      <c r="N2067" s="21" t="n">
        <f aca="false">LN(J2067)</f>
        <v>12.684497325981</v>
      </c>
      <c r="O2067" s="21" t="n">
        <f aca="false">AVERAGEIFS($N$2:$N$2705,$B$2:$B$2705,B2067)</f>
        <v>13.6442566562566</v>
      </c>
      <c r="P2067" s="21" t="n">
        <f aca="false">N2067-O2067</f>
        <v>-0.959759330275658</v>
      </c>
      <c r="Q2067" s="7" t="n">
        <v>0</v>
      </c>
      <c r="R2067" s="3" t="n">
        <f aca="false">IF(AND(Q2067=1,B2067-_xlfn.MINIFS($B$2:$B$2705,$A$2:$A$2705,A2067)&lt;10),1,0)</f>
        <v>0</v>
      </c>
      <c r="S2067" s="7" t="n">
        <v>0</v>
      </c>
      <c r="T2067" s="3" t="n">
        <f aca="false">_xlfn.MINIFS($B$2:$B$2705,$A$2:$A$2705,A2067)</f>
        <v>1901</v>
      </c>
      <c r="U2067" s="3" t="n">
        <f aca="false">B2067-T2067</f>
        <v>103</v>
      </c>
      <c r="V2067" s="3" t="str">
        <f aca="false">INDEX(Pop_Inputs!$Q$2:$Q$29,MATCH(C2067,Pop_Inputs!$A$2:$A$29,0))</f>
        <v>Northeast</v>
      </c>
      <c r="W2067" s="29" t="n">
        <v>32227929</v>
      </c>
      <c r="X2067" s="3" t="n">
        <f aca="false">IF(W2067="","",LN(W2067))</f>
        <v>17.2883439948236</v>
      </c>
      <c r="Y2067" s="3" t="n">
        <f aca="false">IF(X2067="","",X2067-AVERAGEIFS($X$2:$X$2705,$B$2:$B$2705,B2067))</f>
        <v>-0.664843284889109</v>
      </c>
      <c r="Z2067" s="21" t="n">
        <f aca="false">P2067</f>
        <v>-0.959759330275658</v>
      </c>
      <c r="AA2067" s="3" t="n">
        <f aca="false">R2067</f>
        <v>0</v>
      </c>
      <c r="AB2067" s="21" t="n">
        <f aca="false">P2067</f>
        <v>-0.959759330275658</v>
      </c>
      <c r="AC2067" s="3" t="n">
        <f aca="false">Y2067</f>
        <v>-0.664843284889109</v>
      </c>
      <c r="AD2067" s="3" t="n">
        <f aca="false">R2067</f>
        <v>0</v>
      </c>
    </row>
    <row r="2068" customFormat="false" ht="15" hidden="false" customHeight="true" outlineLevel="0" collapsed="false">
      <c r="A2068" s="7" t="s">
        <v>78</v>
      </c>
      <c r="B2068" s="7" t="n">
        <v>2004</v>
      </c>
      <c r="C2068" s="7" t="s">
        <v>159</v>
      </c>
      <c r="D2068" s="7" t="n">
        <v>87</v>
      </c>
      <c r="E2068" s="7" t="n">
        <v>75</v>
      </c>
      <c r="F2068" s="3" t="n">
        <f aca="false">COUNTIFS($B$2:$B$2705,B2068,$C$2:$C$2705,C2068)</f>
        <v>1</v>
      </c>
      <c r="G2068" s="3" t="n">
        <f aca="false">MIN(INT((MIN(B2068,2020)-1900)/10)+1,12)</f>
        <v>11</v>
      </c>
      <c r="H2068" s="3" t="n">
        <f aca="false">(MIN(B2068,2020)-1900-10*(G2068-1))/10</f>
        <v>0.4</v>
      </c>
      <c r="I2068" s="20" t="n">
        <f aca="false">EXP(LN(INDEX(Pop_Inputs!$B$2:$N$29,MATCH(C2068,Pop_Inputs!$A$2:$A$29,0),G2068))*(1-H2068)+LN(INDEX(Pop_Inputs!$B$2:$N$29,MATCH(C2068,Pop_Inputs!$A$2:$A$29,0),G2068+1))*H2068)</f>
        <v>1256332.93112899</v>
      </c>
      <c r="J2068" s="20" t="n">
        <f aca="false">I2068/F2068</f>
        <v>1256332.93112899</v>
      </c>
      <c r="K2068" s="21" t="n">
        <f aca="false">D2068/(D2068+E2068)</f>
        <v>0.537037037037037</v>
      </c>
      <c r="L2068" s="21" t="n">
        <f aca="false">AVERAGEIFS($K$2:$K$2705,$B$2:$B$2705,B2068)</f>
        <v>0.499941211052322</v>
      </c>
      <c r="M2068" s="21" t="n">
        <f aca="false">K2068-L2068</f>
        <v>0.037095825984715</v>
      </c>
      <c r="N2068" s="21" t="n">
        <f aca="false">LN(J2068)</f>
        <v>14.0437076634397</v>
      </c>
      <c r="O2068" s="21" t="n">
        <f aca="false">AVERAGEIFS($N$2:$N$2705,$B$2:$B$2705,B2068)</f>
        <v>13.6442566562566</v>
      </c>
      <c r="P2068" s="21" t="n">
        <f aca="false">N2068-O2068</f>
        <v>0.399451007183048</v>
      </c>
      <c r="Q2068" s="7" t="n">
        <v>1</v>
      </c>
      <c r="R2068" s="3" t="n">
        <f aca="false">IF(AND(Q2068=1,B2068-_xlfn.MINIFS($B$2:$B$2705,$A$2:$A$2705,A2068)&lt;10),1,0)</f>
        <v>0</v>
      </c>
      <c r="S2068" s="7" t="n">
        <v>0</v>
      </c>
      <c r="T2068" s="3" t="n">
        <f aca="false">_xlfn.MINIFS($B$2:$B$2705,$A$2:$A$2705,A2068)</f>
        <v>1969</v>
      </c>
      <c r="U2068" s="3" t="n">
        <f aca="false">B2068-T2068</f>
        <v>35</v>
      </c>
      <c r="V2068" s="3" t="str">
        <f aca="false">INDEX(Pop_Inputs!$Q$2:$Q$29,MATCH(C2068,Pop_Inputs!$A$2:$A$29,0))</f>
        <v>West</v>
      </c>
      <c r="W2068" s="29" t="n">
        <v>55384833</v>
      </c>
      <c r="X2068" s="3" t="n">
        <f aca="false">IF(W2068="","",LN(W2068))</f>
        <v>17.8298163416718</v>
      </c>
      <c r="Y2068" s="3" t="n">
        <f aca="false">IF(X2068="","",X2068-AVERAGEIFS($X$2:$X$2705,$B$2:$B$2705,B2068))</f>
        <v>-0.123370938040875</v>
      </c>
      <c r="Z2068" s="21" t="n">
        <f aca="false">P2068</f>
        <v>0.399451007183048</v>
      </c>
      <c r="AA2068" s="3" t="n">
        <f aca="false">R2068</f>
        <v>0</v>
      </c>
      <c r="AB2068" s="21" t="n">
        <f aca="false">P2068</f>
        <v>0.399451007183048</v>
      </c>
      <c r="AC2068" s="3" t="n">
        <f aca="false">Y2068</f>
        <v>-0.123370938040875</v>
      </c>
      <c r="AD2068" s="3" t="n">
        <f aca="false">R2068</f>
        <v>0</v>
      </c>
    </row>
    <row r="2069" customFormat="false" ht="15" hidden="false" customHeight="true" outlineLevel="0" collapsed="false">
      <c r="A2069" s="7" t="s">
        <v>80</v>
      </c>
      <c r="B2069" s="7" t="n">
        <v>2004</v>
      </c>
      <c r="C2069" s="7" t="s">
        <v>161</v>
      </c>
      <c r="D2069" s="7" t="n">
        <v>63</v>
      </c>
      <c r="E2069" s="7" t="n">
        <v>99</v>
      </c>
      <c r="F2069" s="3" t="n">
        <f aca="false">COUNTIFS($B$2:$B$2705,B2069,$C$2:$C$2705,C2069)</f>
        <v>1</v>
      </c>
      <c r="G2069" s="3" t="n">
        <f aca="false">MIN(INT((MIN(B2069,2020)-1900)/10)+1,12)</f>
        <v>11</v>
      </c>
      <c r="H2069" s="3" t="n">
        <f aca="false">(MIN(B2069,2020)-1900-10*(G2069-1))/10</f>
        <v>0.4</v>
      </c>
      <c r="I2069" s="20" t="n">
        <f aca="false">EXP(LN(INDEX(Pop_Inputs!$B$2:$N$29,MATCH(C2069,Pop_Inputs!$A$2:$A$29,0),G2069))*(1-H2069)+LN(INDEX(Pop_Inputs!$B$2:$N$29,MATCH(C2069,Pop_Inputs!$A$2:$A$29,0),G2069+1))*H2069)</f>
        <v>581069.372376765</v>
      </c>
      <c r="J2069" s="20" t="n">
        <f aca="false">I2069/F2069</f>
        <v>581069.372376765</v>
      </c>
      <c r="K2069" s="21" t="n">
        <f aca="false">D2069/(D2069+E2069)</f>
        <v>0.388888888888889</v>
      </c>
      <c r="L2069" s="21" t="n">
        <f aca="false">AVERAGEIFS($K$2:$K$2705,$B$2:$B$2705,B2069)</f>
        <v>0.499941211052322</v>
      </c>
      <c r="M2069" s="21" t="n">
        <f aca="false">K2069-L2069</f>
        <v>-0.111052322163433</v>
      </c>
      <c r="N2069" s="21" t="n">
        <f aca="false">LN(J2069)</f>
        <v>13.2726254303874</v>
      </c>
      <c r="O2069" s="21" t="n">
        <f aca="false">AVERAGEIFS($N$2:$N$2705,$B$2:$B$2705,B2069)</f>
        <v>13.6442566562566</v>
      </c>
      <c r="P2069" s="21" t="n">
        <f aca="false">N2069-O2069</f>
        <v>-0.371631225869221</v>
      </c>
      <c r="Q2069" s="7" t="n">
        <v>1</v>
      </c>
      <c r="R2069" s="3" t="n">
        <f aca="false">IF(AND(Q2069=1,B2069-_xlfn.MINIFS($B$2:$B$2705,$A$2:$A$2705,A2069)&lt;10),1,0)</f>
        <v>0</v>
      </c>
      <c r="S2069" s="7" t="n">
        <v>0</v>
      </c>
      <c r="T2069" s="3" t="n">
        <f aca="false">_xlfn.MINIFS($B$2:$B$2705,$A$2:$A$2705,A2069)</f>
        <v>1977</v>
      </c>
      <c r="U2069" s="3" t="n">
        <f aca="false">B2069-T2069</f>
        <v>27</v>
      </c>
      <c r="V2069" s="3" t="str">
        <f aca="false">INDEX(Pop_Inputs!$Q$2:$Q$29,MATCH(C2069,Pop_Inputs!$A$2:$A$29,0))</f>
        <v>West</v>
      </c>
      <c r="W2069" s="29" t="n">
        <v>81515834</v>
      </c>
      <c r="X2069" s="3" t="n">
        <f aca="false">IF(W2069="","",LN(W2069))</f>
        <v>18.2163078415493</v>
      </c>
      <c r="Y2069" s="3" t="n">
        <f aca="false">IF(X2069="","",X2069-AVERAGEIFS($X$2:$X$2705,$B$2:$B$2705,B2069))</f>
        <v>0.263120561836676</v>
      </c>
      <c r="Z2069" s="21" t="n">
        <f aca="false">P2069</f>
        <v>-0.371631225869221</v>
      </c>
      <c r="AA2069" s="3" t="n">
        <f aca="false">R2069</f>
        <v>0</v>
      </c>
      <c r="AB2069" s="21" t="n">
        <f aca="false">P2069</f>
        <v>-0.371631225869221</v>
      </c>
      <c r="AC2069" s="3" t="n">
        <f aca="false">Y2069</f>
        <v>0.263120561836676</v>
      </c>
      <c r="AD2069" s="3" t="n">
        <f aca="false">R2069</f>
        <v>0</v>
      </c>
    </row>
    <row r="2070" customFormat="false" ht="15" hidden="false" customHeight="true" outlineLevel="0" collapsed="false">
      <c r="A2070" s="7" t="s">
        <v>61</v>
      </c>
      <c r="B2070" s="7" t="n">
        <v>2004</v>
      </c>
      <c r="C2070" s="7" t="s">
        <v>147</v>
      </c>
      <c r="D2070" s="7" t="n">
        <v>91</v>
      </c>
      <c r="E2070" s="7" t="n">
        <v>71</v>
      </c>
      <c r="F2070" s="3" t="n">
        <f aca="false">COUNTIFS($B$2:$B$2705,B2070,$C$2:$C$2705,C2070)</f>
        <v>1</v>
      </c>
      <c r="G2070" s="3" t="n">
        <f aca="false">MIN(INT((MIN(B2070,2020)-1900)/10)+1,12)</f>
        <v>11</v>
      </c>
      <c r="H2070" s="3" t="n">
        <f aca="false">(MIN(B2070,2020)-1900-10*(G2070-1))/10</f>
        <v>0.4</v>
      </c>
      <c r="I2070" s="20" t="n">
        <f aca="false">EXP(LN(INDEX(Pop_Inputs!$B$2:$N$29,MATCH(C2070,Pop_Inputs!$A$2:$A$29,0),G2070))*(1-H2070)+LN(INDEX(Pop_Inputs!$B$2:$N$29,MATCH(C2070,Pop_Inputs!$A$2:$A$29,0),G2070+1))*H2070)</f>
        <v>788010.69436497</v>
      </c>
      <c r="J2070" s="20" t="n">
        <f aca="false">I2070/F2070</f>
        <v>788010.69436497</v>
      </c>
      <c r="K2070" s="21" t="n">
        <f aca="false">D2070/(D2070+E2070)</f>
        <v>0.561728395061728</v>
      </c>
      <c r="L2070" s="21" t="n">
        <f aca="false">AVERAGEIFS($K$2:$K$2705,$B$2:$B$2705,B2070)</f>
        <v>0.499941211052322</v>
      </c>
      <c r="M2070" s="21" t="n">
        <f aca="false">K2070-L2070</f>
        <v>0.0617871840094063</v>
      </c>
      <c r="N2070" s="21" t="n">
        <f aca="false">LN(J2070)</f>
        <v>13.5772669402771</v>
      </c>
      <c r="O2070" s="21" t="n">
        <f aca="false">AVERAGEIFS($N$2:$N$2705,$B$2:$B$2705,B2070)</f>
        <v>13.6442566562566</v>
      </c>
      <c r="P2070" s="21" t="n">
        <f aca="false">N2070-O2070</f>
        <v>-0.0669897159795614</v>
      </c>
      <c r="Q2070" s="7" t="n">
        <v>0</v>
      </c>
      <c r="R2070" s="3" t="n">
        <f aca="false">IF(AND(Q2070=1,B2070-_xlfn.MINIFS($B$2:$B$2705,$A$2:$A$2705,A2070)&lt;10),1,0)</f>
        <v>0</v>
      </c>
      <c r="S2070" s="7" t="n">
        <v>0</v>
      </c>
      <c r="T2070" s="3" t="n">
        <f aca="false">_xlfn.MINIFS($B$2:$B$2705,$A$2:$A$2705,A2070)</f>
        <v>1901</v>
      </c>
      <c r="U2070" s="3" t="n">
        <f aca="false">B2070-T2070</f>
        <v>103</v>
      </c>
      <c r="V2070" s="3" t="str">
        <f aca="false">INDEX(Pop_Inputs!$Q$2:$Q$29,MATCH(C2070,Pop_Inputs!$A$2:$A$29,0))</f>
        <v>West</v>
      </c>
      <c r="W2070" s="29" t="n">
        <v>82019166</v>
      </c>
      <c r="X2070" s="3" t="n">
        <f aca="false">IF(W2070="","",LN(W2070))</f>
        <v>18.2224635096248</v>
      </c>
      <c r="Y2070" s="3" t="n">
        <f aca="false">IF(X2070="","",X2070-AVERAGEIFS($X$2:$X$2705,$B$2:$B$2705,B2070))</f>
        <v>0.269276229912183</v>
      </c>
      <c r="Z2070" s="21" t="n">
        <f aca="false">P2070</f>
        <v>-0.0669897159795614</v>
      </c>
      <c r="AA2070" s="3" t="n">
        <f aca="false">R2070</f>
        <v>0</v>
      </c>
      <c r="AB2070" s="21" t="n">
        <f aca="false">P2070</f>
        <v>-0.0669897159795614</v>
      </c>
      <c r="AC2070" s="3" t="n">
        <f aca="false">Y2070</f>
        <v>0.269276229912183</v>
      </c>
      <c r="AD2070" s="3" t="n">
        <f aca="false">R2070</f>
        <v>0</v>
      </c>
    </row>
    <row r="2071" customFormat="false" ht="15" hidden="false" customHeight="true" outlineLevel="0" collapsed="false">
      <c r="A2071" s="7" t="s">
        <v>59</v>
      </c>
      <c r="B2071" s="7" t="n">
        <v>2004</v>
      </c>
      <c r="C2071" s="7" t="s">
        <v>145</v>
      </c>
      <c r="D2071" s="7" t="n">
        <v>105</v>
      </c>
      <c r="E2071" s="7" t="n">
        <v>57</v>
      </c>
      <c r="F2071" s="3" t="n">
        <f aca="false">COUNTIFS($B$2:$B$2705,B2071,$C$2:$C$2705,C2071)</f>
        <v>1</v>
      </c>
      <c r="G2071" s="3" t="n">
        <f aca="false">MIN(INT((MIN(B2071,2020)-1900)/10)+1,12)</f>
        <v>11</v>
      </c>
      <c r="H2071" s="3" t="n">
        <f aca="false">(MIN(B2071,2020)-1900-10*(G2071-1))/10</f>
        <v>0.4</v>
      </c>
      <c r="I2071" s="20" t="n">
        <f aca="false">EXP(LN(INDEX(Pop_Inputs!$B$2:$N$29,MATCH(C2071,Pop_Inputs!$A$2:$A$29,0),G2071))*(1-H2071)+LN(INDEX(Pop_Inputs!$B$2:$N$29,MATCH(C2071,Pop_Inputs!$A$2:$A$29,0),G2071+1))*H2071)</f>
        <v>336329.786100616</v>
      </c>
      <c r="J2071" s="20" t="n">
        <f aca="false">I2071/F2071</f>
        <v>336329.786100616</v>
      </c>
      <c r="K2071" s="21" t="n">
        <f aca="false">D2071/(D2071+E2071)</f>
        <v>0.648148148148148</v>
      </c>
      <c r="L2071" s="21" t="n">
        <f aca="false">AVERAGEIFS($K$2:$K$2705,$B$2:$B$2705,B2071)</f>
        <v>0.499941211052322</v>
      </c>
      <c r="M2071" s="21" t="n">
        <f aca="false">K2071-L2071</f>
        <v>0.148206937095826</v>
      </c>
      <c r="N2071" s="21" t="n">
        <f aca="false">LN(J2071)</f>
        <v>12.7258474638349</v>
      </c>
      <c r="O2071" s="21" t="n">
        <f aca="false">AVERAGEIFS($N$2:$N$2705,$B$2:$B$2705,B2071)</f>
        <v>13.6442566562566</v>
      </c>
      <c r="P2071" s="21" t="n">
        <f aca="false">N2071-O2071</f>
        <v>-0.918409192421775</v>
      </c>
      <c r="Q2071" s="7" t="n">
        <v>0</v>
      </c>
      <c r="R2071" s="3" t="n">
        <f aca="false">IF(AND(Q2071=1,B2071-_xlfn.MINIFS($B$2:$B$2705,$A$2:$A$2705,A2071)&lt;10),1,0)</f>
        <v>0</v>
      </c>
      <c r="S2071" s="7" t="n">
        <v>0</v>
      </c>
      <c r="T2071" s="3" t="n">
        <f aca="false">_xlfn.MINIFS($B$2:$B$2705,$A$2:$A$2705,A2071)</f>
        <v>1901</v>
      </c>
      <c r="U2071" s="3" t="n">
        <f aca="false">B2071-T2071</f>
        <v>103</v>
      </c>
      <c r="V2071" s="3" t="str">
        <f aca="false">INDEX(Pop_Inputs!$Q$2:$Q$29,MATCH(C2071,Pop_Inputs!$A$2:$A$29,0))</f>
        <v>Midwest</v>
      </c>
      <c r="W2071" s="29" t="n">
        <v>83228333</v>
      </c>
      <c r="X2071" s="3" t="n">
        <f aca="false">IF(W2071="","",LN(W2071))</f>
        <v>18.2370983886859</v>
      </c>
      <c r="Y2071" s="3" t="n">
        <f aca="false">IF(X2071="","",X2071-AVERAGEIFS($X$2:$X$2705,$B$2:$B$2705,B2071))</f>
        <v>0.283911108973282</v>
      </c>
      <c r="Z2071" s="21" t="n">
        <f aca="false">P2071</f>
        <v>-0.918409192421775</v>
      </c>
      <c r="AA2071" s="3" t="n">
        <f aca="false">R2071</f>
        <v>0</v>
      </c>
      <c r="AB2071" s="21" t="n">
        <f aca="false">P2071</f>
        <v>-0.918409192421775</v>
      </c>
      <c r="AC2071" s="3" t="n">
        <f aca="false">Y2071</f>
        <v>0.283911108973282</v>
      </c>
      <c r="AD2071" s="3" t="n">
        <f aca="false">R2071</f>
        <v>0</v>
      </c>
    </row>
    <row r="2072" customFormat="false" ht="15" hidden="false" customHeight="true" outlineLevel="0" collapsed="false">
      <c r="A2072" s="7" t="s">
        <v>85</v>
      </c>
      <c r="B2072" s="7" t="n">
        <v>2004</v>
      </c>
      <c r="C2072" s="7" t="s">
        <v>166</v>
      </c>
      <c r="D2072" s="7" t="n">
        <v>70</v>
      </c>
      <c r="E2072" s="7" t="n">
        <v>91</v>
      </c>
      <c r="F2072" s="3" t="n">
        <f aca="false">COUNTIFS($B$2:$B$2705,B2072,$C$2:$C$2705,C2072)</f>
        <v>1</v>
      </c>
      <c r="G2072" s="3" t="n">
        <f aca="false">MIN(INT((MIN(B2072,2020)-1900)/10)+1,12)</f>
        <v>11</v>
      </c>
      <c r="H2072" s="3" t="n">
        <f aca="false">(MIN(B2072,2020)-1900-10*(G2072-1))/10</f>
        <v>0.4</v>
      </c>
      <c r="I2072" s="20" t="n">
        <f aca="false">EXP(LN(INDEX(Pop_Inputs!$B$2:$N$29,MATCH(C2072,Pop_Inputs!$A$2:$A$29,0),G2072))*(1-H2072)+LN(INDEX(Pop_Inputs!$B$2:$N$29,MATCH(C2072,Pop_Inputs!$A$2:$A$29,0),G2072+1))*H2072)</f>
        <v>315962.035285118</v>
      </c>
      <c r="J2072" s="20" t="n">
        <f aca="false">I2072/F2072</f>
        <v>315962.035285118</v>
      </c>
      <c r="K2072" s="21" t="n">
        <f aca="false">D2072/(D2072+E2072)</f>
        <v>0.434782608695652</v>
      </c>
      <c r="L2072" s="21" t="n">
        <f aca="false">AVERAGEIFS($K$2:$K$2705,$B$2:$B$2705,B2072)</f>
        <v>0.499941211052322</v>
      </c>
      <c r="M2072" s="21" t="n">
        <f aca="false">K2072-L2072</f>
        <v>-0.06515860235667</v>
      </c>
      <c r="N2072" s="21" t="n">
        <f aca="false">LN(J2072)</f>
        <v>12.6633773438487</v>
      </c>
      <c r="O2072" s="21" t="n">
        <f aca="false">AVERAGEIFS($N$2:$N$2705,$B$2:$B$2705,B2072)</f>
        <v>13.6442566562566</v>
      </c>
      <c r="P2072" s="21" t="n">
        <f aca="false">N2072-O2072</f>
        <v>-0.980879312407945</v>
      </c>
      <c r="Q2072" s="7" t="n">
        <v>1</v>
      </c>
      <c r="R2072" s="3" t="n">
        <f aca="false">IF(AND(Q2072=1,B2072-_xlfn.MINIFS($B$2:$B$2705,$A$2:$A$2705,A2072)&lt;10),1,0)</f>
        <v>1</v>
      </c>
      <c r="S2072" s="7" t="n">
        <v>0</v>
      </c>
      <c r="T2072" s="3" t="n">
        <f aca="false">_xlfn.MINIFS($B$2:$B$2705,$A$2:$A$2705,A2072)</f>
        <v>1998</v>
      </c>
      <c r="U2072" s="3" t="n">
        <f aca="false">B2072-T2072</f>
        <v>6</v>
      </c>
      <c r="V2072" s="3" t="str">
        <f aca="false">INDEX(Pop_Inputs!$Q$2:$Q$29,MATCH(C2072,Pop_Inputs!$A$2:$A$29,0))</f>
        <v>South</v>
      </c>
      <c r="W2072" s="29" t="n">
        <v>29556667</v>
      </c>
      <c r="X2072" s="3" t="n">
        <f aca="false">IF(W2072="","",LN(W2072))</f>
        <v>17.2018198939659</v>
      </c>
      <c r="Y2072" s="3" t="n">
        <f aca="false">IF(X2072="","",X2072-AVERAGEIFS($X$2:$X$2705,$B$2:$B$2705,B2072))</f>
        <v>-0.751367385746811</v>
      </c>
      <c r="Z2072" s="21" t="n">
        <f aca="false">P2072</f>
        <v>-0.980879312407945</v>
      </c>
      <c r="AA2072" s="3" t="n">
        <f aca="false">R2072</f>
        <v>1</v>
      </c>
      <c r="AB2072" s="21" t="n">
        <f aca="false">P2072</f>
        <v>-0.980879312407945</v>
      </c>
      <c r="AC2072" s="3" t="n">
        <f aca="false">Y2072</f>
        <v>-0.751367385746811</v>
      </c>
      <c r="AD2072" s="3" t="n">
        <f aca="false">R2072</f>
        <v>1</v>
      </c>
    </row>
    <row r="2073" customFormat="false" ht="15" hidden="false" customHeight="true" outlineLevel="0" collapsed="false">
      <c r="A2073" s="7" t="s">
        <v>73</v>
      </c>
      <c r="B2073" s="7" t="n">
        <v>2004</v>
      </c>
      <c r="C2073" s="7" t="s">
        <v>155</v>
      </c>
      <c r="D2073" s="7" t="n">
        <v>89</v>
      </c>
      <c r="E2073" s="7" t="n">
        <v>73</v>
      </c>
      <c r="F2073" s="3" t="n">
        <f aca="false">COUNTIFS($B$2:$B$2705,B2073,$C$2:$C$2705,C2073)</f>
        <v>1</v>
      </c>
      <c r="G2073" s="3" t="n">
        <f aca="false">MIN(INT((MIN(B2073,2020)-1900)/10)+1,12)</f>
        <v>11</v>
      </c>
      <c r="H2073" s="3" t="n">
        <f aca="false">(MIN(B2073,2020)-1900-10*(G2073-1))/10</f>
        <v>0.4</v>
      </c>
      <c r="I2073" s="20" t="n">
        <f aca="false">EXP(LN(INDEX(Pop_Inputs!$B$2:$N$29,MATCH(C2073,Pop_Inputs!$A$2:$A$29,0),G2073))*(1-H2073)+LN(INDEX(Pop_Inputs!$B$2:$N$29,MATCH(C2073,Pop_Inputs!$A$2:$A$29,0),G2073+1))*H2073)</f>
        <v>1192265.82318278</v>
      </c>
      <c r="J2073" s="20" t="n">
        <f aca="false">I2073/F2073</f>
        <v>1192265.82318278</v>
      </c>
      <c r="K2073" s="21" t="n">
        <f aca="false">D2073/(D2073+E2073)</f>
        <v>0.549382716049383</v>
      </c>
      <c r="L2073" s="21" t="n">
        <f aca="false">AVERAGEIFS($K$2:$K$2705,$B$2:$B$2705,B2073)</f>
        <v>0.499941211052322</v>
      </c>
      <c r="M2073" s="21" t="n">
        <f aca="false">K2073-L2073</f>
        <v>0.0494415049970606</v>
      </c>
      <c r="N2073" s="21" t="n">
        <f aca="false">LN(J2073)</f>
        <v>13.9913661077711</v>
      </c>
      <c r="O2073" s="21" t="n">
        <f aca="false">AVERAGEIFS($N$2:$N$2705,$B$2:$B$2705,B2073)</f>
        <v>13.6442566562566</v>
      </c>
      <c r="P2073" s="21" t="n">
        <f aca="false">N2073-O2073</f>
        <v>0.347109451514472</v>
      </c>
      <c r="Q2073" s="7" t="n">
        <v>1</v>
      </c>
      <c r="R2073" s="3" t="n">
        <f aca="false">IF(AND(Q2073=1,B2073-_xlfn.MINIFS($B$2:$B$2705,$A$2:$A$2705,A2073)&lt;10),1,0)</f>
        <v>0</v>
      </c>
      <c r="S2073" s="7" t="n">
        <v>0</v>
      </c>
      <c r="T2073" s="3" t="n">
        <f aca="false">_xlfn.MINIFS($B$2:$B$2705,$A$2:$A$2705,A2073)</f>
        <v>1961</v>
      </c>
      <c r="U2073" s="3" t="n">
        <f aca="false">B2073-T2073</f>
        <v>43</v>
      </c>
      <c r="V2073" s="3" t="str">
        <f aca="false">INDEX(Pop_Inputs!$Q$2:$Q$29,MATCH(C2073,Pop_Inputs!$A$2:$A$29,0))</f>
        <v>South</v>
      </c>
      <c r="W2073" s="29" t="n">
        <v>55050417</v>
      </c>
      <c r="X2073" s="3" t="n">
        <f aca="false">IF(W2073="","",LN(W2073))</f>
        <v>17.8237599960362</v>
      </c>
      <c r="Y2073" s="3" t="n">
        <f aca="false">IF(X2073="","",X2073-AVERAGEIFS($X$2:$X$2705,$B$2:$B$2705,B2073))</f>
        <v>-0.12942728367651</v>
      </c>
      <c r="Z2073" s="21" t="n">
        <f aca="false">P2073</f>
        <v>0.347109451514472</v>
      </c>
      <c r="AA2073" s="3" t="n">
        <f aca="false">R2073</f>
        <v>0</v>
      </c>
      <c r="AB2073" s="21" t="n">
        <f aca="false">P2073</f>
        <v>0.347109451514472</v>
      </c>
      <c r="AC2073" s="3" t="n">
        <f aca="false">Y2073</f>
        <v>-0.12942728367651</v>
      </c>
      <c r="AD2073" s="3" t="n">
        <f aca="false">R2073</f>
        <v>0</v>
      </c>
    </row>
    <row r="2074" customFormat="false" ht="15" hidden="false" customHeight="true" outlineLevel="0" collapsed="false">
      <c r="A2074" s="7" t="s">
        <v>81</v>
      </c>
      <c r="B2074" s="7" t="n">
        <v>2004</v>
      </c>
      <c r="C2074" s="7" t="s">
        <v>162</v>
      </c>
      <c r="D2074" s="7" t="n">
        <v>67</v>
      </c>
      <c r="E2074" s="7" t="n">
        <v>94</v>
      </c>
      <c r="F2074" s="3" t="n">
        <f aca="false">COUNTIFS($B$2:$B$2705,B2074,$C$2:$C$2705,C2074)</f>
        <v>1</v>
      </c>
      <c r="G2074" s="3" t="n">
        <f aca="false">MIN(INT((MIN(B2074,2020)-1900)/10)+1,12)</f>
        <v>11</v>
      </c>
      <c r="H2074" s="3" t="n">
        <f aca="false">(MIN(B2074,2020)-1900-10*(G2074-1))/10</f>
        <v>0.4</v>
      </c>
      <c r="I2074" s="20" t="n">
        <f aca="false">EXP(LN(INDEX(Pop_Inputs!$B$2:$N$29,MATCH(C2074,Pop_Inputs!$A$2:$A$29,0),G2074))*(1-H2074)+LN(INDEX(Pop_Inputs!$B$2:$N$29,MATCH(C2074,Pop_Inputs!$A$2:$A$29,0),G2074+1))*H2074)</f>
        <v>2534081.63086306</v>
      </c>
      <c r="J2074" s="20" t="n">
        <f aca="false">I2074/F2074</f>
        <v>2534081.63086306</v>
      </c>
      <c r="K2074" s="21" t="n">
        <f aca="false">D2074/(D2074+E2074)</f>
        <v>0.416149068322981</v>
      </c>
      <c r="L2074" s="21" t="n">
        <f aca="false">AVERAGEIFS($K$2:$K$2705,$B$2:$B$2705,B2074)</f>
        <v>0.499941211052322</v>
      </c>
      <c r="M2074" s="21" t="n">
        <f aca="false">K2074-L2074</f>
        <v>-0.0837921427293408</v>
      </c>
      <c r="N2074" s="21" t="n">
        <f aca="false">LN(J2074)</f>
        <v>14.745341853576</v>
      </c>
      <c r="O2074" s="21" t="n">
        <f aca="false">AVERAGEIFS($N$2:$N$2705,$B$2:$B$2705,B2074)</f>
        <v>13.6442566562566</v>
      </c>
      <c r="P2074" s="21" t="n">
        <f aca="false">N2074-O2074</f>
        <v>1.10108519731939</v>
      </c>
      <c r="Q2074" s="7" t="n">
        <v>1</v>
      </c>
      <c r="R2074" s="3" t="n">
        <f aca="false">IF(AND(Q2074=1,B2074-_xlfn.MINIFS($B$2:$B$2705,$A$2:$A$2705,A2074)&lt;10),1,0)</f>
        <v>0</v>
      </c>
      <c r="S2074" s="7" t="n">
        <v>0</v>
      </c>
      <c r="T2074" s="3" t="n">
        <f aca="false">_xlfn.MINIFS($B$2:$B$2705,$A$2:$A$2705,A2074)</f>
        <v>1977</v>
      </c>
      <c r="U2074" s="3" t="n">
        <f aca="false">B2074-T2074</f>
        <v>27</v>
      </c>
      <c r="V2074" s="3" t="str">
        <f aca="false">INDEX(Pop_Inputs!$Q$2:$Q$29,MATCH(C2074,Pop_Inputs!$A$2:$A$29,0))</f>
        <v>Canada</v>
      </c>
      <c r="W2074" s="29" t="n">
        <v>50017000</v>
      </c>
      <c r="X2074" s="3" t="n">
        <f aca="false">IF(W2074="","",LN(W2074))</f>
        <v>17.7278735056055</v>
      </c>
      <c r="Y2074" s="3" t="n">
        <f aca="false">IF(X2074="","",X2074-AVERAGEIFS($X$2:$X$2705,$B$2:$B$2705,B2074))</f>
        <v>-0.225313774107143</v>
      </c>
      <c r="Z2074" s="21" t="n">
        <f aca="false">P2074</f>
        <v>1.10108519731939</v>
      </c>
      <c r="AA2074" s="3" t="n">
        <f aca="false">R2074</f>
        <v>0</v>
      </c>
      <c r="AB2074" s="21" t="n">
        <f aca="false">P2074</f>
        <v>1.10108519731939</v>
      </c>
      <c r="AC2074" s="3" t="n">
        <f aca="false">Y2074</f>
        <v>-0.225313774107143</v>
      </c>
      <c r="AD2074" s="3" t="n">
        <f aca="false">R2074</f>
        <v>0</v>
      </c>
    </row>
    <row r="2075" customFormat="false" ht="15" hidden="false" customHeight="true" outlineLevel="0" collapsed="false">
      <c r="A2075" s="7" t="s">
        <v>79</v>
      </c>
      <c r="B2075" s="7" t="n">
        <v>2004</v>
      </c>
      <c r="C2075" s="7" t="s">
        <v>254</v>
      </c>
      <c r="D2075" s="7" t="n">
        <v>67</v>
      </c>
      <c r="E2075" s="7" t="n">
        <v>95</v>
      </c>
      <c r="F2075" s="3" t="n">
        <f aca="false">COUNTIFS($B$2:$B$2705,B2075,$C$2:$C$2705,C2075)</f>
        <v>1</v>
      </c>
      <c r="G2075" s="3" t="n">
        <f aca="false">MIN(INT((MIN(B2075,2020)-1900)/10)+1,12)</f>
        <v>11</v>
      </c>
      <c r="H2075" s="3" t="n">
        <f aca="false">(MIN(B2075,2020)-1900-10*(G2075-1))/10</f>
        <v>0.4</v>
      </c>
      <c r="I2075" s="20" t="n">
        <f aca="false">EXP(LN(INDEX(Pop_Inputs!$B$2:$N$29,MATCH(C2075,Pop_Inputs!$A$2:$A$29,0),G2075))*(1-H2075)+LN(INDEX(Pop_Inputs!$B$2:$N$29,MATCH(C2075,Pop_Inputs!$A$2:$A$29,0),G2075+1))*H2075)</f>
        <v>1250391.88926667</v>
      </c>
      <c r="J2075" s="20" t="n">
        <f aca="false">I2075/F2075</f>
        <v>1250391.88926667</v>
      </c>
      <c r="K2075" s="21" t="n">
        <f aca="false">D2075/(D2075+E2075)</f>
        <v>0.41358024691358</v>
      </c>
      <c r="L2075" s="21" t="n">
        <f aca="false">AVERAGEIFS($K$2:$K$2705,$B$2:$B$2705,B2075)</f>
        <v>0.499941211052322</v>
      </c>
      <c r="M2075" s="21" t="n">
        <f aca="false">K2075-L2075</f>
        <v>-0.0863609641387419</v>
      </c>
      <c r="N2075" s="21" t="n">
        <f aca="false">LN(J2075)</f>
        <v>14.0389675715574</v>
      </c>
      <c r="O2075" s="21" t="n">
        <f aca="false">AVERAGEIFS($N$2:$N$2705,$B$2:$B$2705,B2075)</f>
        <v>13.6442566562566</v>
      </c>
      <c r="P2075" s="21" t="n">
        <f aca="false">N2075-O2075</f>
        <v>0.394710915300754</v>
      </c>
      <c r="Q2075" s="7" t="n">
        <v>1</v>
      </c>
      <c r="R2075" s="3" t="n">
        <f aca="false">IF(AND(Q2075=1,B2075-_xlfn.MINIFS($B$2:$B$2705,$A$2:$A$2705,A2075)&lt;10),1,0)</f>
        <v>0</v>
      </c>
      <c r="S2075" s="7" t="n">
        <v>0</v>
      </c>
      <c r="T2075" s="3" t="n">
        <f aca="false">_xlfn.MINIFS($B$2:$B$2705,$A$2:$A$2705,A2075)</f>
        <v>1969</v>
      </c>
      <c r="U2075" s="3" t="n">
        <f aca="false">B2075-T2075</f>
        <v>35</v>
      </c>
      <c r="V2075" s="3" t="str">
        <f aca="false">INDEX(Pop_Inputs!$Q$2:$Q$29,MATCH(C2075,Pop_Inputs!$A$2:$A$29,0))</f>
        <v>Canada</v>
      </c>
      <c r="W2075" s="29" t="n">
        <v>40897500</v>
      </c>
      <c r="X2075" s="3" t="n">
        <f aca="false">IF(W2075="","",LN(W2075))</f>
        <v>17.5265794944505</v>
      </c>
      <c r="Y2075" s="3" t="n">
        <f aca="false">IF(X2075="","",X2075-AVERAGEIFS($X$2:$X$2705,$B$2:$B$2705,B2075))</f>
        <v>-0.426607785262199</v>
      </c>
      <c r="Z2075" s="21" t="n">
        <f aca="false">P2075</f>
        <v>0.394710915300754</v>
      </c>
      <c r="AA2075" s="3" t="n">
        <f aca="false">R2075</f>
        <v>0</v>
      </c>
      <c r="AB2075" s="21" t="n">
        <f aca="false">P2075</f>
        <v>0.394710915300754</v>
      </c>
      <c r="AC2075" s="3" t="n">
        <f aca="false">Y2075</f>
        <v>-0.426607785262199</v>
      </c>
      <c r="AD2075" s="3" t="n">
        <f aca="false">R2075</f>
        <v>0</v>
      </c>
    </row>
    <row r="2076" customFormat="false" ht="15" hidden="false" customHeight="true" outlineLevel="0" collapsed="false">
      <c r="A2076" s="7" t="s">
        <v>71</v>
      </c>
      <c r="B2076" s="7" t="n">
        <v>2005</v>
      </c>
      <c r="C2076" s="7" t="s">
        <v>148</v>
      </c>
      <c r="D2076" s="7" t="n">
        <v>95</v>
      </c>
      <c r="E2076" s="7" t="n">
        <v>67</v>
      </c>
      <c r="F2076" s="3" t="n">
        <f aca="false">COUNTIFS($B$2:$B$2705,B2076,$C$2:$C$2705,C2076)</f>
        <v>2</v>
      </c>
      <c r="G2076" s="3" t="n">
        <f aca="false">MIN(INT((MIN(B2076,2020)-1900)/10)+1,12)</f>
        <v>11</v>
      </c>
      <c r="H2076" s="3" t="n">
        <f aca="false">(MIN(B2076,2020)-1900-10*(G2076-1))/10</f>
        <v>0.5</v>
      </c>
      <c r="I2076" s="20" t="n">
        <f aca="false">EXP(LN(INDEX(Pop_Inputs!$B$2:$N$29,MATCH(C2076,Pop_Inputs!$A$2:$A$29,0),G2076))*(1-H2076)+LN(INDEX(Pop_Inputs!$B$2:$N$29,MATCH(C2076,Pop_Inputs!$A$2:$A$29,0),G2076+1))*H2076)</f>
        <v>3743401.11706186</v>
      </c>
      <c r="J2076" s="20" t="n">
        <f aca="false">I2076/F2076</f>
        <v>1871700.55853093</v>
      </c>
      <c r="K2076" s="21" t="n">
        <f aca="false">D2076/(D2076+E2076)</f>
        <v>0.58641975308642</v>
      </c>
      <c r="L2076" s="21" t="n">
        <f aca="false">AVERAGEIFS($K$2:$K$2705,$B$2:$B$2705,B2076)</f>
        <v>0.5</v>
      </c>
      <c r="M2076" s="21" t="n">
        <f aca="false">K2076-L2076</f>
        <v>0.0864197530864198</v>
      </c>
      <c r="N2076" s="21" t="n">
        <f aca="false">LN(J2076)</f>
        <v>14.4423579651753</v>
      </c>
      <c r="O2076" s="21" t="n">
        <f aca="false">AVERAGEIFS($N$2:$N$2705,$B$2:$B$2705,B2076)</f>
        <v>13.6186901969669</v>
      </c>
      <c r="P2076" s="21" t="n">
        <f aca="false">N2076-O2076</f>
        <v>0.823667768208374</v>
      </c>
      <c r="Q2076" s="7" t="n">
        <v>1</v>
      </c>
      <c r="R2076" s="3" t="n">
        <f aca="false">IF(AND(Q2076=1,B2076-_xlfn.MINIFS($B$2:$B$2705,$A$2:$A$2705,A2076)&lt;10),1,0)</f>
        <v>0</v>
      </c>
      <c r="S2076" s="7" t="n">
        <v>0</v>
      </c>
      <c r="T2076" s="3" t="n">
        <f aca="false">_xlfn.MINIFS($B$2:$B$2705,$A$2:$A$2705,A2076)</f>
        <v>1961</v>
      </c>
      <c r="U2076" s="3" t="n">
        <f aca="false">B2076-T2076</f>
        <v>44</v>
      </c>
      <c r="V2076" s="3" t="str">
        <f aca="false">INDEX(Pop_Inputs!$Q$2:$Q$29,MATCH(C2076,Pop_Inputs!$A$2:$A$29,0))</f>
        <v>West</v>
      </c>
      <c r="W2076" s="29" t="n">
        <v>94867822</v>
      </c>
      <c r="X2076" s="3" t="n">
        <f aca="false">IF(W2076="","",LN(W2076))</f>
        <v>18.3679951333739</v>
      </c>
      <c r="Y2076" s="3" t="n">
        <f aca="false">IF(X2076="","",X2076-AVERAGEIFS($X$2:$X$2705,$B$2:$B$2705,B2076))</f>
        <v>0.348215353338876</v>
      </c>
      <c r="Z2076" s="21" t="n">
        <f aca="false">P2076</f>
        <v>0.823667768208374</v>
      </c>
      <c r="AA2076" s="3" t="n">
        <f aca="false">R2076</f>
        <v>0</v>
      </c>
      <c r="AB2076" s="21" t="n">
        <f aca="false">P2076</f>
        <v>0.823667768208374</v>
      </c>
      <c r="AC2076" s="3" t="n">
        <f aca="false">Y2076</f>
        <v>0.348215353338876</v>
      </c>
      <c r="AD2076" s="3" t="n">
        <f aca="false">R2076</f>
        <v>0</v>
      </c>
    </row>
    <row r="2077" customFormat="false" ht="15" hidden="false" customHeight="true" outlineLevel="0" collapsed="false">
      <c r="A2077" s="7" t="s">
        <v>84</v>
      </c>
      <c r="B2077" s="7" t="n">
        <v>2005</v>
      </c>
      <c r="C2077" s="7" t="s">
        <v>165</v>
      </c>
      <c r="D2077" s="7" t="n">
        <v>77</v>
      </c>
      <c r="E2077" s="7" t="n">
        <v>85</v>
      </c>
      <c r="F2077" s="3" t="n">
        <f aca="false">COUNTIFS($B$2:$B$2705,B2077,$C$2:$C$2705,C2077)</f>
        <v>1</v>
      </c>
      <c r="G2077" s="3" t="n">
        <f aca="false">MIN(INT((MIN(B2077,2020)-1900)/10)+1,12)</f>
        <v>11</v>
      </c>
      <c r="H2077" s="3" t="n">
        <f aca="false">(MIN(B2077,2020)-1900-10*(G2077-1))/10</f>
        <v>0.5</v>
      </c>
      <c r="I2077" s="20" t="n">
        <f aca="false">EXP(LN(INDEX(Pop_Inputs!$B$2:$N$29,MATCH(C2077,Pop_Inputs!$A$2:$A$29,0),G2077))*(1-H2077)+LN(INDEX(Pop_Inputs!$B$2:$N$29,MATCH(C2077,Pop_Inputs!$A$2:$A$29,0),G2077+1))*H2077)</f>
        <v>1381935.21029027</v>
      </c>
      <c r="J2077" s="20" t="n">
        <f aca="false">I2077/F2077</f>
        <v>1381935.21029027</v>
      </c>
      <c r="K2077" s="21" t="n">
        <f aca="false">D2077/(D2077+E2077)</f>
        <v>0.475308641975309</v>
      </c>
      <c r="L2077" s="21" t="n">
        <f aca="false">AVERAGEIFS($K$2:$K$2705,$B$2:$B$2705,B2077)</f>
        <v>0.5</v>
      </c>
      <c r="M2077" s="21" t="n">
        <f aca="false">K2077-L2077</f>
        <v>-0.0246913580246914</v>
      </c>
      <c r="N2077" s="21" t="n">
        <f aca="false">LN(J2077)</f>
        <v>14.1389954010894</v>
      </c>
      <c r="O2077" s="21" t="n">
        <f aca="false">AVERAGEIFS($N$2:$N$2705,$B$2:$B$2705,B2077)</f>
        <v>13.6186901969669</v>
      </c>
      <c r="P2077" s="21" t="n">
        <f aca="false">N2077-O2077</f>
        <v>0.520305204122497</v>
      </c>
      <c r="Q2077" s="7" t="n">
        <v>1</v>
      </c>
      <c r="R2077" s="3" t="n">
        <f aca="false">IF(AND(Q2077=1,B2077-_xlfn.MINIFS($B$2:$B$2705,$A$2:$A$2705,A2077)&lt;10),1,0)</f>
        <v>1</v>
      </c>
      <c r="S2077" s="7" t="n">
        <v>0</v>
      </c>
      <c r="T2077" s="3" t="n">
        <f aca="false">_xlfn.MINIFS($B$2:$B$2705,$A$2:$A$2705,A2077)</f>
        <v>1998</v>
      </c>
      <c r="U2077" s="3" t="n">
        <f aca="false">B2077-T2077</f>
        <v>7</v>
      </c>
      <c r="V2077" s="3" t="str">
        <f aca="false">INDEX(Pop_Inputs!$Q$2:$Q$29,MATCH(C2077,Pop_Inputs!$A$2:$A$29,0))</f>
        <v>West</v>
      </c>
      <c r="W2077" s="29" t="n">
        <v>62329166</v>
      </c>
      <c r="X2077" s="3" t="n">
        <f aca="false">IF(W2077="","",LN(W2077))</f>
        <v>17.9479400283008</v>
      </c>
      <c r="Y2077" s="3" t="n">
        <f aca="false">IF(X2077="","",X2077-AVERAGEIFS($X$2:$X$2705,$B$2:$B$2705,B2077))</f>
        <v>-0.0718397517341778</v>
      </c>
      <c r="Z2077" s="21" t="n">
        <f aca="false">P2077</f>
        <v>0.520305204122497</v>
      </c>
      <c r="AA2077" s="3" t="n">
        <f aca="false">R2077</f>
        <v>1</v>
      </c>
      <c r="AB2077" s="21" t="n">
        <f aca="false">P2077</f>
        <v>0.520305204122497</v>
      </c>
      <c r="AC2077" s="3" t="n">
        <f aca="false">Y2077</f>
        <v>-0.0718397517341778</v>
      </c>
      <c r="AD2077" s="3" t="n">
        <f aca="false">R2077</f>
        <v>1</v>
      </c>
    </row>
    <row r="2078" customFormat="false" ht="15" hidden="false" customHeight="true" outlineLevel="0" collapsed="false">
      <c r="A2078" s="7" t="s">
        <v>54</v>
      </c>
      <c r="B2078" s="7" t="n">
        <v>2005</v>
      </c>
      <c r="C2078" s="7" t="s">
        <v>141</v>
      </c>
      <c r="D2078" s="7" t="n">
        <v>90</v>
      </c>
      <c r="E2078" s="7" t="n">
        <v>72</v>
      </c>
      <c r="F2078" s="3" t="n">
        <f aca="false">COUNTIFS($B$2:$B$2705,B2078,$C$2:$C$2705,C2078)</f>
        <v>1</v>
      </c>
      <c r="G2078" s="3" t="n">
        <f aca="false">MIN(INT((MIN(B2078,2020)-1900)/10)+1,12)</f>
        <v>11</v>
      </c>
      <c r="H2078" s="3" t="n">
        <f aca="false">(MIN(B2078,2020)-1900-10*(G2078-1))/10</f>
        <v>0.5</v>
      </c>
      <c r="I2078" s="20" t="n">
        <f aca="false">EXP(LN(INDEX(Pop_Inputs!$B$2:$N$29,MATCH(C2078,Pop_Inputs!$A$2:$A$29,0),G2078))*(1-H2078)+LN(INDEX(Pop_Inputs!$B$2:$N$29,MATCH(C2078,Pop_Inputs!$A$2:$A$29,0),G2078+1))*H2078)</f>
        <v>418234.777872429</v>
      </c>
      <c r="J2078" s="20" t="n">
        <f aca="false">I2078/F2078</f>
        <v>418234.777872429</v>
      </c>
      <c r="K2078" s="21" t="n">
        <f aca="false">D2078/(D2078+E2078)</f>
        <v>0.555555555555556</v>
      </c>
      <c r="L2078" s="21" t="n">
        <f aca="false">AVERAGEIFS($K$2:$K$2705,$B$2:$B$2705,B2078)</f>
        <v>0.5</v>
      </c>
      <c r="M2078" s="21" t="n">
        <f aca="false">K2078-L2078</f>
        <v>0.0555555555555556</v>
      </c>
      <c r="N2078" s="21" t="n">
        <f aca="false">LN(J2078)</f>
        <v>12.9437982233809</v>
      </c>
      <c r="O2078" s="21" t="n">
        <f aca="false">AVERAGEIFS($N$2:$N$2705,$B$2:$B$2705,B2078)</f>
        <v>13.6186901969669</v>
      </c>
      <c r="P2078" s="21" t="n">
        <f aca="false">N2078-O2078</f>
        <v>-0.674891973586075</v>
      </c>
      <c r="Q2078" s="7" t="n">
        <v>0</v>
      </c>
      <c r="R2078" s="3" t="n">
        <f aca="false">IF(AND(Q2078=1,B2078-_xlfn.MINIFS($B$2:$B$2705,$A$2:$A$2705,A2078)&lt;10),1,0)</f>
        <v>0</v>
      </c>
      <c r="S2078" s="7" t="n">
        <v>0</v>
      </c>
      <c r="T2078" s="3" t="n">
        <f aca="false">_xlfn.MINIFS($B$2:$B$2705,$A$2:$A$2705,A2078)</f>
        <v>1901</v>
      </c>
      <c r="U2078" s="3" t="n">
        <f aca="false">B2078-T2078</f>
        <v>104</v>
      </c>
      <c r="V2078" s="3" t="str">
        <f aca="false">INDEX(Pop_Inputs!$Q$2:$Q$29,MATCH(C2078,Pop_Inputs!$A$2:$A$29,0))</f>
        <v>South</v>
      </c>
      <c r="W2078" s="29" t="n">
        <v>86457302</v>
      </c>
      <c r="X2078" s="3" t="n">
        <f aca="false">IF(W2078="","",LN(W2078))</f>
        <v>18.2751612315353</v>
      </c>
      <c r="Y2078" s="3" t="n">
        <f aca="false">IF(X2078="","",X2078-AVERAGEIFS($X$2:$X$2705,$B$2:$B$2705,B2078))</f>
        <v>0.255381451500263</v>
      </c>
      <c r="Z2078" s="21" t="n">
        <f aca="false">P2078</f>
        <v>-0.674891973586075</v>
      </c>
      <c r="AA2078" s="3" t="n">
        <f aca="false">R2078</f>
        <v>0</v>
      </c>
      <c r="AB2078" s="21" t="n">
        <f aca="false">P2078</f>
        <v>-0.674891973586075</v>
      </c>
      <c r="AC2078" s="3" t="n">
        <f aca="false">Y2078</f>
        <v>0.255381451500263</v>
      </c>
      <c r="AD2078" s="3" t="n">
        <f aca="false">R2078</f>
        <v>0</v>
      </c>
    </row>
    <row r="2079" customFormat="false" ht="15" hidden="false" customHeight="true" outlineLevel="0" collapsed="false">
      <c r="A2079" s="7" t="s">
        <v>63</v>
      </c>
      <c r="B2079" s="7" t="n">
        <v>2005</v>
      </c>
      <c r="C2079" s="7" t="s">
        <v>149</v>
      </c>
      <c r="D2079" s="7" t="n">
        <v>74</v>
      </c>
      <c r="E2079" s="7" t="n">
        <v>88</v>
      </c>
      <c r="F2079" s="3" t="n">
        <f aca="false">COUNTIFS($B$2:$B$2705,B2079,$C$2:$C$2705,C2079)</f>
        <v>1</v>
      </c>
      <c r="G2079" s="3" t="n">
        <f aca="false">MIN(INT((MIN(B2079,2020)-1900)/10)+1,12)</f>
        <v>11</v>
      </c>
      <c r="H2079" s="3" t="n">
        <f aca="false">(MIN(B2079,2020)-1900-10*(G2079-1))/10</f>
        <v>0.5</v>
      </c>
      <c r="I2079" s="20" t="n">
        <f aca="false">EXP(LN(INDEX(Pop_Inputs!$B$2:$N$29,MATCH(C2079,Pop_Inputs!$A$2:$A$29,0),G2079))*(1-H2079)+LN(INDEX(Pop_Inputs!$B$2:$N$29,MATCH(C2079,Pop_Inputs!$A$2:$A$29,0),G2079+1))*H2079)</f>
        <v>635878.320902671</v>
      </c>
      <c r="J2079" s="20" t="n">
        <f aca="false">I2079/F2079</f>
        <v>635878.320902671</v>
      </c>
      <c r="K2079" s="21" t="n">
        <f aca="false">D2079/(D2079+E2079)</f>
        <v>0.45679012345679</v>
      </c>
      <c r="L2079" s="21" t="n">
        <f aca="false">AVERAGEIFS($K$2:$K$2705,$B$2:$B$2705,B2079)</f>
        <v>0.5</v>
      </c>
      <c r="M2079" s="21" t="n">
        <f aca="false">K2079-L2079</f>
        <v>-0.0432098765432099</v>
      </c>
      <c r="N2079" s="21" t="n">
        <f aca="false">LN(J2079)</f>
        <v>13.362762504683</v>
      </c>
      <c r="O2079" s="21" t="n">
        <f aca="false">AVERAGEIFS($N$2:$N$2705,$B$2:$B$2705,B2079)</f>
        <v>13.6186901969669</v>
      </c>
      <c r="P2079" s="21" t="n">
        <f aca="false">N2079-O2079</f>
        <v>-0.255927692283974</v>
      </c>
      <c r="Q2079" s="7" t="n">
        <v>0</v>
      </c>
      <c r="R2079" s="3" t="n">
        <f aca="false">IF(AND(Q2079=1,B2079-_xlfn.MINIFS($B$2:$B$2705,$A$2:$A$2705,A2079)&lt;10),1,0)</f>
        <v>0</v>
      </c>
      <c r="S2079" s="7" t="n">
        <v>0</v>
      </c>
      <c r="T2079" s="3" t="n">
        <f aca="false">_xlfn.MINIFS($B$2:$B$2705,$A$2:$A$2705,A2079)</f>
        <v>1901</v>
      </c>
      <c r="U2079" s="3" t="n">
        <f aca="false">B2079-T2079</f>
        <v>104</v>
      </c>
      <c r="V2079" s="3" t="str">
        <f aca="false">INDEX(Pop_Inputs!$Q$2:$Q$29,MATCH(C2079,Pop_Inputs!$A$2:$A$29,0))</f>
        <v>South</v>
      </c>
      <c r="W2079" s="29" t="n">
        <v>73914333</v>
      </c>
      <c r="X2079" s="3" t="n">
        <f aca="false">IF(W2079="","",LN(W2079))</f>
        <v>18.1184173183978</v>
      </c>
      <c r="Y2079" s="3" t="n">
        <f aca="false">IF(X2079="","",X2079-AVERAGEIFS($X$2:$X$2705,$B$2:$B$2705,B2079))</f>
        <v>0.0986375383628122</v>
      </c>
      <c r="Z2079" s="21" t="n">
        <f aca="false">P2079</f>
        <v>-0.255927692283974</v>
      </c>
      <c r="AA2079" s="3" t="n">
        <f aca="false">R2079</f>
        <v>0</v>
      </c>
      <c r="AB2079" s="21" t="n">
        <f aca="false">P2079</f>
        <v>-0.255927692283974</v>
      </c>
      <c r="AC2079" s="3" t="n">
        <f aca="false">Y2079</f>
        <v>0.0986375383628122</v>
      </c>
      <c r="AD2079" s="3" t="n">
        <f aca="false">R2079</f>
        <v>0</v>
      </c>
    </row>
    <row r="2080" customFormat="false" ht="15" hidden="false" customHeight="true" outlineLevel="0" collapsed="false">
      <c r="A2080" s="7" t="s">
        <v>64</v>
      </c>
      <c r="B2080" s="7" t="n">
        <v>2005</v>
      </c>
      <c r="C2080" s="7" t="s">
        <v>150</v>
      </c>
      <c r="D2080" s="7" t="n">
        <v>95</v>
      </c>
      <c r="E2080" s="7" t="n">
        <v>67</v>
      </c>
      <c r="F2080" s="3" t="n">
        <f aca="false">COUNTIFS($B$2:$B$2705,B2080,$C$2:$C$2705,C2080)</f>
        <v>1</v>
      </c>
      <c r="G2080" s="3" t="n">
        <f aca="false">MIN(INT((MIN(B2080,2020)-1900)/10)+1,12)</f>
        <v>11</v>
      </c>
      <c r="H2080" s="3" t="n">
        <f aca="false">(MIN(B2080,2020)-1900-10*(G2080-1))/10</f>
        <v>0.5</v>
      </c>
      <c r="I2080" s="20" t="n">
        <f aca="false">EXP(LN(INDEX(Pop_Inputs!$B$2:$N$29,MATCH(C2080,Pop_Inputs!$A$2:$A$29,0),G2080))*(1-H2080)+LN(INDEX(Pop_Inputs!$B$2:$N$29,MATCH(C2080,Pop_Inputs!$A$2:$A$29,0),G2080+1))*H2080)</f>
        <v>603199.756924686</v>
      </c>
      <c r="J2080" s="20" t="n">
        <f aca="false">I2080/F2080</f>
        <v>603199.756924686</v>
      </c>
      <c r="K2080" s="21" t="n">
        <f aca="false">D2080/(D2080+E2080)</f>
        <v>0.58641975308642</v>
      </c>
      <c r="L2080" s="21" t="n">
        <f aca="false">AVERAGEIFS($K$2:$K$2705,$B$2:$B$2705,B2080)</f>
        <v>0.5</v>
      </c>
      <c r="M2080" s="21" t="n">
        <f aca="false">K2080-L2080</f>
        <v>0.0864197530864198</v>
      </c>
      <c r="N2080" s="21" t="n">
        <f aca="false">LN(J2080)</f>
        <v>13.3100036926995</v>
      </c>
      <c r="O2080" s="21" t="n">
        <f aca="false">AVERAGEIFS($N$2:$N$2705,$B$2:$B$2705,B2080)</f>
        <v>13.6186901969669</v>
      </c>
      <c r="P2080" s="21" t="n">
        <f aca="false">N2080-O2080</f>
        <v>-0.308686504267445</v>
      </c>
      <c r="Q2080" s="7" t="n">
        <v>0</v>
      </c>
      <c r="R2080" s="3" t="n">
        <f aca="false">IF(AND(Q2080=1,B2080-_xlfn.MINIFS($B$2:$B$2705,$A$2:$A$2705,A2080)&lt;10),1,0)</f>
        <v>0</v>
      </c>
      <c r="S2080" s="7" t="n">
        <v>0</v>
      </c>
      <c r="T2080" s="3" t="n">
        <f aca="false">_xlfn.MINIFS($B$2:$B$2705,$A$2:$A$2705,A2080)</f>
        <v>1901</v>
      </c>
      <c r="U2080" s="3" t="n">
        <f aca="false">B2080-T2080</f>
        <v>104</v>
      </c>
      <c r="V2080" s="3" t="str">
        <f aca="false">INDEX(Pop_Inputs!$Q$2:$Q$29,MATCH(C2080,Pop_Inputs!$A$2:$A$29,0))</f>
        <v>Northeast</v>
      </c>
      <c r="W2080" s="29" t="n">
        <v>123505125</v>
      </c>
      <c r="X2080" s="3" t="n">
        <f aca="false">IF(W2080="","",LN(W2080))</f>
        <v>18.631793211147</v>
      </c>
      <c r="Y2080" s="3" t="n">
        <f aca="false">IF(X2080="","",X2080-AVERAGEIFS($X$2:$X$2705,$B$2:$B$2705,B2080))</f>
        <v>0.612013431111979</v>
      </c>
      <c r="Z2080" s="21" t="n">
        <f aca="false">P2080</f>
        <v>-0.308686504267445</v>
      </c>
      <c r="AA2080" s="3" t="n">
        <f aca="false">R2080</f>
        <v>0</v>
      </c>
      <c r="AB2080" s="21" t="n">
        <f aca="false">P2080</f>
        <v>-0.308686504267445</v>
      </c>
      <c r="AC2080" s="3" t="n">
        <f aca="false">Y2080</f>
        <v>0.612013431111979</v>
      </c>
      <c r="AD2080" s="3" t="n">
        <f aca="false">R2080</f>
        <v>0</v>
      </c>
    </row>
    <row r="2081" customFormat="false" ht="15" hidden="false" customHeight="true" outlineLevel="0" collapsed="false">
      <c r="A2081" s="7" t="s">
        <v>56</v>
      </c>
      <c r="B2081" s="7" t="n">
        <v>2005</v>
      </c>
      <c r="C2081" s="7" t="s">
        <v>142</v>
      </c>
      <c r="D2081" s="7" t="n">
        <v>79</v>
      </c>
      <c r="E2081" s="7" t="n">
        <v>83</v>
      </c>
      <c r="F2081" s="3" t="n">
        <f aca="false">COUNTIFS($B$2:$B$2705,B2081,$C$2:$C$2705,C2081)</f>
        <v>2</v>
      </c>
      <c r="G2081" s="3" t="n">
        <f aca="false">MIN(INT((MIN(B2081,2020)-1900)/10)+1,12)</f>
        <v>11</v>
      </c>
      <c r="H2081" s="3" t="n">
        <f aca="false">(MIN(B2081,2020)-1900-10*(G2081-1))/10</f>
        <v>0.5</v>
      </c>
      <c r="I2081" s="20" t="n">
        <f aca="false">EXP(LN(INDEX(Pop_Inputs!$B$2:$N$29,MATCH(C2081,Pop_Inputs!$A$2:$A$29,0),G2081))*(1-H2081)+LN(INDEX(Pop_Inputs!$B$2:$N$29,MATCH(C2081,Pop_Inputs!$A$2:$A$29,0),G2081+1))*H2081)</f>
        <v>2794010.54714688</v>
      </c>
      <c r="J2081" s="20" t="n">
        <f aca="false">I2081/F2081</f>
        <v>1397005.27357344</v>
      </c>
      <c r="K2081" s="21" t="n">
        <f aca="false">D2081/(D2081+E2081)</f>
        <v>0.487654320987654</v>
      </c>
      <c r="L2081" s="21" t="n">
        <f aca="false">AVERAGEIFS($K$2:$K$2705,$B$2:$B$2705,B2081)</f>
        <v>0.5</v>
      </c>
      <c r="M2081" s="21" t="n">
        <f aca="false">K2081-L2081</f>
        <v>-0.0123456790123457</v>
      </c>
      <c r="N2081" s="21" t="n">
        <f aca="false">LN(J2081)</f>
        <v>14.1498414131593</v>
      </c>
      <c r="O2081" s="21" t="n">
        <f aca="false">AVERAGEIFS($N$2:$N$2705,$B$2:$B$2705,B2081)</f>
        <v>13.6186901969669</v>
      </c>
      <c r="P2081" s="21" t="n">
        <f aca="false">N2081-O2081</f>
        <v>0.531151216192344</v>
      </c>
      <c r="Q2081" s="7" t="n">
        <v>0</v>
      </c>
      <c r="R2081" s="3" t="n">
        <f aca="false">IF(AND(Q2081=1,B2081-_xlfn.MINIFS($B$2:$B$2705,$A$2:$A$2705,A2081)&lt;10),1,0)</f>
        <v>0</v>
      </c>
      <c r="S2081" s="7" t="n">
        <v>0</v>
      </c>
      <c r="T2081" s="3" t="n">
        <f aca="false">_xlfn.MINIFS($B$2:$B$2705,$A$2:$A$2705,A2081)</f>
        <v>1901</v>
      </c>
      <c r="U2081" s="3" t="n">
        <f aca="false">B2081-T2081</f>
        <v>104</v>
      </c>
      <c r="V2081" s="3" t="str">
        <f aca="false">INDEX(Pop_Inputs!$Q$2:$Q$29,MATCH(C2081,Pop_Inputs!$A$2:$A$29,0))</f>
        <v>Midwest</v>
      </c>
      <c r="W2081" s="29" t="n">
        <v>87032933</v>
      </c>
      <c r="X2081" s="3" t="n">
        <f aca="false">IF(W2081="","",LN(W2081))</f>
        <v>18.2817971452205</v>
      </c>
      <c r="Y2081" s="3" t="n">
        <f aca="false">IF(X2081="","",X2081-AVERAGEIFS($X$2:$X$2705,$B$2:$B$2705,B2081))</f>
        <v>0.262017365185447</v>
      </c>
      <c r="Z2081" s="21" t="n">
        <f aca="false">P2081</f>
        <v>0.531151216192344</v>
      </c>
      <c r="AA2081" s="3" t="n">
        <f aca="false">R2081</f>
        <v>0</v>
      </c>
      <c r="AB2081" s="21" t="n">
        <f aca="false">P2081</f>
        <v>0.531151216192344</v>
      </c>
      <c r="AC2081" s="3" t="n">
        <f aca="false">Y2081</f>
        <v>0.262017365185447</v>
      </c>
      <c r="AD2081" s="3" t="n">
        <f aca="false">R2081</f>
        <v>0</v>
      </c>
    </row>
    <row r="2082" customFormat="false" ht="15" hidden="false" customHeight="true" outlineLevel="0" collapsed="false">
      <c r="A2082" s="7" t="s">
        <v>65</v>
      </c>
      <c r="B2082" s="7" t="n">
        <v>2005</v>
      </c>
      <c r="C2082" s="7" t="s">
        <v>142</v>
      </c>
      <c r="D2082" s="7" t="n">
        <v>99</v>
      </c>
      <c r="E2082" s="7" t="n">
        <v>63</v>
      </c>
      <c r="F2082" s="3" t="n">
        <f aca="false">COUNTIFS($B$2:$B$2705,B2082,$C$2:$C$2705,C2082)</f>
        <v>2</v>
      </c>
      <c r="G2082" s="3" t="n">
        <f aca="false">MIN(INT((MIN(B2082,2020)-1900)/10)+1,12)</f>
        <v>11</v>
      </c>
      <c r="H2082" s="3" t="n">
        <f aca="false">(MIN(B2082,2020)-1900-10*(G2082-1))/10</f>
        <v>0.5</v>
      </c>
      <c r="I2082" s="20" t="n">
        <f aca="false">EXP(LN(INDEX(Pop_Inputs!$B$2:$N$29,MATCH(C2082,Pop_Inputs!$A$2:$A$29,0),G2082))*(1-H2082)+LN(INDEX(Pop_Inputs!$B$2:$N$29,MATCH(C2082,Pop_Inputs!$A$2:$A$29,0),G2082+1))*H2082)</f>
        <v>2794010.54714688</v>
      </c>
      <c r="J2082" s="20" t="n">
        <f aca="false">I2082/F2082</f>
        <v>1397005.27357344</v>
      </c>
      <c r="K2082" s="21" t="n">
        <f aca="false">D2082/(D2082+E2082)</f>
        <v>0.611111111111111</v>
      </c>
      <c r="L2082" s="21" t="n">
        <f aca="false">AVERAGEIFS($K$2:$K$2705,$B$2:$B$2705,B2082)</f>
        <v>0.5</v>
      </c>
      <c r="M2082" s="21" t="n">
        <f aca="false">K2082-L2082</f>
        <v>0.111111111111111</v>
      </c>
      <c r="N2082" s="21" t="n">
        <f aca="false">LN(J2082)</f>
        <v>14.1498414131593</v>
      </c>
      <c r="O2082" s="21" t="n">
        <f aca="false">AVERAGEIFS($N$2:$N$2705,$B$2:$B$2705,B2082)</f>
        <v>13.6186901969669</v>
      </c>
      <c r="P2082" s="21" t="n">
        <f aca="false">N2082-O2082</f>
        <v>0.531151216192344</v>
      </c>
      <c r="Q2082" s="7" t="n">
        <v>0</v>
      </c>
      <c r="R2082" s="3" t="n">
        <f aca="false">IF(AND(Q2082=1,B2082-_xlfn.MINIFS($B$2:$B$2705,$A$2:$A$2705,A2082)&lt;10),1,0)</f>
        <v>0</v>
      </c>
      <c r="S2082" s="7" t="n">
        <v>0</v>
      </c>
      <c r="T2082" s="3" t="n">
        <f aca="false">_xlfn.MINIFS($B$2:$B$2705,$A$2:$A$2705,A2082)</f>
        <v>1901</v>
      </c>
      <c r="U2082" s="3" t="n">
        <f aca="false">B2082-T2082</f>
        <v>104</v>
      </c>
      <c r="V2082" s="3" t="str">
        <f aca="false">INDEX(Pop_Inputs!$Q$2:$Q$29,MATCH(C2082,Pop_Inputs!$A$2:$A$29,0))</f>
        <v>Midwest</v>
      </c>
      <c r="W2082" s="29" t="n">
        <v>75178000</v>
      </c>
      <c r="X2082" s="3" t="n">
        <f aca="false">IF(W2082="","",LN(W2082))</f>
        <v>18.1353691929265</v>
      </c>
      <c r="Y2082" s="3" t="n">
        <f aca="false">IF(X2082="","",X2082-AVERAGEIFS($X$2:$X$2705,$B$2:$B$2705,B2082))</f>
        <v>0.115589412891527</v>
      </c>
      <c r="Z2082" s="21" t="n">
        <f aca="false">P2082</f>
        <v>0.531151216192344</v>
      </c>
      <c r="AA2082" s="3" t="n">
        <f aca="false">R2082</f>
        <v>0</v>
      </c>
      <c r="AB2082" s="21" t="n">
        <f aca="false">P2082</f>
        <v>0.531151216192344</v>
      </c>
      <c r="AC2082" s="3" t="n">
        <f aca="false">Y2082</f>
        <v>0.115589412891527</v>
      </c>
      <c r="AD2082" s="3" t="n">
        <f aca="false">R2082</f>
        <v>0</v>
      </c>
    </row>
    <row r="2083" customFormat="false" ht="15" hidden="false" customHeight="true" outlineLevel="0" collapsed="false">
      <c r="A2083" s="7" t="s">
        <v>57</v>
      </c>
      <c r="B2083" s="7" t="n">
        <v>2005</v>
      </c>
      <c r="C2083" s="7" t="s">
        <v>143</v>
      </c>
      <c r="D2083" s="7" t="n">
        <v>73</v>
      </c>
      <c r="E2083" s="7" t="n">
        <v>89</v>
      </c>
      <c r="F2083" s="3" t="n">
        <f aca="false">COUNTIFS($B$2:$B$2705,B2083,$C$2:$C$2705,C2083)</f>
        <v>1</v>
      </c>
      <c r="G2083" s="3" t="n">
        <f aca="false">MIN(INT((MIN(B2083,2020)-1900)/10)+1,12)</f>
        <v>11</v>
      </c>
      <c r="H2083" s="3" t="n">
        <f aca="false">(MIN(B2083,2020)-1900-10*(G2083-1))/10</f>
        <v>0.5</v>
      </c>
      <c r="I2083" s="20" t="n">
        <f aca="false">EXP(LN(INDEX(Pop_Inputs!$B$2:$N$29,MATCH(C2083,Pop_Inputs!$A$2:$A$29,0),G2083))*(1-H2083)+LN(INDEX(Pop_Inputs!$B$2:$N$29,MATCH(C2083,Pop_Inputs!$A$2:$A$29,0),G2083+1))*H2083)</f>
        <v>313644.323645431</v>
      </c>
      <c r="J2083" s="20" t="n">
        <f aca="false">I2083/F2083</f>
        <v>313644.323645431</v>
      </c>
      <c r="K2083" s="21" t="n">
        <f aca="false">D2083/(D2083+E2083)</f>
        <v>0.450617283950617</v>
      </c>
      <c r="L2083" s="21" t="n">
        <f aca="false">AVERAGEIFS($K$2:$K$2705,$B$2:$B$2705,B2083)</f>
        <v>0.5</v>
      </c>
      <c r="M2083" s="21" t="n">
        <f aca="false">K2083-L2083</f>
        <v>-0.0493827160493827</v>
      </c>
      <c r="N2083" s="21" t="n">
        <f aca="false">LN(J2083)</f>
        <v>12.6560148956262</v>
      </c>
      <c r="O2083" s="21" t="n">
        <f aca="false">AVERAGEIFS($N$2:$N$2705,$B$2:$B$2705,B2083)</f>
        <v>13.6186901969669</v>
      </c>
      <c r="P2083" s="21" t="n">
        <f aca="false">N2083-O2083</f>
        <v>-0.962675301340763</v>
      </c>
      <c r="Q2083" s="7" t="n">
        <v>0</v>
      </c>
      <c r="R2083" s="3" t="n">
        <f aca="false">IF(AND(Q2083=1,B2083-_xlfn.MINIFS($B$2:$B$2705,$A$2:$A$2705,A2083)&lt;10),1,0)</f>
        <v>0</v>
      </c>
      <c r="S2083" s="7" t="n">
        <v>0</v>
      </c>
      <c r="T2083" s="3" t="n">
        <f aca="false">_xlfn.MINIFS($B$2:$B$2705,$A$2:$A$2705,A2083)</f>
        <v>1901</v>
      </c>
      <c r="U2083" s="3" t="n">
        <f aca="false">B2083-T2083</f>
        <v>104</v>
      </c>
      <c r="V2083" s="3" t="str">
        <f aca="false">INDEX(Pop_Inputs!$Q$2:$Q$29,MATCH(C2083,Pop_Inputs!$A$2:$A$29,0))</f>
        <v>Midwest</v>
      </c>
      <c r="W2083" s="29" t="n">
        <v>61892583</v>
      </c>
      <c r="X2083" s="3" t="n">
        <f aca="false">IF(W2083="","",LN(W2083))</f>
        <v>17.9409109081815</v>
      </c>
      <c r="Y2083" s="3" t="n">
        <f aca="false">IF(X2083="","",X2083-AVERAGEIFS($X$2:$X$2705,$B$2:$B$2705,B2083))</f>
        <v>-0.0788688718534836</v>
      </c>
      <c r="Z2083" s="21" t="n">
        <f aca="false">P2083</f>
        <v>-0.962675301340763</v>
      </c>
      <c r="AA2083" s="3" t="n">
        <f aca="false">R2083</f>
        <v>0</v>
      </c>
      <c r="AB2083" s="21" t="n">
        <f aca="false">P2083</f>
        <v>-0.962675301340763</v>
      </c>
      <c r="AC2083" s="3" t="n">
        <f aca="false">Y2083</f>
        <v>-0.0788688718534836</v>
      </c>
      <c r="AD2083" s="3" t="n">
        <f aca="false">R2083</f>
        <v>0</v>
      </c>
    </row>
    <row r="2084" customFormat="false" ht="15" hidden="false" customHeight="true" outlineLevel="0" collapsed="false">
      <c r="A2084" s="7" t="s">
        <v>66</v>
      </c>
      <c r="B2084" s="7" t="n">
        <v>2005</v>
      </c>
      <c r="C2084" s="7" t="s">
        <v>151</v>
      </c>
      <c r="D2084" s="7" t="n">
        <v>93</v>
      </c>
      <c r="E2084" s="7" t="n">
        <v>69</v>
      </c>
      <c r="F2084" s="3" t="n">
        <f aca="false">COUNTIFS($B$2:$B$2705,B2084,$C$2:$C$2705,C2084)</f>
        <v>1</v>
      </c>
      <c r="G2084" s="3" t="n">
        <f aca="false">MIN(INT((MIN(B2084,2020)-1900)/10)+1,12)</f>
        <v>11</v>
      </c>
      <c r="H2084" s="3" t="n">
        <f aca="false">(MIN(B2084,2020)-1900-10*(G2084-1))/10</f>
        <v>0.5</v>
      </c>
      <c r="I2084" s="20" t="n">
        <f aca="false">EXP(LN(INDEX(Pop_Inputs!$B$2:$N$29,MATCH(C2084,Pop_Inputs!$A$2:$A$29,0),G2084))*(1-H2084)+LN(INDEX(Pop_Inputs!$B$2:$N$29,MATCH(C2084,Pop_Inputs!$A$2:$A$29,0),G2084+1))*H2084)</f>
        <v>435703.438642616</v>
      </c>
      <c r="J2084" s="20" t="n">
        <f aca="false">I2084/F2084</f>
        <v>435703.438642616</v>
      </c>
      <c r="K2084" s="21" t="n">
        <f aca="false">D2084/(D2084+E2084)</f>
        <v>0.574074074074074</v>
      </c>
      <c r="L2084" s="21" t="n">
        <f aca="false">AVERAGEIFS($K$2:$K$2705,$B$2:$B$2705,B2084)</f>
        <v>0.5</v>
      </c>
      <c r="M2084" s="21" t="n">
        <f aca="false">K2084-L2084</f>
        <v>0.0740740740740741</v>
      </c>
      <c r="N2084" s="21" t="n">
        <f aca="false">LN(J2084)</f>
        <v>12.9847171042998</v>
      </c>
      <c r="O2084" s="21" t="n">
        <f aca="false">AVERAGEIFS($N$2:$N$2705,$B$2:$B$2705,B2084)</f>
        <v>13.6186901969669</v>
      </c>
      <c r="P2084" s="21" t="n">
        <f aca="false">N2084-O2084</f>
        <v>-0.633973092667119</v>
      </c>
      <c r="Q2084" s="7" t="n">
        <v>0</v>
      </c>
      <c r="R2084" s="3" t="n">
        <f aca="false">IF(AND(Q2084=1,B2084-_xlfn.MINIFS($B$2:$B$2705,$A$2:$A$2705,A2084)&lt;10),1,0)</f>
        <v>0</v>
      </c>
      <c r="S2084" s="7" t="n">
        <v>0</v>
      </c>
      <c r="T2084" s="3" t="n">
        <f aca="false">_xlfn.MINIFS($B$2:$B$2705,$A$2:$A$2705,A2084)</f>
        <v>1901</v>
      </c>
      <c r="U2084" s="3" t="n">
        <f aca="false">B2084-T2084</f>
        <v>104</v>
      </c>
      <c r="V2084" s="3" t="str">
        <f aca="false">INDEX(Pop_Inputs!$Q$2:$Q$29,MATCH(C2084,Pop_Inputs!$A$2:$A$29,0))</f>
        <v>Midwest</v>
      </c>
      <c r="W2084" s="29" t="n">
        <v>41502500</v>
      </c>
      <c r="X2084" s="3" t="n">
        <f aca="false">IF(W2084="","",LN(W2084))</f>
        <v>17.5412642243504</v>
      </c>
      <c r="Y2084" s="3" t="n">
        <f aca="false">IF(X2084="","",X2084-AVERAGEIFS($X$2:$X$2705,$B$2:$B$2705,B2084))</f>
        <v>-0.478515555684652</v>
      </c>
      <c r="Z2084" s="21" t="n">
        <f aca="false">P2084</f>
        <v>-0.633973092667119</v>
      </c>
      <c r="AA2084" s="3" t="n">
        <f aca="false">R2084</f>
        <v>0</v>
      </c>
      <c r="AB2084" s="21" t="n">
        <f aca="false">P2084</f>
        <v>-0.633973092667119</v>
      </c>
      <c r="AC2084" s="3" t="n">
        <f aca="false">Y2084</f>
        <v>-0.478515555684652</v>
      </c>
      <c r="AD2084" s="3" t="n">
        <f aca="false">R2084</f>
        <v>0</v>
      </c>
    </row>
    <row r="2085" customFormat="false" ht="15" hidden="false" customHeight="true" outlineLevel="0" collapsed="false">
      <c r="A2085" s="7" t="s">
        <v>82</v>
      </c>
      <c r="B2085" s="7" t="n">
        <v>2005</v>
      </c>
      <c r="C2085" s="7" t="s">
        <v>163</v>
      </c>
      <c r="D2085" s="7" t="n">
        <v>67</v>
      </c>
      <c r="E2085" s="7" t="n">
        <v>95</v>
      </c>
      <c r="F2085" s="3" t="n">
        <f aca="false">COUNTIFS($B$2:$B$2705,B2085,$C$2:$C$2705,C2085)</f>
        <v>1</v>
      </c>
      <c r="G2085" s="3" t="n">
        <f aca="false">MIN(INT((MIN(B2085,2020)-1900)/10)+1,12)</f>
        <v>11</v>
      </c>
      <c r="H2085" s="3" t="n">
        <f aca="false">(MIN(B2085,2020)-1900-10*(G2085-1))/10</f>
        <v>0.5</v>
      </c>
      <c r="I2085" s="20" t="n">
        <f aca="false">EXP(LN(INDEX(Pop_Inputs!$B$2:$N$29,MATCH(C2085,Pop_Inputs!$A$2:$A$29,0),G2085))*(1-H2085)+LN(INDEX(Pop_Inputs!$B$2:$N$29,MATCH(C2085,Pop_Inputs!$A$2:$A$29,0),G2085+1))*H2085)</f>
        <v>576948.206070528</v>
      </c>
      <c r="J2085" s="20" t="n">
        <f aca="false">I2085/F2085</f>
        <v>576948.206070528</v>
      </c>
      <c r="K2085" s="21" t="n">
        <f aca="false">D2085/(D2085+E2085)</f>
        <v>0.41358024691358</v>
      </c>
      <c r="L2085" s="21" t="n">
        <f aca="false">AVERAGEIFS($K$2:$K$2705,$B$2:$B$2705,B2085)</f>
        <v>0.5</v>
      </c>
      <c r="M2085" s="21" t="n">
        <f aca="false">K2085-L2085</f>
        <v>-0.0864197530864198</v>
      </c>
      <c r="N2085" s="21" t="n">
        <f aca="false">LN(J2085)</f>
        <v>13.2655077772853</v>
      </c>
      <c r="O2085" s="21" t="n">
        <f aca="false">AVERAGEIFS($N$2:$N$2705,$B$2:$B$2705,B2085)</f>
        <v>13.6186901969669</v>
      </c>
      <c r="P2085" s="21" t="n">
        <f aca="false">N2085-O2085</f>
        <v>-0.3531824196816</v>
      </c>
      <c r="Q2085" s="7" t="n">
        <v>1</v>
      </c>
      <c r="R2085" s="3" t="n">
        <f aca="false">IF(AND(Q2085=1,B2085-_xlfn.MINIFS($B$2:$B$2705,$A$2:$A$2705,A2085)&lt;10),1,0)</f>
        <v>0</v>
      </c>
      <c r="S2085" s="7" t="n">
        <v>0</v>
      </c>
      <c r="T2085" s="3" t="n">
        <f aca="false">_xlfn.MINIFS($B$2:$B$2705,$A$2:$A$2705,A2085)</f>
        <v>1993</v>
      </c>
      <c r="U2085" s="3" t="n">
        <f aca="false">B2085-T2085</f>
        <v>12</v>
      </c>
      <c r="V2085" s="3" t="str">
        <f aca="false">INDEX(Pop_Inputs!$Q$2:$Q$29,MATCH(C2085,Pop_Inputs!$A$2:$A$29,0))</f>
        <v>West</v>
      </c>
      <c r="W2085" s="29" t="n">
        <v>47839000</v>
      </c>
      <c r="X2085" s="3" t="n">
        <f aca="false">IF(W2085="","",LN(W2085))</f>
        <v>17.6833517643781</v>
      </c>
      <c r="Y2085" s="3" t="n">
        <f aca="false">IF(X2085="","",X2085-AVERAGEIFS($X$2:$X$2705,$B$2:$B$2705,B2085))</f>
        <v>-0.336428015656875</v>
      </c>
      <c r="Z2085" s="21" t="n">
        <f aca="false">P2085</f>
        <v>-0.3531824196816</v>
      </c>
      <c r="AA2085" s="3" t="n">
        <f aca="false">R2085</f>
        <v>0</v>
      </c>
      <c r="AB2085" s="21" t="n">
        <f aca="false">P2085</f>
        <v>-0.3531824196816</v>
      </c>
      <c r="AC2085" s="3" t="n">
        <f aca="false">Y2085</f>
        <v>-0.336428015656875</v>
      </c>
      <c r="AD2085" s="3" t="n">
        <f aca="false">R2085</f>
        <v>0</v>
      </c>
    </row>
    <row r="2086" customFormat="false" ht="15" hidden="false" customHeight="true" outlineLevel="0" collapsed="false">
      <c r="A2086" s="7" t="s">
        <v>67</v>
      </c>
      <c r="B2086" s="7" t="n">
        <v>2005</v>
      </c>
      <c r="C2086" s="7" t="s">
        <v>152</v>
      </c>
      <c r="D2086" s="7" t="n">
        <v>71</v>
      </c>
      <c r="E2086" s="7" t="n">
        <v>91</v>
      </c>
      <c r="F2086" s="3" t="n">
        <f aca="false">COUNTIFS($B$2:$B$2705,B2086,$C$2:$C$2705,C2086)</f>
        <v>1</v>
      </c>
      <c r="G2086" s="3" t="n">
        <f aca="false">MIN(INT((MIN(B2086,2020)-1900)/10)+1,12)</f>
        <v>11</v>
      </c>
      <c r="H2086" s="3" t="n">
        <f aca="false">(MIN(B2086,2020)-1900-10*(G2086-1))/10</f>
        <v>0.5</v>
      </c>
      <c r="I2086" s="20" t="n">
        <f aca="false">EXP(LN(INDEX(Pop_Inputs!$B$2:$N$29,MATCH(C2086,Pop_Inputs!$A$2:$A$29,0),G2086))*(1-H2086)+LN(INDEX(Pop_Inputs!$B$2:$N$29,MATCH(C2086,Pop_Inputs!$A$2:$A$29,0),G2086+1))*H2086)</f>
        <v>824011.314722074</v>
      </c>
      <c r="J2086" s="20" t="n">
        <f aca="false">I2086/F2086</f>
        <v>824011.314722074</v>
      </c>
      <c r="K2086" s="21" t="n">
        <f aca="false">D2086/(D2086+E2086)</f>
        <v>0.438271604938272</v>
      </c>
      <c r="L2086" s="21" t="n">
        <f aca="false">AVERAGEIFS($K$2:$K$2705,$B$2:$B$2705,B2086)</f>
        <v>0.5</v>
      </c>
      <c r="M2086" s="21" t="n">
        <f aca="false">K2086-L2086</f>
        <v>-0.0617283950617284</v>
      </c>
      <c r="N2086" s="21" t="n">
        <f aca="false">LN(J2086)</f>
        <v>13.6219395402562</v>
      </c>
      <c r="O2086" s="21" t="n">
        <f aca="false">AVERAGEIFS($N$2:$N$2705,$B$2:$B$2705,B2086)</f>
        <v>13.6186901969669</v>
      </c>
      <c r="P2086" s="21" t="n">
        <f aca="false">N2086-O2086</f>
        <v>0.00324934328923021</v>
      </c>
      <c r="Q2086" s="7" t="n">
        <v>0</v>
      </c>
      <c r="R2086" s="3" t="n">
        <f aca="false">IF(AND(Q2086=1,B2086-_xlfn.MINIFS($B$2:$B$2705,$A$2:$A$2705,A2086)&lt;10),1,0)</f>
        <v>0</v>
      </c>
      <c r="S2086" s="7" t="n">
        <v>0</v>
      </c>
      <c r="T2086" s="3" t="n">
        <f aca="false">_xlfn.MINIFS($B$2:$B$2705,$A$2:$A$2705,A2086)</f>
        <v>1901</v>
      </c>
      <c r="U2086" s="3" t="n">
        <f aca="false">B2086-T2086</f>
        <v>104</v>
      </c>
      <c r="V2086" s="3" t="str">
        <f aca="false">INDEX(Pop_Inputs!$Q$2:$Q$29,MATCH(C2086,Pop_Inputs!$A$2:$A$29,0))</f>
        <v>Midwest</v>
      </c>
      <c r="W2086" s="29" t="n">
        <v>69092000</v>
      </c>
      <c r="X2086" s="3" t="n">
        <f aca="false">IF(W2086="","",LN(W2086))</f>
        <v>18.0509495077953</v>
      </c>
      <c r="Y2086" s="3" t="n">
        <f aca="false">IF(X2086="","",X2086-AVERAGEIFS($X$2:$X$2705,$B$2:$B$2705,B2086))</f>
        <v>0.0311697277602931</v>
      </c>
      <c r="Z2086" s="21" t="n">
        <f aca="false">P2086</f>
        <v>0.00324934328923021</v>
      </c>
      <c r="AA2086" s="3" t="n">
        <f aca="false">R2086</f>
        <v>0</v>
      </c>
      <c r="AB2086" s="21" t="n">
        <f aca="false">P2086</f>
        <v>0.00324934328923021</v>
      </c>
      <c r="AC2086" s="3" t="n">
        <f aca="false">Y2086</f>
        <v>0.0311697277602931</v>
      </c>
      <c r="AD2086" s="3" t="n">
        <f aca="false">R2086</f>
        <v>0</v>
      </c>
    </row>
    <row r="2087" customFormat="false" ht="15" hidden="false" customHeight="true" outlineLevel="0" collapsed="false">
      <c r="A2087" s="7" t="s">
        <v>83</v>
      </c>
      <c r="B2087" s="7" t="n">
        <v>2005</v>
      </c>
      <c r="C2087" s="7" t="s">
        <v>164</v>
      </c>
      <c r="D2087" s="7" t="n">
        <v>83</v>
      </c>
      <c r="E2087" s="7" t="n">
        <v>79</v>
      </c>
      <c r="F2087" s="3" t="n">
        <f aca="false">COUNTIFS($B$2:$B$2705,B2087,$C$2:$C$2705,C2087)</f>
        <v>1</v>
      </c>
      <c r="G2087" s="3" t="n">
        <f aca="false">MIN(INT((MIN(B2087,2020)-1900)/10)+1,12)</f>
        <v>11</v>
      </c>
      <c r="H2087" s="3" t="n">
        <f aca="false">(MIN(B2087,2020)-1900-10*(G2087-1))/10</f>
        <v>0.5</v>
      </c>
      <c r="I2087" s="20" t="n">
        <f aca="false">EXP(LN(INDEX(Pop_Inputs!$B$2:$N$29,MATCH(C2087,Pop_Inputs!$A$2:$A$29,0),G2087))*(1-H2087)+LN(INDEX(Pop_Inputs!$B$2:$N$29,MATCH(C2087,Pop_Inputs!$A$2:$A$29,0),G2087+1))*H2087)</f>
        <v>380514.360819668</v>
      </c>
      <c r="J2087" s="20" t="n">
        <f aca="false">I2087/F2087</f>
        <v>380514.360819668</v>
      </c>
      <c r="K2087" s="21" t="n">
        <f aca="false">D2087/(D2087+E2087)</f>
        <v>0.512345679012346</v>
      </c>
      <c r="L2087" s="21" t="n">
        <f aca="false">AVERAGEIFS($K$2:$K$2705,$B$2:$B$2705,B2087)</f>
        <v>0.5</v>
      </c>
      <c r="M2087" s="21" t="n">
        <f aca="false">K2087-L2087</f>
        <v>0.0123456790123457</v>
      </c>
      <c r="N2087" s="21" t="n">
        <f aca="false">LN(J2087)</f>
        <v>12.8492791975419</v>
      </c>
      <c r="O2087" s="21" t="n">
        <f aca="false">AVERAGEIFS($N$2:$N$2705,$B$2:$B$2705,B2087)</f>
        <v>13.6186901969669</v>
      </c>
      <c r="P2087" s="21" t="n">
        <f aca="false">N2087-O2087</f>
        <v>-0.769410999425046</v>
      </c>
      <c r="Q2087" s="7" t="n">
        <v>1</v>
      </c>
      <c r="R2087" s="3" t="n">
        <f aca="false">IF(AND(Q2087=1,B2087-_xlfn.MINIFS($B$2:$B$2705,$A$2:$A$2705,A2087)&lt;10),1,0)</f>
        <v>0</v>
      </c>
      <c r="S2087" s="7" t="n">
        <v>0</v>
      </c>
      <c r="T2087" s="3" t="n">
        <f aca="false">_xlfn.MINIFS($B$2:$B$2705,$A$2:$A$2705,A2087)</f>
        <v>1993</v>
      </c>
      <c r="U2087" s="3" t="n">
        <f aca="false">B2087-T2087</f>
        <v>12</v>
      </c>
      <c r="V2087" s="3" t="str">
        <f aca="false">INDEX(Pop_Inputs!$Q$2:$Q$29,MATCH(C2087,Pop_Inputs!$A$2:$A$29,0))</f>
        <v>South</v>
      </c>
      <c r="W2087" s="29" t="n">
        <v>60408834</v>
      </c>
      <c r="X2087" s="3" t="n">
        <f aca="false">IF(W2087="","",LN(W2087))</f>
        <v>17.9166459104885</v>
      </c>
      <c r="Y2087" s="3" t="n">
        <f aca="false">IF(X2087="","",X2087-AVERAGEIFS($X$2:$X$2705,$B$2:$B$2705,B2087))</f>
        <v>-0.103133869546529</v>
      </c>
      <c r="Z2087" s="21" t="n">
        <f aca="false">P2087</f>
        <v>-0.769410999425046</v>
      </c>
      <c r="AA2087" s="3" t="n">
        <f aca="false">R2087</f>
        <v>0</v>
      </c>
      <c r="AB2087" s="21" t="n">
        <f aca="false">P2087</f>
        <v>-0.769410999425046</v>
      </c>
      <c r="AC2087" s="3" t="n">
        <f aca="false">Y2087</f>
        <v>-0.103133869546529</v>
      </c>
      <c r="AD2087" s="3" t="n">
        <f aca="false">R2087</f>
        <v>0</v>
      </c>
    </row>
    <row r="2088" customFormat="false" ht="15" hidden="false" customHeight="true" outlineLevel="0" collapsed="false">
      <c r="A2088" s="7" t="s">
        <v>74</v>
      </c>
      <c r="B2088" s="7" t="n">
        <v>2005</v>
      </c>
      <c r="C2088" s="7" t="s">
        <v>156</v>
      </c>
      <c r="D2088" s="7" t="n">
        <v>89</v>
      </c>
      <c r="E2088" s="7" t="n">
        <v>73</v>
      </c>
      <c r="F2088" s="3" t="n">
        <f aca="false">COUNTIFS($B$2:$B$2705,B2088,$C$2:$C$2705,C2088)</f>
        <v>1</v>
      </c>
      <c r="G2088" s="3" t="n">
        <f aca="false">MIN(INT((MIN(B2088,2020)-1900)/10)+1,12)</f>
        <v>11</v>
      </c>
      <c r="H2088" s="3" t="n">
        <f aca="false">(MIN(B2088,2020)-1900-10*(G2088-1))/10</f>
        <v>0.5</v>
      </c>
      <c r="I2088" s="20" t="n">
        <f aca="false">EXP(LN(INDEX(Pop_Inputs!$B$2:$N$29,MATCH(C2088,Pop_Inputs!$A$2:$A$29,0),G2088))*(1-H2088)+LN(INDEX(Pop_Inputs!$B$2:$N$29,MATCH(C2088,Pop_Inputs!$A$2:$A$29,0),G2088+1))*H2088)</f>
        <v>2025229.01336639</v>
      </c>
      <c r="J2088" s="20" t="n">
        <f aca="false">I2088/F2088</f>
        <v>2025229.01336639</v>
      </c>
      <c r="K2088" s="21" t="n">
        <f aca="false">D2088/(D2088+E2088)</f>
        <v>0.549382716049383</v>
      </c>
      <c r="L2088" s="21" t="n">
        <f aca="false">AVERAGEIFS($K$2:$K$2705,$B$2:$B$2705,B2088)</f>
        <v>0.5</v>
      </c>
      <c r="M2088" s="21" t="n">
        <f aca="false">K2088-L2088</f>
        <v>0.0493827160493827</v>
      </c>
      <c r="N2088" s="21" t="n">
        <f aca="false">LN(J2088)</f>
        <v>14.5211933451487</v>
      </c>
      <c r="O2088" s="21" t="n">
        <f aca="false">AVERAGEIFS($N$2:$N$2705,$B$2:$B$2705,B2088)</f>
        <v>13.6186901969669</v>
      </c>
      <c r="P2088" s="21" t="n">
        <f aca="false">N2088-O2088</f>
        <v>0.902503148181751</v>
      </c>
      <c r="Q2088" s="7" t="n">
        <v>1</v>
      </c>
      <c r="R2088" s="3" t="n">
        <f aca="false">IF(AND(Q2088=1,B2088-_xlfn.MINIFS($B$2:$B$2705,$A$2:$A$2705,A2088)&lt;10),1,0)</f>
        <v>0</v>
      </c>
      <c r="S2088" s="7" t="n">
        <v>0</v>
      </c>
      <c r="T2088" s="3" t="n">
        <f aca="false">_xlfn.MINIFS($B$2:$B$2705,$A$2:$A$2705,A2088)</f>
        <v>1962</v>
      </c>
      <c r="U2088" s="3" t="n">
        <f aca="false">B2088-T2088</f>
        <v>43</v>
      </c>
      <c r="V2088" s="3" t="str">
        <f aca="false">INDEX(Pop_Inputs!$Q$2:$Q$29,MATCH(C2088,Pop_Inputs!$A$2:$A$29,0))</f>
        <v>South</v>
      </c>
      <c r="W2088" s="29" t="n">
        <v>76779000</v>
      </c>
      <c r="X2088" s="3" t="n">
        <f aca="false">IF(W2088="","",LN(W2088))</f>
        <v>18.1564417232271</v>
      </c>
      <c r="Y2088" s="3" t="n">
        <f aca="false">IF(X2088="","",X2088-AVERAGEIFS($X$2:$X$2705,$B$2:$B$2705,B2088))</f>
        <v>0.136661943192031</v>
      </c>
      <c r="Z2088" s="21" t="n">
        <f aca="false">P2088</f>
        <v>0.902503148181751</v>
      </c>
      <c r="AA2088" s="3" t="n">
        <f aca="false">R2088</f>
        <v>0</v>
      </c>
      <c r="AB2088" s="21" t="n">
        <f aca="false">P2088</f>
        <v>0.902503148181751</v>
      </c>
      <c r="AC2088" s="3" t="n">
        <f aca="false">Y2088</f>
        <v>0.136661943192031</v>
      </c>
      <c r="AD2088" s="3" t="n">
        <f aca="false">R2088</f>
        <v>0</v>
      </c>
    </row>
    <row r="2089" customFormat="false" ht="15" hidden="false" customHeight="true" outlineLevel="0" collapsed="false">
      <c r="A2089" s="7" t="s">
        <v>76</v>
      </c>
      <c r="B2089" s="7" t="n">
        <v>2005</v>
      </c>
      <c r="C2089" s="7" t="s">
        <v>157</v>
      </c>
      <c r="D2089" s="7" t="n">
        <v>56</v>
      </c>
      <c r="E2089" s="7" t="n">
        <v>106</v>
      </c>
      <c r="F2089" s="3" t="n">
        <f aca="false">COUNTIFS($B$2:$B$2705,B2089,$C$2:$C$2705,C2089)</f>
        <v>1</v>
      </c>
      <c r="G2089" s="3" t="n">
        <f aca="false">MIN(INT((MIN(B2089,2020)-1900)/10)+1,12)</f>
        <v>11</v>
      </c>
      <c r="H2089" s="3" t="n">
        <f aca="false">(MIN(B2089,2020)-1900-10*(G2089-1))/10</f>
        <v>0.5</v>
      </c>
      <c r="I2089" s="20" t="n">
        <f aca="false">EXP(LN(INDEX(Pop_Inputs!$B$2:$N$29,MATCH(C2089,Pop_Inputs!$A$2:$A$29,0),G2089))*(1-H2089)+LN(INDEX(Pop_Inputs!$B$2:$N$29,MATCH(C2089,Pop_Inputs!$A$2:$A$29,0),G2089+1))*H2089)</f>
        <v>450573.690881969</v>
      </c>
      <c r="J2089" s="20" t="n">
        <f aca="false">I2089/F2089</f>
        <v>450573.690881969</v>
      </c>
      <c r="K2089" s="21" t="n">
        <f aca="false">D2089/(D2089+E2089)</f>
        <v>0.345679012345679</v>
      </c>
      <c r="L2089" s="21" t="n">
        <f aca="false">AVERAGEIFS($K$2:$K$2705,$B$2:$B$2705,B2089)</f>
        <v>0.5</v>
      </c>
      <c r="M2089" s="21" t="n">
        <f aca="false">K2089-L2089</f>
        <v>-0.154320987654321</v>
      </c>
      <c r="N2089" s="21" t="n">
        <f aca="false">LN(J2089)</f>
        <v>13.0182769184181</v>
      </c>
      <c r="O2089" s="21" t="n">
        <f aca="false">AVERAGEIFS($N$2:$N$2705,$B$2:$B$2705,B2089)</f>
        <v>13.6186901969669</v>
      </c>
      <c r="P2089" s="21" t="n">
        <f aca="false">N2089-O2089</f>
        <v>-0.600413278548821</v>
      </c>
      <c r="Q2089" s="7" t="n">
        <v>1</v>
      </c>
      <c r="R2089" s="3" t="n">
        <f aca="false">IF(AND(Q2089=1,B2089-_xlfn.MINIFS($B$2:$B$2705,$A$2:$A$2705,A2089)&lt;10),1,0)</f>
        <v>0</v>
      </c>
      <c r="S2089" s="7" t="n">
        <v>0</v>
      </c>
      <c r="T2089" s="3" t="n">
        <f aca="false">_xlfn.MINIFS($B$2:$B$2705,$A$2:$A$2705,A2089)</f>
        <v>1969</v>
      </c>
      <c r="U2089" s="3" t="n">
        <f aca="false">B2089-T2089</f>
        <v>36</v>
      </c>
      <c r="V2089" s="3" t="str">
        <f aca="false">INDEX(Pop_Inputs!$Q$2:$Q$29,MATCH(C2089,Pop_Inputs!$A$2:$A$29,0))</f>
        <v>Midwest</v>
      </c>
      <c r="W2089" s="29" t="n">
        <v>36881000</v>
      </c>
      <c r="X2089" s="3" t="n">
        <f aca="false">IF(W2089="","",LN(W2089))</f>
        <v>17.4232070712525</v>
      </c>
      <c r="Y2089" s="3" t="n">
        <f aca="false">IF(X2089="","",X2089-AVERAGEIFS($X$2:$X$2705,$B$2:$B$2705,B2089))</f>
        <v>-0.596572708782496</v>
      </c>
      <c r="Z2089" s="21" t="n">
        <f aca="false">P2089</f>
        <v>-0.600413278548821</v>
      </c>
      <c r="AA2089" s="3" t="n">
        <f aca="false">R2089</f>
        <v>0</v>
      </c>
      <c r="AB2089" s="21" t="n">
        <f aca="false">P2089</f>
        <v>-0.600413278548821</v>
      </c>
      <c r="AC2089" s="3" t="n">
        <f aca="false">Y2089</f>
        <v>-0.596572708782496</v>
      </c>
      <c r="AD2089" s="3" t="n">
        <f aca="false">R2089</f>
        <v>0</v>
      </c>
    </row>
    <row r="2090" customFormat="false" ht="15" hidden="false" customHeight="true" outlineLevel="0" collapsed="false">
      <c r="A2090" s="7" t="s">
        <v>62</v>
      </c>
      <c r="B2090" s="7" t="n">
        <v>2005</v>
      </c>
      <c r="C2090" s="7" t="s">
        <v>148</v>
      </c>
      <c r="D2090" s="7" t="n">
        <v>71</v>
      </c>
      <c r="E2090" s="7" t="n">
        <v>91</v>
      </c>
      <c r="F2090" s="3" t="n">
        <f aca="false">COUNTIFS($B$2:$B$2705,B2090,$C$2:$C$2705,C2090)</f>
        <v>2</v>
      </c>
      <c r="G2090" s="3" t="n">
        <f aca="false">MIN(INT((MIN(B2090,2020)-1900)/10)+1,12)</f>
        <v>11</v>
      </c>
      <c r="H2090" s="3" t="n">
        <f aca="false">(MIN(B2090,2020)-1900-10*(G2090-1))/10</f>
        <v>0.5</v>
      </c>
      <c r="I2090" s="20" t="n">
        <f aca="false">EXP(LN(INDEX(Pop_Inputs!$B$2:$N$29,MATCH(C2090,Pop_Inputs!$A$2:$A$29,0),G2090))*(1-H2090)+LN(INDEX(Pop_Inputs!$B$2:$N$29,MATCH(C2090,Pop_Inputs!$A$2:$A$29,0),G2090+1))*H2090)</f>
        <v>3743401.11706186</v>
      </c>
      <c r="J2090" s="20" t="n">
        <f aca="false">I2090/F2090</f>
        <v>1871700.55853093</v>
      </c>
      <c r="K2090" s="21" t="n">
        <f aca="false">D2090/(D2090+E2090)</f>
        <v>0.438271604938272</v>
      </c>
      <c r="L2090" s="21" t="n">
        <f aca="false">AVERAGEIFS($K$2:$K$2705,$B$2:$B$2705,B2090)</f>
        <v>0.5</v>
      </c>
      <c r="M2090" s="21" t="n">
        <f aca="false">K2090-L2090</f>
        <v>-0.0617283950617284</v>
      </c>
      <c r="N2090" s="21" t="n">
        <f aca="false">LN(J2090)</f>
        <v>14.4423579651753</v>
      </c>
      <c r="O2090" s="21" t="n">
        <f aca="false">AVERAGEIFS($N$2:$N$2705,$B$2:$B$2705,B2090)</f>
        <v>13.6186901969669</v>
      </c>
      <c r="P2090" s="21" t="n">
        <f aca="false">N2090-O2090</f>
        <v>0.823667768208374</v>
      </c>
      <c r="Q2090" s="7" t="n">
        <v>0</v>
      </c>
      <c r="R2090" s="3" t="n">
        <f aca="false">IF(AND(Q2090=1,B2090-_xlfn.MINIFS($B$2:$B$2705,$A$2:$A$2705,A2090)&lt;10),1,0)</f>
        <v>0</v>
      </c>
      <c r="S2090" s="7" t="n">
        <v>0</v>
      </c>
      <c r="T2090" s="3" t="n">
        <f aca="false">_xlfn.MINIFS($B$2:$B$2705,$A$2:$A$2705,A2090)</f>
        <v>1901</v>
      </c>
      <c r="U2090" s="3" t="n">
        <f aca="false">B2090-T2090</f>
        <v>104</v>
      </c>
      <c r="V2090" s="3" t="str">
        <f aca="false">INDEX(Pop_Inputs!$Q$2:$Q$29,MATCH(C2090,Pop_Inputs!$A$2:$A$29,0))</f>
        <v>West</v>
      </c>
      <c r="W2090" s="29" t="n">
        <v>83039000</v>
      </c>
      <c r="X2090" s="3" t="n">
        <f aca="false">IF(W2090="","",LN(W2090))</f>
        <v>18.2348209349201</v>
      </c>
      <c r="Y2090" s="3" t="n">
        <f aca="false">IF(X2090="","",X2090-AVERAGEIFS($X$2:$X$2705,$B$2:$B$2705,B2090))</f>
        <v>0.215041154885114</v>
      </c>
      <c r="Z2090" s="21" t="n">
        <f aca="false">P2090</f>
        <v>0.823667768208374</v>
      </c>
      <c r="AA2090" s="3" t="n">
        <f aca="false">R2090</f>
        <v>0</v>
      </c>
      <c r="AB2090" s="21" t="n">
        <f aca="false">P2090</f>
        <v>0.823667768208374</v>
      </c>
      <c r="AC2090" s="3" t="n">
        <f aca="false">Y2090</f>
        <v>0.215041154885114</v>
      </c>
      <c r="AD2090" s="3" t="n">
        <f aca="false">R2090</f>
        <v>0</v>
      </c>
    </row>
    <row r="2091" customFormat="false" ht="15" hidden="false" customHeight="true" outlineLevel="0" collapsed="false">
      <c r="A2091" s="7" t="s">
        <v>77</v>
      </c>
      <c r="B2091" s="7" t="n">
        <v>2005</v>
      </c>
      <c r="C2091" s="7" t="s">
        <v>158</v>
      </c>
      <c r="D2091" s="7" t="n">
        <v>81</v>
      </c>
      <c r="E2091" s="7" t="n">
        <v>81</v>
      </c>
      <c r="F2091" s="3" t="n">
        <f aca="false">COUNTIFS($B$2:$B$2705,B2091,$C$2:$C$2705,C2091)</f>
        <v>1</v>
      </c>
      <c r="G2091" s="3" t="n">
        <f aca="false">MIN(INT((MIN(B2091,2020)-1900)/10)+1,12)</f>
        <v>11</v>
      </c>
      <c r="H2091" s="3" t="n">
        <f aca="false">(MIN(B2091,2020)-1900-10*(G2091-1))/10</f>
        <v>0.5</v>
      </c>
      <c r="I2091" s="20" t="n">
        <f aca="false">EXP(LN(INDEX(Pop_Inputs!$B$2:$N$29,MATCH(C2091,Pop_Inputs!$A$2:$A$29,0),G2091))*(1-H2091)+LN(INDEX(Pop_Inputs!$B$2:$N$29,MATCH(C2091,Pop_Inputs!$A$2:$A$29,0),G2091+1))*H2091)</f>
        <v>595902.538459101</v>
      </c>
      <c r="J2091" s="20" t="n">
        <f aca="false">I2091/F2091</f>
        <v>595902.538459101</v>
      </c>
      <c r="K2091" s="21" t="n">
        <f aca="false">D2091/(D2091+E2091)</f>
        <v>0.5</v>
      </c>
      <c r="L2091" s="21" t="n">
        <f aca="false">AVERAGEIFS($K$2:$K$2705,$B$2:$B$2705,B2091)</f>
        <v>0.5</v>
      </c>
      <c r="M2091" s="21" t="n">
        <f aca="false">K2091-L2091</f>
        <v>0</v>
      </c>
      <c r="N2091" s="21" t="n">
        <f aca="false">LN(J2091)</f>
        <v>13.2978324066003</v>
      </c>
      <c r="O2091" s="21" t="n">
        <f aca="false">AVERAGEIFS($N$2:$N$2705,$B$2:$B$2705,B2091)</f>
        <v>13.6186901969669</v>
      </c>
      <c r="P2091" s="21" t="n">
        <f aca="false">N2091-O2091</f>
        <v>-0.320857790366624</v>
      </c>
      <c r="Q2091" s="7" t="n">
        <v>1</v>
      </c>
      <c r="R2091" s="3" t="n">
        <f aca="false">IF(AND(Q2091=1,B2091-_xlfn.MINIFS($B$2:$B$2705,$A$2:$A$2705,A2091)&lt;10),1,0)</f>
        <v>0</v>
      </c>
      <c r="S2091" s="7" t="n">
        <v>0</v>
      </c>
      <c r="T2091" s="3" t="n">
        <f aca="false">_xlfn.MINIFS($B$2:$B$2705,$A$2:$A$2705,A2091)</f>
        <v>1969</v>
      </c>
      <c r="U2091" s="3" t="n">
        <f aca="false">B2091-T2091</f>
        <v>36</v>
      </c>
      <c r="V2091" s="3" t="str">
        <f aca="false">INDEX(Pop_Inputs!$Q$2:$Q$29,MATCH(C2091,Pop_Inputs!$A$2:$A$29,0))</f>
        <v>Midwest</v>
      </c>
      <c r="W2091" s="29" t="n">
        <v>39934833</v>
      </c>
      <c r="X2091" s="3" t="n">
        <f aca="false">IF(W2091="","",LN(W2091))</f>
        <v>17.5027595085295</v>
      </c>
      <c r="Y2091" s="3" t="n">
        <f aca="false">IF(X2091="","",X2091-AVERAGEIFS($X$2:$X$2705,$B$2:$B$2705,B2091))</f>
        <v>-0.517020271505555</v>
      </c>
      <c r="Z2091" s="21" t="n">
        <f aca="false">P2091</f>
        <v>-0.320857790366624</v>
      </c>
      <c r="AA2091" s="3" t="n">
        <f aca="false">R2091</f>
        <v>0</v>
      </c>
      <c r="AB2091" s="21" t="n">
        <f aca="false">P2091</f>
        <v>-0.320857790366624</v>
      </c>
      <c r="AC2091" s="3" t="n">
        <f aca="false">Y2091</f>
        <v>-0.517020271505555</v>
      </c>
      <c r="AD2091" s="3" t="n">
        <f aca="false">R2091</f>
        <v>0</v>
      </c>
    </row>
    <row r="2092" customFormat="false" ht="15" hidden="false" customHeight="true" outlineLevel="0" collapsed="false">
      <c r="A2092" s="7" t="s">
        <v>68</v>
      </c>
      <c r="B2092" s="7" t="n">
        <v>2005</v>
      </c>
      <c r="C2092" s="7" t="s">
        <v>153</v>
      </c>
      <c r="D2092" s="7" t="n">
        <v>83</v>
      </c>
      <c r="E2092" s="7" t="n">
        <v>79</v>
      </c>
      <c r="F2092" s="3" t="n">
        <f aca="false">COUNTIFS($B$2:$B$2705,B2092,$C$2:$C$2705,C2092)</f>
        <v>1</v>
      </c>
      <c r="G2092" s="3" t="n">
        <f aca="false">MIN(INT((MIN(B2092,2020)-1900)/10)+1,12)</f>
        <v>11</v>
      </c>
      <c r="H2092" s="3" t="n">
        <f aca="false">(MIN(B2092,2020)-1900-10*(G2092-1))/10</f>
        <v>0.5</v>
      </c>
      <c r="I2092" s="20" t="n">
        <f aca="false">EXP(LN(INDEX(Pop_Inputs!$B$2:$N$29,MATCH(C2092,Pop_Inputs!$A$2:$A$29,0),G2092))*(1-H2092)+LN(INDEX(Pop_Inputs!$B$2:$N$29,MATCH(C2092,Pop_Inputs!$A$2:$A$29,0),G2092+1))*H2092)</f>
        <v>382597.999477258</v>
      </c>
      <c r="J2092" s="20" t="n">
        <f aca="false">I2092/F2092</f>
        <v>382597.999477258</v>
      </c>
      <c r="K2092" s="21" t="n">
        <f aca="false">D2092/(D2092+E2092)</f>
        <v>0.512345679012346</v>
      </c>
      <c r="L2092" s="21" t="n">
        <f aca="false">AVERAGEIFS($K$2:$K$2705,$B$2:$B$2705,B2092)</f>
        <v>0.5</v>
      </c>
      <c r="M2092" s="21" t="n">
        <f aca="false">K2092-L2092</f>
        <v>0.0123456790123457</v>
      </c>
      <c r="N2092" s="21" t="n">
        <f aca="false">LN(J2092)</f>
        <v>12.8547401072168</v>
      </c>
      <c r="O2092" s="21" t="n">
        <f aca="false">AVERAGEIFS($N$2:$N$2705,$B$2:$B$2705,B2092)</f>
        <v>13.6186901969669</v>
      </c>
      <c r="P2092" s="21" t="n">
        <f aca="false">N2092-O2092</f>
        <v>-0.763950089750132</v>
      </c>
      <c r="Q2092" s="7" t="n">
        <v>0</v>
      </c>
      <c r="R2092" s="3" t="n">
        <f aca="false">IF(AND(Q2092=1,B2092-_xlfn.MINIFS($B$2:$B$2705,$A$2:$A$2705,A2092)&lt;10),1,0)</f>
        <v>0</v>
      </c>
      <c r="S2092" s="7" t="n">
        <v>0</v>
      </c>
      <c r="T2092" s="3" t="n">
        <f aca="false">_xlfn.MINIFS($B$2:$B$2705,$A$2:$A$2705,A2092)</f>
        <v>1901</v>
      </c>
      <c r="U2092" s="3" t="n">
        <f aca="false">B2092-T2092</f>
        <v>104</v>
      </c>
      <c r="V2092" s="3" t="str">
        <f aca="false">INDEX(Pop_Inputs!$Q$2:$Q$29,MATCH(C2092,Pop_Inputs!$A$2:$A$29,0))</f>
        <v>Midwest</v>
      </c>
      <c r="W2092" s="29" t="n">
        <v>56186000</v>
      </c>
      <c r="X2092" s="3" t="n">
        <f aca="false">IF(W2092="","",LN(W2092))</f>
        <v>17.8441781735105</v>
      </c>
      <c r="Y2092" s="3" t="n">
        <f aca="false">IF(X2092="","",X2092-AVERAGEIFS($X$2:$X$2705,$B$2:$B$2705,B2092))</f>
        <v>-0.175601606524513</v>
      </c>
      <c r="Z2092" s="21" t="n">
        <f aca="false">P2092</f>
        <v>-0.763950089750132</v>
      </c>
      <c r="AA2092" s="3" t="n">
        <f aca="false">R2092</f>
        <v>0</v>
      </c>
      <c r="AB2092" s="21" t="n">
        <f aca="false">P2092</f>
        <v>-0.763950089750132</v>
      </c>
      <c r="AC2092" s="3" t="n">
        <f aca="false">Y2092</f>
        <v>-0.175601606524513</v>
      </c>
      <c r="AD2092" s="3" t="n">
        <f aca="false">R2092</f>
        <v>0</v>
      </c>
    </row>
    <row r="2093" customFormat="false" ht="15" hidden="false" customHeight="true" outlineLevel="0" collapsed="false">
      <c r="A2093" s="7" t="s">
        <v>75</v>
      </c>
      <c r="B2093" s="7" t="n">
        <v>2005</v>
      </c>
      <c r="C2093" s="7" t="s">
        <v>154</v>
      </c>
      <c r="D2093" s="7" t="n">
        <v>83</v>
      </c>
      <c r="E2093" s="7" t="n">
        <v>79</v>
      </c>
      <c r="F2093" s="3" t="n">
        <f aca="false">COUNTIFS($B$2:$B$2705,B2093,$C$2:$C$2705,C2093)</f>
        <v>2</v>
      </c>
      <c r="G2093" s="3" t="n">
        <f aca="false">MIN(INT((MIN(B2093,2020)-1900)/10)+1,12)</f>
        <v>11</v>
      </c>
      <c r="H2093" s="3" t="n">
        <f aca="false">(MIN(B2093,2020)-1900-10*(G2093-1))/10</f>
        <v>0.5</v>
      </c>
      <c r="I2093" s="20" t="n">
        <f aca="false">EXP(LN(INDEX(Pop_Inputs!$B$2:$N$29,MATCH(C2093,Pop_Inputs!$A$2:$A$29,0),G2093))*(1-H2093)+LN(INDEX(Pop_Inputs!$B$2:$N$29,MATCH(C2093,Pop_Inputs!$A$2:$A$29,0),G2093+1))*H2093)</f>
        <v>8091275.40941316</v>
      </c>
      <c r="J2093" s="20" t="n">
        <f aca="false">I2093/F2093</f>
        <v>4045637.70470658</v>
      </c>
      <c r="K2093" s="21" t="n">
        <f aca="false">D2093/(D2093+E2093)</f>
        <v>0.512345679012346</v>
      </c>
      <c r="L2093" s="21" t="n">
        <f aca="false">AVERAGEIFS($K$2:$K$2705,$B$2:$B$2705,B2093)</f>
        <v>0.5</v>
      </c>
      <c r="M2093" s="21" t="n">
        <f aca="false">K2093-L2093</f>
        <v>0.0123456790123457</v>
      </c>
      <c r="N2093" s="21" t="n">
        <f aca="false">LN(J2093)</f>
        <v>15.2131497486339</v>
      </c>
      <c r="O2093" s="21" t="n">
        <f aca="false">AVERAGEIFS($N$2:$N$2705,$B$2:$B$2705,B2093)</f>
        <v>13.6186901969669</v>
      </c>
      <c r="P2093" s="21" t="n">
        <f aca="false">N2093-O2093</f>
        <v>1.594459551667</v>
      </c>
      <c r="Q2093" s="7" t="n">
        <v>1</v>
      </c>
      <c r="R2093" s="3" t="n">
        <f aca="false">IF(AND(Q2093=1,B2093-_xlfn.MINIFS($B$2:$B$2705,$A$2:$A$2705,A2093)&lt;10),1,0)</f>
        <v>0</v>
      </c>
      <c r="S2093" s="7" t="n">
        <v>0</v>
      </c>
      <c r="T2093" s="3" t="n">
        <f aca="false">_xlfn.MINIFS($B$2:$B$2705,$A$2:$A$2705,A2093)</f>
        <v>1962</v>
      </c>
      <c r="U2093" s="3" t="n">
        <f aca="false">B2093-T2093</f>
        <v>43</v>
      </c>
      <c r="V2093" s="3" t="str">
        <f aca="false">INDEX(Pop_Inputs!$Q$2:$Q$29,MATCH(C2093,Pop_Inputs!$A$2:$A$29,0))</f>
        <v>Northeast</v>
      </c>
      <c r="W2093" s="29" t="n">
        <v>101305821</v>
      </c>
      <c r="X2093" s="3" t="n">
        <f aca="false">IF(W2093="","",LN(W2093))</f>
        <v>18.4336544305492</v>
      </c>
      <c r="Y2093" s="3" t="n">
        <f aca="false">IF(X2093="","",X2093-AVERAGEIFS($X$2:$X$2705,$B$2:$B$2705,B2093))</f>
        <v>0.413874650514202</v>
      </c>
      <c r="Z2093" s="21" t="n">
        <f aca="false">P2093</f>
        <v>1.594459551667</v>
      </c>
      <c r="AA2093" s="3" t="n">
        <f aca="false">R2093</f>
        <v>0</v>
      </c>
      <c r="AB2093" s="21" t="n">
        <f aca="false">P2093</f>
        <v>1.594459551667</v>
      </c>
      <c r="AC2093" s="3" t="n">
        <f aca="false">Y2093</f>
        <v>0.413874650514202</v>
      </c>
      <c r="AD2093" s="3" t="n">
        <f aca="false">R2093</f>
        <v>0</v>
      </c>
    </row>
    <row r="2094" customFormat="false" ht="15" hidden="false" customHeight="true" outlineLevel="0" collapsed="false">
      <c r="A2094" s="7" t="s">
        <v>70</v>
      </c>
      <c r="B2094" s="7" t="n">
        <v>2005</v>
      </c>
      <c r="C2094" s="7" t="s">
        <v>154</v>
      </c>
      <c r="D2094" s="7" t="n">
        <v>95</v>
      </c>
      <c r="E2094" s="7" t="n">
        <v>67</v>
      </c>
      <c r="F2094" s="3" t="n">
        <f aca="false">COUNTIFS($B$2:$B$2705,B2094,$C$2:$C$2705,C2094)</f>
        <v>2</v>
      </c>
      <c r="G2094" s="3" t="n">
        <f aca="false">MIN(INT((MIN(B2094,2020)-1900)/10)+1,12)</f>
        <v>11</v>
      </c>
      <c r="H2094" s="3" t="n">
        <f aca="false">(MIN(B2094,2020)-1900-10*(G2094-1))/10</f>
        <v>0.5</v>
      </c>
      <c r="I2094" s="20" t="n">
        <f aca="false">EXP(LN(INDEX(Pop_Inputs!$B$2:$N$29,MATCH(C2094,Pop_Inputs!$A$2:$A$29,0),G2094))*(1-H2094)+LN(INDEX(Pop_Inputs!$B$2:$N$29,MATCH(C2094,Pop_Inputs!$A$2:$A$29,0),G2094+1))*H2094)</f>
        <v>8091275.40941316</v>
      </c>
      <c r="J2094" s="20" t="n">
        <f aca="false">I2094/F2094</f>
        <v>4045637.70470658</v>
      </c>
      <c r="K2094" s="21" t="n">
        <f aca="false">D2094/(D2094+E2094)</f>
        <v>0.58641975308642</v>
      </c>
      <c r="L2094" s="21" t="n">
        <f aca="false">AVERAGEIFS($K$2:$K$2705,$B$2:$B$2705,B2094)</f>
        <v>0.5</v>
      </c>
      <c r="M2094" s="21" t="n">
        <f aca="false">K2094-L2094</f>
        <v>0.0864197530864198</v>
      </c>
      <c r="N2094" s="21" t="n">
        <f aca="false">LN(J2094)</f>
        <v>15.2131497486339</v>
      </c>
      <c r="O2094" s="21" t="n">
        <f aca="false">AVERAGEIFS($N$2:$N$2705,$B$2:$B$2705,B2094)</f>
        <v>13.6186901969669</v>
      </c>
      <c r="P2094" s="21" t="n">
        <f aca="false">N2094-O2094</f>
        <v>1.594459551667</v>
      </c>
      <c r="Q2094" s="7" t="n">
        <v>0</v>
      </c>
      <c r="R2094" s="3" t="n">
        <f aca="false">IF(AND(Q2094=1,B2094-_xlfn.MINIFS($B$2:$B$2705,$A$2:$A$2705,A2094)&lt;10),1,0)</f>
        <v>0</v>
      </c>
      <c r="S2094" s="7" t="n">
        <v>1</v>
      </c>
      <c r="T2094" s="3" t="n">
        <f aca="false">_xlfn.MINIFS($B$2:$B$2705,$A$2:$A$2705,A2094)</f>
        <v>1903</v>
      </c>
      <c r="U2094" s="3" t="n">
        <f aca="false">B2094-T2094</f>
        <v>102</v>
      </c>
      <c r="V2094" s="3" t="str">
        <f aca="false">INDEX(Pop_Inputs!$Q$2:$Q$29,MATCH(C2094,Pop_Inputs!$A$2:$A$29,0))</f>
        <v>Northeast</v>
      </c>
      <c r="W2094" s="29" t="n">
        <v>208306817</v>
      </c>
      <c r="X2094" s="3" t="n">
        <f aca="false">IF(W2094="","",LN(W2094))</f>
        <v>19.154522632532</v>
      </c>
      <c r="Y2094" s="3" t="n">
        <f aca="false">IF(X2094="","",X2094-AVERAGEIFS($X$2:$X$2705,$B$2:$B$2705,B2094))</f>
        <v>1.13474285249696</v>
      </c>
      <c r="Z2094" s="21" t="n">
        <f aca="false">P2094</f>
        <v>1.594459551667</v>
      </c>
      <c r="AA2094" s="3" t="n">
        <f aca="false">R2094</f>
        <v>0</v>
      </c>
      <c r="AB2094" s="21" t="n">
        <f aca="false">P2094</f>
        <v>1.594459551667</v>
      </c>
      <c r="AC2094" s="3" t="n">
        <f aca="false">Y2094</f>
        <v>1.13474285249696</v>
      </c>
      <c r="AD2094" s="3" t="n">
        <f aca="false">R2094</f>
        <v>0</v>
      </c>
    </row>
    <row r="2095" customFormat="false" ht="15" hidden="false" customHeight="true" outlineLevel="0" collapsed="false">
      <c r="A2095" s="7" t="s">
        <v>69</v>
      </c>
      <c r="B2095" s="7" t="n">
        <v>2005</v>
      </c>
      <c r="C2095" s="7" t="s">
        <v>253</v>
      </c>
      <c r="D2095" s="7" t="n">
        <v>88</v>
      </c>
      <c r="E2095" s="7" t="n">
        <v>74</v>
      </c>
      <c r="F2095" s="3" t="n">
        <f aca="false">COUNTIFS($B$2:$B$2705,B2095,$C$2:$C$2705,C2095)</f>
        <v>1</v>
      </c>
      <c r="G2095" s="3" t="n">
        <f aca="false">MIN(INT((MIN(B2095,2020)-1900)/10)+1,12)</f>
        <v>11</v>
      </c>
      <c r="H2095" s="3" t="n">
        <f aca="false">(MIN(B2095,2020)-1900-10*(G2095-1))/10</f>
        <v>0.5</v>
      </c>
      <c r="I2095" s="20" t="n">
        <f aca="false">EXP(LN(INDEX(Pop_Inputs!$B$2:$N$29,MATCH(C2095,Pop_Inputs!$A$2:$A$29,0),G2095))*(1-H2095)+LN(INDEX(Pop_Inputs!$B$2:$N$29,MATCH(C2095,Pop_Inputs!$A$2:$A$29,0),G2095+1))*H2095)</f>
        <v>395079.721595528</v>
      </c>
      <c r="J2095" s="20" t="n">
        <f aca="false">I2095/F2095</f>
        <v>395079.721595528</v>
      </c>
      <c r="K2095" s="21" t="n">
        <f aca="false">D2095/(D2095+E2095)</f>
        <v>0.54320987654321</v>
      </c>
      <c r="L2095" s="21" t="n">
        <f aca="false">AVERAGEIFS($K$2:$K$2705,$B$2:$B$2705,B2095)</f>
        <v>0.5</v>
      </c>
      <c r="M2095" s="21" t="n">
        <f aca="false">K2095-L2095</f>
        <v>0.0432098765432098</v>
      </c>
      <c r="N2095" s="21" t="n">
        <f aca="false">LN(J2095)</f>
        <v>12.8868428503431</v>
      </c>
      <c r="O2095" s="21" t="n">
        <f aca="false">AVERAGEIFS($N$2:$N$2705,$B$2:$B$2705,B2095)</f>
        <v>13.6186901969669</v>
      </c>
      <c r="P2095" s="21" t="n">
        <f aca="false">N2095-O2095</f>
        <v>-0.731847346623844</v>
      </c>
      <c r="Q2095" s="7" t="n">
        <v>0</v>
      </c>
      <c r="R2095" s="3" t="n">
        <f aca="false">IF(AND(Q2095=1,B2095-_xlfn.MINIFS($B$2:$B$2705,$A$2:$A$2705,A2095)&lt;10),1,0)</f>
        <v>0</v>
      </c>
      <c r="S2095" s="7" t="n">
        <v>0</v>
      </c>
      <c r="T2095" s="3" t="n">
        <f aca="false">_xlfn.MINIFS($B$2:$B$2705,$A$2:$A$2705,A2095)</f>
        <v>1901</v>
      </c>
      <c r="U2095" s="3" t="n">
        <f aca="false">B2095-T2095</f>
        <v>104</v>
      </c>
      <c r="V2095" s="3" t="str">
        <f aca="false">INDEX(Pop_Inputs!$Q$2:$Q$29,MATCH(C2095,Pop_Inputs!$A$2:$A$29,0))</f>
        <v>West</v>
      </c>
      <c r="W2095" s="29" t="n">
        <v>55425762</v>
      </c>
      <c r="X2095" s="3" t="n">
        <f aca="false">IF(W2095="","",LN(W2095))</f>
        <v>17.8305550616807</v>
      </c>
      <c r="Y2095" s="3" t="n">
        <f aca="false">IF(X2095="","",X2095-AVERAGEIFS($X$2:$X$2705,$B$2:$B$2705,B2095))</f>
        <v>-0.189224718354353</v>
      </c>
      <c r="Z2095" s="21" t="n">
        <f aca="false">P2095</f>
        <v>-0.731847346623844</v>
      </c>
      <c r="AA2095" s="3" t="n">
        <f aca="false">R2095</f>
        <v>0</v>
      </c>
      <c r="AB2095" s="21" t="n">
        <f aca="false">P2095</f>
        <v>-0.731847346623844</v>
      </c>
      <c r="AC2095" s="3" t="n">
        <f aca="false">Y2095</f>
        <v>-0.189224718354353</v>
      </c>
      <c r="AD2095" s="3" t="n">
        <f aca="false">R2095</f>
        <v>0</v>
      </c>
    </row>
    <row r="2096" customFormat="false" ht="15" hidden="false" customHeight="true" outlineLevel="0" collapsed="false">
      <c r="A2096" s="7" t="s">
        <v>60</v>
      </c>
      <c r="B2096" s="7" t="n">
        <v>2005</v>
      </c>
      <c r="C2096" s="7" t="s">
        <v>146</v>
      </c>
      <c r="D2096" s="7" t="n">
        <v>88</v>
      </c>
      <c r="E2096" s="7" t="n">
        <v>74</v>
      </c>
      <c r="F2096" s="3" t="n">
        <f aca="false">COUNTIFS($B$2:$B$2705,B2096,$C$2:$C$2705,C2096)</f>
        <v>1</v>
      </c>
      <c r="G2096" s="3" t="n">
        <f aca="false">MIN(INT((MIN(B2096,2020)-1900)/10)+1,12)</f>
        <v>11</v>
      </c>
      <c r="H2096" s="3" t="n">
        <f aca="false">(MIN(B2096,2020)-1900-10*(G2096-1))/10</f>
        <v>0.5</v>
      </c>
      <c r="I2096" s="20" t="n">
        <f aca="false">EXP(LN(INDEX(Pop_Inputs!$B$2:$N$29,MATCH(C2096,Pop_Inputs!$A$2:$A$29,0),G2096))*(1-H2096)+LN(INDEX(Pop_Inputs!$B$2:$N$29,MATCH(C2096,Pop_Inputs!$A$2:$A$29,0),G2096+1))*H2096)</f>
        <v>1521772.12660109</v>
      </c>
      <c r="J2096" s="20" t="n">
        <f aca="false">I2096/F2096</f>
        <v>1521772.12660109</v>
      </c>
      <c r="K2096" s="21" t="n">
        <f aca="false">D2096/(D2096+E2096)</f>
        <v>0.54320987654321</v>
      </c>
      <c r="L2096" s="21" t="n">
        <f aca="false">AVERAGEIFS($K$2:$K$2705,$B$2:$B$2705,B2096)</f>
        <v>0.5</v>
      </c>
      <c r="M2096" s="21" t="n">
        <f aca="false">K2096-L2096</f>
        <v>0.0432098765432098</v>
      </c>
      <c r="N2096" s="21" t="n">
        <f aca="false">LN(J2096)</f>
        <v>14.2353860864845</v>
      </c>
      <c r="O2096" s="21" t="n">
        <f aca="false">AVERAGEIFS($N$2:$N$2705,$B$2:$B$2705,B2096)</f>
        <v>13.6186901969669</v>
      </c>
      <c r="P2096" s="21" t="n">
        <f aca="false">N2096-O2096</f>
        <v>0.61669588951753</v>
      </c>
      <c r="Q2096" s="7" t="n">
        <v>0</v>
      </c>
      <c r="R2096" s="3" t="n">
        <f aca="false">IF(AND(Q2096=1,B2096-_xlfn.MINIFS($B$2:$B$2705,$A$2:$A$2705,A2096)&lt;10),1,0)</f>
        <v>0</v>
      </c>
      <c r="S2096" s="7" t="n">
        <v>0</v>
      </c>
      <c r="T2096" s="3" t="n">
        <f aca="false">_xlfn.MINIFS($B$2:$B$2705,$A$2:$A$2705,A2096)</f>
        <v>1901</v>
      </c>
      <c r="U2096" s="3" t="n">
        <f aca="false">B2096-T2096</f>
        <v>104</v>
      </c>
      <c r="V2096" s="3" t="str">
        <f aca="false">INDEX(Pop_Inputs!$Q$2:$Q$29,MATCH(C2096,Pop_Inputs!$A$2:$A$29,0))</f>
        <v>Northeast</v>
      </c>
      <c r="W2096" s="29" t="n">
        <v>95522000</v>
      </c>
      <c r="X2096" s="3" t="n">
        <f aca="false">IF(W2096="","",LN(W2096))</f>
        <v>18.3748671454128</v>
      </c>
      <c r="Y2096" s="3" t="n">
        <f aca="false">IF(X2096="","",X2096-AVERAGEIFS($X$2:$X$2705,$B$2:$B$2705,B2096))</f>
        <v>0.355087365377798</v>
      </c>
      <c r="Z2096" s="21" t="n">
        <f aca="false">P2096</f>
        <v>0.61669588951753</v>
      </c>
      <c r="AA2096" s="3" t="n">
        <f aca="false">R2096</f>
        <v>0</v>
      </c>
      <c r="AB2096" s="21" t="n">
        <f aca="false">P2096</f>
        <v>0.61669588951753</v>
      </c>
      <c r="AC2096" s="3" t="n">
        <f aca="false">Y2096</f>
        <v>0.355087365377798</v>
      </c>
      <c r="AD2096" s="3" t="n">
        <f aca="false">R2096</f>
        <v>0</v>
      </c>
    </row>
    <row r="2097" customFormat="false" ht="15" hidden="false" customHeight="true" outlineLevel="0" collapsed="false">
      <c r="A2097" s="7" t="s">
        <v>58</v>
      </c>
      <c r="B2097" s="7" t="n">
        <v>2005</v>
      </c>
      <c r="C2097" s="7" t="s">
        <v>144</v>
      </c>
      <c r="D2097" s="7" t="n">
        <v>67</v>
      </c>
      <c r="E2097" s="7" t="n">
        <v>95</v>
      </c>
      <c r="F2097" s="3" t="n">
        <f aca="false">COUNTIFS($B$2:$B$2705,B2097,$C$2:$C$2705,C2097)</f>
        <v>1</v>
      </c>
      <c r="G2097" s="3" t="n">
        <f aca="false">MIN(INT((MIN(B2097,2020)-1900)/10)+1,12)</f>
        <v>11</v>
      </c>
      <c r="H2097" s="3" t="n">
        <f aca="false">(MIN(B2097,2020)-1900-10*(G2097-1))/10</f>
        <v>0.5</v>
      </c>
      <c r="I2097" s="20" t="n">
        <f aca="false">EXP(LN(INDEX(Pop_Inputs!$B$2:$N$29,MATCH(C2097,Pop_Inputs!$A$2:$A$29,0),G2097))*(1-H2097)+LN(INDEX(Pop_Inputs!$B$2:$N$29,MATCH(C2097,Pop_Inputs!$A$2:$A$29,0),G2097+1))*H2097)</f>
        <v>319808.141472352</v>
      </c>
      <c r="J2097" s="20" t="n">
        <f aca="false">I2097/F2097</f>
        <v>319808.141472352</v>
      </c>
      <c r="K2097" s="21" t="n">
        <f aca="false">D2097/(D2097+E2097)</f>
        <v>0.41358024691358</v>
      </c>
      <c r="L2097" s="21" t="n">
        <f aca="false">AVERAGEIFS($K$2:$K$2705,$B$2:$B$2705,B2097)</f>
        <v>0.5</v>
      </c>
      <c r="M2097" s="21" t="n">
        <f aca="false">K2097-L2097</f>
        <v>-0.0864197530864198</v>
      </c>
      <c r="N2097" s="21" t="n">
        <f aca="false">LN(J2097)</f>
        <v>12.6754765370703</v>
      </c>
      <c r="O2097" s="21" t="n">
        <f aca="false">AVERAGEIFS($N$2:$N$2705,$B$2:$B$2705,B2097)</f>
        <v>13.6186901969669</v>
      </c>
      <c r="P2097" s="21" t="n">
        <f aca="false">N2097-O2097</f>
        <v>-0.943213659896632</v>
      </c>
      <c r="Q2097" s="7" t="n">
        <v>0</v>
      </c>
      <c r="R2097" s="3" t="n">
        <f aca="false">IF(AND(Q2097=1,B2097-_xlfn.MINIFS($B$2:$B$2705,$A$2:$A$2705,A2097)&lt;10),1,0)</f>
        <v>0</v>
      </c>
      <c r="S2097" s="7" t="n">
        <v>0</v>
      </c>
      <c r="T2097" s="3" t="n">
        <f aca="false">_xlfn.MINIFS($B$2:$B$2705,$A$2:$A$2705,A2097)</f>
        <v>1901</v>
      </c>
      <c r="U2097" s="3" t="n">
        <f aca="false">B2097-T2097</f>
        <v>104</v>
      </c>
      <c r="V2097" s="3" t="str">
        <f aca="false">INDEX(Pop_Inputs!$Q$2:$Q$29,MATCH(C2097,Pop_Inputs!$A$2:$A$29,0))</f>
        <v>Northeast</v>
      </c>
      <c r="W2097" s="29" t="n">
        <v>38133000</v>
      </c>
      <c r="X2097" s="3" t="n">
        <f aca="false">IF(W2097="","",LN(W2097))</f>
        <v>17.4565906069449</v>
      </c>
      <c r="Y2097" s="3" t="n">
        <f aca="false">IF(X2097="","",X2097-AVERAGEIFS($X$2:$X$2705,$B$2:$B$2705,B2097))</f>
        <v>-0.563189173090105</v>
      </c>
      <c r="Z2097" s="21" t="n">
        <f aca="false">P2097</f>
        <v>-0.943213659896632</v>
      </c>
      <c r="AA2097" s="3" t="n">
        <f aca="false">R2097</f>
        <v>0</v>
      </c>
      <c r="AB2097" s="21" t="n">
        <f aca="false">P2097</f>
        <v>-0.943213659896632</v>
      </c>
      <c r="AC2097" s="3" t="n">
        <f aca="false">Y2097</f>
        <v>-0.563189173090105</v>
      </c>
      <c r="AD2097" s="3" t="n">
        <f aca="false">R2097</f>
        <v>0</v>
      </c>
    </row>
    <row r="2098" customFormat="false" ht="15" hidden="false" customHeight="true" outlineLevel="0" collapsed="false">
      <c r="A2098" s="7" t="s">
        <v>78</v>
      </c>
      <c r="B2098" s="7" t="n">
        <v>2005</v>
      </c>
      <c r="C2098" s="7" t="s">
        <v>159</v>
      </c>
      <c r="D2098" s="7" t="n">
        <v>82</v>
      </c>
      <c r="E2098" s="7" t="n">
        <v>80</v>
      </c>
      <c r="F2098" s="3" t="n">
        <f aca="false">COUNTIFS($B$2:$B$2705,B2098,$C$2:$C$2705,C2098)</f>
        <v>1</v>
      </c>
      <c r="G2098" s="3" t="n">
        <f aca="false">MIN(INT((MIN(B2098,2020)-1900)/10)+1,12)</f>
        <v>11</v>
      </c>
      <c r="H2098" s="3" t="n">
        <f aca="false">(MIN(B2098,2020)-1900-10*(G2098-1))/10</f>
        <v>0.5</v>
      </c>
      <c r="I2098" s="20" t="n">
        <f aca="false">EXP(LN(INDEX(Pop_Inputs!$B$2:$N$29,MATCH(C2098,Pop_Inputs!$A$2:$A$29,0),G2098))*(1-H2098)+LN(INDEX(Pop_Inputs!$B$2:$N$29,MATCH(C2098,Pop_Inputs!$A$2:$A$29,0),G2098+1))*H2098)</f>
        <v>1264703.76246772</v>
      </c>
      <c r="J2098" s="20" t="n">
        <f aca="false">I2098/F2098</f>
        <v>1264703.76246772</v>
      </c>
      <c r="K2098" s="21" t="n">
        <f aca="false">D2098/(D2098+E2098)</f>
        <v>0.506172839506173</v>
      </c>
      <c r="L2098" s="21" t="n">
        <f aca="false">AVERAGEIFS($K$2:$K$2705,$B$2:$B$2705,B2098)</f>
        <v>0.5</v>
      </c>
      <c r="M2098" s="21" t="n">
        <f aca="false">K2098-L2098</f>
        <v>0.00617283950617287</v>
      </c>
      <c r="N2098" s="21" t="n">
        <f aca="false">LN(J2098)</f>
        <v>14.050348472852</v>
      </c>
      <c r="O2098" s="21" t="n">
        <f aca="false">AVERAGEIFS($N$2:$N$2705,$B$2:$B$2705,B2098)</f>
        <v>13.6186901969669</v>
      </c>
      <c r="P2098" s="21" t="n">
        <f aca="false">N2098-O2098</f>
        <v>0.431658275885024</v>
      </c>
      <c r="Q2098" s="7" t="n">
        <v>1</v>
      </c>
      <c r="R2098" s="3" t="n">
        <f aca="false">IF(AND(Q2098=1,B2098-_xlfn.MINIFS($B$2:$B$2705,$A$2:$A$2705,A2098)&lt;10),1,0)</f>
        <v>0</v>
      </c>
      <c r="S2098" s="7" t="n">
        <v>0</v>
      </c>
      <c r="T2098" s="3" t="n">
        <f aca="false">_xlfn.MINIFS($B$2:$B$2705,$A$2:$A$2705,A2098)</f>
        <v>1969</v>
      </c>
      <c r="U2098" s="3" t="n">
        <f aca="false">B2098-T2098</f>
        <v>36</v>
      </c>
      <c r="V2098" s="3" t="str">
        <f aca="false">INDEX(Pop_Inputs!$Q$2:$Q$29,MATCH(C2098,Pop_Inputs!$A$2:$A$29,0))</f>
        <v>West</v>
      </c>
      <c r="W2098" s="29" t="n">
        <v>63290833</v>
      </c>
      <c r="X2098" s="3" t="n">
        <f aca="false">IF(W2098="","",LN(W2098))</f>
        <v>17.9632510583018</v>
      </c>
      <c r="Y2098" s="3" t="n">
        <f aca="false">IF(X2098="","",X2098-AVERAGEIFS($X$2:$X$2705,$B$2:$B$2705,B2098))</f>
        <v>-0.0565287217332369</v>
      </c>
      <c r="Z2098" s="21" t="n">
        <f aca="false">P2098</f>
        <v>0.431658275885024</v>
      </c>
      <c r="AA2098" s="3" t="n">
        <f aca="false">R2098</f>
        <v>0</v>
      </c>
      <c r="AB2098" s="21" t="n">
        <f aca="false">P2098</f>
        <v>0.431658275885024</v>
      </c>
      <c r="AC2098" s="3" t="n">
        <f aca="false">Y2098</f>
        <v>-0.0565287217332369</v>
      </c>
      <c r="AD2098" s="3" t="n">
        <f aca="false">R2098</f>
        <v>0</v>
      </c>
    </row>
    <row r="2099" customFormat="false" ht="15" hidden="false" customHeight="true" outlineLevel="0" collapsed="false">
      <c r="A2099" s="7" t="s">
        <v>80</v>
      </c>
      <c r="B2099" s="7" t="n">
        <v>2005</v>
      </c>
      <c r="C2099" s="7" t="s">
        <v>161</v>
      </c>
      <c r="D2099" s="7" t="n">
        <v>69</v>
      </c>
      <c r="E2099" s="7" t="n">
        <v>93</v>
      </c>
      <c r="F2099" s="3" t="n">
        <f aca="false">COUNTIFS($B$2:$B$2705,B2099,$C$2:$C$2705,C2099)</f>
        <v>1</v>
      </c>
      <c r="G2099" s="3" t="n">
        <f aca="false">MIN(INT((MIN(B2099,2020)-1900)/10)+1,12)</f>
        <v>11</v>
      </c>
      <c r="H2099" s="3" t="n">
        <f aca="false">(MIN(B2099,2020)-1900-10*(G2099-1))/10</f>
        <v>0.5</v>
      </c>
      <c r="I2099" s="20" t="n">
        <f aca="false">EXP(LN(INDEX(Pop_Inputs!$B$2:$N$29,MATCH(C2099,Pop_Inputs!$A$2:$A$29,0),G2099))*(1-H2099)+LN(INDEX(Pop_Inputs!$B$2:$N$29,MATCH(C2099,Pop_Inputs!$A$2:$A$29,0),G2099+1))*H2099)</f>
        <v>585579.38730799</v>
      </c>
      <c r="J2099" s="20" t="n">
        <f aca="false">I2099/F2099</f>
        <v>585579.38730799</v>
      </c>
      <c r="K2099" s="21" t="n">
        <f aca="false">D2099/(D2099+E2099)</f>
        <v>0.425925925925926</v>
      </c>
      <c r="L2099" s="21" t="n">
        <f aca="false">AVERAGEIFS($K$2:$K$2705,$B$2:$B$2705,B2099)</f>
        <v>0.5</v>
      </c>
      <c r="M2099" s="21" t="n">
        <f aca="false">K2099-L2099</f>
        <v>-0.0740740740740741</v>
      </c>
      <c r="N2099" s="21" t="n">
        <f aca="false">LN(J2099)</f>
        <v>13.2803570417406</v>
      </c>
      <c r="O2099" s="21" t="n">
        <f aca="false">AVERAGEIFS($N$2:$N$2705,$B$2:$B$2705,B2099)</f>
        <v>13.6186901969669</v>
      </c>
      <c r="P2099" s="21" t="n">
        <f aca="false">N2099-O2099</f>
        <v>-0.338333155226344</v>
      </c>
      <c r="Q2099" s="7" t="n">
        <v>1</v>
      </c>
      <c r="R2099" s="3" t="n">
        <f aca="false">IF(AND(Q2099=1,B2099-_xlfn.MINIFS($B$2:$B$2705,$A$2:$A$2705,A2099)&lt;10),1,0)</f>
        <v>0</v>
      </c>
      <c r="S2099" s="7" t="n">
        <v>0</v>
      </c>
      <c r="T2099" s="3" t="n">
        <f aca="false">_xlfn.MINIFS($B$2:$B$2705,$A$2:$A$2705,A2099)</f>
        <v>1977</v>
      </c>
      <c r="U2099" s="3" t="n">
        <f aca="false">B2099-T2099</f>
        <v>28</v>
      </c>
      <c r="V2099" s="3" t="str">
        <f aca="false">INDEX(Pop_Inputs!$Q$2:$Q$29,MATCH(C2099,Pop_Inputs!$A$2:$A$29,0))</f>
        <v>West</v>
      </c>
      <c r="W2099" s="29" t="n">
        <v>87754334</v>
      </c>
      <c r="X2099" s="3" t="n">
        <f aca="false">IF(W2099="","",LN(W2099))</f>
        <v>18.290051809404</v>
      </c>
      <c r="Y2099" s="3" t="n">
        <f aca="false">IF(X2099="","",X2099-AVERAGEIFS($X$2:$X$2705,$B$2:$B$2705,B2099))</f>
        <v>0.270272029368957</v>
      </c>
      <c r="Z2099" s="21" t="n">
        <f aca="false">P2099</f>
        <v>-0.338333155226344</v>
      </c>
      <c r="AA2099" s="3" t="n">
        <f aca="false">R2099</f>
        <v>0</v>
      </c>
      <c r="AB2099" s="21" t="n">
        <f aca="false">P2099</f>
        <v>-0.338333155226344</v>
      </c>
      <c r="AC2099" s="3" t="n">
        <f aca="false">Y2099</f>
        <v>0.270272029368957</v>
      </c>
      <c r="AD2099" s="3" t="n">
        <f aca="false">R2099</f>
        <v>0</v>
      </c>
    </row>
    <row r="2100" customFormat="false" ht="15" hidden="false" customHeight="true" outlineLevel="0" collapsed="false">
      <c r="A2100" s="7" t="s">
        <v>61</v>
      </c>
      <c r="B2100" s="7" t="n">
        <v>2005</v>
      </c>
      <c r="C2100" s="7" t="s">
        <v>147</v>
      </c>
      <c r="D2100" s="7" t="n">
        <v>75</v>
      </c>
      <c r="E2100" s="7" t="n">
        <v>87</v>
      </c>
      <c r="F2100" s="3" t="n">
        <f aca="false">COUNTIFS($B$2:$B$2705,B2100,$C$2:$C$2705,C2100)</f>
        <v>1</v>
      </c>
      <c r="G2100" s="3" t="n">
        <f aca="false">MIN(INT((MIN(B2100,2020)-1900)/10)+1,12)</f>
        <v>11</v>
      </c>
      <c r="H2100" s="3" t="n">
        <f aca="false">(MIN(B2100,2020)-1900-10*(G2100-1))/10</f>
        <v>0.5</v>
      </c>
      <c r="I2100" s="20" t="n">
        <f aca="false">EXP(LN(INDEX(Pop_Inputs!$B$2:$N$29,MATCH(C2100,Pop_Inputs!$A$2:$A$29,0),G2100))*(1-H2100)+LN(INDEX(Pop_Inputs!$B$2:$N$29,MATCH(C2100,Pop_Inputs!$A$2:$A$29,0),G2100+1))*H2100)</f>
        <v>790855.6108766</v>
      </c>
      <c r="J2100" s="20" t="n">
        <f aca="false">I2100/F2100</f>
        <v>790855.6108766</v>
      </c>
      <c r="K2100" s="21" t="n">
        <f aca="false">D2100/(D2100+E2100)</f>
        <v>0.462962962962963</v>
      </c>
      <c r="L2100" s="21" t="n">
        <f aca="false">AVERAGEIFS($K$2:$K$2705,$B$2:$B$2705,B2100)</f>
        <v>0.5</v>
      </c>
      <c r="M2100" s="21" t="n">
        <f aca="false">K2100-L2100</f>
        <v>-0.037037037037037</v>
      </c>
      <c r="N2100" s="21" t="n">
        <f aca="false">LN(J2100)</f>
        <v>13.5808706901083</v>
      </c>
      <c r="O2100" s="21" t="n">
        <f aca="false">AVERAGEIFS($N$2:$N$2705,$B$2:$B$2705,B2100)</f>
        <v>13.6186901969669</v>
      </c>
      <c r="P2100" s="21" t="n">
        <f aca="false">N2100-O2100</f>
        <v>-0.0378195068586038</v>
      </c>
      <c r="Q2100" s="7" t="n">
        <v>0</v>
      </c>
      <c r="R2100" s="3" t="n">
        <f aca="false">IF(AND(Q2100=1,B2100-_xlfn.MINIFS($B$2:$B$2705,$A$2:$A$2705,A2100)&lt;10),1,0)</f>
        <v>0</v>
      </c>
      <c r="S2100" s="7" t="n">
        <v>0</v>
      </c>
      <c r="T2100" s="3" t="n">
        <f aca="false">_xlfn.MINIFS($B$2:$B$2705,$A$2:$A$2705,A2100)</f>
        <v>1901</v>
      </c>
      <c r="U2100" s="3" t="n">
        <f aca="false">B2100-T2100</f>
        <v>104</v>
      </c>
      <c r="V2100" s="3" t="str">
        <f aca="false">INDEX(Pop_Inputs!$Q$2:$Q$29,MATCH(C2100,Pop_Inputs!$A$2:$A$29,0))</f>
        <v>West</v>
      </c>
      <c r="W2100" s="29" t="n">
        <v>90199500</v>
      </c>
      <c r="X2100" s="3" t="n">
        <f aca="false">IF(W2100="","",LN(W2100))</f>
        <v>18.3175344417802</v>
      </c>
      <c r="Y2100" s="3" t="n">
        <f aca="false">IF(X2100="","",X2100-AVERAGEIFS($X$2:$X$2705,$B$2:$B$2705,B2100))</f>
        <v>0.29775466174522</v>
      </c>
      <c r="Z2100" s="21" t="n">
        <f aca="false">P2100</f>
        <v>-0.0378195068586038</v>
      </c>
      <c r="AA2100" s="3" t="n">
        <f aca="false">R2100</f>
        <v>0</v>
      </c>
      <c r="AB2100" s="21" t="n">
        <f aca="false">P2100</f>
        <v>-0.0378195068586038</v>
      </c>
      <c r="AC2100" s="3" t="n">
        <f aca="false">Y2100</f>
        <v>0.29775466174522</v>
      </c>
      <c r="AD2100" s="3" t="n">
        <f aca="false">R2100</f>
        <v>0</v>
      </c>
    </row>
    <row r="2101" customFormat="false" ht="15" hidden="false" customHeight="true" outlineLevel="0" collapsed="false">
      <c r="A2101" s="7" t="s">
        <v>59</v>
      </c>
      <c r="B2101" s="7" t="n">
        <v>2005</v>
      </c>
      <c r="C2101" s="7" t="s">
        <v>145</v>
      </c>
      <c r="D2101" s="7" t="n">
        <v>100</v>
      </c>
      <c r="E2101" s="7" t="n">
        <v>62</v>
      </c>
      <c r="F2101" s="3" t="n">
        <f aca="false">COUNTIFS($B$2:$B$2705,B2101,$C$2:$C$2705,C2101)</f>
        <v>1</v>
      </c>
      <c r="G2101" s="3" t="n">
        <f aca="false">MIN(INT((MIN(B2101,2020)-1900)/10)+1,12)</f>
        <v>11</v>
      </c>
      <c r="H2101" s="3" t="n">
        <f aca="false">(MIN(B2101,2020)-1900-10*(G2101-1))/10</f>
        <v>0.5</v>
      </c>
      <c r="I2101" s="20" t="n">
        <f aca="false">EXP(LN(INDEX(Pop_Inputs!$B$2:$N$29,MATCH(C2101,Pop_Inputs!$A$2:$A$29,0),G2101))*(1-H2101)+LN(INDEX(Pop_Inputs!$B$2:$N$29,MATCH(C2101,Pop_Inputs!$A$2:$A$29,0),G2101+1))*H2101)</f>
        <v>333428.640890371</v>
      </c>
      <c r="J2101" s="20" t="n">
        <f aca="false">I2101/F2101</f>
        <v>333428.640890371</v>
      </c>
      <c r="K2101" s="21" t="n">
        <f aca="false">D2101/(D2101+E2101)</f>
        <v>0.617283950617284</v>
      </c>
      <c r="L2101" s="21" t="n">
        <f aca="false">AVERAGEIFS($K$2:$K$2705,$B$2:$B$2705,B2101)</f>
        <v>0.5</v>
      </c>
      <c r="M2101" s="21" t="n">
        <f aca="false">K2101-L2101</f>
        <v>0.117283950617284</v>
      </c>
      <c r="N2101" s="21" t="n">
        <f aca="false">LN(J2101)</f>
        <v>12.7171841510992</v>
      </c>
      <c r="O2101" s="21" t="n">
        <f aca="false">AVERAGEIFS($N$2:$N$2705,$B$2:$B$2705,B2101)</f>
        <v>13.6186901969669</v>
      </c>
      <c r="P2101" s="21" t="n">
        <f aca="false">N2101-O2101</f>
        <v>-0.901506045867752</v>
      </c>
      <c r="Q2101" s="7" t="n">
        <v>0</v>
      </c>
      <c r="R2101" s="3" t="n">
        <f aca="false">IF(AND(Q2101=1,B2101-_xlfn.MINIFS($B$2:$B$2705,$A$2:$A$2705,A2101)&lt;10),1,0)</f>
        <v>0</v>
      </c>
      <c r="S2101" s="7" t="n">
        <v>0</v>
      </c>
      <c r="T2101" s="3" t="n">
        <f aca="false">_xlfn.MINIFS($B$2:$B$2705,$A$2:$A$2705,A2101)</f>
        <v>1901</v>
      </c>
      <c r="U2101" s="3" t="n">
        <f aca="false">B2101-T2101</f>
        <v>104</v>
      </c>
      <c r="V2101" s="3" t="str">
        <f aca="false">INDEX(Pop_Inputs!$Q$2:$Q$29,MATCH(C2101,Pop_Inputs!$A$2:$A$29,0))</f>
        <v>Midwest</v>
      </c>
      <c r="W2101" s="29" t="n">
        <v>92106833</v>
      </c>
      <c r="X2101" s="3" t="n">
        <f aca="false">IF(W2101="","",LN(W2101))</f>
        <v>18.3384596895701</v>
      </c>
      <c r="Y2101" s="3" t="n">
        <f aca="false">IF(X2101="","",X2101-AVERAGEIFS($X$2:$X$2705,$B$2:$B$2705,B2101))</f>
        <v>0.318679909535128</v>
      </c>
      <c r="Z2101" s="21" t="n">
        <f aca="false">P2101</f>
        <v>-0.901506045867752</v>
      </c>
      <c r="AA2101" s="3" t="n">
        <f aca="false">R2101</f>
        <v>0</v>
      </c>
      <c r="AB2101" s="21" t="n">
        <f aca="false">P2101</f>
        <v>-0.901506045867752</v>
      </c>
      <c r="AC2101" s="3" t="n">
        <f aca="false">Y2101</f>
        <v>0.318679909535128</v>
      </c>
      <c r="AD2101" s="3" t="n">
        <f aca="false">R2101</f>
        <v>0</v>
      </c>
    </row>
    <row r="2102" customFormat="false" ht="15" hidden="false" customHeight="true" outlineLevel="0" collapsed="false">
      <c r="A2102" s="7" t="s">
        <v>85</v>
      </c>
      <c r="B2102" s="7" t="n">
        <v>2005</v>
      </c>
      <c r="C2102" s="7" t="s">
        <v>166</v>
      </c>
      <c r="D2102" s="7" t="n">
        <v>67</v>
      </c>
      <c r="E2102" s="7" t="n">
        <v>95</v>
      </c>
      <c r="F2102" s="3" t="n">
        <f aca="false">COUNTIFS($B$2:$B$2705,B2102,$C$2:$C$2705,C2102)</f>
        <v>1</v>
      </c>
      <c r="G2102" s="3" t="n">
        <f aca="false">MIN(INT((MIN(B2102,2020)-1900)/10)+1,12)</f>
        <v>11</v>
      </c>
      <c r="H2102" s="3" t="n">
        <f aca="false">(MIN(B2102,2020)-1900-10*(G2102-1))/10</f>
        <v>0.5</v>
      </c>
      <c r="I2102" s="20" t="n">
        <f aca="false">EXP(LN(INDEX(Pop_Inputs!$B$2:$N$29,MATCH(C2102,Pop_Inputs!$A$2:$A$29,0),G2102))*(1-H2102)+LN(INDEX(Pop_Inputs!$B$2:$N$29,MATCH(C2102,Pop_Inputs!$A$2:$A$29,0),G2102+1))*H2102)</f>
        <v>319170.626660725</v>
      </c>
      <c r="J2102" s="20" t="n">
        <f aca="false">I2102/F2102</f>
        <v>319170.626660725</v>
      </c>
      <c r="K2102" s="21" t="n">
        <f aca="false">D2102/(D2102+E2102)</f>
        <v>0.41358024691358</v>
      </c>
      <c r="L2102" s="21" t="n">
        <f aca="false">AVERAGEIFS($K$2:$K$2705,$B$2:$B$2705,B2102)</f>
        <v>0.5</v>
      </c>
      <c r="M2102" s="21" t="n">
        <f aca="false">K2102-L2102</f>
        <v>-0.0864197530864198</v>
      </c>
      <c r="N2102" s="21" t="n">
        <f aca="false">LN(J2102)</f>
        <v>12.6734811185839</v>
      </c>
      <c r="O2102" s="21" t="n">
        <f aca="false">AVERAGEIFS($N$2:$N$2705,$B$2:$B$2705,B2102)</f>
        <v>13.6186901969669</v>
      </c>
      <c r="P2102" s="21" t="n">
        <f aca="false">N2102-O2102</f>
        <v>-0.945209078382984</v>
      </c>
      <c r="Q2102" s="7" t="n">
        <v>1</v>
      </c>
      <c r="R2102" s="3" t="n">
        <f aca="false">IF(AND(Q2102=1,B2102-_xlfn.MINIFS($B$2:$B$2705,$A$2:$A$2705,A2102)&lt;10),1,0)</f>
        <v>1</v>
      </c>
      <c r="S2102" s="7" t="n">
        <v>0</v>
      </c>
      <c r="T2102" s="3" t="n">
        <f aca="false">_xlfn.MINIFS($B$2:$B$2705,$A$2:$A$2705,A2102)</f>
        <v>1998</v>
      </c>
      <c r="U2102" s="3" t="n">
        <f aca="false">B2102-T2102</f>
        <v>7</v>
      </c>
      <c r="V2102" s="3" t="str">
        <f aca="false">INDEX(Pop_Inputs!$Q$2:$Q$29,MATCH(C2102,Pop_Inputs!$A$2:$A$29,0))</f>
        <v>South</v>
      </c>
      <c r="W2102" s="29" t="n">
        <v>29679067</v>
      </c>
      <c r="X2102" s="3" t="n">
        <f aca="false">IF(W2102="","",LN(W2102))</f>
        <v>17.2059525404594</v>
      </c>
      <c r="Y2102" s="3" t="n">
        <f aca="false">IF(X2102="","",X2102-AVERAGEIFS($X$2:$X$2705,$B$2:$B$2705,B2102))</f>
        <v>-0.813827239575637</v>
      </c>
      <c r="Z2102" s="21" t="n">
        <f aca="false">P2102</f>
        <v>-0.945209078382984</v>
      </c>
      <c r="AA2102" s="3" t="n">
        <f aca="false">R2102</f>
        <v>1</v>
      </c>
      <c r="AB2102" s="21" t="n">
        <f aca="false">P2102</f>
        <v>-0.945209078382984</v>
      </c>
      <c r="AC2102" s="3" t="n">
        <f aca="false">Y2102</f>
        <v>-0.813827239575637</v>
      </c>
      <c r="AD2102" s="3" t="n">
        <f aca="false">R2102</f>
        <v>1</v>
      </c>
    </row>
    <row r="2103" customFormat="false" ht="15" hidden="false" customHeight="true" outlineLevel="0" collapsed="false">
      <c r="A2103" s="7" t="s">
        <v>73</v>
      </c>
      <c r="B2103" s="7" t="n">
        <v>2005</v>
      </c>
      <c r="C2103" s="7" t="s">
        <v>155</v>
      </c>
      <c r="D2103" s="7" t="n">
        <v>79</v>
      </c>
      <c r="E2103" s="7" t="n">
        <v>83</v>
      </c>
      <c r="F2103" s="3" t="n">
        <f aca="false">COUNTIFS($B$2:$B$2705,B2103,$C$2:$C$2705,C2103)</f>
        <v>1</v>
      </c>
      <c r="G2103" s="3" t="n">
        <f aca="false">MIN(INT((MIN(B2103,2020)-1900)/10)+1,12)</f>
        <v>11</v>
      </c>
      <c r="H2103" s="3" t="n">
        <f aca="false">(MIN(B2103,2020)-1900-10*(G2103-1))/10</f>
        <v>0.5</v>
      </c>
      <c r="I2103" s="20" t="n">
        <f aca="false">EXP(LN(INDEX(Pop_Inputs!$B$2:$N$29,MATCH(C2103,Pop_Inputs!$A$2:$A$29,0),G2103))*(1-H2103)+LN(INDEX(Pop_Inputs!$B$2:$N$29,MATCH(C2103,Pop_Inputs!$A$2:$A$29,0),G2103+1))*H2103)</f>
        <v>1193189.06351005</v>
      </c>
      <c r="J2103" s="20" t="n">
        <f aca="false">I2103/F2103</f>
        <v>1193189.06351005</v>
      </c>
      <c r="K2103" s="21" t="n">
        <f aca="false">D2103/(D2103+E2103)</f>
        <v>0.487654320987654</v>
      </c>
      <c r="L2103" s="21" t="n">
        <f aca="false">AVERAGEIFS($K$2:$K$2705,$B$2:$B$2705,B2103)</f>
        <v>0.5</v>
      </c>
      <c r="M2103" s="21" t="n">
        <f aca="false">K2103-L2103</f>
        <v>-0.0123456790123457</v>
      </c>
      <c r="N2103" s="21" t="n">
        <f aca="false">LN(J2103)</f>
        <v>13.9921401659002</v>
      </c>
      <c r="O2103" s="21" t="n">
        <f aca="false">AVERAGEIFS($N$2:$N$2705,$B$2:$B$2705,B2103)</f>
        <v>13.6186901969669</v>
      </c>
      <c r="P2103" s="21" t="n">
        <f aca="false">N2103-O2103</f>
        <v>0.373449968933317</v>
      </c>
      <c r="Q2103" s="7" t="n">
        <v>1</v>
      </c>
      <c r="R2103" s="3" t="n">
        <f aca="false">IF(AND(Q2103=1,B2103-_xlfn.MINIFS($B$2:$B$2705,$A$2:$A$2705,A2103)&lt;10),1,0)</f>
        <v>0</v>
      </c>
      <c r="S2103" s="7" t="n">
        <v>0</v>
      </c>
      <c r="T2103" s="3" t="n">
        <f aca="false">_xlfn.MINIFS($B$2:$B$2705,$A$2:$A$2705,A2103)</f>
        <v>1961</v>
      </c>
      <c r="U2103" s="3" t="n">
        <f aca="false">B2103-T2103</f>
        <v>44</v>
      </c>
      <c r="V2103" s="3" t="str">
        <f aca="false">INDEX(Pop_Inputs!$Q$2:$Q$29,MATCH(C2103,Pop_Inputs!$A$2:$A$29,0))</f>
        <v>South</v>
      </c>
      <c r="W2103" s="29" t="n">
        <v>55849000</v>
      </c>
      <c r="X2103" s="3" t="n">
        <f aca="false">IF(W2103="","",LN(W2103))</f>
        <v>17.8381621782162</v>
      </c>
      <c r="Y2103" s="3" t="n">
        <f aca="false">IF(X2103="","",X2103-AVERAGEIFS($X$2:$X$2705,$B$2:$B$2705,B2103))</f>
        <v>-0.18161760181879</v>
      </c>
      <c r="Z2103" s="21" t="n">
        <f aca="false">P2103</f>
        <v>0.373449968933317</v>
      </c>
      <c r="AA2103" s="3" t="n">
        <f aca="false">R2103</f>
        <v>0</v>
      </c>
      <c r="AB2103" s="21" t="n">
        <f aca="false">P2103</f>
        <v>0.373449968933317</v>
      </c>
      <c r="AC2103" s="3" t="n">
        <f aca="false">Y2103</f>
        <v>-0.18161760181879</v>
      </c>
      <c r="AD2103" s="3" t="n">
        <f aca="false">R2103</f>
        <v>0</v>
      </c>
    </row>
    <row r="2104" customFormat="false" ht="15" hidden="false" customHeight="true" outlineLevel="0" collapsed="false">
      <c r="A2104" s="7" t="s">
        <v>81</v>
      </c>
      <c r="B2104" s="7" t="n">
        <v>2005</v>
      </c>
      <c r="C2104" s="7" t="s">
        <v>162</v>
      </c>
      <c r="D2104" s="7" t="n">
        <v>80</v>
      </c>
      <c r="E2104" s="7" t="n">
        <v>82</v>
      </c>
      <c r="F2104" s="3" t="n">
        <f aca="false">COUNTIFS($B$2:$B$2705,B2104,$C$2:$C$2705,C2104)</f>
        <v>1</v>
      </c>
      <c r="G2104" s="3" t="n">
        <f aca="false">MIN(INT((MIN(B2104,2020)-1900)/10)+1,12)</f>
        <v>11</v>
      </c>
      <c r="H2104" s="3" t="n">
        <f aca="false">(MIN(B2104,2020)-1900-10*(G2104-1))/10</f>
        <v>0.5</v>
      </c>
      <c r="I2104" s="20" t="n">
        <f aca="false">EXP(LN(INDEX(Pop_Inputs!$B$2:$N$29,MATCH(C2104,Pop_Inputs!$A$2:$A$29,0),G2104))*(1-H2104)+LN(INDEX(Pop_Inputs!$B$2:$N$29,MATCH(C2104,Pop_Inputs!$A$2:$A$29,0),G2104+1))*H2104)</f>
        <v>2547401.75465905</v>
      </c>
      <c r="J2104" s="20" t="n">
        <f aca="false">I2104/F2104</f>
        <v>2547401.75465905</v>
      </c>
      <c r="K2104" s="21" t="n">
        <f aca="false">D2104/(D2104+E2104)</f>
        <v>0.493827160493827</v>
      </c>
      <c r="L2104" s="21" t="n">
        <f aca="false">AVERAGEIFS($K$2:$K$2705,$B$2:$B$2705,B2104)</f>
        <v>0.5</v>
      </c>
      <c r="M2104" s="21" t="n">
        <f aca="false">K2104-L2104</f>
        <v>-0.00617283950617287</v>
      </c>
      <c r="N2104" s="21" t="n">
        <f aca="false">LN(J2104)</f>
        <v>14.7505844779415</v>
      </c>
      <c r="O2104" s="21" t="n">
        <f aca="false">AVERAGEIFS($N$2:$N$2705,$B$2:$B$2705,B2104)</f>
        <v>13.6186901969669</v>
      </c>
      <c r="P2104" s="21" t="n">
        <f aca="false">N2104-O2104</f>
        <v>1.13189428097452</v>
      </c>
      <c r="Q2104" s="7" t="n">
        <v>1</v>
      </c>
      <c r="R2104" s="3" t="n">
        <f aca="false">IF(AND(Q2104=1,B2104-_xlfn.MINIFS($B$2:$B$2705,$A$2:$A$2705,A2104)&lt;10),1,0)</f>
        <v>0</v>
      </c>
      <c r="S2104" s="7" t="n">
        <v>0</v>
      </c>
      <c r="T2104" s="3" t="n">
        <f aca="false">_xlfn.MINIFS($B$2:$B$2705,$A$2:$A$2705,A2104)</f>
        <v>1977</v>
      </c>
      <c r="U2104" s="3" t="n">
        <f aca="false">B2104-T2104</f>
        <v>28</v>
      </c>
      <c r="V2104" s="3" t="str">
        <f aca="false">INDEX(Pop_Inputs!$Q$2:$Q$29,MATCH(C2104,Pop_Inputs!$A$2:$A$29,0))</f>
        <v>Canada</v>
      </c>
      <c r="W2104" s="29" t="n">
        <v>45719500</v>
      </c>
      <c r="X2104" s="3" t="n">
        <f aca="false">IF(W2104="","",LN(W2104))</f>
        <v>17.6380354606981</v>
      </c>
      <c r="Y2104" s="3" t="n">
        <f aca="false">IF(X2104="","",X2104-AVERAGEIFS($X$2:$X$2705,$B$2:$B$2705,B2104))</f>
        <v>-0.381744319336917</v>
      </c>
      <c r="Z2104" s="21" t="n">
        <f aca="false">P2104</f>
        <v>1.13189428097452</v>
      </c>
      <c r="AA2104" s="3" t="n">
        <f aca="false">R2104</f>
        <v>0</v>
      </c>
      <c r="AB2104" s="21" t="n">
        <f aca="false">P2104</f>
        <v>1.13189428097452</v>
      </c>
      <c r="AC2104" s="3" t="n">
        <f aca="false">Y2104</f>
        <v>-0.381744319336917</v>
      </c>
      <c r="AD2104" s="3" t="n">
        <f aca="false">R2104</f>
        <v>0</v>
      </c>
    </row>
    <row r="2105" customFormat="false" ht="15" hidden="false" customHeight="true" outlineLevel="0" collapsed="false">
      <c r="A2105" s="7" t="s">
        <v>79</v>
      </c>
      <c r="B2105" s="7" t="n">
        <v>2005</v>
      </c>
      <c r="C2105" s="7" t="s">
        <v>160</v>
      </c>
      <c r="D2105" s="7" t="n">
        <v>81</v>
      </c>
      <c r="E2105" s="7" t="n">
        <v>81</v>
      </c>
      <c r="F2105" s="3" t="n">
        <f aca="false">COUNTIFS($B$2:$B$2705,B2105,$C$2:$C$2705,C2105)</f>
        <v>1</v>
      </c>
      <c r="G2105" s="3" t="n">
        <f aca="false">MIN(INT((MIN(B2105,2020)-1900)/10)+1,12)</f>
        <v>11</v>
      </c>
      <c r="H2105" s="3" t="n">
        <f aca="false">(MIN(B2105,2020)-1900-10*(G2105-1))/10</f>
        <v>0.5</v>
      </c>
      <c r="I2105" s="20" t="n">
        <f aca="false">EXP(LN(INDEX(Pop_Inputs!$B$2:$N$29,MATCH(C2105,Pop_Inputs!$A$2:$A$29,0),G2105))*(1-H2105)+LN(INDEX(Pop_Inputs!$B$2:$N$29,MATCH(C2105,Pop_Inputs!$A$2:$A$29,0),G2105+1))*H2105)</f>
        <v>586703.55176784</v>
      </c>
      <c r="J2105" s="20" t="n">
        <f aca="false">I2105/F2105</f>
        <v>586703.55176784</v>
      </c>
      <c r="K2105" s="21" t="n">
        <f aca="false">D2105/(D2105+E2105)</f>
        <v>0.5</v>
      </c>
      <c r="L2105" s="21" t="n">
        <f aca="false">AVERAGEIFS($K$2:$K$2705,$B$2:$B$2705,B2105)</f>
        <v>0.5</v>
      </c>
      <c r="M2105" s="21" t="n">
        <f aca="false">K2105-L2105</f>
        <v>0</v>
      </c>
      <c r="N2105" s="21" t="n">
        <f aca="false">LN(J2105)</f>
        <v>13.2822749487014</v>
      </c>
      <c r="O2105" s="21" t="n">
        <f aca="false">AVERAGEIFS($N$2:$N$2705,$B$2:$B$2705,B2105)</f>
        <v>13.6186901969669</v>
      </c>
      <c r="P2105" s="21" t="n">
        <f aca="false">N2105-O2105</f>
        <v>-0.336415248265542</v>
      </c>
      <c r="Q2105" s="7" t="n">
        <v>1</v>
      </c>
      <c r="R2105" s="3" t="n">
        <f aca="false">IF(AND(Q2105=1,B2105-_xlfn.MINIFS($B$2:$B$2705,$A$2:$A$2705,A2105)&lt;10),1,0)</f>
        <v>0</v>
      </c>
      <c r="S2105" s="7" t="n">
        <v>0</v>
      </c>
      <c r="T2105" s="3" t="n">
        <f aca="false">_xlfn.MINIFS($B$2:$B$2705,$A$2:$A$2705,A2105)</f>
        <v>1969</v>
      </c>
      <c r="U2105" s="3" t="n">
        <f aca="false">B2105-T2105</f>
        <v>36</v>
      </c>
      <c r="V2105" s="3" t="str">
        <f aca="false">INDEX(Pop_Inputs!$Q$2:$Q$29,MATCH(C2105,Pop_Inputs!$A$2:$A$29,0))</f>
        <v>South</v>
      </c>
      <c r="W2105" s="29" t="n">
        <v>48581500</v>
      </c>
      <c r="X2105" s="3" t="n">
        <f aca="false">IF(W2105="","",LN(W2105))</f>
        <v>17.6987533579657</v>
      </c>
      <c r="Y2105" s="3" t="n">
        <f aca="false">IF(X2105="","",X2105-AVERAGEIFS($X$2:$X$2705,$B$2:$B$2705,B2105))</f>
        <v>-0.321026422069323</v>
      </c>
      <c r="Z2105" s="21" t="n">
        <f aca="false">P2105</f>
        <v>-0.336415248265542</v>
      </c>
      <c r="AA2105" s="3" t="n">
        <f aca="false">R2105</f>
        <v>0</v>
      </c>
      <c r="AB2105" s="21" t="n">
        <f aca="false">P2105</f>
        <v>-0.336415248265542</v>
      </c>
      <c r="AC2105" s="3" t="n">
        <f aca="false">Y2105</f>
        <v>-0.321026422069323</v>
      </c>
      <c r="AD2105" s="3" t="n">
        <f aca="false">R2105</f>
        <v>0</v>
      </c>
    </row>
    <row r="2106" customFormat="false" ht="15" hidden="false" customHeight="true" outlineLevel="0" collapsed="false">
      <c r="A2106" s="7" t="s">
        <v>71</v>
      </c>
      <c r="B2106" s="7" t="n">
        <v>2006</v>
      </c>
      <c r="C2106" s="7" t="s">
        <v>148</v>
      </c>
      <c r="D2106" s="7" t="n">
        <v>89</v>
      </c>
      <c r="E2106" s="7" t="n">
        <v>73</v>
      </c>
      <c r="F2106" s="3" t="n">
        <f aca="false">COUNTIFS($B$2:$B$2705,B2106,$C$2:$C$2705,C2106)</f>
        <v>2</v>
      </c>
      <c r="G2106" s="3" t="n">
        <f aca="false">MIN(INT((MIN(B2106,2020)-1900)/10)+1,12)</f>
        <v>11</v>
      </c>
      <c r="H2106" s="3" t="n">
        <f aca="false">(MIN(B2106,2020)-1900-10*(G2106-1))/10</f>
        <v>0.6</v>
      </c>
      <c r="I2106" s="20" t="n">
        <f aca="false">EXP(LN(INDEX(Pop_Inputs!$B$2:$N$29,MATCH(C2106,Pop_Inputs!$A$2:$A$29,0),G2106))*(1-H2106)+LN(INDEX(Pop_Inputs!$B$2:$N$29,MATCH(C2106,Pop_Inputs!$A$2:$A$29,0),G2106+1))*H2106)</f>
        <v>3753193.7251972</v>
      </c>
      <c r="J2106" s="20" t="n">
        <f aca="false">I2106/F2106</f>
        <v>1876596.8625986</v>
      </c>
      <c r="K2106" s="21" t="n">
        <f aca="false">D2106/(D2106+E2106)</f>
        <v>0.549382716049383</v>
      </c>
      <c r="L2106" s="21" t="n">
        <f aca="false">AVERAGEIFS($K$2:$K$2705,$B$2:$B$2705,B2106)</f>
        <v>0.499997443958797</v>
      </c>
      <c r="M2106" s="21" t="n">
        <f aca="false">K2106-L2106</f>
        <v>0.0493852720905861</v>
      </c>
      <c r="N2106" s="21" t="n">
        <f aca="false">LN(J2106)</f>
        <v>14.4449705149826</v>
      </c>
      <c r="O2106" s="21" t="n">
        <f aca="false">AVERAGEIFS($N$2:$N$2705,$B$2:$B$2705,B2106)</f>
        <v>13.6185153420178</v>
      </c>
      <c r="P2106" s="21" t="n">
        <f aca="false">N2106-O2106</f>
        <v>0.826455172964794</v>
      </c>
      <c r="Q2106" s="7" t="n">
        <v>1</v>
      </c>
      <c r="R2106" s="3" t="n">
        <f aca="false">IF(AND(Q2106=1,B2106-_xlfn.MINIFS($B$2:$B$2705,$A$2:$A$2705,A2106)&lt;10),1,0)</f>
        <v>0</v>
      </c>
      <c r="S2106" s="7" t="n">
        <v>0</v>
      </c>
      <c r="T2106" s="3" t="n">
        <f aca="false">_xlfn.MINIFS($B$2:$B$2705,$A$2:$A$2705,A2106)</f>
        <v>1961</v>
      </c>
      <c r="U2106" s="3" t="n">
        <f aca="false">B2106-T2106</f>
        <v>45</v>
      </c>
      <c r="V2106" s="3" t="str">
        <f aca="false">INDEX(Pop_Inputs!$Q$2:$Q$29,MATCH(C2106,Pop_Inputs!$A$2:$A$29,0))</f>
        <v>West</v>
      </c>
      <c r="W2106" s="29" t="n">
        <v>103472000</v>
      </c>
      <c r="X2106" s="3" t="n">
        <f aca="false">IF(W2106="","",LN(W2106))</f>
        <v>18.4548116026685</v>
      </c>
      <c r="Y2106" s="3" t="n">
        <f aca="false">IF(X2106="","",X2106-AVERAGEIFS($X$2:$X$2705,$B$2:$B$2705,B2106))</f>
        <v>0.378805589197427</v>
      </c>
      <c r="Z2106" s="21" t="n">
        <f aca="false">P2106</f>
        <v>0.826455172964794</v>
      </c>
      <c r="AA2106" s="3" t="n">
        <f aca="false">R2106</f>
        <v>0</v>
      </c>
      <c r="AB2106" s="21" t="n">
        <f aca="false">P2106</f>
        <v>0.826455172964794</v>
      </c>
      <c r="AC2106" s="3" t="n">
        <f aca="false">Y2106</f>
        <v>0.378805589197427</v>
      </c>
      <c r="AD2106" s="3" t="n">
        <f aca="false">R2106</f>
        <v>0</v>
      </c>
    </row>
    <row r="2107" customFormat="false" ht="15" hidden="false" customHeight="true" outlineLevel="0" collapsed="false">
      <c r="A2107" s="7" t="s">
        <v>84</v>
      </c>
      <c r="B2107" s="7" t="n">
        <v>2006</v>
      </c>
      <c r="C2107" s="7" t="s">
        <v>165</v>
      </c>
      <c r="D2107" s="7" t="n">
        <v>76</v>
      </c>
      <c r="E2107" s="7" t="n">
        <v>86</v>
      </c>
      <c r="F2107" s="3" t="n">
        <f aca="false">COUNTIFS($B$2:$B$2705,B2107,$C$2:$C$2705,C2107)</f>
        <v>1</v>
      </c>
      <c r="G2107" s="3" t="n">
        <f aca="false">MIN(INT((MIN(B2107,2020)-1900)/10)+1,12)</f>
        <v>11</v>
      </c>
      <c r="H2107" s="3" t="n">
        <f aca="false">(MIN(B2107,2020)-1900-10*(G2107-1))/10</f>
        <v>0.6</v>
      </c>
      <c r="I2107" s="20" t="n">
        <f aca="false">EXP(LN(INDEX(Pop_Inputs!$B$2:$N$29,MATCH(C2107,Pop_Inputs!$A$2:$A$29,0),G2107))*(1-H2107)+LN(INDEX(Pop_Inputs!$B$2:$N$29,MATCH(C2107,Pop_Inputs!$A$2:$A$29,0),G2107+1))*H2107)</f>
        <v>1394445.98599829</v>
      </c>
      <c r="J2107" s="20" t="n">
        <f aca="false">I2107/F2107</f>
        <v>1394445.98599829</v>
      </c>
      <c r="K2107" s="21" t="n">
        <f aca="false">D2107/(D2107+E2107)</f>
        <v>0.469135802469136</v>
      </c>
      <c r="L2107" s="21" t="n">
        <f aca="false">AVERAGEIFS($K$2:$K$2705,$B$2:$B$2705,B2107)</f>
        <v>0.499997443958797</v>
      </c>
      <c r="M2107" s="21" t="n">
        <f aca="false">K2107-L2107</f>
        <v>-0.0308616414896608</v>
      </c>
      <c r="N2107" s="21" t="n">
        <f aca="false">LN(J2107)</f>
        <v>14.148007751702</v>
      </c>
      <c r="O2107" s="21" t="n">
        <f aca="false">AVERAGEIFS($N$2:$N$2705,$B$2:$B$2705,B2107)</f>
        <v>13.6185153420178</v>
      </c>
      <c r="P2107" s="21" t="n">
        <f aca="false">N2107-O2107</f>
        <v>0.529492409684226</v>
      </c>
      <c r="Q2107" s="7" t="n">
        <v>1</v>
      </c>
      <c r="R2107" s="3" t="n">
        <f aca="false">IF(AND(Q2107=1,B2107-_xlfn.MINIFS($B$2:$B$2705,$A$2:$A$2705,A2107)&lt;10),1,0)</f>
        <v>1</v>
      </c>
      <c r="S2107" s="7" t="n">
        <v>0</v>
      </c>
      <c r="T2107" s="3" t="n">
        <f aca="false">_xlfn.MINIFS($B$2:$B$2705,$A$2:$A$2705,A2107)</f>
        <v>1998</v>
      </c>
      <c r="U2107" s="3" t="n">
        <f aca="false">B2107-T2107</f>
        <v>8</v>
      </c>
      <c r="V2107" s="3" t="str">
        <f aca="false">INDEX(Pop_Inputs!$Q$2:$Q$29,MATCH(C2107,Pop_Inputs!$A$2:$A$29,0))</f>
        <v>West</v>
      </c>
      <c r="W2107" s="29" t="n">
        <v>59684226</v>
      </c>
      <c r="X2107" s="3" t="n">
        <f aca="false">IF(W2107="","",LN(W2107))</f>
        <v>17.9045783223448</v>
      </c>
      <c r="Y2107" s="3" t="n">
        <f aca="false">IF(X2107="","",X2107-AVERAGEIFS($X$2:$X$2705,$B$2:$B$2705,B2107))</f>
        <v>-0.171427691126326</v>
      </c>
      <c r="Z2107" s="21" t="n">
        <f aca="false">P2107</f>
        <v>0.529492409684226</v>
      </c>
      <c r="AA2107" s="3" t="n">
        <f aca="false">R2107</f>
        <v>1</v>
      </c>
      <c r="AB2107" s="21" t="n">
        <f aca="false">P2107</f>
        <v>0.529492409684226</v>
      </c>
      <c r="AC2107" s="3" t="n">
        <f aca="false">Y2107</f>
        <v>-0.171427691126326</v>
      </c>
      <c r="AD2107" s="3" t="n">
        <f aca="false">R2107</f>
        <v>1</v>
      </c>
    </row>
    <row r="2108" customFormat="false" ht="15" hidden="false" customHeight="true" outlineLevel="0" collapsed="false">
      <c r="A2108" s="7" t="s">
        <v>54</v>
      </c>
      <c r="B2108" s="7" t="n">
        <v>2006</v>
      </c>
      <c r="C2108" s="7" t="s">
        <v>141</v>
      </c>
      <c r="D2108" s="7" t="n">
        <v>79</v>
      </c>
      <c r="E2108" s="7" t="n">
        <v>83</v>
      </c>
      <c r="F2108" s="3" t="n">
        <f aca="false">COUNTIFS($B$2:$B$2705,B2108,$C$2:$C$2705,C2108)</f>
        <v>1</v>
      </c>
      <c r="G2108" s="3" t="n">
        <f aca="false">MIN(INT((MIN(B2108,2020)-1900)/10)+1,12)</f>
        <v>11</v>
      </c>
      <c r="H2108" s="3" t="n">
        <f aca="false">(MIN(B2108,2020)-1900-10*(G2108-1))/10</f>
        <v>0.6</v>
      </c>
      <c r="I2108" s="20" t="n">
        <f aca="false">EXP(LN(INDEX(Pop_Inputs!$B$2:$N$29,MATCH(C2108,Pop_Inputs!$A$2:$A$29,0),G2108))*(1-H2108)+LN(INDEX(Pop_Inputs!$B$2:$N$29,MATCH(C2108,Pop_Inputs!$A$2:$A$29,0),G2108+1))*H2108)</f>
        <v>418587.825752308</v>
      </c>
      <c r="J2108" s="20" t="n">
        <f aca="false">I2108/F2108</f>
        <v>418587.825752308</v>
      </c>
      <c r="K2108" s="21" t="n">
        <f aca="false">D2108/(D2108+E2108)</f>
        <v>0.487654320987654</v>
      </c>
      <c r="L2108" s="21" t="n">
        <f aca="false">AVERAGEIFS($K$2:$K$2705,$B$2:$B$2705,B2108)</f>
        <v>0.499997443958797</v>
      </c>
      <c r="M2108" s="21" t="n">
        <f aca="false">K2108-L2108</f>
        <v>-0.0123431229711423</v>
      </c>
      <c r="N2108" s="21" t="n">
        <f aca="false">LN(J2108)</f>
        <v>12.9446420053229</v>
      </c>
      <c r="O2108" s="21" t="n">
        <f aca="false">AVERAGEIFS($N$2:$N$2705,$B$2:$B$2705,B2108)</f>
        <v>13.6185153420178</v>
      </c>
      <c r="P2108" s="21" t="n">
        <f aca="false">N2108-O2108</f>
        <v>-0.673873336694875</v>
      </c>
      <c r="Q2108" s="7" t="n">
        <v>0</v>
      </c>
      <c r="R2108" s="3" t="n">
        <f aca="false">IF(AND(Q2108=1,B2108-_xlfn.MINIFS($B$2:$B$2705,$A$2:$A$2705,A2108)&lt;10),1,0)</f>
        <v>0</v>
      </c>
      <c r="S2108" s="7" t="n">
        <v>0</v>
      </c>
      <c r="T2108" s="3" t="n">
        <f aca="false">_xlfn.MINIFS($B$2:$B$2705,$A$2:$A$2705,A2108)</f>
        <v>1901</v>
      </c>
      <c r="U2108" s="3" t="n">
        <f aca="false">B2108-T2108</f>
        <v>105</v>
      </c>
      <c r="V2108" s="3" t="str">
        <f aca="false">INDEX(Pop_Inputs!$Q$2:$Q$29,MATCH(C2108,Pop_Inputs!$A$2:$A$29,0))</f>
        <v>South</v>
      </c>
      <c r="W2108" s="29" t="n">
        <v>90156876</v>
      </c>
      <c r="X2108" s="3" t="n">
        <f aca="false">IF(W2108="","",LN(W2108))</f>
        <v>18.3170617775835</v>
      </c>
      <c r="Y2108" s="3" t="n">
        <f aca="false">IF(X2108="","",X2108-AVERAGEIFS($X$2:$X$2705,$B$2:$B$2705,B2108))</f>
        <v>0.241055764112424</v>
      </c>
      <c r="Z2108" s="21" t="n">
        <f aca="false">P2108</f>
        <v>-0.673873336694875</v>
      </c>
      <c r="AA2108" s="3" t="n">
        <f aca="false">R2108</f>
        <v>0</v>
      </c>
      <c r="AB2108" s="21" t="n">
        <f aca="false">P2108</f>
        <v>-0.673873336694875</v>
      </c>
      <c r="AC2108" s="3" t="n">
        <f aca="false">Y2108</f>
        <v>0.241055764112424</v>
      </c>
      <c r="AD2108" s="3" t="n">
        <f aca="false">R2108</f>
        <v>0</v>
      </c>
    </row>
    <row r="2109" customFormat="false" ht="15" hidden="false" customHeight="true" outlineLevel="0" collapsed="false">
      <c r="A2109" s="7" t="s">
        <v>63</v>
      </c>
      <c r="B2109" s="7" t="n">
        <v>2006</v>
      </c>
      <c r="C2109" s="7" t="s">
        <v>149</v>
      </c>
      <c r="D2109" s="7" t="n">
        <v>70</v>
      </c>
      <c r="E2109" s="7" t="n">
        <v>92</v>
      </c>
      <c r="F2109" s="3" t="n">
        <f aca="false">COUNTIFS($B$2:$B$2705,B2109,$C$2:$C$2705,C2109)</f>
        <v>1</v>
      </c>
      <c r="G2109" s="3" t="n">
        <f aca="false">MIN(INT((MIN(B2109,2020)-1900)/10)+1,12)</f>
        <v>11</v>
      </c>
      <c r="H2109" s="3" t="n">
        <f aca="false">(MIN(B2109,2020)-1900-10*(G2109-1))/10</f>
        <v>0.6</v>
      </c>
      <c r="I2109" s="20" t="n">
        <f aca="false">EXP(LN(INDEX(Pop_Inputs!$B$2:$N$29,MATCH(C2109,Pop_Inputs!$A$2:$A$29,0),G2109))*(1-H2109)+LN(INDEX(Pop_Inputs!$B$2:$N$29,MATCH(C2109,Pop_Inputs!$A$2:$A$29,0),G2109+1))*H2109)</f>
        <v>632866.459964134</v>
      </c>
      <c r="J2109" s="20" t="n">
        <f aca="false">I2109/F2109</f>
        <v>632866.459964134</v>
      </c>
      <c r="K2109" s="21" t="n">
        <f aca="false">D2109/(D2109+E2109)</f>
        <v>0.432098765432099</v>
      </c>
      <c r="L2109" s="21" t="n">
        <f aca="false">AVERAGEIFS($K$2:$K$2705,$B$2:$B$2705,B2109)</f>
        <v>0.499997443958797</v>
      </c>
      <c r="M2109" s="21" t="n">
        <f aca="false">K2109-L2109</f>
        <v>-0.0678986785266978</v>
      </c>
      <c r="N2109" s="21" t="n">
        <f aca="false">LN(J2109)</f>
        <v>13.3580147151486</v>
      </c>
      <c r="O2109" s="21" t="n">
        <f aca="false">AVERAGEIFS($N$2:$N$2705,$B$2:$B$2705,B2109)</f>
        <v>13.6185153420178</v>
      </c>
      <c r="P2109" s="21" t="n">
        <f aca="false">N2109-O2109</f>
        <v>-0.260500626869206</v>
      </c>
      <c r="Q2109" s="7" t="n">
        <v>0</v>
      </c>
      <c r="R2109" s="3" t="n">
        <f aca="false">IF(AND(Q2109=1,B2109-_xlfn.MINIFS($B$2:$B$2705,$A$2:$A$2705,A2109)&lt;10),1,0)</f>
        <v>0</v>
      </c>
      <c r="S2109" s="7" t="n">
        <v>0</v>
      </c>
      <c r="T2109" s="3" t="n">
        <f aca="false">_xlfn.MINIFS($B$2:$B$2705,$A$2:$A$2705,A2109)</f>
        <v>1901</v>
      </c>
      <c r="U2109" s="3" t="n">
        <f aca="false">B2109-T2109</f>
        <v>105</v>
      </c>
      <c r="V2109" s="3" t="str">
        <f aca="false">INDEX(Pop_Inputs!$Q$2:$Q$29,MATCH(C2109,Pop_Inputs!$A$2:$A$29,0))</f>
        <v>South</v>
      </c>
      <c r="W2109" s="29" t="n">
        <v>72585582</v>
      </c>
      <c r="X2109" s="3" t="n">
        <f aca="false">IF(W2109="","",LN(W2109))</f>
        <v>18.1002768650311</v>
      </c>
      <c r="Y2109" s="3" t="n">
        <f aca="false">IF(X2109="","",X2109-AVERAGEIFS($X$2:$X$2705,$B$2:$B$2705,B2109))</f>
        <v>0.0242708515600114</v>
      </c>
      <c r="Z2109" s="21" t="n">
        <f aca="false">P2109</f>
        <v>-0.260500626869206</v>
      </c>
      <c r="AA2109" s="3" t="n">
        <f aca="false">R2109</f>
        <v>0</v>
      </c>
      <c r="AB2109" s="21" t="n">
        <f aca="false">P2109</f>
        <v>-0.260500626869206</v>
      </c>
      <c r="AC2109" s="3" t="n">
        <f aca="false">Y2109</f>
        <v>0.0242708515600114</v>
      </c>
      <c r="AD2109" s="3" t="n">
        <f aca="false">R2109</f>
        <v>0</v>
      </c>
    </row>
    <row r="2110" customFormat="false" ht="15" hidden="false" customHeight="true" outlineLevel="0" collapsed="false">
      <c r="A2110" s="7" t="s">
        <v>64</v>
      </c>
      <c r="B2110" s="7" t="n">
        <v>2006</v>
      </c>
      <c r="C2110" s="7" t="s">
        <v>150</v>
      </c>
      <c r="D2110" s="7" t="n">
        <v>86</v>
      </c>
      <c r="E2110" s="7" t="n">
        <v>76</v>
      </c>
      <c r="F2110" s="3" t="n">
        <f aca="false">COUNTIFS($B$2:$B$2705,B2110,$C$2:$C$2705,C2110)</f>
        <v>1</v>
      </c>
      <c r="G2110" s="3" t="n">
        <f aca="false">MIN(INT((MIN(B2110,2020)-1900)/10)+1,12)</f>
        <v>11</v>
      </c>
      <c r="H2110" s="3" t="n">
        <f aca="false">(MIN(B2110,2020)-1900-10*(G2110-1))/10</f>
        <v>0.6</v>
      </c>
      <c r="I2110" s="20" t="n">
        <f aca="false">EXP(LN(INDEX(Pop_Inputs!$B$2:$N$29,MATCH(C2110,Pop_Inputs!$A$2:$A$29,0),G2110))*(1-H2110)+LN(INDEX(Pop_Inputs!$B$2:$N$29,MATCH(C2110,Pop_Inputs!$A$2:$A$29,0),G2110+1))*H2110)</f>
        <v>606051.513178349</v>
      </c>
      <c r="J2110" s="20" t="n">
        <f aca="false">I2110/F2110</f>
        <v>606051.513178349</v>
      </c>
      <c r="K2110" s="21" t="n">
        <f aca="false">D2110/(D2110+E2110)</f>
        <v>0.530864197530864</v>
      </c>
      <c r="L2110" s="21" t="n">
        <f aca="false">AVERAGEIFS($K$2:$K$2705,$B$2:$B$2705,B2110)</f>
        <v>0.499997443958797</v>
      </c>
      <c r="M2110" s="21" t="n">
        <f aca="false">K2110-L2110</f>
        <v>0.0308667535720676</v>
      </c>
      <c r="N2110" s="21" t="n">
        <f aca="false">LN(J2110)</f>
        <v>13.3147202666835</v>
      </c>
      <c r="O2110" s="21" t="n">
        <f aca="false">AVERAGEIFS($N$2:$N$2705,$B$2:$B$2705,B2110)</f>
        <v>13.6185153420178</v>
      </c>
      <c r="P2110" s="21" t="n">
        <f aca="false">N2110-O2110</f>
        <v>-0.303795075334286</v>
      </c>
      <c r="Q2110" s="7" t="n">
        <v>0</v>
      </c>
      <c r="R2110" s="3" t="n">
        <f aca="false">IF(AND(Q2110=1,B2110-_xlfn.MINIFS($B$2:$B$2705,$A$2:$A$2705,A2110)&lt;10),1,0)</f>
        <v>0</v>
      </c>
      <c r="S2110" s="7" t="n">
        <v>0</v>
      </c>
      <c r="T2110" s="3" t="n">
        <f aca="false">_xlfn.MINIFS($B$2:$B$2705,$A$2:$A$2705,A2110)</f>
        <v>1901</v>
      </c>
      <c r="U2110" s="3" t="n">
        <f aca="false">B2110-T2110</f>
        <v>105</v>
      </c>
      <c r="V2110" s="3" t="str">
        <f aca="false">INDEX(Pop_Inputs!$Q$2:$Q$29,MATCH(C2110,Pop_Inputs!$A$2:$A$29,0))</f>
        <v>Northeast</v>
      </c>
      <c r="W2110" s="29" t="n">
        <v>120099824</v>
      </c>
      <c r="X2110" s="3" t="n">
        <f aca="false">IF(W2110="","",LN(W2110))</f>
        <v>18.6038338216037</v>
      </c>
      <c r="Y2110" s="3" t="n">
        <f aca="false">IF(X2110="","",X2110-AVERAGEIFS($X$2:$X$2705,$B$2:$B$2705,B2110))</f>
        <v>0.527827808132592</v>
      </c>
      <c r="Z2110" s="21" t="n">
        <f aca="false">P2110</f>
        <v>-0.303795075334286</v>
      </c>
      <c r="AA2110" s="3" t="n">
        <f aca="false">R2110</f>
        <v>0</v>
      </c>
      <c r="AB2110" s="21" t="n">
        <f aca="false">P2110</f>
        <v>-0.303795075334286</v>
      </c>
      <c r="AC2110" s="3" t="n">
        <f aca="false">Y2110</f>
        <v>0.527827808132592</v>
      </c>
      <c r="AD2110" s="3" t="n">
        <f aca="false">R2110</f>
        <v>0</v>
      </c>
    </row>
    <row r="2111" customFormat="false" ht="15" hidden="false" customHeight="true" outlineLevel="0" collapsed="false">
      <c r="A2111" s="7" t="s">
        <v>56</v>
      </c>
      <c r="B2111" s="7" t="n">
        <v>2006</v>
      </c>
      <c r="C2111" s="7" t="s">
        <v>142</v>
      </c>
      <c r="D2111" s="7" t="n">
        <v>66</v>
      </c>
      <c r="E2111" s="7" t="n">
        <v>96</v>
      </c>
      <c r="F2111" s="3" t="n">
        <f aca="false">COUNTIFS($B$2:$B$2705,B2111,$C$2:$C$2705,C2111)</f>
        <v>2</v>
      </c>
      <c r="G2111" s="3" t="n">
        <f aca="false">MIN(INT((MIN(B2111,2020)-1900)/10)+1,12)</f>
        <v>11</v>
      </c>
      <c r="H2111" s="3" t="n">
        <f aca="false">(MIN(B2111,2020)-1900-10*(G2111-1))/10</f>
        <v>0.6</v>
      </c>
      <c r="I2111" s="20" t="n">
        <f aca="false">EXP(LN(INDEX(Pop_Inputs!$B$2:$N$29,MATCH(C2111,Pop_Inputs!$A$2:$A$29,0),G2111))*(1-H2111)+LN(INDEX(Pop_Inputs!$B$2:$N$29,MATCH(C2111,Pop_Inputs!$A$2:$A$29,0),G2111+1))*H2111)</f>
        <v>2774044.72040083</v>
      </c>
      <c r="J2111" s="20" t="n">
        <f aca="false">I2111/F2111</f>
        <v>1387022.36020041</v>
      </c>
      <c r="K2111" s="21" t="n">
        <f aca="false">D2111/(D2111+E2111)</f>
        <v>0.407407407407407</v>
      </c>
      <c r="L2111" s="21" t="n">
        <f aca="false">AVERAGEIFS($K$2:$K$2705,$B$2:$B$2705,B2111)</f>
        <v>0.499997443958797</v>
      </c>
      <c r="M2111" s="21" t="n">
        <f aca="false">K2111-L2111</f>
        <v>-0.0925900365513892</v>
      </c>
      <c r="N2111" s="21" t="n">
        <f aca="false">LN(J2111)</f>
        <v>14.1426698204362</v>
      </c>
      <c r="O2111" s="21" t="n">
        <f aca="false">AVERAGEIFS($N$2:$N$2705,$B$2:$B$2705,B2111)</f>
        <v>13.6185153420178</v>
      </c>
      <c r="P2111" s="21" t="n">
        <f aca="false">N2111-O2111</f>
        <v>0.524154478418451</v>
      </c>
      <c r="Q2111" s="7" t="n">
        <v>0</v>
      </c>
      <c r="R2111" s="3" t="n">
        <f aca="false">IF(AND(Q2111=1,B2111-_xlfn.MINIFS($B$2:$B$2705,$A$2:$A$2705,A2111)&lt;10),1,0)</f>
        <v>0</v>
      </c>
      <c r="S2111" s="7" t="n">
        <v>0</v>
      </c>
      <c r="T2111" s="3" t="n">
        <f aca="false">_xlfn.MINIFS($B$2:$B$2705,$A$2:$A$2705,A2111)</f>
        <v>1901</v>
      </c>
      <c r="U2111" s="3" t="n">
        <f aca="false">B2111-T2111</f>
        <v>105</v>
      </c>
      <c r="V2111" s="3" t="str">
        <f aca="false">INDEX(Pop_Inputs!$Q$2:$Q$29,MATCH(C2111,Pop_Inputs!$A$2:$A$29,0))</f>
        <v>Midwest</v>
      </c>
      <c r="W2111" s="29" t="n">
        <v>94424499</v>
      </c>
      <c r="X2111" s="3" t="n">
        <f aca="false">IF(W2111="","",LN(W2111))</f>
        <v>18.3633111207505</v>
      </c>
      <c r="Y2111" s="3" t="n">
        <f aca="false">IF(X2111="","",X2111-AVERAGEIFS($X$2:$X$2705,$B$2:$B$2705,B2111))</f>
        <v>0.287305107279384</v>
      </c>
      <c r="Z2111" s="21" t="n">
        <f aca="false">P2111</f>
        <v>0.524154478418451</v>
      </c>
      <c r="AA2111" s="3" t="n">
        <f aca="false">R2111</f>
        <v>0</v>
      </c>
      <c r="AB2111" s="21" t="n">
        <f aca="false">P2111</f>
        <v>0.524154478418451</v>
      </c>
      <c r="AC2111" s="3" t="n">
        <f aca="false">Y2111</f>
        <v>0.287305107279384</v>
      </c>
      <c r="AD2111" s="3" t="n">
        <f aca="false">R2111</f>
        <v>0</v>
      </c>
    </row>
    <row r="2112" customFormat="false" ht="15" hidden="false" customHeight="true" outlineLevel="0" collapsed="false">
      <c r="A2112" s="7" t="s">
        <v>65</v>
      </c>
      <c r="B2112" s="7" t="n">
        <v>2006</v>
      </c>
      <c r="C2112" s="7" t="s">
        <v>142</v>
      </c>
      <c r="D2112" s="7" t="n">
        <v>90</v>
      </c>
      <c r="E2112" s="7" t="n">
        <v>72</v>
      </c>
      <c r="F2112" s="3" t="n">
        <f aca="false">COUNTIFS($B$2:$B$2705,B2112,$C$2:$C$2705,C2112)</f>
        <v>2</v>
      </c>
      <c r="G2112" s="3" t="n">
        <f aca="false">MIN(INT((MIN(B2112,2020)-1900)/10)+1,12)</f>
        <v>11</v>
      </c>
      <c r="H2112" s="3" t="n">
        <f aca="false">(MIN(B2112,2020)-1900-10*(G2112-1))/10</f>
        <v>0.6</v>
      </c>
      <c r="I2112" s="20" t="n">
        <f aca="false">EXP(LN(INDEX(Pop_Inputs!$B$2:$N$29,MATCH(C2112,Pop_Inputs!$A$2:$A$29,0),G2112))*(1-H2112)+LN(INDEX(Pop_Inputs!$B$2:$N$29,MATCH(C2112,Pop_Inputs!$A$2:$A$29,0),G2112+1))*H2112)</f>
        <v>2774044.72040083</v>
      </c>
      <c r="J2112" s="20" t="n">
        <f aca="false">I2112/F2112</f>
        <v>1387022.36020041</v>
      </c>
      <c r="K2112" s="21" t="n">
        <f aca="false">D2112/(D2112+E2112)</f>
        <v>0.555555555555556</v>
      </c>
      <c r="L2112" s="21" t="n">
        <f aca="false">AVERAGEIFS($K$2:$K$2705,$B$2:$B$2705,B2112)</f>
        <v>0.499997443958797</v>
      </c>
      <c r="M2112" s="21" t="n">
        <f aca="false">K2112-L2112</f>
        <v>0.055558111596759</v>
      </c>
      <c r="N2112" s="21" t="n">
        <f aca="false">LN(J2112)</f>
        <v>14.1426698204362</v>
      </c>
      <c r="O2112" s="21" t="n">
        <f aca="false">AVERAGEIFS($N$2:$N$2705,$B$2:$B$2705,B2112)</f>
        <v>13.6185153420178</v>
      </c>
      <c r="P2112" s="21" t="n">
        <f aca="false">N2112-O2112</f>
        <v>0.524154478418451</v>
      </c>
      <c r="Q2112" s="7" t="n">
        <v>0</v>
      </c>
      <c r="R2112" s="3" t="n">
        <f aca="false">IF(AND(Q2112=1,B2112-_xlfn.MINIFS($B$2:$B$2705,$A$2:$A$2705,A2112)&lt;10),1,0)</f>
        <v>0</v>
      </c>
      <c r="S2112" s="7" t="n">
        <v>0</v>
      </c>
      <c r="T2112" s="3" t="n">
        <f aca="false">_xlfn.MINIFS($B$2:$B$2705,$A$2:$A$2705,A2112)</f>
        <v>1901</v>
      </c>
      <c r="U2112" s="3" t="n">
        <f aca="false">B2112-T2112</f>
        <v>105</v>
      </c>
      <c r="V2112" s="3" t="str">
        <f aca="false">INDEX(Pop_Inputs!$Q$2:$Q$29,MATCH(C2112,Pop_Inputs!$A$2:$A$29,0))</f>
        <v>Midwest</v>
      </c>
      <c r="W2112" s="29" t="n">
        <v>102750667</v>
      </c>
      <c r="X2112" s="3" t="n">
        <f aca="false">IF(W2112="","",LN(W2112))</f>
        <v>18.4478159028037</v>
      </c>
      <c r="Y2112" s="3" t="n">
        <f aca="false">IF(X2112="","",X2112-AVERAGEIFS($X$2:$X$2705,$B$2:$B$2705,B2112))</f>
        <v>0.371809889332649</v>
      </c>
      <c r="Z2112" s="21" t="n">
        <f aca="false">P2112</f>
        <v>0.524154478418451</v>
      </c>
      <c r="AA2112" s="3" t="n">
        <f aca="false">R2112</f>
        <v>0</v>
      </c>
      <c r="AB2112" s="21" t="n">
        <f aca="false">P2112</f>
        <v>0.524154478418451</v>
      </c>
      <c r="AC2112" s="3" t="n">
        <f aca="false">Y2112</f>
        <v>0.371809889332649</v>
      </c>
      <c r="AD2112" s="3" t="n">
        <f aca="false">R2112</f>
        <v>0</v>
      </c>
    </row>
    <row r="2113" customFormat="false" ht="15" hidden="false" customHeight="true" outlineLevel="0" collapsed="false">
      <c r="A2113" s="7" t="s">
        <v>57</v>
      </c>
      <c r="B2113" s="7" t="n">
        <v>2006</v>
      </c>
      <c r="C2113" s="7" t="s">
        <v>143</v>
      </c>
      <c r="D2113" s="7" t="n">
        <v>80</v>
      </c>
      <c r="E2113" s="7" t="n">
        <v>82</v>
      </c>
      <c r="F2113" s="3" t="n">
        <f aca="false">COUNTIFS($B$2:$B$2705,B2113,$C$2:$C$2705,C2113)</f>
        <v>1</v>
      </c>
      <c r="G2113" s="3" t="n">
        <f aca="false">MIN(INT((MIN(B2113,2020)-1900)/10)+1,12)</f>
        <v>11</v>
      </c>
      <c r="H2113" s="3" t="n">
        <f aca="false">(MIN(B2113,2020)-1900-10*(G2113-1))/10</f>
        <v>0.6</v>
      </c>
      <c r="I2113" s="20" t="n">
        <f aca="false">EXP(LN(INDEX(Pop_Inputs!$B$2:$N$29,MATCH(C2113,Pop_Inputs!$A$2:$A$29,0),G2113))*(1-H2113)+LN(INDEX(Pop_Inputs!$B$2:$N$29,MATCH(C2113,Pop_Inputs!$A$2:$A$29,0),G2113+1))*H2113)</f>
        <v>310230.550872369</v>
      </c>
      <c r="J2113" s="20" t="n">
        <f aca="false">I2113/F2113</f>
        <v>310230.550872369</v>
      </c>
      <c r="K2113" s="21" t="n">
        <f aca="false">D2113/(D2113+E2113)</f>
        <v>0.493827160493827</v>
      </c>
      <c r="L2113" s="21" t="n">
        <f aca="false">AVERAGEIFS($K$2:$K$2705,$B$2:$B$2705,B2113)</f>
        <v>0.499997443958797</v>
      </c>
      <c r="M2113" s="21" t="n">
        <f aca="false">K2113-L2113</f>
        <v>-0.00617028346496945</v>
      </c>
      <c r="N2113" s="21" t="n">
        <f aca="false">LN(J2113)</f>
        <v>12.6450710125357</v>
      </c>
      <c r="O2113" s="21" t="n">
        <f aca="false">AVERAGEIFS($N$2:$N$2705,$B$2:$B$2705,B2113)</f>
        <v>13.6185153420178</v>
      </c>
      <c r="P2113" s="21" t="n">
        <f aca="false">N2113-O2113</f>
        <v>-0.973444329482048</v>
      </c>
      <c r="Q2113" s="7" t="n">
        <v>0</v>
      </c>
      <c r="R2113" s="3" t="n">
        <f aca="false">IF(AND(Q2113=1,B2113-_xlfn.MINIFS($B$2:$B$2705,$A$2:$A$2705,A2113)&lt;10),1,0)</f>
        <v>0</v>
      </c>
      <c r="S2113" s="7" t="n">
        <v>0</v>
      </c>
      <c r="T2113" s="3" t="n">
        <f aca="false">_xlfn.MINIFS($B$2:$B$2705,$A$2:$A$2705,A2113)</f>
        <v>1901</v>
      </c>
      <c r="U2113" s="3" t="n">
        <f aca="false">B2113-T2113</f>
        <v>105</v>
      </c>
      <c r="V2113" s="3" t="str">
        <f aca="false">INDEX(Pop_Inputs!$Q$2:$Q$29,MATCH(C2113,Pop_Inputs!$A$2:$A$29,0))</f>
        <v>Midwest</v>
      </c>
      <c r="W2113" s="29" t="n">
        <v>60909519</v>
      </c>
      <c r="X2113" s="3" t="n">
        <f aca="false">IF(W2113="","",LN(W2113))</f>
        <v>17.9249000258844</v>
      </c>
      <c r="Y2113" s="3" t="n">
        <f aca="false">IF(X2113="","",X2113-AVERAGEIFS($X$2:$X$2705,$B$2:$B$2705,B2113))</f>
        <v>-0.151105987586657</v>
      </c>
      <c r="Z2113" s="21" t="n">
        <f aca="false">P2113</f>
        <v>-0.973444329482048</v>
      </c>
      <c r="AA2113" s="3" t="n">
        <f aca="false">R2113</f>
        <v>0</v>
      </c>
      <c r="AB2113" s="21" t="n">
        <f aca="false">P2113</f>
        <v>-0.973444329482048</v>
      </c>
      <c r="AC2113" s="3" t="n">
        <f aca="false">Y2113</f>
        <v>-0.151105987586657</v>
      </c>
      <c r="AD2113" s="3" t="n">
        <f aca="false">R2113</f>
        <v>0</v>
      </c>
    </row>
    <row r="2114" customFormat="false" ht="15" hidden="false" customHeight="true" outlineLevel="0" collapsed="false">
      <c r="A2114" s="7" t="s">
        <v>66</v>
      </c>
      <c r="B2114" s="7" t="n">
        <v>2006</v>
      </c>
      <c r="C2114" s="7" t="s">
        <v>151</v>
      </c>
      <c r="D2114" s="7" t="n">
        <v>78</v>
      </c>
      <c r="E2114" s="7" t="n">
        <v>84</v>
      </c>
      <c r="F2114" s="3" t="n">
        <f aca="false">COUNTIFS($B$2:$B$2705,B2114,$C$2:$C$2705,C2114)</f>
        <v>1</v>
      </c>
      <c r="G2114" s="3" t="n">
        <f aca="false">MIN(INT((MIN(B2114,2020)-1900)/10)+1,12)</f>
        <v>11</v>
      </c>
      <c r="H2114" s="3" t="n">
        <f aca="false">(MIN(B2114,2020)-1900-10*(G2114-1))/10</f>
        <v>0.6</v>
      </c>
      <c r="I2114" s="20" t="n">
        <f aca="false">EXP(LN(INDEX(Pop_Inputs!$B$2:$N$29,MATCH(C2114,Pop_Inputs!$A$2:$A$29,0),G2114))*(1-H2114)+LN(INDEX(Pop_Inputs!$B$2:$N$29,MATCH(C2114,Pop_Inputs!$A$2:$A$29,0),G2114+1))*H2114)</f>
        <v>427632.206559502</v>
      </c>
      <c r="J2114" s="20" t="n">
        <f aca="false">I2114/F2114</f>
        <v>427632.206559502</v>
      </c>
      <c r="K2114" s="21" t="n">
        <f aca="false">D2114/(D2114+E2114)</f>
        <v>0.481481481481481</v>
      </c>
      <c r="L2114" s="21" t="n">
        <f aca="false">AVERAGEIFS($K$2:$K$2705,$B$2:$B$2705,B2114)</f>
        <v>0.499997443958797</v>
      </c>
      <c r="M2114" s="21" t="n">
        <f aca="false">K2114-L2114</f>
        <v>-0.0185159624773151</v>
      </c>
      <c r="N2114" s="21" t="n">
        <f aca="false">LN(J2114)</f>
        <v>12.9660187746594</v>
      </c>
      <c r="O2114" s="21" t="n">
        <f aca="false">AVERAGEIFS($N$2:$N$2705,$B$2:$B$2705,B2114)</f>
        <v>13.6185153420178</v>
      </c>
      <c r="P2114" s="21" t="n">
        <f aca="false">N2114-O2114</f>
        <v>-0.652496567358403</v>
      </c>
      <c r="Q2114" s="7" t="n">
        <v>0</v>
      </c>
      <c r="R2114" s="3" t="n">
        <f aca="false">IF(AND(Q2114=1,B2114-_xlfn.MINIFS($B$2:$B$2705,$A$2:$A$2705,A2114)&lt;10),1,0)</f>
        <v>0</v>
      </c>
      <c r="S2114" s="7" t="n">
        <v>0</v>
      </c>
      <c r="T2114" s="3" t="n">
        <f aca="false">_xlfn.MINIFS($B$2:$B$2705,$A$2:$A$2705,A2114)</f>
        <v>1901</v>
      </c>
      <c r="U2114" s="3" t="n">
        <f aca="false">B2114-T2114</f>
        <v>105</v>
      </c>
      <c r="V2114" s="3" t="str">
        <f aca="false">INDEX(Pop_Inputs!$Q$2:$Q$29,MATCH(C2114,Pop_Inputs!$A$2:$A$29,0))</f>
        <v>Midwest</v>
      </c>
      <c r="W2114" s="29" t="n">
        <v>56031500</v>
      </c>
      <c r="X2114" s="3" t="n">
        <f aca="false">IF(W2114="","",LN(W2114))</f>
        <v>17.8414245905556</v>
      </c>
      <c r="Y2114" s="3" t="n">
        <f aca="false">IF(X2114="","",X2114-AVERAGEIFS($X$2:$X$2705,$B$2:$B$2705,B2114))</f>
        <v>-0.234581422915483</v>
      </c>
      <c r="Z2114" s="21" t="n">
        <f aca="false">P2114</f>
        <v>-0.652496567358403</v>
      </c>
      <c r="AA2114" s="3" t="n">
        <f aca="false">R2114</f>
        <v>0</v>
      </c>
      <c r="AB2114" s="21" t="n">
        <f aca="false">P2114</f>
        <v>-0.652496567358403</v>
      </c>
      <c r="AC2114" s="3" t="n">
        <f aca="false">Y2114</f>
        <v>-0.234581422915483</v>
      </c>
      <c r="AD2114" s="3" t="n">
        <f aca="false">R2114</f>
        <v>0</v>
      </c>
    </row>
    <row r="2115" customFormat="false" ht="15" hidden="false" customHeight="true" outlineLevel="0" collapsed="false">
      <c r="A2115" s="7" t="s">
        <v>82</v>
      </c>
      <c r="B2115" s="7" t="n">
        <v>2006</v>
      </c>
      <c r="C2115" s="7" t="s">
        <v>163</v>
      </c>
      <c r="D2115" s="7" t="n">
        <v>76</v>
      </c>
      <c r="E2115" s="7" t="n">
        <v>86</v>
      </c>
      <c r="F2115" s="3" t="n">
        <f aca="false">COUNTIFS($B$2:$B$2705,B2115,$C$2:$C$2705,C2115)</f>
        <v>1</v>
      </c>
      <c r="G2115" s="3" t="n">
        <f aca="false">MIN(INT((MIN(B2115,2020)-1900)/10)+1,12)</f>
        <v>11</v>
      </c>
      <c r="H2115" s="3" t="n">
        <f aca="false">(MIN(B2115,2020)-1900-10*(G2115-1))/10</f>
        <v>0.6</v>
      </c>
      <c r="I2115" s="20" t="n">
        <f aca="false">EXP(LN(INDEX(Pop_Inputs!$B$2:$N$29,MATCH(C2115,Pop_Inputs!$A$2:$A$29,0),G2115))*(1-H2115)+LN(INDEX(Pop_Inputs!$B$2:$N$29,MATCH(C2115,Pop_Inputs!$A$2:$A$29,0),G2115+1))*H2115)</f>
        <v>581517.222808331</v>
      </c>
      <c r="J2115" s="20" t="n">
        <f aca="false">I2115/F2115</f>
        <v>581517.222808331</v>
      </c>
      <c r="K2115" s="21" t="n">
        <f aca="false">D2115/(D2115+E2115)</f>
        <v>0.469135802469136</v>
      </c>
      <c r="L2115" s="21" t="n">
        <f aca="false">AVERAGEIFS($K$2:$K$2705,$B$2:$B$2705,B2115)</f>
        <v>0.499997443958797</v>
      </c>
      <c r="M2115" s="21" t="n">
        <f aca="false">K2115-L2115</f>
        <v>-0.0308616414896608</v>
      </c>
      <c r="N2115" s="21" t="n">
        <f aca="false">LN(J2115)</f>
        <v>13.2733958684014</v>
      </c>
      <c r="O2115" s="21" t="n">
        <f aca="false">AVERAGEIFS($N$2:$N$2705,$B$2:$B$2705,B2115)</f>
        <v>13.6185153420178</v>
      </c>
      <c r="P2115" s="21" t="n">
        <f aca="false">N2115-O2115</f>
        <v>-0.345119473616434</v>
      </c>
      <c r="Q2115" s="7" t="n">
        <v>1</v>
      </c>
      <c r="R2115" s="3" t="n">
        <f aca="false">IF(AND(Q2115=1,B2115-_xlfn.MINIFS($B$2:$B$2705,$A$2:$A$2705,A2115)&lt;10),1,0)</f>
        <v>0</v>
      </c>
      <c r="S2115" s="7" t="n">
        <v>0</v>
      </c>
      <c r="T2115" s="3" t="n">
        <f aca="false">_xlfn.MINIFS($B$2:$B$2705,$A$2:$A$2705,A2115)</f>
        <v>1993</v>
      </c>
      <c r="U2115" s="3" t="n">
        <f aca="false">B2115-T2115</f>
        <v>13</v>
      </c>
      <c r="V2115" s="3" t="str">
        <f aca="false">INDEX(Pop_Inputs!$Q$2:$Q$29,MATCH(C2115,Pop_Inputs!$A$2:$A$29,0))</f>
        <v>West</v>
      </c>
      <c r="W2115" s="29" t="n">
        <v>41233000</v>
      </c>
      <c r="X2115" s="3" t="n">
        <f aca="false">IF(W2115="","",LN(W2115))</f>
        <v>17.5347494645876</v>
      </c>
      <c r="Y2115" s="3" t="n">
        <f aca="false">IF(X2115="","",X2115-AVERAGEIFS($X$2:$X$2705,$B$2:$B$2705,B2115))</f>
        <v>-0.541256548883528</v>
      </c>
      <c r="Z2115" s="21" t="n">
        <f aca="false">P2115</f>
        <v>-0.345119473616434</v>
      </c>
      <c r="AA2115" s="3" t="n">
        <f aca="false">R2115</f>
        <v>0</v>
      </c>
      <c r="AB2115" s="21" t="n">
        <f aca="false">P2115</f>
        <v>-0.345119473616434</v>
      </c>
      <c r="AC2115" s="3" t="n">
        <f aca="false">Y2115</f>
        <v>-0.541256548883528</v>
      </c>
      <c r="AD2115" s="3" t="n">
        <f aca="false">R2115</f>
        <v>0</v>
      </c>
    </row>
    <row r="2116" customFormat="false" ht="15" hidden="false" customHeight="true" outlineLevel="0" collapsed="false">
      <c r="A2116" s="7" t="s">
        <v>67</v>
      </c>
      <c r="B2116" s="7" t="n">
        <v>2006</v>
      </c>
      <c r="C2116" s="7" t="s">
        <v>152</v>
      </c>
      <c r="D2116" s="7" t="n">
        <v>95</v>
      </c>
      <c r="E2116" s="7" t="n">
        <v>67</v>
      </c>
      <c r="F2116" s="3" t="n">
        <f aca="false">COUNTIFS($B$2:$B$2705,B2116,$C$2:$C$2705,C2116)</f>
        <v>1</v>
      </c>
      <c r="G2116" s="3" t="n">
        <f aca="false">MIN(INT((MIN(B2116,2020)-1900)/10)+1,12)</f>
        <v>11</v>
      </c>
      <c r="H2116" s="3" t="n">
        <f aca="false">(MIN(B2116,2020)-1900-10*(G2116-1))/10</f>
        <v>0.6</v>
      </c>
      <c r="I2116" s="20" t="n">
        <f aca="false">EXP(LN(INDEX(Pop_Inputs!$B$2:$N$29,MATCH(C2116,Pop_Inputs!$A$2:$A$29,0),G2116))*(1-H2116)+LN(INDEX(Pop_Inputs!$B$2:$N$29,MATCH(C2116,Pop_Inputs!$A$2:$A$29,0),G2116+1))*H2116)</f>
        <v>800680.128206427</v>
      </c>
      <c r="J2116" s="20" t="n">
        <f aca="false">I2116/F2116</f>
        <v>800680.128206427</v>
      </c>
      <c r="K2116" s="21" t="n">
        <f aca="false">D2116/(D2116+E2116)</f>
        <v>0.58641975308642</v>
      </c>
      <c r="L2116" s="21" t="n">
        <f aca="false">AVERAGEIFS($K$2:$K$2705,$B$2:$B$2705,B2116)</f>
        <v>0.499997443958797</v>
      </c>
      <c r="M2116" s="21" t="n">
        <f aca="false">K2116-L2116</f>
        <v>0.0864223091276232</v>
      </c>
      <c r="N2116" s="21" t="n">
        <f aca="false">LN(J2116)</f>
        <v>13.5932168057266</v>
      </c>
      <c r="O2116" s="21" t="n">
        <f aca="false">AVERAGEIFS($N$2:$N$2705,$B$2:$B$2705,B2116)</f>
        <v>13.6185153420178</v>
      </c>
      <c r="P2116" s="21" t="n">
        <f aca="false">N2116-O2116</f>
        <v>-0.0252985362912366</v>
      </c>
      <c r="Q2116" s="7" t="n">
        <v>0</v>
      </c>
      <c r="R2116" s="3" t="n">
        <f aca="false">IF(AND(Q2116=1,B2116-_xlfn.MINIFS($B$2:$B$2705,$A$2:$A$2705,A2116)&lt;10),1,0)</f>
        <v>0</v>
      </c>
      <c r="S2116" s="7" t="n">
        <v>0</v>
      </c>
      <c r="T2116" s="3" t="n">
        <f aca="false">_xlfn.MINIFS($B$2:$B$2705,$A$2:$A$2705,A2116)</f>
        <v>1901</v>
      </c>
      <c r="U2116" s="3" t="n">
        <f aca="false">B2116-T2116</f>
        <v>105</v>
      </c>
      <c r="V2116" s="3" t="str">
        <f aca="false">INDEX(Pop_Inputs!$Q$2:$Q$29,MATCH(C2116,Pop_Inputs!$A$2:$A$29,0))</f>
        <v>Midwest</v>
      </c>
      <c r="W2116" s="29" t="n">
        <v>82612866</v>
      </c>
      <c r="X2116" s="3" t="n">
        <f aca="false">IF(W2116="","",LN(W2116))</f>
        <v>18.2296759890733</v>
      </c>
      <c r="Y2116" s="3" t="n">
        <f aca="false">IF(X2116="","",X2116-AVERAGEIFS($X$2:$X$2705,$B$2:$B$2705,B2116))</f>
        <v>0.153669975602234</v>
      </c>
      <c r="Z2116" s="21" t="n">
        <f aca="false">P2116</f>
        <v>-0.0252985362912366</v>
      </c>
      <c r="AA2116" s="3" t="n">
        <f aca="false">R2116</f>
        <v>0</v>
      </c>
      <c r="AB2116" s="21" t="n">
        <f aca="false">P2116</f>
        <v>-0.0252985362912366</v>
      </c>
      <c r="AC2116" s="3" t="n">
        <f aca="false">Y2116</f>
        <v>0.153669975602234</v>
      </c>
      <c r="AD2116" s="3" t="n">
        <f aca="false">R2116</f>
        <v>0</v>
      </c>
    </row>
    <row r="2117" customFormat="false" ht="15" hidden="false" customHeight="true" outlineLevel="0" collapsed="false">
      <c r="A2117" s="7" t="s">
        <v>83</v>
      </c>
      <c r="B2117" s="7" t="n">
        <v>2006</v>
      </c>
      <c r="C2117" s="7" t="s">
        <v>164</v>
      </c>
      <c r="D2117" s="7" t="n">
        <v>78</v>
      </c>
      <c r="E2117" s="7" t="n">
        <v>84</v>
      </c>
      <c r="F2117" s="3" t="n">
        <f aca="false">COUNTIFS($B$2:$B$2705,B2117,$C$2:$C$2705,C2117)</f>
        <v>1</v>
      </c>
      <c r="G2117" s="3" t="n">
        <f aca="false">MIN(INT((MIN(B2117,2020)-1900)/10)+1,12)</f>
        <v>11</v>
      </c>
      <c r="H2117" s="3" t="n">
        <f aca="false">(MIN(B2117,2020)-1900-10*(G2117-1))/10</f>
        <v>0.6</v>
      </c>
      <c r="I2117" s="20" t="n">
        <f aca="false">EXP(LN(INDEX(Pop_Inputs!$B$2:$N$29,MATCH(C2117,Pop_Inputs!$A$2:$A$29,0),G2117))*(1-H2117)+LN(INDEX(Pop_Inputs!$B$2:$N$29,MATCH(C2117,Pop_Inputs!$A$2:$A$29,0),G2117+1))*H2117)</f>
        <v>384229.626607279</v>
      </c>
      <c r="J2117" s="20" t="n">
        <f aca="false">I2117/F2117</f>
        <v>384229.626607279</v>
      </c>
      <c r="K2117" s="21" t="n">
        <f aca="false">D2117/(D2117+E2117)</f>
        <v>0.481481481481481</v>
      </c>
      <c r="L2117" s="21" t="n">
        <f aca="false">AVERAGEIFS($K$2:$K$2705,$B$2:$B$2705,B2117)</f>
        <v>0.499997443958797</v>
      </c>
      <c r="M2117" s="21" t="n">
        <f aca="false">K2117-L2117</f>
        <v>-0.0185159624773151</v>
      </c>
      <c r="N2117" s="21" t="n">
        <f aca="false">LN(J2117)</f>
        <v>12.858995638804</v>
      </c>
      <c r="O2117" s="21" t="n">
        <f aca="false">AVERAGEIFS($N$2:$N$2705,$B$2:$B$2705,B2117)</f>
        <v>13.6185153420178</v>
      </c>
      <c r="P2117" s="21" t="n">
        <f aca="false">N2117-O2117</f>
        <v>-0.759519703213833</v>
      </c>
      <c r="Q2117" s="7" t="n">
        <v>1</v>
      </c>
      <c r="R2117" s="3" t="n">
        <f aca="false">IF(AND(Q2117=1,B2117-_xlfn.MINIFS($B$2:$B$2705,$A$2:$A$2705,A2117)&lt;10),1,0)</f>
        <v>0</v>
      </c>
      <c r="S2117" s="7" t="n">
        <v>0</v>
      </c>
      <c r="T2117" s="3" t="n">
        <f aca="false">_xlfn.MINIFS($B$2:$B$2705,$A$2:$A$2705,A2117)</f>
        <v>1993</v>
      </c>
      <c r="U2117" s="3" t="n">
        <f aca="false">B2117-T2117</f>
        <v>13</v>
      </c>
      <c r="V2117" s="3" t="str">
        <f aca="false">INDEX(Pop_Inputs!$Q$2:$Q$29,MATCH(C2117,Pop_Inputs!$A$2:$A$29,0))</f>
        <v>South</v>
      </c>
      <c r="W2117" s="29" t="n">
        <v>14671500</v>
      </c>
      <c r="X2117" s="3" t="n">
        <f aca="false">IF(W2117="","",LN(W2117))</f>
        <v>16.5014173943808</v>
      </c>
      <c r="Y2117" s="3" t="n">
        <f aca="false">IF(X2117="","",X2117-AVERAGEIFS($X$2:$X$2705,$B$2:$B$2705,B2117))</f>
        <v>-1.57458861909029</v>
      </c>
      <c r="Z2117" s="21" t="n">
        <f aca="false">P2117</f>
        <v>-0.759519703213833</v>
      </c>
      <c r="AA2117" s="3" t="n">
        <f aca="false">R2117</f>
        <v>0</v>
      </c>
      <c r="AB2117" s="21" t="n">
        <f aca="false">P2117</f>
        <v>-0.759519703213833</v>
      </c>
      <c r="AC2117" s="3" t="n">
        <f aca="false">Y2117</f>
        <v>-1.57458861909029</v>
      </c>
      <c r="AD2117" s="3" t="n">
        <f aca="false">R2117</f>
        <v>0</v>
      </c>
    </row>
    <row r="2118" customFormat="false" ht="15" hidden="false" customHeight="true" outlineLevel="0" collapsed="false">
      <c r="A2118" s="7" t="s">
        <v>74</v>
      </c>
      <c r="B2118" s="7" t="n">
        <v>2006</v>
      </c>
      <c r="C2118" s="7" t="s">
        <v>156</v>
      </c>
      <c r="D2118" s="7" t="n">
        <v>82</v>
      </c>
      <c r="E2118" s="7" t="n">
        <v>80</v>
      </c>
      <c r="F2118" s="3" t="n">
        <f aca="false">COUNTIFS($B$2:$B$2705,B2118,$C$2:$C$2705,C2118)</f>
        <v>1</v>
      </c>
      <c r="G2118" s="3" t="n">
        <f aca="false">MIN(INT((MIN(B2118,2020)-1900)/10)+1,12)</f>
        <v>11</v>
      </c>
      <c r="H2118" s="3" t="n">
        <f aca="false">(MIN(B2118,2020)-1900-10*(G2118-1))/10</f>
        <v>0.6</v>
      </c>
      <c r="I2118" s="20" t="n">
        <f aca="false">EXP(LN(INDEX(Pop_Inputs!$B$2:$N$29,MATCH(C2118,Pop_Inputs!$A$2:$A$29,0),G2118))*(1-H2118)+LN(INDEX(Pop_Inputs!$B$2:$N$29,MATCH(C2118,Pop_Inputs!$A$2:$A$29,0),G2118+1))*H2118)</f>
        <v>2039860.46527837</v>
      </c>
      <c r="J2118" s="20" t="n">
        <f aca="false">I2118/F2118</f>
        <v>2039860.46527837</v>
      </c>
      <c r="K2118" s="21" t="n">
        <f aca="false">D2118/(D2118+E2118)</f>
        <v>0.506172839506173</v>
      </c>
      <c r="L2118" s="21" t="n">
        <f aca="false">AVERAGEIFS($K$2:$K$2705,$B$2:$B$2705,B2118)</f>
        <v>0.499997443958797</v>
      </c>
      <c r="M2118" s="21" t="n">
        <f aca="false">K2118-L2118</f>
        <v>0.00617539554737628</v>
      </c>
      <c r="N2118" s="21" t="n">
        <f aca="false">LN(J2118)</f>
        <v>14.5283919641077</v>
      </c>
      <c r="O2118" s="21" t="n">
        <f aca="false">AVERAGEIFS($N$2:$N$2705,$B$2:$B$2705,B2118)</f>
        <v>13.6185153420178</v>
      </c>
      <c r="P2118" s="21" t="n">
        <f aca="false">N2118-O2118</f>
        <v>0.909876622089913</v>
      </c>
      <c r="Q2118" s="7" t="n">
        <v>1</v>
      </c>
      <c r="R2118" s="3" t="n">
        <f aca="false">IF(AND(Q2118=1,B2118-_xlfn.MINIFS($B$2:$B$2705,$A$2:$A$2705,A2118)&lt;10),1,0)</f>
        <v>0</v>
      </c>
      <c r="S2118" s="7" t="n">
        <v>0</v>
      </c>
      <c r="T2118" s="3" t="n">
        <f aca="false">_xlfn.MINIFS($B$2:$B$2705,$A$2:$A$2705,A2118)</f>
        <v>1962</v>
      </c>
      <c r="U2118" s="3" t="n">
        <f aca="false">B2118-T2118</f>
        <v>44</v>
      </c>
      <c r="V2118" s="3" t="str">
        <f aca="false">INDEX(Pop_Inputs!$Q$2:$Q$29,MATCH(C2118,Pop_Inputs!$A$2:$A$29,0))</f>
        <v>South</v>
      </c>
      <c r="W2118" s="29" t="n">
        <v>88694435</v>
      </c>
      <c r="X2118" s="3" t="n">
        <f aca="false">IF(W2118="","",LN(W2118))</f>
        <v>18.30070770574</v>
      </c>
      <c r="Y2118" s="3" t="n">
        <f aca="false">IF(X2118="","",X2118-AVERAGEIFS($X$2:$X$2705,$B$2:$B$2705,B2118))</f>
        <v>0.224701692268926</v>
      </c>
      <c r="Z2118" s="21" t="n">
        <f aca="false">P2118</f>
        <v>0.909876622089913</v>
      </c>
      <c r="AA2118" s="3" t="n">
        <f aca="false">R2118</f>
        <v>0</v>
      </c>
      <c r="AB2118" s="21" t="n">
        <f aca="false">P2118</f>
        <v>0.909876622089913</v>
      </c>
      <c r="AC2118" s="3" t="n">
        <f aca="false">Y2118</f>
        <v>0.224701692268926</v>
      </c>
      <c r="AD2118" s="3" t="n">
        <f aca="false">R2118</f>
        <v>0</v>
      </c>
    </row>
    <row r="2119" customFormat="false" ht="15" hidden="false" customHeight="true" outlineLevel="0" collapsed="false">
      <c r="A2119" s="7" t="s">
        <v>76</v>
      </c>
      <c r="B2119" s="7" t="n">
        <v>2006</v>
      </c>
      <c r="C2119" s="7" t="s">
        <v>157</v>
      </c>
      <c r="D2119" s="7" t="n">
        <v>62</v>
      </c>
      <c r="E2119" s="7" t="n">
        <v>100</v>
      </c>
      <c r="F2119" s="3" t="n">
        <f aca="false">COUNTIFS($B$2:$B$2705,B2119,$C$2:$C$2705,C2119)</f>
        <v>1</v>
      </c>
      <c r="G2119" s="3" t="n">
        <f aca="false">MIN(INT((MIN(B2119,2020)-1900)/10)+1,12)</f>
        <v>11</v>
      </c>
      <c r="H2119" s="3" t="n">
        <f aca="false">(MIN(B2119,2020)-1900-10*(G2119-1))/10</f>
        <v>0.6</v>
      </c>
      <c r="I2119" s="20" t="n">
        <f aca="false">EXP(LN(INDEX(Pop_Inputs!$B$2:$N$29,MATCH(C2119,Pop_Inputs!$A$2:$A$29,0),G2119))*(1-H2119)+LN(INDEX(Pop_Inputs!$B$2:$N$29,MATCH(C2119,Pop_Inputs!$A$2:$A$29,0),G2119+1))*H2119)</f>
        <v>452401.46354362</v>
      </c>
      <c r="J2119" s="20" t="n">
        <f aca="false">I2119/F2119</f>
        <v>452401.46354362</v>
      </c>
      <c r="K2119" s="21" t="n">
        <f aca="false">D2119/(D2119+E2119)</f>
        <v>0.382716049382716</v>
      </c>
      <c r="L2119" s="21" t="n">
        <f aca="false">AVERAGEIFS($K$2:$K$2705,$B$2:$B$2705,B2119)</f>
        <v>0.499997443958797</v>
      </c>
      <c r="M2119" s="21" t="n">
        <f aca="false">K2119-L2119</f>
        <v>-0.117281394576081</v>
      </c>
      <c r="N2119" s="21" t="n">
        <f aca="false">LN(J2119)</f>
        <v>13.0223252582843</v>
      </c>
      <c r="O2119" s="21" t="n">
        <f aca="false">AVERAGEIFS($N$2:$N$2705,$B$2:$B$2705,B2119)</f>
        <v>13.6185153420178</v>
      </c>
      <c r="P2119" s="21" t="n">
        <f aca="false">N2119-O2119</f>
        <v>-0.596190083733452</v>
      </c>
      <c r="Q2119" s="7" t="n">
        <v>1</v>
      </c>
      <c r="R2119" s="3" t="n">
        <f aca="false">IF(AND(Q2119=1,B2119-_xlfn.MINIFS($B$2:$B$2705,$A$2:$A$2705,A2119)&lt;10),1,0)</f>
        <v>0</v>
      </c>
      <c r="S2119" s="7" t="n">
        <v>0</v>
      </c>
      <c r="T2119" s="3" t="n">
        <f aca="false">_xlfn.MINIFS($B$2:$B$2705,$A$2:$A$2705,A2119)</f>
        <v>1969</v>
      </c>
      <c r="U2119" s="3" t="n">
        <f aca="false">B2119-T2119</f>
        <v>37</v>
      </c>
      <c r="V2119" s="3" t="str">
        <f aca="false">INDEX(Pop_Inputs!$Q$2:$Q$29,MATCH(C2119,Pop_Inputs!$A$2:$A$29,0))</f>
        <v>Midwest</v>
      </c>
      <c r="W2119" s="29" t="n">
        <v>47294000</v>
      </c>
      <c r="X2119" s="3" t="n">
        <f aca="false">IF(W2119="","",LN(W2119))</f>
        <v>17.6718939955217</v>
      </c>
      <c r="Y2119" s="3" t="n">
        <f aca="false">IF(X2119="","",X2119-AVERAGEIFS($X$2:$X$2705,$B$2:$B$2705,B2119))</f>
        <v>-0.404112017949341</v>
      </c>
      <c r="Z2119" s="21" t="n">
        <f aca="false">P2119</f>
        <v>-0.596190083733452</v>
      </c>
      <c r="AA2119" s="3" t="n">
        <f aca="false">R2119</f>
        <v>0</v>
      </c>
      <c r="AB2119" s="21" t="n">
        <f aca="false">P2119</f>
        <v>-0.596190083733452</v>
      </c>
      <c r="AC2119" s="3" t="n">
        <f aca="false">Y2119</f>
        <v>-0.404112017949341</v>
      </c>
      <c r="AD2119" s="3" t="n">
        <f aca="false">R2119</f>
        <v>0</v>
      </c>
    </row>
    <row r="2120" customFormat="false" ht="15" hidden="false" customHeight="true" outlineLevel="0" collapsed="false">
      <c r="A2120" s="7" t="s">
        <v>62</v>
      </c>
      <c r="B2120" s="7" t="n">
        <v>2006</v>
      </c>
      <c r="C2120" s="7" t="s">
        <v>148</v>
      </c>
      <c r="D2120" s="7" t="n">
        <v>88</v>
      </c>
      <c r="E2120" s="7" t="n">
        <v>74</v>
      </c>
      <c r="F2120" s="3" t="n">
        <f aca="false">COUNTIFS($B$2:$B$2705,B2120,$C$2:$C$2705,C2120)</f>
        <v>2</v>
      </c>
      <c r="G2120" s="3" t="n">
        <f aca="false">MIN(INT((MIN(B2120,2020)-1900)/10)+1,12)</f>
        <v>11</v>
      </c>
      <c r="H2120" s="3" t="n">
        <f aca="false">(MIN(B2120,2020)-1900-10*(G2120-1))/10</f>
        <v>0.6</v>
      </c>
      <c r="I2120" s="20" t="n">
        <f aca="false">EXP(LN(INDEX(Pop_Inputs!$B$2:$N$29,MATCH(C2120,Pop_Inputs!$A$2:$A$29,0),G2120))*(1-H2120)+LN(INDEX(Pop_Inputs!$B$2:$N$29,MATCH(C2120,Pop_Inputs!$A$2:$A$29,0),G2120+1))*H2120)</f>
        <v>3753193.7251972</v>
      </c>
      <c r="J2120" s="20" t="n">
        <f aca="false">I2120/F2120</f>
        <v>1876596.8625986</v>
      </c>
      <c r="K2120" s="21" t="n">
        <f aca="false">D2120/(D2120+E2120)</f>
        <v>0.54320987654321</v>
      </c>
      <c r="L2120" s="21" t="n">
        <f aca="false">AVERAGEIFS($K$2:$K$2705,$B$2:$B$2705,B2120)</f>
        <v>0.499997443958797</v>
      </c>
      <c r="M2120" s="21" t="n">
        <f aca="false">K2120-L2120</f>
        <v>0.0432124325844133</v>
      </c>
      <c r="N2120" s="21" t="n">
        <f aca="false">LN(J2120)</f>
        <v>14.4449705149826</v>
      </c>
      <c r="O2120" s="21" t="n">
        <f aca="false">AVERAGEIFS($N$2:$N$2705,$B$2:$B$2705,B2120)</f>
        <v>13.6185153420178</v>
      </c>
      <c r="P2120" s="21" t="n">
        <f aca="false">N2120-O2120</f>
        <v>0.826455172964794</v>
      </c>
      <c r="Q2120" s="7" t="n">
        <v>0</v>
      </c>
      <c r="R2120" s="3" t="n">
        <f aca="false">IF(AND(Q2120=1,B2120-_xlfn.MINIFS($B$2:$B$2705,$A$2:$A$2705,A2120)&lt;10),1,0)</f>
        <v>0</v>
      </c>
      <c r="S2120" s="7" t="n">
        <v>0</v>
      </c>
      <c r="T2120" s="3" t="n">
        <f aca="false">_xlfn.MINIFS($B$2:$B$2705,$A$2:$A$2705,A2120)</f>
        <v>1901</v>
      </c>
      <c r="U2120" s="3" t="n">
        <f aca="false">B2120-T2120</f>
        <v>105</v>
      </c>
      <c r="V2120" s="3" t="str">
        <f aca="false">INDEX(Pop_Inputs!$Q$2:$Q$29,MATCH(C2120,Pop_Inputs!$A$2:$A$29,0))</f>
        <v>West</v>
      </c>
      <c r="W2120" s="29" t="n">
        <v>98447187</v>
      </c>
      <c r="X2120" s="3" t="n">
        <f aca="false">IF(W2120="","",LN(W2120))</f>
        <v>18.4050307897616</v>
      </c>
      <c r="Y2120" s="3" t="n">
        <f aca="false">IF(X2120="","",X2120-AVERAGEIFS($X$2:$X$2705,$B$2:$B$2705,B2120))</f>
        <v>0.329024776290478</v>
      </c>
      <c r="Z2120" s="21" t="n">
        <f aca="false">P2120</f>
        <v>0.826455172964794</v>
      </c>
      <c r="AA2120" s="3" t="n">
        <f aca="false">R2120</f>
        <v>0</v>
      </c>
      <c r="AB2120" s="21" t="n">
        <f aca="false">P2120</f>
        <v>0.826455172964794</v>
      </c>
      <c r="AC2120" s="3" t="n">
        <f aca="false">Y2120</f>
        <v>0.329024776290478</v>
      </c>
      <c r="AD2120" s="3" t="n">
        <f aca="false">R2120</f>
        <v>0</v>
      </c>
    </row>
    <row r="2121" customFormat="false" ht="15" hidden="false" customHeight="true" outlineLevel="0" collapsed="false">
      <c r="A2121" s="7" t="s">
        <v>77</v>
      </c>
      <c r="B2121" s="7" t="n">
        <v>2006</v>
      </c>
      <c r="C2121" s="7" t="s">
        <v>158</v>
      </c>
      <c r="D2121" s="7" t="n">
        <v>75</v>
      </c>
      <c r="E2121" s="7" t="n">
        <v>87</v>
      </c>
      <c r="F2121" s="3" t="n">
        <f aca="false">COUNTIFS($B$2:$B$2705,B2121,$C$2:$C$2705,C2121)</f>
        <v>1</v>
      </c>
      <c r="G2121" s="3" t="n">
        <f aca="false">MIN(INT((MIN(B2121,2020)-1900)/10)+1,12)</f>
        <v>11</v>
      </c>
      <c r="H2121" s="3" t="n">
        <f aca="false">(MIN(B2121,2020)-1900-10*(G2121-1))/10</f>
        <v>0.6</v>
      </c>
      <c r="I2121" s="20" t="n">
        <f aca="false">EXP(LN(INDEX(Pop_Inputs!$B$2:$N$29,MATCH(C2121,Pop_Inputs!$A$2:$A$29,0),G2121))*(1-H2121)+LN(INDEX(Pop_Inputs!$B$2:$N$29,MATCH(C2121,Pop_Inputs!$A$2:$A$29,0),G2121+1))*H2121)</f>
        <v>595688.477031276</v>
      </c>
      <c r="J2121" s="20" t="n">
        <f aca="false">I2121/F2121</f>
        <v>595688.477031276</v>
      </c>
      <c r="K2121" s="21" t="n">
        <f aca="false">D2121/(D2121+E2121)</f>
        <v>0.462962962962963</v>
      </c>
      <c r="L2121" s="21" t="n">
        <f aca="false">AVERAGEIFS($K$2:$K$2705,$B$2:$B$2705,B2121)</f>
        <v>0.499997443958797</v>
      </c>
      <c r="M2121" s="21" t="n">
        <f aca="false">K2121-L2121</f>
        <v>-0.0370344809958336</v>
      </c>
      <c r="N2121" s="21" t="n">
        <f aca="false">LN(J2121)</f>
        <v>13.2974731198529</v>
      </c>
      <c r="O2121" s="21" t="n">
        <f aca="false">AVERAGEIFS($N$2:$N$2705,$B$2:$B$2705,B2121)</f>
        <v>13.6185153420178</v>
      </c>
      <c r="P2121" s="21" t="n">
        <f aca="false">N2121-O2121</f>
        <v>-0.321042222164946</v>
      </c>
      <c r="Q2121" s="7" t="n">
        <v>1</v>
      </c>
      <c r="R2121" s="3" t="n">
        <f aca="false">IF(AND(Q2121=1,B2121-_xlfn.MINIFS($B$2:$B$2705,$A$2:$A$2705,A2121)&lt;10),1,0)</f>
        <v>0</v>
      </c>
      <c r="S2121" s="7" t="n">
        <v>0</v>
      </c>
      <c r="T2121" s="3" t="n">
        <f aca="false">_xlfn.MINIFS($B$2:$B$2705,$A$2:$A$2705,A2121)</f>
        <v>1969</v>
      </c>
      <c r="U2121" s="3" t="n">
        <f aca="false">B2121-T2121</f>
        <v>37</v>
      </c>
      <c r="V2121" s="3" t="str">
        <f aca="false">INDEX(Pop_Inputs!$Q$2:$Q$29,MATCH(C2121,Pop_Inputs!$A$2:$A$29,0))</f>
        <v>Midwest</v>
      </c>
      <c r="W2121" s="29" t="n">
        <v>57568333</v>
      </c>
      <c r="X2121" s="3" t="n">
        <f aca="false">IF(W2121="","",LN(W2121))</f>
        <v>17.8684832001793</v>
      </c>
      <c r="Y2121" s="3" t="n">
        <f aca="false">IF(X2121="","",X2121-AVERAGEIFS($X$2:$X$2705,$B$2:$B$2705,B2121))</f>
        <v>-0.207522813291824</v>
      </c>
      <c r="Z2121" s="21" t="n">
        <f aca="false">P2121</f>
        <v>-0.321042222164946</v>
      </c>
      <c r="AA2121" s="3" t="n">
        <f aca="false">R2121</f>
        <v>0</v>
      </c>
      <c r="AB2121" s="21" t="n">
        <f aca="false">P2121</f>
        <v>-0.321042222164946</v>
      </c>
      <c r="AC2121" s="3" t="n">
        <f aca="false">Y2121</f>
        <v>-0.207522813291824</v>
      </c>
      <c r="AD2121" s="3" t="n">
        <f aca="false">R2121</f>
        <v>0</v>
      </c>
    </row>
    <row r="2122" customFormat="false" ht="15" hidden="false" customHeight="true" outlineLevel="0" collapsed="false">
      <c r="A2122" s="7" t="s">
        <v>68</v>
      </c>
      <c r="B2122" s="7" t="n">
        <v>2006</v>
      </c>
      <c r="C2122" s="7" t="s">
        <v>153</v>
      </c>
      <c r="D2122" s="7" t="n">
        <v>96</v>
      </c>
      <c r="E2122" s="7" t="n">
        <v>66</v>
      </c>
      <c r="F2122" s="3" t="n">
        <f aca="false">COUNTIFS($B$2:$B$2705,B2122,$C$2:$C$2705,C2122)</f>
        <v>1</v>
      </c>
      <c r="G2122" s="3" t="n">
        <f aca="false">MIN(INT((MIN(B2122,2020)-1900)/10)+1,12)</f>
        <v>11</v>
      </c>
      <c r="H2122" s="3" t="n">
        <f aca="false">(MIN(B2122,2020)-1900-10*(G2122-1))/10</f>
        <v>0.6</v>
      </c>
      <c r="I2122" s="20" t="n">
        <f aca="false">EXP(LN(INDEX(Pop_Inputs!$B$2:$N$29,MATCH(C2122,Pop_Inputs!$A$2:$A$29,0),G2122))*(1-H2122)+LN(INDEX(Pop_Inputs!$B$2:$N$29,MATCH(C2122,Pop_Inputs!$A$2:$A$29,0),G2122+1))*H2122)</f>
        <v>382593.999498169</v>
      </c>
      <c r="J2122" s="20" t="n">
        <f aca="false">I2122/F2122</f>
        <v>382593.999498169</v>
      </c>
      <c r="K2122" s="21" t="n">
        <f aca="false">D2122/(D2122+E2122)</f>
        <v>0.592592592592593</v>
      </c>
      <c r="L2122" s="21" t="n">
        <f aca="false">AVERAGEIFS($K$2:$K$2705,$B$2:$B$2705,B2122)</f>
        <v>0.499997443958797</v>
      </c>
      <c r="M2122" s="21" t="n">
        <f aca="false">K2122-L2122</f>
        <v>0.092595148633796</v>
      </c>
      <c r="N2122" s="21" t="n">
        <f aca="false">LN(J2122)</f>
        <v>12.8547296523791</v>
      </c>
      <c r="O2122" s="21" t="n">
        <f aca="false">AVERAGEIFS($N$2:$N$2705,$B$2:$B$2705,B2122)</f>
        <v>13.6185153420178</v>
      </c>
      <c r="P2122" s="21" t="n">
        <f aca="false">N2122-O2122</f>
        <v>-0.763785689638722</v>
      </c>
      <c r="Q2122" s="7" t="n">
        <v>0</v>
      </c>
      <c r="R2122" s="3" t="n">
        <f aca="false">IF(AND(Q2122=1,B2122-_xlfn.MINIFS($B$2:$B$2705,$A$2:$A$2705,A2122)&lt;10),1,0)</f>
        <v>0</v>
      </c>
      <c r="S2122" s="7" t="n">
        <v>0</v>
      </c>
      <c r="T2122" s="3" t="n">
        <f aca="false">_xlfn.MINIFS($B$2:$B$2705,$A$2:$A$2705,A2122)</f>
        <v>1901</v>
      </c>
      <c r="U2122" s="3" t="n">
        <f aca="false">B2122-T2122</f>
        <v>105</v>
      </c>
      <c r="V2122" s="3" t="str">
        <f aca="false">INDEX(Pop_Inputs!$Q$2:$Q$29,MATCH(C2122,Pop_Inputs!$A$2:$A$29,0))</f>
        <v>Midwest</v>
      </c>
      <c r="W2122" s="29" t="n">
        <v>63396006</v>
      </c>
      <c r="X2122" s="3" t="n">
        <f aca="false">IF(W2122="","",LN(W2122))</f>
        <v>17.9649114205776</v>
      </c>
      <c r="Y2122" s="3" t="n">
        <f aca="false">IF(X2122="","",X2122-AVERAGEIFS($X$2:$X$2705,$B$2:$B$2705,B2122))</f>
        <v>-0.111094592893441</v>
      </c>
      <c r="Z2122" s="21" t="n">
        <f aca="false">P2122</f>
        <v>-0.763785689638722</v>
      </c>
      <c r="AA2122" s="3" t="n">
        <f aca="false">R2122</f>
        <v>0</v>
      </c>
      <c r="AB2122" s="21" t="n">
        <f aca="false">P2122</f>
        <v>-0.763785689638722</v>
      </c>
      <c r="AC2122" s="3" t="n">
        <f aca="false">Y2122</f>
        <v>-0.111094592893441</v>
      </c>
      <c r="AD2122" s="3" t="n">
        <f aca="false">R2122</f>
        <v>0</v>
      </c>
    </row>
    <row r="2123" customFormat="false" ht="15" hidden="false" customHeight="true" outlineLevel="0" collapsed="false">
      <c r="A2123" s="7" t="s">
        <v>75</v>
      </c>
      <c r="B2123" s="7" t="n">
        <v>2006</v>
      </c>
      <c r="C2123" s="7" t="s">
        <v>154</v>
      </c>
      <c r="D2123" s="7" t="n">
        <v>97</v>
      </c>
      <c r="E2123" s="7" t="n">
        <v>65</v>
      </c>
      <c r="F2123" s="3" t="n">
        <f aca="false">COUNTIFS($B$2:$B$2705,B2123,$C$2:$C$2705,C2123)</f>
        <v>2</v>
      </c>
      <c r="G2123" s="3" t="n">
        <f aca="false">MIN(INT((MIN(B2123,2020)-1900)/10)+1,12)</f>
        <v>11</v>
      </c>
      <c r="H2123" s="3" t="n">
        <f aca="false">(MIN(B2123,2020)-1900-10*(G2123-1))/10</f>
        <v>0.6</v>
      </c>
      <c r="I2123" s="20" t="n">
        <f aca="false">EXP(LN(INDEX(Pop_Inputs!$B$2:$N$29,MATCH(C2123,Pop_Inputs!$A$2:$A$29,0),G2123))*(1-H2123)+LN(INDEX(Pop_Inputs!$B$2:$N$29,MATCH(C2123,Pop_Inputs!$A$2:$A$29,0),G2123+1))*H2123)</f>
        <v>8107977.82908336</v>
      </c>
      <c r="J2123" s="20" t="n">
        <f aca="false">I2123/F2123</f>
        <v>4053988.91454168</v>
      </c>
      <c r="K2123" s="21" t="n">
        <f aca="false">D2123/(D2123+E2123)</f>
        <v>0.598765432098765</v>
      </c>
      <c r="L2123" s="21" t="n">
        <f aca="false">AVERAGEIFS($K$2:$K$2705,$B$2:$B$2705,B2123)</f>
        <v>0.499997443958797</v>
      </c>
      <c r="M2123" s="21" t="n">
        <f aca="false">K2123-L2123</f>
        <v>0.0987679881399688</v>
      </c>
      <c r="N2123" s="21" t="n">
        <f aca="false">LN(J2123)</f>
        <v>15.2152118715408</v>
      </c>
      <c r="O2123" s="21" t="n">
        <f aca="false">AVERAGEIFS($N$2:$N$2705,$B$2:$B$2705,B2123)</f>
        <v>13.6185153420178</v>
      </c>
      <c r="P2123" s="21" t="n">
        <f aca="false">N2123-O2123</f>
        <v>1.59669652952304</v>
      </c>
      <c r="Q2123" s="7" t="n">
        <v>1</v>
      </c>
      <c r="R2123" s="3" t="n">
        <f aca="false">IF(AND(Q2123=1,B2123-_xlfn.MINIFS($B$2:$B$2705,$A$2:$A$2705,A2123)&lt;10),1,0)</f>
        <v>0</v>
      </c>
      <c r="S2123" s="7" t="n">
        <v>0</v>
      </c>
      <c r="T2123" s="3" t="n">
        <f aca="false">_xlfn.MINIFS($B$2:$B$2705,$A$2:$A$2705,A2123)</f>
        <v>1962</v>
      </c>
      <c r="U2123" s="3" t="n">
        <f aca="false">B2123-T2123</f>
        <v>44</v>
      </c>
      <c r="V2123" s="3" t="str">
        <f aca="false">INDEX(Pop_Inputs!$Q$2:$Q$29,MATCH(C2123,Pop_Inputs!$A$2:$A$29,0))</f>
        <v>Northeast</v>
      </c>
      <c r="W2123" s="29" t="n">
        <v>101084963</v>
      </c>
      <c r="X2123" s="3" t="n">
        <f aca="false">IF(W2123="","",LN(W2123))</f>
        <v>18.4314719390019</v>
      </c>
      <c r="Y2123" s="3" t="n">
        <f aca="false">IF(X2123="","",X2123-AVERAGEIFS($X$2:$X$2705,$B$2:$B$2705,B2123))</f>
        <v>0.355465925530822</v>
      </c>
      <c r="Z2123" s="21" t="n">
        <f aca="false">P2123</f>
        <v>1.59669652952304</v>
      </c>
      <c r="AA2123" s="3" t="n">
        <f aca="false">R2123</f>
        <v>0</v>
      </c>
      <c r="AB2123" s="21" t="n">
        <f aca="false">P2123</f>
        <v>1.59669652952304</v>
      </c>
      <c r="AC2123" s="3" t="n">
        <f aca="false">Y2123</f>
        <v>0.355465925530822</v>
      </c>
      <c r="AD2123" s="3" t="n">
        <f aca="false">R2123</f>
        <v>0</v>
      </c>
    </row>
    <row r="2124" customFormat="false" ht="15" hidden="false" customHeight="true" outlineLevel="0" collapsed="false">
      <c r="A2124" s="7" t="s">
        <v>70</v>
      </c>
      <c r="B2124" s="7" t="n">
        <v>2006</v>
      </c>
      <c r="C2124" s="7" t="s">
        <v>154</v>
      </c>
      <c r="D2124" s="7" t="n">
        <v>97</v>
      </c>
      <c r="E2124" s="7" t="n">
        <v>65</v>
      </c>
      <c r="F2124" s="3" t="n">
        <f aca="false">COUNTIFS($B$2:$B$2705,B2124,$C$2:$C$2705,C2124)</f>
        <v>2</v>
      </c>
      <c r="G2124" s="3" t="n">
        <f aca="false">MIN(INT((MIN(B2124,2020)-1900)/10)+1,12)</f>
        <v>11</v>
      </c>
      <c r="H2124" s="3" t="n">
        <f aca="false">(MIN(B2124,2020)-1900-10*(G2124-1))/10</f>
        <v>0.6</v>
      </c>
      <c r="I2124" s="20" t="n">
        <f aca="false">EXP(LN(INDEX(Pop_Inputs!$B$2:$N$29,MATCH(C2124,Pop_Inputs!$A$2:$A$29,0),G2124))*(1-H2124)+LN(INDEX(Pop_Inputs!$B$2:$N$29,MATCH(C2124,Pop_Inputs!$A$2:$A$29,0),G2124+1))*H2124)</f>
        <v>8107977.82908336</v>
      </c>
      <c r="J2124" s="20" t="n">
        <f aca="false">I2124/F2124</f>
        <v>4053988.91454168</v>
      </c>
      <c r="K2124" s="21" t="n">
        <f aca="false">D2124/(D2124+E2124)</f>
        <v>0.598765432098765</v>
      </c>
      <c r="L2124" s="21" t="n">
        <f aca="false">AVERAGEIFS($K$2:$K$2705,$B$2:$B$2705,B2124)</f>
        <v>0.499997443958797</v>
      </c>
      <c r="M2124" s="21" t="n">
        <f aca="false">K2124-L2124</f>
        <v>0.0987679881399688</v>
      </c>
      <c r="N2124" s="21" t="n">
        <f aca="false">LN(J2124)</f>
        <v>15.2152118715408</v>
      </c>
      <c r="O2124" s="21" t="n">
        <f aca="false">AVERAGEIFS($N$2:$N$2705,$B$2:$B$2705,B2124)</f>
        <v>13.6185153420178</v>
      </c>
      <c r="P2124" s="21" t="n">
        <f aca="false">N2124-O2124</f>
        <v>1.59669652952304</v>
      </c>
      <c r="Q2124" s="7" t="n">
        <v>0</v>
      </c>
      <c r="R2124" s="3" t="n">
        <f aca="false">IF(AND(Q2124=1,B2124-_xlfn.MINIFS($B$2:$B$2705,$A$2:$A$2705,A2124)&lt;10),1,0)</f>
        <v>0</v>
      </c>
      <c r="S2124" s="7" t="n">
        <v>1</v>
      </c>
      <c r="T2124" s="3" t="n">
        <f aca="false">_xlfn.MINIFS($B$2:$B$2705,$A$2:$A$2705,A2124)</f>
        <v>1903</v>
      </c>
      <c r="U2124" s="3" t="n">
        <f aca="false">B2124-T2124</f>
        <v>103</v>
      </c>
      <c r="V2124" s="3" t="str">
        <f aca="false">INDEX(Pop_Inputs!$Q$2:$Q$29,MATCH(C2124,Pop_Inputs!$A$2:$A$29,0))</f>
        <v>Northeast</v>
      </c>
      <c r="W2124" s="29" t="n">
        <v>194663079</v>
      </c>
      <c r="X2124" s="3" t="n">
        <f aca="false">IF(W2124="","",LN(W2124))</f>
        <v>19.08678082216</v>
      </c>
      <c r="Y2124" s="3" t="n">
        <f aca="false">IF(X2124="","",X2124-AVERAGEIFS($X$2:$X$2705,$B$2:$B$2705,B2124))</f>
        <v>1.01077480868896</v>
      </c>
      <c r="Z2124" s="21" t="n">
        <f aca="false">P2124</f>
        <v>1.59669652952304</v>
      </c>
      <c r="AA2124" s="3" t="n">
        <f aca="false">R2124</f>
        <v>0</v>
      </c>
      <c r="AB2124" s="21" t="n">
        <f aca="false">P2124</f>
        <v>1.59669652952304</v>
      </c>
      <c r="AC2124" s="3" t="n">
        <f aca="false">Y2124</f>
        <v>1.01077480868896</v>
      </c>
      <c r="AD2124" s="3" t="n">
        <f aca="false">R2124</f>
        <v>0</v>
      </c>
    </row>
    <row r="2125" customFormat="false" ht="15" hidden="false" customHeight="true" outlineLevel="0" collapsed="false">
      <c r="A2125" s="7" t="s">
        <v>69</v>
      </c>
      <c r="B2125" s="7" t="n">
        <v>2006</v>
      </c>
      <c r="C2125" s="7" t="s">
        <v>253</v>
      </c>
      <c r="D2125" s="7" t="n">
        <v>93</v>
      </c>
      <c r="E2125" s="7" t="n">
        <v>69</v>
      </c>
      <c r="F2125" s="3" t="n">
        <f aca="false">COUNTIFS($B$2:$B$2705,B2125,$C$2:$C$2705,C2125)</f>
        <v>1</v>
      </c>
      <c r="G2125" s="3" t="n">
        <f aca="false">MIN(INT((MIN(B2125,2020)-1900)/10)+1,12)</f>
        <v>11</v>
      </c>
      <c r="H2125" s="3" t="n">
        <f aca="false">(MIN(B2125,2020)-1900-10*(G2125-1))/10</f>
        <v>0.6</v>
      </c>
      <c r="I2125" s="20" t="n">
        <f aca="false">EXP(LN(INDEX(Pop_Inputs!$B$2:$N$29,MATCH(C2125,Pop_Inputs!$A$2:$A$29,0),G2125))*(1-H2125)+LN(INDEX(Pop_Inputs!$B$2:$N$29,MATCH(C2125,Pop_Inputs!$A$2:$A$29,0),G2125+1))*H2125)</f>
        <v>394204.709947939</v>
      </c>
      <c r="J2125" s="20" t="n">
        <f aca="false">I2125/F2125</f>
        <v>394204.709947939</v>
      </c>
      <c r="K2125" s="21" t="n">
        <f aca="false">D2125/(D2125+E2125)</f>
        <v>0.574074074074074</v>
      </c>
      <c r="L2125" s="21" t="n">
        <f aca="false">AVERAGEIFS($K$2:$K$2705,$B$2:$B$2705,B2125)</f>
        <v>0.499997443958797</v>
      </c>
      <c r="M2125" s="21" t="n">
        <f aca="false">K2125-L2125</f>
        <v>0.0740766301152775</v>
      </c>
      <c r="N2125" s="21" t="n">
        <f aca="false">LN(J2125)</f>
        <v>12.8846256217469</v>
      </c>
      <c r="O2125" s="21" t="n">
        <f aca="false">AVERAGEIFS($N$2:$N$2705,$B$2:$B$2705,B2125)</f>
        <v>13.6185153420178</v>
      </c>
      <c r="P2125" s="21" t="n">
        <f aca="false">N2125-O2125</f>
        <v>-0.733889720270865</v>
      </c>
      <c r="Q2125" s="7" t="n">
        <v>0</v>
      </c>
      <c r="R2125" s="3" t="n">
        <f aca="false">IF(AND(Q2125=1,B2125-_xlfn.MINIFS($B$2:$B$2705,$A$2:$A$2705,A2125)&lt;10),1,0)</f>
        <v>0</v>
      </c>
      <c r="S2125" s="7" t="n">
        <v>0</v>
      </c>
      <c r="T2125" s="3" t="n">
        <f aca="false">_xlfn.MINIFS($B$2:$B$2705,$A$2:$A$2705,A2125)</f>
        <v>1901</v>
      </c>
      <c r="U2125" s="3" t="n">
        <f aca="false">B2125-T2125</f>
        <v>105</v>
      </c>
      <c r="V2125" s="3" t="str">
        <f aca="false">INDEX(Pop_Inputs!$Q$2:$Q$29,MATCH(C2125,Pop_Inputs!$A$2:$A$29,0))</f>
        <v>West</v>
      </c>
      <c r="W2125" s="29" t="n">
        <v>62243079</v>
      </c>
      <c r="X2125" s="3" t="n">
        <f aca="false">IF(W2125="","",LN(W2125))</f>
        <v>17.9465579064052</v>
      </c>
      <c r="Y2125" s="3" t="n">
        <f aca="false">IF(X2125="","",X2125-AVERAGEIFS($X$2:$X$2705,$B$2:$B$2705,B2125))</f>
        <v>-0.129448107065919</v>
      </c>
      <c r="Z2125" s="21" t="n">
        <f aca="false">P2125</f>
        <v>-0.733889720270865</v>
      </c>
      <c r="AA2125" s="3" t="n">
        <f aca="false">R2125</f>
        <v>0</v>
      </c>
      <c r="AB2125" s="21" t="n">
        <f aca="false">P2125</f>
        <v>-0.733889720270865</v>
      </c>
      <c r="AC2125" s="3" t="n">
        <f aca="false">Y2125</f>
        <v>-0.129448107065919</v>
      </c>
      <c r="AD2125" s="3" t="n">
        <f aca="false">R2125</f>
        <v>0</v>
      </c>
    </row>
    <row r="2126" customFormat="false" ht="15" hidden="false" customHeight="true" outlineLevel="0" collapsed="false">
      <c r="A2126" s="7" t="s">
        <v>60</v>
      </c>
      <c r="B2126" s="7" t="n">
        <v>2006</v>
      </c>
      <c r="C2126" s="7" t="s">
        <v>146</v>
      </c>
      <c r="D2126" s="7" t="n">
        <v>85</v>
      </c>
      <c r="E2126" s="7" t="n">
        <v>77</v>
      </c>
      <c r="F2126" s="3" t="n">
        <f aca="false">COUNTIFS($B$2:$B$2705,B2126,$C$2:$C$2705,C2126)</f>
        <v>1</v>
      </c>
      <c r="G2126" s="3" t="n">
        <f aca="false">MIN(INT((MIN(B2126,2020)-1900)/10)+1,12)</f>
        <v>11</v>
      </c>
      <c r="H2126" s="3" t="n">
        <f aca="false">(MIN(B2126,2020)-1900-10*(G2126-1))/10</f>
        <v>0.6</v>
      </c>
      <c r="I2126" s="20" t="n">
        <f aca="false">EXP(LN(INDEX(Pop_Inputs!$B$2:$N$29,MATCH(C2126,Pop_Inputs!$A$2:$A$29,0),G2126))*(1-H2126)+LN(INDEX(Pop_Inputs!$B$2:$N$29,MATCH(C2126,Pop_Inputs!$A$2:$A$29,0),G2126+1))*H2126)</f>
        <v>1522617.96049253</v>
      </c>
      <c r="J2126" s="20" t="n">
        <f aca="false">I2126/F2126</f>
        <v>1522617.96049253</v>
      </c>
      <c r="K2126" s="21" t="n">
        <f aca="false">D2126/(D2126+E2126)</f>
        <v>0.524691358024691</v>
      </c>
      <c r="L2126" s="21" t="n">
        <f aca="false">AVERAGEIFS($K$2:$K$2705,$B$2:$B$2705,B2126)</f>
        <v>0.499997443958797</v>
      </c>
      <c r="M2126" s="21" t="n">
        <f aca="false">K2126-L2126</f>
        <v>0.0246939140658948</v>
      </c>
      <c r="N2126" s="21" t="n">
        <f aca="false">LN(J2126)</f>
        <v>14.2359417537209</v>
      </c>
      <c r="O2126" s="21" t="n">
        <f aca="false">AVERAGEIFS($N$2:$N$2705,$B$2:$B$2705,B2126)</f>
        <v>13.6185153420178</v>
      </c>
      <c r="P2126" s="21" t="n">
        <f aca="false">N2126-O2126</f>
        <v>0.617426411703129</v>
      </c>
      <c r="Q2126" s="7" t="n">
        <v>0</v>
      </c>
      <c r="R2126" s="3" t="n">
        <f aca="false">IF(AND(Q2126=1,B2126-_xlfn.MINIFS($B$2:$B$2705,$A$2:$A$2705,A2126)&lt;10),1,0)</f>
        <v>0</v>
      </c>
      <c r="S2126" s="7" t="n">
        <v>0</v>
      </c>
      <c r="T2126" s="3" t="n">
        <f aca="false">_xlfn.MINIFS($B$2:$B$2705,$A$2:$A$2705,A2126)</f>
        <v>1901</v>
      </c>
      <c r="U2126" s="3" t="n">
        <f aca="false">B2126-T2126</f>
        <v>105</v>
      </c>
      <c r="V2126" s="3" t="str">
        <f aca="false">INDEX(Pop_Inputs!$Q$2:$Q$29,MATCH(C2126,Pop_Inputs!$A$2:$A$29,0))</f>
        <v>Northeast</v>
      </c>
      <c r="W2126" s="29" t="n">
        <v>88273333</v>
      </c>
      <c r="X2126" s="3" t="n">
        <f aca="false">IF(W2126="","",LN(W2126))</f>
        <v>18.2959486154316</v>
      </c>
      <c r="Y2126" s="3" t="n">
        <f aca="false">IF(X2126="","",X2126-AVERAGEIFS($X$2:$X$2705,$B$2:$B$2705,B2126))</f>
        <v>0.219942601960543</v>
      </c>
      <c r="Z2126" s="21" t="n">
        <f aca="false">P2126</f>
        <v>0.617426411703129</v>
      </c>
      <c r="AA2126" s="3" t="n">
        <f aca="false">R2126</f>
        <v>0</v>
      </c>
      <c r="AB2126" s="21" t="n">
        <f aca="false">P2126</f>
        <v>0.617426411703129</v>
      </c>
      <c r="AC2126" s="3" t="n">
        <f aca="false">Y2126</f>
        <v>0.219942601960543</v>
      </c>
      <c r="AD2126" s="3" t="n">
        <f aca="false">R2126</f>
        <v>0</v>
      </c>
    </row>
    <row r="2127" customFormat="false" ht="15" hidden="false" customHeight="true" outlineLevel="0" collapsed="false">
      <c r="A2127" s="7" t="s">
        <v>58</v>
      </c>
      <c r="B2127" s="7" t="n">
        <v>2006</v>
      </c>
      <c r="C2127" s="7" t="s">
        <v>144</v>
      </c>
      <c r="D2127" s="7" t="n">
        <v>67</v>
      </c>
      <c r="E2127" s="7" t="n">
        <v>95</v>
      </c>
      <c r="F2127" s="3" t="n">
        <f aca="false">COUNTIFS($B$2:$B$2705,B2127,$C$2:$C$2705,C2127)</f>
        <v>1</v>
      </c>
      <c r="G2127" s="3" t="n">
        <f aca="false">MIN(INT((MIN(B2127,2020)-1900)/10)+1,12)</f>
        <v>11</v>
      </c>
      <c r="H2127" s="3" t="n">
        <f aca="false">(MIN(B2127,2020)-1900-10*(G2127-1))/10</f>
        <v>0.6</v>
      </c>
      <c r="I2127" s="20" t="n">
        <f aca="false">EXP(LN(INDEX(Pop_Inputs!$B$2:$N$29,MATCH(C2127,Pop_Inputs!$A$2:$A$29,0),G2127))*(1-H2127)+LN(INDEX(Pop_Inputs!$B$2:$N$29,MATCH(C2127,Pop_Inputs!$A$2:$A$29,0),G2127+1))*H2127)</f>
        <v>316936.192832721</v>
      </c>
      <c r="J2127" s="20" t="n">
        <f aca="false">I2127/F2127</f>
        <v>316936.192832721</v>
      </c>
      <c r="K2127" s="21" t="n">
        <f aca="false">D2127/(D2127+E2127)</f>
        <v>0.41358024691358</v>
      </c>
      <c r="L2127" s="21" t="n">
        <f aca="false">AVERAGEIFS($K$2:$K$2705,$B$2:$B$2705,B2127)</f>
        <v>0.499997443958797</v>
      </c>
      <c r="M2127" s="21" t="n">
        <f aca="false">K2127-L2127</f>
        <v>-0.0864171970452163</v>
      </c>
      <c r="N2127" s="21" t="n">
        <f aca="false">LN(J2127)</f>
        <v>12.6664557481596</v>
      </c>
      <c r="O2127" s="21" t="n">
        <f aca="false">AVERAGEIFS($N$2:$N$2705,$B$2:$B$2705,B2127)</f>
        <v>13.6185153420178</v>
      </c>
      <c r="P2127" s="21" t="n">
        <f aca="false">N2127-O2127</f>
        <v>-0.952059593858175</v>
      </c>
      <c r="Q2127" s="7" t="n">
        <v>0</v>
      </c>
      <c r="R2127" s="3" t="n">
        <f aca="false">IF(AND(Q2127=1,B2127-_xlfn.MINIFS($B$2:$B$2705,$A$2:$A$2705,A2127)&lt;10),1,0)</f>
        <v>0</v>
      </c>
      <c r="S2127" s="7" t="n">
        <v>0</v>
      </c>
      <c r="T2127" s="3" t="n">
        <f aca="false">_xlfn.MINIFS($B$2:$B$2705,$A$2:$A$2705,A2127)</f>
        <v>1901</v>
      </c>
      <c r="U2127" s="3" t="n">
        <f aca="false">B2127-T2127</f>
        <v>105</v>
      </c>
      <c r="V2127" s="3" t="str">
        <f aca="false">INDEX(Pop_Inputs!$Q$2:$Q$29,MATCH(C2127,Pop_Inputs!$A$2:$A$29,0))</f>
        <v>Northeast</v>
      </c>
      <c r="W2127" s="29" t="n">
        <v>46717750</v>
      </c>
      <c r="X2127" s="3" t="n">
        <f aca="false">IF(W2127="","",LN(W2127))</f>
        <v>17.659634736078</v>
      </c>
      <c r="Y2127" s="3" t="n">
        <f aca="false">IF(X2127="","",X2127-AVERAGEIFS($X$2:$X$2705,$B$2:$B$2705,B2127))</f>
        <v>-0.416371277393107</v>
      </c>
      <c r="Z2127" s="21" t="n">
        <f aca="false">P2127</f>
        <v>-0.952059593858175</v>
      </c>
      <c r="AA2127" s="3" t="n">
        <f aca="false">R2127</f>
        <v>0</v>
      </c>
      <c r="AB2127" s="21" t="n">
        <f aca="false">P2127</f>
        <v>-0.952059593858175</v>
      </c>
      <c r="AC2127" s="3" t="n">
        <f aca="false">Y2127</f>
        <v>-0.416371277393107</v>
      </c>
      <c r="AD2127" s="3" t="n">
        <f aca="false">R2127</f>
        <v>0</v>
      </c>
    </row>
    <row r="2128" customFormat="false" ht="15" hidden="false" customHeight="true" outlineLevel="0" collapsed="false">
      <c r="A2128" s="7" t="s">
        <v>78</v>
      </c>
      <c r="B2128" s="7" t="n">
        <v>2006</v>
      </c>
      <c r="C2128" s="7" t="s">
        <v>159</v>
      </c>
      <c r="D2128" s="7" t="n">
        <v>88</v>
      </c>
      <c r="E2128" s="7" t="n">
        <v>74</v>
      </c>
      <c r="F2128" s="3" t="n">
        <f aca="false">COUNTIFS($B$2:$B$2705,B2128,$C$2:$C$2705,C2128)</f>
        <v>1</v>
      </c>
      <c r="G2128" s="3" t="n">
        <f aca="false">MIN(INT((MIN(B2128,2020)-1900)/10)+1,12)</f>
        <v>11</v>
      </c>
      <c r="H2128" s="3" t="n">
        <f aca="false">(MIN(B2128,2020)-1900-10*(G2128-1))/10</f>
        <v>0.6</v>
      </c>
      <c r="I2128" s="20" t="n">
        <f aca="false">EXP(LN(INDEX(Pop_Inputs!$B$2:$N$29,MATCH(C2128,Pop_Inputs!$A$2:$A$29,0),G2128))*(1-H2128)+LN(INDEX(Pop_Inputs!$B$2:$N$29,MATCH(C2128,Pop_Inputs!$A$2:$A$29,0),G2128+1))*H2128)</f>
        <v>1273130.36788955</v>
      </c>
      <c r="J2128" s="20" t="n">
        <f aca="false">I2128/F2128</f>
        <v>1273130.36788955</v>
      </c>
      <c r="K2128" s="21" t="n">
        <f aca="false">D2128/(D2128+E2128)</f>
        <v>0.54320987654321</v>
      </c>
      <c r="L2128" s="21" t="n">
        <f aca="false">AVERAGEIFS($K$2:$K$2705,$B$2:$B$2705,B2128)</f>
        <v>0.499997443958797</v>
      </c>
      <c r="M2128" s="21" t="n">
        <f aca="false">K2128-L2128</f>
        <v>0.0432124325844133</v>
      </c>
      <c r="N2128" s="21" t="n">
        <f aca="false">LN(J2128)</f>
        <v>14.0569892822642</v>
      </c>
      <c r="O2128" s="21" t="n">
        <f aca="false">AVERAGEIFS($N$2:$N$2705,$B$2:$B$2705,B2128)</f>
        <v>13.6185153420178</v>
      </c>
      <c r="P2128" s="21" t="n">
        <f aca="false">N2128-O2128</f>
        <v>0.438473940246428</v>
      </c>
      <c r="Q2128" s="7" t="n">
        <v>1</v>
      </c>
      <c r="R2128" s="3" t="n">
        <f aca="false">IF(AND(Q2128=1,B2128-_xlfn.MINIFS($B$2:$B$2705,$A$2:$A$2705,A2128)&lt;10),1,0)</f>
        <v>0</v>
      </c>
      <c r="S2128" s="7" t="n">
        <v>0</v>
      </c>
      <c r="T2128" s="3" t="n">
        <f aca="false">_xlfn.MINIFS($B$2:$B$2705,$A$2:$A$2705,A2128)</f>
        <v>1969</v>
      </c>
      <c r="U2128" s="3" t="n">
        <f aca="false">B2128-T2128</f>
        <v>37</v>
      </c>
      <c r="V2128" s="3" t="str">
        <f aca="false">INDEX(Pop_Inputs!$Q$2:$Q$29,MATCH(C2128,Pop_Inputs!$A$2:$A$29,0))</f>
        <v>West</v>
      </c>
      <c r="W2128" s="29" t="n">
        <v>69896141</v>
      </c>
      <c r="X2128" s="3" t="n">
        <f aca="false">IF(W2128="","",LN(W2128))</f>
        <v>18.0625209982409</v>
      </c>
      <c r="Y2128" s="3" t="n">
        <f aca="false">IF(X2128="","",X2128-AVERAGEIFS($X$2:$X$2705,$B$2:$B$2705,B2128))</f>
        <v>-0.0134850152302306</v>
      </c>
      <c r="Z2128" s="21" t="n">
        <f aca="false">P2128</f>
        <v>0.438473940246428</v>
      </c>
      <c r="AA2128" s="3" t="n">
        <f aca="false">R2128</f>
        <v>0</v>
      </c>
      <c r="AB2128" s="21" t="n">
        <f aca="false">P2128</f>
        <v>0.438473940246428</v>
      </c>
      <c r="AC2128" s="3" t="n">
        <f aca="false">Y2128</f>
        <v>-0.0134850152302306</v>
      </c>
      <c r="AD2128" s="3" t="n">
        <f aca="false">R2128</f>
        <v>0</v>
      </c>
    </row>
    <row r="2129" customFormat="false" ht="15" hidden="false" customHeight="true" outlineLevel="0" collapsed="false">
      <c r="A2129" s="7" t="s">
        <v>80</v>
      </c>
      <c r="B2129" s="7" t="n">
        <v>2006</v>
      </c>
      <c r="C2129" s="7" t="s">
        <v>161</v>
      </c>
      <c r="D2129" s="7" t="n">
        <v>78</v>
      </c>
      <c r="E2129" s="7" t="n">
        <v>84</v>
      </c>
      <c r="F2129" s="3" t="n">
        <f aca="false">COUNTIFS($B$2:$B$2705,B2129,$C$2:$C$2705,C2129)</f>
        <v>1</v>
      </c>
      <c r="G2129" s="3" t="n">
        <f aca="false">MIN(INT((MIN(B2129,2020)-1900)/10)+1,12)</f>
        <v>11</v>
      </c>
      <c r="H2129" s="3" t="n">
        <f aca="false">(MIN(B2129,2020)-1900-10*(G2129-1))/10</f>
        <v>0.6</v>
      </c>
      <c r="I2129" s="20" t="n">
        <f aca="false">EXP(LN(INDEX(Pop_Inputs!$B$2:$N$29,MATCH(C2129,Pop_Inputs!$A$2:$A$29,0),G2129))*(1-H2129)+LN(INDEX(Pop_Inputs!$B$2:$N$29,MATCH(C2129,Pop_Inputs!$A$2:$A$29,0),G2129+1))*H2129)</f>
        <v>590124.407069352</v>
      </c>
      <c r="J2129" s="20" t="n">
        <f aca="false">I2129/F2129</f>
        <v>590124.407069352</v>
      </c>
      <c r="K2129" s="21" t="n">
        <f aca="false">D2129/(D2129+E2129)</f>
        <v>0.481481481481481</v>
      </c>
      <c r="L2129" s="21" t="n">
        <f aca="false">AVERAGEIFS($K$2:$K$2705,$B$2:$B$2705,B2129)</f>
        <v>0.499997443958797</v>
      </c>
      <c r="M2129" s="21" t="n">
        <f aca="false">K2129-L2129</f>
        <v>-0.0185159624773151</v>
      </c>
      <c r="N2129" s="21" t="n">
        <f aca="false">LN(J2129)</f>
        <v>13.2880886530938</v>
      </c>
      <c r="O2129" s="21" t="n">
        <f aca="false">AVERAGEIFS($N$2:$N$2705,$B$2:$B$2705,B2129)</f>
        <v>13.6185153420178</v>
      </c>
      <c r="P2129" s="21" t="n">
        <f aca="false">N2129-O2129</f>
        <v>-0.330426688924041</v>
      </c>
      <c r="Q2129" s="7" t="n">
        <v>1</v>
      </c>
      <c r="R2129" s="3" t="n">
        <f aca="false">IF(AND(Q2129=1,B2129-_xlfn.MINIFS($B$2:$B$2705,$A$2:$A$2705,A2129)&lt;10),1,0)</f>
        <v>0</v>
      </c>
      <c r="S2129" s="7" t="n">
        <v>0</v>
      </c>
      <c r="T2129" s="3" t="n">
        <f aca="false">_xlfn.MINIFS($B$2:$B$2705,$A$2:$A$2705,A2129)</f>
        <v>1977</v>
      </c>
      <c r="U2129" s="3" t="n">
        <f aca="false">B2129-T2129</f>
        <v>29</v>
      </c>
      <c r="V2129" s="3" t="str">
        <f aca="false">INDEX(Pop_Inputs!$Q$2:$Q$29,MATCH(C2129,Pop_Inputs!$A$2:$A$29,0))</f>
        <v>West</v>
      </c>
      <c r="W2129" s="29" t="n">
        <v>87959833</v>
      </c>
      <c r="X2129" s="3" t="n">
        <f aca="false">IF(W2129="","",LN(W2129))</f>
        <v>18.2923908250588</v>
      </c>
      <c r="Y2129" s="3" t="n">
        <f aca="false">IF(X2129="","",X2129-AVERAGEIFS($X$2:$X$2705,$B$2:$B$2705,B2129))</f>
        <v>0.21638481158768</v>
      </c>
      <c r="Z2129" s="21" t="n">
        <f aca="false">P2129</f>
        <v>-0.330426688924041</v>
      </c>
      <c r="AA2129" s="3" t="n">
        <f aca="false">R2129</f>
        <v>0</v>
      </c>
      <c r="AB2129" s="21" t="n">
        <f aca="false">P2129</f>
        <v>-0.330426688924041</v>
      </c>
      <c r="AC2129" s="3" t="n">
        <f aca="false">Y2129</f>
        <v>0.21638481158768</v>
      </c>
      <c r="AD2129" s="3" t="n">
        <f aca="false">R2129</f>
        <v>0</v>
      </c>
    </row>
    <row r="2130" customFormat="false" ht="15" hidden="false" customHeight="true" outlineLevel="0" collapsed="false">
      <c r="A2130" s="7" t="s">
        <v>61</v>
      </c>
      <c r="B2130" s="7" t="n">
        <v>2006</v>
      </c>
      <c r="C2130" s="7" t="s">
        <v>147</v>
      </c>
      <c r="D2130" s="7" t="n">
        <v>76</v>
      </c>
      <c r="E2130" s="7" t="n">
        <v>85</v>
      </c>
      <c r="F2130" s="3" t="n">
        <f aca="false">COUNTIFS($B$2:$B$2705,B2130,$C$2:$C$2705,C2130)</f>
        <v>1</v>
      </c>
      <c r="G2130" s="3" t="n">
        <f aca="false">MIN(INT((MIN(B2130,2020)-1900)/10)+1,12)</f>
        <v>11</v>
      </c>
      <c r="H2130" s="3" t="n">
        <f aca="false">(MIN(B2130,2020)-1900-10*(G2130-1))/10</f>
        <v>0.6</v>
      </c>
      <c r="I2130" s="20" t="n">
        <f aca="false">EXP(LN(INDEX(Pop_Inputs!$B$2:$N$29,MATCH(C2130,Pop_Inputs!$A$2:$A$29,0),G2130))*(1-H2130)+LN(INDEX(Pop_Inputs!$B$2:$N$29,MATCH(C2130,Pop_Inputs!$A$2:$A$29,0),G2130+1))*H2130)</f>
        <v>793710.798251323</v>
      </c>
      <c r="J2130" s="20" t="n">
        <f aca="false">I2130/F2130</f>
        <v>793710.798251323</v>
      </c>
      <c r="K2130" s="21" t="n">
        <f aca="false">D2130/(D2130+E2130)</f>
        <v>0.472049689440994</v>
      </c>
      <c r="L2130" s="21" t="n">
        <f aca="false">AVERAGEIFS($K$2:$K$2705,$B$2:$B$2705,B2130)</f>
        <v>0.499997443958797</v>
      </c>
      <c r="M2130" s="21" t="n">
        <f aca="false">K2130-L2130</f>
        <v>-0.0279477545178028</v>
      </c>
      <c r="N2130" s="21" t="n">
        <f aca="false">LN(J2130)</f>
        <v>13.5844744399396</v>
      </c>
      <c r="O2130" s="21" t="n">
        <f aca="false">AVERAGEIFS($N$2:$N$2705,$B$2:$B$2705,B2130)</f>
        <v>13.6185153420178</v>
      </c>
      <c r="P2130" s="21" t="n">
        <f aca="false">N2130-O2130</f>
        <v>-0.0340409020782158</v>
      </c>
      <c r="Q2130" s="7" t="n">
        <v>0</v>
      </c>
      <c r="R2130" s="3" t="n">
        <f aca="false">IF(AND(Q2130=1,B2130-_xlfn.MINIFS($B$2:$B$2705,$A$2:$A$2705,A2130)&lt;10),1,0)</f>
        <v>0</v>
      </c>
      <c r="S2130" s="7" t="n">
        <v>0</v>
      </c>
      <c r="T2130" s="3" t="n">
        <f aca="false">_xlfn.MINIFS($B$2:$B$2705,$A$2:$A$2705,A2130)</f>
        <v>1901</v>
      </c>
      <c r="U2130" s="3" t="n">
        <f aca="false">B2130-T2130</f>
        <v>105</v>
      </c>
      <c r="V2130" s="3" t="str">
        <f aca="false">INDEX(Pop_Inputs!$Q$2:$Q$29,MATCH(C2130,Pop_Inputs!$A$2:$A$29,0))</f>
        <v>West</v>
      </c>
      <c r="W2130" s="29" t="n">
        <v>90056419</v>
      </c>
      <c r="X2130" s="3" t="n">
        <f aca="false">IF(W2130="","",LN(W2130))</f>
        <v>18.3159469096665</v>
      </c>
      <c r="Y2130" s="3" t="n">
        <f aca="false">IF(X2130="","",X2130-AVERAGEIFS($X$2:$X$2705,$B$2:$B$2705,B2130))</f>
        <v>0.239940896195435</v>
      </c>
      <c r="Z2130" s="21" t="n">
        <f aca="false">P2130</f>
        <v>-0.0340409020782158</v>
      </c>
      <c r="AA2130" s="3" t="n">
        <f aca="false">R2130</f>
        <v>0</v>
      </c>
      <c r="AB2130" s="21" t="n">
        <f aca="false">P2130</f>
        <v>-0.0340409020782158</v>
      </c>
      <c r="AC2130" s="3" t="n">
        <f aca="false">Y2130</f>
        <v>0.239940896195435</v>
      </c>
      <c r="AD2130" s="3" t="n">
        <f aca="false">R2130</f>
        <v>0</v>
      </c>
    </row>
    <row r="2131" customFormat="false" ht="15" hidden="false" customHeight="true" outlineLevel="0" collapsed="false">
      <c r="A2131" s="7" t="s">
        <v>59</v>
      </c>
      <c r="B2131" s="7" t="n">
        <v>2006</v>
      </c>
      <c r="C2131" s="7" t="s">
        <v>145</v>
      </c>
      <c r="D2131" s="7" t="n">
        <v>83</v>
      </c>
      <c r="E2131" s="7" t="n">
        <v>78</v>
      </c>
      <c r="F2131" s="3" t="n">
        <f aca="false">COUNTIFS($B$2:$B$2705,B2131,$C$2:$C$2705,C2131)</f>
        <v>1</v>
      </c>
      <c r="G2131" s="3" t="n">
        <f aca="false">MIN(INT((MIN(B2131,2020)-1900)/10)+1,12)</f>
        <v>11</v>
      </c>
      <c r="H2131" s="3" t="n">
        <f aca="false">(MIN(B2131,2020)-1900-10*(G2131-1))/10</f>
        <v>0.6</v>
      </c>
      <c r="I2131" s="20" t="n">
        <f aca="false">EXP(LN(INDEX(Pop_Inputs!$B$2:$N$29,MATCH(C2131,Pop_Inputs!$A$2:$A$29,0),G2131))*(1-H2131)+LN(INDEX(Pop_Inputs!$B$2:$N$29,MATCH(C2131,Pop_Inputs!$A$2:$A$29,0),G2131+1))*H2131)</f>
        <v>330552.520652277</v>
      </c>
      <c r="J2131" s="20" t="n">
        <f aca="false">I2131/F2131</f>
        <v>330552.520652277</v>
      </c>
      <c r="K2131" s="21" t="n">
        <f aca="false">D2131/(D2131+E2131)</f>
        <v>0.515527950310559</v>
      </c>
      <c r="L2131" s="21" t="n">
        <f aca="false">AVERAGEIFS($K$2:$K$2705,$B$2:$B$2705,B2131)</f>
        <v>0.499997443958797</v>
      </c>
      <c r="M2131" s="21" t="n">
        <f aca="false">K2131-L2131</f>
        <v>0.0155305063517624</v>
      </c>
      <c r="N2131" s="21" t="n">
        <f aca="false">LN(J2131)</f>
        <v>12.7085208383635</v>
      </c>
      <c r="O2131" s="21" t="n">
        <f aca="false">AVERAGEIFS($N$2:$N$2705,$B$2:$B$2705,B2131)</f>
        <v>13.6185153420178</v>
      </c>
      <c r="P2131" s="21" t="n">
        <f aca="false">N2131-O2131</f>
        <v>-0.909994503654298</v>
      </c>
      <c r="Q2131" s="7" t="n">
        <v>0</v>
      </c>
      <c r="R2131" s="3" t="n">
        <f aca="false">IF(AND(Q2131=1,B2131-_xlfn.MINIFS($B$2:$B$2705,$A$2:$A$2705,A2131)&lt;10),1,0)</f>
        <v>0</v>
      </c>
      <c r="S2131" s="7" t="n">
        <v>0</v>
      </c>
      <c r="T2131" s="3" t="n">
        <f aca="false">_xlfn.MINIFS($B$2:$B$2705,$A$2:$A$2705,A2131)</f>
        <v>1901</v>
      </c>
      <c r="U2131" s="3" t="n">
        <f aca="false">B2131-T2131</f>
        <v>105</v>
      </c>
      <c r="V2131" s="3" t="str">
        <f aca="false">INDEX(Pop_Inputs!$Q$2:$Q$29,MATCH(C2131,Pop_Inputs!$A$2:$A$29,0))</f>
        <v>Midwest</v>
      </c>
      <c r="W2131" s="29" t="n">
        <v>88891371</v>
      </c>
      <c r="X2131" s="3" t="n">
        <f aca="false">IF(W2131="","",LN(W2131))</f>
        <v>18.3029256316561</v>
      </c>
      <c r="Y2131" s="3" t="n">
        <f aca="false">IF(X2131="","",X2131-AVERAGEIFS($X$2:$X$2705,$B$2:$B$2705,B2131))</f>
        <v>0.22691961818504</v>
      </c>
      <c r="Z2131" s="21" t="n">
        <f aca="false">P2131</f>
        <v>-0.909994503654298</v>
      </c>
      <c r="AA2131" s="3" t="n">
        <f aca="false">R2131</f>
        <v>0</v>
      </c>
      <c r="AB2131" s="21" t="n">
        <f aca="false">P2131</f>
        <v>-0.909994503654298</v>
      </c>
      <c r="AC2131" s="3" t="n">
        <f aca="false">Y2131</f>
        <v>0.22691961818504</v>
      </c>
      <c r="AD2131" s="3" t="n">
        <f aca="false">R2131</f>
        <v>0</v>
      </c>
    </row>
    <row r="2132" customFormat="false" ht="15" hidden="false" customHeight="true" outlineLevel="0" collapsed="false">
      <c r="A2132" s="7" t="s">
        <v>85</v>
      </c>
      <c r="B2132" s="7" t="n">
        <v>2006</v>
      </c>
      <c r="C2132" s="7" t="s">
        <v>166</v>
      </c>
      <c r="D2132" s="7" t="n">
        <v>61</v>
      </c>
      <c r="E2132" s="7" t="n">
        <v>101</v>
      </c>
      <c r="F2132" s="3" t="n">
        <f aca="false">COUNTIFS($B$2:$B$2705,B2132,$C$2:$C$2705,C2132)</f>
        <v>1</v>
      </c>
      <c r="G2132" s="3" t="n">
        <f aca="false">MIN(INT((MIN(B2132,2020)-1900)/10)+1,12)</f>
        <v>11</v>
      </c>
      <c r="H2132" s="3" t="n">
        <f aca="false">(MIN(B2132,2020)-1900-10*(G2132-1))/10</f>
        <v>0.6</v>
      </c>
      <c r="I2132" s="20" t="n">
        <f aca="false">EXP(LN(INDEX(Pop_Inputs!$B$2:$N$29,MATCH(C2132,Pop_Inputs!$A$2:$A$29,0),G2132))*(1-H2132)+LN(INDEX(Pop_Inputs!$B$2:$N$29,MATCH(C2132,Pop_Inputs!$A$2:$A$29,0),G2132+1))*H2132)</f>
        <v>322411.801250344</v>
      </c>
      <c r="J2132" s="20" t="n">
        <f aca="false">I2132/F2132</f>
        <v>322411.801250344</v>
      </c>
      <c r="K2132" s="21" t="n">
        <f aca="false">D2132/(D2132+E2132)</f>
        <v>0.376543209876543</v>
      </c>
      <c r="L2132" s="21" t="n">
        <f aca="false">AVERAGEIFS($K$2:$K$2705,$B$2:$B$2705,B2132)</f>
        <v>0.499997443958797</v>
      </c>
      <c r="M2132" s="21" t="n">
        <f aca="false">K2132-L2132</f>
        <v>-0.123454234082253</v>
      </c>
      <c r="N2132" s="21" t="n">
        <f aca="false">LN(J2132)</f>
        <v>12.6835848933192</v>
      </c>
      <c r="O2132" s="21" t="n">
        <f aca="false">AVERAGEIFS($N$2:$N$2705,$B$2:$B$2705,B2132)</f>
        <v>13.6185153420178</v>
      </c>
      <c r="P2132" s="21" t="n">
        <f aca="false">N2132-O2132</f>
        <v>-0.934930448698593</v>
      </c>
      <c r="Q2132" s="7" t="n">
        <v>1</v>
      </c>
      <c r="R2132" s="3" t="n">
        <f aca="false">IF(AND(Q2132=1,B2132-_xlfn.MINIFS($B$2:$B$2705,$A$2:$A$2705,A2132)&lt;10),1,0)</f>
        <v>1</v>
      </c>
      <c r="S2132" s="7" t="n">
        <v>0</v>
      </c>
      <c r="T2132" s="3" t="n">
        <f aca="false">_xlfn.MINIFS($B$2:$B$2705,$A$2:$A$2705,A2132)</f>
        <v>1998</v>
      </c>
      <c r="U2132" s="3" t="n">
        <f aca="false">B2132-T2132</f>
        <v>8</v>
      </c>
      <c r="V2132" s="3" t="str">
        <f aca="false">INDEX(Pop_Inputs!$Q$2:$Q$29,MATCH(C2132,Pop_Inputs!$A$2:$A$29,0))</f>
        <v>South</v>
      </c>
      <c r="W2132" s="29" t="n">
        <v>34917967</v>
      </c>
      <c r="X2132" s="3" t="n">
        <f aca="false">IF(W2132="","",LN(W2132))</f>
        <v>17.3685120684551</v>
      </c>
      <c r="Y2132" s="3" t="n">
        <f aca="false">IF(X2132="","",X2132-AVERAGEIFS($X$2:$X$2705,$B$2:$B$2705,B2132))</f>
        <v>-0.707493945015983</v>
      </c>
      <c r="Z2132" s="21" t="n">
        <f aca="false">P2132</f>
        <v>-0.934930448698593</v>
      </c>
      <c r="AA2132" s="3" t="n">
        <f aca="false">R2132</f>
        <v>1</v>
      </c>
      <c r="AB2132" s="21" t="n">
        <f aca="false">P2132</f>
        <v>-0.934930448698593</v>
      </c>
      <c r="AC2132" s="3" t="n">
        <f aca="false">Y2132</f>
        <v>-0.707493945015983</v>
      </c>
      <c r="AD2132" s="3" t="n">
        <f aca="false">R2132</f>
        <v>1</v>
      </c>
    </row>
    <row r="2133" customFormat="false" ht="15" hidden="false" customHeight="true" outlineLevel="0" collapsed="false">
      <c r="A2133" s="7" t="s">
        <v>73</v>
      </c>
      <c r="B2133" s="7" t="n">
        <v>2006</v>
      </c>
      <c r="C2133" s="7" t="s">
        <v>155</v>
      </c>
      <c r="D2133" s="7" t="n">
        <v>80</v>
      </c>
      <c r="E2133" s="7" t="n">
        <v>82</v>
      </c>
      <c r="F2133" s="3" t="n">
        <f aca="false">COUNTIFS($B$2:$B$2705,B2133,$C$2:$C$2705,C2133)</f>
        <v>1</v>
      </c>
      <c r="G2133" s="3" t="n">
        <f aca="false">MIN(INT((MIN(B2133,2020)-1900)/10)+1,12)</f>
        <v>11</v>
      </c>
      <c r="H2133" s="3" t="n">
        <f aca="false">(MIN(B2133,2020)-1900-10*(G2133-1))/10</f>
        <v>0.6</v>
      </c>
      <c r="I2133" s="20" t="n">
        <f aca="false">EXP(LN(INDEX(Pop_Inputs!$B$2:$N$29,MATCH(C2133,Pop_Inputs!$A$2:$A$29,0),G2133))*(1-H2133)+LN(INDEX(Pop_Inputs!$B$2:$N$29,MATCH(C2133,Pop_Inputs!$A$2:$A$29,0),G2133+1))*H2133)</f>
        <v>1194113.01875567</v>
      </c>
      <c r="J2133" s="20" t="n">
        <f aca="false">I2133/F2133</f>
        <v>1194113.01875567</v>
      </c>
      <c r="K2133" s="21" t="n">
        <f aca="false">D2133/(D2133+E2133)</f>
        <v>0.493827160493827</v>
      </c>
      <c r="L2133" s="21" t="n">
        <f aca="false">AVERAGEIFS($K$2:$K$2705,$B$2:$B$2705,B2133)</f>
        <v>0.499997443958797</v>
      </c>
      <c r="M2133" s="21" t="n">
        <f aca="false">K2133-L2133</f>
        <v>-0.00617028346496945</v>
      </c>
      <c r="N2133" s="21" t="n">
        <f aca="false">LN(J2133)</f>
        <v>13.9929142240294</v>
      </c>
      <c r="O2133" s="21" t="n">
        <f aca="false">AVERAGEIFS($N$2:$N$2705,$B$2:$B$2705,B2133)</f>
        <v>13.6185153420178</v>
      </c>
      <c r="P2133" s="21" t="n">
        <f aca="false">N2133-O2133</f>
        <v>0.374398882011596</v>
      </c>
      <c r="Q2133" s="7" t="n">
        <v>1</v>
      </c>
      <c r="R2133" s="3" t="n">
        <f aca="false">IF(AND(Q2133=1,B2133-_xlfn.MINIFS($B$2:$B$2705,$A$2:$A$2705,A2133)&lt;10),1,0)</f>
        <v>0</v>
      </c>
      <c r="S2133" s="7" t="n">
        <v>0</v>
      </c>
      <c r="T2133" s="3" t="n">
        <f aca="false">_xlfn.MINIFS($B$2:$B$2705,$A$2:$A$2705,A2133)</f>
        <v>1961</v>
      </c>
      <c r="U2133" s="3" t="n">
        <f aca="false">B2133-T2133</f>
        <v>45</v>
      </c>
      <c r="V2133" s="3" t="str">
        <f aca="false">INDEX(Pop_Inputs!$Q$2:$Q$29,MATCH(C2133,Pop_Inputs!$A$2:$A$29,0))</f>
        <v>South</v>
      </c>
      <c r="W2133" s="29" t="n">
        <v>68228662</v>
      </c>
      <c r="X2133" s="3" t="n">
        <f aca="false">IF(W2133="","",LN(W2133))</f>
        <v>18.0383752984572</v>
      </c>
      <c r="Y2133" s="3" t="n">
        <f aca="false">IF(X2133="","",X2133-AVERAGEIFS($X$2:$X$2705,$B$2:$B$2705,B2133))</f>
        <v>-0.0376307150139255</v>
      </c>
      <c r="Z2133" s="21" t="n">
        <f aca="false">P2133</f>
        <v>0.374398882011596</v>
      </c>
      <c r="AA2133" s="3" t="n">
        <f aca="false">R2133</f>
        <v>0</v>
      </c>
      <c r="AB2133" s="21" t="n">
        <f aca="false">P2133</f>
        <v>0.374398882011596</v>
      </c>
      <c r="AC2133" s="3" t="n">
        <f aca="false">Y2133</f>
        <v>-0.0376307150139255</v>
      </c>
      <c r="AD2133" s="3" t="n">
        <f aca="false">R2133</f>
        <v>0</v>
      </c>
    </row>
    <row r="2134" customFormat="false" ht="15" hidden="false" customHeight="true" outlineLevel="0" collapsed="false">
      <c r="A2134" s="7" t="s">
        <v>81</v>
      </c>
      <c r="B2134" s="7" t="n">
        <v>2006</v>
      </c>
      <c r="C2134" s="7" t="s">
        <v>162</v>
      </c>
      <c r="D2134" s="7" t="n">
        <v>87</v>
      </c>
      <c r="E2134" s="7" t="n">
        <v>75</v>
      </c>
      <c r="F2134" s="3" t="n">
        <f aca="false">COUNTIFS($B$2:$B$2705,B2134,$C$2:$C$2705,C2134)</f>
        <v>1</v>
      </c>
      <c r="G2134" s="3" t="n">
        <f aca="false">MIN(INT((MIN(B2134,2020)-1900)/10)+1,12)</f>
        <v>11</v>
      </c>
      <c r="H2134" s="3" t="n">
        <f aca="false">(MIN(B2134,2020)-1900-10*(G2134-1))/10</f>
        <v>0.6</v>
      </c>
      <c r="I2134" s="20" t="n">
        <f aca="false">EXP(LN(INDEX(Pop_Inputs!$B$2:$N$29,MATCH(C2134,Pop_Inputs!$A$2:$A$29,0),G2134))*(1-H2134)+LN(INDEX(Pop_Inputs!$B$2:$N$29,MATCH(C2134,Pop_Inputs!$A$2:$A$29,0),G2134+1))*H2134)</f>
        <v>2560791.89423345</v>
      </c>
      <c r="J2134" s="20" t="n">
        <f aca="false">I2134/F2134</f>
        <v>2560791.89423345</v>
      </c>
      <c r="K2134" s="21" t="n">
        <f aca="false">D2134/(D2134+E2134)</f>
        <v>0.537037037037037</v>
      </c>
      <c r="L2134" s="21" t="n">
        <f aca="false">AVERAGEIFS($K$2:$K$2705,$B$2:$B$2705,B2134)</f>
        <v>0.499997443958797</v>
      </c>
      <c r="M2134" s="21" t="n">
        <f aca="false">K2134-L2134</f>
        <v>0.0370395930782405</v>
      </c>
      <c r="N2134" s="21" t="n">
        <f aca="false">LN(J2134)</f>
        <v>14.7558271023069</v>
      </c>
      <c r="O2134" s="21" t="n">
        <f aca="false">AVERAGEIFS($N$2:$N$2705,$B$2:$B$2705,B2134)</f>
        <v>13.6185153420178</v>
      </c>
      <c r="P2134" s="21" t="n">
        <f aca="false">N2134-O2134</f>
        <v>1.13731176028909</v>
      </c>
      <c r="Q2134" s="7" t="n">
        <v>1</v>
      </c>
      <c r="R2134" s="3" t="n">
        <f aca="false">IF(AND(Q2134=1,B2134-_xlfn.MINIFS($B$2:$B$2705,$A$2:$A$2705,A2134)&lt;10),1,0)</f>
        <v>0</v>
      </c>
      <c r="S2134" s="7" t="n">
        <v>0</v>
      </c>
      <c r="T2134" s="3" t="n">
        <f aca="false">_xlfn.MINIFS($B$2:$B$2705,$A$2:$A$2705,A2134)</f>
        <v>1977</v>
      </c>
      <c r="U2134" s="3" t="n">
        <f aca="false">B2134-T2134</f>
        <v>29</v>
      </c>
      <c r="V2134" s="3" t="str">
        <f aca="false">INDEX(Pop_Inputs!$Q$2:$Q$29,MATCH(C2134,Pop_Inputs!$A$2:$A$29,0))</f>
        <v>Canada</v>
      </c>
      <c r="W2134" s="29" t="n">
        <v>71365000</v>
      </c>
      <c r="X2134" s="3" t="n">
        <f aca="false">IF(W2134="","",LN(W2134))</f>
        <v>18.083318111046</v>
      </c>
      <c r="Y2134" s="3" t="n">
        <f aca="false">IF(X2134="","",X2134-AVERAGEIFS($X$2:$X$2705,$B$2:$B$2705,B2134))</f>
        <v>0.00731209757492124</v>
      </c>
      <c r="Z2134" s="21" t="n">
        <f aca="false">P2134</f>
        <v>1.13731176028909</v>
      </c>
      <c r="AA2134" s="3" t="n">
        <f aca="false">R2134</f>
        <v>0</v>
      </c>
      <c r="AB2134" s="21" t="n">
        <f aca="false">P2134</f>
        <v>1.13731176028909</v>
      </c>
      <c r="AC2134" s="3" t="n">
        <f aca="false">Y2134</f>
        <v>0.00731209757492124</v>
      </c>
      <c r="AD2134" s="3" t="n">
        <f aca="false">R2134</f>
        <v>0</v>
      </c>
    </row>
    <row r="2135" customFormat="false" ht="15" hidden="false" customHeight="true" outlineLevel="0" collapsed="false">
      <c r="A2135" s="7" t="s">
        <v>79</v>
      </c>
      <c r="B2135" s="7" t="n">
        <v>2006</v>
      </c>
      <c r="C2135" s="7" t="s">
        <v>160</v>
      </c>
      <c r="D2135" s="7" t="n">
        <v>71</v>
      </c>
      <c r="E2135" s="7" t="n">
        <v>91</v>
      </c>
      <c r="F2135" s="3" t="n">
        <f aca="false">COUNTIFS($B$2:$B$2705,B2135,$C$2:$C$2705,C2135)</f>
        <v>1</v>
      </c>
      <c r="G2135" s="3" t="n">
        <f aca="false">MIN(INT((MIN(B2135,2020)-1900)/10)+1,12)</f>
        <v>11</v>
      </c>
      <c r="H2135" s="3" t="n">
        <f aca="false">(MIN(B2135,2020)-1900-10*(G2135-1))/10</f>
        <v>0.6</v>
      </c>
      <c r="I2135" s="20" t="n">
        <f aca="false">EXP(LN(INDEX(Pop_Inputs!$B$2:$N$29,MATCH(C2135,Pop_Inputs!$A$2:$A$29,0),G2135))*(1-H2135)+LN(INDEX(Pop_Inputs!$B$2:$N$29,MATCH(C2135,Pop_Inputs!$A$2:$A$29,0),G2135+1))*H2135)</f>
        <v>589677.14607325</v>
      </c>
      <c r="J2135" s="20" t="n">
        <f aca="false">I2135/F2135</f>
        <v>589677.14607325</v>
      </c>
      <c r="K2135" s="21" t="n">
        <f aca="false">D2135/(D2135+E2135)</f>
        <v>0.438271604938272</v>
      </c>
      <c r="L2135" s="21" t="n">
        <f aca="false">AVERAGEIFS($K$2:$K$2705,$B$2:$B$2705,B2135)</f>
        <v>0.499997443958797</v>
      </c>
      <c r="M2135" s="21" t="n">
        <f aca="false">K2135-L2135</f>
        <v>-0.061725839020525</v>
      </c>
      <c r="N2135" s="21" t="n">
        <f aca="false">LN(J2135)</f>
        <v>13.2873304560625</v>
      </c>
      <c r="O2135" s="21" t="n">
        <f aca="false">AVERAGEIFS($N$2:$N$2705,$B$2:$B$2705,B2135)</f>
        <v>13.6185153420178</v>
      </c>
      <c r="P2135" s="21" t="n">
        <f aca="false">N2135-O2135</f>
        <v>-0.33118488595529</v>
      </c>
      <c r="Q2135" s="7" t="n">
        <v>1</v>
      </c>
      <c r="R2135" s="3" t="n">
        <f aca="false">IF(AND(Q2135=1,B2135-_xlfn.MINIFS($B$2:$B$2705,$A$2:$A$2705,A2135)&lt;10),1,0)</f>
        <v>0</v>
      </c>
      <c r="S2135" s="7" t="n">
        <v>0</v>
      </c>
      <c r="T2135" s="3" t="n">
        <f aca="false">_xlfn.MINIFS($B$2:$B$2705,$A$2:$A$2705,A2135)</f>
        <v>1969</v>
      </c>
      <c r="U2135" s="3" t="n">
        <f aca="false">B2135-T2135</f>
        <v>37</v>
      </c>
      <c r="V2135" s="3" t="str">
        <f aca="false">INDEX(Pop_Inputs!$Q$2:$Q$29,MATCH(C2135,Pop_Inputs!$A$2:$A$29,0))</f>
        <v>South</v>
      </c>
      <c r="W2135" s="29" t="n">
        <v>63143000</v>
      </c>
      <c r="X2135" s="3" t="n">
        <f aca="false">IF(W2135="","",LN(W2135))</f>
        <v>17.9609125534275</v>
      </c>
      <c r="Y2135" s="3" t="n">
        <f aca="false">IF(X2135="","",X2135-AVERAGEIFS($X$2:$X$2705,$B$2:$B$2705,B2135))</f>
        <v>-0.115093460043546</v>
      </c>
      <c r="Z2135" s="21" t="n">
        <f aca="false">P2135</f>
        <v>-0.33118488595529</v>
      </c>
      <c r="AA2135" s="3" t="n">
        <f aca="false">R2135</f>
        <v>0</v>
      </c>
      <c r="AB2135" s="21" t="n">
        <f aca="false">P2135</f>
        <v>-0.33118488595529</v>
      </c>
      <c r="AC2135" s="3" t="n">
        <f aca="false">Y2135</f>
        <v>-0.115093460043546</v>
      </c>
      <c r="AD2135" s="3" t="n">
        <f aca="false">R2135</f>
        <v>0</v>
      </c>
    </row>
    <row r="2136" customFormat="false" ht="15" hidden="false" customHeight="true" outlineLevel="0" collapsed="false">
      <c r="A2136" s="7" t="s">
        <v>71</v>
      </c>
      <c r="B2136" s="7" t="n">
        <v>2007</v>
      </c>
      <c r="C2136" s="7" t="s">
        <v>148</v>
      </c>
      <c r="D2136" s="7" t="n">
        <v>94</v>
      </c>
      <c r="E2136" s="7" t="n">
        <v>68</v>
      </c>
      <c r="F2136" s="3" t="n">
        <f aca="false">COUNTIFS($B$2:$B$2705,B2136,$C$2:$C$2705,C2136)</f>
        <v>2</v>
      </c>
      <c r="G2136" s="3" t="n">
        <f aca="false">MIN(INT((MIN(B2136,2020)-1900)/10)+1,12)</f>
        <v>11</v>
      </c>
      <c r="H2136" s="3" t="n">
        <f aca="false">(MIN(B2136,2020)-1900-10*(G2136-1))/10</f>
        <v>0.7</v>
      </c>
      <c r="I2136" s="20" t="n">
        <f aca="false">EXP(LN(INDEX(Pop_Inputs!$B$2:$N$29,MATCH(C2136,Pop_Inputs!$A$2:$A$29,0),G2136))*(1-H2136)+LN(INDEX(Pop_Inputs!$B$2:$N$29,MATCH(C2136,Pop_Inputs!$A$2:$A$29,0),G2136+1))*H2136)</f>
        <v>3763011.95045747</v>
      </c>
      <c r="J2136" s="20" t="n">
        <f aca="false">I2136/F2136</f>
        <v>1881505.97522873</v>
      </c>
      <c r="K2136" s="21" t="n">
        <f aca="false">D2136/(D2136+E2136)</f>
        <v>0.580246913580247</v>
      </c>
      <c r="L2136" s="21" t="n">
        <f aca="false">AVERAGEIFS($K$2:$K$2705,$B$2:$B$2705,B2136)</f>
        <v>0.499979802570123</v>
      </c>
      <c r="M2136" s="21" t="n">
        <f aca="false">K2136-L2136</f>
        <v>0.080267111010124</v>
      </c>
      <c r="N2136" s="21" t="n">
        <f aca="false">LN(J2136)</f>
        <v>14.4475830647899</v>
      </c>
      <c r="O2136" s="21" t="n">
        <f aca="false">AVERAGEIFS($N$2:$N$2705,$B$2:$B$2705,B2136)</f>
        <v>13.6183404870687</v>
      </c>
      <c r="P2136" s="21" t="n">
        <f aca="false">N2136-O2136</f>
        <v>0.829242577721214</v>
      </c>
      <c r="Q2136" s="7" t="n">
        <v>1</v>
      </c>
      <c r="R2136" s="3" t="n">
        <f aca="false">IF(AND(Q2136=1,B2136-_xlfn.MINIFS($B$2:$B$2705,$A$2:$A$2705,A2136)&lt;10),1,0)</f>
        <v>0</v>
      </c>
      <c r="S2136" s="7" t="n">
        <v>0</v>
      </c>
      <c r="T2136" s="3" t="n">
        <f aca="false">_xlfn.MINIFS($B$2:$B$2705,$A$2:$A$2705,A2136)</f>
        <v>1961</v>
      </c>
      <c r="U2136" s="3" t="n">
        <f aca="false">B2136-T2136</f>
        <v>46</v>
      </c>
      <c r="V2136" s="3" t="str">
        <f aca="false">INDEX(Pop_Inputs!$Q$2:$Q$29,MATCH(C2136,Pop_Inputs!$A$2:$A$29,0))</f>
        <v>West</v>
      </c>
      <c r="W2136" s="29" t="n">
        <v>109251333</v>
      </c>
      <c r="X2136" s="3" t="n">
        <f aca="false">IF(W2136="","",LN(W2136))</f>
        <v>18.5091615932385</v>
      </c>
      <c r="Y2136" s="3" t="n">
        <f aca="false">IF(X2136="","",X2136-AVERAGEIFS($X$2:$X$2705,$B$2:$B$2705,B2136))</f>
        <v>0.367723455233556</v>
      </c>
      <c r="Z2136" s="21" t="n">
        <f aca="false">P2136</f>
        <v>0.829242577721214</v>
      </c>
      <c r="AA2136" s="3" t="n">
        <f aca="false">R2136</f>
        <v>0</v>
      </c>
      <c r="AB2136" s="21" t="n">
        <f aca="false">P2136</f>
        <v>0.829242577721214</v>
      </c>
      <c r="AC2136" s="3" t="n">
        <f aca="false">Y2136</f>
        <v>0.367723455233556</v>
      </c>
      <c r="AD2136" s="3" t="n">
        <f aca="false">R2136</f>
        <v>0</v>
      </c>
    </row>
    <row r="2137" customFormat="false" ht="15" hidden="false" customHeight="true" outlineLevel="0" collapsed="false">
      <c r="A2137" s="7" t="s">
        <v>84</v>
      </c>
      <c r="B2137" s="7" t="n">
        <v>2007</v>
      </c>
      <c r="C2137" s="7" t="s">
        <v>165</v>
      </c>
      <c r="D2137" s="7" t="n">
        <v>90</v>
      </c>
      <c r="E2137" s="7" t="n">
        <v>72</v>
      </c>
      <c r="F2137" s="3" t="n">
        <f aca="false">COUNTIFS($B$2:$B$2705,B2137,$C$2:$C$2705,C2137)</f>
        <v>1</v>
      </c>
      <c r="G2137" s="3" t="n">
        <f aca="false">MIN(INT((MIN(B2137,2020)-1900)/10)+1,12)</f>
        <v>11</v>
      </c>
      <c r="H2137" s="3" t="n">
        <f aca="false">(MIN(B2137,2020)-1900-10*(G2137-1))/10</f>
        <v>0.7</v>
      </c>
      <c r="I2137" s="20" t="n">
        <f aca="false">EXP(LN(INDEX(Pop_Inputs!$B$2:$N$29,MATCH(C2137,Pop_Inputs!$A$2:$A$29,0),G2137))*(1-H2137)+LN(INDEX(Pop_Inputs!$B$2:$N$29,MATCH(C2137,Pop_Inputs!$A$2:$A$29,0),G2137+1))*H2137)</f>
        <v>1407070.02281122</v>
      </c>
      <c r="J2137" s="20" t="n">
        <f aca="false">I2137/F2137</f>
        <v>1407070.02281122</v>
      </c>
      <c r="K2137" s="21" t="n">
        <f aca="false">D2137/(D2137+E2137)</f>
        <v>0.555555555555556</v>
      </c>
      <c r="L2137" s="21" t="n">
        <f aca="false">AVERAGEIFS($K$2:$K$2705,$B$2:$B$2705,B2137)</f>
        <v>0.499979802570123</v>
      </c>
      <c r="M2137" s="21" t="n">
        <f aca="false">K2137-L2137</f>
        <v>0.0555757529854327</v>
      </c>
      <c r="N2137" s="21" t="n">
        <f aca="false">LN(J2137)</f>
        <v>14.1570201023146</v>
      </c>
      <c r="O2137" s="21" t="n">
        <f aca="false">AVERAGEIFS($N$2:$N$2705,$B$2:$B$2705,B2137)</f>
        <v>13.6183404870687</v>
      </c>
      <c r="P2137" s="21" t="n">
        <f aca="false">N2137-O2137</f>
        <v>0.538679615245954</v>
      </c>
      <c r="Q2137" s="7" t="n">
        <v>1</v>
      </c>
      <c r="R2137" s="3" t="n">
        <f aca="false">IF(AND(Q2137=1,B2137-_xlfn.MINIFS($B$2:$B$2705,$A$2:$A$2705,A2137)&lt;10),1,0)</f>
        <v>1</v>
      </c>
      <c r="S2137" s="7" t="n">
        <v>0</v>
      </c>
      <c r="T2137" s="3" t="n">
        <f aca="false">_xlfn.MINIFS($B$2:$B$2705,$A$2:$A$2705,A2137)</f>
        <v>1998</v>
      </c>
      <c r="U2137" s="3" t="n">
        <f aca="false">B2137-T2137</f>
        <v>9</v>
      </c>
      <c r="V2137" s="3" t="str">
        <f aca="false">INDEX(Pop_Inputs!$Q$2:$Q$29,MATCH(C2137,Pop_Inputs!$A$2:$A$29,0))</f>
        <v>West</v>
      </c>
      <c r="W2137" s="29" t="n">
        <v>52067546</v>
      </c>
      <c r="X2137" s="3" t="n">
        <f aca="false">IF(W2137="","",LN(W2137))</f>
        <v>17.7680523951635</v>
      </c>
      <c r="Y2137" s="3" t="n">
        <f aca="false">IF(X2137="","",X2137-AVERAGEIFS($X$2:$X$2705,$B$2:$B$2705,B2137))</f>
        <v>-0.373385742841485</v>
      </c>
      <c r="Z2137" s="21" t="n">
        <f aca="false">P2137</f>
        <v>0.538679615245954</v>
      </c>
      <c r="AA2137" s="3" t="n">
        <f aca="false">R2137</f>
        <v>1</v>
      </c>
      <c r="AB2137" s="21" t="n">
        <f aca="false">P2137</f>
        <v>0.538679615245954</v>
      </c>
      <c r="AC2137" s="3" t="n">
        <f aca="false">Y2137</f>
        <v>-0.373385742841485</v>
      </c>
      <c r="AD2137" s="3" t="n">
        <f aca="false">R2137</f>
        <v>1</v>
      </c>
    </row>
    <row r="2138" customFormat="false" ht="15" hidden="false" customHeight="true" outlineLevel="0" collapsed="false">
      <c r="A2138" s="7" t="s">
        <v>54</v>
      </c>
      <c r="B2138" s="7" t="n">
        <v>2007</v>
      </c>
      <c r="C2138" s="7" t="s">
        <v>141</v>
      </c>
      <c r="D2138" s="7" t="n">
        <v>84</v>
      </c>
      <c r="E2138" s="7" t="n">
        <v>78</v>
      </c>
      <c r="F2138" s="3" t="n">
        <f aca="false">COUNTIFS($B$2:$B$2705,B2138,$C$2:$C$2705,C2138)</f>
        <v>1</v>
      </c>
      <c r="G2138" s="3" t="n">
        <f aca="false">MIN(INT((MIN(B2138,2020)-1900)/10)+1,12)</f>
        <v>11</v>
      </c>
      <c r="H2138" s="3" t="n">
        <f aca="false">(MIN(B2138,2020)-1900-10*(G2138-1))/10</f>
        <v>0.7</v>
      </c>
      <c r="I2138" s="20" t="n">
        <f aca="false">EXP(LN(INDEX(Pop_Inputs!$B$2:$N$29,MATCH(C2138,Pop_Inputs!$A$2:$A$29,0),G2138))*(1-H2138)+LN(INDEX(Pop_Inputs!$B$2:$N$29,MATCH(C2138,Pop_Inputs!$A$2:$A$29,0),G2138+1))*H2138)</f>
        <v>418941.171653327</v>
      </c>
      <c r="J2138" s="20" t="n">
        <f aca="false">I2138/F2138</f>
        <v>418941.171653327</v>
      </c>
      <c r="K2138" s="21" t="n">
        <f aca="false">D2138/(D2138+E2138)</f>
        <v>0.518518518518519</v>
      </c>
      <c r="L2138" s="21" t="n">
        <f aca="false">AVERAGEIFS($K$2:$K$2705,$B$2:$B$2705,B2138)</f>
        <v>0.499979802570123</v>
      </c>
      <c r="M2138" s="21" t="n">
        <f aca="false">K2138-L2138</f>
        <v>0.0185387159483956</v>
      </c>
      <c r="N2138" s="21" t="n">
        <f aca="false">LN(J2138)</f>
        <v>12.945485787265</v>
      </c>
      <c r="O2138" s="21" t="n">
        <f aca="false">AVERAGEIFS($N$2:$N$2705,$B$2:$B$2705,B2138)</f>
        <v>13.6183404870687</v>
      </c>
      <c r="P2138" s="21" t="n">
        <f aca="false">N2138-O2138</f>
        <v>-0.672854699803676</v>
      </c>
      <c r="Q2138" s="7" t="n">
        <v>0</v>
      </c>
      <c r="R2138" s="3" t="n">
        <f aca="false">IF(AND(Q2138=1,B2138-_xlfn.MINIFS($B$2:$B$2705,$A$2:$A$2705,A2138)&lt;10),1,0)</f>
        <v>0</v>
      </c>
      <c r="S2138" s="7" t="n">
        <v>0</v>
      </c>
      <c r="T2138" s="3" t="n">
        <f aca="false">_xlfn.MINIFS($B$2:$B$2705,$A$2:$A$2705,A2138)</f>
        <v>1901</v>
      </c>
      <c r="U2138" s="3" t="n">
        <f aca="false">B2138-T2138</f>
        <v>106</v>
      </c>
      <c r="V2138" s="3" t="str">
        <f aca="false">INDEX(Pop_Inputs!$Q$2:$Q$29,MATCH(C2138,Pop_Inputs!$A$2:$A$29,0))</f>
        <v>South</v>
      </c>
      <c r="W2138" s="29" t="n">
        <v>87290833</v>
      </c>
      <c r="X2138" s="3" t="n">
        <f aca="false">IF(W2138="","",LN(W2138))</f>
        <v>18.284756009569</v>
      </c>
      <c r="Y2138" s="3" t="n">
        <f aca="false">IF(X2138="","",X2138-AVERAGEIFS($X$2:$X$2705,$B$2:$B$2705,B2138))</f>
        <v>0.143317871563987</v>
      </c>
      <c r="Z2138" s="21" t="n">
        <f aca="false">P2138</f>
        <v>-0.672854699803676</v>
      </c>
      <c r="AA2138" s="3" t="n">
        <f aca="false">R2138</f>
        <v>0</v>
      </c>
      <c r="AB2138" s="21" t="n">
        <f aca="false">P2138</f>
        <v>-0.672854699803676</v>
      </c>
      <c r="AC2138" s="3" t="n">
        <f aca="false">Y2138</f>
        <v>0.143317871563987</v>
      </c>
      <c r="AD2138" s="3" t="n">
        <f aca="false">R2138</f>
        <v>0</v>
      </c>
    </row>
    <row r="2139" customFormat="false" ht="15" hidden="false" customHeight="true" outlineLevel="0" collapsed="false">
      <c r="A2139" s="7" t="s">
        <v>63</v>
      </c>
      <c r="B2139" s="7" t="n">
        <v>2007</v>
      </c>
      <c r="C2139" s="7" t="s">
        <v>149</v>
      </c>
      <c r="D2139" s="7" t="n">
        <v>69</v>
      </c>
      <c r="E2139" s="7" t="n">
        <v>93</v>
      </c>
      <c r="F2139" s="3" t="n">
        <f aca="false">COUNTIFS($B$2:$B$2705,B2139,$C$2:$C$2705,C2139)</f>
        <v>1</v>
      </c>
      <c r="G2139" s="3" t="n">
        <f aca="false">MIN(INT((MIN(B2139,2020)-1900)/10)+1,12)</f>
        <v>11</v>
      </c>
      <c r="H2139" s="3" t="n">
        <f aca="false">(MIN(B2139,2020)-1900-10*(G2139-1))/10</f>
        <v>0.7</v>
      </c>
      <c r="I2139" s="20" t="n">
        <f aca="false">EXP(LN(INDEX(Pop_Inputs!$B$2:$N$29,MATCH(C2139,Pop_Inputs!$A$2:$A$29,0),G2139))*(1-H2139)+LN(INDEX(Pop_Inputs!$B$2:$N$29,MATCH(C2139,Pop_Inputs!$A$2:$A$29,0),G2139+1))*H2139)</f>
        <v>629868.864815161</v>
      </c>
      <c r="J2139" s="20" t="n">
        <f aca="false">I2139/F2139</f>
        <v>629868.864815161</v>
      </c>
      <c r="K2139" s="21" t="n">
        <f aca="false">D2139/(D2139+E2139)</f>
        <v>0.425925925925926</v>
      </c>
      <c r="L2139" s="21" t="n">
        <f aca="false">AVERAGEIFS($K$2:$K$2705,$B$2:$B$2705,B2139)</f>
        <v>0.499979802570123</v>
      </c>
      <c r="M2139" s="21" t="n">
        <f aca="false">K2139-L2139</f>
        <v>-0.074053876644197</v>
      </c>
      <c r="N2139" s="21" t="n">
        <f aca="false">LN(J2139)</f>
        <v>13.3532669256142</v>
      </c>
      <c r="O2139" s="21" t="n">
        <f aca="false">AVERAGEIFS($N$2:$N$2705,$B$2:$B$2705,B2139)</f>
        <v>13.6183404870687</v>
      </c>
      <c r="P2139" s="21" t="n">
        <f aca="false">N2139-O2139</f>
        <v>-0.265073561454438</v>
      </c>
      <c r="Q2139" s="7" t="n">
        <v>0</v>
      </c>
      <c r="R2139" s="3" t="n">
        <f aca="false">IF(AND(Q2139=1,B2139-_xlfn.MINIFS($B$2:$B$2705,$A$2:$A$2705,A2139)&lt;10),1,0)</f>
        <v>0</v>
      </c>
      <c r="S2139" s="7" t="n">
        <v>0</v>
      </c>
      <c r="T2139" s="3" t="n">
        <f aca="false">_xlfn.MINIFS($B$2:$B$2705,$A$2:$A$2705,A2139)</f>
        <v>1901</v>
      </c>
      <c r="U2139" s="3" t="n">
        <f aca="false">B2139-T2139</f>
        <v>106</v>
      </c>
      <c r="V2139" s="3" t="str">
        <f aca="false">INDEX(Pop_Inputs!$Q$2:$Q$29,MATCH(C2139,Pop_Inputs!$A$2:$A$29,0))</f>
        <v>South</v>
      </c>
      <c r="W2139" s="29" t="n">
        <v>93174808</v>
      </c>
      <c r="X2139" s="3" t="n">
        <f aca="false">IF(W2139="","",LN(W2139))</f>
        <v>18.3499879426889</v>
      </c>
      <c r="Y2139" s="3" t="n">
        <f aca="false">IF(X2139="","",X2139-AVERAGEIFS($X$2:$X$2705,$B$2:$B$2705,B2139))</f>
        <v>0.208549804683912</v>
      </c>
      <c r="Z2139" s="21" t="n">
        <f aca="false">P2139</f>
        <v>-0.265073561454438</v>
      </c>
      <c r="AA2139" s="3" t="n">
        <f aca="false">R2139</f>
        <v>0</v>
      </c>
      <c r="AB2139" s="21" t="n">
        <f aca="false">P2139</f>
        <v>-0.265073561454438</v>
      </c>
      <c r="AC2139" s="3" t="n">
        <f aca="false">Y2139</f>
        <v>0.208549804683912</v>
      </c>
      <c r="AD2139" s="3" t="n">
        <f aca="false">R2139</f>
        <v>0</v>
      </c>
    </row>
    <row r="2140" customFormat="false" ht="15" hidden="false" customHeight="true" outlineLevel="0" collapsed="false">
      <c r="A2140" s="7" t="s">
        <v>64</v>
      </c>
      <c r="B2140" s="7" t="n">
        <v>2007</v>
      </c>
      <c r="C2140" s="7" t="s">
        <v>150</v>
      </c>
      <c r="D2140" s="7" t="n">
        <v>96</v>
      </c>
      <c r="E2140" s="7" t="n">
        <v>66</v>
      </c>
      <c r="F2140" s="3" t="n">
        <f aca="false">COUNTIFS($B$2:$B$2705,B2140,$C$2:$C$2705,C2140)</f>
        <v>1</v>
      </c>
      <c r="G2140" s="3" t="n">
        <f aca="false">MIN(INT((MIN(B2140,2020)-1900)/10)+1,12)</f>
        <v>11</v>
      </c>
      <c r="H2140" s="3" t="n">
        <f aca="false">(MIN(B2140,2020)-1900-10*(G2140-1))/10</f>
        <v>0.7</v>
      </c>
      <c r="I2140" s="20" t="n">
        <f aca="false">EXP(LN(INDEX(Pop_Inputs!$B$2:$N$29,MATCH(C2140,Pop_Inputs!$A$2:$A$29,0),G2140))*(1-H2140)+LN(INDEX(Pop_Inputs!$B$2:$N$29,MATCH(C2140,Pop_Inputs!$A$2:$A$29,0),G2140+1))*H2140)</f>
        <v>608916.75172148</v>
      </c>
      <c r="J2140" s="20" t="n">
        <f aca="false">I2140/F2140</f>
        <v>608916.75172148</v>
      </c>
      <c r="K2140" s="21" t="n">
        <f aca="false">D2140/(D2140+E2140)</f>
        <v>0.592592592592593</v>
      </c>
      <c r="L2140" s="21" t="n">
        <f aca="false">AVERAGEIFS($K$2:$K$2705,$B$2:$B$2705,B2140)</f>
        <v>0.499979802570123</v>
      </c>
      <c r="M2140" s="21" t="n">
        <f aca="false">K2140-L2140</f>
        <v>0.0926127900224696</v>
      </c>
      <c r="N2140" s="21" t="n">
        <f aca="false">LN(J2140)</f>
        <v>13.3194368406675</v>
      </c>
      <c r="O2140" s="21" t="n">
        <f aca="false">AVERAGEIFS($N$2:$N$2705,$B$2:$B$2705,B2140)</f>
        <v>13.6183404870687</v>
      </c>
      <c r="P2140" s="21" t="n">
        <f aca="false">N2140-O2140</f>
        <v>-0.298903646401127</v>
      </c>
      <c r="Q2140" s="7" t="n">
        <v>0</v>
      </c>
      <c r="R2140" s="3" t="n">
        <f aca="false">IF(AND(Q2140=1,B2140-_xlfn.MINIFS($B$2:$B$2705,$A$2:$A$2705,A2140)&lt;10),1,0)</f>
        <v>0</v>
      </c>
      <c r="S2140" s="7" t="n">
        <v>0</v>
      </c>
      <c r="T2140" s="3" t="n">
        <f aca="false">_xlfn.MINIFS($B$2:$B$2705,$A$2:$A$2705,A2140)</f>
        <v>1901</v>
      </c>
      <c r="U2140" s="3" t="n">
        <f aca="false">B2140-T2140</f>
        <v>106</v>
      </c>
      <c r="V2140" s="3" t="str">
        <f aca="false">INDEX(Pop_Inputs!$Q$2:$Q$29,MATCH(C2140,Pop_Inputs!$A$2:$A$29,0))</f>
        <v>Northeast</v>
      </c>
      <c r="W2140" s="29" t="n">
        <v>143026214</v>
      </c>
      <c r="X2140" s="3" t="n">
        <f aca="false">IF(W2140="","",LN(W2140))</f>
        <v>18.7785384861094</v>
      </c>
      <c r="Y2140" s="3" t="n">
        <f aca="false">IF(X2140="","",X2140-AVERAGEIFS($X$2:$X$2705,$B$2:$B$2705,B2140))</f>
        <v>0.637100348104433</v>
      </c>
      <c r="Z2140" s="21" t="n">
        <f aca="false">P2140</f>
        <v>-0.298903646401127</v>
      </c>
      <c r="AA2140" s="3" t="n">
        <f aca="false">R2140</f>
        <v>0</v>
      </c>
      <c r="AB2140" s="21" t="n">
        <f aca="false">P2140</f>
        <v>-0.298903646401127</v>
      </c>
      <c r="AC2140" s="3" t="n">
        <f aca="false">Y2140</f>
        <v>0.637100348104433</v>
      </c>
      <c r="AD2140" s="3" t="n">
        <f aca="false">R2140</f>
        <v>0</v>
      </c>
    </row>
    <row r="2141" customFormat="false" ht="15" hidden="false" customHeight="true" outlineLevel="0" collapsed="false">
      <c r="A2141" s="7" t="s">
        <v>56</v>
      </c>
      <c r="B2141" s="7" t="n">
        <v>2007</v>
      </c>
      <c r="C2141" s="7" t="s">
        <v>142</v>
      </c>
      <c r="D2141" s="7" t="n">
        <v>85</v>
      </c>
      <c r="E2141" s="7" t="n">
        <v>77</v>
      </c>
      <c r="F2141" s="3" t="n">
        <f aca="false">COUNTIFS($B$2:$B$2705,B2141,$C$2:$C$2705,C2141)</f>
        <v>2</v>
      </c>
      <c r="G2141" s="3" t="n">
        <f aca="false">MIN(INT((MIN(B2141,2020)-1900)/10)+1,12)</f>
        <v>11</v>
      </c>
      <c r="H2141" s="3" t="n">
        <f aca="false">(MIN(B2141,2020)-1900-10*(G2141-1))/10</f>
        <v>0.7</v>
      </c>
      <c r="I2141" s="20" t="n">
        <f aca="false">EXP(LN(INDEX(Pop_Inputs!$B$2:$N$29,MATCH(C2141,Pop_Inputs!$A$2:$A$29,0),G2141))*(1-H2141)+LN(INDEX(Pop_Inputs!$B$2:$N$29,MATCH(C2141,Pop_Inputs!$A$2:$A$29,0),G2141+1))*H2141)</f>
        <v>2754221.56821915</v>
      </c>
      <c r="J2141" s="20" t="n">
        <f aca="false">I2141/F2141</f>
        <v>1377110.78410957</v>
      </c>
      <c r="K2141" s="21" t="n">
        <f aca="false">D2141/(D2141+E2141)</f>
        <v>0.524691358024691</v>
      </c>
      <c r="L2141" s="21" t="n">
        <f aca="false">AVERAGEIFS($K$2:$K$2705,$B$2:$B$2705,B2141)</f>
        <v>0.499979802570123</v>
      </c>
      <c r="M2141" s="21" t="n">
        <f aca="false">K2141-L2141</f>
        <v>0.0247115554545684</v>
      </c>
      <c r="N2141" s="21" t="n">
        <f aca="false">LN(J2141)</f>
        <v>14.1354982277132</v>
      </c>
      <c r="O2141" s="21" t="n">
        <f aca="false">AVERAGEIFS($N$2:$N$2705,$B$2:$B$2705,B2141)</f>
        <v>13.6183404870687</v>
      </c>
      <c r="P2141" s="21" t="n">
        <f aca="false">N2141-O2141</f>
        <v>0.517157740644556</v>
      </c>
      <c r="Q2141" s="7" t="n">
        <v>0</v>
      </c>
      <c r="R2141" s="3" t="n">
        <f aca="false">IF(AND(Q2141=1,B2141-_xlfn.MINIFS($B$2:$B$2705,$A$2:$A$2705,A2141)&lt;10),1,0)</f>
        <v>0</v>
      </c>
      <c r="S2141" s="7" t="n">
        <v>0</v>
      </c>
      <c r="T2141" s="3" t="n">
        <f aca="false">_xlfn.MINIFS($B$2:$B$2705,$A$2:$A$2705,A2141)</f>
        <v>1901</v>
      </c>
      <c r="U2141" s="3" t="n">
        <f aca="false">B2141-T2141</f>
        <v>106</v>
      </c>
      <c r="V2141" s="3" t="str">
        <f aca="false">INDEX(Pop_Inputs!$Q$2:$Q$29,MATCH(C2141,Pop_Inputs!$A$2:$A$29,0))</f>
        <v>Midwest</v>
      </c>
      <c r="W2141" s="29" t="n">
        <v>99670332</v>
      </c>
      <c r="X2141" s="3" t="n">
        <f aca="false">IF(W2141="","",LN(W2141))</f>
        <v>18.4173786179304</v>
      </c>
      <c r="Y2141" s="3" t="n">
        <f aca="false">IF(X2141="","",X2141-AVERAGEIFS($X$2:$X$2705,$B$2:$B$2705,B2141))</f>
        <v>0.275940479925385</v>
      </c>
      <c r="Z2141" s="21" t="n">
        <f aca="false">P2141</f>
        <v>0.517157740644556</v>
      </c>
      <c r="AA2141" s="3" t="n">
        <f aca="false">R2141</f>
        <v>0</v>
      </c>
      <c r="AB2141" s="21" t="n">
        <f aca="false">P2141</f>
        <v>0.517157740644556</v>
      </c>
      <c r="AC2141" s="3" t="n">
        <f aca="false">Y2141</f>
        <v>0.275940479925385</v>
      </c>
      <c r="AD2141" s="3" t="n">
        <f aca="false">R2141</f>
        <v>0</v>
      </c>
    </row>
    <row r="2142" customFormat="false" ht="15" hidden="false" customHeight="true" outlineLevel="0" collapsed="false">
      <c r="A2142" s="7" t="s">
        <v>65</v>
      </c>
      <c r="B2142" s="7" t="n">
        <v>2007</v>
      </c>
      <c r="C2142" s="7" t="s">
        <v>142</v>
      </c>
      <c r="D2142" s="7" t="n">
        <v>72</v>
      </c>
      <c r="E2142" s="7" t="n">
        <v>90</v>
      </c>
      <c r="F2142" s="3" t="n">
        <f aca="false">COUNTIFS($B$2:$B$2705,B2142,$C$2:$C$2705,C2142)</f>
        <v>2</v>
      </c>
      <c r="G2142" s="3" t="n">
        <f aca="false">MIN(INT((MIN(B2142,2020)-1900)/10)+1,12)</f>
        <v>11</v>
      </c>
      <c r="H2142" s="3" t="n">
        <f aca="false">(MIN(B2142,2020)-1900-10*(G2142-1))/10</f>
        <v>0.7</v>
      </c>
      <c r="I2142" s="20" t="n">
        <f aca="false">EXP(LN(INDEX(Pop_Inputs!$B$2:$N$29,MATCH(C2142,Pop_Inputs!$A$2:$A$29,0),G2142))*(1-H2142)+LN(INDEX(Pop_Inputs!$B$2:$N$29,MATCH(C2142,Pop_Inputs!$A$2:$A$29,0),G2142+1))*H2142)</f>
        <v>2754221.56821915</v>
      </c>
      <c r="J2142" s="20" t="n">
        <f aca="false">I2142/F2142</f>
        <v>1377110.78410957</v>
      </c>
      <c r="K2142" s="21" t="n">
        <f aca="false">D2142/(D2142+E2142)</f>
        <v>0.444444444444444</v>
      </c>
      <c r="L2142" s="21" t="n">
        <f aca="false">AVERAGEIFS($K$2:$K$2705,$B$2:$B$2705,B2142)</f>
        <v>0.499979802570123</v>
      </c>
      <c r="M2142" s="21" t="n">
        <f aca="false">K2142-L2142</f>
        <v>-0.0555353581256785</v>
      </c>
      <c r="N2142" s="21" t="n">
        <f aca="false">LN(J2142)</f>
        <v>14.1354982277132</v>
      </c>
      <c r="O2142" s="21" t="n">
        <f aca="false">AVERAGEIFS($N$2:$N$2705,$B$2:$B$2705,B2142)</f>
        <v>13.6183404870687</v>
      </c>
      <c r="P2142" s="21" t="n">
        <f aca="false">N2142-O2142</f>
        <v>0.517157740644556</v>
      </c>
      <c r="Q2142" s="7" t="n">
        <v>0</v>
      </c>
      <c r="R2142" s="3" t="n">
        <f aca="false">IF(AND(Q2142=1,B2142-_xlfn.MINIFS($B$2:$B$2705,$A$2:$A$2705,A2142)&lt;10),1,0)</f>
        <v>0</v>
      </c>
      <c r="S2142" s="7" t="n">
        <v>0</v>
      </c>
      <c r="T2142" s="3" t="n">
        <f aca="false">_xlfn.MINIFS($B$2:$B$2705,$A$2:$A$2705,A2142)</f>
        <v>1901</v>
      </c>
      <c r="U2142" s="3" t="n">
        <f aca="false">B2142-T2142</f>
        <v>106</v>
      </c>
      <c r="V2142" s="3" t="str">
        <f aca="false">INDEX(Pop_Inputs!$Q$2:$Q$29,MATCH(C2142,Pop_Inputs!$A$2:$A$29,0))</f>
        <v>Midwest</v>
      </c>
      <c r="W2142" s="29" t="n">
        <v>108671833</v>
      </c>
      <c r="X2142" s="3" t="n">
        <f aca="false">IF(W2142="","",LN(W2142))</f>
        <v>18.5038431924775</v>
      </c>
      <c r="Y2142" s="3" t="n">
        <f aca="false">IF(X2142="","",X2142-AVERAGEIFS($X$2:$X$2705,$B$2:$B$2705,B2142))</f>
        <v>0.36240505447255</v>
      </c>
      <c r="Z2142" s="21" t="n">
        <f aca="false">P2142</f>
        <v>0.517157740644556</v>
      </c>
      <c r="AA2142" s="3" t="n">
        <f aca="false">R2142</f>
        <v>0</v>
      </c>
      <c r="AB2142" s="21" t="n">
        <f aca="false">P2142</f>
        <v>0.517157740644556</v>
      </c>
      <c r="AC2142" s="3" t="n">
        <f aca="false">Y2142</f>
        <v>0.36240505447255</v>
      </c>
      <c r="AD2142" s="3" t="n">
        <f aca="false">R2142</f>
        <v>0</v>
      </c>
    </row>
    <row r="2143" customFormat="false" ht="15" hidden="false" customHeight="true" outlineLevel="0" collapsed="false">
      <c r="A2143" s="7" t="s">
        <v>57</v>
      </c>
      <c r="B2143" s="7" t="n">
        <v>2007</v>
      </c>
      <c r="C2143" s="7" t="s">
        <v>143</v>
      </c>
      <c r="D2143" s="7" t="n">
        <v>72</v>
      </c>
      <c r="E2143" s="7" t="n">
        <v>90</v>
      </c>
      <c r="F2143" s="3" t="n">
        <f aca="false">COUNTIFS($B$2:$B$2705,B2143,$C$2:$C$2705,C2143)</f>
        <v>1</v>
      </c>
      <c r="G2143" s="3" t="n">
        <f aca="false">MIN(INT((MIN(B2143,2020)-1900)/10)+1,12)</f>
        <v>11</v>
      </c>
      <c r="H2143" s="3" t="n">
        <f aca="false">(MIN(B2143,2020)-1900-10*(G2143-1))/10</f>
        <v>0.7</v>
      </c>
      <c r="I2143" s="20" t="n">
        <f aca="false">EXP(LN(INDEX(Pop_Inputs!$B$2:$N$29,MATCH(C2143,Pop_Inputs!$A$2:$A$29,0),G2143))*(1-H2143)+LN(INDEX(Pop_Inputs!$B$2:$N$29,MATCH(C2143,Pop_Inputs!$A$2:$A$29,0),G2143+1))*H2143)</f>
        <v>306853.9343418</v>
      </c>
      <c r="J2143" s="20" t="n">
        <f aca="false">I2143/F2143</f>
        <v>306853.9343418</v>
      </c>
      <c r="K2143" s="21" t="n">
        <f aca="false">D2143/(D2143+E2143)</f>
        <v>0.444444444444444</v>
      </c>
      <c r="L2143" s="21" t="n">
        <f aca="false">AVERAGEIFS($K$2:$K$2705,$B$2:$B$2705,B2143)</f>
        <v>0.499979802570123</v>
      </c>
      <c r="M2143" s="21" t="n">
        <f aca="false">K2143-L2143</f>
        <v>-0.0555353581256785</v>
      </c>
      <c r="N2143" s="21" t="n">
        <f aca="false">LN(J2143)</f>
        <v>12.6341271294453</v>
      </c>
      <c r="O2143" s="21" t="n">
        <f aca="false">AVERAGEIFS($N$2:$N$2705,$B$2:$B$2705,B2143)</f>
        <v>13.6183404870687</v>
      </c>
      <c r="P2143" s="21" t="n">
        <f aca="false">N2143-O2143</f>
        <v>-0.984213357623334</v>
      </c>
      <c r="Q2143" s="7" t="n">
        <v>0</v>
      </c>
      <c r="R2143" s="3" t="n">
        <f aca="false">IF(AND(Q2143=1,B2143-_xlfn.MINIFS($B$2:$B$2705,$A$2:$A$2705,A2143)&lt;10),1,0)</f>
        <v>0</v>
      </c>
      <c r="S2143" s="7" t="n">
        <v>0</v>
      </c>
      <c r="T2143" s="3" t="n">
        <f aca="false">_xlfn.MINIFS($B$2:$B$2705,$A$2:$A$2705,A2143)</f>
        <v>1901</v>
      </c>
      <c r="U2143" s="3" t="n">
        <f aca="false">B2143-T2143</f>
        <v>106</v>
      </c>
      <c r="V2143" s="3" t="str">
        <f aca="false">INDEX(Pop_Inputs!$Q$2:$Q$29,MATCH(C2143,Pop_Inputs!$A$2:$A$29,0))</f>
        <v>Midwest</v>
      </c>
      <c r="W2143" s="29" t="n">
        <v>68524980</v>
      </c>
      <c r="X2143" s="3" t="n">
        <f aca="false">IF(W2143="","",LN(W2143))</f>
        <v>18.0427089082888</v>
      </c>
      <c r="Y2143" s="3" t="n">
        <f aca="false">IF(X2143="","",X2143-AVERAGEIFS($X$2:$X$2705,$B$2:$B$2705,B2143))</f>
        <v>-0.0987292297161808</v>
      </c>
      <c r="Z2143" s="21" t="n">
        <f aca="false">P2143</f>
        <v>-0.984213357623334</v>
      </c>
      <c r="AA2143" s="3" t="n">
        <f aca="false">R2143</f>
        <v>0</v>
      </c>
      <c r="AB2143" s="21" t="n">
        <f aca="false">P2143</f>
        <v>-0.984213357623334</v>
      </c>
      <c r="AC2143" s="3" t="n">
        <f aca="false">Y2143</f>
        <v>-0.0987292297161808</v>
      </c>
      <c r="AD2143" s="3" t="n">
        <f aca="false">R2143</f>
        <v>0</v>
      </c>
    </row>
    <row r="2144" customFormat="false" ht="15" hidden="false" customHeight="true" outlineLevel="0" collapsed="false">
      <c r="A2144" s="7" t="s">
        <v>66</v>
      </c>
      <c r="B2144" s="7" t="n">
        <v>2007</v>
      </c>
      <c r="C2144" s="7" t="s">
        <v>151</v>
      </c>
      <c r="D2144" s="7" t="n">
        <v>96</v>
      </c>
      <c r="E2144" s="7" t="n">
        <v>66</v>
      </c>
      <c r="F2144" s="3" t="n">
        <f aca="false">COUNTIFS($B$2:$B$2705,B2144,$C$2:$C$2705,C2144)</f>
        <v>1</v>
      </c>
      <c r="G2144" s="3" t="n">
        <f aca="false">MIN(INT((MIN(B2144,2020)-1900)/10)+1,12)</f>
        <v>11</v>
      </c>
      <c r="H2144" s="3" t="n">
        <f aca="false">(MIN(B2144,2020)-1900-10*(G2144-1))/10</f>
        <v>0.7</v>
      </c>
      <c r="I2144" s="20" t="n">
        <f aca="false">EXP(LN(INDEX(Pop_Inputs!$B$2:$N$29,MATCH(C2144,Pop_Inputs!$A$2:$A$29,0),G2144))*(1-H2144)+LN(INDEX(Pop_Inputs!$B$2:$N$29,MATCH(C2144,Pop_Inputs!$A$2:$A$29,0),G2144+1))*H2144)</f>
        <v>419710.490825265</v>
      </c>
      <c r="J2144" s="20" t="n">
        <f aca="false">I2144/F2144</f>
        <v>419710.490825265</v>
      </c>
      <c r="K2144" s="21" t="n">
        <f aca="false">D2144/(D2144+E2144)</f>
        <v>0.592592592592593</v>
      </c>
      <c r="L2144" s="21" t="n">
        <f aca="false">AVERAGEIFS($K$2:$K$2705,$B$2:$B$2705,B2144)</f>
        <v>0.499979802570123</v>
      </c>
      <c r="M2144" s="21" t="n">
        <f aca="false">K2144-L2144</f>
        <v>0.0926127900224696</v>
      </c>
      <c r="N2144" s="21" t="n">
        <f aca="false">LN(J2144)</f>
        <v>12.947320445019</v>
      </c>
      <c r="O2144" s="21" t="n">
        <f aca="false">AVERAGEIFS($N$2:$N$2705,$B$2:$B$2705,B2144)</f>
        <v>13.6183404870687</v>
      </c>
      <c r="P2144" s="21" t="n">
        <f aca="false">N2144-O2144</f>
        <v>-0.67102004204969</v>
      </c>
      <c r="Q2144" s="7" t="n">
        <v>0</v>
      </c>
      <c r="R2144" s="3" t="n">
        <f aca="false">IF(AND(Q2144=1,B2144-_xlfn.MINIFS($B$2:$B$2705,$A$2:$A$2705,A2144)&lt;10),1,0)</f>
        <v>0</v>
      </c>
      <c r="S2144" s="7" t="n">
        <v>0</v>
      </c>
      <c r="T2144" s="3" t="n">
        <f aca="false">_xlfn.MINIFS($B$2:$B$2705,$A$2:$A$2705,A2144)</f>
        <v>1901</v>
      </c>
      <c r="U2144" s="3" t="n">
        <f aca="false">B2144-T2144</f>
        <v>106</v>
      </c>
      <c r="V2144" s="3" t="str">
        <f aca="false">INDEX(Pop_Inputs!$Q$2:$Q$29,MATCH(C2144,Pop_Inputs!$A$2:$A$29,0))</f>
        <v>Midwest</v>
      </c>
      <c r="W2144" s="29" t="n">
        <v>61673267</v>
      </c>
      <c r="X2144" s="3" t="n">
        <f aca="false">IF(W2144="","",LN(W2144))</f>
        <v>17.9373611210794</v>
      </c>
      <c r="Y2144" s="3" t="n">
        <f aca="false">IF(X2144="","",X2144-AVERAGEIFS($X$2:$X$2705,$B$2:$B$2705,B2144))</f>
        <v>-0.20407701692562</v>
      </c>
      <c r="Z2144" s="21" t="n">
        <f aca="false">P2144</f>
        <v>-0.67102004204969</v>
      </c>
      <c r="AA2144" s="3" t="n">
        <f aca="false">R2144</f>
        <v>0</v>
      </c>
      <c r="AB2144" s="21" t="n">
        <f aca="false">P2144</f>
        <v>-0.67102004204969</v>
      </c>
      <c r="AC2144" s="3" t="n">
        <f aca="false">Y2144</f>
        <v>-0.20407701692562</v>
      </c>
      <c r="AD2144" s="3" t="n">
        <f aca="false">R2144</f>
        <v>0</v>
      </c>
    </row>
    <row r="2145" customFormat="false" ht="15" hidden="false" customHeight="true" outlineLevel="0" collapsed="false">
      <c r="A2145" s="7" t="s">
        <v>82</v>
      </c>
      <c r="B2145" s="7" t="n">
        <v>2007</v>
      </c>
      <c r="C2145" s="7" t="s">
        <v>163</v>
      </c>
      <c r="D2145" s="7" t="n">
        <v>90</v>
      </c>
      <c r="E2145" s="7" t="n">
        <v>73</v>
      </c>
      <c r="F2145" s="3" t="n">
        <f aca="false">COUNTIFS($B$2:$B$2705,B2145,$C$2:$C$2705,C2145)</f>
        <v>1</v>
      </c>
      <c r="G2145" s="3" t="n">
        <f aca="false">MIN(INT((MIN(B2145,2020)-1900)/10)+1,12)</f>
        <v>11</v>
      </c>
      <c r="H2145" s="3" t="n">
        <f aca="false">(MIN(B2145,2020)-1900-10*(G2145-1))/10</f>
        <v>0.7</v>
      </c>
      <c r="I2145" s="20" t="n">
        <f aca="false">EXP(LN(INDEX(Pop_Inputs!$B$2:$N$29,MATCH(C2145,Pop_Inputs!$A$2:$A$29,0),G2145))*(1-H2145)+LN(INDEX(Pop_Inputs!$B$2:$N$29,MATCH(C2145,Pop_Inputs!$A$2:$A$29,0),G2145+1))*H2145)</f>
        <v>586122.422887602</v>
      </c>
      <c r="J2145" s="20" t="n">
        <f aca="false">I2145/F2145</f>
        <v>586122.422887602</v>
      </c>
      <c r="K2145" s="21" t="n">
        <f aca="false">D2145/(D2145+E2145)</f>
        <v>0.552147239263804</v>
      </c>
      <c r="L2145" s="21" t="n">
        <f aca="false">AVERAGEIFS($K$2:$K$2705,$B$2:$B$2705,B2145)</f>
        <v>0.499979802570123</v>
      </c>
      <c r="M2145" s="21" t="n">
        <f aca="false">K2145-L2145</f>
        <v>0.0521674366936808</v>
      </c>
      <c r="N2145" s="21" t="n">
        <f aca="false">LN(J2145)</f>
        <v>13.2812839595174</v>
      </c>
      <c r="O2145" s="21" t="n">
        <f aca="false">AVERAGEIFS($N$2:$N$2705,$B$2:$B$2705,B2145)</f>
        <v>13.6183404870687</v>
      </c>
      <c r="P2145" s="21" t="n">
        <f aca="false">N2145-O2145</f>
        <v>-0.337056527551271</v>
      </c>
      <c r="Q2145" s="7" t="n">
        <v>1</v>
      </c>
      <c r="R2145" s="3" t="n">
        <f aca="false">IF(AND(Q2145=1,B2145-_xlfn.MINIFS($B$2:$B$2705,$A$2:$A$2705,A2145)&lt;10),1,0)</f>
        <v>0</v>
      </c>
      <c r="S2145" s="7" t="n">
        <v>0</v>
      </c>
      <c r="T2145" s="3" t="n">
        <f aca="false">_xlfn.MINIFS($B$2:$B$2705,$A$2:$A$2705,A2145)</f>
        <v>1993</v>
      </c>
      <c r="U2145" s="3" t="n">
        <f aca="false">B2145-T2145</f>
        <v>14</v>
      </c>
      <c r="V2145" s="3" t="str">
        <f aca="false">INDEX(Pop_Inputs!$Q$2:$Q$29,MATCH(C2145,Pop_Inputs!$A$2:$A$29,0))</f>
        <v>West</v>
      </c>
      <c r="W2145" s="29" t="n">
        <v>54041000</v>
      </c>
      <c r="X2145" s="3" t="n">
        <f aca="false">IF(W2145="","",LN(W2145))</f>
        <v>17.8052535756963</v>
      </c>
      <c r="Y2145" s="3" t="n">
        <f aca="false">IF(X2145="","",X2145-AVERAGEIFS($X$2:$X$2705,$B$2:$B$2705,B2145))</f>
        <v>-0.336184562308667</v>
      </c>
      <c r="Z2145" s="21" t="n">
        <f aca="false">P2145</f>
        <v>-0.337056527551271</v>
      </c>
      <c r="AA2145" s="3" t="n">
        <f aca="false">R2145</f>
        <v>0</v>
      </c>
      <c r="AB2145" s="21" t="n">
        <f aca="false">P2145</f>
        <v>-0.337056527551271</v>
      </c>
      <c r="AC2145" s="3" t="n">
        <f aca="false">Y2145</f>
        <v>-0.336184562308667</v>
      </c>
      <c r="AD2145" s="3" t="n">
        <f aca="false">R2145</f>
        <v>0</v>
      </c>
    </row>
    <row r="2146" customFormat="false" ht="15" hidden="false" customHeight="true" outlineLevel="0" collapsed="false">
      <c r="A2146" s="7" t="s">
        <v>67</v>
      </c>
      <c r="B2146" s="7" t="n">
        <v>2007</v>
      </c>
      <c r="C2146" s="7" t="s">
        <v>152</v>
      </c>
      <c r="D2146" s="7" t="n">
        <v>88</v>
      </c>
      <c r="E2146" s="7" t="n">
        <v>74</v>
      </c>
      <c r="F2146" s="3" t="n">
        <f aca="false">COUNTIFS($B$2:$B$2705,B2146,$C$2:$C$2705,C2146)</f>
        <v>1</v>
      </c>
      <c r="G2146" s="3" t="n">
        <f aca="false">MIN(INT((MIN(B2146,2020)-1900)/10)+1,12)</f>
        <v>11</v>
      </c>
      <c r="H2146" s="3" t="n">
        <f aca="false">(MIN(B2146,2020)-1900-10*(G2146-1))/10</f>
        <v>0.7</v>
      </c>
      <c r="I2146" s="20" t="n">
        <f aca="false">EXP(LN(INDEX(Pop_Inputs!$B$2:$N$29,MATCH(C2146,Pop_Inputs!$A$2:$A$29,0),G2146))*(1-H2146)+LN(INDEX(Pop_Inputs!$B$2:$N$29,MATCH(C2146,Pop_Inputs!$A$2:$A$29,0),G2146+1))*H2146)</f>
        <v>778009.544590891</v>
      </c>
      <c r="J2146" s="20" t="n">
        <f aca="false">I2146/F2146</f>
        <v>778009.544590891</v>
      </c>
      <c r="K2146" s="21" t="n">
        <f aca="false">D2146/(D2146+E2146)</f>
        <v>0.54320987654321</v>
      </c>
      <c r="L2146" s="21" t="n">
        <f aca="false">AVERAGEIFS($K$2:$K$2705,$B$2:$B$2705,B2146)</f>
        <v>0.499979802570123</v>
      </c>
      <c r="M2146" s="21" t="n">
        <f aca="false">K2146-L2146</f>
        <v>0.0432300739730869</v>
      </c>
      <c r="N2146" s="21" t="n">
        <f aca="false">LN(J2146)</f>
        <v>13.564494071197</v>
      </c>
      <c r="O2146" s="21" t="n">
        <f aca="false">AVERAGEIFS($N$2:$N$2705,$B$2:$B$2705,B2146)</f>
        <v>13.6183404870687</v>
      </c>
      <c r="P2146" s="21" t="n">
        <f aca="false">N2146-O2146</f>
        <v>-0.0538464158717016</v>
      </c>
      <c r="Q2146" s="7" t="n">
        <v>0</v>
      </c>
      <c r="R2146" s="3" t="n">
        <f aca="false">IF(AND(Q2146=1,B2146-_xlfn.MINIFS($B$2:$B$2705,$A$2:$A$2705,A2146)&lt;10),1,0)</f>
        <v>0</v>
      </c>
      <c r="S2146" s="7" t="n">
        <v>0</v>
      </c>
      <c r="T2146" s="3" t="n">
        <f aca="false">_xlfn.MINIFS($B$2:$B$2705,$A$2:$A$2705,A2146)</f>
        <v>1901</v>
      </c>
      <c r="U2146" s="3" t="n">
        <f aca="false">B2146-T2146</f>
        <v>106</v>
      </c>
      <c r="V2146" s="3" t="str">
        <f aca="false">INDEX(Pop_Inputs!$Q$2:$Q$29,MATCH(C2146,Pop_Inputs!$A$2:$A$29,0))</f>
        <v>Midwest</v>
      </c>
      <c r="W2146" s="29" t="n">
        <v>94800369</v>
      </c>
      <c r="X2146" s="3" t="n">
        <f aca="false">IF(W2146="","",LN(W2146))</f>
        <v>18.3672838596227</v>
      </c>
      <c r="Y2146" s="3" t="n">
        <f aca="false">IF(X2146="","",X2146-AVERAGEIFS($X$2:$X$2705,$B$2:$B$2705,B2146))</f>
        <v>0.225845721617759</v>
      </c>
      <c r="Z2146" s="21" t="n">
        <f aca="false">P2146</f>
        <v>-0.0538464158717016</v>
      </c>
      <c r="AA2146" s="3" t="n">
        <f aca="false">R2146</f>
        <v>0</v>
      </c>
      <c r="AB2146" s="21" t="n">
        <f aca="false">P2146</f>
        <v>-0.0538464158717016</v>
      </c>
      <c r="AC2146" s="3" t="n">
        <f aca="false">Y2146</f>
        <v>0.225845721617759</v>
      </c>
      <c r="AD2146" s="3" t="n">
        <f aca="false">R2146</f>
        <v>0</v>
      </c>
    </row>
    <row r="2147" customFormat="false" ht="15" hidden="false" customHeight="true" outlineLevel="0" collapsed="false">
      <c r="A2147" s="7" t="s">
        <v>83</v>
      </c>
      <c r="B2147" s="7" t="n">
        <v>2007</v>
      </c>
      <c r="C2147" s="7" t="s">
        <v>164</v>
      </c>
      <c r="D2147" s="7" t="n">
        <v>71</v>
      </c>
      <c r="E2147" s="7" t="n">
        <v>91</v>
      </c>
      <c r="F2147" s="3" t="n">
        <f aca="false">COUNTIFS($B$2:$B$2705,B2147,$C$2:$C$2705,C2147)</f>
        <v>1</v>
      </c>
      <c r="G2147" s="3" t="n">
        <f aca="false">MIN(INT((MIN(B2147,2020)-1900)/10)+1,12)</f>
        <v>11</v>
      </c>
      <c r="H2147" s="3" t="n">
        <f aca="false">(MIN(B2147,2020)-1900-10*(G2147-1))/10</f>
        <v>0.7</v>
      </c>
      <c r="I2147" s="20" t="n">
        <f aca="false">EXP(LN(INDEX(Pop_Inputs!$B$2:$N$29,MATCH(C2147,Pop_Inputs!$A$2:$A$29,0),G2147))*(1-H2147)+LN(INDEX(Pop_Inputs!$B$2:$N$29,MATCH(C2147,Pop_Inputs!$A$2:$A$29,0),G2147+1))*H2147)</f>
        <v>387981.167503779</v>
      </c>
      <c r="J2147" s="20" t="n">
        <f aca="false">I2147/F2147</f>
        <v>387981.167503779</v>
      </c>
      <c r="K2147" s="21" t="n">
        <f aca="false">D2147/(D2147+E2147)</f>
        <v>0.438271604938272</v>
      </c>
      <c r="L2147" s="21" t="n">
        <f aca="false">AVERAGEIFS($K$2:$K$2705,$B$2:$B$2705,B2147)</f>
        <v>0.499979802570123</v>
      </c>
      <c r="M2147" s="21" t="n">
        <f aca="false">K2147-L2147</f>
        <v>-0.0617081976318513</v>
      </c>
      <c r="N2147" s="21" t="n">
        <f aca="false">LN(J2147)</f>
        <v>12.868712080066</v>
      </c>
      <c r="O2147" s="21" t="n">
        <f aca="false">AVERAGEIFS($N$2:$N$2705,$B$2:$B$2705,B2147)</f>
        <v>13.6183404870687</v>
      </c>
      <c r="P2147" s="21" t="n">
        <f aca="false">N2147-O2147</f>
        <v>-0.749628407002621</v>
      </c>
      <c r="Q2147" s="7" t="n">
        <v>1</v>
      </c>
      <c r="R2147" s="3" t="n">
        <f aca="false">IF(AND(Q2147=1,B2147-_xlfn.MINIFS($B$2:$B$2705,$A$2:$A$2705,A2147)&lt;10),1,0)</f>
        <v>0</v>
      </c>
      <c r="S2147" s="7" t="n">
        <v>0</v>
      </c>
      <c r="T2147" s="3" t="n">
        <f aca="false">_xlfn.MINIFS($B$2:$B$2705,$A$2:$A$2705,A2147)</f>
        <v>1993</v>
      </c>
      <c r="U2147" s="3" t="n">
        <f aca="false">B2147-T2147</f>
        <v>14</v>
      </c>
      <c r="V2147" s="3" t="str">
        <f aca="false">INDEX(Pop_Inputs!$Q$2:$Q$29,MATCH(C2147,Pop_Inputs!$A$2:$A$29,0))</f>
        <v>South</v>
      </c>
      <c r="W2147" s="29" t="n">
        <v>30507000</v>
      </c>
      <c r="X2147" s="3" t="n">
        <f aca="false">IF(W2147="","",LN(W2147))</f>
        <v>17.2334667234414</v>
      </c>
      <c r="Y2147" s="3" t="n">
        <f aca="false">IF(X2147="","",X2147-AVERAGEIFS($X$2:$X$2705,$B$2:$B$2705,B2147))</f>
        <v>-0.907971414563594</v>
      </c>
      <c r="Z2147" s="21" t="n">
        <f aca="false">P2147</f>
        <v>-0.749628407002621</v>
      </c>
      <c r="AA2147" s="3" t="n">
        <f aca="false">R2147</f>
        <v>0</v>
      </c>
      <c r="AB2147" s="21" t="n">
        <f aca="false">P2147</f>
        <v>-0.749628407002621</v>
      </c>
      <c r="AC2147" s="3" t="n">
        <f aca="false">Y2147</f>
        <v>-0.907971414563594</v>
      </c>
      <c r="AD2147" s="3" t="n">
        <f aca="false">R2147</f>
        <v>0</v>
      </c>
    </row>
    <row r="2148" customFormat="false" ht="15" hidden="false" customHeight="true" outlineLevel="0" collapsed="false">
      <c r="A2148" s="7" t="s">
        <v>74</v>
      </c>
      <c r="B2148" s="7" t="n">
        <v>2007</v>
      </c>
      <c r="C2148" s="7" t="s">
        <v>156</v>
      </c>
      <c r="D2148" s="7" t="n">
        <v>73</v>
      </c>
      <c r="E2148" s="7" t="n">
        <v>89</v>
      </c>
      <c r="F2148" s="3" t="n">
        <f aca="false">COUNTIFS($B$2:$B$2705,B2148,$C$2:$C$2705,C2148)</f>
        <v>1</v>
      </c>
      <c r="G2148" s="3" t="n">
        <f aca="false">MIN(INT((MIN(B2148,2020)-1900)/10)+1,12)</f>
        <v>11</v>
      </c>
      <c r="H2148" s="3" t="n">
        <f aca="false">(MIN(B2148,2020)-1900-10*(G2148-1))/10</f>
        <v>0.7</v>
      </c>
      <c r="I2148" s="20" t="n">
        <f aca="false">EXP(LN(INDEX(Pop_Inputs!$B$2:$N$29,MATCH(C2148,Pop_Inputs!$A$2:$A$29,0),G2148))*(1-H2148)+LN(INDEX(Pop_Inputs!$B$2:$N$29,MATCH(C2148,Pop_Inputs!$A$2:$A$29,0),G2148+1))*H2148)</f>
        <v>2054597.62345056</v>
      </c>
      <c r="J2148" s="20" t="n">
        <f aca="false">I2148/F2148</f>
        <v>2054597.62345056</v>
      </c>
      <c r="K2148" s="21" t="n">
        <f aca="false">D2148/(D2148+E2148)</f>
        <v>0.450617283950617</v>
      </c>
      <c r="L2148" s="21" t="n">
        <f aca="false">AVERAGEIFS($K$2:$K$2705,$B$2:$B$2705,B2148)</f>
        <v>0.499979802570123</v>
      </c>
      <c r="M2148" s="21" t="n">
        <f aca="false">K2148-L2148</f>
        <v>-0.0493625186195056</v>
      </c>
      <c r="N2148" s="21" t="n">
        <f aca="false">LN(J2148)</f>
        <v>14.5355905830667</v>
      </c>
      <c r="O2148" s="21" t="n">
        <f aca="false">AVERAGEIFS($N$2:$N$2705,$B$2:$B$2705,B2148)</f>
        <v>13.6183404870687</v>
      </c>
      <c r="P2148" s="21" t="n">
        <f aca="false">N2148-O2148</f>
        <v>0.917250095998073</v>
      </c>
      <c r="Q2148" s="7" t="n">
        <v>1</v>
      </c>
      <c r="R2148" s="3" t="n">
        <f aca="false">IF(AND(Q2148=1,B2148-_xlfn.MINIFS($B$2:$B$2705,$A$2:$A$2705,A2148)&lt;10),1,0)</f>
        <v>0</v>
      </c>
      <c r="S2148" s="7" t="n">
        <v>0</v>
      </c>
      <c r="T2148" s="3" t="n">
        <f aca="false">_xlfn.MINIFS($B$2:$B$2705,$A$2:$A$2705,A2148)</f>
        <v>1962</v>
      </c>
      <c r="U2148" s="3" t="n">
        <f aca="false">B2148-T2148</f>
        <v>45</v>
      </c>
      <c r="V2148" s="3" t="str">
        <f aca="false">INDEX(Pop_Inputs!$Q$2:$Q$29,MATCH(C2148,Pop_Inputs!$A$2:$A$29,0))</f>
        <v>South</v>
      </c>
      <c r="W2148" s="29" t="n">
        <v>87759000</v>
      </c>
      <c r="X2148" s="3" t="n">
        <f aca="false">IF(W2148="","",LN(W2148))</f>
        <v>18.2901049791535</v>
      </c>
      <c r="Y2148" s="3" t="n">
        <f aca="false">IF(X2148="","",X2148-AVERAGEIFS($X$2:$X$2705,$B$2:$B$2705,B2148))</f>
        <v>0.148666841148497</v>
      </c>
      <c r="Z2148" s="21" t="n">
        <f aca="false">P2148</f>
        <v>0.917250095998073</v>
      </c>
      <c r="AA2148" s="3" t="n">
        <f aca="false">R2148</f>
        <v>0</v>
      </c>
      <c r="AB2148" s="21" t="n">
        <f aca="false">P2148</f>
        <v>0.917250095998073</v>
      </c>
      <c r="AC2148" s="3" t="n">
        <f aca="false">Y2148</f>
        <v>0.148666841148497</v>
      </c>
      <c r="AD2148" s="3" t="n">
        <f aca="false">R2148</f>
        <v>0</v>
      </c>
    </row>
    <row r="2149" customFormat="false" ht="15" hidden="false" customHeight="true" outlineLevel="0" collapsed="false">
      <c r="A2149" s="7" t="s">
        <v>76</v>
      </c>
      <c r="B2149" s="7" t="n">
        <v>2007</v>
      </c>
      <c r="C2149" s="7" t="s">
        <v>157</v>
      </c>
      <c r="D2149" s="7" t="n">
        <v>69</v>
      </c>
      <c r="E2149" s="7" t="n">
        <v>93</v>
      </c>
      <c r="F2149" s="3" t="n">
        <f aca="false">COUNTIFS($B$2:$B$2705,B2149,$C$2:$C$2705,C2149)</f>
        <v>1</v>
      </c>
      <c r="G2149" s="3" t="n">
        <f aca="false">MIN(INT((MIN(B2149,2020)-1900)/10)+1,12)</f>
        <v>11</v>
      </c>
      <c r="H2149" s="3" t="n">
        <f aca="false">(MIN(B2149,2020)-1900-10*(G2149-1))/10</f>
        <v>0.7</v>
      </c>
      <c r="I2149" s="20" t="n">
        <f aca="false">EXP(LN(INDEX(Pop_Inputs!$B$2:$N$29,MATCH(C2149,Pop_Inputs!$A$2:$A$29,0),G2149))*(1-H2149)+LN(INDEX(Pop_Inputs!$B$2:$N$29,MATCH(C2149,Pop_Inputs!$A$2:$A$29,0),G2149+1))*H2149)</f>
        <v>454236.650648172</v>
      </c>
      <c r="J2149" s="20" t="n">
        <f aca="false">I2149/F2149</f>
        <v>454236.650648172</v>
      </c>
      <c r="K2149" s="21" t="n">
        <f aca="false">D2149/(D2149+E2149)</f>
        <v>0.425925925925926</v>
      </c>
      <c r="L2149" s="21" t="n">
        <f aca="false">AVERAGEIFS($K$2:$K$2705,$B$2:$B$2705,B2149)</f>
        <v>0.499979802570123</v>
      </c>
      <c r="M2149" s="21" t="n">
        <f aca="false">K2149-L2149</f>
        <v>-0.074053876644197</v>
      </c>
      <c r="N2149" s="21" t="n">
        <f aca="false">LN(J2149)</f>
        <v>13.0263735981506</v>
      </c>
      <c r="O2149" s="21" t="n">
        <f aca="false">AVERAGEIFS($N$2:$N$2705,$B$2:$B$2705,B2149)</f>
        <v>13.6183404870687</v>
      </c>
      <c r="P2149" s="21" t="n">
        <f aca="false">N2149-O2149</f>
        <v>-0.591966888918083</v>
      </c>
      <c r="Q2149" s="7" t="n">
        <v>1</v>
      </c>
      <c r="R2149" s="3" t="n">
        <f aca="false">IF(AND(Q2149=1,B2149-_xlfn.MINIFS($B$2:$B$2705,$A$2:$A$2705,A2149)&lt;10),1,0)</f>
        <v>0</v>
      </c>
      <c r="S2149" s="7" t="n">
        <v>0</v>
      </c>
      <c r="T2149" s="3" t="n">
        <f aca="false">_xlfn.MINIFS($B$2:$B$2705,$A$2:$A$2705,A2149)</f>
        <v>1969</v>
      </c>
      <c r="U2149" s="3" t="n">
        <f aca="false">B2149-T2149</f>
        <v>38</v>
      </c>
      <c r="V2149" s="3" t="str">
        <f aca="false">INDEX(Pop_Inputs!$Q$2:$Q$29,MATCH(C2149,Pop_Inputs!$A$2:$A$29,0))</f>
        <v>Midwest</v>
      </c>
      <c r="W2149" s="29" t="n">
        <v>67116500</v>
      </c>
      <c r="X2149" s="3" t="n">
        <f aca="false">IF(W2149="","",LN(W2149))</f>
        <v>18.0219404733524</v>
      </c>
      <c r="Y2149" s="3" t="n">
        <f aca="false">IF(X2149="","",X2149-AVERAGEIFS($X$2:$X$2705,$B$2:$B$2705,B2149))</f>
        <v>-0.119497664652577</v>
      </c>
      <c r="Z2149" s="21" t="n">
        <f aca="false">P2149</f>
        <v>-0.591966888918083</v>
      </c>
      <c r="AA2149" s="3" t="n">
        <f aca="false">R2149</f>
        <v>0</v>
      </c>
      <c r="AB2149" s="21" t="n">
        <f aca="false">P2149</f>
        <v>-0.591966888918083</v>
      </c>
      <c r="AC2149" s="3" t="n">
        <f aca="false">Y2149</f>
        <v>-0.119497664652577</v>
      </c>
      <c r="AD2149" s="3" t="n">
        <f aca="false">R2149</f>
        <v>0</v>
      </c>
    </row>
    <row r="2150" customFormat="false" ht="15" hidden="false" customHeight="true" outlineLevel="0" collapsed="false">
      <c r="A2150" s="7" t="s">
        <v>62</v>
      </c>
      <c r="B2150" s="7" t="n">
        <v>2007</v>
      </c>
      <c r="C2150" s="7" t="s">
        <v>148</v>
      </c>
      <c r="D2150" s="7" t="n">
        <v>82</v>
      </c>
      <c r="E2150" s="7" t="n">
        <v>80</v>
      </c>
      <c r="F2150" s="3" t="n">
        <f aca="false">COUNTIFS($B$2:$B$2705,B2150,$C$2:$C$2705,C2150)</f>
        <v>2</v>
      </c>
      <c r="G2150" s="3" t="n">
        <f aca="false">MIN(INT((MIN(B2150,2020)-1900)/10)+1,12)</f>
        <v>11</v>
      </c>
      <c r="H2150" s="3" t="n">
        <f aca="false">(MIN(B2150,2020)-1900-10*(G2150-1))/10</f>
        <v>0.7</v>
      </c>
      <c r="I2150" s="20" t="n">
        <f aca="false">EXP(LN(INDEX(Pop_Inputs!$B$2:$N$29,MATCH(C2150,Pop_Inputs!$A$2:$A$29,0),G2150))*(1-H2150)+LN(INDEX(Pop_Inputs!$B$2:$N$29,MATCH(C2150,Pop_Inputs!$A$2:$A$29,0),G2150+1))*H2150)</f>
        <v>3763011.95045747</v>
      </c>
      <c r="J2150" s="20" t="n">
        <f aca="false">I2150/F2150</f>
        <v>1881505.97522873</v>
      </c>
      <c r="K2150" s="21" t="n">
        <f aca="false">D2150/(D2150+E2150)</f>
        <v>0.506172839506173</v>
      </c>
      <c r="L2150" s="21" t="n">
        <f aca="false">AVERAGEIFS($K$2:$K$2705,$B$2:$B$2705,B2150)</f>
        <v>0.499979802570123</v>
      </c>
      <c r="M2150" s="21" t="n">
        <f aca="false">K2150-L2150</f>
        <v>0.00619303693604995</v>
      </c>
      <c r="N2150" s="21" t="n">
        <f aca="false">LN(J2150)</f>
        <v>14.4475830647899</v>
      </c>
      <c r="O2150" s="21" t="n">
        <f aca="false">AVERAGEIFS($N$2:$N$2705,$B$2:$B$2705,B2150)</f>
        <v>13.6183404870687</v>
      </c>
      <c r="P2150" s="21" t="n">
        <f aca="false">N2150-O2150</f>
        <v>0.829242577721214</v>
      </c>
      <c r="Q2150" s="7" t="n">
        <v>0</v>
      </c>
      <c r="R2150" s="3" t="n">
        <f aca="false">IF(AND(Q2150=1,B2150-_xlfn.MINIFS($B$2:$B$2705,$A$2:$A$2705,A2150)&lt;10),1,0)</f>
        <v>0</v>
      </c>
      <c r="S2150" s="7" t="n">
        <v>0</v>
      </c>
      <c r="T2150" s="3" t="n">
        <f aca="false">_xlfn.MINIFS($B$2:$B$2705,$A$2:$A$2705,A2150)</f>
        <v>1901</v>
      </c>
      <c r="U2150" s="3" t="n">
        <f aca="false">B2150-T2150</f>
        <v>106</v>
      </c>
      <c r="V2150" s="3" t="str">
        <f aca="false">INDEX(Pop_Inputs!$Q$2:$Q$29,MATCH(C2150,Pop_Inputs!$A$2:$A$29,0))</f>
        <v>West</v>
      </c>
      <c r="W2150" s="29" t="n">
        <v>108454524</v>
      </c>
      <c r="X2150" s="3" t="n">
        <f aca="false">IF(W2150="","",LN(W2150))</f>
        <v>18.5018415094432</v>
      </c>
      <c r="Y2150" s="3" t="n">
        <f aca="false">IF(X2150="","",X2150-AVERAGEIFS($X$2:$X$2705,$B$2:$B$2705,B2150))</f>
        <v>0.360403371438199</v>
      </c>
      <c r="Z2150" s="21" t="n">
        <f aca="false">P2150</f>
        <v>0.829242577721214</v>
      </c>
      <c r="AA2150" s="3" t="n">
        <f aca="false">R2150</f>
        <v>0</v>
      </c>
      <c r="AB2150" s="21" t="n">
        <f aca="false">P2150</f>
        <v>0.829242577721214</v>
      </c>
      <c r="AC2150" s="3" t="n">
        <f aca="false">Y2150</f>
        <v>0.360403371438199</v>
      </c>
      <c r="AD2150" s="3" t="n">
        <f aca="false">R2150</f>
        <v>0</v>
      </c>
    </row>
    <row r="2151" customFormat="false" ht="15" hidden="false" customHeight="true" outlineLevel="0" collapsed="false">
      <c r="A2151" s="7" t="s">
        <v>77</v>
      </c>
      <c r="B2151" s="7" t="n">
        <v>2007</v>
      </c>
      <c r="C2151" s="7" t="s">
        <v>158</v>
      </c>
      <c r="D2151" s="7" t="n">
        <v>83</v>
      </c>
      <c r="E2151" s="7" t="n">
        <v>79</v>
      </c>
      <c r="F2151" s="3" t="n">
        <f aca="false">COUNTIFS($B$2:$B$2705,B2151,$C$2:$C$2705,C2151)</f>
        <v>1</v>
      </c>
      <c r="G2151" s="3" t="n">
        <f aca="false">MIN(INT((MIN(B2151,2020)-1900)/10)+1,12)</f>
        <v>11</v>
      </c>
      <c r="H2151" s="3" t="n">
        <f aca="false">(MIN(B2151,2020)-1900-10*(G2151-1))/10</f>
        <v>0.7</v>
      </c>
      <c r="I2151" s="20" t="n">
        <f aca="false">EXP(LN(INDEX(Pop_Inputs!$B$2:$N$29,MATCH(C2151,Pop_Inputs!$A$2:$A$29,0),G2151))*(1-H2151)+LN(INDEX(Pop_Inputs!$B$2:$N$29,MATCH(C2151,Pop_Inputs!$A$2:$A$29,0),G2151+1))*H2151)</f>
        <v>595474.492499072</v>
      </c>
      <c r="J2151" s="20" t="n">
        <f aca="false">I2151/F2151</f>
        <v>595474.492499072</v>
      </c>
      <c r="K2151" s="21" t="n">
        <f aca="false">D2151/(D2151+E2151)</f>
        <v>0.512345679012346</v>
      </c>
      <c r="L2151" s="21" t="n">
        <f aca="false">AVERAGEIFS($K$2:$K$2705,$B$2:$B$2705,B2151)</f>
        <v>0.499979802570123</v>
      </c>
      <c r="M2151" s="21" t="n">
        <f aca="false">K2151-L2151</f>
        <v>0.0123658764422228</v>
      </c>
      <c r="N2151" s="21" t="n">
        <f aca="false">LN(J2151)</f>
        <v>13.2971138331054</v>
      </c>
      <c r="O2151" s="21" t="n">
        <f aca="false">AVERAGEIFS($N$2:$N$2705,$B$2:$B$2705,B2151)</f>
        <v>13.6183404870687</v>
      </c>
      <c r="P2151" s="21" t="n">
        <f aca="false">N2151-O2151</f>
        <v>-0.321226653963269</v>
      </c>
      <c r="Q2151" s="7" t="n">
        <v>1</v>
      </c>
      <c r="R2151" s="3" t="n">
        <f aca="false">IF(AND(Q2151=1,B2151-_xlfn.MINIFS($B$2:$B$2705,$A$2:$A$2705,A2151)&lt;10),1,0)</f>
        <v>0</v>
      </c>
      <c r="S2151" s="7" t="n">
        <v>0</v>
      </c>
      <c r="T2151" s="3" t="n">
        <f aca="false">_xlfn.MINIFS($B$2:$B$2705,$A$2:$A$2705,A2151)</f>
        <v>1969</v>
      </c>
      <c r="U2151" s="3" t="n">
        <f aca="false">B2151-T2151</f>
        <v>38</v>
      </c>
      <c r="V2151" s="3" t="str">
        <f aca="false">INDEX(Pop_Inputs!$Q$2:$Q$29,MATCH(C2151,Pop_Inputs!$A$2:$A$29,0))</f>
        <v>Midwest</v>
      </c>
      <c r="W2151" s="29" t="n">
        <v>70986500</v>
      </c>
      <c r="X2151" s="3" t="n">
        <f aca="false">IF(W2151="","",LN(W2151))</f>
        <v>18.0780002760815</v>
      </c>
      <c r="Y2151" s="3" t="n">
        <f aca="false">IF(X2151="","",X2151-AVERAGEIFS($X$2:$X$2705,$B$2:$B$2705,B2151))</f>
        <v>-0.0634378619235214</v>
      </c>
      <c r="Z2151" s="21" t="n">
        <f aca="false">P2151</f>
        <v>-0.321226653963269</v>
      </c>
      <c r="AA2151" s="3" t="n">
        <f aca="false">R2151</f>
        <v>0</v>
      </c>
      <c r="AB2151" s="21" t="n">
        <f aca="false">P2151</f>
        <v>-0.321226653963269</v>
      </c>
      <c r="AC2151" s="3" t="n">
        <f aca="false">Y2151</f>
        <v>-0.0634378619235214</v>
      </c>
      <c r="AD2151" s="3" t="n">
        <f aca="false">R2151</f>
        <v>0</v>
      </c>
    </row>
    <row r="2152" customFormat="false" ht="15" hidden="false" customHeight="true" outlineLevel="0" collapsed="false">
      <c r="A2152" s="7" t="s">
        <v>68</v>
      </c>
      <c r="B2152" s="7" t="n">
        <v>2007</v>
      </c>
      <c r="C2152" s="7" t="s">
        <v>153</v>
      </c>
      <c r="D2152" s="7" t="n">
        <v>79</v>
      </c>
      <c r="E2152" s="7" t="n">
        <v>83</v>
      </c>
      <c r="F2152" s="3" t="n">
        <f aca="false">COUNTIFS($B$2:$B$2705,B2152,$C$2:$C$2705,C2152)</f>
        <v>1</v>
      </c>
      <c r="G2152" s="3" t="n">
        <f aca="false">MIN(INT((MIN(B2152,2020)-1900)/10)+1,12)</f>
        <v>11</v>
      </c>
      <c r="H2152" s="3" t="n">
        <f aca="false">(MIN(B2152,2020)-1900-10*(G2152-1))/10</f>
        <v>0.7</v>
      </c>
      <c r="I2152" s="20" t="n">
        <f aca="false">EXP(LN(INDEX(Pop_Inputs!$B$2:$N$29,MATCH(C2152,Pop_Inputs!$A$2:$A$29,0),G2152))*(1-H2152)+LN(INDEX(Pop_Inputs!$B$2:$N$29,MATCH(C2152,Pop_Inputs!$A$2:$A$29,0),G2152+1))*H2152)</f>
        <v>382589.9995609</v>
      </c>
      <c r="J2152" s="20" t="n">
        <f aca="false">I2152/F2152</f>
        <v>382589.9995609</v>
      </c>
      <c r="K2152" s="21" t="n">
        <f aca="false">D2152/(D2152+E2152)</f>
        <v>0.487654320987654</v>
      </c>
      <c r="L2152" s="21" t="n">
        <f aca="false">AVERAGEIFS($K$2:$K$2705,$B$2:$B$2705,B2152)</f>
        <v>0.499979802570123</v>
      </c>
      <c r="M2152" s="21" t="n">
        <f aca="false">K2152-L2152</f>
        <v>-0.0123254815824686</v>
      </c>
      <c r="N2152" s="21" t="n">
        <f aca="false">LN(J2152)</f>
        <v>12.8547191975414</v>
      </c>
      <c r="O2152" s="21" t="n">
        <f aca="false">AVERAGEIFS($N$2:$N$2705,$B$2:$B$2705,B2152)</f>
        <v>13.6183404870687</v>
      </c>
      <c r="P2152" s="21" t="n">
        <f aca="false">N2152-O2152</f>
        <v>-0.763621289527311</v>
      </c>
      <c r="Q2152" s="7" t="n">
        <v>0</v>
      </c>
      <c r="R2152" s="3" t="n">
        <f aca="false">IF(AND(Q2152=1,B2152-_xlfn.MINIFS($B$2:$B$2705,$A$2:$A$2705,A2152)&lt;10),1,0)</f>
        <v>0</v>
      </c>
      <c r="S2152" s="7" t="n">
        <v>0</v>
      </c>
      <c r="T2152" s="3" t="n">
        <f aca="false">_xlfn.MINIFS($B$2:$B$2705,$A$2:$A$2705,A2152)</f>
        <v>1901</v>
      </c>
      <c r="U2152" s="3" t="n">
        <f aca="false">B2152-T2152</f>
        <v>106</v>
      </c>
      <c r="V2152" s="3" t="str">
        <f aca="false">INDEX(Pop_Inputs!$Q$2:$Q$29,MATCH(C2152,Pop_Inputs!$A$2:$A$29,0))</f>
        <v>Midwest</v>
      </c>
      <c r="W2152" s="29" t="n">
        <v>71439500</v>
      </c>
      <c r="X2152" s="3" t="n">
        <f aca="false">IF(W2152="","",LN(W2152))</f>
        <v>18.0843614956278</v>
      </c>
      <c r="Y2152" s="3" t="n">
        <f aca="false">IF(X2152="","",X2152-AVERAGEIFS($X$2:$X$2705,$B$2:$B$2705,B2152))</f>
        <v>-0.0570766423771332</v>
      </c>
      <c r="Z2152" s="21" t="n">
        <f aca="false">P2152</f>
        <v>-0.763621289527311</v>
      </c>
      <c r="AA2152" s="3" t="n">
        <f aca="false">R2152</f>
        <v>0</v>
      </c>
      <c r="AB2152" s="21" t="n">
        <f aca="false">P2152</f>
        <v>-0.763621289527311</v>
      </c>
      <c r="AC2152" s="3" t="n">
        <f aca="false">Y2152</f>
        <v>-0.0570766423771332</v>
      </c>
      <c r="AD2152" s="3" t="n">
        <f aca="false">R2152</f>
        <v>0</v>
      </c>
    </row>
    <row r="2153" customFormat="false" ht="15" hidden="false" customHeight="true" outlineLevel="0" collapsed="false">
      <c r="A2153" s="7" t="s">
        <v>75</v>
      </c>
      <c r="B2153" s="7" t="n">
        <v>2007</v>
      </c>
      <c r="C2153" s="7" t="s">
        <v>154</v>
      </c>
      <c r="D2153" s="7" t="n">
        <v>88</v>
      </c>
      <c r="E2153" s="7" t="n">
        <v>74</v>
      </c>
      <c r="F2153" s="3" t="n">
        <f aca="false">COUNTIFS($B$2:$B$2705,B2153,$C$2:$C$2705,C2153)</f>
        <v>2</v>
      </c>
      <c r="G2153" s="3" t="n">
        <f aca="false">MIN(INT((MIN(B2153,2020)-1900)/10)+1,12)</f>
        <v>11</v>
      </c>
      <c r="H2153" s="3" t="n">
        <f aca="false">(MIN(B2153,2020)-1900-10*(G2153-1))/10</f>
        <v>0.7</v>
      </c>
      <c r="I2153" s="20" t="n">
        <f aca="false">EXP(LN(INDEX(Pop_Inputs!$B$2:$N$29,MATCH(C2153,Pop_Inputs!$A$2:$A$29,0),G2153))*(1-H2153)+LN(INDEX(Pop_Inputs!$B$2:$N$29,MATCH(C2153,Pop_Inputs!$A$2:$A$29,0),G2153+1))*H2153)</f>
        <v>8124714.72673249</v>
      </c>
      <c r="J2153" s="20" t="n">
        <f aca="false">I2153/F2153</f>
        <v>4062357.36336625</v>
      </c>
      <c r="K2153" s="21" t="n">
        <f aca="false">D2153/(D2153+E2153)</f>
        <v>0.54320987654321</v>
      </c>
      <c r="L2153" s="21" t="n">
        <f aca="false">AVERAGEIFS($K$2:$K$2705,$B$2:$B$2705,B2153)</f>
        <v>0.499979802570123</v>
      </c>
      <c r="M2153" s="21" t="n">
        <f aca="false">K2153-L2153</f>
        <v>0.0432300739730869</v>
      </c>
      <c r="N2153" s="21" t="n">
        <f aca="false">LN(J2153)</f>
        <v>15.2172739944477</v>
      </c>
      <c r="O2153" s="21" t="n">
        <f aca="false">AVERAGEIFS($N$2:$N$2705,$B$2:$B$2705,B2153)</f>
        <v>13.6183404870687</v>
      </c>
      <c r="P2153" s="21" t="n">
        <f aca="false">N2153-O2153</f>
        <v>1.59893350737908</v>
      </c>
      <c r="Q2153" s="7" t="n">
        <v>1</v>
      </c>
      <c r="R2153" s="3" t="n">
        <f aca="false">IF(AND(Q2153=1,B2153-_xlfn.MINIFS($B$2:$B$2705,$A$2:$A$2705,A2153)&lt;10),1,0)</f>
        <v>0</v>
      </c>
      <c r="S2153" s="7" t="n">
        <v>0</v>
      </c>
      <c r="T2153" s="3" t="n">
        <f aca="false">_xlfn.MINIFS($B$2:$B$2705,$A$2:$A$2705,A2153)</f>
        <v>1962</v>
      </c>
      <c r="U2153" s="3" t="n">
        <f aca="false">B2153-T2153</f>
        <v>45</v>
      </c>
      <c r="V2153" s="3" t="str">
        <f aca="false">INDEX(Pop_Inputs!$Q$2:$Q$29,MATCH(C2153,Pop_Inputs!$A$2:$A$29,0))</f>
        <v>Northeast</v>
      </c>
      <c r="W2153" s="29" t="n">
        <v>115231663</v>
      </c>
      <c r="X2153" s="3" t="n">
        <f aca="false">IF(W2153="","",LN(W2153))</f>
        <v>18.5624551208916</v>
      </c>
      <c r="Y2153" s="3" t="n">
        <f aca="false">IF(X2153="","",X2153-AVERAGEIFS($X$2:$X$2705,$B$2:$B$2705,B2153))</f>
        <v>0.421016982886631</v>
      </c>
      <c r="Z2153" s="21" t="n">
        <f aca="false">P2153</f>
        <v>1.59893350737908</v>
      </c>
      <c r="AA2153" s="3" t="n">
        <f aca="false">R2153</f>
        <v>0</v>
      </c>
      <c r="AB2153" s="21" t="n">
        <f aca="false">P2153</f>
        <v>1.59893350737908</v>
      </c>
      <c r="AC2153" s="3" t="n">
        <f aca="false">Y2153</f>
        <v>0.421016982886631</v>
      </c>
      <c r="AD2153" s="3" t="n">
        <f aca="false">R2153</f>
        <v>0</v>
      </c>
    </row>
    <row r="2154" customFormat="false" ht="15" hidden="false" customHeight="true" outlineLevel="0" collapsed="false">
      <c r="A2154" s="7" t="s">
        <v>70</v>
      </c>
      <c r="B2154" s="7" t="n">
        <v>2007</v>
      </c>
      <c r="C2154" s="7" t="s">
        <v>154</v>
      </c>
      <c r="D2154" s="7" t="n">
        <v>94</v>
      </c>
      <c r="E2154" s="7" t="n">
        <v>68</v>
      </c>
      <c r="F2154" s="3" t="n">
        <f aca="false">COUNTIFS($B$2:$B$2705,B2154,$C$2:$C$2705,C2154)</f>
        <v>2</v>
      </c>
      <c r="G2154" s="3" t="n">
        <f aca="false">MIN(INT((MIN(B2154,2020)-1900)/10)+1,12)</f>
        <v>11</v>
      </c>
      <c r="H2154" s="3" t="n">
        <f aca="false">(MIN(B2154,2020)-1900-10*(G2154-1))/10</f>
        <v>0.7</v>
      </c>
      <c r="I2154" s="20" t="n">
        <f aca="false">EXP(LN(INDEX(Pop_Inputs!$B$2:$N$29,MATCH(C2154,Pop_Inputs!$A$2:$A$29,0),G2154))*(1-H2154)+LN(INDEX(Pop_Inputs!$B$2:$N$29,MATCH(C2154,Pop_Inputs!$A$2:$A$29,0),G2154+1))*H2154)</f>
        <v>8124714.72673249</v>
      </c>
      <c r="J2154" s="20" t="n">
        <f aca="false">I2154/F2154</f>
        <v>4062357.36336625</v>
      </c>
      <c r="K2154" s="21" t="n">
        <f aca="false">D2154/(D2154+E2154)</f>
        <v>0.580246913580247</v>
      </c>
      <c r="L2154" s="21" t="n">
        <f aca="false">AVERAGEIFS($K$2:$K$2705,$B$2:$B$2705,B2154)</f>
        <v>0.499979802570123</v>
      </c>
      <c r="M2154" s="21" t="n">
        <f aca="false">K2154-L2154</f>
        <v>0.080267111010124</v>
      </c>
      <c r="N2154" s="21" t="n">
        <f aca="false">LN(J2154)</f>
        <v>15.2172739944477</v>
      </c>
      <c r="O2154" s="21" t="n">
        <f aca="false">AVERAGEIFS($N$2:$N$2705,$B$2:$B$2705,B2154)</f>
        <v>13.6183404870687</v>
      </c>
      <c r="P2154" s="21" t="n">
        <f aca="false">N2154-O2154</f>
        <v>1.59893350737908</v>
      </c>
      <c r="Q2154" s="7" t="n">
        <v>0</v>
      </c>
      <c r="R2154" s="3" t="n">
        <f aca="false">IF(AND(Q2154=1,B2154-_xlfn.MINIFS($B$2:$B$2705,$A$2:$A$2705,A2154)&lt;10),1,0)</f>
        <v>0</v>
      </c>
      <c r="S2154" s="7" t="n">
        <v>1</v>
      </c>
      <c r="T2154" s="3" t="n">
        <f aca="false">_xlfn.MINIFS($B$2:$B$2705,$A$2:$A$2705,A2154)</f>
        <v>1903</v>
      </c>
      <c r="U2154" s="3" t="n">
        <f aca="false">B2154-T2154</f>
        <v>104</v>
      </c>
      <c r="V2154" s="3" t="str">
        <f aca="false">INDEX(Pop_Inputs!$Q$2:$Q$29,MATCH(C2154,Pop_Inputs!$A$2:$A$29,0))</f>
        <v>Northeast</v>
      </c>
      <c r="W2154" s="29" t="n">
        <v>189259045</v>
      </c>
      <c r="X2154" s="3" t="n">
        <f aca="false">IF(W2154="","",LN(W2154))</f>
        <v>19.0586272430631</v>
      </c>
      <c r="Y2154" s="3" t="n">
        <f aca="false">IF(X2154="","",X2154-AVERAGEIFS($X$2:$X$2705,$B$2:$B$2705,B2154))</f>
        <v>0.917189105058142</v>
      </c>
      <c r="Z2154" s="21" t="n">
        <f aca="false">P2154</f>
        <v>1.59893350737908</v>
      </c>
      <c r="AA2154" s="3" t="n">
        <f aca="false">R2154</f>
        <v>0</v>
      </c>
      <c r="AB2154" s="21" t="n">
        <f aca="false">P2154</f>
        <v>1.59893350737908</v>
      </c>
      <c r="AC2154" s="3" t="n">
        <f aca="false">Y2154</f>
        <v>0.917189105058142</v>
      </c>
      <c r="AD2154" s="3" t="n">
        <f aca="false">R2154</f>
        <v>0</v>
      </c>
    </row>
    <row r="2155" customFormat="false" ht="15" hidden="false" customHeight="true" outlineLevel="0" collapsed="false">
      <c r="A2155" s="7" t="s">
        <v>69</v>
      </c>
      <c r="B2155" s="7" t="n">
        <v>2007</v>
      </c>
      <c r="C2155" s="7" t="s">
        <v>253</v>
      </c>
      <c r="D2155" s="7" t="n">
        <v>76</v>
      </c>
      <c r="E2155" s="7" t="n">
        <v>86</v>
      </c>
      <c r="F2155" s="3" t="n">
        <f aca="false">COUNTIFS($B$2:$B$2705,B2155,$C$2:$C$2705,C2155)</f>
        <v>1</v>
      </c>
      <c r="G2155" s="3" t="n">
        <f aca="false">MIN(INT((MIN(B2155,2020)-1900)/10)+1,12)</f>
        <v>11</v>
      </c>
      <c r="H2155" s="3" t="n">
        <f aca="false">(MIN(B2155,2020)-1900-10*(G2155-1))/10</f>
        <v>0.7</v>
      </c>
      <c r="I2155" s="20" t="n">
        <f aca="false">EXP(LN(INDEX(Pop_Inputs!$B$2:$N$29,MATCH(C2155,Pop_Inputs!$A$2:$A$29,0),G2155))*(1-H2155)+LN(INDEX(Pop_Inputs!$B$2:$N$29,MATCH(C2155,Pop_Inputs!$A$2:$A$29,0),G2155+1))*H2155)</f>
        <v>393331.636251963</v>
      </c>
      <c r="J2155" s="20" t="n">
        <f aca="false">I2155/F2155</f>
        <v>393331.636251963</v>
      </c>
      <c r="K2155" s="21" t="n">
        <f aca="false">D2155/(D2155+E2155)</f>
        <v>0.469135802469136</v>
      </c>
      <c r="L2155" s="21" t="n">
        <f aca="false">AVERAGEIFS($K$2:$K$2705,$B$2:$B$2705,B2155)</f>
        <v>0.499979802570123</v>
      </c>
      <c r="M2155" s="21" t="n">
        <f aca="false">K2155-L2155</f>
        <v>-0.0308440001009871</v>
      </c>
      <c r="N2155" s="21" t="n">
        <f aca="false">LN(J2155)</f>
        <v>12.8824083931508</v>
      </c>
      <c r="O2155" s="21" t="n">
        <f aca="false">AVERAGEIFS($N$2:$N$2705,$B$2:$B$2705,B2155)</f>
        <v>13.6183404870687</v>
      </c>
      <c r="P2155" s="21" t="n">
        <f aca="false">N2155-O2155</f>
        <v>-0.735932093917885</v>
      </c>
      <c r="Q2155" s="7" t="n">
        <v>0</v>
      </c>
      <c r="R2155" s="3" t="n">
        <f aca="false">IF(AND(Q2155=1,B2155-_xlfn.MINIFS($B$2:$B$2705,$A$2:$A$2705,A2155)&lt;10),1,0)</f>
        <v>0</v>
      </c>
      <c r="S2155" s="7" t="n">
        <v>0</v>
      </c>
      <c r="T2155" s="3" t="n">
        <f aca="false">_xlfn.MINIFS($B$2:$B$2705,$A$2:$A$2705,A2155)</f>
        <v>1901</v>
      </c>
      <c r="U2155" s="3" t="n">
        <f aca="false">B2155-T2155</f>
        <v>106</v>
      </c>
      <c r="V2155" s="3" t="str">
        <f aca="false">INDEX(Pop_Inputs!$Q$2:$Q$29,MATCH(C2155,Pop_Inputs!$A$2:$A$29,0))</f>
        <v>West</v>
      </c>
      <c r="W2155" s="29" t="n">
        <v>79366940</v>
      </c>
      <c r="X2155" s="3" t="n">
        <f aca="false">IF(W2155="","",LN(W2155))</f>
        <v>18.1895924667142</v>
      </c>
      <c r="Y2155" s="3" t="n">
        <f aca="false">IF(X2155="","",X2155-AVERAGEIFS($X$2:$X$2705,$B$2:$B$2705,B2155))</f>
        <v>0.0481543287091952</v>
      </c>
      <c r="Z2155" s="21" t="n">
        <f aca="false">P2155</f>
        <v>-0.735932093917885</v>
      </c>
      <c r="AA2155" s="3" t="n">
        <f aca="false">R2155</f>
        <v>0</v>
      </c>
      <c r="AB2155" s="21" t="n">
        <f aca="false">P2155</f>
        <v>-0.735932093917885</v>
      </c>
      <c r="AC2155" s="3" t="n">
        <f aca="false">Y2155</f>
        <v>0.0481543287091952</v>
      </c>
      <c r="AD2155" s="3" t="n">
        <f aca="false">R2155</f>
        <v>0</v>
      </c>
    </row>
    <row r="2156" customFormat="false" ht="15" hidden="false" customHeight="true" outlineLevel="0" collapsed="false">
      <c r="A2156" s="7" t="s">
        <v>60</v>
      </c>
      <c r="B2156" s="7" t="n">
        <v>2007</v>
      </c>
      <c r="C2156" s="7" t="s">
        <v>146</v>
      </c>
      <c r="D2156" s="7" t="n">
        <v>89</v>
      </c>
      <c r="E2156" s="7" t="n">
        <v>73</v>
      </c>
      <c r="F2156" s="3" t="n">
        <f aca="false">COUNTIFS($B$2:$B$2705,B2156,$C$2:$C$2705,C2156)</f>
        <v>1</v>
      </c>
      <c r="G2156" s="3" t="n">
        <f aca="false">MIN(INT((MIN(B2156,2020)-1900)/10)+1,12)</f>
        <v>11</v>
      </c>
      <c r="H2156" s="3" t="n">
        <f aca="false">(MIN(B2156,2020)-1900-10*(G2156-1))/10</f>
        <v>0.7</v>
      </c>
      <c r="I2156" s="20" t="n">
        <f aca="false">EXP(LN(INDEX(Pop_Inputs!$B$2:$N$29,MATCH(C2156,Pop_Inputs!$A$2:$A$29,0),G2156))*(1-H2156)+LN(INDEX(Pop_Inputs!$B$2:$N$29,MATCH(C2156,Pop_Inputs!$A$2:$A$29,0),G2156+1))*H2156)</f>
        <v>1523464.26451676</v>
      </c>
      <c r="J2156" s="20" t="n">
        <f aca="false">I2156/F2156</f>
        <v>1523464.26451676</v>
      </c>
      <c r="K2156" s="21" t="n">
        <f aca="false">D2156/(D2156+E2156)</f>
        <v>0.549382716049383</v>
      </c>
      <c r="L2156" s="21" t="n">
        <f aca="false">AVERAGEIFS($K$2:$K$2705,$B$2:$B$2705,B2156)</f>
        <v>0.499979802570123</v>
      </c>
      <c r="M2156" s="21" t="n">
        <f aca="false">K2156-L2156</f>
        <v>0.0494029134792598</v>
      </c>
      <c r="N2156" s="21" t="n">
        <f aca="false">LN(J2156)</f>
        <v>14.2364974209574</v>
      </c>
      <c r="O2156" s="21" t="n">
        <f aca="false">AVERAGEIFS($N$2:$N$2705,$B$2:$B$2705,B2156)</f>
        <v>13.6183404870687</v>
      </c>
      <c r="P2156" s="21" t="n">
        <f aca="false">N2156-O2156</f>
        <v>0.618156933888725</v>
      </c>
      <c r="Q2156" s="7" t="n">
        <v>0</v>
      </c>
      <c r="R2156" s="3" t="n">
        <f aca="false">IF(AND(Q2156=1,B2156-_xlfn.MINIFS($B$2:$B$2705,$A$2:$A$2705,A2156)&lt;10),1,0)</f>
        <v>0</v>
      </c>
      <c r="S2156" s="7" t="n">
        <v>0</v>
      </c>
      <c r="T2156" s="3" t="n">
        <f aca="false">_xlfn.MINIFS($B$2:$B$2705,$A$2:$A$2705,A2156)</f>
        <v>1901</v>
      </c>
      <c r="U2156" s="3" t="n">
        <f aca="false">B2156-T2156</f>
        <v>106</v>
      </c>
      <c r="V2156" s="3" t="str">
        <f aca="false">INDEX(Pop_Inputs!$Q$2:$Q$29,MATCH(C2156,Pop_Inputs!$A$2:$A$29,0))</f>
        <v>Northeast</v>
      </c>
      <c r="W2156" s="29" t="n">
        <v>89428213</v>
      </c>
      <c r="X2156" s="3" t="n">
        <f aca="false">IF(W2156="","",LN(W2156))</f>
        <v>18.3089467720138</v>
      </c>
      <c r="Y2156" s="3" t="n">
        <f aca="false">IF(X2156="","",X2156-AVERAGEIFS($X$2:$X$2705,$B$2:$B$2705,B2156))</f>
        <v>0.167508634008829</v>
      </c>
      <c r="Z2156" s="21" t="n">
        <f aca="false">P2156</f>
        <v>0.618156933888725</v>
      </c>
      <c r="AA2156" s="3" t="n">
        <f aca="false">R2156</f>
        <v>0</v>
      </c>
      <c r="AB2156" s="21" t="n">
        <f aca="false">P2156</f>
        <v>0.618156933888725</v>
      </c>
      <c r="AC2156" s="3" t="n">
        <f aca="false">Y2156</f>
        <v>0.167508634008829</v>
      </c>
      <c r="AD2156" s="3" t="n">
        <f aca="false">R2156</f>
        <v>0</v>
      </c>
    </row>
    <row r="2157" customFormat="false" ht="15" hidden="false" customHeight="true" outlineLevel="0" collapsed="false">
      <c r="A2157" s="7" t="s">
        <v>58</v>
      </c>
      <c r="B2157" s="7" t="n">
        <v>2007</v>
      </c>
      <c r="C2157" s="7" t="s">
        <v>144</v>
      </c>
      <c r="D2157" s="7" t="n">
        <v>68</v>
      </c>
      <c r="E2157" s="7" t="n">
        <v>94</v>
      </c>
      <c r="F2157" s="3" t="n">
        <f aca="false">COUNTIFS($B$2:$B$2705,B2157,$C$2:$C$2705,C2157)</f>
        <v>1</v>
      </c>
      <c r="G2157" s="3" t="n">
        <f aca="false">MIN(INT((MIN(B2157,2020)-1900)/10)+1,12)</f>
        <v>11</v>
      </c>
      <c r="H2157" s="3" t="n">
        <f aca="false">(MIN(B2157,2020)-1900-10*(G2157-1))/10</f>
        <v>0.7</v>
      </c>
      <c r="I2157" s="20" t="n">
        <f aca="false">EXP(LN(INDEX(Pop_Inputs!$B$2:$N$29,MATCH(C2157,Pop_Inputs!$A$2:$A$29,0),G2157))*(1-H2157)+LN(INDEX(Pop_Inputs!$B$2:$N$29,MATCH(C2157,Pop_Inputs!$A$2:$A$29,0),G2157+1))*H2157)</f>
        <v>314090.034934222</v>
      </c>
      <c r="J2157" s="20" t="n">
        <f aca="false">I2157/F2157</f>
        <v>314090.034934222</v>
      </c>
      <c r="K2157" s="21" t="n">
        <f aca="false">D2157/(D2157+E2157)</f>
        <v>0.419753086419753</v>
      </c>
      <c r="L2157" s="21" t="n">
        <f aca="false">AVERAGEIFS($K$2:$K$2705,$B$2:$B$2705,B2157)</f>
        <v>0.499979802570123</v>
      </c>
      <c r="M2157" s="21" t="n">
        <f aca="false">K2157-L2157</f>
        <v>-0.0802267161503699</v>
      </c>
      <c r="N2157" s="21" t="n">
        <f aca="false">LN(J2157)</f>
        <v>12.6574349592489</v>
      </c>
      <c r="O2157" s="21" t="n">
        <f aca="false">AVERAGEIFS($N$2:$N$2705,$B$2:$B$2705,B2157)</f>
        <v>13.6183404870687</v>
      </c>
      <c r="P2157" s="21" t="n">
        <f aca="false">N2157-O2157</f>
        <v>-0.960905527819721</v>
      </c>
      <c r="Q2157" s="7" t="n">
        <v>0</v>
      </c>
      <c r="R2157" s="3" t="n">
        <f aca="false">IF(AND(Q2157=1,B2157-_xlfn.MINIFS($B$2:$B$2705,$A$2:$A$2705,A2157)&lt;10),1,0)</f>
        <v>0</v>
      </c>
      <c r="S2157" s="7" t="n">
        <v>0</v>
      </c>
      <c r="T2157" s="3" t="n">
        <f aca="false">_xlfn.MINIFS($B$2:$B$2705,$A$2:$A$2705,A2157)</f>
        <v>1901</v>
      </c>
      <c r="U2157" s="3" t="n">
        <f aca="false">B2157-T2157</f>
        <v>106</v>
      </c>
      <c r="V2157" s="3" t="str">
        <f aca="false">INDEX(Pop_Inputs!$Q$2:$Q$29,MATCH(C2157,Pop_Inputs!$A$2:$A$29,0))</f>
        <v>Northeast</v>
      </c>
      <c r="W2157" s="29" t="n">
        <v>38537833</v>
      </c>
      <c r="X2157" s="3" t="n">
        <f aca="false">IF(W2157="","",LN(W2157))</f>
        <v>17.4671509920734</v>
      </c>
      <c r="Y2157" s="3" t="n">
        <f aca="false">IF(X2157="","",X2157-AVERAGEIFS($X$2:$X$2705,$B$2:$B$2705,B2157))</f>
        <v>-0.674287145931615</v>
      </c>
      <c r="Z2157" s="21" t="n">
        <f aca="false">P2157</f>
        <v>-0.960905527819721</v>
      </c>
      <c r="AA2157" s="3" t="n">
        <f aca="false">R2157</f>
        <v>0</v>
      </c>
      <c r="AB2157" s="21" t="n">
        <f aca="false">P2157</f>
        <v>-0.960905527819721</v>
      </c>
      <c r="AC2157" s="3" t="n">
        <f aca="false">Y2157</f>
        <v>-0.674287145931615</v>
      </c>
      <c r="AD2157" s="3" t="n">
        <f aca="false">R2157</f>
        <v>0</v>
      </c>
    </row>
    <row r="2158" customFormat="false" ht="15" hidden="false" customHeight="true" outlineLevel="0" collapsed="false">
      <c r="A2158" s="7" t="s">
        <v>78</v>
      </c>
      <c r="B2158" s="7" t="n">
        <v>2007</v>
      </c>
      <c r="C2158" s="7" t="s">
        <v>159</v>
      </c>
      <c r="D2158" s="7" t="n">
        <v>89</v>
      </c>
      <c r="E2158" s="7" t="n">
        <v>74</v>
      </c>
      <c r="F2158" s="3" t="n">
        <f aca="false">COUNTIFS($B$2:$B$2705,B2158,$C$2:$C$2705,C2158)</f>
        <v>1</v>
      </c>
      <c r="G2158" s="3" t="n">
        <f aca="false">MIN(INT((MIN(B2158,2020)-1900)/10)+1,12)</f>
        <v>11</v>
      </c>
      <c r="H2158" s="3" t="n">
        <f aca="false">(MIN(B2158,2020)-1900-10*(G2158-1))/10</f>
        <v>0.7</v>
      </c>
      <c r="I2158" s="20" t="n">
        <f aca="false">EXP(LN(INDEX(Pop_Inputs!$B$2:$N$29,MATCH(C2158,Pop_Inputs!$A$2:$A$29,0),G2158))*(1-H2158)+LN(INDEX(Pop_Inputs!$B$2:$N$29,MATCH(C2158,Pop_Inputs!$A$2:$A$29,0),G2158+1))*H2158)</f>
        <v>1281613.11901209</v>
      </c>
      <c r="J2158" s="20" t="n">
        <f aca="false">I2158/F2158</f>
        <v>1281613.11901209</v>
      </c>
      <c r="K2158" s="21" t="n">
        <f aca="false">D2158/(D2158+E2158)</f>
        <v>0.54601226993865</v>
      </c>
      <c r="L2158" s="21" t="n">
        <f aca="false">AVERAGEIFS($K$2:$K$2705,$B$2:$B$2705,B2158)</f>
        <v>0.499979802570123</v>
      </c>
      <c r="M2158" s="21" t="n">
        <f aca="false">K2158-L2158</f>
        <v>0.0460324673685273</v>
      </c>
      <c r="N2158" s="21" t="n">
        <f aca="false">LN(J2158)</f>
        <v>14.0636300916765</v>
      </c>
      <c r="O2158" s="21" t="n">
        <f aca="false">AVERAGEIFS($N$2:$N$2705,$B$2:$B$2705,B2158)</f>
        <v>13.6183404870687</v>
      </c>
      <c r="P2158" s="21" t="n">
        <f aca="false">N2158-O2158</f>
        <v>0.445289604607833</v>
      </c>
      <c r="Q2158" s="7" t="n">
        <v>1</v>
      </c>
      <c r="R2158" s="3" t="n">
        <f aca="false">IF(AND(Q2158=1,B2158-_xlfn.MINIFS($B$2:$B$2705,$A$2:$A$2705,A2158)&lt;10),1,0)</f>
        <v>0</v>
      </c>
      <c r="S2158" s="7" t="n">
        <v>0</v>
      </c>
      <c r="T2158" s="3" t="n">
        <f aca="false">_xlfn.MINIFS($B$2:$B$2705,$A$2:$A$2705,A2158)</f>
        <v>1969</v>
      </c>
      <c r="U2158" s="3" t="n">
        <f aca="false">B2158-T2158</f>
        <v>38</v>
      </c>
      <c r="V2158" s="3" t="str">
        <f aca="false">INDEX(Pop_Inputs!$Q$2:$Q$29,MATCH(C2158,Pop_Inputs!$A$2:$A$29,0))</f>
        <v>West</v>
      </c>
      <c r="W2158" s="29" t="n">
        <v>58110567</v>
      </c>
      <c r="X2158" s="3" t="n">
        <f aca="false">IF(W2158="","",LN(W2158))</f>
        <v>17.8778580813604</v>
      </c>
      <c r="Y2158" s="3" t="n">
        <f aca="false">IF(X2158="","",X2158-AVERAGEIFS($X$2:$X$2705,$B$2:$B$2705,B2158))</f>
        <v>-0.263580056644557</v>
      </c>
      <c r="Z2158" s="21" t="n">
        <f aca="false">P2158</f>
        <v>0.445289604607833</v>
      </c>
      <c r="AA2158" s="3" t="n">
        <f aca="false">R2158</f>
        <v>0</v>
      </c>
      <c r="AB2158" s="21" t="n">
        <f aca="false">P2158</f>
        <v>0.445289604607833</v>
      </c>
      <c r="AC2158" s="3" t="n">
        <f aca="false">Y2158</f>
        <v>-0.263580056644557</v>
      </c>
      <c r="AD2158" s="3" t="n">
        <f aca="false">R2158</f>
        <v>0</v>
      </c>
    </row>
    <row r="2159" customFormat="false" ht="15" hidden="false" customHeight="true" outlineLevel="0" collapsed="false">
      <c r="A2159" s="7" t="s">
        <v>80</v>
      </c>
      <c r="B2159" s="7" t="n">
        <v>2007</v>
      </c>
      <c r="C2159" s="7" t="s">
        <v>161</v>
      </c>
      <c r="D2159" s="7" t="n">
        <v>88</v>
      </c>
      <c r="E2159" s="7" t="n">
        <v>74</v>
      </c>
      <c r="F2159" s="3" t="n">
        <f aca="false">COUNTIFS($B$2:$B$2705,B2159,$C$2:$C$2705,C2159)</f>
        <v>1</v>
      </c>
      <c r="G2159" s="3" t="n">
        <f aca="false">MIN(INT((MIN(B2159,2020)-1900)/10)+1,12)</f>
        <v>11</v>
      </c>
      <c r="H2159" s="3" t="n">
        <f aca="false">(MIN(B2159,2020)-1900-10*(G2159-1))/10</f>
        <v>0.7</v>
      </c>
      <c r="I2159" s="20" t="n">
        <f aca="false">EXP(LN(INDEX(Pop_Inputs!$B$2:$N$29,MATCH(C2159,Pop_Inputs!$A$2:$A$29,0),G2159))*(1-H2159)+LN(INDEX(Pop_Inputs!$B$2:$N$29,MATCH(C2159,Pop_Inputs!$A$2:$A$29,0),G2159+1))*H2159)</f>
        <v>594704.703353556</v>
      </c>
      <c r="J2159" s="20" t="n">
        <f aca="false">I2159/F2159</f>
        <v>594704.703353556</v>
      </c>
      <c r="K2159" s="21" t="n">
        <f aca="false">D2159/(D2159+E2159)</f>
        <v>0.54320987654321</v>
      </c>
      <c r="L2159" s="21" t="n">
        <f aca="false">AVERAGEIFS($K$2:$K$2705,$B$2:$B$2705,B2159)</f>
        <v>0.499979802570123</v>
      </c>
      <c r="M2159" s="21" t="n">
        <f aca="false">K2159-L2159</f>
        <v>0.0432300739730869</v>
      </c>
      <c r="N2159" s="21" t="n">
        <f aca="false">LN(J2159)</f>
        <v>13.2958202644469</v>
      </c>
      <c r="O2159" s="21" t="n">
        <f aca="false">AVERAGEIFS($N$2:$N$2705,$B$2:$B$2705,B2159)</f>
        <v>13.6183404870687</v>
      </c>
      <c r="P2159" s="21" t="n">
        <f aca="false">N2159-O2159</f>
        <v>-0.322520222621737</v>
      </c>
      <c r="Q2159" s="7" t="n">
        <v>1</v>
      </c>
      <c r="R2159" s="3" t="n">
        <f aca="false">IF(AND(Q2159=1,B2159-_xlfn.MINIFS($B$2:$B$2705,$A$2:$A$2705,A2159)&lt;10),1,0)</f>
        <v>0</v>
      </c>
      <c r="S2159" s="7" t="n">
        <v>0</v>
      </c>
      <c r="T2159" s="3" t="n">
        <f aca="false">_xlfn.MINIFS($B$2:$B$2705,$A$2:$A$2705,A2159)</f>
        <v>1977</v>
      </c>
      <c r="U2159" s="3" t="n">
        <f aca="false">B2159-T2159</f>
        <v>30</v>
      </c>
      <c r="V2159" s="3" t="str">
        <f aca="false">INDEX(Pop_Inputs!$Q$2:$Q$29,MATCH(C2159,Pop_Inputs!$A$2:$A$29,0))</f>
        <v>West</v>
      </c>
      <c r="W2159" s="29" t="n">
        <v>106460833</v>
      </c>
      <c r="X2159" s="3" t="n">
        <f aca="false">IF(W2159="","",LN(W2159))</f>
        <v>18.4832877102133</v>
      </c>
      <c r="Y2159" s="3" t="n">
        <f aca="false">IF(X2159="","",X2159-AVERAGEIFS($X$2:$X$2705,$B$2:$B$2705,B2159))</f>
        <v>0.341849572208332</v>
      </c>
      <c r="Z2159" s="21" t="n">
        <f aca="false">P2159</f>
        <v>-0.322520222621737</v>
      </c>
      <c r="AA2159" s="3" t="n">
        <f aca="false">R2159</f>
        <v>0</v>
      </c>
      <c r="AB2159" s="21" t="n">
        <f aca="false">P2159</f>
        <v>-0.322520222621737</v>
      </c>
      <c r="AC2159" s="3" t="n">
        <f aca="false">Y2159</f>
        <v>0.341849572208332</v>
      </c>
      <c r="AD2159" s="3" t="n">
        <f aca="false">R2159</f>
        <v>0</v>
      </c>
    </row>
    <row r="2160" customFormat="false" ht="15" hidden="false" customHeight="true" outlineLevel="0" collapsed="false">
      <c r="A2160" s="7" t="s">
        <v>61</v>
      </c>
      <c r="B2160" s="7" t="n">
        <v>2007</v>
      </c>
      <c r="C2160" s="7" t="s">
        <v>147</v>
      </c>
      <c r="D2160" s="7" t="n">
        <v>71</v>
      </c>
      <c r="E2160" s="7" t="n">
        <v>91</v>
      </c>
      <c r="F2160" s="3" t="n">
        <f aca="false">COUNTIFS($B$2:$B$2705,B2160,$C$2:$C$2705,C2160)</f>
        <v>1</v>
      </c>
      <c r="G2160" s="3" t="n">
        <f aca="false">MIN(INT((MIN(B2160,2020)-1900)/10)+1,12)</f>
        <v>11</v>
      </c>
      <c r="H2160" s="3" t="n">
        <f aca="false">(MIN(B2160,2020)-1900-10*(G2160-1))/10</f>
        <v>0.7</v>
      </c>
      <c r="I2160" s="20" t="n">
        <f aca="false">EXP(LN(INDEX(Pop_Inputs!$B$2:$N$29,MATCH(C2160,Pop_Inputs!$A$2:$A$29,0),G2160))*(1-H2160)+LN(INDEX(Pop_Inputs!$B$2:$N$29,MATCH(C2160,Pop_Inputs!$A$2:$A$29,0),G2160+1))*H2160)</f>
        <v>796576.293569535</v>
      </c>
      <c r="J2160" s="20" t="n">
        <f aca="false">I2160/F2160</f>
        <v>796576.293569535</v>
      </c>
      <c r="K2160" s="21" t="n">
        <f aca="false">D2160/(D2160+E2160)</f>
        <v>0.438271604938272</v>
      </c>
      <c r="L2160" s="21" t="n">
        <f aca="false">AVERAGEIFS($K$2:$K$2705,$B$2:$B$2705,B2160)</f>
        <v>0.499979802570123</v>
      </c>
      <c r="M2160" s="21" t="n">
        <f aca="false">K2160-L2160</f>
        <v>-0.0617081976318513</v>
      </c>
      <c r="N2160" s="21" t="n">
        <f aca="false">LN(J2160)</f>
        <v>13.5880781897708</v>
      </c>
      <c r="O2160" s="21" t="n">
        <f aca="false">AVERAGEIFS($N$2:$N$2705,$B$2:$B$2705,B2160)</f>
        <v>13.6183404870687</v>
      </c>
      <c r="P2160" s="21" t="n">
        <f aca="false">N2160-O2160</f>
        <v>-0.0302622972978295</v>
      </c>
      <c r="Q2160" s="7" t="n">
        <v>0</v>
      </c>
      <c r="R2160" s="3" t="n">
        <f aca="false">IF(AND(Q2160=1,B2160-_xlfn.MINIFS($B$2:$B$2705,$A$2:$A$2705,A2160)&lt;10),1,0)</f>
        <v>0</v>
      </c>
      <c r="S2160" s="7" t="n">
        <v>0</v>
      </c>
      <c r="T2160" s="3" t="n">
        <f aca="false">_xlfn.MINIFS($B$2:$B$2705,$A$2:$A$2705,A2160)</f>
        <v>1901</v>
      </c>
      <c r="U2160" s="3" t="n">
        <f aca="false">B2160-T2160</f>
        <v>106</v>
      </c>
      <c r="V2160" s="3" t="str">
        <f aca="false">INDEX(Pop_Inputs!$Q$2:$Q$29,MATCH(C2160,Pop_Inputs!$A$2:$A$29,0))</f>
        <v>West</v>
      </c>
      <c r="W2160" s="29" t="n">
        <v>90219056</v>
      </c>
      <c r="X2160" s="3" t="n">
        <f aca="false">IF(W2160="","",LN(W2160))</f>
        <v>18.3177512265779</v>
      </c>
      <c r="Y2160" s="3" t="n">
        <f aca="false">IF(X2160="","",X2160-AVERAGEIFS($X$2:$X$2705,$B$2:$B$2705,B2160))</f>
        <v>0.176313088572901</v>
      </c>
      <c r="Z2160" s="21" t="n">
        <f aca="false">P2160</f>
        <v>-0.0302622972978295</v>
      </c>
      <c r="AA2160" s="3" t="n">
        <f aca="false">R2160</f>
        <v>0</v>
      </c>
      <c r="AB2160" s="21" t="n">
        <f aca="false">P2160</f>
        <v>-0.0302622972978295</v>
      </c>
      <c r="AC2160" s="3" t="n">
        <f aca="false">Y2160</f>
        <v>0.176313088572901</v>
      </c>
      <c r="AD2160" s="3" t="n">
        <f aca="false">R2160</f>
        <v>0</v>
      </c>
    </row>
    <row r="2161" customFormat="false" ht="15" hidden="false" customHeight="true" outlineLevel="0" collapsed="false">
      <c r="A2161" s="7" t="s">
        <v>59</v>
      </c>
      <c r="B2161" s="7" t="n">
        <v>2007</v>
      </c>
      <c r="C2161" s="7" t="s">
        <v>145</v>
      </c>
      <c r="D2161" s="7" t="n">
        <v>78</v>
      </c>
      <c r="E2161" s="7" t="n">
        <v>84</v>
      </c>
      <c r="F2161" s="3" t="n">
        <f aca="false">COUNTIFS($B$2:$B$2705,B2161,$C$2:$C$2705,C2161)</f>
        <v>1</v>
      </c>
      <c r="G2161" s="3" t="n">
        <f aca="false">MIN(INT((MIN(B2161,2020)-1900)/10)+1,12)</f>
        <v>11</v>
      </c>
      <c r="H2161" s="3" t="n">
        <f aca="false">(MIN(B2161,2020)-1900-10*(G2161-1))/10</f>
        <v>0.7</v>
      </c>
      <c r="I2161" s="20" t="n">
        <f aca="false">EXP(LN(INDEX(Pop_Inputs!$B$2:$N$29,MATCH(C2161,Pop_Inputs!$A$2:$A$29,0),G2161))*(1-H2161)+LN(INDEX(Pop_Inputs!$B$2:$N$29,MATCH(C2161,Pop_Inputs!$A$2:$A$29,0),G2161+1))*H2161)</f>
        <v>327701.209523569</v>
      </c>
      <c r="J2161" s="20" t="n">
        <f aca="false">I2161/F2161</f>
        <v>327701.209523569</v>
      </c>
      <c r="K2161" s="21" t="n">
        <f aca="false">D2161/(D2161+E2161)</f>
        <v>0.481481481481481</v>
      </c>
      <c r="L2161" s="21" t="n">
        <f aca="false">AVERAGEIFS($K$2:$K$2705,$B$2:$B$2705,B2161)</f>
        <v>0.499979802570123</v>
      </c>
      <c r="M2161" s="21" t="n">
        <f aca="false">K2161-L2161</f>
        <v>-0.0184983210886415</v>
      </c>
      <c r="N2161" s="21" t="n">
        <f aca="false">LN(J2161)</f>
        <v>12.6998575256278</v>
      </c>
      <c r="O2161" s="21" t="n">
        <f aca="false">AVERAGEIFS($N$2:$N$2705,$B$2:$B$2705,B2161)</f>
        <v>13.6183404870687</v>
      </c>
      <c r="P2161" s="21" t="n">
        <f aca="false">N2161-O2161</f>
        <v>-0.918482961440846</v>
      </c>
      <c r="Q2161" s="7" t="n">
        <v>0</v>
      </c>
      <c r="R2161" s="3" t="n">
        <f aca="false">IF(AND(Q2161=1,B2161-_xlfn.MINIFS($B$2:$B$2705,$A$2:$A$2705,A2161)&lt;10),1,0)</f>
        <v>0</v>
      </c>
      <c r="S2161" s="7" t="n">
        <v>0</v>
      </c>
      <c r="T2161" s="3" t="n">
        <f aca="false">_xlfn.MINIFS($B$2:$B$2705,$A$2:$A$2705,A2161)</f>
        <v>1901</v>
      </c>
      <c r="U2161" s="3" t="n">
        <f aca="false">B2161-T2161</f>
        <v>106</v>
      </c>
      <c r="V2161" s="3" t="str">
        <f aca="false">INDEX(Pop_Inputs!$Q$2:$Q$29,MATCH(C2161,Pop_Inputs!$A$2:$A$29,0))</f>
        <v>Midwest</v>
      </c>
      <c r="W2161" s="29" t="n">
        <v>90286823</v>
      </c>
      <c r="X2161" s="3" t="n">
        <f aca="false">IF(W2161="","",LN(W2161))</f>
        <v>18.3185020830437</v>
      </c>
      <c r="Y2161" s="3" t="n">
        <f aca="false">IF(X2161="","",X2161-AVERAGEIFS($X$2:$X$2705,$B$2:$B$2705,B2161))</f>
        <v>0.177063945038732</v>
      </c>
      <c r="Z2161" s="21" t="n">
        <f aca="false">P2161</f>
        <v>-0.918482961440846</v>
      </c>
      <c r="AA2161" s="3" t="n">
        <f aca="false">R2161</f>
        <v>0</v>
      </c>
      <c r="AB2161" s="21" t="n">
        <f aca="false">P2161</f>
        <v>-0.918482961440846</v>
      </c>
      <c r="AC2161" s="3" t="n">
        <f aca="false">Y2161</f>
        <v>0.177063945038732</v>
      </c>
      <c r="AD2161" s="3" t="n">
        <f aca="false">R2161</f>
        <v>0</v>
      </c>
    </row>
    <row r="2162" customFormat="false" ht="15" hidden="false" customHeight="true" outlineLevel="0" collapsed="false">
      <c r="A2162" s="7" t="s">
        <v>85</v>
      </c>
      <c r="B2162" s="7" t="n">
        <v>2007</v>
      </c>
      <c r="C2162" s="7" t="s">
        <v>166</v>
      </c>
      <c r="D2162" s="7" t="n">
        <v>66</v>
      </c>
      <c r="E2162" s="7" t="n">
        <v>96</v>
      </c>
      <c r="F2162" s="3" t="n">
        <f aca="false">COUNTIFS($B$2:$B$2705,B2162,$C$2:$C$2705,C2162)</f>
        <v>1</v>
      </c>
      <c r="G2162" s="3" t="n">
        <f aca="false">MIN(INT((MIN(B2162,2020)-1900)/10)+1,12)</f>
        <v>11</v>
      </c>
      <c r="H2162" s="3" t="n">
        <f aca="false">(MIN(B2162,2020)-1900-10*(G2162-1))/10</f>
        <v>0.7</v>
      </c>
      <c r="I2162" s="20" t="n">
        <f aca="false">EXP(LN(INDEX(Pop_Inputs!$B$2:$N$29,MATCH(C2162,Pop_Inputs!$A$2:$A$29,0),G2162))*(1-H2162)+LN(INDEX(Pop_Inputs!$B$2:$N$29,MATCH(C2162,Pop_Inputs!$A$2:$A$29,0),G2162+1))*H2162)</f>
        <v>325685.889936196</v>
      </c>
      <c r="J2162" s="20" t="n">
        <f aca="false">I2162/F2162</f>
        <v>325685.889936196</v>
      </c>
      <c r="K2162" s="21" t="n">
        <f aca="false">D2162/(D2162+E2162)</f>
        <v>0.407407407407407</v>
      </c>
      <c r="L2162" s="21" t="n">
        <f aca="false">AVERAGEIFS($K$2:$K$2705,$B$2:$B$2705,B2162)</f>
        <v>0.499979802570123</v>
      </c>
      <c r="M2162" s="21" t="n">
        <f aca="false">K2162-L2162</f>
        <v>-0.0925723951627155</v>
      </c>
      <c r="N2162" s="21" t="n">
        <f aca="false">LN(J2162)</f>
        <v>12.6936886680545</v>
      </c>
      <c r="O2162" s="21" t="n">
        <f aca="false">AVERAGEIFS($N$2:$N$2705,$B$2:$B$2705,B2162)</f>
        <v>13.6183404870687</v>
      </c>
      <c r="P2162" s="21" t="n">
        <f aca="false">N2162-O2162</f>
        <v>-0.924651819014203</v>
      </c>
      <c r="Q2162" s="7" t="n">
        <v>1</v>
      </c>
      <c r="R2162" s="3" t="n">
        <f aca="false">IF(AND(Q2162=1,B2162-_xlfn.MINIFS($B$2:$B$2705,$A$2:$A$2705,A2162)&lt;10),1,0)</f>
        <v>1</v>
      </c>
      <c r="S2162" s="7" t="n">
        <v>0</v>
      </c>
      <c r="T2162" s="3" t="n">
        <f aca="false">_xlfn.MINIFS($B$2:$B$2705,$A$2:$A$2705,A2162)</f>
        <v>1998</v>
      </c>
      <c r="U2162" s="3" t="n">
        <f aca="false">B2162-T2162</f>
        <v>9</v>
      </c>
      <c r="V2162" s="3" t="str">
        <f aca="false">INDEX(Pop_Inputs!$Q$2:$Q$29,MATCH(C2162,Pop_Inputs!$A$2:$A$29,0))</f>
        <v>South</v>
      </c>
      <c r="W2162" s="29" t="n">
        <v>24123500</v>
      </c>
      <c r="X2162" s="3" t="n">
        <f aca="false">IF(W2162="","",LN(W2162))</f>
        <v>16.9986970270905</v>
      </c>
      <c r="Y2162" s="3" t="n">
        <f aca="false">IF(X2162="","",X2162-AVERAGEIFS($X$2:$X$2705,$B$2:$B$2705,B2162))</f>
        <v>-1.14274111091448</v>
      </c>
      <c r="Z2162" s="21" t="n">
        <f aca="false">P2162</f>
        <v>-0.924651819014203</v>
      </c>
      <c r="AA2162" s="3" t="n">
        <f aca="false">R2162</f>
        <v>1</v>
      </c>
      <c r="AB2162" s="21" t="n">
        <f aca="false">P2162</f>
        <v>-0.924651819014203</v>
      </c>
      <c r="AC2162" s="3" t="n">
        <f aca="false">Y2162</f>
        <v>-1.14274111091448</v>
      </c>
      <c r="AD2162" s="3" t="n">
        <f aca="false">R2162</f>
        <v>1</v>
      </c>
    </row>
    <row r="2163" customFormat="false" ht="15" hidden="false" customHeight="true" outlineLevel="0" collapsed="false">
      <c r="A2163" s="7" t="s">
        <v>73</v>
      </c>
      <c r="B2163" s="7" t="n">
        <v>2007</v>
      </c>
      <c r="C2163" s="7" t="s">
        <v>155</v>
      </c>
      <c r="D2163" s="7" t="n">
        <v>75</v>
      </c>
      <c r="E2163" s="7" t="n">
        <v>87</v>
      </c>
      <c r="F2163" s="3" t="n">
        <f aca="false">COUNTIFS($B$2:$B$2705,B2163,$C$2:$C$2705,C2163)</f>
        <v>1</v>
      </c>
      <c r="G2163" s="3" t="n">
        <f aca="false">MIN(INT((MIN(B2163,2020)-1900)/10)+1,12)</f>
        <v>11</v>
      </c>
      <c r="H2163" s="3" t="n">
        <f aca="false">(MIN(B2163,2020)-1900-10*(G2163-1))/10</f>
        <v>0.7</v>
      </c>
      <c r="I2163" s="20" t="n">
        <f aca="false">EXP(LN(INDEX(Pop_Inputs!$B$2:$N$29,MATCH(C2163,Pop_Inputs!$A$2:$A$29,0),G2163))*(1-H2163)+LN(INDEX(Pop_Inputs!$B$2:$N$29,MATCH(C2163,Pop_Inputs!$A$2:$A$29,0),G2163+1))*H2163)</f>
        <v>1195037.68947322</v>
      </c>
      <c r="J2163" s="20" t="n">
        <f aca="false">I2163/F2163</f>
        <v>1195037.68947322</v>
      </c>
      <c r="K2163" s="21" t="n">
        <f aca="false">D2163/(D2163+E2163)</f>
        <v>0.462962962962963</v>
      </c>
      <c r="L2163" s="21" t="n">
        <f aca="false">AVERAGEIFS($K$2:$K$2705,$B$2:$B$2705,B2163)</f>
        <v>0.499979802570123</v>
      </c>
      <c r="M2163" s="21" t="n">
        <f aca="false">K2163-L2163</f>
        <v>-0.03701683960716</v>
      </c>
      <c r="N2163" s="21" t="n">
        <f aca="false">LN(J2163)</f>
        <v>13.9936882821585</v>
      </c>
      <c r="O2163" s="21" t="n">
        <f aca="false">AVERAGEIFS($N$2:$N$2705,$B$2:$B$2705,B2163)</f>
        <v>13.6183404870687</v>
      </c>
      <c r="P2163" s="21" t="n">
        <f aca="false">N2163-O2163</f>
        <v>0.375347795089869</v>
      </c>
      <c r="Q2163" s="7" t="n">
        <v>1</v>
      </c>
      <c r="R2163" s="3" t="n">
        <f aca="false">IF(AND(Q2163=1,B2163-_xlfn.MINIFS($B$2:$B$2705,$A$2:$A$2705,A2163)&lt;10),1,0)</f>
        <v>0</v>
      </c>
      <c r="S2163" s="7" t="n">
        <v>0</v>
      </c>
      <c r="T2163" s="3" t="n">
        <f aca="false">_xlfn.MINIFS($B$2:$B$2705,$A$2:$A$2705,A2163)</f>
        <v>1961</v>
      </c>
      <c r="U2163" s="3" t="n">
        <f aca="false">B2163-T2163</f>
        <v>46</v>
      </c>
      <c r="V2163" s="3" t="str">
        <f aca="false">INDEX(Pop_Inputs!$Q$2:$Q$29,MATCH(C2163,Pop_Inputs!$A$2:$A$29,0))</f>
        <v>South</v>
      </c>
      <c r="W2163" s="29" t="n">
        <v>68318675</v>
      </c>
      <c r="X2163" s="3" t="n">
        <f aca="false">IF(W2163="","",LN(W2163))</f>
        <v>18.0396937132284</v>
      </c>
      <c r="Y2163" s="3" t="n">
        <f aca="false">IF(X2163="","",X2163-AVERAGEIFS($X$2:$X$2705,$B$2:$B$2705,B2163))</f>
        <v>-0.101744424776559</v>
      </c>
      <c r="Z2163" s="21" t="n">
        <f aca="false">P2163</f>
        <v>0.375347795089869</v>
      </c>
      <c r="AA2163" s="3" t="n">
        <f aca="false">R2163</f>
        <v>0</v>
      </c>
      <c r="AB2163" s="21" t="n">
        <f aca="false">P2163</f>
        <v>0.375347795089869</v>
      </c>
      <c r="AC2163" s="3" t="n">
        <f aca="false">Y2163</f>
        <v>-0.101744424776559</v>
      </c>
      <c r="AD2163" s="3" t="n">
        <f aca="false">R2163</f>
        <v>0</v>
      </c>
    </row>
    <row r="2164" customFormat="false" ht="15" hidden="false" customHeight="true" outlineLevel="0" collapsed="false">
      <c r="A2164" s="7" t="s">
        <v>81</v>
      </c>
      <c r="B2164" s="7" t="n">
        <v>2007</v>
      </c>
      <c r="C2164" s="7" t="s">
        <v>162</v>
      </c>
      <c r="D2164" s="7" t="n">
        <v>83</v>
      </c>
      <c r="E2164" s="7" t="n">
        <v>79</v>
      </c>
      <c r="F2164" s="3" t="n">
        <f aca="false">COUNTIFS($B$2:$B$2705,B2164,$C$2:$C$2705,C2164)</f>
        <v>1</v>
      </c>
      <c r="G2164" s="3" t="n">
        <f aca="false">MIN(INT((MIN(B2164,2020)-1900)/10)+1,12)</f>
        <v>11</v>
      </c>
      <c r="H2164" s="3" t="n">
        <f aca="false">(MIN(B2164,2020)-1900-10*(G2164-1))/10</f>
        <v>0.7</v>
      </c>
      <c r="I2164" s="20" t="n">
        <f aca="false">EXP(LN(INDEX(Pop_Inputs!$B$2:$N$29,MATCH(C2164,Pop_Inputs!$A$2:$A$29,0),G2164))*(1-H2164)+LN(INDEX(Pop_Inputs!$B$2:$N$29,MATCH(C2164,Pop_Inputs!$A$2:$A$29,0),G2164+1))*H2164)</f>
        <v>2574252.41761657</v>
      </c>
      <c r="J2164" s="20" t="n">
        <f aca="false">I2164/F2164</f>
        <v>2574252.41761657</v>
      </c>
      <c r="K2164" s="21" t="n">
        <f aca="false">D2164/(D2164+E2164)</f>
        <v>0.512345679012346</v>
      </c>
      <c r="L2164" s="21" t="n">
        <f aca="false">AVERAGEIFS($K$2:$K$2705,$B$2:$B$2705,B2164)</f>
        <v>0.499979802570123</v>
      </c>
      <c r="M2164" s="21" t="n">
        <f aca="false">K2164-L2164</f>
        <v>0.0123658764422228</v>
      </c>
      <c r="N2164" s="21" t="n">
        <f aca="false">LN(J2164)</f>
        <v>14.7610697266723</v>
      </c>
      <c r="O2164" s="21" t="n">
        <f aca="false">AVERAGEIFS($N$2:$N$2705,$B$2:$B$2705,B2164)</f>
        <v>13.6183404870687</v>
      </c>
      <c r="P2164" s="21" t="n">
        <f aca="false">N2164-O2164</f>
        <v>1.14272923960365</v>
      </c>
      <c r="Q2164" s="7" t="n">
        <v>1</v>
      </c>
      <c r="R2164" s="3" t="n">
        <f aca="false">IF(AND(Q2164=1,B2164-_xlfn.MINIFS($B$2:$B$2705,$A$2:$A$2705,A2164)&lt;10),1,0)</f>
        <v>0</v>
      </c>
      <c r="S2164" s="7" t="n">
        <v>0</v>
      </c>
      <c r="T2164" s="3" t="n">
        <f aca="false">_xlfn.MINIFS($B$2:$B$2705,$A$2:$A$2705,A2164)</f>
        <v>1977</v>
      </c>
      <c r="U2164" s="3" t="n">
        <f aca="false">B2164-T2164</f>
        <v>30</v>
      </c>
      <c r="V2164" s="3" t="str">
        <f aca="false">INDEX(Pop_Inputs!$Q$2:$Q$29,MATCH(C2164,Pop_Inputs!$A$2:$A$29,0))</f>
        <v>Canada</v>
      </c>
      <c r="W2164" s="29" t="n">
        <v>81942800</v>
      </c>
      <c r="X2164" s="3" t="n">
        <f aca="false">IF(W2164="","",LN(W2164))</f>
        <v>18.2215320008441</v>
      </c>
      <c r="Y2164" s="3" t="n">
        <f aca="false">IF(X2164="","",X2164-AVERAGEIFS($X$2:$X$2705,$B$2:$B$2705,B2164))</f>
        <v>0.0800938628390782</v>
      </c>
      <c r="Z2164" s="21" t="n">
        <f aca="false">P2164</f>
        <v>1.14272923960365</v>
      </c>
      <c r="AA2164" s="3" t="n">
        <f aca="false">R2164</f>
        <v>0</v>
      </c>
      <c r="AB2164" s="21" t="n">
        <f aca="false">P2164</f>
        <v>1.14272923960365</v>
      </c>
      <c r="AC2164" s="3" t="n">
        <f aca="false">Y2164</f>
        <v>0.0800938628390782</v>
      </c>
      <c r="AD2164" s="3" t="n">
        <f aca="false">R2164</f>
        <v>0</v>
      </c>
    </row>
    <row r="2165" customFormat="false" ht="15" hidden="false" customHeight="true" outlineLevel="0" collapsed="false">
      <c r="A2165" s="7" t="s">
        <v>79</v>
      </c>
      <c r="B2165" s="7" t="n">
        <v>2007</v>
      </c>
      <c r="C2165" s="7" t="s">
        <v>160</v>
      </c>
      <c r="D2165" s="7" t="n">
        <v>73</v>
      </c>
      <c r="E2165" s="7" t="n">
        <v>89</v>
      </c>
      <c r="F2165" s="3" t="n">
        <f aca="false">COUNTIFS($B$2:$B$2705,B2165,$C$2:$C$2705,C2165)</f>
        <v>1</v>
      </c>
      <c r="G2165" s="3" t="n">
        <f aca="false">MIN(INT((MIN(B2165,2020)-1900)/10)+1,12)</f>
        <v>11</v>
      </c>
      <c r="H2165" s="3" t="n">
        <f aca="false">(MIN(B2165,2020)-1900-10*(G2165-1))/10</f>
        <v>0.7</v>
      </c>
      <c r="I2165" s="20" t="n">
        <f aca="false">EXP(LN(INDEX(Pop_Inputs!$B$2:$N$29,MATCH(C2165,Pop_Inputs!$A$2:$A$29,0),G2165))*(1-H2165)+LN(INDEX(Pop_Inputs!$B$2:$N$29,MATCH(C2165,Pop_Inputs!$A$2:$A$29,0),G2165+1))*H2165)</f>
        <v>592665.811470468</v>
      </c>
      <c r="J2165" s="20" t="n">
        <f aca="false">I2165/F2165</f>
        <v>592665.811470468</v>
      </c>
      <c r="K2165" s="21" t="n">
        <f aca="false">D2165/(D2165+E2165)</f>
        <v>0.450617283950617</v>
      </c>
      <c r="L2165" s="21" t="n">
        <f aca="false">AVERAGEIFS($K$2:$K$2705,$B$2:$B$2705,B2165)</f>
        <v>0.499979802570123</v>
      </c>
      <c r="M2165" s="21" t="n">
        <f aca="false">K2165-L2165</f>
        <v>-0.0493625186195056</v>
      </c>
      <c r="N2165" s="21" t="n">
        <f aca="false">LN(J2165)</f>
        <v>13.2923859634236</v>
      </c>
      <c r="O2165" s="21" t="n">
        <f aca="false">AVERAGEIFS($N$2:$N$2705,$B$2:$B$2705,B2165)</f>
        <v>13.6183404870687</v>
      </c>
      <c r="P2165" s="21" t="n">
        <f aca="false">N2165-O2165</f>
        <v>-0.325954523645041</v>
      </c>
      <c r="Q2165" s="7" t="n">
        <v>1</v>
      </c>
      <c r="R2165" s="3" t="n">
        <f aca="false">IF(AND(Q2165=1,B2165-_xlfn.MINIFS($B$2:$B$2705,$A$2:$A$2705,A2165)&lt;10),1,0)</f>
        <v>0</v>
      </c>
      <c r="S2165" s="7" t="n">
        <v>0</v>
      </c>
      <c r="T2165" s="3" t="n">
        <f aca="false">_xlfn.MINIFS($B$2:$B$2705,$A$2:$A$2705,A2165)</f>
        <v>1969</v>
      </c>
      <c r="U2165" s="3" t="n">
        <f aca="false">B2165-T2165</f>
        <v>38</v>
      </c>
      <c r="V2165" s="3" t="str">
        <f aca="false">INDEX(Pop_Inputs!$Q$2:$Q$29,MATCH(C2165,Pop_Inputs!$A$2:$A$29,0))</f>
        <v>South</v>
      </c>
      <c r="W2165" s="29" t="n">
        <v>36947500</v>
      </c>
      <c r="X2165" s="3" t="n">
        <f aca="false">IF(W2165="","",LN(W2165))</f>
        <v>17.4250085440709</v>
      </c>
      <c r="Y2165" s="3" t="n">
        <f aca="false">IF(X2165="","",X2165-AVERAGEIFS($X$2:$X$2705,$B$2:$B$2705,B2165))</f>
        <v>-0.716429593934116</v>
      </c>
      <c r="Z2165" s="21" t="n">
        <f aca="false">P2165</f>
        <v>-0.325954523645041</v>
      </c>
      <c r="AA2165" s="3" t="n">
        <f aca="false">R2165</f>
        <v>0</v>
      </c>
      <c r="AB2165" s="21" t="n">
        <f aca="false">P2165</f>
        <v>-0.325954523645041</v>
      </c>
      <c r="AC2165" s="3" t="n">
        <f aca="false">Y2165</f>
        <v>-0.716429593934116</v>
      </c>
      <c r="AD2165" s="3" t="n">
        <f aca="false">R2165</f>
        <v>0</v>
      </c>
    </row>
    <row r="2166" customFormat="false" ht="15" hidden="false" customHeight="true" outlineLevel="0" collapsed="false">
      <c r="A2166" s="7" t="s">
        <v>71</v>
      </c>
      <c r="B2166" s="7" t="n">
        <v>2008</v>
      </c>
      <c r="C2166" s="7" t="s">
        <v>148</v>
      </c>
      <c r="D2166" s="7" t="n">
        <v>100</v>
      </c>
      <c r="E2166" s="7" t="n">
        <v>62</v>
      </c>
      <c r="F2166" s="3" t="n">
        <f aca="false">COUNTIFS($B$2:$B$2705,B2166,$C$2:$C$2705,C2166)</f>
        <v>2</v>
      </c>
      <c r="G2166" s="3" t="n">
        <f aca="false">MIN(INT((MIN(B2166,2020)-1900)/10)+1,12)</f>
        <v>11</v>
      </c>
      <c r="H2166" s="3" t="n">
        <f aca="false">(MIN(B2166,2020)-1900-10*(G2166-1))/10</f>
        <v>0.8</v>
      </c>
      <c r="I2166" s="20" t="n">
        <f aca="false">EXP(LN(INDEX(Pop_Inputs!$B$2:$N$29,MATCH(C2166,Pop_Inputs!$A$2:$A$29,0),G2166))*(1-H2166)+LN(INDEX(Pop_Inputs!$B$2:$N$29,MATCH(C2166,Pop_Inputs!$A$2:$A$29,0),G2166+1))*H2166)</f>
        <v>3772855.85985618</v>
      </c>
      <c r="J2166" s="20" t="n">
        <f aca="false">I2166/F2166</f>
        <v>1886427.92992809</v>
      </c>
      <c r="K2166" s="21" t="n">
        <f aca="false">D2166/(D2166+E2166)</f>
        <v>0.617283950617284</v>
      </c>
      <c r="L2166" s="21" t="n">
        <f aca="false">AVERAGEIFS($K$2:$K$2705,$B$2:$B$2705,B2166)</f>
        <v>0.499964434960434</v>
      </c>
      <c r="M2166" s="21" t="n">
        <f aca="false">K2166-L2166</f>
        <v>0.11731951565685</v>
      </c>
      <c r="N2166" s="21" t="n">
        <f aca="false">LN(J2166)</f>
        <v>14.4501956145972</v>
      </c>
      <c r="O2166" s="21" t="n">
        <f aca="false">AVERAGEIFS($N$2:$N$2705,$B$2:$B$2705,B2166)</f>
        <v>13.6181656321195</v>
      </c>
      <c r="P2166" s="21" t="n">
        <f aca="false">N2166-O2166</f>
        <v>0.83202998247763</v>
      </c>
      <c r="Q2166" s="7" t="n">
        <v>1</v>
      </c>
      <c r="R2166" s="3" t="n">
        <f aca="false">IF(AND(Q2166=1,B2166-_xlfn.MINIFS($B$2:$B$2705,$A$2:$A$2705,A2166)&lt;10),1,0)</f>
        <v>0</v>
      </c>
      <c r="S2166" s="7" t="n">
        <v>0</v>
      </c>
      <c r="T2166" s="3" t="n">
        <f aca="false">_xlfn.MINIFS($B$2:$B$2705,$A$2:$A$2705,A2166)</f>
        <v>1961</v>
      </c>
      <c r="U2166" s="3" t="n">
        <f aca="false">B2166-T2166</f>
        <v>47</v>
      </c>
      <c r="V2166" s="3" t="str">
        <f aca="false">INDEX(Pop_Inputs!$Q$2:$Q$29,MATCH(C2166,Pop_Inputs!$A$2:$A$29,0))</f>
        <v>West</v>
      </c>
      <c r="W2166" s="29" t="n">
        <v>119216333</v>
      </c>
      <c r="X2166" s="3" t="n">
        <f aca="false">IF(W2166="","",LN(W2166))</f>
        <v>18.596450325021</v>
      </c>
      <c r="Y2166" s="3" t="n">
        <f aca="false">IF(X2166="","",X2166-AVERAGEIFS($X$2:$X$2705,$B$2:$B$2705,B2166))</f>
        <v>0.376143066619136</v>
      </c>
      <c r="Z2166" s="21" t="n">
        <f aca="false">P2166</f>
        <v>0.83202998247763</v>
      </c>
      <c r="AA2166" s="3" t="n">
        <f aca="false">R2166</f>
        <v>0</v>
      </c>
      <c r="AB2166" s="21" t="n">
        <f aca="false">P2166</f>
        <v>0.83202998247763</v>
      </c>
      <c r="AC2166" s="3" t="n">
        <f aca="false">Y2166</f>
        <v>0.376143066619136</v>
      </c>
      <c r="AD2166" s="3" t="n">
        <f aca="false">R2166</f>
        <v>0</v>
      </c>
    </row>
    <row r="2167" customFormat="false" ht="15" hidden="false" customHeight="true" outlineLevel="0" collapsed="false">
      <c r="A2167" s="7" t="s">
        <v>84</v>
      </c>
      <c r="B2167" s="7" t="n">
        <v>2008</v>
      </c>
      <c r="C2167" s="7" t="s">
        <v>165</v>
      </c>
      <c r="D2167" s="7" t="n">
        <v>82</v>
      </c>
      <c r="E2167" s="7" t="n">
        <v>80</v>
      </c>
      <c r="F2167" s="3" t="n">
        <f aca="false">COUNTIFS($B$2:$B$2705,B2167,$C$2:$C$2705,C2167)</f>
        <v>1</v>
      </c>
      <c r="G2167" s="3" t="n">
        <f aca="false">MIN(INT((MIN(B2167,2020)-1900)/10)+1,12)</f>
        <v>11</v>
      </c>
      <c r="H2167" s="3" t="n">
        <f aca="false">(MIN(B2167,2020)-1900-10*(G2167-1))/10</f>
        <v>0.8</v>
      </c>
      <c r="I2167" s="20" t="n">
        <f aca="false">EXP(LN(INDEX(Pop_Inputs!$B$2:$N$29,MATCH(C2167,Pop_Inputs!$A$2:$A$29,0),G2167))*(1-H2167)+LN(INDEX(Pop_Inputs!$B$2:$N$29,MATCH(C2167,Pop_Inputs!$A$2:$A$29,0),G2167+1))*H2167)</f>
        <v>1419808.34609136</v>
      </c>
      <c r="J2167" s="20" t="n">
        <f aca="false">I2167/F2167</f>
        <v>1419808.34609136</v>
      </c>
      <c r="K2167" s="21" t="n">
        <f aca="false">D2167/(D2167+E2167)</f>
        <v>0.506172839506173</v>
      </c>
      <c r="L2167" s="21" t="n">
        <f aca="false">AVERAGEIFS($K$2:$K$2705,$B$2:$B$2705,B2167)</f>
        <v>0.499964434960434</v>
      </c>
      <c r="M2167" s="21" t="n">
        <f aca="false">K2167-L2167</f>
        <v>0.00620840454573896</v>
      </c>
      <c r="N2167" s="21" t="n">
        <f aca="false">LN(J2167)</f>
        <v>14.1660324529272</v>
      </c>
      <c r="O2167" s="21" t="n">
        <f aca="false">AVERAGEIFS($N$2:$N$2705,$B$2:$B$2705,B2167)</f>
        <v>13.6181656321195</v>
      </c>
      <c r="P2167" s="21" t="n">
        <f aca="false">N2167-O2167</f>
        <v>0.547866820807681</v>
      </c>
      <c r="Q2167" s="7" t="n">
        <v>1</v>
      </c>
      <c r="R2167" s="3" t="n">
        <f aca="false">IF(AND(Q2167=1,B2167-_xlfn.MINIFS($B$2:$B$2705,$A$2:$A$2705,A2167)&lt;10),1,0)</f>
        <v>0</v>
      </c>
      <c r="S2167" s="7" t="n">
        <v>0</v>
      </c>
      <c r="T2167" s="3" t="n">
        <f aca="false">_xlfn.MINIFS($B$2:$B$2705,$A$2:$A$2705,A2167)</f>
        <v>1998</v>
      </c>
      <c r="U2167" s="3" t="n">
        <f aca="false">B2167-T2167</f>
        <v>10</v>
      </c>
      <c r="V2167" s="3" t="str">
        <f aca="false">INDEX(Pop_Inputs!$Q$2:$Q$29,MATCH(C2167,Pop_Inputs!$A$2:$A$29,0))</f>
        <v>West</v>
      </c>
      <c r="W2167" s="29" t="n">
        <v>66202712</v>
      </c>
      <c r="X2167" s="3" t="n">
        <f aca="false">IF(W2167="","",LN(W2167))</f>
        <v>18.0082319868355</v>
      </c>
      <c r="Y2167" s="3" t="n">
        <f aca="false">IF(X2167="","",X2167-AVERAGEIFS($X$2:$X$2705,$B$2:$B$2705,B2167))</f>
        <v>-0.212075271566345</v>
      </c>
      <c r="Z2167" s="21" t="n">
        <f aca="false">P2167</f>
        <v>0.547866820807681</v>
      </c>
      <c r="AA2167" s="3" t="n">
        <f aca="false">R2167</f>
        <v>0</v>
      </c>
      <c r="AB2167" s="21" t="n">
        <f aca="false">P2167</f>
        <v>0.547866820807681</v>
      </c>
      <c r="AC2167" s="3" t="n">
        <f aca="false">Y2167</f>
        <v>-0.212075271566345</v>
      </c>
      <c r="AD2167" s="3" t="n">
        <f aca="false">R2167</f>
        <v>0</v>
      </c>
    </row>
    <row r="2168" customFormat="false" ht="15" hidden="false" customHeight="true" outlineLevel="0" collapsed="false">
      <c r="A2168" s="7" t="s">
        <v>54</v>
      </c>
      <c r="B2168" s="7" t="n">
        <v>2008</v>
      </c>
      <c r="C2168" s="7" t="s">
        <v>141</v>
      </c>
      <c r="D2168" s="7" t="n">
        <v>72</v>
      </c>
      <c r="E2168" s="7" t="n">
        <v>90</v>
      </c>
      <c r="F2168" s="3" t="n">
        <f aca="false">COUNTIFS($B$2:$B$2705,B2168,$C$2:$C$2705,C2168)</f>
        <v>1</v>
      </c>
      <c r="G2168" s="3" t="n">
        <f aca="false">MIN(INT((MIN(B2168,2020)-1900)/10)+1,12)</f>
        <v>11</v>
      </c>
      <c r="H2168" s="3" t="n">
        <f aca="false">(MIN(B2168,2020)-1900-10*(G2168-1))/10</f>
        <v>0.8</v>
      </c>
      <c r="I2168" s="20" t="n">
        <f aca="false">EXP(LN(INDEX(Pop_Inputs!$B$2:$N$29,MATCH(C2168,Pop_Inputs!$A$2:$A$29,0),G2168))*(1-H2168)+LN(INDEX(Pop_Inputs!$B$2:$N$29,MATCH(C2168,Pop_Inputs!$A$2:$A$29,0),G2168+1))*H2168)</f>
        <v>419294.815827059</v>
      </c>
      <c r="J2168" s="20" t="n">
        <f aca="false">I2168/F2168</f>
        <v>419294.815827059</v>
      </c>
      <c r="K2168" s="21" t="n">
        <f aca="false">D2168/(D2168+E2168)</f>
        <v>0.444444444444444</v>
      </c>
      <c r="L2168" s="21" t="n">
        <f aca="false">AVERAGEIFS($K$2:$K$2705,$B$2:$B$2705,B2168)</f>
        <v>0.499964434960434</v>
      </c>
      <c r="M2168" s="21" t="n">
        <f aca="false">K2168-L2168</f>
        <v>-0.0555199905159895</v>
      </c>
      <c r="N2168" s="21" t="n">
        <f aca="false">LN(J2168)</f>
        <v>12.9463295692071</v>
      </c>
      <c r="O2168" s="21" t="n">
        <f aca="false">AVERAGEIFS($N$2:$N$2705,$B$2:$B$2705,B2168)</f>
        <v>13.6181656321195</v>
      </c>
      <c r="P2168" s="21" t="n">
        <f aca="false">N2168-O2168</f>
        <v>-0.671836062912476</v>
      </c>
      <c r="Q2168" s="7" t="n">
        <v>0</v>
      </c>
      <c r="R2168" s="3" t="n">
        <f aca="false">IF(AND(Q2168=1,B2168-_xlfn.MINIFS($B$2:$B$2705,$A$2:$A$2705,A2168)&lt;10),1,0)</f>
        <v>0</v>
      </c>
      <c r="S2168" s="7" t="n">
        <v>0</v>
      </c>
      <c r="T2168" s="3" t="n">
        <f aca="false">_xlfn.MINIFS($B$2:$B$2705,$A$2:$A$2705,A2168)</f>
        <v>1901</v>
      </c>
      <c r="U2168" s="3" t="n">
        <f aca="false">B2168-T2168</f>
        <v>107</v>
      </c>
      <c r="V2168" s="3" t="str">
        <f aca="false">INDEX(Pop_Inputs!$Q$2:$Q$29,MATCH(C2168,Pop_Inputs!$A$2:$A$29,0))</f>
        <v>South</v>
      </c>
      <c r="W2168" s="29" t="n">
        <v>102365683</v>
      </c>
      <c r="X2168" s="3" t="n">
        <f aca="false">IF(W2168="","",LN(W2168))</f>
        <v>18.444062087449</v>
      </c>
      <c r="Y2168" s="3" t="n">
        <f aca="false">IF(X2168="","",X2168-AVERAGEIFS($X$2:$X$2705,$B$2:$B$2705,B2168))</f>
        <v>0.223754829047131</v>
      </c>
      <c r="Z2168" s="21" t="n">
        <f aca="false">P2168</f>
        <v>-0.671836062912476</v>
      </c>
      <c r="AA2168" s="3" t="n">
        <f aca="false">R2168</f>
        <v>0</v>
      </c>
      <c r="AB2168" s="21" t="n">
        <f aca="false">P2168</f>
        <v>-0.671836062912476</v>
      </c>
      <c r="AC2168" s="3" t="n">
        <f aca="false">Y2168</f>
        <v>0.223754829047131</v>
      </c>
      <c r="AD2168" s="3" t="n">
        <f aca="false">R2168</f>
        <v>0</v>
      </c>
    </row>
    <row r="2169" customFormat="false" ht="15" hidden="false" customHeight="true" outlineLevel="0" collapsed="false">
      <c r="A2169" s="7" t="s">
        <v>63</v>
      </c>
      <c r="B2169" s="7" t="n">
        <v>2008</v>
      </c>
      <c r="C2169" s="7" t="s">
        <v>149</v>
      </c>
      <c r="D2169" s="7" t="n">
        <v>68</v>
      </c>
      <c r="E2169" s="7" t="n">
        <v>93</v>
      </c>
      <c r="F2169" s="3" t="n">
        <f aca="false">COUNTIFS($B$2:$B$2705,B2169,$C$2:$C$2705,C2169)</f>
        <v>1</v>
      </c>
      <c r="G2169" s="3" t="n">
        <f aca="false">MIN(INT((MIN(B2169,2020)-1900)/10)+1,12)</f>
        <v>11</v>
      </c>
      <c r="H2169" s="3" t="n">
        <f aca="false">(MIN(B2169,2020)-1900-10*(G2169-1))/10</f>
        <v>0.8</v>
      </c>
      <c r="I2169" s="20" t="n">
        <f aca="false">EXP(LN(INDEX(Pop_Inputs!$B$2:$N$29,MATCH(C2169,Pop_Inputs!$A$2:$A$29,0),G2169))*(1-H2169)+LN(INDEX(Pop_Inputs!$B$2:$N$29,MATCH(C2169,Pop_Inputs!$A$2:$A$29,0),G2169+1))*H2169)</f>
        <v>626885.467885314</v>
      </c>
      <c r="J2169" s="20" t="n">
        <f aca="false">I2169/F2169</f>
        <v>626885.467885314</v>
      </c>
      <c r="K2169" s="21" t="n">
        <f aca="false">D2169/(D2169+E2169)</f>
        <v>0.422360248447205</v>
      </c>
      <c r="L2169" s="21" t="n">
        <f aca="false">AVERAGEIFS($K$2:$K$2705,$B$2:$B$2705,B2169)</f>
        <v>0.499964434960434</v>
      </c>
      <c r="M2169" s="21" t="n">
        <f aca="false">K2169-L2169</f>
        <v>-0.0776041865132289</v>
      </c>
      <c r="N2169" s="21" t="n">
        <f aca="false">LN(J2169)</f>
        <v>13.3485191360799</v>
      </c>
      <c r="O2169" s="21" t="n">
        <f aca="false">AVERAGEIFS($N$2:$N$2705,$B$2:$B$2705,B2169)</f>
        <v>13.6181656321195</v>
      </c>
      <c r="P2169" s="21" t="n">
        <f aca="false">N2169-O2169</f>
        <v>-0.269646496039671</v>
      </c>
      <c r="Q2169" s="7" t="n">
        <v>0</v>
      </c>
      <c r="R2169" s="3" t="n">
        <f aca="false">IF(AND(Q2169=1,B2169-_xlfn.MINIFS($B$2:$B$2705,$A$2:$A$2705,A2169)&lt;10),1,0)</f>
        <v>0</v>
      </c>
      <c r="S2169" s="7" t="n">
        <v>0</v>
      </c>
      <c r="T2169" s="3" t="n">
        <f aca="false">_xlfn.MINIFS($B$2:$B$2705,$A$2:$A$2705,A2169)</f>
        <v>1901</v>
      </c>
      <c r="U2169" s="3" t="n">
        <f aca="false">B2169-T2169</f>
        <v>107</v>
      </c>
      <c r="V2169" s="3" t="str">
        <f aca="false">INDEX(Pop_Inputs!$Q$2:$Q$29,MATCH(C2169,Pop_Inputs!$A$2:$A$29,0))</f>
        <v>South</v>
      </c>
      <c r="W2169" s="29" t="n">
        <v>67196246</v>
      </c>
      <c r="X2169" s="3" t="n">
        <f aca="false">IF(W2169="","",LN(W2169))</f>
        <v>18.0231279408377</v>
      </c>
      <c r="Y2169" s="3" t="n">
        <f aca="false">IF(X2169="","",X2169-AVERAGEIFS($X$2:$X$2705,$B$2:$B$2705,B2169))</f>
        <v>-0.1971793175641</v>
      </c>
      <c r="Z2169" s="21" t="n">
        <f aca="false">P2169</f>
        <v>-0.269646496039671</v>
      </c>
      <c r="AA2169" s="3" t="n">
        <f aca="false">R2169</f>
        <v>0</v>
      </c>
      <c r="AB2169" s="21" t="n">
        <f aca="false">P2169</f>
        <v>-0.269646496039671</v>
      </c>
      <c r="AC2169" s="3" t="n">
        <f aca="false">Y2169</f>
        <v>-0.1971793175641</v>
      </c>
      <c r="AD2169" s="3" t="n">
        <f aca="false">R2169</f>
        <v>0</v>
      </c>
    </row>
    <row r="2170" customFormat="false" ht="15" hidden="false" customHeight="true" outlineLevel="0" collapsed="false">
      <c r="A2170" s="7" t="s">
        <v>64</v>
      </c>
      <c r="B2170" s="7" t="n">
        <v>2008</v>
      </c>
      <c r="C2170" s="7" t="s">
        <v>150</v>
      </c>
      <c r="D2170" s="7" t="n">
        <v>95</v>
      </c>
      <c r="E2170" s="7" t="n">
        <v>67</v>
      </c>
      <c r="F2170" s="3" t="n">
        <f aca="false">COUNTIFS($B$2:$B$2705,B2170,$C$2:$C$2705,C2170)</f>
        <v>1</v>
      </c>
      <c r="G2170" s="3" t="n">
        <f aca="false">MIN(INT((MIN(B2170,2020)-1900)/10)+1,12)</f>
        <v>11</v>
      </c>
      <c r="H2170" s="3" t="n">
        <f aca="false">(MIN(B2170,2020)-1900-10*(G2170-1))/10</f>
        <v>0.8</v>
      </c>
      <c r="I2170" s="20" t="n">
        <f aca="false">EXP(LN(INDEX(Pop_Inputs!$B$2:$N$29,MATCH(C2170,Pop_Inputs!$A$2:$A$29,0),G2170))*(1-H2170)+LN(INDEX(Pop_Inputs!$B$2:$N$29,MATCH(C2170,Pop_Inputs!$A$2:$A$29,0),G2170+1))*H2170)</f>
        <v>611795.536294496</v>
      </c>
      <c r="J2170" s="20" t="n">
        <f aca="false">I2170/F2170</f>
        <v>611795.536294496</v>
      </c>
      <c r="K2170" s="21" t="n">
        <f aca="false">D2170/(D2170+E2170)</f>
        <v>0.58641975308642</v>
      </c>
      <c r="L2170" s="21" t="n">
        <f aca="false">AVERAGEIFS($K$2:$K$2705,$B$2:$B$2705,B2170)</f>
        <v>0.499964434960434</v>
      </c>
      <c r="M2170" s="21" t="n">
        <f aca="false">K2170-L2170</f>
        <v>0.0864553181259859</v>
      </c>
      <c r="N2170" s="21" t="n">
        <f aca="false">LN(J2170)</f>
        <v>13.3241534146516</v>
      </c>
      <c r="O2170" s="21" t="n">
        <f aca="false">AVERAGEIFS($N$2:$N$2705,$B$2:$B$2705,B2170)</f>
        <v>13.6181656321195</v>
      </c>
      <c r="P2170" s="21" t="n">
        <f aca="false">N2170-O2170</f>
        <v>-0.294012217467971</v>
      </c>
      <c r="Q2170" s="7" t="n">
        <v>0</v>
      </c>
      <c r="R2170" s="3" t="n">
        <f aca="false">IF(AND(Q2170=1,B2170-_xlfn.MINIFS($B$2:$B$2705,$A$2:$A$2705,A2170)&lt;10),1,0)</f>
        <v>0</v>
      </c>
      <c r="S2170" s="7" t="n">
        <v>0</v>
      </c>
      <c r="T2170" s="3" t="n">
        <f aca="false">_xlfn.MINIFS($B$2:$B$2705,$A$2:$A$2705,A2170)</f>
        <v>1901</v>
      </c>
      <c r="U2170" s="3" t="n">
        <f aca="false">B2170-T2170</f>
        <v>107</v>
      </c>
      <c r="V2170" s="3" t="str">
        <f aca="false">INDEX(Pop_Inputs!$Q$2:$Q$29,MATCH(C2170,Pop_Inputs!$A$2:$A$29,0))</f>
        <v>Northeast</v>
      </c>
      <c r="W2170" s="29" t="n">
        <v>133390035</v>
      </c>
      <c r="X2170" s="3" t="n">
        <f aca="false">IF(W2170="","",LN(W2170))</f>
        <v>18.7087879885057</v>
      </c>
      <c r="Y2170" s="3" t="n">
        <f aca="false">IF(X2170="","",X2170-AVERAGEIFS($X$2:$X$2705,$B$2:$B$2705,B2170))</f>
        <v>0.488480730103838</v>
      </c>
      <c r="Z2170" s="21" t="n">
        <f aca="false">P2170</f>
        <v>-0.294012217467971</v>
      </c>
      <c r="AA2170" s="3" t="n">
        <f aca="false">R2170</f>
        <v>0</v>
      </c>
      <c r="AB2170" s="21" t="n">
        <f aca="false">P2170</f>
        <v>-0.294012217467971</v>
      </c>
      <c r="AC2170" s="3" t="n">
        <f aca="false">Y2170</f>
        <v>0.488480730103838</v>
      </c>
      <c r="AD2170" s="3" t="n">
        <f aca="false">R2170</f>
        <v>0</v>
      </c>
    </row>
    <row r="2171" customFormat="false" ht="15" hidden="false" customHeight="true" outlineLevel="0" collapsed="false">
      <c r="A2171" s="7" t="s">
        <v>56</v>
      </c>
      <c r="B2171" s="7" t="n">
        <v>2008</v>
      </c>
      <c r="C2171" s="7" t="s">
        <v>142</v>
      </c>
      <c r="D2171" s="7" t="n">
        <v>97</v>
      </c>
      <c r="E2171" s="7" t="n">
        <v>64</v>
      </c>
      <c r="F2171" s="3" t="n">
        <f aca="false">COUNTIFS($B$2:$B$2705,B2171,$C$2:$C$2705,C2171)</f>
        <v>2</v>
      </c>
      <c r="G2171" s="3" t="n">
        <f aca="false">MIN(INT((MIN(B2171,2020)-1900)/10)+1,12)</f>
        <v>11</v>
      </c>
      <c r="H2171" s="3" t="n">
        <f aca="false">(MIN(B2171,2020)-1900-10*(G2171-1))/10</f>
        <v>0.8</v>
      </c>
      <c r="I2171" s="20" t="n">
        <f aca="false">EXP(LN(INDEX(Pop_Inputs!$B$2:$N$29,MATCH(C2171,Pop_Inputs!$A$2:$A$29,0),G2171))*(1-H2171)+LN(INDEX(Pop_Inputs!$B$2:$N$29,MATCH(C2171,Pop_Inputs!$A$2:$A$29,0),G2171+1))*H2171)</f>
        <v>2734540.07105821</v>
      </c>
      <c r="J2171" s="20" t="n">
        <f aca="false">I2171/F2171</f>
        <v>1367270.03552911</v>
      </c>
      <c r="K2171" s="21" t="n">
        <f aca="false">D2171/(D2171+E2171)</f>
        <v>0.60248447204969</v>
      </c>
      <c r="L2171" s="21" t="n">
        <f aca="false">AVERAGEIFS($K$2:$K$2705,$B$2:$B$2705,B2171)</f>
        <v>0.499964434960434</v>
      </c>
      <c r="M2171" s="21" t="n">
        <f aca="false">K2171-L2171</f>
        <v>0.102520037089256</v>
      </c>
      <c r="N2171" s="21" t="n">
        <f aca="false">LN(J2171)</f>
        <v>14.1283266349902</v>
      </c>
      <c r="O2171" s="21" t="n">
        <f aca="false">AVERAGEIFS($N$2:$N$2705,$B$2:$B$2705,B2171)</f>
        <v>13.6181656321195</v>
      </c>
      <c r="P2171" s="21" t="n">
        <f aca="false">N2171-O2171</f>
        <v>0.510161002870662</v>
      </c>
      <c r="Q2171" s="7" t="n">
        <v>0</v>
      </c>
      <c r="R2171" s="3" t="n">
        <f aca="false">IF(AND(Q2171=1,B2171-_xlfn.MINIFS($B$2:$B$2705,$A$2:$A$2705,A2171)&lt;10),1,0)</f>
        <v>0</v>
      </c>
      <c r="S2171" s="7" t="n">
        <v>0</v>
      </c>
      <c r="T2171" s="3" t="n">
        <f aca="false">_xlfn.MINIFS($B$2:$B$2705,$A$2:$A$2705,A2171)</f>
        <v>1901</v>
      </c>
      <c r="U2171" s="3" t="n">
        <f aca="false">B2171-T2171</f>
        <v>107</v>
      </c>
      <c r="V2171" s="3" t="str">
        <f aca="false">INDEX(Pop_Inputs!$Q$2:$Q$29,MATCH(C2171,Pop_Inputs!$A$2:$A$29,0))</f>
        <v>Midwest</v>
      </c>
      <c r="W2171" s="29" t="n">
        <v>118345833</v>
      </c>
      <c r="X2171" s="3" t="n">
        <f aca="false">IF(W2171="","",LN(W2171))</f>
        <v>18.5891216841789</v>
      </c>
      <c r="Y2171" s="3" t="n">
        <f aca="false">IF(X2171="","",X2171-AVERAGEIFS($X$2:$X$2705,$B$2:$B$2705,B2171))</f>
        <v>0.368814425777096</v>
      </c>
      <c r="Z2171" s="21" t="n">
        <f aca="false">P2171</f>
        <v>0.510161002870662</v>
      </c>
      <c r="AA2171" s="3" t="n">
        <f aca="false">R2171</f>
        <v>0</v>
      </c>
      <c r="AB2171" s="21" t="n">
        <f aca="false">P2171</f>
        <v>0.510161002870662</v>
      </c>
      <c r="AC2171" s="3" t="n">
        <f aca="false">Y2171</f>
        <v>0.368814425777096</v>
      </c>
      <c r="AD2171" s="3" t="n">
        <f aca="false">R2171</f>
        <v>0</v>
      </c>
    </row>
    <row r="2172" customFormat="false" ht="15" hidden="false" customHeight="true" outlineLevel="0" collapsed="false">
      <c r="A2172" s="7" t="s">
        <v>65</v>
      </c>
      <c r="B2172" s="7" t="n">
        <v>2008</v>
      </c>
      <c r="C2172" s="7" t="s">
        <v>142</v>
      </c>
      <c r="D2172" s="7" t="n">
        <v>89</v>
      </c>
      <c r="E2172" s="7" t="n">
        <v>74</v>
      </c>
      <c r="F2172" s="3" t="n">
        <f aca="false">COUNTIFS($B$2:$B$2705,B2172,$C$2:$C$2705,C2172)</f>
        <v>2</v>
      </c>
      <c r="G2172" s="3" t="n">
        <f aca="false">MIN(INT((MIN(B2172,2020)-1900)/10)+1,12)</f>
        <v>11</v>
      </c>
      <c r="H2172" s="3" t="n">
        <f aca="false">(MIN(B2172,2020)-1900-10*(G2172-1))/10</f>
        <v>0.8</v>
      </c>
      <c r="I2172" s="20" t="n">
        <f aca="false">EXP(LN(INDEX(Pop_Inputs!$B$2:$N$29,MATCH(C2172,Pop_Inputs!$A$2:$A$29,0),G2172))*(1-H2172)+LN(INDEX(Pop_Inputs!$B$2:$N$29,MATCH(C2172,Pop_Inputs!$A$2:$A$29,0),G2172+1))*H2172)</f>
        <v>2734540.07105821</v>
      </c>
      <c r="J2172" s="20" t="n">
        <f aca="false">I2172/F2172</f>
        <v>1367270.03552911</v>
      </c>
      <c r="K2172" s="21" t="n">
        <f aca="false">D2172/(D2172+E2172)</f>
        <v>0.54601226993865</v>
      </c>
      <c r="L2172" s="21" t="n">
        <f aca="false">AVERAGEIFS($K$2:$K$2705,$B$2:$B$2705,B2172)</f>
        <v>0.499964434960434</v>
      </c>
      <c r="M2172" s="21" t="n">
        <f aca="false">K2172-L2172</f>
        <v>0.0460478349782164</v>
      </c>
      <c r="N2172" s="21" t="n">
        <f aca="false">LN(J2172)</f>
        <v>14.1283266349902</v>
      </c>
      <c r="O2172" s="21" t="n">
        <f aca="false">AVERAGEIFS($N$2:$N$2705,$B$2:$B$2705,B2172)</f>
        <v>13.6181656321195</v>
      </c>
      <c r="P2172" s="21" t="n">
        <f aca="false">N2172-O2172</f>
        <v>0.510161002870662</v>
      </c>
      <c r="Q2172" s="7" t="n">
        <v>0</v>
      </c>
      <c r="R2172" s="3" t="n">
        <f aca="false">IF(AND(Q2172=1,B2172-_xlfn.MINIFS($B$2:$B$2705,$A$2:$A$2705,A2172)&lt;10),1,0)</f>
        <v>0</v>
      </c>
      <c r="S2172" s="7" t="n">
        <v>0</v>
      </c>
      <c r="T2172" s="3" t="n">
        <f aca="false">_xlfn.MINIFS($B$2:$B$2705,$A$2:$A$2705,A2172)</f>
        <v>1901</v>
      </c>
      <c r="U2172" s="3" t="n">
        <f aca="false">B2172-T2172</f>
        <v>107</v>
      </c>
      <c r="V2172" s="3" t="str">
        <f aca="false">INDEX(Pop_Inputs!$Q$2:$Q$29,MATCH(C2172,Pop_Inputs!$A$2:$A$29,0))</f>
        <v>Midwest</v>
      </c>
      <c r="W2172" s="29" t="n">
        <v>121189332</v>
      </c>
      <c r="X2172" s="3" t="n">
        <f aca="false">IF(W2172="","",LN(W2172))</f>
        <v>18.6128646079235</v>
      </c>
      <c r="Y2172" s="3" t="n">
        <f aca="false">IF(X2172="","",X2172-AVERAGEIFS($X$2:$X$2705,$B$2:$B$2705,B2172))</f>
        <v>0.392557349521699</v>
      </c>
      <c r="Z2172" s="21" t="n">
        <f aca="false">P2172</f>
        <v>0.510161002870662</v>
      </c>
      <c r="AA2172" s="3" t="n">
        <f aca="false">R2172</f>
        <v>0</v>
      </c>
      <c r="AB2172" s="21" t="n">
        <f aca="false">P2172</f>
        <v>0.510161002870662</v>
      </c>
      <c r="AC2172" s="3" t="n">
        <f aca="false">Y2172</f>
        <v>0.392557349521699</v>
      </c>
      <c r="AD2172" s="3" t="n">
        <f aca="false">R2172</f>
        <v>0</v>
      </c>
    </row>
    <row r="2173" customFormat="false" ht="15" hidden="false" customHeight="true" outlineLevel="0" collapsed="false">
      <c r="A2173" s="7" t="s">
        <v>57</v>
      </c>
      <c r="B2173" s="7" t="n">
        <v>2008</v>
      </c>
      <c r="C2173" s="7" t="s">
        <v>143</v>
      </c>
      <c r="D2173" s="7" t="n">
        <v>74</v>
      </c>
      <c r="E2173" s="7" t="n">
        <v>88</v>
      </c>
      <c r="F2173" s="3" t="n">
        <f aca="false">COUNTIFS($B$2:$B$2705,B2173,$C$2:$C$2705,C2173)</f>
        <v>1</v>
      </c>
      <c r="G2173" s="3" t="n">
        <f aca="false">MIN(INT((MIN(B2173,2020)-1900)/10)+1,12)</f>
        <v>11</v>
      </c>
      <c r="H2173" s="3" t="n">
        <f aca="false">(MIN(B2173,2020)-1900-10*(G2173-1))/10</f>
        <v>0.8</v>
      </c>
      <c r="I2173" s="20" t="n">
        <f aca="false">EXP(LN(INDEX(Pop_Inputs!$B$2:$N$29,MATCH(C2173,Pop_Inputs!$A$2:$A$29,0),G2173))*(1-H2173)+LN(INDEX(Pop_Inputs!$B$2:$N$29,MATCH(C2173,Pop_Inputs!$A$2:$A$29,0),G2173+1))*H2173)</f>
        <v>303514.069637133</v>
      </c>
      <c r="J2173" s="20" t="n">
        <f aca="false">I2173/F2173</f>
        <v>303514.069637133</v>
      </c>
      <c r="K2173" s="21" t="n">
        <f aca="false">D2173/(D2173+E2173)</f>
        <v>0.45679012345679</v>
      </c>
      <c r="L2173" s="21" t="n">
        <f aca="false">AVERAGEIFS($K$2:$K$2705,$B$2:$B$2705,B2173)</f>
        <v>0.499964434960434</v>
      </c>
      <c r="M2173" s="21" t="n">
        <f aca="false">K2173-L2173</f>
        <v>-0.0431743115036438</v>
      </c>
      <c r="N2173" s="21" t="n">
        <f aca="false">LN(J2173)</f>
        <v>12.6231832463549</v>
      </c>
      <c r="O2173" s="21" t="n">
        <f aca="false">AVERAGEIFS($N$2:$N$2705,$B$2:$B$2705,B2173)</f>
        <v>13.6181656321195</v>
      </c>
      <c r="P2173" s="21" t="n">
        <f aca="false">N2173-O2173</f>
        <v>-0.994982385764617</v>
      </c>
      <c r="Q2173" s="7" t="n">
        <v>0</v>
      </c>
      <c r="R2173" s="3" t="n">
        <f aca="false">IF(AND(Q2173=1,B2173-_xlfn.MINIFS($B$2:$B$2705,$A$2:$A$2705,A2173)&lt;10),1,0)</f>
        <v>0</v>
      </c>
      <c r="S2173" s="7" t="n">
        <v>0</v>
      </c>
      <c r="T2173" s="3" t="n">
        <f aca="false">_xlfn.MINIFS($B$2:$B$2705,$A$2:$A$2705,A2173)</f>
        <v>1901</v>
      </c>
      <c r="U2173" s="3" t="n">
        <f aca="false">B2173-T2173</f>
        <v>107</v>
      </c>
      <c r="V2173" s="3" t="str">
        <f aca="false">INDEX(Pop_Inputs!$Q$2:$Q$29,MATCH(C2173,Pop_Inputs!$A$2:$A$29,0))</f>
        <v>Midwest</v>
      </c>
      <c r="W2173" s="29" t="n">
        <v>74117695</v>
      </c>
      <c r="X2173" s="3" t="n">
        <f aca="false">IF(W2173="","",LN(W2173))</f>
        <v>18.1211648606788</v>
      </c>
      <c r="Y2173" s="3" t="n">
        <f aca="false">IF(X2173="","",X2173-AVERAGEIFS($X$2:$X$2705,$B$2:$B$2705,B2173))</f>
        <v>-0.099142397723071</v>
      </c>
      <c r="Z2173" s="21" t="n">
        <f aca="false">P2173</f>
        <v>-0.994982385764617</v>
      </c>
      <c r="AA2173" s="3" t="n">
        <f aca="false">R2173</f>
        <v>0</v>
      </c>
      <c r="AB2173" s="21" t="n">
        <f aca="false">P2173</f>
        <v>-0.994982385764617</v>
      </c>
      <c r="AC2173" s="3" t="n">
        <f aca="false">Y2173</f>
        <v>-0.099142397723071</v>
      </c>
      <c r="AD2173" s="3" t="n">
        <f aca="false">R2173</f>
        <v>0</v>
      </c>
    </row>
    <row r="2174" customFormat="false" ht="15" hidden="false" customHeight="true" outlineLevel="0" collapsed="false">
      <c r="A2174" s="7" t="s">
        <v>66</v>
      </c>
      <c r="B2174" s="7" t="n">
        <v>2008</v>
      </c>
      <c r="C2174" s="7" t="s">
        <v>151</v>
      </c>
      <c r="D2174" s="7" t="n">
        <v>81</v>
      </c>
      <c r="E2174" s="7" t="n">
        <v>81</v>
      </c>
      <c r="F2174" s="3" t="n">
        <f aca="false">COUNTIFS($B$2:$B$2705,B2174,$C$2:$C$2705,C2174)</f>
        <v>1</v>
      </c>
      <c r="G2174" s="3" t="n">
        <f aca="false">MIN(INT((MIN(B2174,2020)-1900)/10)+1,12)</f>
        <v>11</v>
      </c>
      <c r="H2174" s="3" t="n">
        <f aca="false">(MIN(B2174,2020)-1900-10*(G2174-1))/10</f>
        <v>0.8</v>
      </c>
      <c r="I2174" s="20" t="n">
        <f aca="false">EXP(LN(INDEX(Pop_Inputs!$B$2:$N$29,MATCH(C2174,Pop_Inputs!$A$2:$A$29,0),G2174))*(1-H2174)+LN(INDEX(Pop_Inputs!$B$2:$N$29,MATCH(C2174,Pop_Inputs!$A$2:$A$29,0),G2174+1))*H2174)</f>
        <v>411935.521709294</v>
      </c>
      <c r="J2174" s="20" t="n">
        <f aca="false">I2174/F2174</f>
        <v>411935.521709294</v>
      </c>
      <c r="K2174" s="21" t="n">
        <f aca="false">D2174/(D2174+E2174)</f>
        <v>0.5</v>
      </c>
      <c r="L2174" s="21" t="n">
        <f aca="false">AVERAGEIFS($K$2:$K$2705,$B$2:$B$2705,B2174)</f>
        <v>0.499964434960434</v>
      </c>
      <c r="M2174" s="21" t="n">
        <f aca="false">K2174-L2174</f>
        <v>3.55650395660878E-005</v>
      </c>
      <c r="N2174" s="21" t="n">
        <f aca="false">LN(J2174)</f>
        <v>12.9286221153786</v>
      </c>
      <c r="O2174" s="21" t="n">
        <f aca="false">AVERAGEIFS($N$2:$N$2705,$B$2:$B$2705,B2174)</f>
        <v>13.6181656321195</v>
      </c>
      <c r="P2174" s="21" t="n">
        <f aca="false">N2174-O2174</f>
        <v>-0.689543516740976</v>
      </c>
      <c r="Q2174" s="7" t="n">
        <v>0</v>
      </c>
      <c r="R2174" s="3" t="n">
        <f aca="false">IF(AND(Q2174=1,B2174-_xlfn.MINIFS($B$2:$B$2705,$A$2:$A$2705,A2174)&lt;10),1,0)</f>
        <v>0</v>
      </c>
      <c r="S2174" s="7" t="n">
        <v>0</v>
      </c>
      <c r="T2174" s="3" t="n">
        <f aca="false">_xlfn.MINIFS($B$2:$B$2705,$A$2:$A$2705,A2174)</f>
        <v>1901</v>
      </c>
      <c r="U2174" s="3" t="n">
        <f aca="false">B2174-T2174</f>
        <v>107</v>
      </c>
      <c r="V2174" s="3" t="str">
        <f aca="false">INDEX(Pop_Inputs!$Q$2:$Q$29,MATCH(C2174,Pop_Inputs!$A$2:$A$29,0))</f>
        <v>Midwest</v>
      </c>
      <c r="W2174" s="29" t="n">
        <v>78970066</v>
      </c>
      <c r="X2174" s="3" t="n">
        <f aca="false">IF(W2174="","",LN(W2174))</f>
        <v>18.1845794272338</v>
      </c>
      <c r="Y2174" s="3" t="n">
        <f aca="false">IF(X2174="","",X2174-AVERAGEIFS($X$2:$X$2705,$B$2:$B$2705,B2174))</f>
        <v>-0.0357278311680105</v>
      </c>
      <c r="Z2174" s="21" t="n">
        <f aca="false">P2174</f>
        <v>-0.689543516740976</v>
      </c>
      <c r="AA2174" s="3" t="n">
        <f aca="false">R2174</f>
        <v>0</v>
      </c>
      <c r="AB2174" s="21" t="n">
        <f aca="false">P2174</f>
        <v>-0.689543516740976</v>
      </c>
      <c r="AC2174" s="3" t="n">
        <f aca="false">Y2174</f>
        <v>-0.0357278311680105</v>
      </c>
      <c r="AD2174" s="3" t="n">
        <f aca="false">R2174</f>
        <v>0</v>
      </c>
    </row>
    <row r="2175" customFormat="false" ht="15" hidden="false" customHeight="true" outlineLevel="0" collapsed="false">
      <c r="A2175" s="7" t="s">
        <v>82</v>
      </c>
      <c r="B2175" s="7" t="n">
        <v>2008</v>
      </c>
      <c r="C2175" s="7" t="s">
        <v>163</v>
      </c>
      <c r="D2175" s="7" t="n">
        <v>74</v>
      </c>
      <c r="E2175" s="7" t="n">
        <v>88</v>
      </c>
      <c r="F2175" s="3" t="n">
        <f aca="false">COUNTIFS($B$2:$B$2705,B2175,$C$2:$C$2705,C2175)</f>
        <v>1</v>
      </c>
      <c r="G2175" s="3" t="n">
        <f aca="false">MIN(INT((MIN(B2175,2020)-1900)/10)+1,12)</f>
        <v>11</v>
      </c>
      <c r="H2175" s="3" t="n">
        <f aca="false">(MIN(B2175,2020)-1900-10*(G2175-1))/10</f>
        <v>0.8</v>
      </c>
      <c r="I2175" s="20" t="n">
        <f aca="false">EXP(LN(INDEX(Pop_Inputs!$B$2:$N$29,MATCH(C2175,Pop_Inputs!$A$2:$A$29,0),G2175))*(1-H2175)+LN(INDEX(Pop_Inputs!$B$2:$N$29,MATCH(C2175,Pop_Inputs!$A$2:$A$29,0),G2175+1))*H2175)</f>
        <v>590764.092854501</v>
      </c>
      <c r="J2175" s="20" t="n">
        <f aca="false">I2175/F2175</f>
        <v>590764.092854501</v>
      </c>
      <c r="K2175" s="21" t="n">
        <f aca="false">D2175/(D2175+E2175)</f>
        <v>0.45679012345679</v>
      </c>
      <c r="L2175" s="21" t="n">
        <f aca="false">AVERAGEIFS($K$2:$K$2705,$B$2:$B$2705,B2175)</f>
        <v>0.499964434960434</v>
      </c>
      <c r="M2175" s="21" t="n">
        <f aca="false">K2175-L2175</f>
        <v>-0.0431743115036438</v>
      </c>
      <c r="N2175" s="21" t="n">
        <f aca="false">LN(J2175)</f>
        <v>13.2891720506334</v>
      </c>
      <c r="O2175" s="21" t="n">
        <f aca="false">AVERAGEIFS($N$2:$N$2705,$B$2:$B$2705,B2175)</f>
        <v>13.6181656321195</v>
      </c>
      <c r="P2175" s="21" t="n">
        <f aca="false">N2175-O2175</f>
        <v>-0.32899358148611</v>
      </c>
      <c r="Q2175" s="7" t="n">
        <v>1</v>
      </c>
      <c r="R2175" s="3" t="n">
        <f aca="false">IF(AND(Q2175=1,B2175-_xlfn.MINIFS($B$2:$B$2705,$A$2:$A$2705,A2175)&lt;10),1,0)</f>
        <v>0</v>
      </c>
      <c r="S2175" s="7" t="n">
        <v>0</v>
      </c>
      <c r="T2175" s="3" t="n">
        <f aca="false">_xlfn.MINIFS($B$2:$B$2705,$A$2:$A$2705,A2175)</f>
        <v>1993</v>
      </c>
      <c r="U2175" s="3" t="n">
        <f aca="false">B2175-T2175</f>
        <v>15</v>
      </c>
      <c r="V2175" s="3" t="str">
        <f aca="false">INDEX(Pop_Inputs!$Q$2:$Q$29,MATCH(C2175,Pop_Inputs!$A$2:$A$29,0))</f>
        <v>West</v>
      </c>
      <c r="W2175" s="29" t="n">
        <v>68655500</v>
      </c>
      <c r="X2175" s="3" t="n">
        <f aca="false">IF(W2175="","",LN(W2175))</f>
        <v>18.0446118035022</v>
      </c>
      <c r="Y2175" s="3" t="n">
        <f aca="false">IF(X2175="","",X2175-AVERAGEIFS($X$2:$X$2705,$B$2:$B$2705,B2175))</f>
        <v>-0.175695454899603</v>
      </c>
      <c r="Z2175" s="21" t="n">
        <f aca="false">P2175</f>
        <v>-0.32899358148611</v>
      </c>
      <c r="AA2175" s="3" t="n">
        <f aca="false">R2175</f>
        <v>0</v>
      </c>
      <c r="AB2175" s="21" t="n">
        <f aca="false">P2175</f>
        <v>-0.32899358148611</v>
      </c>
      <c r="AC2175" s="3" t="n">
        <f aca="false">Y2175</f>
        <v>-0.175695454899603</v>
      </c>
      <c r="AD2175" s="3" t="n">
        <f aca="false">R2175</f>
        <v>0</v>
      </c>
    </row>
    <row r="2176" customFormat="false" ht="15" hidden="false" customHeight="true" outlineLevel="0" collapsed="false">
      <c r="A2176" s="7" t="s">
        <v>67</v>
      </c>
      <c r="B2176" s="7" t="n">
        <v>2008</v>
      </c>
      <c r="C2176" s="7" t="s">
        <v>152</v>
      </c>
      <c r="D2176" s="7" t="n">
        <v>74</v>
      </c>
      <c r="E2176" s="7" t="n">
        <v>88</v>
      </c>
      <c r="F2176" s="3" t="n">
        <f aca="false">COUNTIFS($B$2:$B$2705,B2176,$C$2:$C$2705,C2176)</f>
        <v>1</v>
      </c>
      <c r="G2176" s="3" t="n">
        <f aca="false">MIN(INT((MIN(B2176,2020)-1900)/10)+1,12)</f>
        <v>11</v>
      </c>
      <c r="H2176" s="3" t="n">
        <f aca="false">(MIN(B2176,2020)-1900-10*(G2176-1))/10</f>
        <v>0.8</v>
      </c>
      <c r="I2176" s="20" t="n">
        <f aca="false">EXP(LN(INDEX(Pop_Inputs!$B$2:$N$29,MATCH(C2176,Pop_Inputs!$A$2:$A$29,0),G2176))*(1-H2176)+LN(INDEX(Pop_Inputs!$B$2:$N$29,MATCH(C2176,Pop_Inputs!$A$2:$A$29,0),G2176+1))*H2176)</f>
        <v>755980.859460608</v>
      </c>
      <c r="J2176" s="20" t="n">
        <f aca="false">I2176/F2176</f>
        <v>755980.859460608</v>
      </c>
      <c r="K2176" s="21" t="n">
        <f aca="false">D2176/(D2176+E2176)</f>
        <v>0.45679012345679</v>
      </c>
      <c r="L2176" s="21" t="n">
        <f aca="false">AVERAGEIFS($K$2:$K$2705,$B$2:$B$2705,B2176)</f>
        <v>0.499964434960434</v>
      </c>
      <c r="M2176" s="21" t="n">
        <f aca="false">K2176-L2176</f>
        <v>-0.0431743115036438</v>
      </c>
      <c r="N2176" s="21" t="n">
        <f aca="false">LN(J2176)</f>
        <v>13.5357713366674</v>
      </c>
      <c r="O2176" s="21" t="n">
        <f aca="false">AVERAGEIFS($N$2:$N$2705,$B$2:$B$2705,B2176)</f>
        <v>13.6181656321195</v>
      </c>
      <c r="P2176" s="21" t="n">
        <f aca="false">N2176-O2176</f>
        <v>-0.0823942954521684</v>
      </c>
      <c r="Q2176" s="7" t="n">
        <v>0</v>
      </c>
      <c r="R2176" s="3" t="n">
        <f aca="false">IF(AND(Q2176=1,B2176-_xlfn.MINIFS($B$2:$B$2705,$A$2:$A$2705,A2176)&lt;10),1,0)</f>
        <v>0</v>
      </c>
      <c r="S2176" s="7" t="n">
        <v>0</v>
      </c>
      <c r="T2176" s="3" t="n">
        <f aca="false">_xlfn.MINIFS($B$2:$B$2705,$A$2:$A$2705,A2176)</f>
        <v>1901</v>
      </c>
      <c r="U2176" s="3" t="n">
        <f aca="false">B2176-T2176</f>
        <v>107</v>
      </c>
      <c r="V2176" s="3" t="str">
        <f aca="false">INDEX(Pop_Inputs!$Q$2:$Q$29,MATCH(C2176,Pop_Inputs!$A$2:$A$29,0))</f>
        <v>Midwest</v>
      </c>
      <c r="W2176" s="29" t="n">
        <v>137685196</v>
      </c>
      <c r="X2176" s="3" t="n">
        <f aca="false">IF(W2176="","",LN(W2176))</f>
        <v>18.7404804488417</v>
      </c>
      <c r="Y2176" s="3" t="n">
        <f aca="false">IF(X2176="","",X2176-AVERAGEIFS($X$2:$X$2705,$B$2:$B$2705,B2176))</f>
        <v>0.520173190439824</v>
      </c>
      <c r="Z2176" s="21" t="n">
        <f aca="false">P2176</f>
        <v>-0.0823942954521684</v>
      </c>
      <c r="AA2176" s="3" t="n">
        <f aca="false">R2176</f>
        <v>0</v>
      </c>
      <c r="AB2176" s="21" t="n">
        <f aca="false">P2176</f>
        <v>-0.0823942954521684</v>
      </c>
      <c r="AC2176" s="3" t="n">
        <f aca="false">Y2176</f>
        <v>0.520173190439824</v>
      </c>
      <c r="AD2176" s="3" t="n">
        <f aca="false">R2176</f>
        <v>0</v>
      </c>
    </row>
    <row r="2177" customFormat="false" ht="15" hidden="false" customHeight="true" outlineLevel="0" collapsed="false">
      <c r="A2177" s="7" t="s">
        <v>83</v>
      </c>
      <c r="B2177" s="7" t="n">
        <v>2008</v>
      </c>
      <c r="C2177" s="7" t="s">
        <v>164</v>
      </c>
      <c r="D2177" s="7" t="n">
        <v>84</v>
      </c>
      <c r="E2177" s="7" t="n">
        <v>77</v>
      </c>
      <c r="F2177" s="3" t="n">
        <f aca="false">COUNTIFS($B$2:$B$2705,B2177,$C$2:$C$2705,C2177)</f>
        <v>1</v>
      </c>
      <c r="G2177" s="3" t="n">
        <f aca="false">MIN(INT((MIN(B2177,2020)-1900)/10)+1,12)</f>
        <v>11</v>
      </c>
      <c r="H2177" s="3" t="n">
        <f aca="false">(MIN(B2177,2020)-1900-10*(G2177-1))/10</f>
        <v>0.8</v>
      </c>
      <c r="I2177" s="20" t="n">
        <f aca="false">EXP(LN(INDEX(Pop_Inputs!$B$2:$N$29,MATCH(C2177,Pop_Inputs!$A$2:$A$29,0),G2177))*(1-H2177)+LN(INDEX(Pop_Inputs!$B$2:$N$29,MATCH(C2177,Pop_Inputs!$A$2:$A$29,0),G2177+1))*H2177)</f>
        <v>391769.337692045</v>
      </c>
      <c r="J2177" s="20" t="n">
        <f aca="false">I2177/F2177</f>
        <v>391769.337692045</v>
      </c>
      <c r="K2177" s="21" t="n">
        <f aca="false">D2177/(D2177+E2177)</f>
        <v>0.521739130434783</v>
      </c>
      <c r="L2177" s="21" t="n">
        <f aca="false">AVERAGEIFS($K$2:$K$2705,$B$2:$B$2705,B2177)</f>
        <v>0.499964434960434</v>
      </c>
      <c r="M2177" s="21" t="n">
        <f aca="false">K2177-L2177</f>
        <v>0.0217746954743487</v>
      </c>
      <c r="N2177" s="21" t="n">
        <f aca="false">LN(J2177)</f>
        <v>12.8784285213281</v>
      </c>
      <c r="O2177" s="21" t="n">
        <f aca="false">AVERAGEIFS($N$2:$N$2705,$B$2:$B$2705,B2177)</f>
        <v>13.6181656321195</v>
      </c>
      <c r="P2177" s="21" t="n">
        <f aca="false">N2177-O2177</f>
        <v>-0.739737110791412</v>
      </c>
      <c r="Q2177" s="7" t="n">
        <v>1</v>
      </c>
      <c r="R2177" s="3" t="n">
        <f aca="false">IF(AND(Q2177=1,B2177-_xlfn.MINIFS($B$2:$B$2705,$A$2:$A$2705,A2177)&lt;10),1,0)</f>
        <v>0</v>
      </c>
      <c r="S2177" s="7" t="n">
        <v>0</v>
      </c>
      <c r="T2177" s="3" t="n">
        <f aca="false">_xlfn.MINIFS($B$2:$B$2705,$A$2:$A$2705,A2177)</f>
        <v>1993</v>
      </c>
      <c r="U2177" s="3" t="n">
        <f aca="false">B2177-T2177</f>
        <v>15</v>
      </c>
      <c r="V2177" s="3" t="str">
        <f aca="false">INDEX(Pop_Inputs!$Q$2:$Q$29,MATCH(C2177,Pop_Inputs!$A$2:$A$29,0))</f>
        <v>South</v>
      </c>
      <c r="W2177" s="29" t="n">
        <v>21811500</v>
      </c>
      <c r="X2177" s="3" t="n">
        <f aca="false">IF(W2177="","",LN(W2177))</f>
        <v>16.8979479116038</v>
      </c>
      <c r="Y2177" s="3" t="n">
        <f aca="false">IF(X2177="","",X2177-AVERAGEIFS($X$2:$X$2705,$B$2:$B$2705,B2177))</f>
        <v>-1.32235934679805</v>
      </c>
      <c r="Z2177" s="21" t="n">
        <f aca="false">P2177</f>
        <v>-0.739737110791412</v>
      </c>
      <c r="AA2177" s="3" t="n">
        <f aca="false">R2177</f>
        <v>0</v>
      </c>
      <c r="AB2177" s="21" t="n">
        <f aca="false">P2177</f>
        <v>-0.739737110791412</v>
      </c>
      <c r="AC2177" s="3" t="n">
        <f aca="false">Y2177</f>
        <v>-1.32235934679805</v>
      </c>
      <c r="AD2177" s="3" t="n">
        <f aca="false">R2177</f>
        <v>0</v>
      </c>
    </row>
    <row r="2178" customFormat="false" ht="15" hidden="false" customHeight="true" outlineLevel="0" collapsed="false">
      <c r="A2178" s="7" t="s">
        <v>74</v>
      </c>
      <c r="B2178" s="7" t="n">
        <v>2008</v>
      </c>
      <c r="C2178" s="7" t="s">
        <v>156</v>
      </c>
      <c r="D2178" s="7" t="n">
        <v>86</v>
      </c>
      <c r="E2178" s="7" t="n">
        <v>75</v>
      </c>
      <c r="F2178" s="3" t="n">
        <f aca="false">COUNTIFS($B$2:$B$2705,B2178,$C$2:$C$2705,C2178)</f>
        <v>1</v>
      </c>
      <c r="G2178" s="3" t="n">
        <f aca="false">MIN(INT((MIN(B2178,2020)-1900)/10)+1,12)</f>
        <v>11</v>
      </c>
      <c r="H2178" s="3" t="n">
        <f aca="false">(MIN(B2178,2020)-1900-10*(G2178-1))/10</f>
        <v>0.8</v>
      </c>
      <c r="I2178" s="20" t="n">
        <f aca="false">EXP(LN(INDEX(Pop_Inputs!$B$2:$N$29,MATCH(C2178,Pop_Inputs!$A$2:$A$29,0),G2178))*(1-H2178)+LN(INDEX(Pop_Inputs!$B$2:$N$29,MATCH(C2178,Pop_Inputs!$A$2:$A$29,0),G2178+1))*H2178)</f>
        <v>2069441.25156747</v>
      </c>
      <c r="J2178" s="20" t="n">
        <f aca="false">I2178/F2178</f>
        <v>2069441.25156747</v>
      </c>
      <c r="K2178" s="21" t="n">
        <f aca="false">D2178/(D2178+E2178)</f>
        <v>0.53416149068323</v>
      </c>
      <c r="L2178" s="21" t="n">
        <f aca="false">AVERAGEIFS($K$2:$K$2705,$B$2:$B$2705,B2178)</f>
        <v>0.499964434960434</v>
      </c>
      <c r="M2178" s="21" t="n">
        <f aca="false">K2178-L2178</f>
        <v>0.0341970557227959</v>
      </c>
      <c r="N2178" s="21" t="n">
        <f aca="false">LN(J2178)</f>
        <v>14.5427892020258</v>
      </c>
      <c r="O2178" s="21" t="n">
        <f aca="false">AVERAGEIFS($N$2:$N$2705,$B$2:$B$2705,B2178)</f>
        <v>13.6181656321195</v>
      </c>
      <c r="P2178" s="21" t="n">
        <f aca="false">N2178-O2178</f>
        <v>0.924623569906233</v>
      </c>
      <c r="Q2178" s="7" t="n">
        <v>1</v>
      </c>
      <c r="R2178" s="3" t="n">
        <f aca="false">IF(AND(Q2178=1,B2178-_xlfn.MINIFS($B$2:$B$2705,$A$2:$A$2705,A2178)&lt;10),1,0)</f>
        <v>0</v>
      </c>
      <c r="S2178" s="7" t="n">
        <v>0</v>
      </c>
      <c r="T2178" s="3" t="n">
        <f aca="false">_xlfn.MINIFS($B$2:$B$2705,$A$2:$A$2705,A2178)</f>
        <v>1962</v>
      </c>
      <c r="U2178" s="3" t="n">
        <f aca="false">B2178-T2178</f>
        <v>46</v>
      </c>
      <c r="V2178" s="3" t="str">
        <f aca="false">INDEX(Pop_Inputs!$Q$2:$Q$29,MATCH(C2178,Pop_Inputs!$A$2:$A$29,0))</f>
        <v>South</v>
      </c>
      <c r="W2178" s="29" t="n">
        <v>88930414</v>
      </c>
      <c r="X2178" s="3" t="n">
        <f aca="false">IF(W2178="","",LN(W2178))</f>
        <v>18.3033647567119</v>
      </c>
      <c r="Y2178" s="3" t="n">
        <f aca="false">IF(X2178="","",X2178-AVERAGEIFS($X$2:$X$2705,$B$2:$B$2705,B2178))</f>
        <v>0.0830574983100512</v>
      </c>
      <c r="Z2178" s="21" t="n">
        <f aca="false">P2178</f>
        <v>0.924623569906233</v>
      </c>
      <c r="AA2178" s="3" t="n">
        <f aca="false">R2178</f>
        <v>0</v>
      </c>
      <c r="AB2178" s="21" t="n">
        <f aca="false">P2178</f>
        <v>0.924623569906233</v>
      </c>
      <c r="AC2178" s="3" t="n">
        <f aca="false">Y2178</f>
        <v>0.0830574983100512</v>
      </c>
      <c r="AD2178" s="3" t="n">
        <f aca="false">R2178</f>
        <v>0</v>
      </c>
    </row>
    <row r="2179" customFormat="false" ht="15" hidden="false" customHeight="true" outlineLevel="0" collapsed="false">
      <c r="A2179" s="7" t="s">
        <v>76</v>
      </c>
      <c r="B2179" s="7" t="n">
        <v>2008</v>
      </c>
      <c r="C2179" s="7" t="s">
        <v>157</v>
      </c>
      <c r="D2179" s="7" t="n">
        <v>75</v>
      </c>
      <c r="E2179" s="7" t="n">
        <v>87</v>
      </c>
      <c r="F2179" s="3" t="n">
        <f aca="false">COUNTIFS($B$2:$B$2705,B2179,$C$2:$C$2705,C2179)</f>
        <v>1</v>
      </c>
      <c r="G2179" s="3" t="n">
        <f aca="false">MIN(INT((MIN(B2179,2020)-1900)/10)+1,12)</f>
        <v>11</v>
      </c>
      <c r="H2179" s="3" t="n">
        <f aca="false">(MIN(B2179,2020)-1900-10*(G2179-1))/10</f>
        <v>0.8</v>
      </c>
      <c r="I2179" s="20" t="n">
        <f aca="false">EXP(LN(INDEX(Pop_Inputs!$B$2:$N$29,MATCH(C2179,Pop_Inputs!$A$2:$A$29,0),G2179))*(1-H2179)+LN(INDEX(Pop_Inputs!$B$2:$N$29,MATCH(C2179,Pop_Inputs!$A$2:$A$29,0),G2179+1))*H2179)</f>
        <v>456079.282272645</v>
      </c>
      <c r="J2179" s="20" t="n">
        <f aca="false">I2179/F2179</f>
        <v>456079.282272645</v>
      </c>
      <c r="K2179" s="21" t="n">
        <f aca="false">D2179/(D2179+E2179)</f>
        <v>0.462962962962963</v>
      </c>
      <c r="L2179" s="21" t="n">
        <f aca="false">AVERAGEIFS($K$2:$K$2705,$B$2:$B$2705,B2179)</f>
        <v>0.499964434960434</v>
      </c>
      <c r="M2179" s="21" t="n">
        <f aca="false">K2179-L2179</f>
        <v>-0.037001471997471</v>
      </c>
      <c r="N2179" s="21" t="n">
        <f aca="false">LN(J2179)</f>
        <v>13.0304219380168</v>
      </c>
      <c r="O2179" s="21" t="n">
        <f aca="false">AVERAGEIFS($N$2:$N$2705,$B$2:$B$2705,B2179)</f>
        <v>13.6181656321195</v>
      </c>
      <c r="P2179" s="21" t="n">
        <f aca="false">N2179-O2179</f>
        <v>-0.587743694102716</v>
      </c>
      <c r="Q2179" s="7" t="n">
        <v>1</v>
      </c>
      <c r="R2179" s="3" t="n">
        <f aca="false">IF(AND(Q2179=1,B2179-_xlfn.MINIFS($B$2:$B$2705,$A$2:$A$2705,A2179)&lt;10),1,0)</f>
        <v>0</v>
      </c>
      <c r="S2179" s="7" t="n">
        <v>0</v>
      </c>
      <c r="T2179" s="3" t="n">
        <f aca="false">_xlfn.MINIFS($B$2:$B$2705,$A$2:$A$2705,A2179)</f>
        <v>1969</v>
      </c>
      <c r="U2179" s="3" t="n">
        <f aca="false">B2179-T2179</f>
        <v>39</v>
      </c>
      <c r="V2179" s="3" t="str">
        <f aca="false">INDEX(Pop_Inputs!$Q$2:$Q$29,MATCH(C2179,Pop_Inputs!$A$2:$A$29,0))</f>
        <v>Midwest</v>
      </c>
      <c r="W2179" s="29" t="n">
        <v>58245500</v>
      </c>
      <c r="X2179" s="3" t="n">
        <f aca="false">IF(W2179="","",LN(W2179))</f>
        <v>17.880177394207</v>
      </c>
      <c r="Y2179" s="3" t="n">
        <f aca="false">IF(X2179="","",X2179-AVERAGEIFS($X$2:$X$2705,$B$2:$B$2705,B2179))</f>
        <v>-0.340129864194822</v>
      </c>
      <c r="Z2179" s="21" t="n">
        <f aca="false">P2179</f>
        <v>-0.587743694102716</v>
      </c>
      <c r="AA2179" s="3" t="n">
        <f aca="false">R2179</f>
        <v>0</v>
      </c>
      <c r="AB2179" s="21" t="n">
        <f aca="false">P2179</f>
        <v>-0.587743694102716</v>
      </c>
      <c r="AC2179" s="3" t="n">
        <f aca="false">Y2179</f>
        <v>-0.340129864194822</v>
      </c>
      <c r="AD2179" s="3" t="n">
        <f aca="false">R2179</f>
        <v>0</v>
      </c>
    </row>
    <row r="2180" customFormat="false" ht="15" hidden="false" customHeight="true" outlineLevel="0" collapsed="false">
      <c r="A2180" s="7" t="s">
        <v>62</v>
      </c>
      <c r="B2180" s="7" t="n">
        <v>2008</v>
      </c>
      <c r="C2180" s="7" t="s">
        <v>148</v>
      </c>
      <c r="D2180" s="7" t="n">
        <v>84</v>
      </c>
      <c r="E2180" s="7" t="n">
        <v>78</v>
      </c>
      <c r="F2180" s="3" t="n">
        <f aca="false">COUNTIFS($B$2:$B$2705,B2180,$C$2:$C$2705,C2180)</f>
        <v>2</v>
      </c>
      <c r="G2180" s="3" t="n">
        <f aca="false">MIN(INT((MIN(B2180,2020)-1900)/10)+1,12)</f>
        <v>11</v>
      </c>
      <c r="H2180" s="3" t="n">
        <f aca="false">(MIN(B2180,2020)-1900-10*(G2180-1))/10</f>
        <v>0.8</v>
      </c>
      <c r="I2180" s="20" t="n">
        <f aca="false">EXP(LN(INDEX(Pop_Inputs!$B$2:$N$29,MATCH(C2180,Pop_Inputs!$A$2:$A$29,0),G2180))*(1-H2180)+LN(INDEX(Pop_Inputs!$B$2:$N$29,MATCH(C2180,Pop_Inputs!$A$2:$A$29,0),G2180+1))*H2180)</f>
        <v>3772855.85985618</v>
      </c>
      <c r="J2180" s="20" t="n">
        <f aca="false">I2180/F2180</f>
        <v>1886427.92992809</v>
      </c>
      <c r="K2180" s="21" t="n">
        <f aca="false">D2180/(D2180+E2180)</f>
        <v>0.518518518518519</v>
      </c>
      <c r="L2180" s="21" t="n">
        <f aca="false">AVERAGEIFS($K$2:$K$2705,$B$2:$B$2705,B2180)</f>
        <v>0.499964434960434</v>
      </c>
      <c r="M2180" s="21" t="n">
        <f aca="false">K2180-L2180</f>
        <v>0.0185540835580846</v>
      </c>
      <c r="N2180" s="21" t="n">
        <f aca="false">LN(J2180)</f>
        <v>14.4501956145972</v>
      </c>
      <c r="O2180" s="21" t="n">
        <f aca="false">AVERAGEIFS($N$2:$N$2705,$B$2:$B$2705,B2180)</f>
        <v>13.6181656321195</v>
      </c>
      <c r="P2180" s="21" t="n">
        <f aca="false">N2180-O2180</f>
        <v>0.83202998247763</v>
      </c>
      <c r="Q2180" s="7" t="n">
        <v>0</v>
      </c>
      <c r="R2180" s="3" t="n">
        <f aca="false">IF(AND(Q2180=1,B2180-_xlfn.MINIFS($B$2:$B$2705,$A$2:$A$2705,A2180)&lt;10),1,0)</f>
        <v>0</v>
      </c>
      <c r="S2180" s="7" t="n">
        <v>0</v>
      </c>
      <c r="T2180" s="3" t="n">
        <f aca="false">_xlfn.MINIFS($B$2:$B$2705,$A$2:$A$2705,A2180)</f>
        <v>1901</v>
      </c>
      <c r="U2180" s="3" t="n">
        <f aca="false">B2180-T2180</f>
        <v>107</v>
      </c>
      <c r="V2180" s="3" t="str">
        <f aca="false">INDEX(Pop_Inputs!$Q$2:$Q$29,MATCH(C2180,Pop_Inputs!$A$2:$A$29,0))</f>
        <v>West</v>
      </c>
      <c r="W2180" s="29" t="n">
        <v>118588536</v>
      </c>
      <c r="X2180" s="3" t="n">
        <f aca="false">IF(W2180="","",LN(W2180))</f>
        <v>18.5911703788104</v>
      </c>
      <c r="Y2180" s="3" t="n">
        <f aca="false">IF(X2180="","",X2180-AVERAGEIFS($X$2:$X$2705,$B$2:$B$2705,B2180))</f>
        <v>0.370863120408551</v>
      </c>
      <c r="Z2180" s="21" t="n">
        <f aca="false">P2180</f>
        <v>0.83202998247763</v>
      </c>
      <c r="AA2180" s="3" t="n">
        <f aca="false">R2180</f>
        <v>0</v>
      </c>
      <c r="AB2180" s="21" t="n">
        <f aca="false">P2180</f>
        <v>0.83202998247763</v>
      </c>
      <c r="AC2180" s="3" t="n">
        <f aca="false">Y2180</f>
        <v>0.370863120408551</v>
      </c>
      <c r="AD2180" s="3" t="n">
        <f aca="false">R2180</f>
        <v>0</v>
      </c>
    </row>
    <row r="2181" customFormat="false" ht="15" hidden="false" customHeight="true" outlineLevel="0" collapsed="false">
      <c r="A2181" s="7" t="s">
        <v>77</v>
      </c>
      <c r="B2181" s="7" t="n">
        <v>2008</v>
      </c>
      <c r="C2181" s="7" t="s">
        <v>158</v>
      </c>
      <c r="D2181" s="7" t="n">
        <v>90</v>
      </c>
      <c r="E2181" s="7" t="n">
        <v>72</v>
      </c>
      <c r="F2181" s="3" t="n">
        <f aca="false">COUNTIFS($B$2:$B$2705,B2181,$C$2:$C$2705,C2181)</f>
        <v>1</v>
      </c>
      <c r="G2181" s="3" t="n">
        <f aca="false">MIN(INT((MIN(B2181,2020)-1900)/10)+1,12)</f>
        <v>11</v>
      </c>
      <c r="H2181" s="3" t="n">
        <f aca="false">(MIN(B2181,2020)-1900-10*(G2181-1))/10</f>
        <v>0.8</v>
      </c>
      <c r="I2181" s="20" t="n">
        <f aca="false">EXP(LN(INDEX(Pop_Inputs!$B$2:$N$29,MATCH(C2181,Pop_Inputs!$A$2:$A$29,0),G2181))*(1-H2181)+LN(INDEX(Pop_Inputs!$B$2:$N$29,MATCH(C2181,Pop_Inputs!$A$2:$A$29,0),G2181+1))*H2181)</f>
        <v>595260.584834865</v>
      </c>
      <c r="J2181" s="20" t="n">
        <f aca="false">I2181/F2181</f>
        <v>595260.584834865</v>
      </c>
      <c r="K2181" s="21" t="n">
        <f aca="false">D2181/(D2181+E2181)</f>
        <v>0.555555555555556</v>
      </c>
      <c r="L2181" s="21" t="n">
        <f aca="false">AVERAGEIFS($K$2:$K$2705,$B$2:$B$2705,B2181)</f>
        <v>0.499964434960434</v>
      </c>
      <c r="M2181" s="21" t="n">
        <f aca="false">K2181-L2181</f>
        <v>0.0555911205951217</v>
      </c>
      <c r="N2181" s="21" t="n">
        <f aca="false">LN(J2181)</f>
        <v>13.2967545463579</v>
      </c>
      <c r="O2181" s="21" t="n">
        <f aca="false">AVERAGEIFS($N$2:$N$2705,$B$2:$B$2705,B2181)</f>
        <v>13.6181656321195</v>
      </c>
      <c r="P2181" s="21" t="n">
        <f aca="false">N2181-O2181</f>
        <v>-0.321411085761591</v>
      </c>
      <c r="Q2181" s="7" t="n">
        <v>1</v>
      </c>
      <c r="R2181" s="3" t="n">
        <f aca="false">IF(AND(Q2181=1,B2181-_xlfn.MINIFS($B$2:$B$2705,$A$2:$A$2705,A2181)&lt;10),1,0)</f>
        <v>0</v>
      </c>
      <c r="S2181" s="7" t="n">
        <v>0</v>
      </c>
      <c r="T2181" s="3" t="n">
        <f aca="false">_xlfn.MINIFS($B$2:$B$2705,$A$2:$A$2705,A2181)</f>
        <v>1969</v>
      </c>
      <c r="U2181" s="3" t="n">
        <f aca="false">B2181-T2181</f>
        <v>39</v>
      </c>
      <c r="V2181" s="3" t="str">
        <f aca="false">INDEX(Pop_Inputs!$Q$2:$Q$29,MATCH(C2181,Pop_Inputs!$A$2:$A$29,0))</f>
        <v>Midwest</v>
      </c>
      <c r="W2181" s="29" t="n">
        <v>80937499</v>
      </c>
      <c r="X2181" s="3" t="n">
        <f aca="false">IF(W2181="","",LN(W2181))</f>
        <v>18.2091877975029</v>
      </c>
      <c r="Y2181" s="3" t="n">
        <f aca="false">IF(X2181="","",X2181-AVERAGEIFS($X$2:$X$2705,$B$2:$B$2705,B2181))</f>
        <v>-0.0111194608989216</v>
      </c>
      <c r="Z2181" s="21" t="n">
        <f aca="false">P2181</f>
        <v>-0.321411085761591</v>
      </c>
      <c r="AA2181" s="3" t="n">
        <f aca="false">R2181</f>
        <v>0</v>
      </c>
      <c r="AB2181" s="21" t="n">
        <f aca="false">P2181</f>
        <v>-0.321411085761591</v>
      </c>
      <c r="AC2181" s="3" t="n">
        <f aca="false">Y2181</f>
        <v>-0.0111194608989216</v>
      </c>
      <c r="AD2181" s="3" t="n">
        <f aca="false">R2181</f>
        <v>0</v>
      </c>
    </row>
    <row r="2182" customFormat="false" ht="15" hidden="false" customHeight="true" outlineLevel="0" collapsed="false">
      <c r="A2182" s="7" t="s">
        <v>68</v>
      </c>
      <c r="B2182" s="7" t="n">
        <v>2008</v>
      </c>
      <c r="C2182" s="7" t="s">
        <v>153</v>
      </c>
      <c r="D2182" s="7" t="n">
        <v>88</v>
      </c>
      <c r="E2182" s="7" t="n">
        <v>75</v>
      </c>
      <c r="F2182" s="3" t="n">
        <f aca="false">COUNTIFS($B$2:$B$2705,B2182,$C$2:$C$2705,C2182)</f>
        <v>1</v>
      </c>
      <c r="G2182" s="3" t="n">
        <f aca="false">MIN(INT((MIN(B2182,2020)-1900)/10)+1,12)</f>
        <v>11</v>
      </c>
      <c r="H2182" s="3" t="n">
        <f aca="false">(MIN(B2182,2020)-1900-10*(G2182-1))/10</f>
        <v>0.8</v>
      </c>
      <c r="I2182" s="20" t="n">
        <f aca="false">EXP(LN(INDEX(Pop_Inputs!$B$2:$N$29,MATCH(C2182,Pop_Inputs!$A$2:$A$29,0),G2182))*(1-H2182)+LN(INDEX(Pop_Inputs!$B$2:$N$29,MATCH(C2182,Pop_Inputs!$A$2:$A$29,0),G2182+1))*H2182)</f>
        <v>382585.999665449</v>
      </c>
      <c r="J2182" s="20" t="n">
        <f aca="false">I2182/F2182</f>
        <v>382585.999665449</v>
      </c>
      <c r="K2182" s="21" t="n">
        <f aca="false">D2182/(D2182+E2182)</f>
        <v>0.539877300613497</v>
      </c>
      <c r="L2182" s="21" t="n">
        <f aca="false">AVERAGEIFS($K$2:$K$2705,$B$2:$B$2705,B2182)</f>
        <v>0.499964434960434</v>
      </c>
      <c r="M2182" s="21" t="n">
        <f aca="false">K2182-L2182</f>
        <v>0.039912865653063</v>
      </c>
      <c r="N2182" s="21" t="n">
        <f aca="false">LN(J2182)</f>
        <v>12.8547087427036</v>
      </c>
      <c r="O2182" s="21" t="n">
        <f aca="false">AVERAGEIFS($N$2:$N$2705,$B$2:$B$2705,B2182)</f>
        <v>13.6181656321195</v>
      </c>
      <c r="P2182" s="21" t="n">
        <f aca="false">N2182-O2182</f>
        <v>-0.763456889415902</v>
      </c>
      <c r="Q2182" s="7" t="n">
        <v>0</v>
      </c>
      <c r="R2182" s="3" t="n">
        <f aca="false">IF(AND(Q2182=1,B2182-_xlfn.MINIFS($B$2:$B$2705,$A$2:$A$2705,A2182)&lt;10),1,0)</f>
        <v>0</v>
      </c>
      <c r="S2182" s="7" t="n">
        <v>0</v>
      </c>
      <c r="T2182" s="3" t="n">
        <f aca="false">_xlfn.MINIFS($B$2:$B$2705,$A$2:$A$2705,A2182)</f>
        <v>1901</v>
      </c>
      <c r="U2182" s="3" t="n">
        <f aca="false">B2182-T2182</f>
        <v>107</v>
      </c>
      <c r="V2182" s="3" t="str">
        <f aca="false">INDEX(Pop_Inputs!$Q$2:$Q$29,MATCH(C2182,Pop_Inputs!$A$2:$A$29,0))</f>
        <v>Midwest</v>
      </c>
      <c r="W2182" s="29" t="n">
        <v>56932766</v>
      </c>
      <c r="X2182" s="3" t="n">
        <f aca="false">IF(W2182="","",LN(W2182))</f>
        <v>17.8573815857298</v>
      </c>
      <c r="Y2182" s="3" t="n">
        <f aca="false">IF(X2182="","",X2182-AVERAGEIFS($X$2:$X$2705,$B$2:$B$2705,B2182))</f>
        <v>-0.362925672672048</v>
      </c>
      <c r="Z2182" s="21" t="n">
        <f aca="false">P2182</f>
        <v>-0.763456889415902</v>
      </c>
      <c r="AA2182" s="3" t="n">
        <f aca="false">R2182</f>
        <v>0</v>
      </c>
      <c r="AB2182" s="21" t="n">
        <f aca="false">P2182</f>
        <v>-0.763456889415902</v>
      </c>
      <c r="AC2182" s="3" t="n">
        <f aca="false">Y2182</f>
        <v>-0.362925672672048</v>
      </c>
      <c r="AD2182" s="3" t="n">
        <f aca="false">R2182</f>
        <v>0</v>
      </c>
    </row>
    <row r="2183" customFormat="false" ht="15" hidden="false" customHeight="true" outlineLevel="0" collapsed="false">
      <c r="A2183" s="7" t="s">
        <v>75</v>
      </c>
      <c r="B2183" s="7" t="n">
        <v>2008</v>
      </c>
      <c r="C2183" s="7" t="s">
        <v>154</v>
      </c>
      <c r="D2183" s="7" t="n">
        <v>89</v>
      </c>
      <c r="E2183" s="7" t="n">
        <v>73</v>
      </c>
      <c r="F2183" s="3" t="n">
        <f aca="false">COUNTIFS($B$2:$B$2705,B2183,$C$2:$C$2705,C2183)</f>
        <v>2</v>
      </c>
      <c r="G2183" s="3" t="n">
        <f aca="false">MIN(INT((MIN(B2183,2020)-1900)/10)+1,12)</f>
        <v>11</v>
      </c>
      <c r="H2183" s="3" t="n">
        <f aca="false">(MIN(B2183,2020)-1900-10*(G2183-1))/10</f>
        <v>0.8</v>
      </c>
      <c r="I2183" s="20" t="n">
        <f aca="false">EXP(LN(INDEX(Pop_Inputs!$B$2:$N$29,MATCH(C2183,Pop_Inputs!$A$2:$A$29,0),G2183))*(1-H2183)+LN(INDEX(Pop_Inputs!$B$2:$N$29,MATCH(C2183,Pop_Inputs!$A$2:$A$29,0),G2183+1))*H2183)</f>
        <v>8141486.17353169</v>
      </c>
      <c r="J2183" s="20" t="n">
        <f aca="false">I2183/F2183</f>
        <v>4070743.08676585</v>
      </c>
      <c r="K2183" s="21" t="n">
        <f aca="false">D2183/(D2183+E2183)</f>
        <v>0.549382716049383</v>
      </c>
      <c r="L2183" s="21" t="n">
        <f aca="false">AVERAGEIFS($K$2:$K$2705,$B$2:$B$2705,B2183)</f>
        <v>0.499964434960434</v>
      </c>
      <c r="M2183" s="21" t="n">
        <f aca="false">K2183-L2183</f>
        <v>0.0494182810889488</v>
      </c>
      <c r="N2183" s="21" t="n">
        <f aca="false">LN(J2183)</f>
        <v>15.2193361173546</v>
      </c>
      <c r="O2183" s="21" t="n">
        <f aca="false">AVERAGEIFS($N$2:$N$2705,$B$2:$B$2705,B2183)</f>
        <v>13.6181656321195</v>
      </c>
      <c r="P2183" s="21" t="n">
        <f aca="false">N2183-O2183</f>
        <v>1.60117048523511</v>
      </c>
      <c r="Q2183" s="7" t="n">
        <v>1</v>
      </c>
      <c r="R2183" s="3" t="n">
        <f aca="false">IF(AND(Q2183=1,B2183-_xlfn.MINIFS($B$2:$B$2705,$A$2:$A$2705,A2183)&lt;10),1,0)</f>
        <v>0</v>
      </c>
      <c r="S2183" s="7" t="n">
        <v>0</v>
      </c>
      <c r="T2183" s="3" t="n">
        <f aca="false">_xlfn.MINIFS($B$2:$B$2705,$A$2:$A$2705,A2183)</f>
        <v>1962</v>
      </c>
      <c r="U2183" s="3" t="n">
        <f aca="false">B2183-T2183</f>
        <v>46</v>
      </c>
      <c r="V2183" s="3" t="str">
        <f aca="false">INDEX(Pop_Inputs!$Q$2:$Q$29,MATCH(C2183,Pop_Inputs!$A$2:$A$29,0))</f>
        <v>Northeast</v>
      </c>
      <c r="W2183" s="29" t="n">
        <v>137793376</v>
      </c>
      <c r="X2183" s="3" t="n">
        <f aca="false">IF(W2183="","",LN(W2183))</f>
        <v>18.7412658457223</v>
      </c>
      <c r="Y2183" s="3" t="n">
        <f aca="false">IF(X2183="","",X2183-AVERAGEIFS($X$2:$X$2705,$B$2:$B$2705,B2183))</f>
        <v>0.520958587320429</v>
      </c>
      <c r="Z2183" s="21" t="n">
        <f aca="false">P2183</f>
        <v>1.60117048523511</v>
      </c>
      <c r="AA2183" s="3" t="n">
        <f aca="false">R2183</f>
        <v>0</v>
      </c>
      <c r="AB2183" s="21" t="n">
        <f aca="false">P2183</f>
        <v>1.60117048523511</v>
      </c>
      <c r="AC2183" s="3" t="n">
        <f aca="false">Y2183</f>
        <v>0.520958587320429</v>
      </c>
      <c r="AD2183" s="3" t="n">
        <f aca="false">R2183</f>
        <v>0</v>
      </c>
    </row>
    <row r="2184" customFormat="false" ht="15" hidden="false" customHeight="true" outlineLevel="0" collapsed="false">
      <c r="A2184" s="7" t="s">
        <v>70</v>
      </c>
      <c r="B2184" s="7" t="n">
        <v>2008</v>
      </c>
      <c r="C2184" s="7" t="s">
        <v>154</v>
      </c>
      <c r="D2184" s="7" t="n">
        <v>89</v>
      </c>
      <c r="E2184" s="7" t="n">
        <v>73</v>
      </c>
      <c r="F2184" s="3" t="n">
        <f aca="false">COUNTIFS($B$2:$B$2705,B2184,$C$2:$C$2705,C2184)</f>
        <v>2</v>
      </c>
      <c r="G2184" s="3" t="n">
        <f aca="false">MIN(INT((MIN(B2184,2020)-1900)/10)+1,12)</f>
        <v>11</v>
      </c>
      <c r="H2184" s="3" t="n">
        <f aca="false">(MIN(B2184,2020)-1900-10*(G2184-1))/10</f>
        <v>0.8</v>
      </c>
      <c r="I2184" s="20" t="n">
        <f aca="false">EXP(LN(INDEX(Pop_Inputs!$B$2:$N$29,MATCH(C2184,Pop_Inputs!$A$2:$A$29,0),G2184))*(1-H2184)+LN(INDEX(Pop_Inputs!$B$2:$N$29,MATCH(C2184,Pop_Inputs!$A$2:$A$29,0),G2184+1))*H2184)</f>
        <v>8141486.17353169</v>
      </c>
      <c r="J2184" s="20" t="n">
        <f aca="false">I2184/F2184</f>
        <v>4070743.08676585</v>
      </c>
      <c r="K2184" s="21" t="n">
        <f aca="false">D2184/(D2184+E2184)</f>
        <v>0.549382716049383</v>
      </c>
      <c r="L2184" s="21" t="n">
        <f aca="false">AVERAGEIFS($K$2:$K$2705,$B$2:$B$2705,B2184)</f>
        <v>0.499964434960434</v>
      </c>
      <c r="M2184" s="21" t="n">
        <f aca="false">K2184-L2184</f>
        <v>0.0494182810889488</v>
      </c>
      <c r="N2184" s="21" t="n">
        <f aca="false">LN(J2184)</f>
        <v>15.2193361173546</v>
      </c>
      <c r="O2184" s="21" t="n">
        <f aca="false">AVERAGEIFS($N$2:$N$2705,$B$2:$B$2705,B2184)</f>
        <v>13.6181656321195</v>
      </c>
      <c r="P2184" s="21" t="n">
        <f aca="false">N2184-O2184</f>
        <v>1.60117048523511</v>
      </c>
      <c r="Q2184" s="7" t="n">
        <v>0</v>
      </c>
      <c r="R2184" s="3" t="n">
        <f aca="false">IF(AND(Q2184=1,B2184-_xlfn.MINIFS($B$2:$B$2705,$A$2:$A$2705,A2184)&lt;10),1,0)</f>
        <v>0</v>
      </c>
      <c r="S2184" s="7" t="n">
        <v>1</v>
      </c>
      <c r="T2184" s="3" t="n">
        <f aca="false">_xlfn.MINIFS($B$2:$B$2705,$A$2:$A$2705,A2184)</f>
        <v>1903</v>
      </c>
      <c r="U2184" s="3" t="n">
        <f aca="false">B2184-T2184</f>
        <v>105</v>
      </c>
      <c r="V2184" s="3" t="str">
        <f aca="false">INDEX(Pop_Inputs!$Q$2:$Q$29,MATCH(C2184,Pop_Inputs!$A$2:$A$29,0))</f>
        <v>Northeast</v>
      </c>
      <c r="W2184" s="29" t="n">
        <v>207896789</v>
      </c>
      <c r="X2184" s="3" t="n">
        <f aca="false">IF(W2184="","",LN(W2184))</f>
        <v>19.1525523077835</v>
      </c>
      <c r="Y2184" s="3" t="n">
        <f aca="false">IF(X2184="","",X2184-AVERAGEIFS($X$2:$X$2705,$B$2:$B$2705,B2184))</f>
        <v>0.932245049381685</v>
      </c>
      <c r="Z2184" s="21" t="n">
        <f aca="false">P2184</f>
        <v>1.60117048523511</v>
      </c>
      <c r="AA2184" s="3" t="n">
        <f aca="false">R2184</f>
        <v>0</v>
      </c>
      <c r="AB2184" s="21" t="n">
        <f aca="false">P2184</f>
        <v>1.60117048523511</v>
      </c>
      <c r="AC2184" s="3" t="n">
        <f aca="false">Y2184</f>
        <v>0.932245049381685</v>
      </c>
      <c r="AD2184" s="3" t="n">
        <f aca="false">R2184</f>
        <v>0</v>
      </c>
    </row>
    <row r="2185" customFormat="false" ht="15" hidden="false" customHeight="true" outlineLevel="0" collapsed="false">
      <c r="A2185" s="7" t="s">
        <v>69</v>
      </c>
      <c r="B2185" s="7" t="n">
        <v>2008</v>
      </c>
      <c r="C2185" s="7" t="s">
        <v>253</v>
      </c>
      <c r="D2185" s="7" t="n">
        <v>75</v>
      </c>
      <c r="E2185" s="7" t="n">
        <v>86</v>
      </c>
      <c r="F2185" s="3" t="n">
        <f aca="false">COUNTIFS($B$2:$B$2705,B2185,$C$2:$C$2705,C2185)</f>
        <v>1</v>
      </c>
      <c r="G2185" s="3" t="n">
        <f aca="false">MIN(INT((MIN(B2185,2020)-1900)/10)+1,12)</f>
        <v>11</v>
      </c>
      <c r="H2185" s="3" t="n">
        <f aca="false">(MIN(B2185,2020)-1900-10*(G2185-1))/10</f>
        <v>0.8</v>
      </c>
      <c r="I2185" s="20" t="n">
        <f aca="false">EXP(LN(INDEX(Pop_Inputs!$B$2:$N$29,MATCH(C2185,Pop_Inputs!$A$2:$A$29,0),G2185))*(1-H2185)+LN(INDEX(Pop_Inputs!$B$2:$N$29,MATCH(C2185,Pop_Inputs!$A$2:$A$29,0),G2185+1))*H2185)</f>
        <v>392460.496215478</v>
      </c>
      <c r="J2185" s="20" t="n">
        <f aca="false">I2185/F2185</f>
        <v>392460.496215478</v>
      </c>
      <c r="K2185" s="21" t="n">
        <f aca="false">D2185/(D2185+E2185)</f>
        <v>0.46583850931677</v>
      </c>
      <c r="L2185" s="21" t="n">
        <f aca="false">AVERAGEIFS($K$2:$K$2705,$B$2:$B$2705,B2185)</f>
        <v>0.499964434960434</v>
      </c>
      <c r="M2185" s="21" t="n">
        <f aca="false">K2185-L2185</f>
        <v>-0.0341259256436637</v>
      </c>
      <c r="N2185" s="21" t="n">
        <f aca="false">LN(J2185)</f>
        <v>12.8801911645546</v>
      </c>
      <c r="O2185" s="21" t="n">
        <f aca="false">AVERAGEIFS($N$2:$N$2705,$B$2:$B$2705,B2185)</f>
        <v>13.6181656321195</v>
      </c>
      <c r="P2185" s="21" t="n">
        <f aca="false">N2185-O2185</f>
        <v>-0.737974467564907</v>
      </c>
      <c r="Q2185" s="7" t="n">
        <v>0</v>
      </c>
      <c r="R2185" s="3" t="n">
        <f aca="false">IF(AND(Q2185=1,B2185-_xlfn.MINIFS($B$2:$B$2705,$A$2:$A$2705,A2185)&lt;10),1,0)</f>
        <v>0</v>
      </c>
      <c r="S2185" s="7" t="n">
        <v>0</v>
      </c>
      <c r="T2185" s="3" t="n">
        <f aca="false">_xlfn.MINIFS($B$2:$B$2705,$A$2:$A$2705,A2185)</f>
        <v>1901</v>
      </c>
      <c r="U2185" s="3" t="n">
        <f aca="false">B2185-T2185</f>
        <v>107</v>
      </c>
      <c r="V2185" s="3" t="str">
        <f aca="false">INDEX(Pop_Inputs!$Q$2:$Q$29,MATCH(C2185,Pop_Inputs!$A$2:$A$29,0))</f>
        <v>West</v>
      </c>
      <c r="W2185" s="29" t="n">
        <v>47967126</v>
      </c>
      <c r="X2185" s="3" t="n">
        <f aca="false">IF(W2185="","",LN(W2185))</f>
        <v>17.6860264592381</v>
      </c>
      <c r="Y2185" s="3" t="n">
        <f aca="false">IF(X2185="","",X2185-AVERAGEIFS($X$2:$X$2705,$B$2:$B$2705,B2185))</f>
        <v>-0.534280799163692</v>
      </c>
      <c r="Z2185" s="21" t="n">
        <f aca="false">P2185</f>
        <v>-0.737974467564907</v>
      </c>
      <c r="AA2185" s="3" t="n">
        <f aca="false">R2185</f>
        <v>0</v>
      </c>
      <c r="AB2185" s="21" t="n">
        <f aca="false">P2185</f>
        <v>-0.737974467564907</v>
      </c>
      <c r="AC2185" s="3" t="n">
        <f aca="false">Y2185</f>
        <v>-0.534280799163692</v>
      </c>
      <c r="AD2185" s="3" t="n">
        <f aca="false">R2185</f>
        <v>0</v>
      </c>
    </row>
    <row r="2186" customFormat="false" ht="15" hidden="false" customHeight="true" outlineLevel="0" collapsed="false">
      <c r="A2186" s="7" t="s">
        <v>60</v>
      </c>
      <c r="B2186" s="7" t="n">
        <v>2008</v>
      </c>
      <c r="C2186" s="7" t="s">
        <v>146</v>
      </c>
      <c r="D2186" s="7" t="n">
        <v>92</v>
      </c>
      <c r="E2186" s="7" t="n">
        <v>70</v>
      </c>
      <c r="F2186" s="3" t="n">
        <f aca="false">COUNTIFS($B$2:$B$2705,B2186,$C$2:$C$2705,C2186)</f>
        <v>1</v>
      </c>
      <c r="G2186" s="3" t="n">
        <f aca="false">MIN(INT((MIN(B2186,2020)-1900)/10)+1,12)</f>
        <v>11</v>
      </c>
      <c r="H2186" s="3" t="n">
        <f aca="false">(MIN(B2186,2020)-1900-10*(G2186-1))/10</f>
        <v>0.8</v>
      </c>
      <c r="I2186" s="20" t="n">
        <f aca="false">EXP(LN(INDEX(Pop_Inputs!$B$2:$N$29,MATCH(C2186,Pop_Inputs!$A$2:$A$29,0),G2186))*(1-H2186)+LN(INDEX(Pop_Inputs!$B$2:$N$29,MATCH(C2186,Pop_Inputs!$A$2:$A$29,0),G2186+1))*H2186)</f>
        <v>1524311.03893509</v>
      </c>
      <c r="J2186" s="20" t="n">
        <f aca="false">I2186/F2186</f>
        <v>1524311.03893509</v>
      </c>
      <c r="K2186" s="21" t="n">
        <f aca="false">D2186/(D2186+E2186)</f>
        <v>0.567901234567901</v>
      </c>
      <c r="L2186" s="21" t="n">
        <f aca="false">AVERAGEIFS($K$2:$K$2705,$B$2:$B$2705,B2186)</f>
        <v>0.499964434960434</v>
      </c>
      <c r="M2186" s="21" t="n">
        <f aca="false">K2186-L2186</f>
        <v>0.0679367996074673</v>
      </c>
      <c r="N2186" s="21" t="n">
        <f aca="false">LN(J2186)</f>
        <v>14.2370530881939</v>
      </c>
      <c r="O2186" s="21" t="n">
        <f aca="false">AVERAGEIFS($N$2:$N$2705,$B$2:$B$2705,B2186)</f>
        <v>13.6181656321195</v>
      </c>
      <c r="P2186" s="21" t="n">
        <f aca="false">N2186-O2186</f>
        <v>0.618887456074322</v>
      </c>
      <c r="Q2186" s="7" t="n">
        <v>0</v>
      </c>
      <c r="R2186" s="3" t="n">
        <f aca="false">IF(AND(Q2186=1,B2186-_xlfn.MINIFS($B$2:$B$2705,$A$2:$A$2705,A2186)&lt;10),1,0)</f>
        <v>0</v>
      </c>
      <c r="S2186" s="7" t="n">
        <v>0</v>
      </c>
      <c r="T2186" s="3" t="n">
        <f aca="false">_xlfn.MINIFS($B$2:$B$2705,$A$2:$A$2705,A2186)</f>
        <v>1901</v>
      </c>
      <c r="U2186" s="3" t="n">
        <f aca="false">B2186-T2186</f>
        <v>107</v>
      </c>
      <c r="V2186" s="3" t="str">
        <f aca="false">INDEX(Pop_Inputs!$Q$2:$Q$29,MATCH(C2186,Pop_Inputs!$A$2:$A$29,0))</f>
        <v>Northeast</v>
      </c>
      <c r="W2186" s="29" t="n">
        <v>97879880</v>
      </c>
      <c r="X2186" s="3" t="n">
        <f aca="false">IF(W2186="","",LN(W2186))</f>
        <v>18.399251570547</v>
      </c>
      <c r="Y2186" s="3" t="n">
        <f aca="false">IF(X2186="","",X2186-AVERAGEIFS($X$2:$X$2705,$B$2:$B$2705,B2186))</f>
        <v>0.178944312145145</v>
      </c>
      <c r="Z2186" s="21" t="n">
        <f aca="false">P2186</f>
        <v>0.618887456074322</v>
      </c>
      <c r="AA2186" s="3" t="n">
        <f aca="false">R2186</f>
        <v>0</v>
      </c>
      <c r="AB2186" s="21" t="n">
        <f aca="false">P2186</f>
        <v>0.618887456074322</v>
      </c>
      <c r="AC2186" s="3" t="n">
        <f aca="false">Y2186</f>
        <v>0.178944312145145</v>
      </c>
      <c r="AD2186" s="3" t="n">
        <f aca="false">R2186</f>
        <v>0</v>
      </c>
    </row>
    <row r="2187" customFormat="false" ht="15" hidden="false" customHeight="true" outlineLevel="0" collapsed="false">
      <c r="A2187" s="7" t="s">
        <v>58</v>
      </c>
      <c r="B2187" s="7" t="n">
        <v>2008</v>
      </c>
      <c r="C2187" s="7" t="s">
        <v>144</v>
      </c>
      <c r="D2187" s="7" t="n">
        <v>67</v>
      </c>
      <c r="E2187" s="7" t="n">
        <v>95</v>
      </c>
      <c r="F2187" s="3" t="n">
        <f aca="false">COUNTIFS($B$2:$B$2705,B2187,$C$2:$C$2705,C2187)</f>
        <v>1</v>
      </c>
      <c r="G2187" s="3" t="n">
        <f aca="false">MIN(INT((MIN(B2187,2020)-1900)/10)+1,12)</f>
        <v>11</v>
      </c>
      <c r="H2187" s="3" t="n">
        <f aca="false">(MIN(B2187,2020)-1900-10*(G2187-1))/10</f>
        <v>0.8</v>
      </c>
      <c r="I2187" s="20" t="n">
        <f aca="false">EXP(LN(INDEX(Pop_Inputs!$B$2:$N$29,MATCH(C2187,Pop_Inputs!$A$2:$A$29,0),G2187))*(1-H2187)+LN(INDEX(Pop_Inputs!$B$2:$N$29,MATCH(C2187,Pop_Inputs!$A$2:$A$29,0),G2187+1))*H2187)</f>
        <v>311269.436170232</v>
      </c>
      <c r="J2187" s="20" t="n">
        <f aca="false">I2187/F2187</f>
        <v>311269.436170232</v>
      </c>
      <c r="K2187" s="21" t="n">
        <f aca="false">D2187/(D2187+E2187)</f>
        <v>0.41358024691358</v>
      </c>
      <c r="L2187" s="21" t="n">
        <f aca="false">AVERAGEIFS($K$2:$K$2705,$B$2:$B$2705,B2187)</f>
        <v>0.499964434960434</v>
      </c>
      <c r="M2187" s="21" t="n">
        <f aca="false">K2187-L2187</f>
        <v>-0.0863841880468537</v>
      </c>
      <c r="N2187" s="21" t="n">
        <f aca="false">LN(J2187)</f>
        <v>12.6484141703383</v>
      </c>
      <c r="O2187" s="21" t="n">
        <f aca="false">AVERAGEIFS($N$2:$N$2705,$B$2:$B$2705,B2187)</f>
        <v>13.6181656321195</v>
      </c>
      <c r="P2187" s="21" t="n">
        <f aca="false">N2187-O2187</f>
        <v>-0.969751461781266</v>
      </c>
      <c r="Q2187" s="7" t="n">
        <v>0</v>
      </c>
      <c r="R2187" s="3" t="n">
        <f aca="false">IF(AND(Q2187=1,B2187-_xlfn.MINIFS($B$2:$B$2705,$A$2:$A$2705,A2187)&lt;10),1,0)</f>
        <v>0</v>
      </c>
      <c r="S2187" s="7" t="n">
        <v>0</v>
      </c>
      <c r="T2187" s="3" t="n">
        <f aca="false">_xlfn.MINIFS($B$2:$B$2705,$A$2:$A$2705,A2187)</f>
        <v>1901</v>
      </c>
      <c r="U2187" s="3" t="n">
        <f aca="false">B2187-T2187</f>
        <v>107</v>
      </c>
      <c r="V2187" s="3" t="str">
        <f aca="false">INDEX(Pop_Inputs!$Q$2:$Q$29,MATCH(C2187,Pop_Inputs!$A$2:$A$29,0))</f>
        <v>Northeast</v>
      </c>
      <c r="W2187" s="29" t="n">
        <v>48689783</v>
      </c>
      <c r="X2187" s="3" t="n">
        <f aca="false">IF(W2187="","",LN(W2187))</f>
        <v>17.7009797713817</v>
      </c>
      <c r="Y2187" s="3" t="n">
        <f aca="false">IF(X2187="","",X2187-AVERAGEIFS($X$2:$X$2705,$B$2:$B$2705,B2187))</f>
        <v>-0.519327487020188</v>
      </c>
      <c r="Z2187" s="21" t="n">
        <f aca="false">P2187</f>
        <v>-0.969751461781266</v>
      </c>
      <c r="AA2187" s="3" t="n">
        <f aca="false">R2187</f>
        <v>0</v>
      </c>
      <c r="AB2187" s="21" t="n">
        <f aca="false">P2187</f>
        <v>-0.969751461781266</v>
      </c>
      <c r="AC2187" s="3" t="n">
        <f aca="false">Y2187</f>
        <v>-0.519327487020188</v>
      </c>
      <c r="AD2187" s="3" t="n">
        <f aca="false">R2187</f>
        <v>0</v>
      </c>
    </row>
    <row r="2188" customFormat="false" ht="15" hidden="false" customHeight="true" outlineLevel="0" collapsed="false">
      <c r="A2188" s="7" t="s">
        <v>78</v>
      </c>
      <c r="B2188" s="7" t="n">
        <v>2008</v>
      </c>
      <c r="C2188" s="7" t="s">
        <v>159</v>
      </c>
      <c r="D2188" s="7" t="n">
        <v>63</v>
      </c>
      <c r="E2188" s="7" t="n">
        <v>99</v>
      </c>
      <c r="F2188" s="3" t="n">
        <f aca="false">COUNTIFS($B$2:$B$2705,B2188,$C$2:$C$2705,C2188)</f>
        <v>1</v>
      </c>
      <c r="G2188" s="3" t="n">
        <f aca="false">MIN(INT((MIN(B2188,2020)-1900)/10)+1,12)</f>
        <v>11</v>
      </c>
      <c r="H2188" s="3" t="n">
        <f aca="false">(MIN(B2188,2020)-1900-10*(G2188-1))/10</f>
        <v>0.8</v>
      </c>
      <c r="I2188" s="20" t="n">
        <f aca="false">EXP(LN(INDEX(Pop_Inputs!$B$2:$N$29,MATCH(C2188,Pop_Inputs!$A$2:$A$29,0),G2188))*(1-H2188)+LN(INDEX(Pop_Inputs!$B$2:$N$29,MATCH(C2188,Pop_Inputs!$A$2:$A$29,0),G2188+1))*H2188)</f>
        <v>1290152.38992901</v>
      </c>
      <c r="J2188" s="20" t="n">
        <f aca="false">I2188/F2188</f>
        <v>1290152.38992901</v>
      </c>
      <c r="K2188" s="21" t="n">
        <f aca="false">D2188/(D2188+E2188)</f>
        <v>0.388888888888889</v>
      </c>
      <c r="L2188" s="21" t="n">
        <f aca="false">AVERAGEIFS($K$2:$K$2705,$B$2:$B$2705,B2188)</f>
        <v>0.499964434960434</v>
      </c>
      <c r="M2188" s="21" t="n">
        <f aca="false">K2188-L2188</f>
        <v>-0.111075546071545</v>
      </c>
      <c r="N2188" s="21" t="n">
        <f aca="false">LN(J2188)</f>
        <v>14.0702709010888</v>
      </c>
      <c r="O2188" s="21" t="n">
        <f aca="false">AVERAGEIFS($N$2:$N$2705,$B$2:$B$2705,B2188)</f>
        <v>13.6181656321195</v>
      </c>
      <c r="P2188" s="21" t="n">
        <f aca="false">N2188-O2188</f>
        <v>0.452105268969236</v>
      </c>
      <c r="Q2188" s="7" t="n">
        <v>1</v>
      </c>
      <c r="R2188" s="3" t="n">
        <f aca="false">IF(AND(Q2188=1,B2188-_xlfn.MINIFS($B$2:$B$2705,$A$2:$A$2705,A2188)&lt;10),1,0)</f>
        <v>0</v>
      </c>
      <c r="S2188" s="7" t="n">
        <v>0</v>
      </c>
      <c r="T2188" s="3" t="n">
        <f aca="false">_xlfn.MINIFS($B$2:$B$2705,$A$2:$A$2705,A2188)</f>
        <v>1969</v>
      </c>
      <c r="U2188" s="3" t="n">
        <f aca="false">B2188-T2188</f>
        <v>39</v>
      </c>
      <c r="V2188" s="3" t="str">
        <f aca="false">INDEX(Pop_Inputs!$Q$2:$Q$29,MATCH(C2188,Pop_Inputs!$A$2:$A$29,0))</f>
        <v>West</v>
      </c>
      <c r="W2188" s="29" t="n">
        <v>73677616</v>
      </c>
      <c r="X2188" s="3" t="n">
        <f aca="false">IF(W2188="","",LN(W2188))</f>
        <v>18.1152095932532</v>
      </c>
      <c r="Y2188" s="3" t="n">
        <f aca="false">IF(X2188="","",X2188-AVERAGEIFS($X$2:$X$2705,$B$2:$B$2705,B2188))</f>
        <v>-0.10509766514862</v>
      </c>
      <c r="Z2188" s="21" t="n">
        <f aca="false">P2188</f>
        <v>0.452105268969236</v>
      </c>
      <c r="AA2188" s="3" t="n">
        <f aca="false">R2188</f>
        <v>0</v>
      </c>
      <c r="AB2188" s="21" t="n">
        <f aca="false">P2188</f>
        <v>0.452105268969236</v>
      </c>
      <c r="AC2188" s="3" t="n">
        <f aca="false">Y2188</f>
        <v>-0.10509766514862</v>
      </c>
      <c r="AD2188" s="3" t="n">
        <f aca="false">R2188</f>
        <v>0</v>
      </c>
    </row>
    <row r="2189" customFormat="false" ht="15" hidden="false" customHeight="true" outlineLevel="0" collapsed="false">
      <c r="A2189" s="7" t="s">
        <v>80</v>
      </c>
      <c r="B2189" s="7" t="n">
        <v>2008</v>
      </c>
      <c r="C2189" s="7" t="s">
        <v>161</v>
      </c>
      <c r="D2189" s="7" t="n">
        <v>61</v>
      </c>
      <c r="E2189" s="7" t="n">
        <v>101</v>
      </c>
      <c r="F2189" s="3" t="n">
        <f aca="false">COUNTIFS($B$2:$B$2705,B2189,$C$2:$C$2705,C2189)</f>
        <v>1</v>
      </c>
      <c r="G2189" s="3" t="n">
        <f aca="false">MIN(INT((MIN(B2189,2020)-1900)/10)+1,12)</f>
        <v>11</v>
      </c>
      <c r="H2189" s="3" t="n">
        <f aca="false">(MIN(B2189,2020)-1900-10*(G2189-1))/10</f>
        <v>0.8</v>
      </c>
      <c r="I2189" s="20" t="n">
        <f aca="false">EXP(LN(INDEX(Pop_Inputs!$B$2:$N$29,MATCH(C2189,Pop_Inputs!$A$2:$A$29,0),G2189))*(1-H2189)+LN(INDEX(Pop_Inputs!$B$2:$N$29,MATCH(C2189,Pop_Inputs!$A$2:$A$29,0),G2189+1))*H2189)</f>
        <v>599320.549962066</v>
      </c>
      <c r="J2189" s="20" t="n">
        <f aca="false">I2189/F2189</f>
        <v>599320.549962066</v>
      </c>
      <c r="K2189" s="21" t="n">
        <f aca="false">D2189/(D2189+E2189)</f>
        <v>0.376543209876543</v>
      </c>
      <c r="L2189" s="21" t="n">
        <f aca="false">AVERAGEIFS($K$2:$K$2705,$B$2:$B$2705,B2189)</f>
        <v>0.499964434960434</v>
      </c>
      <c r="M2189" s="21" t="n">
        <f aca="false">K2189-L2189</f>
        <v>-0.123421225083891</v>
      </c>
      <c r="N2189" s="21" t="n">
        <f aca="false">LN(J2189)</f>
        <v>13.3035518758001</v>
      </c>
      <c r="O2189" s="21" t="n">
        <f aca="false">AVERAGEIFS($N$2:$N$2705,$B$2:$B$2705,B2189)</f>
        <v>13.6181656321195</v>
      </c>
      <c r="P2189" s="21" t="n">
        <f aca="false">N2189-O2189</f>
        <v>-0.314613756319432</v>
      </c>
      <c r="Q2189" s="7" t="n">
        <v>1</v>
      </c>
      <c r="R2189" s="3" t="n">
        <f aca="false">IF(AND(Q2189=1,B2189-_xlfn.MINIFS($B$2:$B$2705,$A$2:$A$2705,A2189)&lt;10),1,0)</f>
        <v>0</v>
      </c>
      <c r="S2189" s="7" t="n">
        <v>0</v>
      </c>
      <c r="T2189" s="3" t="n">
        <f aca="false">_xlfn.MINIFS($B$2:$B$2705,$A$2:$A$2705,A2189)</f>
        <v>1977</v>
      </c>
      <c r="U2189" s="3" t="n">
        <f aca="false">B2189-T2189</f>
        <v>31</v>
      </c>
      <c r="V2189" s="3" t="str">
        <f aca="false">INDEX(Pop_Inputs!$Q$2:$Q$29,MATCH(C2189,Pop_Inputs!$A$2:$A$29,0))</f>
        <v>West</v>
      </c>
      <c r="W2189" s="29" t="n">
        <v>117666482</v>
      </c>
      <c r="X2189" s="3" t="n">
        <f aca="false">IF(W2189="","",LN(W2189))</f>
        <v>18.5833647568231</v>
      </c>
      <c r="Y2189" s="3" t="n">
        <f aca="false">IF(X2189="","",X2189-AVERAGEIFS($X$2:$X$2705,$B$2:$B$2705,B2189))</f>
        <v>0.363057498421291</v>
      </c>
      <c r="Z2189" s="21" t="n">
        <f aca="false">P2189</f>
        <v>-0.314613756319432</v>
      </c>
      <c r="AA2189" s="3" t="n">
        <f aca="false">R2189</f>
        <v>0</v>
      </c>
      <c r="AB2189" s="21" t="n">
        <f aca="false">P2189</f>
        <v>-0.314613756319432</v>
      </c>
      <c r="AC2189" s="3" t="n">
        <f aca="false">Y2189</f>
        <v>0.363057498421291</v>
      </c>
      <c r="AD2189" s="3" t="n">
        <f aca="false">R2189</f>
        <v>0</v>
      </c>
    </row>
    <row r="2190" customFormat="false" ht="15" hidden="false" customHeight="true" outlineLevel="0" collapsed="false">
      <c r="A2190" s="7" t="s">
        <v>61</v>
      </c>
      <c r="B2190" s="7" t="n">
        <v>2008</v>
      </c>
      <c r="C2190" s="7" t="s">
        <v>147</v>
      </c>
      <c r="D2190" s="7" t="n">
        <v>72</v>
      </c>
      <c r="E2190" s="7" t="n">
        <v>90</v>
      </c>
      <c r="F2190" s="3" t="n">
        <f aca="false">COUNTIFS($B$2:$B$2705,B2190,$C$2:$C$2705,C2190)</f>
        <v>1</v>
      </c>
      <c r="G2190" s="3" t="n">
        <f aca="false">MIN(INT((MIN(B2190,2020)-1900)/10)+1,12)</f>
        <v>11</v>
      </c>
      <c r="H2190" s="3" t="n">
        <f aca="false">(MIN(B2190,2020)-1900-10*(G2190-1))/10</f>
        <v>0.8</v>
      </c>
      <c r="I2190" s="20" t="n">
        <f aca="false">EXP(LN(INDEX(Pop_Inputs!$B$2:$N$29,MATCH(C2190,Pop_Inputs!$A$2:$A$29,0),G2190))*(1-H2190)+LN(INDEX(Pop_Inputs!$B$2:$N$29,MATCH(C2190,Pop_Inputs!$A$2:$A$29,0),G2190+1))*H2190)</f>
        <v>799452.134045501</v>
      </c>
      <c r="J2190" s="20" t="n">
        <f aca="false">I2190/F2190</f>
        <v>799452.134045501</v>
      </c>
      <c r="K2190" s="21" t="n">
        <f aca="false">D2190/(D2190+E2190)</f>
        <v>0.444444444444444</v>
      </c>
      <c r="L2190" s="21" t="n">
        <f aca="false">AVERAGEIFS($K$2:$K$2705,$B$2:$B$2705,B2190)</f>
        <v>0.499964434960434</v>
      </c>
      <c r="M2190" s="21" t="n">
        <f aca="false">K2190-L2190</f>
        <v>-0.0555199905159895</v>
      </c>
      <c r="N2190" s="21" t="n">
        <f aca="false">LN(J2190)</f>
        <v>13.5916819396021</v>
      </c>
      <c r="O2190" s="21" t="n">
        <f aca="false">AVERAGEIFS($N$2:$N$2705,$B$2:$B$2705,B2190)</f>
        <v>13.6181656321195</v>
      </c>
      <c r="P2190" s="21" t="n">
        <f aca="false">N2190-O2190</f>
        <v>-0.0264836925174432</v>
      </c>
      <c r="Q2190" s="7" t="n">
        <v>0</v>
      </c>
      <c r="R2190" s="3" t="n">
        <f aca="false">IF(AND(Q2190=1,B2190-_xlfn.MINIFS($B$2:$B$2705,$A$2:$A$2705,A2190)&lt;10),1,0)</f>
        <v>0</v>
      </c>
      <c r="S2190" s="7" t="n">
        <v>0</v>
      </c>
      <c r="T2190" s="3" t="n">
        <f aca="false">_xlfn.MINIFS($B$2:$B$2705,$A$2:$A$2705,A2190)</f>
        <v>1901</v>
      </c>
      <c r="U2190" s="3" t="n">
        <f aca="false">B2190-T2190</f>
        <v>107</v>
      </c>
      <c r="V2190" s="3" t="str">
        <f aca="false">INDEX(Pop_Inputs!$Q$2:$Q$29,MATCH(C2190,Pop_Inputs!$A$2:$A$29,0))</f>
        <v>West</v>
      </c>
      <c r="W2190" s="29" t="n">
        <v>76594500</v>
      </c>
      <c r="X2190" s="3" t="n">
        <f aca="false">IF(W2190="","",LN(W2190))</f>
        <v>18.1540358305664</v>
      </c>
      <c r="Y2190" s="3" t="n">
        <f aca="false">IF(X2190="","",X2190-AVERAGEIFS($X$2:$X$2705,$B$2:$B$2705,B2190))</f>
        <v>-0.0662714278354528</v>
      </c>
      <c r="Z2190" s="21" t="n">
        <f aca="false">P2190</f>
        <v>-0.0264836925174432</v>
      </c>
      <c r="AA2190" s="3" t="n">
        <f aca="false">R2190</f>
        <v>0</v>
      </c>
      <c r="AB2190" s="21" t="n">
        <f aca="false">P2190</f>
        <v>-0.0264836925174432</v>
      </c>
      <c r="AC2190" s="3" t="n">
        <f aca="false">Y2190</f>
        <v>-0.0662714278354528</v>
      </c>
      <c r="AD2190" s="3" t="n">
        <f aca="false">R2190</f>
        <v>0</v>
      </c>
    </row>
    <row r="2191" customFormat="false" ht="15" hidden="false" customHeight="true" outlineLevel="0" collapsed="false">
      <c r="A2191" s="7" t="s">
        <v>59</v>
      </c>
      <c r="B2191" s="7" t="n">
        <v>2008</v>
      </c>
      <c r="C2191" s="7" t="s">
        <v>145</v>
      </c>
      <c r="D2191" s="7" t="n">
        <v>86</v>
      </c>
      <c r="E2191" s="7" t="n">
        <v>76</v>
      </c>
      <c r="F2191" s="3" t="n">
        <f aca="false">COUNTIFS($B$2:$B$2705,B2191,$C$2:$C$2705,C2191)</f>
        <v>1</v>
      </c>
      <c r="G2191" s="3" t="n">
        <f aca="false">MIN(INT((MIN(B2191,2020)-1900)/10)+1,12)</f>
        <v>11</v>
      </c>
      <c r="H2191" s="3" t="n">
        <f aca="false">(MIN(B2191,2020)-1900-10*(G2191-1))/10</f>
        <v>0.8</v>
      </c>
      <c r="I2191" s="20" t="n">
        <f aca="false">EXP(LN(INDEX(Pop_Inputs!$B$2:$N$29,MATCH(C2191,Pop_Inputs!$A$2:$A$29,0),G2191))*(1-H2191)+LN(INDEX(Pop_Inputs!$B$2:$N$29,MATCH(C2191,Pop_Inputs!$A$2:$A$29,0),G2191+1))*H2191)</f>
        <v>324874.493503489</v>
      </c>
      <c r="J2191" s="20" t="n">
        <f aca="false">I2191/F2191</f>
        <v>324874.493503489</v>
      </c>
      <c r="K2191" s="21" t="n">
        <f aca="false">D2191/(D2191+E2191)</f>
        <v>0.530864197530864</v>
      </c>
      <c r="L2191" s="21" t="n">
        <f aca="false">AVERAGEIFS($K$2:$K$2705,$B$2:$B$2705,B2191)</f>
        <v>0.499964434960434</v>
      </c>
      <c r="M2191" s="21" t="n">
        <f aca="false">K2191-L2191</f>
        <v>0.0308997625704303</v>
      </c>
      <c r="N2191" s="21" t="n">
        <f aca="false">LN(J2191)</f>
        <v>12.6911942128921</v>
      </c>
      <c r="O2191" s="21" t="n">
        <f aca="false">AVERAGEIFS($N$2:$N$2705,$B$2:$B$2705,B2191)</f>
        <v>13.6181656321195</v>
      </c>
      <c r="P2191" s="21" t="n">
        <f aca="false">N2191-O2191</f>
        <v>-0.926971419227392</v>
      </c>
      <c r="Q2191" s="7" t="n">
        <v>0</v>
      </c>
      <c r="R2191" s="3" t="n">
        <f aca="false">IF(AND(Q2191=1,B2191-_xlfn.MINIFS($B$2:$B$2705,$A$2:$A$2705,A2191)&lt;10),1,0)</f>
        <v>0</v>
      </c>
      <c r="S2191" s="7" t="n">
        <v>0</v>
      </c>
      <c r="T2191" s="3" t="n">
        <f aca="false">_xlfn.MINIFS($B$2:$B$2705,$A$2:$A$2705,A2191)</f>
        <v>1901</v>
      </c>
      <c r="U2191" s="3" t="n">
        <f aca="false">B2191-T2191</f>
        <v>107</v>
      </c>
      <c r="V2191" s="3" t="str">
        <f aca="false">INDEX(Pop_Inputs!$Q$2:$Q$29,MATCH(C2191,Pop_Inputs!$A$2:$A$29,0))</f>
        <v>Midwest</v>
      </c>
      <c r="W2191" s="29" t="n">
        <v>99624449</v>
      </c>
      <c r="X2191" s="3" t="n">
        <f aca="false">IF(W2191="","",LN(W2191))</f>
        <v>18.4169181643191</v>
      </c>
      <c r="Y2191" s="3" t="n">
        <f aca="false">IF(X2191="","",X2191-AVERAGEIFS($X$2:$X$2705,$B$2:$B$2705,B2191))</f>
        <v>0.196610905917243</v>
      </c>
      <c r="Z2191" s="21" t="n">
        <f aca="false">P2191</f>
        <v>-0.926971419227392</v>
      </c>
      <c r="AA2191" s="3" t="n">
        <f aca="false">R2191</f>
        <v>0</v>
      </c>
      <c r="AB2191" s="21" t="n">
        <f aca="false">P2191</f>
        <v>-0.926971419227392</v>
      </c>
      <c r="AC2191" s="3" t="n">
        <f aca="false">Y2191</f>
        <v>0.196610905917243</v>
      </c>
      <c r="AD2191" s="3" t="n">
        <f aca="false">R2191</f>
        <v>0</v>
      </c>
    </row>
    <row r="2192" customFormat="false" ht="15" hidden="false" customHeight="true" outlineLevel="0" collapsed="false">
      <c r="A2192" s="7" t="s">
        <v>85</v>
      </c>
      <c r="B2192" s="7" t="n">
        <v>2008</v>
      </c>
      <c r="C2192" s="7" t="s">
        <v>166</v>
      </c>
      <c r="D2192" s="7" t="n">
        <v>97</v>
      </c>
      <c r="E2192" s="7" t="n">
        <v>65</v>
      </c>
      <c r="F2192" s="3" t="n">
        <f aca="false">COUNTIFS($B$2:$B$2705,B2192,$C$2:$C$2705,C2192)</f>
        <v>1</v>
      </c>
      <c r="G2192" s="3" t="n">
        <f aca="false">MIN(INT((MIN(B2192,2020)-1900)/10)+1,12)</f>
        <v>11</v>
      </c>
      <c r="H2192" s="3" t="n">
        <f aca="false">(MIN(B2192,2020)-1900-10*(G2192-1))/10</f>
        <v>0.8</v>
      </c>
      <c r="I2192" s="20" t="n">
        <f aca="false">EXP(LN(INDEX(Pop_Inputs!$B$2:$N$29,MATCH(C2192,Pop_Inputs!$A$2:$A$29,0),G2192))*(1-H2192)+LN(INDEX(Pop_Inputs!$B$2:$N$29,MATCH(C2192,Pop_Inputs!$A$2:$A$29,0),G2192+1))*H2192)</f>
        <v>328993.226960605</v>
      </c>
      <c r="J2192" s="20" t="n">
        <f aca="false">I2192/F2192</f>
        <v>328993.226960605</v>
      </c>
      <c r="K2192" s="21" t="n">
        <f aca="false">D2192/(D2192+E2192)</f>
        <v>0.598765432098765</v>
      </c>
      <c r="L2192" s="21" t="n">
        <f aca="false">AVERAGEIFS($K$2:$K$2705,$B$2:$B$2705,B2192)</f>
        <v>0.499964434960434</v>
      </c>
      <c r="M2192" s="21" t="n">
        <f aca="false">K2192-L2192</f>
        <v>0.0988009971383315</v>
      </c>
      <c r="N2192" s="21" t="n">
        <f aca="false">LN(J2192)</f>
        <v>12.7037924427897</v>
      </c>
      <c r="O2192" s="21" t="n">
        <f aca="false">AVERAGEIFS($N$2:$N$2705,$B$2:$B$2705,B2192)</f>
        <v>13.6181656321195</v>
      </c>
      <c r="P2192" s="21" t="n">
        <f aca="false">N2192-O2192</f>
        <v>-0.914373189329814</v>
      </c>
      <c r="Q2192" s="7" t="n">
        <v>1</v>
      </c>
      <c r="R2192" s="3" t="n">
        <f aca="false">IF(AND(Q2192=1,B2192-_xlfn.MINIFS($B$2:$B$2705,$A$2:$A$2705,A2192)&lt;10),1,0)</f>
        <v>0</v>
      </c>
      <c r="S2192" s="7" t="n">
        <v>0</v>
      </c>
      <c r="T2192" s="3" t="n">
        <f aca="false">_xlfn.MINIFS($B$2:$B$2705,$A$2:$A$2705,A2192)</f>
        <v>1998</v>
      </c>
      <c r="U2192" s="3" t="n">
        <f aca="false">B2192-T2192</f>
        <v>10</v>
      </c>
      <c r="V2192" s="3" t="str">
        <f aca="false">INDEX(Pop_Inputs!$Q$2:$Q$29,MATCH(C2192,Pop_Inputs!$A$2:$A$29,0))</f>
        <v>South</v>
      </c>
      <c r="W2192" s="29" t="n">
        <v>43820597</v>
      </c>
      <c r="X2192" s="3" t="n">
        <f aca="false">IF(W2192="","",LN(W2192))</f>
        <v>17.5956145159548</v>
      </c>
      <c r="Y2192" s="3" t="n">
        <f aca="false">IF(X2192="","",X2192-AVERAGEIFS($X$2:$X$2705,$B$2:$B$2705,B2192))</f>
        <v>-0.624692742447028</v>
      </c>
      <c r="Z2192" s="21" t="n">
        <f aca="false">P2192</f>
        <v>-0.914373189329814</v>
      </c>
      <c r="AA2192" s="3" t="n">
        <f aca="false">R2192</f>
        <v>0</v>
      </c>
      <c r="AB2192" s="21" t="n">
        <f aca="false">P2192</f>
        <v>-0.914373189329814</v>
      </c>
      <c r="AC2192" s="3" t="n">
        <f aca="false">Y2192</f>
        <v>-0.624692742447028</v>
      </c>
      <c r="AD2192" s="3" t="n">
        <f aca="false">R2192</f>
        <v>0</v>
      </c>
    </row>
    <row r="2193" customFormat="false" ht="15" hidden="false" customHeight="true" outlineLevel="0" collapsed="false">
      <c r="A2193" s="7" t="s">
        <v>73</v>
      </c>
      <c r="B2193" s="7" t="n">
        <v>2008</v>
      </c>
      <c r="C2193" s="7" t="s">
        <v>155</v>
      </c>
      <c r="D2193" s="7" t="n">
        <v>79</v>
      </c>
      <c r="E2193" s="7" t="n">
        <v>83</v>
      </c>
      <c r="F2193" s="3" t="n">
        <f aca="false">COUNTIFS($B$2:$B$2705,B2193,$C$2:$C$2705,C2193)</f>
        <v>1</v>
      </c>
      <c r="G2193" s="3" t="n">
        <f aca="false">MIN(INT((MIN(B2193,2020)-1900)/10)+1,12)</f>
        <v>11</v>
      </c>
      <c r="H2193" s="3" t="n">
        <f aca="false">(MIN(B2193,2020)-1900-10*(G2193-1))/10</f>
        <v>0.8</v>
      </c>
      <c r="I2193" s="20" t="n">
        <f aca="false">EXP(LN(INDEX(Pop_Inputs!$B$2:$N$29,MATCH(C2193,Pop_Inputs!$A$2:$A$29,0),G2193))*(1-H2193)+LN(INDEX(Pop_Inputs!$B$2:$N$29,MATCH(C2193,Pop_Inputs!$A$2:$A$29,0),G2193+1))*H2193)</f>
        <v>1195963.07621675</v>
      </c>
      <c r="J2193" s="20" t="n">
        <f aca="false">I2193/F2193</f>
        <v>1195963.07621675</v>
      </c>
      <c r="K2193" s="21" t="n">
        <f aca="false">D2193/(D2193+E2193)</f>
        <v>0.487654320987654</v>
      </c>
      <c r="L2193" s="21" t="n">
        <f aca="false">AVERAGEIFS($K$2:$K$2705,$B$2:$B$2705,B2193)</f>
        <v>0.499964434960434</v>
      </c>
      <c r="M2193" s="21" t="n">
        <f aca="false">K2193-L2193</f>
        <v>-0.0123101139727796</v>
      </c>
      <c r="N2193" s="21" t="n">
        <f aca="false">LN(J2193)</f>
        <v>13.9944623402877</v>
      </c>
      <c r="O2193" s="21" t="n">
        <f aca="false">AVERAGEIFS($N$2:$N$2705,$B$2:$B$2705,B2193)</f>
        <v>13.6181656321195</v>
      </c>
      <c r="P2193" s="21" t="n">
        <f aca="false">N2193-O2193</f>
        <v>0.376296708168145</v>
      </c>
      <c r="Q2193" s="7" t="n">
        <v>1</v>
      </c>
      <c r="R2193" s="3" t="n">
        <f aca="false">IF(AND(Q2193=1,B2193-_xlfn.MINIFS($B$2:$B$2705,$A$2:$A$2705,A2193)&lt;10),1,0)</f>
        <v>0</v>
      </c>
      <c r="S2193" s="7" t="n">
        <v>0</v>
      </c>
      <c r="T2193" s="3" t="n">
        <f aca="false">_xlfn.MINIFS($B$2:$B$2705,$A$2:$A$2705,A2193)</f>
        <v>1961</v>
      </c>
      <c r="U2193" s="3" t="n">
        <f aca="false">B2193-T2193</f>
        <v>47</v>
      </c>
      <c r="V2193" s="3" t="str">
        <f aca="false">INDEX(Pop_Inputs!$Q$2:$Q$29,MATCH(C2193,Pop_Inputs!$A$2:$A$29,0))</f>
        <v>South</v>
      </c>
      <c r="W2193" s="29" t="n">
        <v>67712326</v>
      </c>
      <c r="X2193" s="3" t="n">
        <f aca="false">IF(W2193="","",LN(W2193))</f>
        <v>18.030778789257</v>
      </c>
      <c r="Y2193" s="3" t="n">
        <f aca="false">IF(X2193="","",X2193-AVERAGEIFS($X$2:$X$2705,$B$2:$B$2705,B2193))</f>
        <v>-0.189528469144868</v>
      </c>
      <c r="Z2193" s="21" t="n">
        <f aca="false">P2193</f>
        <v>0.376296708168145</v>
      </c>
      <c r="AA2193" s="3" t="n">
        <f aca="false">R2193</f>
        <v>0</v>
      </c>
      <c r="AB2193" s="21" t="n">
        <f aca="false">P2193</f>
        <v>0.376296708168145</v>
      </c>
      <c r="AC2193" s="3" t="n">
        <f aca="false">Y2193</f>
        <v>-0.189528469144868</v>
      </c>
      <c r="AD2193" s="3" t="n">
        <f aca="false">R2193</f>
        <v>0</v>
      </c>
    </row>
    <row r="2194" customFormat="false" ht="15" hidden="false" customHeight="true" outlineLevel="0" collapsed="false">
      <c r="A2194" s="7" t="s">
        <v>81</v>
      </c>
      <c r="B2194" s="7" t="n">
        <v>2008</v>
      </c>
      <c r="C2194" s="7" t="s">
        <v>162</v>
      </c>
      <c r="D2194" s="7" t="n">
        <v>86</v>
      </c>
      <c r="E2194" s="7" t="n">
        <v>76</v>
      </c>
      <c r="F2194" s="3" t="n">
        <f aca="false">COUNTIFS($B$2:$B$2705,B2194,$C$2:$C$2705,C2194)</f>
        <v>1</v>
      </c>
      <c r="G2194" s="3" t="n">
        <f aca="false">MIN(INT((MIN(B2194,2020)-1900)/10)+1,12)</f>
        <v>11</v>
      </c>
      <c r="H2194" s="3" t="n">
        <f aca="false">(MIN(B2194,2020)-1900-10*(G2194-1))/10</f>
        <v>0.8</v>
      </c>
      <c r="I2194" s="20" t="n">
        <f aca="false">EXP(LN(INDEX(Pop_Inputs!$B$2:$N$29,MATCH(C2194,Pop_Inputs!$A$2:$A$29,0),G2194))*(1-H2194)+LN(INDEX(Pop_Inputs!$B$2:$N$29,MATCH(C2194,Pop_Inputs!$A$2:$A$29,0),G2194+1))*H2194)</f>
        <v>2587783.69477322</v>
      </c>
      <c r="J2194" s="20" t="n">
        <f aca="false">I2194/F2194</f>
        <v>2587783.69477322</v>
      </c>
      <c r="K2194" s="21" t="n">
        <f aca="false">D2194/(D2194+E2194)</f>
        <v>0.530864197530864</v>
      </c>
      <c r="L2194" s="21" t="n">
        <f aca="false">AVERAGEIFS($K$2:$K$2705,$B$2:$B$2705,B2194)</f>
        <v>0.499964434960434</v>
      </c>
      <c r="M2194" s="21" t="n">
        <f aca="false">K2194-L2194</f>
        <v>0.0308997625704303</v>
      </c>
      <c r="N2194" s="21" t="n">
        <f aca="false">LN(J2194)</f>
        <v>14.7663123510377</v>
      </c>
      <c r="O2194" s="21" t="n">
        <f aca="false">AVERAGEIFS($N$2:$N$2705,$B$2:$B$2705,B2194)</f>
        <v>13.6181656321195</v>
      </c>
      <c r="P2194" s="21" t="n">
        <f aca="false">N2194-O2194</f>
        <v>1.14814671891822</v>
      </c>
      <c r="Q2194" s="7" t="n">
        <v>1</v>
      </c>
      <c r="R2194" s="3" t="n">
        <f aca="false">IF(AND(Q2194=1,B2194-_xlfn.MINIFS($B$2:$B$2705,$A$2:$A$2705,A2194)&lt;10),1,0)</f>
        <v>0</v>
      </c>
      <c r="S2194" s="7" t="n">
        <v>0</v>
      </c>
      <c r="T2194" s="3" t="n">
        <f aca="false">_xlfn.MINIFS($B$2:$B$2705,$A$2:$A$2705,A2194)</f>
        <v>1977</v>
      </c>
      <c r="U2194" s="3" t="n">
        <f aca="false">B2194-T2194</f>
        <v>31</v>
      </c>
      <c r="V2194" s="3" t="str">
        <f aca="false">INDEX(Pop_Inputs!$Q$2:$Q$29,MATCH(C2194,Pop_Inputs!$A$2:$A$29,0))</f>
        <v>Canada</v>
      </c>
      <c r="W2194" s="29" t="n">
        <v>97793900</v>
      </c>
      <c r="X2194" s="3" t="n">
        <f aca="false">IF(W2194="","",LN(W2194))</f>
        <v>18.3983727608717</v>
      </c>
      <c r="Y2194" s="3" t="n">
        <f aca="false">IF(X2194="","",X2194-AVERAGEIFS($X$2:$X$2705,$B$2:$B$2705,B2194))</f>
        <v>0.178065502469842</v>
      </c>
      <c r="Z2194" s="21" t="n">
        <f aca="false">P2194</f>
        <v>1.14814671891822</v>
      </c>
      <c r="AA2194" s="3" t="n">
        <f aca="false">R2194</f>
        <v>0</v>
      </c>
      <c r="AB2194" s="21" t="n">
        <f aca="false">P2194</f>
        <v>1.14814671891822</v>
      </c>
      <c r="AC2194" s="3" t="n">
        <f aca="false">Y2194</f>
        <v>0.178065502469842</v>
      </c>
      <c r="AD2194" s="3" t="n">
        <f aca="false">R2194</f>
        <v>0</v>
      </c>
    </row>
    <row r="2195" customFormat="false" ht="15" hidden="false" customHeight="true" outlineLevel="0" collapsed="false">
      <c r="A2195" s="7" t="s">
        <v>79</v>
      </c>
      <c r="B2195" s="7" t="n">
        <v>2008</v>
      </c>
      <c r="C2195" s="7" t="s">
        <v>160</v>
      </c>
      <c r="D2195" s="7" t="n">
        <v>59</v>
      </c>
      <c r="E2195" s="7" t="n">
        <v>102</v>
      </c>
      <c r="F2195" s="3" t="n">
        <f aca="false">COUNTIFS($B$2:$B$2705,B2195,$C$2:$C$2705,C2195)</f>
        <v>1</v>
      </c>
      <c r="G2195" s="3" t="n">
        <f aca="false">MIN(INT((MIN(B2195,2020)-1900)/10)+1,12)</f>
        <v>11</v>
      </c>
      <c r="H2195" s="3" t="n">
        <f aca="false">(MIN(B2195,2020)-1900-10*(G2195-1))/10</f>
        <v>0.8</v>
      </c>
      <c r="I2195" s="20" t="n">
        <f aca="false">EXP(LN(INDEX(Pop_Inputs!$B$2:$N$29,MATCH(C2195,Pop_Inputs!$A$2:$A$29,0),G2195))*(1-H2195)+LN(INDEX(Pop_Inputs!$B$2:$N$29,MATCH(C2195,Pop_Inputs!$A$2:$A$29,0),G2195+1))*H2195)</f>
        <v>595669.62434443</v>
      </c>
      <c r="J2195" s="20" t="n">
        <f aca="false">I2195/F2195</f>
        <v>595669.62434443</v>
      </c>
      <c r="K2195" s="21" t="n">
        <f aca="false">D2195/(D2195+E2195)</f>
        <v>0.366459627329193</v>
      </c>
      <c r="L2195" s="21" t="n">
        <f aca="false">AVERAGEIFS($K$2:$K$2705,$B$2:$B$2705,B2195)</f>
        <v>0.499964434960434</v>
      </c>
      <c r="M2195" s="21" t="n">
        <f aca="false">K2195-L2195</f>
        <v>-0.133504807631241</v>
      </c>
      <c r="N2195" s="21" t="n">
        <f aca="false">LN(J2195)</f>
        <v>13.2974414707847</v>
      </c>
      <c r="O2195" s="21" t="n">
        <f aca="false">AVERAGEIFS($N$2:$N$2705,$B$2:$B$2705,B2195)</f>
        <v>13.6181656321195</v>
      </c>
      <c r="P2195" s="21" t="n">
        <f aca="false">N2195-O2195</f>
        <v>-0.320724161334791</v>
      </c>
      <c r="Q2195" s="7" t="n">
        <v>1</v>
      </c>
      <c r="R2195" s="3" t="n">
        <f aca="false">IF(AND(Q2195=1,B2195-_xlfn.MINIFS($B$2:$B$2705,$A$2:$A$2705,A2195)&lt;10),1,0)</f>
        <v>0</v>
      </c>
      <c r="S2195" s="7" t="n">
        <v>0</v>
      </c>
      <c r="T2195" s="3" t="n">
        <f aca="false">_xlfn.MINIFS($B$2:$B$2705,$A$2:$A$2705,A2195)</f>
        <v>1969</v>
      </c>
      <c r="U2195" s="3" t="n">
        <f aca="false">B2195-T2195</f>
        <v>39</v>
      </c>
      <c r="V2195" s="3" t="str">
        <f aca="false">INDEX(Pop_Inputs!$Q$2:$Q$29,MATCH(C2195,Pop_Inputs!$A$2:$A$29,0))</f>
        <v>South</v>
      </c>
      <c r="W2195" s="29" t="n">
        <v>54961000</v>
      </c>
      <c r="X2195" s="3" t="n">
        <f aca="false">IF(W2195="","",LN(W2195))</f>
        <v>17.8221344007638</v>
      </c>
      <c r="Y2195" s="3" t="n">
        <f aca="false">IF(X2195="","",X2195-AVERAGEIFS($X$2:$X$2705,$B$2:$B$2705,B2195))</f>
        <v>-0.398172857638052</v>
      </c>
      <c r="Z2195" s="21" t="n">
        <f aca="false">P2195</f>
        <v>-0.320724161334791</v>
      </c>
      <c r="AA2195" s="3" t="n">
        <f aca="false">R2195</f>
        <v>0</v>
      </c>
      <c r="AB2195" s="21" t="n">
        <f aca="false">P2195</f>
        <v>-0.320724161334791</v>
      </c>
      <c r="AC2195" s="3" t="n">
        <f aca="false">Y2195</f>
        <v>-0.398172857638052</v>
      </c>
      <c r="AD2195" s="3" t="n">
        <f aca="false">R2195</f>
        <v>0</v>
      </c>
    </row>
    <row r="2196" customFormat="false" ht="15" hidden="false" customHeight="true" outlineLevel="0" collapsed="false">
      <c r="A2196" s="7" t="s">
        <v>71</v>
      </c>
      <c r="B2196" s="7" t="n">
        <v>2009</v>
      </c>
      <c r="C2196" s="7" t="s">
        <v>148</v>
      </c>
      <c r="D2196" s="7" t="n">
        <v>97</v>
      </c>
      <c r="E2196" s="7" t="n">
        <v>65</v>
      </c>
      <c r="F2196" s="3" t="n">
        <f aca="false">COUNTIFS($B$2:$B$2705,B2196,$C$2:$C$2705,C2196)</f>
        <v>2</v>
      </c>
      <c r="G2196" s="3" t="n">
        <f aca="false">MIN(INT((MIN(B2196,2020)-1900)/10)+1,12)</f>
        <v>11</v>
      </c>
      <c r="H2196" s="3" t="n">
        <f aca="false">(MIN(B2196,2020)-1900-10*(G2196-1))/10</f>
        <v>0.9</v>
      </c>
      <c r="I2196" s="20" t="n">
        <f aca="false">EXP(LN(INDEX(Pop_Inputs!$B$2:$N$29,MATCH(C2196,Pop_Inputs!$A$2:$A$29,0),G2196))*(1-H2196)+LN(INDEX(Pop_Inputs!$B$2:$N$29,MATCH(C2196,Pop_Inputs!$A$2:$A$29,0),G2196+1))*H2196)</f>
        <v>3782725.52058216</v>
      </c>
      <c r="J2196" s="20" t="n">
        <f aca="false">I2196/F2196</f>
        <v>1891362.76029108</v>
      </c>
      <c r="K2196" s="21" t="n">
        <f aca="false">D2196/(D2196+E2196)</f>
        <v>0.598765432098765</v>
      </c>
      <c r="L2196" s="21" t="n">
        <f aca="false">AVERAGEIFS($K$2:$K$2705,$B$2:$B$2705,B2196)</f>
        <v>0.4999669282767</v>
      </c>
      <c r="M2196" s="21" t="n">
        <f aca="false">K2196-L2196</f>
        <v>0.0987985038220657</v>
      </c>
      <c r="N2196" s="21" t="n">
        <f aca="false">LN(J2196)</f>
        <v>14.4528081644044</v>
      </c>
      <c r="O2196" s="21" t="n">
        <f aca="false">AVERAGEIFS($N$2:$N$2705,$B$2:$B$2705,B2196)</f>
        <v>13.6179907771704</v>
      </c>
      <c r="P2196" s="21" t="n">
        <f aca="false">N2196-O2196</f>
        <v>0.834817387234047</v>
      </c>
      <c r="Q2196" s="7" t="n">
        <v>1</v>
      </c>
      <c r="R2196" s="3" t="n">
        <f aca="false">IF(AND(Q2196=1,B2196-_xlfn.MINIFS($B$2:$B$2705,$A$2:$A$2705,A2196)&lt;10),1,0)</f>
        <v>0</v>
      </c>
      <c r="S2196" s="7" t="n">
        <v>0</v>
      </c>
      <c r="T2196" s="3" t="n">
        <f aca="false">_xlfn.MINIFS($B$2:$B$2705,$A$2:$A$2705,A2196)</f>
        <v>1961</v>
      </c>
      <c r="U2196" s="3" t="n">
        <f aca="false">B2196-T2196</f>
        <v>48</v>
      </c>
      <c r="V2196" s="3" t="str">
        <f aca="false">INDEX(Pop_Inputs!$Q$2:$Q$29,MATCH(C2196,Pop_Inputs!$A$2:$A$29,0))</f>
        <v>West</v>
      </c>
      <c r="W2196" s="29" t="n">
        <v>113709000</v>
      </c>
      <c r="X2196" s="3" t="n">
        <f aca="false">IF(W2196="","",LN(W2196))</f>
        <v>18.5491531112609</v>
      </c>
      <c r="Y2196" s="3" t="n">
        <f aca="false">IF(X2196="","",X2196-AVERAGEIFS($X$2:$X$2705,$B$2:$B$2705,B2196))</f>
        <v>0.311151573659927</v>
      </c>
      <c r="Z2196" s="21" t="n">
        <f aca="false">P2196</f>
        <v>0.834817387234047</v>
      </c>
      <c r="AA2196" s="3" t="n">
        <f aca="false">R2196</f>
        <v>0</v>
      </c>
      <c r="AB2196" s="21" t="n">
        <f aca="false">P2196</f>
        <v>0.834817387234047</v>
      </c>
      <c r="AC2196" s="3" t="n">
        <f aca="false">Y2196</f>
        <v>0.311151573659927</v>
      </c>
      <c r="AD2196" s="3" t="n">
        <f aca="false">R2196</f>
        <v>0</v>
      </c>
    </row>
    <row r="2197" customFormat="false" ht="15" hidden="false" customHeight="true" outlineLevel="0" collapsed="false">
      <c r="A2197" s="7" t="s">
        <v>84</v>
      </c>
      <c r="B2197" s="7" t="n">
        <v>2009</v>
      </c>
      <c r="C2197" s="7" t="s">
        <v>165</v>
      </c>
      <c r="D2197" s="7" t="n">
        <v>70</v>
      </c>
      <c r="E2197" s="7" t="n">
        <v>92</v>
      </c>
      <c r="F2197" s="3" t="n">
        <f aca="false">COUNTIFS($B$2:$B$2705,B2197,$C$2:$C$2705,C2197)</f>
        <v>1</v>
      </c>
      <c r="G2197" s="3" t="n">
        <f aca="false">MIN(INT((MIN(B2197,2020)-1900)/10)+1,12)</f>
        <v>11</v>
      </c>
      <c r="H2197" s="3" t="n">
        <f aca="false">(MIN(B2197,2020)-1900-10*(G2197-1))/10</f>
        <v>0.9</v>
      </c>
      <c r="I2197" s="20" t="n">
        <f aca="false">EXP(LN(INDEX(Pop_Inputs!$B$2:$N$29,MATCH(C2197,Pop_Inputs!$A$2:$A$29,0),G2197))*(1-H2197)+LN(INDEX(Pop_Inputs!$B$2:$N$29,MATCH(C2197,Pop_Inputs!$A$2:$A$29,0),G2197+1))*H2197)</f>
        <v>1432661.99048371</v>
      </c>
      <c r="J2197" s="20" t="n">
        <f aca="false">I2197/F2197</f>
        <v>1432661.99048371</v>
      </c>
      <c r="K2197" s="21" t="n">
        <f aca="false">D2197/(D2197+E2197)</f>
        <v>0.432098765432099</v>
      </c>
      <c r="L2197" s="21" t="n">
        <f aca="false">AVERAGEIFS($K$2:$K$2705,$B$2:$B$2705,B2197)</f>
        <v>0.4999669282767</v>
      </c>
      <c r="M2197" s="21" t="n">
        <f aca="false">K2197-L2197</f>
        <v>-0.067868162844601</v>
      </c>
      <c r="N2197" s="21" t="n">
        <f aca="false">LN(J2197)</f>
        <v>14.1750448035398</v>
      </c>
      <c r="O2197" s="21" t="n">
        <f aca="false">AVERAGEIFS($N$2:$N$2705,$B$2:$B$2705,B2197)</f>
        <v>13.6179907771704</v>
      </c>
      <c r="P2197" s="21" t="n">
        <f aca="false">N2197-O2197</f>
        <v>0.557054026369407</v>
      </c>
      <c r="Q2197" s="7" t="n">
        <v>1</v>
      </c>
      <c r="R2197" s="3" t="n">
        <f aca="false">IF(AND(Q2197=1,B2197-_xlfn.MINIFS($B$2:$B$2705,$A$2:$A$2705,A2197)&lt;10),1,0)</f>
        <v>0</v>
      </c>
      <c r="S2197" s="7" t="n">
        <v>0</v>
      </c>
      <c r="T2197" s="3" t="n">
        <f aca="false">_xlfn.MINIFS($B$2:$B$2705,$A$2:$A$2705,A2197)</f>
        <v>1998</v>
      </c>
      <c r="U2197" s="3" t="n">
        <f aca="false">B2197-T2197</f>
        <v>11</v>
      </c>
      <c r="V2197" s="3" t="str">
        <f aca="false">INDEX(Pop_Inputs!$Q$2:$Q$29,MATCH(C2197,Pop_Inputs!$A$2:$A$29,0))</f>
        <v>West</v>
      </c>
      <c r="W2197" s="29" t="n">
        <v>73115666</v>
      </c>
      <c r="X2197" s="3" t="n">
        <f aca="false">IF(W2197="","",LN(W2197))</f>
        <v>18.1075532109246</v>
      </c>
      <c r="Y2197" s="3" t="n">
        <f aca="false">IF(X2197="","",X2197-AVERAGEIFS($X$2:$X$2705,$B$2:$B$2705,B2197))</f>
        <v>-0.130448326676412</v>
      </c>
      <c r="Z2197" s="21" t="n">
        <f aca="false">P2197</f>
        <v>0.557054026369407</v>
      </c>
      <c r="AA2197" s="3" t="n">
        <f aca="false">R2197</f>
        <v>0</v>
      </c>
      <c r="AB2197" s="21" t="n">
        <f aca="false">P2197</f>
        <v>0.557054026369407</v>
      </c>
      <c r="AC2197" s="3" t="n">
        <f aca="false">Y2197</f>
        <v>-0.130448326676412</v>
      </c>
      <c r="AD2197" s="3" t="n">
        <f aca="false">R2197</f>
        <v>0</v>
      </c>
    </row>
    <row r="2198" customFormat="false" ht="15" hidden="false" customHeight="true" outlineLevel="0" collapsed="false">
      <c r="A2198" s="7" t="s">
        <v>54</v>
      </c>
      <c r="B2198" s="7" t="n">
        <v>2009</v>
      </c>
      <c r="C2198" s="7" t="s">
        <v>141</v>
      </c>
      <c r="D2198" s="7" t="n">
        <v>86</v>
      </c>
      <c r="E2198" s="7" t="n">
        <v>76</v>
      </c>
      <c r="F2198" s="3" t="n">
        <f aca="false">COUNTIFS($B$2:$B$2705,B2198,$C$2:$C$2705,C2198)</f>
        <v>1</v>
      </c>
      <c r="G2198" s="3" t="n">
        <f aca="false">MIN(INT((MIN(B2198,2020)-1900)/10)+1,12)</f>
        <v>11</v>
      </c>
      <c r="H2198" s="3" t="n">
        <f aca="false">(MIN(B2198,2020)-1900-10*(G2198-1))/10</f>
        <v>0.9</v>
      </c>
      <c r="I2198" s="20" t="n">
        <f aca="false">EXP(LN(INDEX(Pop_Inputs!$B$2:$N$29,MATCH(C2198,Pop_Inputs!$A$2:$A$29,0),G2198))*(1-H2198)+LN(INDEX(Pop_Inputs!$B$2:$N$29,MATCH(C2198,Pop_Inputs!$A$2:$A$29,0),G2198+1))*H2198)</f>
        <v>419648.758525284</v>
      </c>
      <c r="J2198" s="20" t="n">
        <f aca="false">I2198/F2198</f>
        <v>419648.758525284</v>
      </c>
      <c r="K2198" s="21" t="n">
        <f aca="false">D2198/(D2198+E2198)</f>
        <v>0.530864197530864</v>
      </c>
      <c r="L2198" s="21" t="n">
        <f aca="false">AVERAGEIFS($K$2:$K$2705,$B$2:$B$2705,B2198)</f>
        <v>0.4999669282767</v>
      </c>
      <c r="M2198" s="21" t="n">
        <f aca="false">K2198-L2198</f>
        <v>0.0308972692541645</v>
      </c>
      <c r="N2198" s="21" t="n">
        <f aca="false">LN(J2198)</f>
        <v>12.9471733511491</v>
      </c>
      <c r="O2198" s="21" t="n">
        <f aca="false">AVERAGEIFS($N$2:$N$2705,$B$2:$B$2705,B2198)</f>
        <v>13.6179907771704</v>
      </c>
      <c r="P2198" s="21" t="n">
        <f aca="false">N2198-O2198</f>
        <v>-0.670817426021278</v>
      </c>
      <c r="Q2198" s="7" t="n">
        <v>0</v>
      </c>
      <c r="R2198" s="3" t="n">
        <f aca="false">IF(AND(Q2198=1,B2198-_xlfn.MINIFS($B$2:$B$2705,$A$2:$A$2705,A2198)&lt;10),1,0)</f>
        <v>0</v>
      </c>
      <c r="S2198" s="7" t="n">
        <v>0</v>
      </c>
      <c r="T2198" s="3" t="n">
        <f aca="false">_xlfn.MINIFS($B$2:$B$2705,$A$2:$A$2705,A2198)</f>
        <v>1901</v>
      </c>
      <c r="U2198" s="3" t="n">
        <f aca="false">B2198-T2198</f>
        <v>108</v>
      </c>
      <c r="V2198" s="3" t="str">
        <f aca="false">INDEX(Pop_Inputs!$Q$2:$Q$29,MATCH(C2198,Pop_Inputs!$A$2:$A$29,0))</f>
        <v>South</v>
      </c>
      <c r="W2198" s="29" t="n">
        <v>96726166</v>
      </c>
      <c r="X2198" s="3" t="n">
        <f aca="false">IF(W2198="","",LN(W2198))</f>
        <v>18.3873945132727</v>
      </c>
      <c r="Y2198" s="3" t="n">
        <f aca="false">IF(X2198="","",X2198-AVERAGEIFS($X$2:$X$2705,$B$2:$B$2705,B2198))</f>
        <v>0.149392975671699</v>
      </c>
      <c r="Z2198" s="21" t="n">
        <f aca="false">P2198</f>
        <v>-0.670817426021278</v>
      </c>
      <c r="AA2198" s="3" t="n">
        <f aca="false">R2198</f>
        <v>0</v>
      </c>
      <c r="AB2198" s="21" t="n">
        <f aca="false">P2198</f>
        <v>-0.670817426021278</v>
      </c>
      <c r="AC2198" s="3" t="n">
        <f aca="false">Y2198</f>
        <v>0.149392975671699</v>
      </c>
      <c r="AD2198" s="3" t="n">
        <f aca="false">R2198</f>
        <v>0</v>
      </c>
    </row>
    <row r="2199" customFormat="false" ht="15" hidden="false" customHeight="true" outlineLevel="0" collapsed="false">
      <c r="A2199" s="7" t="s">
        <v>63</v>
      </c>
      <c r="B2199" s="7" t="n">
        <v>2009</v>
      </c>
      <c r="C2199" s="7" t="s">
        <v>149</v>
      </c>
      <c r="D2199" s="7" t="n">
        <v>64</v>
      </c>
      <c r="E2199" s="7" t="n">
        <v>98</v>
      </c>
      <c r="F2199" s="3" t="n">
        <f aca="false">COUNTIFS($B$2:$B$2705,B2199,$C$2:$C$2705,C2199)</f>
        <v>1</v>
      </c>
      <c r="G2199" s="3" t="n">
        <f aca="false">MIN(INT((MIN(B2199,2020)-1900)/10)+1,12)</f>
        <v>11</v>
      </c>
      <c r="H2199" s="3" t="n">
        <f aca="false">(MIN(B2199,2020)-1900-10*(G2199-1))/10</f>
        <v>0.9</v>
      </c>
      <c r="I2199" s="20" t="n">
        <f aca="false">EXP(LN(INDEX(Pop_Inputs!$B$2:$N$29,MATCH(C2199,Pop_Inputs!$A$2:$A$29,0),G2199))*(1-H2199)+LN(INDEX(Pop_Inputs!$B$2:$N$29,MATCH(C2199,Pop_Inputs!$A$2:$A$29,0),G2199+1))*H2199)</f>
        <v>623916.201924211</v>
      </c>
      <c r="J2199" s="20" t="n">
        <f aca="false">I2199/F2199</f>
        <v>623916.201924211</v>
      </c>
      <c r="K2199" s="21" t="n">
        <f aca="false">D2199/(D2199+E2199)</f>
        <v>0.395061728395062</v>
      </c>
      <c r="L2199" s="21" t="n">
        <f aca="false">AVERAGEIFS($K$2:$K$2705,$B$2:$B$2705,B2199)</f>
        <v>0.4999669282767</v>
      </c>
      <c r="M2199" s="21" t="n">
        <f aca="false">K2199-L2199</f>
        <v>-0.104905199881638</v>
      </c>
      <c r="N2199" s="21" t="n">
        <f aca="false">LN(J2199)</f>
        <v>13.3437713465455</v>
      </c>
      <c r="O2199" s="21" t="n">
        <f aca="false">AVERAGEIFS($N$2:$N$2705,$B$2:$B$2705,B2199)</f>
        <v>13.6179907771704</v>
      </c>
      <c r="P2199" s="21" t="n">
        <f aca="false">N2199-O2199</f>
        <v>-0.274219430624905</v>
      </c>
      <c r="Q2199" s="7" t="n">
        <v>0</v>
      </c>
      <c r="R2199" s="3" t="n">
        <f aca="false">IF(AND(Q2199=1,B2199-_xlfn.MINIFS($B$2:$B$2705,$A$2:$A$2705,A2199)&lt;10),1,0)</f>
        <v>0</v>
      </c>
      <c r="S2199" s="7" t="n">
        <v>0</v>
      </c>
      <c r="T2199" s="3" t="n">
        <f aca="false">_xlfn.MINIFS($B$2:$B$2705,$A$2:$A$2705,A2199)</f>
        <v>1901</v>
      </c>
      <c r="U2199" s="3" t="n">
        <f aca="false">B2199-T2199</f>
        <v>108</v>
      </c>
      <c r="V2199" s="3" t="str">
        <f aca="false">INDEX(Pop_Inputs!$Q$2:$Q$29,MATCH(C2199,Pop_Inputs!$A$2:$A$29,0))</f>
        <v>South</v>
      </c>
      <c r="W2199" s="29" t="n">
        <v>67101666</v>
      </c>
      <c r="X2199" s="3" t="n">
        <f aca="false">IF(W2199="","",LN(W2199))</f>
        <v>18.0217194302477</v>
      </c>
      <c r="Y2199" s="3" t="n">
        <f aca="false">IF(X2199="","",X2199-AVERAGEIFS($X$2:$X$2705,$B$2:$B$2705,B2199))</f>
        <v>-0.216282107353322</v>
      </c>
      <c r="Z2199" s="21" t="n">
        <f aca="false">P2199</f>
        <v>-0.274219430624905</v>
      </c>
      <c r="AA2199" s="3" t="n">
        <f aca="false">R2199</f>
        <v>0</v>
      </c>
      <c r="AB2199" s="21" t="n">
        <f aca="false">P2199</f>
        <v>-0.274219430624905</v>
      </c>
      <c r="AC2199" s="3" t="n">
        <f aca="false">Y2199</f>
        <v>-0.216282107353322</v>
      </c>
      <c r="AD2199" s="3" t="n">
        <f aca="false">R2199</f>
        <v>0</v>
      </c>
    </row>
    <row r="2200" customFormat="false" ht="15" hidden="false" customHeight="true" outlineLevel="0" collapsed="false">
      <c r="A2200" s="7" t="s">
        <v>64</v>
      </c>
      <c r="B2200" s="7" t="n">
        <v>2009</v>
      </c>
      <c r="C2200" s="7" t="s">
        <v>150</v>
      </c>
      <c r="D2200" s="7" t="n">
        <v>95</v>
      </c>
      <c r="E2200" s="7" t="n">
        <v>67</v>
      </c>
      <c r="F2200" s="3" t="n">
        <f aca="false">COUNTIFS($B$2:$B$2705,B2200,$C$2:$C$2705,C2200)</f>
        <v>1</v>
      </c>
      <c r="G2200" s="3" t="n">
        <f aca="false">MIN(INT((MIN(B2200,2020)-1900)/10)+1,12)</f>
        <v>11</v>
      </c>
      <c r="H2200" s="3" t="n">
        <f aca="false">(MIN(B2200,2020)-1900-10*(G2200-1))/10</f>
        <v>0.9</v>
      </c>
      <c r="I2200" s="20" t="n">
        <f aca="false">EXP(LN(INDEX(Pop_Inputs!$B$2:$N$29,MATCH(C2200,Pop_Inputs!$A$2:$A$29,0),G2200))*(1-H2200)+LN(INDEX(Pop_Inputs!$B$2:$N$29,MATCH(C2200,Pop_Inputs!$A$2:$A$29,0),G2200+1))*H2200)</f>
        <v>614687.930939157</v>
      </c>
      <c r="J2200" s="20" t="n">
        <f aca="false">I2200/F2200</f>
        <v>614687.930939157</v>
      </c>
      <c r="K2200" s="21" t="n">
        <f aca="false">D2200/(D2200+E2200)</f>
        <v>0.58641975308642</v>
      </c>
      <c r="L2200" s="21" t="n">
        <f aca="false">AVERAGEIFS($K$2:$K$2705,$B$2:$B$2705,B2200)</f>
        <v>0.4999669282767</v>
      </c>
      <c r="M2200" s="21" t="n">
        <f aca="false">K2200-L2200</f>
        <v>0.0864528248097201</v>
      </c>
      <c r="N2200" s="21" t="n">
        <f aca="false">LN(J2200)</f>
        <v>13.3288699886356</v>
      </c>
      <c r="O2200" s="21" t="n">
        <f aca="false">AVERAGEIFS($N$2:$N$2705,$B$2:$B$2705,B2200)</f>
        <v>13.6179907771704</v>
      </c>
      <c r="P2200" s="21" t="n">
        <f aca="false">N2200-O2200</f>
        <v>-0.289120788534815</v>
      </c>
      <c r="Q2200" s="7" t="n">
        <v>0</v>
      </c>
      <c r="R2200" s="3" t="n">
        <f aca="false">IF(AND(Q2200=1,B2200-_xlfn.MINIFS($B$2:$B$2705,$A$2:$A$2705,A2200)&lt;10),1,0)</f>
        <v>0</v>
      </c>
      <c r="S2200" s="7" t="n">
        <v>0</v>
      </c>
      <c r="T2200" s="3" t="n">
        <f aca="false">_xlfn.MINIFS($B$2:$B$2705,$A$2:$A$2705,A2200)</f>
        <v>1901</v>
      </c>
      <c r="U2200" s="3" t="n">
        <f aca="false">B2200-T2200</f>
        <v>108</v>
      </c>
      <c r="V2200" s="3" t="str">
        <f aca="false">INDEX(Pop_Inputs!$Q$2:$Q$29,MATCH(C2200,Pop_Inputs!$A$2:$A$29,0))</f>
        <v>Northeast</v>
      </c>
      <c r="W2200" s="29" t="n">
        <v>121345999</v>
      </c>
      <c r="X2200" s="3" t="n">
        <f aca="false">IF(W2200="","",LN(W2200))</f>
        <v>18.6141565188476</v>
      </c>
      <c r="Y2200" s="3" t="n">
        <f aca="false">IF(X2200="","",X2200-AVERAGEIFS($X$2:$X$2705,$B$2:$B$2705,B2200))</f>
        <v>0.376154981246547</v>
      </c>
      <c r="Z2200" s="21" t="n">
        <f aca="false">P2200</f>
        <v>-0.289120788534815</v>
      </c>
      <c r="AA2200" s="3" t="n">
        <f aca="false">R2200</f>
        <v>0</v>
      </c>
      <c r="AB2200" s="21" t="n">
        <f aca="false">P2200</f>
        <v>-0.289120788534815</v>
      </c>
      <c r="AC2200" s="3" t="n">
        <f aca="false">Y2200</f>
        <v>0.376154981246547</v>
      </c>
      <c r="AD2200" s="3" t="n">
        <f aca="false">R2200</f>
        <v>0</v>
      </c>
    </row>
    <row r="2201" customFormat="false" ht="15" hidden="false" customHeight="true" outlineLevel="0" collapsed="false">
      <c r="A2201" s="7" t="s">
        <v>56</v>
      </c>
      <c r="B2201" s="7" t="n">
        <v>2009</v>
      </c>
      <c r="C2201" s="7" t="s">
        <v>142</v>
      </c>
      <c r="D2201" s="7" t="n">
        <v>83</v>
      </c>
      <c r="E2201" s="7" t="n">
        <v>78</v>
      </c>
      <c r="F2201" s="3" t="n">
        <f aca="false">COUNTIFS($B$2:$B$2705,B2201,$C$2:$C$2705,C2201)</f>
        <v>2</v>
      </c>
      <c r="G2201" s="3" t="n">
        <f aca="false">MIN(INT((MIN(B2201,2020)-1900)/10)+1,12)</f>
        <v>11</v>
      </c>
      <c r="H2201" s="3" t="n">
        <f aca="false">(MIN(B2201,2020)-1900-10*(G2201-1))/10</f>
        <v>0.9</v>
      </c>
      <c r="I2201" s="20" t="n">
        <f aca="false">EXP(LN(INDEX(Pop_Inputs!$B$2:$N$29,MATCH(C2201,Pop_Inputs!$A$2:$A$29,0),G2201))*(1-H2201)+LN(INDEX(Pop_Inputs!$B$2:$N$29,MATCH(C2201,Pop_Inputs!$A$2:$A$29,0),G2201+1))*H2201)</f>
        <v>2714999.21666</v>
      </c>
      <c r="J2201" s="20" t="n">
        <f aca="false">I2201/F2201</f>
        <v>1357499.60833</v>
      </c>
      <c r="K2201" s="21" t="n">
        <f aca="false">D2201/(D2201+E2201)</f>
        <v>0.515527950310559</v>
      </c>
      <c r="L2201" s="21" t="n">
        <f aca="false">AVERAGEIFS($K$2:$K$2705,$B$2:$B$2705,B2201)</f>
        <v>0.4999669282767</v>
      </c>
      <c r="M2201" s="21" t="n">
        <f aca="false">K2201-L2201</f>
        <v>0.0155610220338592</v>
      </c>
      <c r="N2201" s="21" t="n">
        <f aca="false">LN(J2201)</f>
        <v>14.1211550422672</v>
      </c>
      <c r="O2201" s="21" t="n">
        <f aca="false">AVERAGEIFS($N$2:$N$2705,$B$2:$B$2705,B2201)</f>
        <v>13.6179907771704</v>
      </c>
      <c r="P2201" s="21" t="n">
        <f aca="false">N2201-O2201</f>
        <v>0.503164265096768</v>
      </c>
      <c r="Q2201" s="7" t="n">
        <v>0</v>
      </c>
      <c r="R2201" s="3" t="n">
        <f aca="false">IF(AND(Q2201=1,B2201-_xlfn.MINIFS($B$2:$B$2705,$A$2:$A$2705,A2201)&lt;10),1,0)</f>
        <v>0</v>
      </c>
      <c r="S2201" s="7" t="n">
        <v>0</v>
      </c>
      <c r="T2201" s="3" t="n">
        <f aca="false">_xlfn.MINIFS($B$2:$B$2705,$A$2:$A$2705,A2201)</f>
        <v>1901</v>
      </c>
      <c r="U2201" s="3" t="n">
        <f aca="false">B2201-T2201</f>
        <v>108</v>
      </c>
      <c r="V2201" s="3" t="str">
        <f aca="false">INDEX(Pop_Inputs!$Q$2:$Q$29,MATCH(C2201,Pop_Inputs!$A$2:$A$29,0))</f>
        <v>Midwest</v>
      </c>
      <c r="W2201" s="29" t="n">
        <v>134809000</v>
      </c>
      <c r="X2201" s="3" t="n">
        <f aca="false">IF(W2201="","",LN(W2201))</f>
        <v>18.7193695197924</v>
      </c>
      <c r="Y2201" s="3" t="n">
        <f aca="false">IF(X2201="","",X2201-AVERAGEIFS($X$2:$X$2705,$B$2:$B$2705,B2201))</f>
        <v>0.481367982191379</v>
      </c>
      <c r="Z2201" s="21" t="n">
        <f aca="false">P2201</f>
        <v>0.503164265096768</v>
      </c>
      <c r="AA2201" s="3" t="n">
        <f aca="false">R2201</f>
        <v>0</v>
      </c>
      <c r="AB2201" s="21" t="n">
        <f aca="false">P2201</f>
        <v>0.503164265096768</v>
      </c>
      <c r="AC2201" s="3" t="n">
        <f aca="false">Y2201</f>
        <v>0.481367982191379</v>
      </c>
      <c r="AD2201" s="3" t="n">
        <f aca="false">R2201</f>
        <v>0</v>
      </c>
    </row>
    <row r="2202" customFormat="false" ht="15" hidden="false" customHeight="true" outlineLevel="0" collapsed="false">
      <c r="A2202" s="7" t="s">
        <v>65</v>
      </c>
      <c r="B2202" s="7" t="n">
        <v>2009</v>
      </c>
      <c r="C2202" s="7" t="s">
        <v>142</v>
      </c>
      <c r="D2202" s="7" t="n">
        <v>79</v>
      </c>
      <c r="E2202" s="7" t="n">
        <v>83</v>
      </c>
      <c r="F2202" s="3" t="n">
        <f aca="false">COUNTIFS($B$2:$B$2705,B2202,$C$2:$C$2705,C2202)</f>
        <v>2</v>
      </c>
      <c r="G2202" s="3" t="n">
        <f aca="false">MIN(INT((MIN(B2202,2020)-1900)/10)+1,12)</f>
        <v>11</v>
      </c>
      <c r="H2202" s="3" t="n">
        <f aca="false">(MIN(B2202,2020)-1900-10*(G2202-1))/10</f>
        <v>0.9</v>
      </c>
      <c r="I2202" s="20" t="n">
        <f aca="false">EXP(LN(INDEX(Pop_Inputs!$B$2:$N$29,MATCH(C2202,Pop_Inputs!$A$2:$A$29,0),G2202))*(1-H2202)+LN(INDEX(Pop_Inputs!$B$2:$N$29,MATCH(C2202,Pop_Inputs!$A$2:$A$29,0),G2202+1))*H2202)</f>
        <v>2714999.21666</v>
      </c>
      <c r="J2202" s="20" t="n">
        <f aca="false">I2202/F2202</f>
        <v>1357499.60833</v>
      </c>
      <c r="K2202" s="21" t="n">
        <f aca="false">D2202/(D2202+E2202)</f>
        <v>0.487654320987654</v>
      </c>
      <c r="L2202" s="21" t="n">
        <f aca="false">AVERAGEIFS($K$2:$K$2705,$B$2:$B$2705,B2202)</f>
        <v>0.4999669282767</v>
      </c>
      <c r="M2202" s="21" t="n">
        <f aca="false">K2202-L2202</f>
        <v>-0.0123126072890454</v>
      </c>
      <c r="N2202" s="21" t="n">
        <f aca="false">LN(J2202)</f>
        <v>14.1211550422672</v>
      </c>
      <c r="O2202" s="21" t="n">
        <f aca="false">AVERAGEIFS($N$2:$N$2705,$B$2:$B$2705,B2202)</f>
        <v>13.6179907771704</v>
      </c>
      <c r="P2202" s="21" t="n">
        <f aca="false">N2202-O2202</f>
        <v>0.503164265096768</v>
      </c>
      <c r="Q2202" s="7" t="n">
        <v>0</v>
      </c>
      <c r="R2202" s="3" t="n">
        <f aca="false">IF(AND(Q2202=1,B2202-_xlfn.MINIFS($B$2:$B$2705,$A$2:$A$2705,A2202)&lt;10),1,0)</f>
        <v>0</v>
      </c>
      <c r="S2202" s="7" t="n">
        <v>0</v>
      </c>
      <c r="T2202" s="3" t="n">
        <f aca="false">_xlfn.MINIFS($B$2:$B$2705,$A$2:$A$2705,A2202)</f>
        <v>1901</v>
      </c>
      <c r="U2202" s="3" t="n">
        <f aca="false">B2202-T2202</f>
        <v>108</v>
      </c>
      <c r="V2202" s="3" t="str">
        <f aca="false">INDEX(Pop_Inputs!$Q$2:$Q$29,MATCH(C2202,Pop_Inputs!$A$2:$A$29,0))</f>
        <v>Midwest</v>
      </c>
      <c r="W2202" s="29" t="n">
        <v>96068500</v>
      </c>
      <c r="X2202" s="3" t="n">
        <f aca="false">IF(W2202="","",LN(W2202))</f>
        <v>18.380572036649</v>
      </c>
      <c r="Y2202" s="3" t="n">
        <f aca="false">IF(X2202="","",X2202-AVERAGEIFS($X$2:$X$2705,$B$2:$B$2705,B2202))</f>
        <v>0.142570499047942</v>
      </c>
      <c r="Z2202" s="21" t="n">
        <f aca="false">P2202</f>
        <v>0.503164265096768</v>
      </c>
      <c r="AA2202" s="3" t="n">
        <f aca="false">R2202</f>
        <v>0</v>
      </c>
      <c r="AB2202" s="21" t="n">
        <f aca="false">P2202</f>
        <v>0.503164265096768</v>
      </c>
      <c r="AC2202" s="3" t="n">
        <f aca="false">Y2202</f>
        <v>0.142570499047942</v>
      </c>
      <c r="AD2202" s="3" t="n">
        <f aca="false">R2202</f>
        <v>0</v>
      </c>
    </row>
    <row r="2203" customFormat="false" ht="15" hidden="false" customHeight="true" outlineLevel="0" collapsed="false">
      <c r="A2203" s="7" t="s">
        <v>57</v>
      </c>
      <c r="B2203" s="7" t="n">
        <v>2009</v>
      </c>
      <c r="C2203" s="7" t="s">
        <v>143</v>
      </c>
      <c r="D2203" s="7" t="n">
        <v>78</v>
      </c>
      <c r="E2203" s="7" t="n">
        <v>84</v>
      </c>
      <c r="F2203" s="3" t="n">
        <f aca="false">COUNTIFS($B$2:$B$2705,B2203,$C$2:$C$2705,C2203)</f>
        <v>1</v>
      </c>
      <c r="G2203" s="3" t="n">
        <f aca="false">MIN(INT((MIN(B2203,2020)-1900)/10)+1,12)</f>
        <v>11</v>
      </c>
      <c r="H2203" s="3" t="n">
        <f aca="false">(MIN(B2203,2020)-1900-10*(G2203-1))/10</f>
        <v>0.9</v>
      </c>
      <c r="I2203" s="20" t="n">
        <f aca="false">EXP(LN(INDEX(Pop_Inputs!$B$2:$N$29,MATCH(C2203,Pop_Inputs!$A$2:$A$29,0),G2203))*(1-H2203)+LN(INDEX(Pop_Inputs!$B$2:$N$29,MATCH(C2203,Pop_Inputs!$A$2:$A$29,0),G2203+1))*H2203)</f>
        <v>300210.556743528</v>
      </c>
      <c r="J2203" s="20" t="n">
        <f aca="false">I2203/F2203</f>
        <v>300210.556743528</v>
      </c>
      <c r="K2203" s="21" t="n">
        <f aca="false">D2203/(D2203+E2203)</f>
        <v>0.481481481481481</v>
      </c>
      <c r="L2203" s="21" t="n">
        <f aca="false">AVERAGEIFS($K$2:$K$2705,$B$2:$B$2705,B2203)</f>
        <v>0.4999669282767</v>
      </c>
      <c r="M2203" s="21" t="n">
        <f aca="false">K2203-L2203</f>
        <v>-0.0184854467952183</v>
      </c>
      <c r="N2203" s="21" t="n">
        <f aca="false">LN(J2203)</f>
        <v>12.6122393632645</v>
      </c>
      <c r="O2203" s="21" t="n">
        <f aca="false">AVERAGEIFS($N$2:$N$2705,$B$2:$B$2705,B2203)</f>
        <v>13.6179907771704</v>
      </c>
      <c r="P2203" s="21" t="n">
        <f aca="false">N2203-O2203</f>
        <v>-1.0057514139059</v>
      </c>
      <c r="Q2203" s="7" t="n">
        <v>0</v>
      </c>
      <c r="R2203" s="3" t="n">
        <f aca="false">IF(AND(Q2203=1,B2203-_xlfn.MINIFS($B$2:$B$2705,$A$2:$A$2705,A2203)&lt;10),1,0)</f>
        <v>0</v>
      </c>
      <c r="S2203" s="7" t="n">
        <v>0</v>
      </c>
      <c r="T2203" s="3" t="n">
        <f aca="false">_xlfn.MINIFS($B$2:$B$2705,$A$2:$A$2705,A2203)</f>
        <v>1901</v>
      </c>
      <c r="U2203" s="3" t="n">
        <f aca="false">B2203-T2203</f>
        <v>108</v>
      </c>
      <c r="V2203" s="3" t="str">
        <f aca="false">INDEX(Pop_Inputs!$Q$2:$Q$29,MATCH(C2203,Pop_Inputs!$A$2:$A$29,0))</f>
        <v>Midwest</v>
      </c>
      <c r="W2203" s="29" t="n">
        <v>73558500</v>
      </c>
      <c r="X2203" s="3" t="n">
        <f aca="false">IF(W2203="","",LN(W2203))</f>
        <v>18.1135915659754</v>
      </c>
      <c r="Y2203" s="3" t="n">
        <f aca="false">IF(X2203="","",X2203-AVERAGEIFS($X$2:$X$2705,$B$2:$B$2705,B2203))</f>
        <v>-0.12440997162566</v>
      </c>
      <c r="Z2203" s="21" t="n">
        <f aca="false">P2203</f>
        <v>-1.0057514139059</v>
      </c>
      <c r="AA2203" s="3" t="n">
        <f aca="false">R2203</f>
        <v>0</v>
      </c>
      <c r="AB2203" s="21" t="n">
        <f aca="false">P2203</f>
        <v>-1.0057514139059</v>
      </c>
      <c r="AC2203" s="3" t="n">
        <f aca="false">Y2203</f>
        <v>-0.12440997162566</v>
      </c>
      <c r="AD2203" s="3" t="n">
        <f aca="false">R2203</f>
        <v>0</v>
      </c>
    </row>
    <row r="2204" customFormat="false" ht="15" hidden="false" customHeight="true" outlineLevel="0" collapsed="false">
      <c r="A2204" s="7" t="s">
        <v>66</v>
      </c>
      <c r="B2204" s="7" t="n">
        <v>2009</v>
      </c>
      <c r="C2204" s="7" t="s">
        <v>151</v>
      </c>
      <c r="D2204" s="7" t="n">
        <v>65</v>
      </c>
      <c r="E2204" s="7" t="n">
        <v>97</v>
      </c>
      <c r="F2204" s="3" t="n">
        <f aca="false">COUNTIFS($B$2:$B$2705,B2204,$C$2:$C$2705,C2204)</f>
        <v>1</v>
      </c>
      <c r="G2204" s="3" t="n">
        <f aca="false">MIN(INT((MIN(B2204,2020)-1900)/10)+1,12)</f>
        <v>11</v>
      </c>
      <c r="H2204" s="3" t="n">
        <f aca="false">(MIN(B2204,2020)-1900-10*(G2204-1))/10</f>
        <v>0.9</v>
      </c>
      <c r="I2204" s="20" t="n">
        <f aca="false">EXP(LN(INDEX(Pop_Inputs!$B$2:$N$29,MATCH(C2204,Pop_Inputs!$A$2:$A$29,0),G2204))*(1-H2204)+LN(INDEX(Pop_Inputs!$B$2:$N$29,MATCH(C2204,Pop_Inputs!$A$2:$A$29,0),G2204+1))*H2204)</f>
        <v>404304.580789129</v>
      </c>
      <c r="J2204" s="20" t="n">
        <f aca="false">I2204/F2204</f>
        <v>404304.580789129</v>
      </c>
      <c r="K2204" s="21" t="n">
        <f aca="false">D2204/(D2204+E2204)</f>
        <v>0.401234567901235</v>
      </c>
      <c r="L2204" s="21" t="n">
        <f aca="false">AVERAGEIFS($K$2:$K$2705,$B$2:$B$2705,B2204)</f>
        <v>0.4999669282767</v>
      </c>
      <c r="M2204" s="21" t="n">
        <f aca="false">K2204-L2204</f>
        <v>-0.0987323603754652</v>
      </c>
      <c r="N2204" s="21" t="n">
        <f aca="false">LN(J2204)</f>
        <v>12.9099237857381</v>
      </c>
      <c r="O2204" s="21" t="n">
        <f aca="false">AVERAGEIFS($N$2:$N$2705,$B$2:$B$2705,B2204)</f>
        <v>13.6179907771704</v>
      </c>
      <c r="P2204" s="21" t="n">
        <f aca="false">N2204-O2204</f>
        <v>-0.708066991432261</v>
      </c>
      <c r="Q2204" s="7" t="n">
        <v>0</v>
      </c>
      <c r="R2204" s="3" t="n">
        <f aca="false">IF(AND(Q2204=1,B2204-_xlfn.MINIFS($B$2:$B$2705,$A$2:$A$2705,A2204)&lt;10),1,0)</f>
        <v>0</v>
      </c>
      <c r="S2204" s="7" t="n">
        <v>0</v>
      </c>
      <c r="T2204" s="3" t="n">
        <f aca="false">_xlfn.MINIFS($B$2:$B$2705,$A$2:$A$2705,A2204)</f>
        <v>1901</v>
      </c>
      <c r="U2204" s="3" t="n">
        <f aca="false">B2204-T2204</f>
        <v>108</v>
      </c>
      <c r="V2204" s="3" t="str">
        <f aca="false">INDEX(Pop_Inputs!$Q$2:$Q$29,MATCH(C2204,Pop_Inputs!$A$2:$A$29,0))</f>
        <v>Midwest</v>
      </c>
      <c r="W2204" s="29" t="n">
        <v>81579166</v>
      </c>
      <c r="X2204" s="3" t="n">
        <f aca="false">IF(W2204="","",LN(W2204))</f>
        <v>18.2170844687075</v>
      </c>
      <c r="Y2204" s="3" t="n">
        <f aca="false">IF(X2204="","",X2204-AVERAGEIFS($X$2:$X$2705,$B$2:$B$2705,B2204))</f>
        <v>-0.0209170688934819</v>
      </c>
      <c r="Z2204" s="21" t="n">
        <f aca="false">P2204</f>
        <v>-0.708066991432261</v>
      </c>
      <c r="AA2204" s="3" t="n">
        <f aca="false">R2204</f>
        <v>0</v>
      </c>
      <c r="AB2204" s="21" t="n">
        <f aca="false">P2204</f>
        <v>-0.708066991432261</v>
      </c>
      <c r="AC2204" s="3" t="n">
        <f aca="false">Y2204</f>
        <v>-0.0209170688934819</v>
      </c>
      <c r="AD2204" s="3" t="n">
        <f aca="false">R2204</f>
        <v>0</v>
      </c>
    </row>
    <row r="2205" customFormat="false" ht="15" hidden="false" customHeight="true" outlineLevel="0" collapsed="false">
      <c r="A2205" s="7" t="s">
        <v>82</v>
      </c>
      <c r="B2205" s="7" t="n">
        <v>2009</v>
      </c>
      <c r="C2205" s="7" t="s">
        <v>163</v>
      </c>
      <c r="D2205" s="7" t="n">
        <v>92</v>
      </c>
      <c r="E2205" s="7" t="n">
        <v>70</v>
      </c>
      <c r="F2205" s="3" t="n">
        <f aca="false">COUNTIFS($B$2:$B$2705,B2205,$C$2:$C$2705,C2205)</f>
        <v>1</v>
      </c>
      <c r="G2205" s="3" t="n">
        <f aca="false">MIN(INT((MIN(B2205,2020)-1900)/10)+1,12)</f>
        <v>11</v>
      </c>
      <c r="H2205" s="3" t="n">
        <f aca="false">(MIN(B2205,2020)-1900-10*(G2205-1))/10</f>
        <v>0.9</v>
      </c>
      <c r="I2205" s="20" t="n">
        <f aca="false">EXP(LN(INDEX(Pop_Inputs!$B$2:$N$29,MATCH(C2205,Pop_Inputs!$A$2:$A$29,0),G2205))*(1-H2205)+LN(INDEX(Pop_Inputs!$B$2:$N$29,MATCH(C2205,Pop_Inputs!$A$2:$A$29,0),G2205+1))*H2205)</f>
        <v>595442.521524431</v>
      </c>
      <c r="J2205" s="20" t="n">
        <f aca="false">I2205/F2205</f>
        <v>595442.521524431</v>
      </c>
      <c r="K2205" s="21" t="n">
        <f aca="false">D2205/(D2205+E2205)</f>
        <v>0.567901234567901</v>
      </c>
      <c r="L2205" s="21" t="n">
        <f aca="false">AVERAGEIFS($K$2:$K$2705,$B$2:$B$2705,B2205)</f>
        <v>0.4999669282767</v>
      </c>
      <c r="M2205" s="21" t="n">
        <f aca="false">K2205-L2205</f>
        <v>0.0679343062912015</v>
      </c>
      <c r="N2205" s="21" t="n">
        <f aca="false">LN(J2205)</f>
        <v>13.2970601417495</v>
      </c>
      <c r="O2205" s="21" t="n">
        <f aca="false">AVERAGEIFS($N$2:$N$2705,$B$2:$B$2705,B2205)</f>
        <v>13.6179907771704</v>
      </c>
      <c r="P2205" s="21" t="n">
        <f aca="false">N2205-O2205</f>
        <v>-0.320930635420945</v>
      </c>
      <c r="Q2205" s="7" t="n">
        <v>1</v>
      </c>
      <c r="R2205" s="3" t="n">
        <f aca="false">IF(AND(Q2205=1,B2205-_xlfn.MINIFS($B$2:$B$2705,$A$2:$A$2705,A2205)&lt;10),1,0)</f>
        <v>0</v>
      </c>
      <c r="S2205" s="7" t="n">
        <v>0</v>
      </c>
      <c r="T2205" s="3" t="n">
        <f aca="false">_xlfn.MINIFS($B$2:$B$2705,$A$2:$A$2705,A2205)</f>
        <v>1993</v>
      </c>
      <c r="U2205" s="3" t="n">
        <f aca="false">B2205-T2205</f>
        <v>16</v>
      </c>
      <c r="V2205" s="3" t="str">
        <f aca="false">INDEX(Pop_Inputs!$Q$2:$Q$29,MATCH(C2205,Pop_Inputs!$A$2:$A$29,0))</f>
        <v>West</v>
      </c>
      <c r="W2205" s="29" t="n">
        <v>75201000</v>
      </c>
      <c r="X2205" s="3" t="n">
        <f aca="false">IF(W2205="","",LN(W2205))</f>
        <v>18.135675086704</v>
      </c>
      <c r="Y2205" s="3" t="n">
        <f aca="false">IF(X2205="","",X2205-AVERAGEIFS($X$2:$X$2705,$B$2:$B$2705,B2205))</f>
        <v>-0.102326450897021</v>
      </c>
      <c r="Z2205" s="21" t="n">
        <f aca="false">P2205</f>
        <v>-0.320930635420945</v>
      </c>
      <c r="AA2205" s="3" t="n">
        <f aca="false">R2205</f>
        <v>0</v>
      </c>
      <c r="AB2205" s="21" t="n">
        <f aca="false">P2205</f>
        <v>-0.320930635420945</v>
      </c>
      <c r="AC2205" s="3" t="n">
        <f aca="false">Y2205</f>
        <v>-0.102326450897021</v>
      </c>
      <c r="AD2205" s="3" t="n">
        <f aca="false">R2205</f>
        <v>0</v>
      </c>
    </row>
    <row r="2206" customFormat="false" ht="15" hidden="false" customHeight="true" outlineLevel="0" collapsed="false">
      <c r="A2206" s="7" t="s">
        <v>67</v>
      </c>
      <c r="B2206" s="7" t="n">
        <v>2009</v>
      </c>
      <c r="C2206" s="7" t="s">
        <v>152</v>
      </c>
      <c r="D2206" s="7" t="n">
        <v>86</v>
      </c>
      <c r="E2206" s="7" t="n">
        <v>77</v>
      </c>
      <c r="F2206" s="3" t="n">
        <f aca="false">COUNTIFS($B$2:$B$2705,B2206,$C$2:$C$2705,C2206)</f>
        <v>1</v>
      </c>
      <c r="G2206" s="3" t="n">
        <f aca="false">MIN(INT((MIN(B2206,2020)-1900)/10)+1,12)</f>
        <v>11</v>
      </c>
      <c r="H2206" s="3" t="n">
        <f aca="false">(MIN(B2206,2020)-1900-10*(G2206-1))/10</f>
        <v>0.9</v>
      </c>
      <c r="I2206" s="20" t="n">
        <f aca="false">EXP(LN(INDEX(Pop_Inputs!$B$2:$N$29,MATCH(C2206,Pop_Inputs!$A$2:$A$29,0),G2206))*(1-H2206)+LN(INDEX(Pop_Inputs!$B$2:$N$29,MATCH(C2206,Pop_Inputs!$A$2:$A$29,0),G2206+1))*H2206)</f>
        <v>734575.898000482</v>
      </c>
      <c r="J2206" s="20" t="n">
        <f aca="false">I2206/F2206</f>
        <v>734575.898000482</v>
      </c>
      <c r="K2206" s="21" t="n">
        <f aca="false">D2206/(D2206+E2206)</f>
        <v>0.52760736196319</v>
      </c>
      <c r="L2206" s="21" t="n">
        <f aca="false">AVERAGEIFS($K$2:$K$2705,$B$2:$B$2705,B2206)</f>
        <v>0.4999669282767</v>
      </c>
      <c r="M2206" s="21" t="n">
        <f aca="false">K2206-L2206</f>
        <v>0.0276404336864904</v>
      </c>
      <c r="N2206" s="21" t="n">
        <f aca="false">LN(J2206)</f>
        <v>13.5070486021378</v>
      </c>
      <c r="O2206" s="21" t="n">
        <f aca="false">AVERAGEIFS($N$2:$N$2705,$B$2:$B$2705,B2206)</f>
        <v>13.6179907771704</v>
      </c>
      <c r="P2206" s="21" t="n">
        <f aca="false">N2206-O2206</f>
        <v>-0.110942175032635</v>
      </c>
      <c r="Q2206" s="7" t="n">
        <v>0</v>
      </c>
      <c r="R2206" s="3" t="n">
        <f aca="false">IF(AND(Q2206=1,B2206-_xlfn.MINIFS($B$2:$B$2705,$A$2:$A$2705,A2206)&lt;10),1,0)</f>
        <v>0</v>
      </c>
      <c r="S2206" s="7" t="n">
        <v>0</v>
      </c>
      <c r="T2206" s="3" t="n">
        <f aca="false">_xlfn.MINIFS($B$2:$B$2705,$A$2:$A$2705,A2206)</f>
        <v>1901</v>
      </c>
      <c r="U2206" s="3" t="n">
        <f aca="false">B2206-T2206</f>
        <v>108</v>
      </c>
      <c r="V2206" s="3" t="str">
        <f aca="false">INDEX(Pop_Inputs!$Q$2:$Q$29,MATCH(C2206,Pop_Inputs!$A$2:$A$29,0))</f>
        <v>Midwest</v>
      </c>
      <c r="W2206" s="29" t="n">
        <v>115085145</v>
      </c>
      <c r="X2206" s="3" t="n">
        <f aca="false">IF(W2206="","",LN(W2206))</f>
        <v>18.5611828036774</v>
      </c>
      <c r="Y2206" s="3" t="n">
        <f aca="false">IF(X2206="","",X2206-AVERAGEIFS($X$2:$X$2705,$B$2:$B$2705,B2206))</f>
        <v>0.323181266076428</v>
      </c>
      <c r="Z2206" s="21" t="n">
        <f aca="false">P2206</f>
        <v>-0.110942175032635</v>
      </c>
      <c r="AA2206" s="3" t="n">
        <f aca="false">R2206</f>
        <v>0</v>
      </c>
      <c r="AB2206" s="21" t="n">
        <f aca="false">P2206</f>
        <v>-0.110942175032635</v>
      </c>
      <c r="AC2206" s="3" t="n">
        <f aca="false">Y2206</f>
        <v>0.323181266076428</v>
      </c>
      <c r="AD2206" s="3" t="n">
        <f aca="false">R2206</f>
        <v>0</v>
      </c>
    </row>
    <row r="2207" customFormat="false" ht="15" hidden="false" customHeight="true" outlineLevel="0" collapsed="false">
      <c r="A2207" s="7" t="s">
        <v>83</v>
      </c>
      <c r="B2207" s="7" t="n">
        <v>2009</v>
      </c>
      <c r="C2207" s="7" t="s">
        <v>164</v>
      </c>
      <c r="D2207" s="7" t="n">
        <v>87</v>
      </c>
      <c r="E2207" s="7" t="n">
        <v>75</v>
      </c>
      <c r="F2207" s="3" t="n">
        <f aca="false">COUNTIFS($B$2:$B$2705,B2207,$C$2:$C$2705,C2207)</f>
        <v>1</v>
      </c>
      <c r="G2207" s="3" t="n">
        <f aca="false">MIN(INT((MIN(B2207,2020)-1900)/10)+1,12)</f>
        <v>11</v>
      </c>
      <c r="H2207" s="3" t="n">
        <f aca="false">(MIN(B2207,2020)-1900-10*(G2207-1))/10</f>
        <v>0.9</v>
      </c>
      <c r="I2207" s="20" t="n">
        <f aca="false">EXP(LN(INDEX(Pop_Inputs!$B$2:$N$29,MATCH(C2207,Pop_Inputs!$A$2:$A$29,0),G2207))*(1-H2207)+LN(INDEX(Pop_Inputs!$B$2:$N$29,MATCH(C2207,Pop_Inputs!$A$2:$A$29,0),G2207+1))*H2207)</f>
        <v>395594.494813125</v>
      </c>
      <c r="J2207" s="20" t="n">
        <f aca="false">I2207/F2207</f>
        <v>395594.494813125</v>
      </c>
      <c r="K2207" s="21" t="n">
        <f aca="false">D2207/(D2207+E2207)</f>
        <v>0.537037037037037</v>
      </c>
      <c r="L2207" s="21" t="n">
        <f aca="false">AVERAGEIFS($K$2:$K$2705,$B$2:$B$2705,B2207)</f>
        <v>0.4999669282767</v>
      </c>
      <c r="M2207" s="21" t="n">
        <f aca="false">K2207-L2207</f>
        <v>0.0370701087603373</v>
      </c>
      <c r="N2207" s="21" t="n">
        <f aca="false">LN(J2207)</f>
        <v>12.8881449625902</v>
      </c>
      <c r="O2207" s="21" t="n">
        <f aca="false">AVERAGEIFS($N$2:$N$2705,$B$2:$B$2705,B2207)</f>
        <v>13.6179907771704</v>
      </c>
      <c r="P2207" s="21" t="n">
        <f aca="false">N2207-O2207</f>
        <v>-0.729845814580198</v>
      </c>
      <c r="Q2207" s="7" t="n">
        <v>1</v>
      </c>
      <c r="R2207" s="3" t="n">
        <f aca="false">IF(AND(Q2207=1,B2207-_xlfn.MINIFS($B$2:$B$2705,$A$2:$A$2705,A2207)&lt;10),1,0)</f>
        <v>0</v>
      </c>
      <c r="S2207" s="7" t="n">
        <v>0</v>
      </c>
      <c r="T2207" s="3" t="n">
        <f aca="false">_xlfn.MINIFS($B$2:$B$2705,$A$2:$A$2705,A2207)</f>
        <v>1993</v>
      </c>
      <c r="U2207" s="3" t="n">
        <f aca="false">B2207-T2207</f>
        <v>16</v>
      </c>
      <c r="V2207" s="3" t="str">
        <f aca="false">INDEX(Pop_Inputs!$Q$2:$Q$29,MATCH(C2207,Pop_Inputs!$A$2:$A$29,0))</f>
        <v>South</v>
      </c>
      <c r="W2207" s="29" t="n">
        <v>36834000</v>
      </c>
      <c r="X2207" s="3" t="n">
        <f aca="false">IF(W2207="","",LN(W2207))</f>
        <v>17.4219318896377</v>
      </c>
      <c r="Y2207" s="3" t="n">
        <f aca="false">IF(X2207="","",X2207-AVERAGEIFS($X$2:$X$2705,$B$2:$B$2705,B2207))</f>
        <v>-0.816069647963328</v>
      </c>
      <c r="Z2207" s="21" t="n">
        <f aca="false">P2207</f>
        <v>-0.729845814580198</v>
      </c>
      <c r="AA2207" s="3" t="n">
        <f aca="false">R2207</f>
        <v>0</v>
      </c>
      <c r="AB2207" s="21" t="n">
        <f aca="false">P2207</f>
        <v>-0.729845814580198</v>
      </c>
      <c r="AC2207" s="3" t="n">
        <f aca="false">Y2207</f>
        <v>-0.816069647963328</v>
      </c>
      <c r="AD2207" s="3" t="n">
        <f aca="false">R2207</f>
        <v>0</v>
      </c>
    </row>
    <row r="2208" customFormat="false" ht="15" hidden="false" customHeight="true" outlineLevel="0" collapsed="false">
      <c r="A2208" s="7" t="s">
        <v>74</v>
      </c>
      <c r="B2208" s="7" t="n">
        <v>2009</v>
      </c>
      <c r="C2208" s="7" t="s">
        <v>156</v>
      </c>
      <c r="D2208" s="7" t="n">
        <v>74</v>
      </c>
      <c r="E2208" s="7" t="n">
        <v>88</v>
      </c>
      <c r="F2208" s="3" t="n">
        <f aca="false">COUNTIFS($B$2:$B$2705,B2208,$C$2:$C$2705,C2208)</f>
        <v>1</v>
      </c>
      <c r="G2208" s="3" t="n">
        <f aca="false">MIN(INT((MIN(B2208,2020)-1900)/10)+1,12)</f>
        <v>11</v>
      </c>
      <c r="H2208" s="3" t="n">
        <f aca="false">(MIN(B2208,2020)-1900-10*(G2208-1))/10</f>
        <v>0.9</v>
      </c>
      <c r="I2208" s="20" t="n">
        <f aca="false">EXP(LN(INDEX(Pop_Inputs!$B$2:$N$29,MATCH(C2208,Pop_Inputs!$A$2:$A$29,0),G2208))*(1-H2208)+LN(INDEX(Pop_Inputs!$B$2:$N$29,MATCH(C2208,Pop_Inputs!$A$2:$A$29,0),G2208+1))*H2208)</f>
        <v>2084392.11883095</v>
      </c>
      <c r="J2208" s="20" t="n">
        <f aca="false">I2208/F2208</f>
        <v>2084392.11883095</v>
      </c>
      <c r="K2208" s="21" t="n">
        <f aca="false">D2208/(D2208+E2208)</f>
        <v>0.45679012345679</v>
      </c>
      <c r="L2208" s="21" t="n">
        <f aca="false">AVERAGEIFS($K$2:$K$2705,$B$2:$B$2705,B2208)</f>
        <v>0.4999669282767</v>
      </c>
      <c r="M2208" s="21" t="n">
        <f aca="false">K2208-L2208</f>
        <v>-0.0431768048199097</v>
      </c>
      <c r="N2208" s="21" t="n">
        <f aca="false">LN(J2208)</f>
        <v>14.5499878209848</v>
      </c>
      <c r="O2208" s="21" t="n">
        <f aca="false">AVERAGEIFS($N$2:$N$2705,$B$2:$B$2705,B2208)</f>
        <v>13.6179907771704</v>
      </c>
      <c r="P2208" s="21" t="n">
        <f aca="false">N2208-O2208</f>
        <v>0.931997043814393</v>
      </c>
      <c r="Q2208" s="7" t="n">
        <v>1</v>
      </c>
      <c r="R2208" s="3" t="n">
        <f aca="false">IF(AND(Q2208=1,B2208-_xlfn.MINIFS($B$2:$B$2705,$A$2:$A$2705,A2208)&lt;10),1,0)</f>
        <v>0</v>
      </c>
      <c r="S2208" s="7" t="n">
        <v>0</v>
      </c>
      <c r="T2208" s="3" t="n">
        <f aca="false">_xlfn.MINIFS($B$2:$B$2705,$A$2:$A$2705,A2208)</f>
        <v>1962</v>
      </c>
      <c r="U2208" s="3" t="n">
        <f aca="false">B2208-T2208</f>
        <v>47</v>
      </c>
      <c r="V2208" s="3" t="str">
        <f aca="false">INDEX(Pop_Inputs!$Q$2:$Q$29,MATCH(C2208,Pop_Inputs!$A$2:$A$29,0))</f>
        <v>South</v>
      </c>
      <c r="W2208" s="29" t="n">
        <v>102996414</v>
      </c>
      <c r="X2208" s="3" t="n">
        <f aca="false">IF(W2208="","",LN(W2208))</f>
        <v>18.4502047300539</v>
      </c>
      <c r="Y2208" s="3" t="n">
        <f aca="false">IF(X2208="","",X2208-AVERAGEIFS($X$2:$X$2705,$B$2:$B$2705,B2208))</f>
        <v>0.21220319245284</v>
      </c>
      <c r="Z2208" s="21" t="n">
        <f aca="false">P2208</f>
        <v>0.931997043814393</v>
      </c>
      <c r="AA2208" s="3" t="n">
        <f aca="false">R2208</f>
        <v>0</v>
      </c>
      <c r="AB2208" s="21" t="n">
        <f aca="false">P2208</f>
        <v>0.931997043814393</v>
      </c>
      <c r="AC2208" s="3" t="n">
        <f aca="false">Y2208</f>
        <v>0.21220319245284</v>
      </c>
      <c r="AD2208" s="3" t="n">
        <f aca="false">R2208</f>
        <v>0</v>
      </c>
    </row>
    <row r="2209" customFormat="false" ht="15" hidden="false" customHeight="true" outlineLevel="0" collapsed="false">
      <c r="A2209" s="7" t="s">
        <v>76</v>
      </c>
      <c r="B2209" s="7" t="n">
        <v>2009</v>
      </c>
      <c r="C2209" s="7" t="s">
        <v>157</v>
      </c>
      <c r="D2209" s="7" t="n">
        <v>65</v>
      </c>
      <c r="E2209" s="7" t="n">
        <v>97</v>
      </c>
      <c r="F2209" s="3" t="n">
        <f aca="false">COUNTIFS($B$2:$B$2705,B2209,$C$2:$C$2705,C2209)</f>
        <v>1</v>
      </c>
      <c r="G2209" s="3" t="n">
        <f aca="false">MIN(INT((MIN(B2209,2020)-1900)/10)+1,12)</f>
        <v>11</v>
      </c>
      <c r="H2209" s="3" t="n">
        <f aca="false">(MIN(B2209,2020)-1900-10*(G2209-1))/10</f>
        <v>0.9</v>
      </c>
      <c r="I2209" s="20" t="n">
        <f aca="false">EXP(LN(INDEX(Pop_Inputs!$B$2:$N$29,MATCH(C2209,Pop_Inputs!$A$2:$A$29,0),G2209))*(1-H2209)+LN(INDEX(Pop_Inputs!$B$2:$N$29,MATCH(C2209,Pop_Inputs!$A$2:$A$29,0),G2209+1))*H2209)</f>
        <v>457929.388616075</v>
      </c>
      <c r="J2209" s="20" t="n">
        <f aca="false">I2209/F2209</f>
        <v>457929.388616075</v>
      </c>
      <c r="K2209" s="21" t="n">
        <f aca="false">D2209/(D2209+E2209)</f>
        <v>0.401234567901235</v>
      </c>
      <c r="L2209" s="21" t="n">
        <f aca="false">AVERAGEIFS($K$2:$K$2705,$B$2:$B$2705,B2209)</f>
        <v>0.4999669282767</v>
      </c>
      <c r="M2209" s="21" t="n">
        <f aca="false">K2209-L2209</f>
        <v>-0.0987323603754652</v>
      </c>
      <c r="N2209" s="21" t="n">
        <f aca="false">LN(J2209)</f>
        <v>13.034470277883</v>
      </c>
      <c r="O2209" s="21" t="n">
        <f aca="false">AVERAGEIFS($N$2:$N$2705,$B$2:$B$2705,B2209)</f>
        <v>13.6179907771704</v>
      </c>
      <c r="P2209" s="21" t="n">
        <f aca="false">N2209-O2209</f>
        <v>-0.583520499287351</v>
      </c>
      <c r="Q2209" s="7" t="n">
        <v>1</v>
      </c>
      <c r="R2209" s="3" t="n">
        <f aca="false">IF(AND(Q2209=1,B2209-_xlfn.MINIFS($B$2:$B$2705,$A$2:$A$2705,A2209)&lt;10),1,0)</f>
        <v>0</v>
      </c>
      <c r="S2209" s="7" t="n">
        <v>0</v>
      </c>
      <c r="T2209" s="3" t="n">
        <f aca="false">_xlfn.MINIFS($B$2:$B$2705,$A$2:$A$2705,A2209)</f>
        <v>1969</v>
      </c>
      <c r="U2209" s="3" t="n">
        <f aca="false">B2209-T2209</f>
        <v>40</v>
      </c>
      <c r="V2209" s="3" t="str">
        <f aca="false">INDEX(Pop_Inputs!$Q$2:$Q$29,MATCH(C2209,Pop_Inputs!$A$2:$A$29,0))</f>
        <v>Midwest</v>
      </c>
      <c r="W2209" s="29" t="n">
        <v>70519333</v>
      </c>
      <c r="X2209" s="3" t="n">
        <f aca="false">IF(W2209="","",LN(W2209))</f>
        <v>18.0713974571395</v>
      </c>
      <c r="Y2209" s="3" t="n">
        <f aca="false">IF(X2209="","",X2209-AVERAGEIFS($X$2:$X$2705,$B$2:$B$2705,B2209))</f>
        <v>-0.1666040804615</v>
      </c>
      <c r="Z2209" s="21" t="n">
        <f aca="false">P2209</f>
        <v>-0.583520499287351</v>
      </c>
      <c r="AA2209" s="3" t="n">
        <f aca="false">R2209</f>
        <v>0</v>
      </c>
      <c r="AB2209" s="21" t="n">
        <f aca="false">P2209</f>
        <v>-0.583520499287351</v>
      </c>
      <c r="AC2209" s="3" t="n">
        <f aca="false">Y2209</f>
        <v>-0.1666040804615</v>
      </c>
      <c r="AD2209" s="3" t="n">
        <f aca="false">R2209</f>
        <v>0</v>
      </c>
    </row>
    <row r="2210" customFormat="false" ht="15" hidden="false" customHeight="true" outlineLevel="0" collapsed="false">
      <c r="A2210" s="7" t="s">
        <v>62</v>
      </c>
      <c r="B2210" s="7" t="n">
        <v>2009</v>
      </c>
      <c r="C2210" s="7" t="s">
        <v>148</v>
      </c>
      <c r="D2210" s="7" t="n">
        <v>95</v>
      </c>
      <c r="E2210" s="7" t="n">
        <v>67</v>
      </c>
      <c r="F2210" s="3" t="n">
        <f aca="false">COUNTIFS($B$2:$B$2705,B2210,$C$2:$C$2705,C2210)</f>
        <v>2</v>
      </c>
      <c r="G2210" s="3" t="n">
        <f aca="false">MIN(INT((MIN(B2210,2020)-1900)/10)+1,12)</f>
        <v>11</v>
      </c>
      <c r="H2210" s="3" t="n">
        <f aca="false">(MIN(B2210,2020)-1900-10*(G2210-1))/10</f>
        <v>0.9</v>
      </c>
      <c r="I2210" s="20" t="n">
        <f aca="false">EXP(LN(INDEX(Pop_Inputs!$B$2:$N$29,MATCH(C2210,Pop_Inputs!$A$2:$A$29,0),G2210))*(1-H2210)+LN(INDEX(Pop_Inputs!$B$2:$N$29,MATCH(C2210,Pop_Inputs!$A$2:$A$29,0),G2210+1))*H2210)</f>
        <v>3782725.52058216</v>
      </c>
      <c r="J2210" s="20" t="n">
        <f aca="false">I2210/F2210</f>
        <v>1891362.76029108</v>
      </c>
      <c r="K2210" s="21" t="n">
        <f aca="false">D2210/(D2210+E2210)</f>
        <v>0.58641975308642</v>
      </c>
      <c r="L2210" s="21" t="n">
        <f aca="false">AVERAGEIFS($K$2:$K$2705,$B$2:$B$2705,B2210)</f>
        <v>0.4999669282767</v>
      </c>
      <c r="M2210" s="21" t="n">
        <f aca="false">K2210-L2210</f>
        <v>0.0864528248097201</v>
      </c>
      <c r="N2210" s="21" t="n">
        <f aca="false">LN(J2210)</f>
        <v>14.4528081644044</v>
      </c>
      <c r="O2210" s="21" t="n">
        <f aca="false">AVERAGEIFS($N$2:$N$2705,$B$2:$B$2705,B2210)</f>
        <v>13.6179907771704</v>
      </c>
      <c r="P2210" s="21" t="n">
        <f aca="false">N2210-O2210</f>
        <v>0.834817387234047</v>
      </c>
      <c r="Q2210" s="7" t="n">
        <v>0</v>
      </c>
      <c r="R2210" s="3" t="n">
        <f aca="false">IF(AND(Q2210=1,B2210-_xlfn.MINIFS($B$2:$B$2705,$A$2:$A$2705,A2210)&lt;10),1,0)</f>
        <v>0</v>
      </c>
      <c r="S2210" s="7" t="n">
        <v>0</v>
      </c>
      <c r="T2210" s="3" t="n">
        <f aca="false">_xlfn.MINIFS($B$2:$B$2705,$A$2:$A$2705,A2210)</f>
        <v>1901</v>
      </c>
      <c r="U2210" s="3" t="n">
        <f aca="false">B2210-T2210</f>
        <v>108</v>
      </c>
      <c r="V2210" s="3" t="str">
        <f aca="false">INDEX(Pop_Inputs!$Q$2:$Q$29,MATCH(C2210,Pop_Inputs!$A$2:$A$29,0))</f>
        <v>West</v>
      </c>
      <c r="W2210" s="29" t="n">
        <v>100414592</v>
      </c>
      <c r="X2210" s="3" t="n">
        <f aca="false">IF(W2210="","",LN(W2210))</f>
        <v>18.4248180933067</v>
      </c>
      <c r="Y2210" s="3" t="n">
        <f aca="false">IF(X2210="","",X2210-AVERAGEIFS($X$2:$X$2705,$B$2:$B$2705,B2210))</f>
        <v>0.186816555705668</v>
      </c>
      <c r="Z2210" s="21" t="n">
        <f aca="false">P2210</f>
        <v>0.834817387234047</v>
      </c>
      <c r="AA2210" s="3" t="n">
        <f aca="false">R2210</f>
        <v>0</v>
      </c>
      <c r="AB2210" s="21" t="n">
        <f aca="false">P2210</f>
        <v>0.834817387234047</v>
      </c>
      <c r="AC2210" s="3" t="n">
        <f aca="false">Y2210</f>
        <v>0.186816555705668</v>
      </c>
      <c r="AD2210" s="3" t="n">
        <f aca="false">R2210</f>
        <v>0</v>
      </c>
    </row>
    <row r="2211" customFormat="false" ht="15" hidden="false" customHeight="true" outlineLevel="0" collapsed="false">
      <c r="A2211" s="7" t="s">
        <v>77</v>
      </c>
      <c r="B2211" s="7" t="n">
        <v>2009</v>
      </c>
      <c r="C2211" s="7" t="s">
        <v>158</v>
      </c>
      <c r="D2211" s="7" t="n">
        <v>80</v>
      </c>
      <c r="E2211" s="7" t="n">
        <v>82</v>
      </c>
      <c r="F2211" s="3" t="n">
        <f aca="false">COUNTIFS($B$2:$B$2705,B2211,$C$2:$C$2705,C2211)</f>
        <v>1</v>
      </c>
      <c r="G2211" s="3" t="n">
        <f aca="false">MIN(INT((MIN(B2211,2020)-1900)/10)+1,12)</f>
        <v>11</v>
      </c>
      <c r="H2211" s="3" t="n">
        <f aca="false">(MIN(B2211,2020)-1900-10*(G2211-1))/10</f>
        <v>0.9</v>
      </c>
      <c r="I2211" s="20" t="n">
        <f aca="false">EXP(LN(INDEX(Pop_Inputs!$B$2:$N$29,MATCH(C2211,Pop_Inputs!$A$2:$A$29,0),G2211))*(1-H2211)+LN(INDEX(Pop_Inputs!$B$2:$N$29,MATCH(C2211,Pop_Inputs!$A$2:$A$29,0),G2211+1))*H2211)</f>
        <v>595046.754011041</v>
      </c>
      <c r="J2211" s="20" t="n">
        <f aca="false">I2211/F2211</f>
        <v>595046.754011041</v>
      </c>
      <c r="K2211" s="21" t="n">
        <f aca="false">D2211/(D2211+E2211)</f>
        <v>0.493827160493827</v>
      </c>
      <c r="L2211" s="21" t="n">
        <f aca="false">AVERAGEIFS($K$2:$K$2705,$B$2:$B$2705,B2211)</f>
        <v>0.4999669282767</v>
      </c>
      <c r="M2211" s="21" t="n">
        <f aca="false">K2211-L2211</f>
        <v>-0.00613976778287262</v>
      </c>
      <c r="N2211" s="21" t="n">
        <f aca="false">LN(J2211)</f>
        <v>13.2963952596105</v>
      </c>
      <c r="O2211" s="21" t="n">
        <f aca="false">AVERAGEIFS($N$2:$N$2705,$B$2:$B$2705,B2211)</f>
        <v>13.6179907771704</v>
      </c>
      <c r="P2211" s="21" t="n">
        <f aca="false">N2211-O2211</f>
        <v>-0.321595517559915</v>
      </c>
      <c r="Q2211" s="7" t="n">
        <v>1</v>
      </c>
      <c r="R2211" s="3" t="n">
        <f aca="false">IF(AND(Q2211=1,B2211-_xlfn.MINIFS($B$2:$B$2705,$A$2:$A$2705,A2211)&lt;10),1,0)</f>
        <v>0</v>
      </c>
      <c r="S2211" s="7" t="n">
        <v>0</v>
      </c>
      <c r="T2211" s="3" t="n">
        <f aca="false">_xlfn.MINIFS($B$2:$B$2705,$A$2:$A$2705,A2211)</f>
        <v>1969</v>
      </c>
      <c r="U2211" s="3" t="n">
        <f aca="false">B2211-T2211</f>
        <v>40</v>
      </c>
      <c r="V2211" s="3" t="str">
        <f aca="false">INDEX(Pop_Inputs!$Q$2:$Q$29,MATCH(C2211,Pop_Inputs!$A$2:$A$29,0))</f>
        <v>Midwest</v>
      </c>
      <c r="W2211" s="29" t="n">
        <v>80182502</v>
      </c>
      <c r="X2211" s="3" t="n">
        <f aca="false">IF(W2211="","",LN(W2211))</f>
        <v>18.199815869481</v>
      </c>
      <c r="Y2211" s="3" t="n">
        <f aca="false">IF(X2211="","",X2211-AVERAGEIFS($X$2:$X$2705,$B$2:$B$2705,B2211))</f>
        <v>-0.0381856681200148</v>
      </c>
      <c r="Z2211" s="21" t="n">
        <f aca="false">P2211</f>
        <v>-0.321595517559915</v>
      </c>
      <c r="AA2211" s="3" t="n">
        <f aca="false">R2211</f>
        <v>0</v>
      </c>
      <c r="AB2211" s="21" t="n">
        <f aca="false">P2211</f>
        <v>-0.321595517559915</v>
      </c>
      <c r="AC2211" s="3" t="n">
        <f aca="false">Y2211</f>
        <v>-0.0381856681200148</v>
      </c>
      <c r="AD2211" s="3" t="n">
        <f aca="false">R2211</f>
        <v>0</v>
      </c>
    </row>
    <row r="2212" customFormat="false" ht="15" hidden="false" customHeight="true" outlineLevel="0" collapsed="false">
      <c r="A2212" s="7" t="s">
        <v>68</v>
      </c>
      <c r="B2212" s="7" t="n">
        <v>2009</v>
      </c>
      <c r="C2212" s="7" t="s">
        <v>153</v>
      </c>
      <c r="D2212" s="7" t="n">
        <v>87</v>
      </c>
      <c r="E2212" s="7" t="n">
        <v>76</v>
      </c>
      <c r="F2212" s="3" t="n">
        <f aca="false">COUNTIFS($B$2:$B$2705,B2212,$C$2:$C$2705,C2212)</f>
        <v>1</v>
      </c>
      <c r="G2212" s="3" t="n">
        <f aca="false">MIN(INT((MIN(B2212,2020)-1900)/10)+1,12)</f>
        <v>11</v>
      </c>
      <c r="H2212" s="3" t="n">
        <f aca="false">(MIN(B2212,2020)-1900-10*(G2212-1))/10</f>
        <v>0.9</v>
      </c>
      <c r="I2212" s="20" t="n">
        <f aca="false">EXP(LN(INDEX(Pop_Inputs!$B$2:$N$29,MATCH(C2212,Pop_Inputs!$A$2:$A$29,0),G2212))*(1-H2212)+LN(INDEX(Pop_Inputs!$B$2:$N$29,MATCH(C2212,Pop_Inputs!$A$2:$A$29,0),G2212+1))*H2212)</f>
        <v>382581.999811816</v>
      </c>
      <c r="J2212" s="20" t="n">
        <f aca="false">I2212/F2212</f>
        <v>382581.999811816</v>
      </c>
      <c r="K2212" s="21" t="n">
        <f aca="false">D2212/(D2212+E2212)</f>
        <v>0.533742331288344</v>
      </c>
      <c r="L2212" s="21" t="n">
        <f aca="false">AVERAGEIFS($K$2:$K$2705,$B$2:$B$2705,B2212)</f>
        <v>0.4999669282767</v>
      </c>
      <c r="M2212" s="21" t="n">
        <f aca="false">K2212-L2212</f>
        <v>0.0337754030116438</v>
      </c>
      <c r="N2212" s="21" t="n">
        <f aca="false">LN(J2212)</f>
        <v>12.8546982878659</v>
      </c>
      <c r="O2212" s="21" t="n">
        <f aca="false">AVERAGEIFS($N$2:$N$2705,$B$2:$B$2705,B2212)</f>
        <v>13.6179907771704</v>
      </c>
      <c r="P2212" s="21" t="n">
        <f aca="false">N2212-O2212</f>
        <v>-0.763292489304494</v>
      </c>
      <c r="Q2212" s="7" t="n">
        <v>0</v>
      </c>
      <c r="R2212" s="3" t="n">
        <f aca="false">IF(AND(Q2212=1,B2212-_xlfn.MINIFS($B$2:$B$2705,$A$2:$A$2705,A2212)&lt;10),1,0)</f>
        <v>0</v>
      </c>
      <c r="S2212" s="7" t="n">
        <v>0</v>
      </c>
      <c r="T2212" s="3" t="n">
        <f aca="false">_xlfn.MINIFS($B$2:$B$2705,$A$2:$A$2705,A2212)</f>
        <v>1901</v>
      </c>
      <c r="U2212" s="3" t="n">
        <f aca="false">B2212-T2212</f>
        <v>108</v>
      </c>
      <c r="V2212" s="3" t="str">
        <f aca="false">INDEX(Pop_Inputs!$Q$2:$Q$29,MATCH(C2212,Pop_Inputs!$A$2:$A$29,0))</f>
        <v>Midwest</v>
      </c>
      <c r="W2212" s="29" t="n">
        <v>65299266</v>
      </c>
      <c r="X2212" s="3" t="n">
        <f aca="false">IF(W2212="","",LN(W2212))</f>
        <v>17.9944913537547</v>
      </c>
      <c r="Y2212" s="3" t="n">
        <f aca="false">IF(X2212="","",X2212-AVERAGEIFS($X$2:$X$2705,$B$2:$B$2705,B2212))</f>
        <v>-0.243510183846318</v>
      </c>
      <c r="Z2212" s="21" t="n">
        <f aca="false">P2212</f>
        <v>-0.763292489304494</v>
      </c>
      <c r="AA2212" s="3" t="n">
        <f aca="false">R2212</f>
        <v>0</v>
      </c>
      <c r="AB2212" s="21" t="n">
        <f aca="false">P2212</f>
        <v>-0.763292489304494</v>
      </c>
      <c r="AC2212" s="3" t="n">
        <f aca="false">Y2212</f>
        <v>-0.243510183846318</v>
      </c>
      <c r="AD2212" s="3" t="n">
        <f aca="false">R2212</f>
        <v>0</v>
      </c>
    </row>
    <row r="2213" customFormat="false" ht="15" hidden="false" customHeight="true" outlineLevel="0" collapsed="false">
      <c r="A2213" s="7" t="s">
        <v>75</v>
      </c>
      <c r="B2213" s="7" t="n">
        <v>2009</v>
      </c>
      <c r="C2213" s="7" t="s">
        <v>154</v>
      </c>
      <c r="D2213" s="7" t="n">
        <v>70</v>
      </c>
      <c r="E2213" s="7" t="n">
        <v>92</v>
      </c>
      <c r="F2213" s="3" t="n">
        <f aca="false">COUNTIFS($B$2:$B$2705,B2213,$C$2:$C$2705,C2213)</f>
        <v>2</v>
      </c>
      <c r="G2213" s="3" t="n">
        <f aca="false">MIN(INT((MIN(B2213,2020)-1900)/10)+1,12)</f>
        <v>11</v>
      </c>
      <c r="H2213" s="3" t="n">
        <f aca="false">(MIN(B2213,2020)-1900-10*(G2213-1))/10</f>
        <v>0.9</v>
      </c>
      <c r="I2213" s="20" t="n">
        <f aca="false">EXP(LN(INDEX(Pop_Inputs!$B$2:$N$29,MATCH(C2213,Pop_Inputs!$A$2:$A$29,0),G2213))*(1-H2213)+LN(INDEX(Pop_Inputs!$B$2:$N$29,MATCH(C2213,Pop_Inputs!$A$2:$A$29,0),G2213+1))*H2213)</f>
        <v>8158292.2407991</v>
      </c>
      <c r="J2213" s="20" t="n">
        <f aca="false">I2213/F2213</f>
        <v>4079146.12039955</v>
      </c>
      <c r="K2213" s="21" t="n">
        <f aca="false">D2213/(D2213+E2213)</f>
        <v>0.432098765432099</v>
      </c>
      <c r="L2213" s="21" t="n">
        <f aca="false">AVERAGEIFS($K$2:$K$2705,$B$2:$B$2705,B2213)</f>
        <v>0.4999669282767</v>
      </c>
      <c r="M2213" s="21" t="n">
        <f aca="false">K2213-L2213</f>
        <v>-0.067868162844601</v>
      </c>
      <c r="N2213" s="21" t="n">
        <f aca="false">LN(J2213)</f>
        <v>15.2213982402616</v>
      </c>
      <c r="O2213" s="21" t="n">
        <f aca="false">AVERAGEIFS($N$2:$N$2705,$B$2:$B$2705,B2213)</f>
        <v>13.6179907771704</v>
      </c>
      <c r="P2213" s="21" t="n">
        <f aca="false">N2213-O2213</f>
        <v>1.60340746309115</v>
      </c>
      <c r="Q2213" s="7" t="n">
        <v>1</v>
      </c>
      <c r="R2213" s="3" t="n">
        <f aca="false">IF(AND(Q2213=1,B2213-_xlfn.MINIFS($B$2:$B$2705,$A$2:$A$2705,A2213)&lt;10),1,0)</f>
        <v>0</v>
      </c>
      <c r="S2213" s="7" t="n">
        <v>0</v>
      </c>
      <c r="T2213" s="3" t="n">
        <f aca="false">_xlfn.MINIFS($B$2:$B$2705,$A$2:$A$2705,A2213)</f>
        <v>1962</v>
      </c>
      <c r="U2213" s="3" t="n">
        <f aca="false">B2213-T2213</f>
        <v>47</v>
      </c>
      <c r="V2213" s="3" t="str">
        <f aca="false">INDEX(Pop_Inputs!$Q$2:$Q$29,MATCH(C2213,Pop_Inputs!$A$2:$A$29,0))</f>
        <v>Northeast</v>
      </c>
      <c r="W2213" s="29" t="n">
        <v>149373987</v>
      </c>
      <c r="X2213" s="3" t="n">
        <f aca="false">IF(W2213="","",LN(W2213))</f>
        <v>18.8219636990371</v>
      </c>
      <c r="Y2213" s="3" t="n">
        <f aca="false">IF(X2213="","",X2213-AVERAGEIFS($X$2:$X$2705,$B$2:$B$2705,B2213))</f>
        <v>0.58396216143608</v>
      </c>
      <c r="Z2213" s="21" t="n">
        <f aca="false">P2213</f>
        <v>1.60340746309115</v>
      </c>
      <c r="AA2213" s="3" t="n">
        <f aca="false">R2213</f>
        <v>0</v>
      </c>
      <c r="AB2213" s="21" t="n">
        <f aca="false">P2213</f>
        <v>1.60340746309115</v>
      </c>
      <c r="AC2213" s="3" t="n">
        <f aca="false">Y2213</f>
        <v>0.58396216143608</v>
      </c>
      <c r="AD2213" s="3" t="n">
        <f aca="false">R2213</f>
        <v>0</v>
      </c>
    </row>
    <row r="2214" customFormat="false" ht="15" hidden="false" customHeight="true" outlineLevel="0" collapsed="false">
      <c r="A2214" s="7" t="s">
        <v>70</v>
      </c>
      <c r="B2214" s="7" t="n">
        <v>2009</v>
      </c>
      <c r="C2214" s="7" t="s">
        <v>154</v>
      </c>
      <c r="D2214" s="7" t="n">
        <v>103</v>
      </c>
      <c r="E2214" s="7" t="n">
        <v>59</v>
      </c>
      <c r="F2214" s="3" t="n">
        <f aca="false">COUNTIFS($B$2:$B$2705,B2214,$C$2:$C$2705,C2214)</f>
        <v>2</v>
      </c>
      <c r="G2214" s="3" t="n">
        <f aca="false">MIN(INT((MIN(B2214,2020)-1900)/10)+1,12)</f>
        <v>11</v>
      </c>
      <c r="H2214" s="3" t="n">
        <f aca="false">(MIN(B2214,2020)-1900-10*(G2214-1))/10</f>
        <v>0.9</v>
      </c>
      <c r="I2214" s="20" t="n">
        <f aca="false">EXP(LN(INDEX(Pop_Inputs!$B$2:$N$29,MATCH(C2214,Pop_Inputs!$A$2:$A$29,0),G2214))*(1-H2214)+LN(INDEX(Pop_Inputs!$B$2:$N$29,MATCH(C2214,Pop_Inputs!$A$2:$A$29,0),G2214+1))*H2214)</f>
        <v>8158292.2407991</v>
      </c>
      <c r="J2214" s="20" t="n">
        <f aca="false">I2214/F2214</f>
        <v>4079146.12039955</v>
      </c>
      <c r="K2214" s="21" t="n">
        <f aca="false">D2214/(D2214+E2214)</f>
        <v>0.635802469135803</v>
      </c>
      <c r="L2214" s="21" t="n">
        <f aca="false">AVERAGEIFS($K$2:$K$2705,$B$2:$B$2705,B2214)</f>
        <v>0.4999669282767</v>
      </c>
      <c r="M2214" s="21" t="n">
        <f aca="false">K2214-L2214</f>
        <v>0.135835540859103</v>
      </c>
      <c r="N2214" s="21" t="n">
        <f aca="false">LN(J2214)</f>
        <v>15.2213982402616</v>
      </c>
      <c r="O2214" s="21" t="n">
        <f aca="false">AVERAGEIFS($N$2:$N$2705,$B$2:$B$2705,B2214)</f>
        <v>13.6179907771704</v>
      </c>
      <c r="P2214" s="21" t="n">
        <f aca="false">N2214-O2214</f>
        <v>1.60340746309115</v>
      </c>
      <c r="Q2214" s="7" t="n">
        <v>0</v>
      </c>
      <c r="R2214" s="3" t="n">
        <f aca="false">IF(AND(Q2214=1,B2214-_xlfn.MINIFS($B$2:$B$2705,$A$2:$A$2705,A2214)&lt;10),1,0)</f>
        <v>0</v>
      </c>
      <c r="S2214" s="7" t="n">
        <v>1</v>
      </c>
      <c r="T2214" s="3" t="n">
        <f aca="false">_xlfn.MINIFS($B$2:$B$2705,$A$2:$A$2705,A2214)</f>
        <v>1903</v>
      </c>
      <c r="U2214" s="3" t="n">
        <f aca="false">B2214-T2214</f>
        <v>106</v>
      </c>
      <c r="V2214" s="3" t="str">
        <f aca="false">INDEX(Pop_Inputs!$Q$2:$Q$29,MATCH(C2214,Pop_Inputs!$A$2:$A$29,0))</f>
        <v>Northeast</v>
      </c>
      <c r="W2214" s="29" t="n">
        <v>201449189</v>
      </c>
      <c r="X2214" s="3" t="n">
        <f aca="false">IF(W2214="","",LN(W2214))</f>
        <v>19.1210477437807</v>
      </c>
      <c r="Y2214" s="3" t="n">
        <f aca="false">IF(X2214="","",X2214-AVERAGEIFS($X$2:$X$2705,$B$2:$B$2705,B2214))</f>
        <v>0.883046206179657</v>
      </c>
      <c r="Z2214" s="21" t="n">
        <f aca="false">P2214</f>
        <v>1.60340746309115</v>
      </c>
      <c r="AA2214" s="3" t="n">
        <f aca="false">R2214</f>
        <v>0</v>
      </c>
      <c r="AB2214" s="21" t="n">
        <f aca="false">P2214</f>
        <v>1.60340746309115</v>
      </c>
      <c r="AC2214" s="3" t="n">
        <f aca="false">Y2214</f>
        <v>0.883046206179657</v>
      </c>
      <c r="AD2214" s="3" t="n">
        <f aca="false">R2214</f>
        <v>0</v>
      </c>
    </row>
    <row r="2215" customFormat="false" ht="15" hidden="false" customHeight="true" outlineLevel="0" collapsed="false">
      <c r="A2215" s="7" t="s">
        <v>69</v>
      </c>
      <c r="B2215" s="7" t="n">
        <v>2009</v>
      </c>
      <c r="C2215" s="7" t="s">
        <v>253</v>
      </c>
      <c r="D2215" s="7" t="n">
        <v>75</v>
      </c>
      <c r="E2215" s="7" t="n">
        <v>87</v>
      </c>
      <c r="F2215" s="3" t="n">
        <f aca="false">COUNTIFS($B$2:$B$2705,B2215,$C$2:$C$2705,C2215)</f>
        <v>1</v>
      </c>
      <c r="G2215" s="3" t="n">
        <f aca="false">MIN(INT((MIN(B2215,2020)-1900)/10)+1,12)</f>
        <v>11</v>
      </c>
      <c r="H2215" s="3" t="n">
        <f aca="false">(MIN(B2215,2020)-1900-10*(G2215-1))/10</f>
        <v>0.9</v>
      </c>
      <c r="I2215" s="20" t="n">
        <f aca="false">EXP(LN(INDEX(Pop_Inputs!$B$2:$N$29,MATCH(C2215,Pop_Inputs!$A$2:$A$29,0),G2215))*(1-H2215)+LN(INDEX(Pop_Inputs!$B$2:$N$29,MATCH(C2215,Pop_Inputs!$A$2:$A$29,0),G2215+1))*H2215)</f>
        <v>391591.285555867</v>
      </c>
      <c r="J2215" s="20" t="n">
        <f aca="false">I2215/F2215</f>
        <v>391591.285555867</v>
      </c>
      <c r="K2215" s="21" t="n">
        <f aca="false">D2215/(D2215+E2215)</f>
        <v>0.462962962962963</v>
      </c>
      <c r="L2215" s="21" t="n">
        <f aca="false">AVERAGEIFS($K$2:$K$2705,$B$2:$B$2705,B2215)</f>
        <v>0.4999669282767</v>
      </c>
      <c r="M2215" s="21" t="n">
        <f aca="false">K2215-L2215</f>
        <v>-0.0370039653137368</v>
      </c>
      <c r="N2215" s="21" t="n">
        <f aca="false">LN(J2215)</f>
        <v>12.8779739359585</v>
      </c>
      <c r="O2215" s="21" t="n">
        <f aca="false">AVERAGEIFS($N$2:$N$2705,$B$2:$B$2705,B2215)</f>
        <v>13.6179907771704</v>
      </c>
      <c r="P2215" s="21" t="n">
        <f aca="false">N2215-O2215</f>
        <v>-0.740016841211929</v>
      </c>
      <c r="Q2215" s="7" t="n">
        <v>0</v>
      </c>
      <c r="R2215" s="3" t="n">
        <f aca="false">IF(AND(Q2215=1,B2215-_xlfn.MINIFS($B$2:$B$2705,$A$2:$A$2705,A2215)&lt;10),1,0)</f>
        <v>0</v>
      </c>
      <c r="S2215" s="7" t="n">
        <v>0</v>
      </c>
      <c r="T2215" s="3" t="n">
        <f aca="false">_xlfn.MINIFS($B$2:$B$2705,$A$2:$A$2705,A2215)</f>
        <v>1901</v>
      </c>
      <c r="U2215" s="3" t="n">
        <f aca="false">B2215-T2215</f>
        <v>108</v>
      </c>
      <c r="V2215" s="3" t="str">
        <f aca="false">INDEX(Pop_Inputs!$Q$2:$Q$29,MATCH(C2215,Pop_Inputs!$A$2:$A$29,0))</f>
        <v>West</v>
      </c>
      <c r="W2215" s="29" t="n">
        <v>61910000</v>
      </c>
      <c r="X2215" s="3" t="n">
        <f aca="false">IF(W2215="","",LN(W2215))</f>
        <v>17.9411922754954</v>
      </c>
      <c r="Y2215" s="3" t="n">
        <f aca="false">IF(X2215="","",X2215-AVERAGEIFS($X$2:$X$2705,$B$2:$B$2705,B2215))</f>
        <v>-0.296809262105601</v>
      </c>
      <c r="Z2215" s="21" t="n">
        <f aca="false">P2215</f>
        <v>-0.740016841211929</v>
      </c>
      <c r="AA2215" s="3" t="n">
        <f aca="false">R2215</f>
        <v>0</v>
      </c>
      <c r="AB2215" s="21" t="n">
        <f aca="false">P2215</f>
        <v>-0.740016841211929</v>
      </c>
      <c r="AC2215" s="3" t="n">
        <f aca="false">Y2215</f>
        <v>-0.296809262105601</v>
      </c>
      <c r="AD2215" s="3" t="n">
        <f aca="false">R2215</f>
        <v>0</v>
      </c>
    </row>
    <row r="2216" customFormat="false" ht="15" hidden="false" customHeight="true" outlineLevel="0" collapsed="false">
      <c r="A2216" s="7" t="s">
        <v>60</v>
      </c>
      <c r="B2216" s="7" t="n">
        <v>2009</v>
      </c>
      <c r="C2216" s="7" t="s">
        <v>146</v>
      </c>
      <c r="D2216" s="7" t="n">
        <v>93</v>
      </c>
      <c r="E2216" s="7" t="n">
        <v>69</v>
      </c>
      <c r="F2216" s="3" t="n">
        <f aca="false">COUNTIFS($B$2:$B$2705,B2216,$C$2:$C$2705,C2216)</f>
        <v>1</v>
      </c>
      <c r="G2216" s="3" t="n">
        <f aca="false">MIN(INT((MIN(B2216,2020)-1900)/10)+1,12)</f>
        <v>11</v>
      </c>
      <c r="H2216" s="3" t="n">
        <f aca="false">(MIN(B2216,2020)-1900-10*(G2216-1))/10</f>
        <v>0.9</v>
      </c>
      <c r="I2216" s="20" t="n">
        <f aca="false">EXP(LN(INDEX(Pop_Inputs!$B$2:$N$29,MATCH(C2216,Pop_Inputs!$A$2:$A$29,0),G2216))*(1-H2216)+LN(INDEX(Pop_Inputs!$B$2:$N$29,MATCH(C2216,Pop_Inputs!$A$2:$A$29,0),G2216+1))*H2216)</f>
        <v>1525158.28400897</v>
      </c>
      <c r="J2216" s="20" t="n">
        <f aca="false">I2216/F2216</f>
        <v>1525158.28400897</v>
      </c>
      <c r="K2216" s="21" t="n">
        <f aca="false">D2216/(D2216+E2216)</f>
        <v>0.574074074074074</v>
      </c>
      <c r="L2216" s="21" t="n">
        <f aca="false">AVERAGEIFS($K$2:$K$2705,$B$2:$B$2705,B2216)</f>
        <v>0.4999669282767</v>
      </c>
      <c r="M2216" s="21" t="n">
        <f aca="false">K2216-L2216</f>
        <v>0.0741071457973743</v>
      </c>
      <c r="N2216" s="21" t="n">
        <f aca="false">LN(J2216)</f>
        <v>14.2376087554303</v>
      </c>
      <c r="O2216" s="21" t="n">
        <f aca="false">AVERAGEIFS($N$2:$N$2705,$B$2:$B$2705,B2216)</f>
        <v>13.6179907771704</v>
      </c>
      <c r="P2216" s="21" t="n">
        <f aca="false">N2216-O2216</f>
        <v>0.619617978259919</v>
      </c>
      <c r="Q2216" s="7" t="n">
        <v>0</v>
      </c>
      <c r="R2216" s="3" t="n">
        <f aca="false">IF(AND(Q2216=1,B2216-_xlfn.MINIFS($B$2:$B$2705,$A$2:$A$2705,A2216)&lt;10),1,0)</f>
        <v>0</v>
      </c>
      <c r="S2216" s="7" t="n">
        <v>0</v>
      </c>
      <c r="T2216" s="3" t="n">
        <f aca="false">_xlfn.MINIFS($B$2:$B$2705,$A$2:$A$2705,A2216)</f>
        <v>1901</v>
      </c>
      <c r="U2216" s="3" t="n">
        <f aca="false">B2216-T2216</f>
        <v>108</v>
      </c>
      <c r="V2216" s="3" t="str">
        <f aca="false">INDEX(Pop_Inputs!$Q$2:$Q$29,MATCH(C2216,Pop_Inputs!$A$2:$A$29,0))</f>
        <v>Northeast</v>
      </c>
      <c r="W2216" s="29" t="n">
        <v>113004046</v>
      </c>
      <c r="X2216" s="3" t="n">
        <f aca="false">IF(W2216="","",LN(W2216))</f>
        <v>18.5429341813454</v>
      </c>
      <c r="Y2216" s="3" t="n">
        <f aca="false">IF(X2216="","",X2216-AVERAGEIFS($X$2:$X$2705,$B$2:$B$2705,B2216))</f>
        <v>0.304932643744341</v>
      </c>
      <c r="Z2216" s="21" t="n">
        <f aca="false">P2216</f>
        <v>0.619617978259919</v>
      </c>
      <c r="AA2216" s="3" t="n">
        <f aca="false">R2216</f>
        <v>0</v>
      </c>
      <c r="AB2216" s="21" t="n">
        <f aca="false">P2216</f>
        <v>0.619617978259919</v>
      </c>
      <c r="AC2216" s="3" t="n">
        <f aca="false">Y2216</f>
        <v>0.304932643744341</v>
      </c>
      <c r="AD2216" s="3" t="n">
        <f aca="false">R2216</f>
        <v>0</v>
      </c>
    </row>
    <row r="2217" customFormat="false" ht="15" hidden="false" customHeight="true" outlineLevel="0" collapsed="false">
      <c r="A2217" s="7" t="s">
        <v>58</v>
      </c>
      <c r="B2217" s="7" t="n">
        <v>2009</v>
      </c>
      <c r="C2217" s="7" t="s">
        <v>144</v>
      </c>
      <c r="D2217" s="7" t="n">
        <v>62</v>
      </c>
      <c r="E2217" s="7" t="n">
        <v>99</v>
      </c>
      <c r="F2217" s="3" t="n">
        <f aca="false">COUNTIFS($B$2:$B$2705,B2217,$C$2:$C$2705,C2217)</f>
        <v>1</v>
      </c>
      <c r="G2217" s="3" t="n">
        <f aca="false">MIN(INT((MIN(B2217,2020)-1900)/10)+1,12)</f>
        <v>11</v>
      </c>
      <c r="H2217" s="3" t="n">
        <f aca="false">(MIN(B2217,2020)-1900-10*(G2217-1))/10</f>
        <v>0.9</v>
      </c>
      <c r="I2217" s="20" t="n">
        <f aca="false">EXP(LN(INDEX(Pop_Inputs!$B$2:$N$29,MATCH(C2217,Pop_Inputs!$A$2:$A$29,0),G2217))*(1-H2217)+LN(INDEX(Pop_Inputs!$B$2:$N$29,MATCH(C2217,Pop_Inputs!$A$2:$A$29,0),G2217+1))*H2217)</f>
        <v>308474.167014005</v>
      </c>
      <c r="J2217" s="20" t="n">
        <f aca="false">I2217/F2217</f>
        <v>308474.167014005</v>
      </c>
      <c r="K2217" s="21" t="n">
        <f aca="false">D2217/(D2217+E2217)</f>
        <v>0.385093167701863</v>
      </c>
      <c r="L2217" s="21" t="n">
        <f aca="false">AVERAGEIFS($K$2:$K$2705,$B$2:$B$2705,B2217)</f>
        <v>0.4999669282767</v>
      </c>
      <c r="M2217" s="21" t="n">
        <f aca="false">K2217-L2217</f>
        <v>-0.114873760574836</v>
      </c>
      <c r="N2217" s="21" t="n">
        <f aca="false">LN(J2217)</f>
        <v>12.6393933814276</v>
      </c>
      <c r="O2217" s="21" t="n">
        <f aca="false">AVERAGEIFS($N$2:$N$2705,$B$2:$B$2705,B2217)</f>
        <v>13.6179907771704</v>
      </c>
      <c r="P2217" s="21" t="n">
        <f aca="false">N2217-O2217</f>
        <v>-0.978597395742812</v>
      </c>
      <c r="Q2217" s="7" t="n">
        <v>0</v>
      </c>
      <c r="R2217" s="3" t="n">
        <f aca="false">IF(AND(Q2217=1,B2217-_xlfn.MINIFS($B$2:$B$2705,$A$2:$A$2705,A2217)&lt;10),1,0)</f>
        <v>0</v>
      </c>
      <c r="S2217" s="7" t="n">
        <v>0</v>
      </c>
      <c r="T2217" s="3" t="n">
        <f aca="false">_xlfn.MINIFS($B$2:$B$2705,$A$2:$A$2705,A2217)</f>
        <v>1901</v>
      </c>
      <c r="U2217" s="3" t="n">
        <f aca="false">B2217-T2217</f>
        <v>108</v>
      </c>
      <c r="V2217" s="3" t="str">
        <f aca="false">INDEX(Pop_Inputs!$Q$2:$Q$29,MATCH(C2217,Pop_Inputs!$A$2:$A$29,0))</f>
        <v>Northeast</v>
      </c>
      <c r="W2217" s="29" t="n">
        <v>48693000</v>
      </c>
      <c r="X2217" s="3" t="n">
        <f aca="false">IF(W2217="","",LN(W2217))</f>
        <v>17.7010458405553</v>
      </c>
      <c r="Y2217" s="3" t="n">
        <f aca="false">IF(X2217="","",X2217-AVERAGEIFS($X$2:$X$2705,$B$2:$B$2705,B2217))</f>
        <v>-0.536955697045698</v>
      </c>
      <c r="Z2217" s="21" t="n">
        <f aca="false">P2217</f>
        <v>-0.978597395742812</v>
      </c>
      <c r="AA2217" s="3" t="n">
        <f aca="false">R2217</f>
        <v>0</v>
      </c>
      <c r="AB2217" s="21" t="n">
        <f aca="false">P2217</f>
        <v>-0.978597395742812</v>
      </c>
      <c r="AC2217" s="3" t="n">
        <f aca="false">Y2217</f>
        <v>-0.536955697045698</v>
      </c>
      <c r="AD2217" s="3" t="n">
        <f aca="false">R2217</f>
        <v>0</v>
      </c>
    </row>
    <row r="2218" customFormat="false" ht="15" hidden="false" customHeight="true" outlineLevel="0" collapsed="false">
      <c r="A2218" s="7" t="s">
        <v>78</v>
      </c>
      <c r="B2218" s="7" t="n">
        <v>2009</v>
      </c>
      <c r="C2218" s="7" t="s">
        <v>159</v>
      </c>
      <c r="D2218" s="7" t="n">
        <v>75</v>
      </c>
      <c r="E2218" s="7" t="n">
        <v>87</v>
      </c>
      <c r="F2218" s="3" t="n">
        <f aca="false">COUNTIFS($B$2:$B$2705,B2218,$C$2:$C$2705,C2218)</f>
        <v>1</v>
      </c>
      <c r="G2218" s="3" t="n">
        <f aca="false">MIN(INT((MIN(B2218,2020)-1900)/10)+1,12)</f>
        <v>11</v>
      </c>
      <c r="H2218" s="3" t="n">
        <f aca="false">(MIN(B2218,2020)-1900-10*(G2218-1))/10</f>
        <v>0.9</v>
      </c>
      <c r="I2218" s="20" t="n">
        <f aca="false">EXP(LN(INDEX(Pop_Inputs!$B$2:$N$29,MATCH(C2218,Pop_Inputs!$A$2:$A$29,0),G2218))*(1-H2218)+LN(INDEX(Pop_Inputs!$B$2:$N$29,MATCH(C2218,Pop_Inputs!$A$2:$A$29,0),G2218+1))*H2218)</f>
        <v>1298748.55722652</v>
      </c>
      <c r="J2218" s="20" t="n">
        <f aca="false">I2218/F2218</f>
        <v>1298748.55722652</v>
      </c>
      <c r="K2218" s="21" t="n">
        <f aca="false">D2218/(D2218+E2218)</f>
        <v>0.462962962962963</v>
      </c>
      <c r="L2218" s="21" t="n">
        <f aca="false">AVERAGEIFS($K$2:$K$2705,$B$2:$B$2705,B2218)</f>
        <v>0.4999669282767</v>
      </c>
      <c r="M2218" s="21" t="n">
        <f aca="false">K2218-L2218</f>
        <v>-0.0370039653137368</v>
      </c>
      <c r="N2218" s="21" t="n">
        <f aca="false">LN(J2218)</f>
        <v>14.076911710501</v>
      </c>
      <c r="O2218" s="21" t="n">
        <f aca="false">AVERAGEIFS($N$2:$N$2705,$B$2:$B$2705,B2218)</f>
        <v>13.6179907771704</v>
      </c>
      <c r="P2218" s="21" t="n">
        <f aca="false">N2218-O2218</f>
        <v>0.458920933330639</v>
      </c>
      <c r="Q2218" s="7" t="n">
        <v>1</v>
      </c>
      <c r="R2218" s="3" t="n">
        <f aca="false">IF(AND(Q2218=1,B2218-_xlfn.MINIFS($B$2:$B$2705,$A$2:$A$2705,A2218)&lt;10),1,0)</f>
        <v>0</v>
      </c>
      <c r="S2218" s="7" t="n">
        <v>0</v>
      </c>
      <c r="T2218" s="3" t="n">
        <f aca="false">_xlfn.MINIFS($B$2:$B$2705,$A$2:$A$2705,A2218)</f>
        <v>1969</v>
      </c>
      <c r="U2218" s="3" t="n">
        <f aca="false">B2218-T2218</f>
        <v>40</v>
      </c>
      <c r="V2218" s="3" t="str">
        <f aca="false">INDEX(Pop_Inputs!$Q$2:$Q$29,MATCH(C2218,Pop_Inputs!$A$2:$A$29,0))</f>
        <v>West</v>
      </c>
      <c r="W2218" s="29" t="n">
        <v>43333700</v>
      </c>
      <c r="X2218" s="3" t="n">
        <f aca="false">IF(W2218="","",LN(W2218))</f>
        <v>17.5844411812544</v>
      </c>
      <c r="Y2218" s="3" t="n">
        <f aca="false">IF(X2218="","",X2218-AVERAGEIFS($X$2:$X$2705,$B$2:$B$2705,B2218))</f>
        <v>-0.653560356346606</v>
      </c>
      <c r="Z2218" s="21" t="n">
        <f aca="false">P2218</f>
        <v>0.458920933330639</v>
      </c>
      <c r="AA2218" s="3" t="n">
        <f aca="false">R2218</f>
        <v>0</v>
      </c>
      <c r="AB2218" s="21" t="n">
        <f aca="false">P2218</f>
        <v>0.458920933330639</v>
      </c>
      <c r="AC2218" s="3" t="n">
        <f aca="false">Y2218</f>
        <v>-0.653560356346606</v>
      </c>
      <c r="AD2218" s="3" t="n">
        <f aca="false">R2218</f>
        <v>0</v>
      </c>
    </row>
    <row r="2219" customFormat="false" ht="15" hidden="false" customHeight="true" outlineLevel="0" collapsed="false">
      <c r="A2219" s="7" t="s">
        <v>80</v>
      </c>
      <c r="B2219" s="7" t="n">
        <v>2009</v>
      </c>
      <c r="C2219" s="7" t="s">
        <v>161</v>
      </c>
      <c r="D2219" s="7" t="n">
        <v>85</v>
      </c>
      <c r="E2219" s="7" t="n">
        <v>77</v>
      </c>
      <c r="F2219" s="3" t="n">
        <f aca="false">COUNTIFS($B$2:$B$2705,B2219,$C$2:$C$2705,C2219)</f>
        <v>1</v>
      </c>
      <c r="G2219" s="3" t="n">
        <f aca="false">MIN(INT((MIN(B2219,2020)-1900)/10)+1,12)</f>
        <v>11</v>
      </c>
      <c r="H2219" s="3" t="n">
        <f aca="false">(MIN(B2219,2020)-1900-10*(G2219-1))/10</f>
        <v>0.9</v>
      </c>
      <c r="I2219" s="20" t="n">
        <f aca="false">EXP(LN(INDEX(Pop_Inputs!$B$2:$N$29,MATCH(C2219,Pop_Inputs!$A$2:$A$29,0),G2219))*(1-H2219)+LN(INDEX(Pop_Inputs!$B$2:$N$29,MATCH(C2219,Pop_Inputs!$A$2:$A$29,0),G2219+1))*H2219)</f>
        <v>603972.222821473</v>
      </c>
      <c r="J2219" s="20" t="n">
        <f aca="false">I2219/F2219</f>
        <v>603972.222821473</v>
      </c>
      <c r="K2219" s="21" t="n">
        <f aca="false">D2219/(D2219+E2219)</f>
        <v>0.524691358024691</v>
      </c>
      <c r="L2219" s="21" t="n">
        <f aca="false">AVERAGEIFS($K$2:$K$2705,$B$2:$B$2705,B2219)</f>
        <v>0.4999669282767</v>
      </c>
      <c r="M2219" s="21" t="n">
        <f aca="false">K2219-L2219</f>
        <v>0.0247244297479916</v>
      </c>
      <c r="N2219" s="21" t="n">
        <f aca="false">LN(J2219)</f>
        <v>13.3112834871533</v>
      </c>
      <c r="O2219" s="21" t="n">
        <f aca="false">AVERAGEIFS($N$2:$N$2705,$B$2:$B$2705,B2219)</f>
        <v>13.6179907771704</v>
      </c>
      <c r="P2219" s="21" t="n">
        <f aca="false">N2219-O2219</f>
        <v>-0.306707290017128</v>
      </c>
      <c r="Q2219" s="7" t="n">
        <v>1</v>
      </c>
      <c r="R2219" s="3" t="n">
        <f aca="false">IF(AND(Q2219=1,B2219-_xlfn.MINIFS($B$2:$B$2705,$A$2:$A$2705,A2219)&lt;10),1,0)</f>
        <v>0</v>
      </c>
      <c r="S2219" s="7" t="n">
        <v>0</v>
      </c>
      <c r="T2219" s="3" t="n">
        <f aca="false">_xlfn.MINIFS($B$2:$B$2705,$A$2:$A$2705,A2219)</f>
        <v>1977</v>
      </c>
      <c r="U2219" s="3" t="n">
        <f aca="false">B2219-T2219</f>
        <v>32</v>
      </c>
      <c r="V2219" s="3" t="str">
        <f aca="false">INDEX(Pop_Inputs!$Q$2:$Q$29,MATCH(C2219,Pop_Inputs!$A$2:$A$29,0))</f>
        <v>West</v>
      </c>
      <c r="W2219" s="29" t="n">
        <v>98904166</v>
      </c>
      <c r="X2219" s="3" t="n">
        <f aca="false">IF(W2219="","",LN(W2219))</f>
        <v>18.4096619190627</v>
      </c>
      <c r="Y2219" s="3" t="n">
        <f aca="false">IF(X2219="","",X2219-AVERAGEIFS($X$2:$X$2705,$B$2:$B$2705,B2219))</f>
        <v>0.171660381461688</v>
      </c>
      <c r="Z2219" s="21" t="n">
        <f aca="false">P2219</f>
        <v>-0.306707290017128</v>
      </c>
      <c r="AA2219" s="3" t="n">
        <f aca="false">R2219</f>
        <v>0</v>
      </c>
      <c r="AB2219" s="21" t="n">
        <f aca="false">P2219</f>
        <v>-0.306707290017128</v>
      </c>
      <c r="AC2219" s="3" t="n">
        <f aca="false">Y2219</f>
        <v>0.171660381461688</v>
      </c>
      <c r="AD2219" s="3" t="n">
        <f aca="false">R2219</f>
        <v>0</v>
      </c>
    </row>
    <row r="2220" customFormat="false" ht="15" hidden="false" customHeight="true" outlineLevel="0" collapsed="false">
      <c r="A2220" s="7" t="s">
        <v>61</v>
      </c>
      <c r="B2220" s="7" t="n">
        <v>2009</v>
      </c>
      <c r="C2220" s="7" t="s">
        <v>147</v>
      </c>
      <c r="D2220" s="7" t="n">
        <v>88</v>
      </c>
      <c r="E2220" s="7" t="n">
        <v>74</v>
      </c>
      <c r="F2220" s="3" t="n">
        <f aca="false">COUNTIFS($B$2:$B$2705,B2220,$C$2:$C$2705,C2220)</f>
        <v>1</v>
      </c>
      <c r="G2220" s="3" t="n">
        <f aca="false">MIN(INT((MIN(B2220,2020)-1900)/10)+1,12)</f>
        <v>11</v>
      </c>
      <c r="H2220" s="3" t="n">
        <f aca="false">(MIN(B2220,2020)-1900-10*(G2220-1))/10</f>
        <v>0.9</v>
      </c>
      <c r="I2220" s="20" t="n">
        <f aca="false">EXP(LN(INDEX(Pop_Inputs!$B$2:$N$29,MATCH(C2220,Pop_Inputs!$A$2:$A$29,0),G2220))*(1-H2220)+LN(INDEX(Pop_Inputs!$B$2:$N$29,MATCH(C2220,Pop_Inputs!$A$2:$A$29,0),G2220+1))*H2220)</f>
        <v>802338.357027836</v>
      </c>
      <c r="J2220" s="20" t="n">
        <f aca="false">I2220/F2220</f>
        <v>802338.357027836</v>
      </c>
      <c r="K2220" s="21" t="n">
        <f aca="false">D2220/(D2220+E2220)</f>
        <v>0.54320987654321</v>
      </c>
      <c r="L2220" s="21" t="n">
        <f aca="false">AVERAGEIFS($K$2:$K$2705,$B$2:$B$2705,B2220)</f>
        <v>0.4999669282767</v>
      </c>
      <c r="M2220" s="21" t="n">
        <f aca="false">K2220-L2220</f>
        <v>0.0432429482665101</v>
      </c>
      <c r="N2220" s="21" t="n">
        <f aca="false">LN(J2220)</f>
        <v>13.5952856894333</v>
      </c>
      <c r="O2220" s="21" t="n">
        <f aca="false">AVERAGEIFS($N$2:$N$2705,$B$2:$B$2705,B2220)</f>
        <v>13.6179907771704</v>
      </c>
      <c r="P2220" s="21" t="n">
        <f aca="false">N2220-O2220</f>
        <v>-0.0227050877370587</v>
      </c>
      <c r="Q2220" s="7" t="n">
        <v>0</v>
      </c>
      <c r="R2220" s="3" t="n">
        <f aca="false">IF(AND(Q2220=1,B2220-_xlfn.MINIFS($B$2:$B$2705,$A$2:$A$2705,A2220)&lt;10),1,0)</f>
        <v>0</v>
      </c>
      <c r="S2220" s="7" t="n">
        <v>0</v>
      </c>
      <c r="T2220" s="3" t="n">
        <f aca="false">_xlfn.MINIFS($B$2:$B$2705,$A$2:$A$2705,A2220)</f>
        <v>1901</v>
      </c>
      <c r="U2220" s="3" t="n">
        <f aca="false">B2220-T2220</f>
        <v>108</v>
      </c>
      <c r="V2220" s="3" t="str">
        <f aca="false">INDEX(Pop_Inputs!$Q$2:$Q$29,MATCH(C2220,Pop_Inputs!$A$2:$A$29,0))</f>
        <v>West</v>
      </c>
      <c r="W2220" s="29" t="n">
        <v>83026450</v>
      </c>
      <c r="X2220" s="3" t="n">
        <f aca="false">IF(W2220="","",LN(W2220))</f>
        <v>18.2346697896937</v>
      </c>
      <c r="Y2220" s="3" t="n">
        <f aca="false">IF(X2220="","",X2220-AVERAGEIFS($X$2:$X$2705,$B$2:$B$2705,B2220))</f>
        <v>-0.00333174790734603</v>
      </c>
      <c r="Z2220" s="21" t="n">
        <f aca="false">P2220</f>
        <v>-0.0227050877370587</v>
      </c>
      <c r="AA2220" s="3" t="n">
        <f aca="false">R2220</f>
        <v>0</v>
      </c>
      <c r="AB2220" s="21" t="n">
        <f aca="false">P2220</f>
        <v>-0.0227050877370587</v>
      </c>
      <c r="AC2220" s="3" t="n">
        <f aca="false">Y2220</f>
        <v>-0.00333174790734603</v>
      </c>
      <c r="AD2220" s="3" t="n">
        <f aca="false">R2220</f>
        <v>0</v>
      </c>
    </row>
    <row r="2221" customFormat="false" ht="15" hidden="false" customHeight="true" outlineLevel="0" collapsed="false">
      <c r="A2221" s="7" t="s">
        <v>59</v>
      </c>
      <c r="B2221" s="7" t="n">
        <v>2009</v>
      </c>
      <c r="C2221" s="7" t="s">
        <v>145</v>
      </c>
      <c r="D2221" s="7" t="n">
        <v>91</v>
      </c>
      <c r="E2221" s="7" t="n">
        <v>71</v>
      </c>
      <c r="F2221" s="3" t="n">
        <f aca="false">COUNTIFS($B$2:$B$2705,B2221,$C$2:$C$2705,C2221)</f>
        <v>1</v>
      </c>
      <c r="G2221" s="3" t="n">
        <f aca="false">MIN(INT((MIN(B2221,2020)-1900)/10)+1,12)</f>
        <v>11</v>
      </c>
      <c r="H2221" s="3" t="n">
        <f aca="false">(MIN(B2221,2020)-1900-10*(G2221-1))/10</f>
        <v>0.9</v>
      </c>
      <c r="I2221" s="20" t="n">
        <f aca="false">EXP(LN(INDEX(Pop_Inputs!$B$2:$N$29,MATCH(C2221,Pop_Inputs!$A$2:$A$29,0),G2221))*(1-H2221)+LN(INDEX(Pop_Inputs!$B$2:$N$29,MATCH(C2221,Pop_Inputs!$A$2:$A$29,0),G2221+1))*H2221)</f>
        <v>322072.160437227</v>
      </c>
      <c r="J2221" s="20" t="n">
        <f aca="false">I2221/F2221</f>
        <v>322072.160437227</v>
      </c>
      <c r="K2221" s="21" t="n">
        <f aca="false">D2221/(D2221+E2221)</f>
        <v>0.561728395061728</v>
      </c>
      <c r="L2221" s="21" t="n">
        <f aca="false">AVERAGEIFS($K$2:$K$2705,$B$2:$B$2705,B2221)</f>
        <v>0.4999669282767</v>
      </c>
      <c r="M2221" s="21" t="n">
        <f aca="false">K2221-L2221</f>
        <v>0.0617614667850287</v>
      </c>
      <c r="N2221" s="21" t="n">
        <f aca="false">LN(J2221)</f>
        <v>12.6825309001565</v>
      </c>
      <c r="O2221" s="21" t="n">
        <f aca="false">AVERAGEIFS($N$2:$N$2705,$B$2:$B$2705,B2221)</f>
        <v>13.6179907771704</v>
      </c>
      <c r="P2221" s="21" t="n">
        <f aca="false">N2221-O2221</f>
        <v>-0.93545987701394</v>
      </c>
      <c r="Q2221" s="7" t="n">
        <v>0</v>
      </c>
      <c r="R2221" s="3" t="n">
        <f aca="false">IF(AND(Q2221=1,B2221-_xlfn.MINIFS($B$2:$B$2705,$A$2:$A$2705,A2221)&lt;10),1,0)</f>
        <v>0</v>
      </c>
      <c r="S2221" s="7" t="n">
        <v>0</v>
      </c>
      <c r="T2221" s="3" t="n">
        <f aca="false">_xlfn.MINIFS($B$2:$B$2705,$A$2:$A$2705,A2221)</f>
        <v>1901</v>
      </c>
      <c r="U2221" s="3" t="n">
        <f aca="false">B2221-T2221</f>
        <v>108</v>
      </c>
      <c r="V2221" s="3" t="str">
        <f aca="false">INDEX(Pop_Inputs!$Q$2:$Q$29,MATCH(C2221,Pop_Inputs!$A$2:$A$29,0))</f>
        <v>Midwest</v>
      </c>
      <c r="W2221" s="29" t="n">
        <v>88528409</v>
      </c>
      <c r="X2221" s="3" t="n">
        <f aca="false">IF(W2221="","",LN(W2221))</f>
        <v>18.2988340641166</v>
      </c>
      <c r="Y2221" s="3" t="n">
        <f aca="false">IF(X2221="","",X2221-AVERAGEIFS($X$2:$X$2705,$B$2:$B$2705,B2221))</f>
        <v>0.0608325265155685</v>
      </c>
      <c r="Z2221" s="21" t="n">
        <f aca="false">P2221</f>
        <v>-0.93545987701394</v>
      </c>
      <c r="AA2221" s="3" t="n">
        <f aca="false">R2221</f>
        <v>0</v>
      </c>
      <c r="AB2221" s="21" t="n">
        <f aca="false">P2221</f>
        <v>-0.93545987701394</v>
      </c>
      <c r="AC2221" s="3" t="n">
        <f aca="false">Y2221</f>
        <v>0.0608325265155685</v>
      </c>
      <c r="AD2221" s="3" t="n">
        <f aca="false">R2221</f>
        <v>0</v>
      </c>
    </row>
    <row r="2222" customFormat="false" ht="15" hidden="false" customHeight="true" outlineLevel="0" collapsed="false">
      <c r="A2222" s="7" t="s">
        <v>85</v>
      </c>
      <c r="B2222" s="7" t="n">
        <v>2009</v>
      </c>
      <c r="C2222" s="7" t="s">
        <v>166</v>
      </c>
      <c r="D2222" s="7" t="n">
        <v>84</v>
      </c>
      <c r="E2222" s="7" t="n">
        <v>78</v>
      </c>
      <c r="F2222" s="3" t="n">
        <f aca="false">COUNTIFS($B$2:$B$2705,B2222,$C$2:$C$2705,C2222)</f>
        <v>1</v>
      </c>
      <c r="G2222" s="3" t="n">
        <f aca="false">MIN(INT((MIN(B2222,2020)-1900)/10)+1,12)</f>
        <v>11</v>
      </c>
      <c r="H2222" s="3" t="n">
        <f aca="false">(MIN(B2222,2020)-1900-10*(G2222-1))/10</f>
        <v>0.9</v>
      </c>
      <c r="I2222" s="20" t="n">
        <f aca="false">EXP(LN(INDEX(Pop_Inputs!$B$2:$N$29,MATCH(C2222,Pop_Inputs!$A$2:$A$29,0),G2222))*(1-H2222)+LN(INDEX(Pop_Inputs!$B$2:$N$29,MATCH(C2222,Pop_Inputs!$A$2:$A$29,0),G2222+1))*H2222)</f>
        <v>332334.149960123</v>
      </c>
      <c r="J2222" s="20" t="n">
        <f aca="false">I2222/F2222</f>
        <v>332334.149960123</v>
      </c>
      <c r="K2222" s="21" t="n">
        <f aca="false">D2222/(D2222+E2222)</f>
        <v>0.518518518518519</v>
      </c>
      <c r="L2222" s="21" t="n">
        <f aca="false">AVERAGEIFS($K$2:$K$2705,$B$2:$B$2705,B2222)</f>
        <v>0.4999669282767</v>
      </c>
      <c r="M2222" s="21" t="n">
        <f aca="false">K2222-L2222</f>
        <v>0.0185515902418187</v>
      </c>
      <c r="N2222" s="21" t="n">
        <f aca="false">LN(J2222)</f>
        <v>12.713896217525</v>
      </c>
      <c r="O2222" s="21" t="n">
        <f aca="false">AVERAGEIFS($N$2:$N$2705,$B$2:$B$2705,B2222)</f>
        <v>13.6179907771704</v>
      </c>
      <c r="P2222" s="21" t="n">
        <f aca="false">N2222-O2222</f>
        <v>-0.904094559645424</v>
      </c>
      <c r="Q2222" s="7" t="n">
        <v>1</v>
      </c>
      <c r="R2222" s="3" t="n">
        <f aca="false">IF(AND(Q2222=1,B2222-_xlfn.MINIFS($B$2:$B$2705,$A$2:$A$2705,A2222)&lt;10),1,0)</f>
        <v>0</v>
      </c>
      <c r="S2222" s="7" t="n">
        <v>0</v>
      </c>
      <c r="T2222" s="3" t="n">
        <f aca="false">_xlfn.MINIFS($B$2:$B$2705,$A$2:$A$2705,A2222)</f>
        <v>1998</v>
      </c>
      <c r="U2222" s="3" t="n">
        <f aca="false">B2222-T2222</f>
        <v>11</v>
      </c>
      <c r="V2222" s="3" t="str">
        <f aca="false">INDEX(Pop_Inputs!$Q$2:$Q$29,MATCH(C2222,Pop_Inputs!$A$2:$A$29,0))</f>
        <v>South</v>
      </c>
      <c r="W2222" s="29" t="n">
        <v>63313034</v>
      </c>
      <c r="X2222" s="3" t="n">
        <f aca="false">IF(W2222="","",LN(W2222))</f>
        <v>17.963601774291</v>
      </c>
      <c r="Y2222" s="3" t="n">
        <f aca="false">IF(X2222="","",X2222-AVERAGEIFS($X$2:$X$2705,$B$2:$B$2705,B2222))</f>
        <v>-0.274399763310001</v>
      </c>
      <c r="Z2222" s="21" t="n">
        <f aca="false">P2222</f>
        <v>-0.904094559645424</v>
      </c>
      <c r="AA2222" s="3" t="n">
        <f aca="false">R2222</f>
        <v>0</v>
      </c>
      <c r="AB2222" s="21" t="n">
        <f aca="false">P2222</f>
        <v>-0.904094559645424</v>
      </c>
      <c r="AC2222" s="3" t="n">
        <f aca="false">Y2222</f>
        <v>-0.274399763310001</v>
      </c>
      <c r="AD2222" s="3" t="n">
        <f aca="false">R2222</f>
        <v>0</v>
      </c>
    </row>
    <row r="2223" customFormat="false" ht="15" hidden="false" customHeight="true" outlineLevel="0" collapsed="false">
      <c r="A2223" s="7" t="s">
        <v>73</v>
      </c>
      <c r="B2223" s="7" t="n">
        <v>2009</v>
      </c>
      <c r="C2223" s="7" t="s">
        <v>155</v>
      </c>
      <c r="D2223" s="7" t="n">
        <v>87</v>
      </c>
      <c r="E2223" s="7" t="n">
        <v>75</v>
      </c>
      <c r="F2223" s="3" t="n">
        <f aca="false">COUNTIFS($B$2:$B$2705,B2223,$C$2:$C$2705,C2223)</f>
        <v>1</v>
      </c>
      <c r="G2223" s="3" t="n">
        <f aca="false">MIN(INT((MIN(B2223,2020)-1900)/10)+1,12)</f>
        <v>11</v>
      </c>
      <c r="H2223" s="3" t="n">
        <f aca="false">(MIN(B2223,2020)-1900-10*(G2223-1))/10</f>
        <v>0.9</v>
      </c>
      <c r="I2223" s="20" t="n">
        <f aca="false">EXP(LN(INDEX(Pop_Inputs!$B$2:$N$29,MATCH(C2223,Pop_Inputs!$A$2:$A$29,0),G2223))*(1-H2223)+LN(INDEX(Pop_Inputs!$B$2:$N$29,MATCH(C2223,Pop_Inputs!$A$2:$A$29,0),G2223+1))*H2223)</f>
        <v>1196889.17954071</v>
      </c>
      <c r="J2223" s="20" t="n">
        <f aca="false">I2223/F2223</f>
        <v>1196889.17954071</v>
      </c>
      <c r="K2223" s="21" t="n">
        <f aca="false">D2223/(D2223+E2223)</f>
        <v>0.537037037037037</v>
      </c>
      <c r="L2223" s="21" t="n">
        <f aca="false">AVERAGEIFS($K$2:$K$2705,$B$2:$B$2705,B2223)</f>
        <v>0.4999669282767</v>
      </c>
      <c r="M2223" s="21" t="n">
        <f aca="false">K2223-L2223</f>
        <v>0.0370701087603373</v>
      </c>
      <c r="N2223" s="21" t="n">
        <f aca="false">LN(J2223)</f>
        <v>13.9952363984168</v>
      </c>
      <c r="O2223" s="21" t="n">
        <f aca="false">AVERAGEIFS($N$2:$N$2705,$B$2:$B$2705,B2223)</f>
        <v>13.6179907771704</v>
      </c>
      <c r="P2223" s="21" t="n">
        <f aca="false">N2223-O2223</f>
        <v>0.37724562124642</v>
      </c>
      <c r="Q2223" s="7" t="n">
        <v>1</v>
      </c>
      <c r="R2223" s="3" t="n">
        <f aca="false">IF(AND(Q2223=1,B2223-_xlfn.MINIFS($B$2:$B$2705,$A$2:$A$2705,A2223)&lt;10),1,0)</f>
        <v>0</v>
      </c>
      <c r="S2223" s="7" t="n">
        <v>0</v>
      </c>
      <c r="T2223" s="3" t="n">
        <f aca="false">_xlfn.MINIFS($B$2:$B$2705,$A$2:$A$2705,A2223)</f>
        <v>1961</v>
      </c>
      <c r="U2223" s="3" t="n">
        <f aca="false">B2223-T2223</f>
        <v>48</v>
      </c>
      <c r="V2223" s="3" t="str">
        <f aca="false">INDEX(Pop_Inputs!$Q$2:$Q$29,MATCH(C2223,Pop_Inputs!$A$2:$A$29,0))</f>
        <v>South</v>
      </c>
      <c r="W2223" s="29" t="n">
        <v>68178798</v>
      </c>
      <c r="X2223" s="3" t="n">
        <f aca="false">IF(W2223="","",LN(W2223))</f>
        <v>18.0376441947152</v>
      </c>
      <c r="Y2223" s="3" t="n">
        <f aca="false">IF(X2223="","",X2223-AVERAGEIFS($X$2:$X$2705,$B$2:$B$2705,B2223))</f>
        <v>-0.200357342885852</v>
      </c>
      <c r="Z2223" s="21" t="n">
        <f aca="false">P2223</f>
        <v>0.37724562124642</v>
      </c>
      <c r="AA2223" s="3" t="n">
        <f aca="false">R2223</f>
        <v>0</v>
      </c>
      <c r="AB2223" s="21" t="n">
        <f aca="false">P2223</f>
        <v>0.37724562124642</v>
      </c>
      <c r="AC2223" s="3" t="n">
        <f aca="false">Y2223</f>
        <v>-0.200357342885852</v>
      </c>
      <c r="AD2223" s="3" t="n">
        <f aca="false">R2223</f>
        <v>0</v>
      </c>
    </row>
    <row r="2224" customFormat="false" ht="15" hidden="false" customHeight="true" outlineLevel="0" collapsed="false">
      <c r="A2224" s="7" t="s">
        <v>81</v>
      </c>
      <c r="B2224" s="7" t="n">
        <v>2009</v>
      </c>
      <c r="C2224" s="7" t="s">
        <v>162</v>
      </c>
      <c r="D2224" s="7" t="n">
        <v>75</v>
      </c>
      <c r="E2224" s="7" t="n">
        <v>87</v>
      </c>
      <c r="F2224" s="3" t="n">
        <f aca="false">COUNTIFS($B$2:$B$2705,B2224,$C$2:$C$2705,C2224)</f>
        <v>1</v>
      </c>
      <c r="G2224" s="3" t="n">
        <f aca="false">MIN(INT((MIN(B2224,2020)-1900)/10)+1,12)</f>
        <v>11</v>
      </c>
      <c r="H2224" s="3" t="n">
        <f aca="false">(MIN(B2224,2020)-1900-10*(G2224-1))/10</f>
        <v>0.9</v>
      </c>
      <c r="I2224" s="20" t="n">
        <f aca="false">EXP(LN(INDEX(Pop_Inputs!$B$2:$N$29,MATCH(C2224,Pop_Inputs!$A$2:$A$29,0),G2224))*(1-H2224)+LN(INDEX(Pop_Inputs!$B$2:$N$29,MATCH(C2224,Pop_Inputs!$A$2:$A$29,0),G2224+1))*H2224)</f>
        <v>2601386.0976129</v>
      </c>
      <c r="J2224" s="20" t="n">
        <f aca="false">I2224/F2224</f>
        <v>2601386.0976129</v>
      </c>
      <c r="K2224" s="21" t="n">
        <f aca="false">D2224/(D2224+E2224)</f>
        <v>0.462962962962963</v>
      </c>
      <c r="L2224" s="21" t="n">
        <f aca="false">AVERAGEIFS($K$2:$K$2705,$B$2:$B$2705,B2224)</f>
        <v>0.4999669282767</v>
      </c>
      <c r="M2224" s="21" t="n">
        <f aca="false">K2224-L2224</f>
        <v>-0.0370039653137368</v>
      </c>
      <c r="N2224" s="21" t="n">
        <f aca="false">LN(J2224)</f>
        <v>14.7715549754032</v>
      </c>
      <c r="O2224" s="21" t="n">
        <f aca="false">AVERAGEIFS($N$2:$N$2705,$B$2:$B$2705,B2224)</f>
        <v>13.6179907771704</v>
      </c>
      <c r="P2224" s="21" t="n">
        <f aca="false">N2224-O2224</f>
        <v>1.15356419823278</v>
      </c>
      <c r="Q2224" s="7" t="n">
        <v>1</v>
      </c>
      <c r="R2224" s="3" t="n">
        <f aca="false">IF(AND(Q2224=1,B2224-_xlfn.MINIFS($B$2:$B$2705,$A$2:$A$2705,A2224)&lt;10),1,0)</f>
        <v>0</v>
      </c>
      <c r="S2224" s="7" t="n">
        <v>0</v>
      </c>
      <c r="T2224" s="3" t="n">
        <f aca="false">_xlfn.MINIFS($B$2:$B$2705,$A$2:$A$2705,A2224)</f>
        <v>1977</v>
      </c>
      <c r="U2224" s="3" t="n">
        <f aca="false">B2224-T2224</f>
        <v>32</v>
      </c>
      <c r="V2224" s="3" t="str">
        <f aca="false">INDEX(Pop_Inputs!$Q$2:$Q$29,MATCH(C2224,Pop_Inputs!$A$2:$A$29,0))</f>
        <v>Canada</v>
      </c>
      <c r="W2224" s="29" t="n">
        <v>80538300</v>
      </c>
      <c r="X2224" s="3" t="n">
        <f aca="false">IF(W2224="","",LN(W2224))</f>
        <v>18.2042434056406</v>
      </c>
      <c r="Y2224" s="3" t="n">
        <f aca="false">IF(X2224="","",X2224-AVERAGEIFS($X$2:$X$2705,$B$2:$B$2705,B2224))</f>
        <v>-0.0337581319604112</v>
      </c>
      <c r="Z2224" s="21" t="n">
        <f aca="false">P2224</f>
        <v>1.15356419823278</v>
      </c>
      <c r="AA2224" s="3" t="n">
        <f aca="false">R2224</f>
        <v>0</v>
      </c>
      <c r="AB2224" s="21" t="n">
        <f aca="false">P2224</f>
        <v>1.15356419823278</v>
      </c>
      <c r="AC2224" s="3" t="n">
        <f aca="false">Y2224</f>
        <v>-0.0337581319604112</v>
      </c>
      <c r="AD2224" s="3" t="n">
        <f aca="false">R2224</f>
        <v>0</v>
      </c>
    </row>
    <row r="2225" customFormat="false" ht="15" hidden="false" customHeight="true" outlineLevel="0" collapsed="false">
      <c r="A2225" s="7" t="s">
        <v>79</v>
      </c>
      <c r="B2225" s="7" t="n">
        <v>2009</v>
      </c>
      <c r="C2225" s="7" t="s">
        <v>160</v>
      </c>
      <c r="D2225" s="7" t="n">
        <v>59</v>
      </c>
      <c r="E2225" s="7" t="n">
        <v>103</v>
      </c>
      <c r="F2225" s="3" t="n">
        <f aca="false">COUNTIFS($B$2:$B$2705,B2225,$C$2:$C$2705,C2225)</f>
        <v>1</v>
      </c>
      <c r="G2225" s="3" t="n">
        <f aca="false">MIN(INT((MIN(B2225,2020)-1900)/10)+1,12)</f>
        <v>11</v>
      </c>
      <c r="H2225" s="3" t="n">
        <f aca="false">(MIN(B2225,2020)-1900-10*(G2225-1))/10</f>
        <v>0.9</v>
      </c>
      <c r="I2225" s="20" t="n">
        <f aca="false">EXP(LN(INDEX(Pop_Inputs!$B$2:$N$29,MATCH(C2225,Pop_Inputs!$A$2:$A$29,0),G2225))*(1-H2225)+LN(INDEX(Pop_Inputs!$B$2:$N$29,MATCH(C2225,Pop_Inputs!$A$2:$A$29,0),G2225+1))*H2225)</f>
        <v>598688.661467213</v>
      </c>
      <c r="J2225" s="20" t="n">
        <f aca="false">I2225/F2225</f>
        <v>598688.661467213</v>
      </c>
      <c r="K2225" s="21" t="n">
        <f aca="false">D2225/(D2225+E2225)</f>
        <v>0.364197530864198</v>
      </c>
      <c r="L2225" s="21" t="n">
        <f aca="false">AVERAGEIFS($K$2:$K$2705,$B$2:$B$2705,B2225)</f>
        <v>0.4999669282767</v>
      </c>
      <c r="M2225" s="21" t="n">
        <f aca="false">K2225-L2225</f>
        <v>-0.135769397412502</v>
      </c>
      <c r="N2225" s="21" t="n">
        <f aca="false">LN(J2225)</f>
        <v>13.3024969781459</v>
      </c>
      <c r="O2225" s="21" t="n">
        <f aca="false">AVERAGEIFS($N$2:$N$2705,$B$2:$B$2705,B2225)</f>
        <v>13.6179907771704</v>
      </c>
      <c r="P2225" s="21" t="n">
        <f aca="false">N2225-O2225</f>
        <v>-0.315493799024543</v>
      </c>
      <c r="Q2225" s="7" t="n">
        <v>1</v>
      </c>
      <c r="R2225" s="3" t="n">
        <f aca="false">IF(AND(Q2225=1,B2225-_xlfn.MINIFS($B$2:$B$2705,$A$2:$A$2705,A2225)&lt;10),1,0)</f>
        <v>0</v>
      </c>
      <c r="S2225" s="7" t="n">
        <v>0</v>
      </c>
      <c r="T2225" s="3" t="n">
        <f aca="false">_xlfn.MINIFS($B$2:$B$2705,$A$2:$A$2705,A2225)</f>
        <v>1969</v>
      </c>
      <c r="U2225" s="3" t="n">
        <f aca="false">B2225-T2225</f>
        <v>40</v>
      </c>
      <c r="V2225" s="3" t="str">
        <f aca="false">INDEX(Pop_Inputs!$Q$2:$Q$29,MATCH(C2225,Pop_Inputs!$A$2:$A$29,0))</f>
        <v>South</v>
      </c>
      <c r="W2225" s="29" t="n">
        <v>59928000</v>
      </c>
      <c r="X2225" s="3" t="n">
        <f aca="false">IF(W2225="","",LN(W2225))</f>
        <v>17.9086543996099</v>
      </c>
      <c r="Y2225" s="3" t="n">
        <f aca="false">IF(X2225="","",X2225-AVERAGEIFS($X$2:$X$2705,$B$2:$B$2705,B2225))</f>
        <v>-0.32934713799116</v>
      </c>
      <c r="Z2225" s="21" t="n">
        <f aca="false">P2225</f>
        <v>-0.315493799024543</v>
      </c>
      <c r="AA2225" s="3" t="n">
        <f aca="false">R2225</f>
        <v>0</v>
      </c>
      <c r="AB2225" s="21" t="n">
        <f aca="false">P2225</f>
        <v>-0.315493799024543</v>
      </c>
      <c r="AC2225" s="3" t="n">
        <f aca="false">Y2225</f>
        <v>-0.32934713799116</v>
      </c>
      <c r="AD2225" s="3" t="n">
        <f aca="false">R2225</f>
        <v>0</v>
      </c>
    </row>
    <row r="2226" customFormat="false" ht="15" hidden="false" customHeight="true" outlineLevel="0" collapsed="false">
      <c r="A2226" s="7" t="s">
        <v>71</v>
      </c>
      <c r="B2226" s="7" t="n">
        <v>2010</v>
      </c>
      <c r="C2226" s="7" t="s">
        <v>148</v>
      </c>
      <c r="D2226" s="7" t="n">
        <v>80</v>
      </c>
      <c r="E2226" s="7" t="n">
        <v>82</v>
      </c>
      <c r="F2226" s="3" t="n">
        <f aca="false">COUNTIFS($B$2:$B$2705,B2226,$C$2:$C$2705,C2226)</f>
        <v>2</v>
      </c>
      <c r="G2226" s="3" t="n">
        <f aca="false">MIN(INT((MIN(B2226,2020)-1900)/10)+1,12)</f>
        <v>12</v>
      </c>
      <c r="H2226" s="3" t="n">
        <f aca="false">(MIN(B2226,2020)-1900-10*(G2226-1))/10</f>
        <v>0</v>
      </c>
      <c r="I2226" s="20" t="n">
        <f aca="false">EXP(LN(INDEX(Pop_Inputs!$B$2:$N$29,MATCH(C2226,Pop_Inputs!$A$2:$A$29,0),G2226))*(1-H2226)+LN(INDEX(Pop_Inputs!$B$2:$N$29,MATCH(C2226,Pop_Inputs!$A$2:$A$29,0),G2226+1))*H2226)</f>
        <v>3792621</v>
      </c>
      <c r="J2226" s="20" t="n">
        <f aca="false">I2226/F2226</f>
        <v>1896310.5</v>
      </c>
      <c r="K2226" s="21" t="n">
        <f aca="false">D2226/(D2226+E2226)</f>
        <v>0.493827160493827</v>
      </c>
      <c r="L2226" s="21" t="n">
        <f aca="false">AVERAGEIFS($K$2:$K$2705,$B$2:$B$2705,B2226)</f>
        <v>0.5</v>
      </c>
      <c r="M2226" s="21" t="n">
        <f aca="false">K2226-L2226</f>
        <v>-0.00617283950617287</v>
      </c>
      <c r="N2226" s="21" t="n">
        <f aca="false">LN(J2226)</f>
        <v>14.4554207142117</v>
      </c>
      <c r="O2226" s="21" t="n">
        <f aca="false">AVERAGEIFS($N$2:$N$2705,$B$2:$B$2705,B2226)</f>
        <v>13.6178159222213</v>
      </c>
      <c r="P2226" s="21" t="n">
        <f aca="false">N2226-O2226</f>
        <v>0.837604791990469</v>
      </c>
      <c r="Q2226" s="7" t="n">
        <v>1</v>
      </c>
      <c r="R2226" s="3" t="n">
        <f aca="false">IF(AND(Q2226=1,B2226-_xlfn.MINIFS($B$2:$B$2705,$A$2:$A$2705,A2226)&lt;10),1,0)</f>
        <v>0</v>
      </c>
      <c r="S2226" s="7" t="n">
        <v>0</v>
      </c>
      <c r="T2226" s="3" t="n">
        <f aca="false">_xlfn.MINIFS($B$2:$B$2705,$A$2:$A$2705,A2226)</f>
        <v>1961</v>
      </c>
      <c r="U2226" s="3" t="n">
        <f aca="false">B2226-T2226</f>
        <v>49</v>
      </c>
      <c r="V2226" s="3" t="str">
        <f aca="false">INDEX(Pop_Inputs!$Q$2:$Q$29,MATCH(C2226,Pop_Inputs!$A$2:$A$29,0))</f>
        <v>West</v>
      </c>
      <c r="W2226" s="29" t="n">
        <v>104963866</v>
      </c>
      <c r="X2226" s="3" t="n">
        <f aca="false">IF(W2226="","",LN(W2226))</f>
        <v>18.469126715561</v>
      </c>
      <c r="Y2226" s="3" t="n">
        <f aca="false">IF(X2226="","",X2226-AVERAGEIFS($X$2:$X$2705,$B$2:$B$2705,B2226))</f>
        <v>0.225344394417242</v>
      </c>
      <c r="Z2226" s="21" t="n">
        <f aca="false">P2226</f>
        <v>0.837604791990469</v>
      </c>
      <c r="AA2226" s="3" t="n">
        <f aca="false">R2226</f>
        <v>0</v>
      </c>
      <c r="AB2226" s="21" t="n">
        <f aca="false">P2226</f>
        <v>0.837604791990469</v>
      </c>
      <c r="AC2226" s="3" t="n">
        <f aca="false">Y2226</f>
        <v>0.225344394417242</v>
      </c>
      <c r="AD2226" s="3" t="n">
        <f aca="false">R2226</f>
        <v>0</v>
      </c>
    </row>
    <row r="2227" customFormat="false" ht="15" hidden="false" customHeight="true" outlineLevel="0" collapsed="false">
      <c r="A2227" s="7" t="s">
        <v>84</v>
      </c>
      <c r="B2227" s="7" t="n">
        <v>2010</v>
      </c>
      <c r="C2227" s="7" t="s">
        <v>165</v>
      </c>
      <c r="D2227" s="7" t="n">
        <v>65</v>
      </c>
      <c r="E2227" s="7" t="n">
        <v>97</v>
      </c>
      <c r="F2227" s="3" t="n">
        <f aca="false">COUNTIFS($B$2:$B$2705,B2227,$C$2:$C$2705,C2227)</f>
        <v>1</v>
      </c>
      <c r="G2227" s="3" t="n">
        <f aca="false">MIN(INT((MIN(B2227,2020)-1900)/10)+1,12)</f>
        <v>12</v>
      </c>
      <c r="H2227" s="3" t="n">
        <f aca="false">(MIN(B2227,2020)-1900-10*(G2227-1))/10</f>
        <v>0</v>
      </c>
      <c r="I2227" s="20" t="n">
        <f aca="false">EXP(LN(INDEX(Pop_Inputs!$B$2:$N$29,MATCH(C2227,Pop_Inputs!$A$2:$A$29,0),G2227))*(1-H2227)+LN(INDEX(Pop_Inputs!$B$2:$N$29,MATCH(C2227,Pop_Inputs!$A$2:$A$29,0),G2227+1))*H2227)</f>
        <v>1445632</v>
      </c>
      <c r="J2227" s="20" t="n">
        <f aca="false">I2227/F2227</f>
        <v>1445632</v>
      </c>
      <c r="K2227" s="21" t="n">
        <f aca="false">D2227/(D2227+E2227)</f>
        <v>0.401234567901235</v>
      </c>
      <c r="L2227" s="21" t="n">
        <f aca="false">AVERAGEIFS($K$2:$K$2705,$B$2:$B$2705,B2227)</f>
        <v>0.5</v>
      </c>
      <c r="M2227" s="21" t="n">
        <f aca="false">K2227-L2227</f>
        <v>-0.0987654320987654</v>
      </c>
      <c r="N2227" s="21" t="n">
        <f aca="false">LN(J2227)</f>
        <v>14.1840571541524</v>
      </c>
      <c r="O2227" s="21" t="n">
        <f aca="false">AVERAGEIFS($N$2:$N$2705,$B$2:$B$2705,B2227)</f>
        <v>13.6178159222213</v>
      </c>
      <c r="P2227" s="21" t="n">
        <f aca="false">N2227-O2227</f>
        <v>0.566241231931137</v>
      </c>
      <c r="Q2227" s="7" t="n">
        <v>1</v>
      </c>
      <c r="R2227" s="3" t="n">
        <f aca="false">IF(AND(Q2227=1,B2227-_xlfn.MINIFS($B$2:$B$2705,$A$2:$A$2705,A2227)&lt;10),1,0)</f>
        <v>0</v>
      </c>
      <c r="S2227" s="7" t="n">
        <v>0</v>
      </c>
      <c r="T2227" s="3" t="n">
        <f aca="false">_xlfn.MINIFS($B$2:$B$2705,$A$2:$A$2705,A2227)</f>
        <v>1998</v>
      </c>
      <c r="U2227" s="3" t="n">
        <f aca="false">B2227-T2227</f>
        <v>12</v>
      </c>
      <c r="V2227" s="3" t="str">
        <f aca="false">INDEX(Pop_Inputs!$Q$2:$Q$29,MATCH(C2227,Pop_Inputs!$A$2:$A$29,0))</f>
        <v>West</v>
      </c>
      <c r="W2227" s="29" t="n">
        <v>60718166</v>
      </c>
      <c r="X2227" s="3" t="n">
        <f aca="false">IF(W2227="","",LN(W2227))</f>
        <v>17.9217534863794</v>
      </c>
      <c r="Y2227" s="3" t="n">
        <f aca="false">IF(X2227="","",X2227-AVERAGEIFS($X$2:$X$2705,$B$2:$B$2705,B2227))</f>
        <v>-0.322028834764339</v>
      </c>
      <c r="Z2227" s="21" t="n">
        <f aca="false">P2227</f>
        <v>0.566241231931137</v>
      </c>
      <c r="AA2227" s="3" t="n">
        <f aca="false">R2227</f>
        <v>0</v>
      </c>
      <c r="AB2227" s="21" t="n">
        <f aca="false">P2227</f>
        <v>0.566241231931137</v>
      </c>
      <c r="AC2227" s="3" t="n">
        <f aca="false">Y2227</f>
        <v>-0.322028834764339</v>
      </c>
      <c r="AD2227" s="3" t="n">
        <f aca="false">R2227</f>
        <v>0</v>
      </c>
    </row>
    <row r="2228" customFormat="false" ht="15" hidden="false" customHeight="true" outlineLevel="0" collapsed="false">
      <c r="A2228" s="7" t="s">
        <v>54</v>
      </c>
      <c r="B2228" s="7" t="n">
        <v>2010</v>
      </c>
      <c r="C2228" s="7" t="s">
        <v>141</v>
      </c>
      <c r="D2228" s="7" t="n">
        <v>91</v>
      </c>
      <c r="E2228" s="7" t="n">
        <v>71</v>
      </c>
      <c r="F2228" s="3" t="n">
        <f aca="false">COUNTIFS($B$2:$B$2705,B2228,$C$2:$C$2705,C2228)</f>
        <v>1</v>
      </c>
      <c r="G2228" s="3" t="n">
        <f aca="false">MIN(INT((MIN(B2228,2020)-1900)/10)+1,12)</f>
        <v>12</v>
      </c>
      <c r="H2228" s="3" t="n">
        <f aca="false">(MIN(B2228,2020)-1900-10*(G2228-1))/10</f>
        <v>0</v>
      </c>
      <c r="I2228" s="20" t="n">
        <f aca="false">EXP(LN(INDEX(Pop_Inputs!$B$2:$N$29,MATCH(C2228,Pop_Inputs!$A$2:$A$29,0),G2228))*(1-H2228)+LN(INDEX(Pop_Inputs!$B$2:$N$29,MATCH(C2228,Pop_Inputs!$A$2:$A$29,0),G2228+1))*H2228)</f>
        <v>420003</v>
      </c>
      <c r="J2228" s="20" t="n">
        <f aca="false">I2228/F2228</f>
        <v>420003</v>
      </c>
      <c r="K2228" s="21" t="n">
        <f aca="false">D2228/(D2228+E2228)</f>
        <v>0.561728395061728</v>
      </c>
      <c r="L2228" s="21" t="n">
        <f aca="false">AVERAGEIFS($K$2:$K$2705,$B$2:$B$2705,B2228)</f>
        <v>0.5</v>
      </c>
      <c r="M2228" s="21" t="n">
        <f aca="false">K2228-L2228</f>
        <v>0.0617283950617285</v>
      </c>
      <c r="N2228" s="21" t="n">
        <f aca="false">LN(J2228)</f>
        <v>12.9480171330912</v>
      </c>
      <c r="O2228" s="21" t="n">
        <f aca="false">AVERAGEIFS($N$2:$N$2705,$B$2:$B$2705,B2228)</f>
        <v>13.6178159222213</v>
      </c>
      <c r="P2228" s="21" t="n">
        <f aca="false">N2228-O2228</f>
        <v>-0.669798789130077</v>
      </c>
      <c r="Q2228" s="7" t="n">
        <v>0</v>
      </c>
      <c r="R2228" s="3" t="n">
        <f aca="false">IF(AND(Q2228=1,B2228-_xlfn.MINIFS($B$2:$B$2705,$A$2:$A$2705,A2228)&lt;10),1,0)</f>
        <v>0</v>
      </c>
      <c r="S2228" s="7" t="n">
        <v>0</v>
      </c>
      <c r="T2228" s="3" t="n">
        <f aca="false">_xlfn.MINIFS($B$2:$B$2705,$A$2:$A$2705,A2228)</f>
        <v>1901</v>
      </c>
      <c r="U2228" s="3" t="n">
        <f aca="false">B2228-T2228</f>
        <v>109</v>
      </c>
      <c r="V2228" s="3" t="str">
        <f aca="false">INDEX(Pop_Inputs!$Q$2:$Q$29,MATCH(C2228,Pop_Inputs!$A$2:$A$29,0))</f>
        <v>South</v>
      </c>
      <c r="W2228" s="29" t="n">
        <v>84423666</v>
      </c>
      <c r="X2228" s="3" t="n">
        <f aca="false">IF(W2228="","",LN(W2228))</f>
        <v>18.2513583231043</v>
      </c>
      <c r="Y2228" s="3" t="n">
        <f aca="false">IF(X2228="","",X2228-AVERAGEIFS($X$2:$X$2705,$B$2:$B$2705,B2228))</f>
        <v>0.00757600196049779</v>
      </c>
      <c r="Z2228" s="21" t="n">
        <f aca="false">P2228</f>
        <v>-0.669798789130077</v>
      </c>
      <c r="AA2228" s="3" t="n">
        <f aca="false">R2228</f>
        <v>0</v>
      </c>
      <c r="AB2228" s="21" t="n">
        <f aca="false">P2228</f>
        <v>-0.669798789130077</v>
      </c>
      <c r="AC2228" s="3" t="n">
        <f aca="false">Y2228</f>
        <v>0.00757600196049779</v>
      </c>
      <c r="AD2228" s="3" t="n">
        <f aca="false">R2228</f>
        <v>0</v>
      </c>
    </row>
    <row r="2229" customFormat="false" ht="15" hidden="false" customHeight="true" outlineLevel="0" collapsed="false">
      <c r="A2229" s="7" t="s">
        <v>63</v>
      </c>
      <c r="B2229" s="7" t="n">
        <v>2010</v>
      </c>
      <c r="C2229" s="7" t="s">
        <v>149</v>
      </c>
      <c r="D2229" s="7" t="n">
        <v>66</v>
      </c>
      <c r="E2229" s="7" t="n">
        <v>96</v>
      </c>
      <c r="F2229" s="3" t="n">
        <f aca="false">COUNTIFS($B$2:$B$2705,B2229,$C$2:$C$2705,C2229)</f>
        <v>1</v>
      </c>
      <c r="G2229" s="3" t="n">
        <f aca="false">MIN(INT((MIN(B2229,2020)-1900)/10)+1,12)</f>
        <v>12</v>
      </c>
      <c r="H2229" s="3" t="n">
        <f aca="false">(MIN(B2229,2020)-1900-10*(G2229-1))/10</f>
        <v>0</v>
      </c>
      <c r="I2229" s="20" t="n">
        <f aca="false">EXP(LN(INDEX(Pop_Inputs!$B$2:$N$29,MATCH(C2229,Pop_Inputs!$A$2:$A$29,0),G2229))*(1-H2229)+LN(INDEX(Pop_Inputs!$B$2:$N$29,MATCH(C2229,Pop_Inputs!$A$2:$A$29,0),G2229+1))*H2229)</f>
        <v>620961</v>
      </c>
      <c r="J2229" s="20" t="n">
        <f aca="false">I2229/F2229</f>
        <v>620961</v>
      </c>
      <c r="K2229" s="21" t="n">
        <f aca="false">D2229/(D2229+E2229)</f>
        <v>0.407407407407407</v>
      </c>
      <c r="L2229" s="21" t="n">
        <f aca="false">AVERAGEIFS($K$2:$K$2705,$B$2:$B$2705,B2229)</f>
        <v>0.5</v>
      </c>
      <c r="M2229" s="21" t="n">
        <f aca="false">K2229-L2229</f>
        <v>-0.0925925925925926</v>
      </c>
      <c r="N2229" s="21" t="n">
        <f aca="false">LN(J2229)</f>
        <v>13.3390235570111</v>
      </c>
      <c r="O2229" s="21" t="n">
        <f aca="false">AVERAGEIFS($N$2:$N$2705,$B$2:$B$2705,B2229)</f>
        <v>13.6178159222213</v>
      </c>
      <c r="P2229" s="21" t="n">
        <f aca="false">N2229-O2229</f>
        <v>-0.278792365210137</v>
      </c>
      <c r="Q2229" s="7" t="n">
        <v>0</v>
      </c>
      <c r="R2229" s="3" t="n">
        <f aca="false">IF(AND(Q2229=1,B2229-_xlfn.MINIFS($B$2:$B$2705,$A$2:$A$2705,A2229)&lt;10),1,0)</f>
        <v>0</v>
      </c>
      <c r="S2229" s="7" t="n">
        <v>0</v>
      </c>
      <c r="T2229" s="3" t="n">
        <f aca="false">_xlfn.MINIFS($B$2:$B$2705,$A$2:$A$2705,A2229)</f>
        <v>1901</v>
      </c>
      <c r="U2229" s="3" t="n">
        <f aca="false">B2229-T2229</f>
        <v>109</v>
      </c>
      <c r="V2229" s="3" t="str">
        <f aca="false">INDEX(Pop_Inputs!$Q$2:$Q$29,MATCH(C2229,Pop_Inputs!$A$2:$A$29,0))</f>
        <v>South</v>
      </c>
      <c r="W2229" s="29" t="n">
        <v>81612500</v>
      </c>
      <c r="X2229" s="3" t="n">
        <f aca="false">IF(W2229="","",LN(W2229))</f>
        <v>18.217492994477</v>
      </c>
      <c r="Y2229" s="3" t="n">
        <f aca="false">IF(X2229="","",X2229-AVERAGEIFS($X$2:$X$2705,$B$2:$B$2705,B2229))</f>
        <v>-0.0262893266667312</v>
      </c>
      <c r="Z2229" s="21" t="n">
        <f aca="false">P2229</f>
        <v>-0.278792365210137</v>
      </c>
      <c r="AA2229" s="3" t="n">
        <f aca="false">R2229</f>
        <v>0</v>
      </c>
      <c r="AB2229" s="21" t="n">
        <f aca="false">P2229</f>
        <v>-0.278792365210137</v>
      </c>
      <c r="AC2229" s="3" t="n">
        <f aca="false">Y2229</f>
        <v>-0.0262893266667312</v>
      </c>
      <c r="AD2229" s="3" t="n">
        <f aca="false">R2229</f>
        <v>0</v>
      </c>
    </row>
    <row r="2230" customFormat="false" ht="15" hidden="false" customHeight="true" outlineLevel="0" collapsed="false">
      <c r="A2230" s="7" t="s">
        <v>64</v>
      </c>
      <c r="B2230" s="7" t="n">
        <v>2010</v>
      </c>
      <c r="C2230" s="7" t="s">
        <v>150</v>
      </c>
      <c r="D2230" s="7" t="n">
        <v>89</v>
      </c>
      <c r="E2230" s="7" t="n">
        <v>73</v>
      </c>
      <c r="F2230" s="3" t="n">
        <f aca="false">COUNTIFS($B$2:$B$2705,B2230,$C$2:$C$2705,C2230)</f>
        <v>1</v>
      </c>
      <c r="G2230" s="3" t="n">
        <f aca="false">MIN(INT((MIN(B2230,2020)-1900)/10)+1,12)</f>
        <v>12</v>
      </c>
      <c r="H2230" s="3" t="n">
        <f aca="false">(MIN(B2230,2020)-1900-10*(G2230-1))/10</f>
        <v>0</v>
      </c>
      <c r="I2230" s="20" t="n">
        <f aca="false">EXP(LN(INDEX(Pop_Inputs!$B$2:$N$29,MATCH(C2230,Pop_Inputs!$A$2:$A$29,0),G2230))*(1-H2230)+LN(INDEX(Pop_Inputs!$B$2:$N$29,MATCH(C2230,Pop_Inputs!$A$2:$A$29,0),G2230+1))*H2230)</f>
        <v>617594.000000001</v>
      </c>
      <c r="J2230" s="20" t="n">
        <f aca="false">I2230/F2230</f>
        <v>617594.000000001</v>
      </c>
      <c r="K2230" s="21" t="n">
        <f aca="false">D2230/(D2230+E2230)</f>
        <v>0.549382716049383</v>
      </c>
      <c r="L2230" s="21" t="n">
        <f aca="false">AVERAGEIFS($K$2:$K$2705,$B$2:$B$2705,B2230)</f>
        <v>0.5</v>
      </c>
      <c r="M2230" s="21" t="n">
        <f aca="false">K2230-L2230</f>
        <v>0.0493827160493827</v>
      </c>
      <c r="N2230" s="21" t="n">
        <f aca="false">LN(J2230)</f>
        <v>13.3335865626196</v>
      </c>
      <c r="O2230" s="21" t="n">
        <f aca="false">AVERAGEIFS($N$2:$N$2705,$B$2:$B$2705,B2230)</f>
        <v>13.6178159222213</v>
      </c>
      <c r="P2230" s="21" t="n">
        <f aca="false">N2230-O2230</f>
        <v>-0.284229359601655</v>
      </c>
      <c r="Q2230" s="7" t="n">
        <v>0</v>
      </c>
      <c r="R2230" s="3" t="n">
        <f aca="false">IF(AND(Q2230=1,B2230-_xlfn.MINIFS($B$2:$B$2705,$A$2:$A$2705,A2230)&lt;10),1,0)</f>
        <v>0</v>
      </c>
      <c r="S2230" s="7" t="n">
        <v>0</v>
      </c>
      <c r="T2230" s="3" t="n">
        <f aca="false">_xlfn.MINIFS($B$2:$B$2705,$A$2:$A$2705,A2230)</f>
        <v>1901</v>
      </c>
      <c r="U2230" s="3" t="n">
        <f aca="false">B2230-T2230</f>
        <v>109</v>
      </c>
      <c r="V2230" s="3" t="str">
        <f aca="false">INDEX(Pop_Inputs!$Q$2:$Q$29,MATCH(C2230,Pop_Inputs!$A$2:$A$29,0))</f>
        <v>Northeast</v>
      </c>
      <c r="W2230" s="29" t="n">
        <v>162447333</v>
      </c>
      <c r="X2230" s="3" t="n">
        <f aca="false">IF(W2230="","",LN(W2230))</f>
        <v>18.9058644025854</v>
      </c>
      <c r="Y2230" s="3" t="n">
        <f aca="false">IF(X2230="","",X2230-AVERAGEIFS($X$2:$X$2705,$B$2:$B$2705,B2230))</f>
        <v>0.662082081441671</v>
      </c>
      <c r="Z2230" s="21" t="n">
        <f aca="false">P2230</f>
        <v>-0.284229359601655</v>
      </c>
      <c r="AA2230" s="3" t="n">
        <f aca="false">R2230</f>
        <v>0</v>
      </c>
      <c r="AB2230" s="21" t="n">
        <f aca="false">P2230</f>
        <v>-0.284229359601655</v>
      </c>
      <c r="AC2230" s="3" t="n">
        <f aca="false">Y2230</f>
        <v>0.662082081441671</v>
      </c>
      <c r="AD2230" s="3" t="n">
        <f aca="false">R2230</f>
        <v>0</v>
      </c>
    </row>
    <row r="2231" customFormat="false" ht="15" hidden="false" customHeight="true" outlineLevel="0" collapsed="false">
      <c r="A2231" s="7" t="s">
        <v>56</v>
      </c>
      <c r="B2231" s="7" t="n">
        <v>2010</v>
      </c>
      <c r="C2231" s="7" t="s">
        <v>142</v>
      </c>
      <c r="D2231" s="7" t="n">
        <v>75</v>
      </c>
      <c r="E2231" s="7" t="n">
        <v>87</v>
      </c>
      <c r="F2231" s="3" t="n">
        <f aca="false">COUNTIFS($B$2:$B$2705,B2231,$C$2:$C$2705,C2231)</f>
        <v>2</v>
      </c>
      <c r="G2231" s="3" t="n">
        <f aca="false">MIN(INT((MIN(B2231,2020)-1900)/10)+1,12)</f>
        <v>12</v>
      </c>
      <c r="H2231" s="3" t="n">
        <f aca="false">(MIN(B2231,2020)-1900-10*(G2231-1))/10</f>
        <v>0</v>
      </c>
      <c r="I2231" s="20" t="n">
        <f aca="false">EXP(LN(INDEX(Pop_Inputs!$B$2:$N$29,MATCH(C2231,Pop_Inputs!$A$2:$A$29,0),G2231))*(1-H2231)+LN(INDEX(Pop_Inputs!$B$2:$N$29,MATCH(C2231,Pop_Inputs!$A$2:$A$29,0),G2231+1))*H2231)</f>
        <v>2695598</v>
      </c>
      <c r="J2231" s="20" t="n">
        <f aca="false">I2231/F2231</f>
        <v>1347799</v>
      </c>
      <c r="K2231" s="21" t="n">
        <f aca="false">D2231/(D2231+E2231)</f>
        <v>0.462962962962963</v>
      </c>
      <c r="L2231" s="21" t="n">
        <f aca="false">AVERAGEIFS($K$2:$K$2705,$B$2:$B$2705,B2231)</f>
        <v>0.5</v>
      </c>
      <c r="M2231" s="21" t="n">
        <f aca="false">K2231-L2231</f>
        <v>-0.037037037037037</v>
      </c>
      <c r="N2231" s="21" t="n">
        <f aca="false">LN(J2231)</f>
        <v>14.1139834495441</v>
      </c>
      <c r="O2231" s="21" t="n">
        <f aca="false">AVERAGEIFS($N$2:$N$2705,$B$2:$B$2705,B2231)</f>
        <v>13.6178159222213</v>
      </c>
      <c r="P2231" s="21" t="n">
        <f aca="false">N2231-O2231</f>
        <v>0.496167527322873</v>
      </c>
      <c r="Q2231" s="7" t="n">
        <v>0</v>
      </c>
      <c r="R2231" s="3" t="n">
        <f aca="false">IF(AND(Q2231=1,B2231-_xlfn.MINIFS($B$2:$B$2705,$A$2:$A$2705,A2231)&lt;10),1,0)</f>
        <v>0</v>
      </c>
      <c r="S2231" s="7" t="n">
        <v>0</v>
      </c>
      <c r="T2231" s="3" t="n">
        <f aca="false">_xlfn.MINIFS($B$2:$B$2705,$A$2:$A$2705,A2231)</f>
        <v>1901</v>
      </c>
      <c r="U2231" s="3" t="n">
        <f aca="false">B2231-T2231</f>
        <v>109</v>
      </c>
      <c r="V2231" s="3" t="str">
        <f aca="false">INDEX(Pop_Inputs!$Q$2:$Q$29,MATCH(C2231,Pop_Inputs!$A$2:$A$29,0))</f>
        <v>Midwest</v>
      </c>
      <c r="W2231" s="29" t="n">
        <v>146609000</v>
      </c>
      <c r="X2231" s="3" t="n">
        <f aca="false">IF(W2231="","",LN(W2231))</f>
        <v>18.8032797370741</v>
      </c>
      <c r="Y2231" s="3" t="n">
        <f aca="false">IF(X2231="","",X2231-AVERAGEIFS($X$2:$X$2705,$B$2:$B$2705,B2231))</f>
        <v>0.559497415930295</v>
      </c>
      <c r="Z2231" s="21" t="n">
        <f aca="false">P2231</f>
        <v>0.496167527322873</v>
      </c>
      <c r="AA2231" s="3" t="n">
        <f aca="false">R2231</f>
        <v>0</v>
      </c>
      <c r="AB2231" s="21" t="n">
        <f aca="false">P2231</f>
        <v>0.496167527322873</v>
      </c>
      <c r="AC2231" s="3" t="n">
        <f aca="false">Y2231</f>
        <v>0.559497415930295</v>
      </c>
      <c r="AD2231" s="3" t="n">
        <f aca="false">R2231</f>
        <v>0</v>
      </c>
    </row>
    <row r="2232" customFormat="false" ht="15" hidden="false" customHeight="true" outlineLevel="0" collapsed="false">
      <c r="A2232" s="7" t="s">
        <v>65</v>
      </c>
      <c r="B2232" s="7" t="n">
        <v>2010</v>
      </c>
      <c r="C2232" s="7" t="s">
        <v>142</v>
      </c>
      <c r="D2232" s="7" t="n">
        <v>88</v>
      </c>
      <c r="E2232" s="7" t="n">
        <v>74</v>
      </c>
      <c r="F2232" s="3" t="n">
        <f aca="false">COUNTIFS($B$2:$B$2705,B2232,$C$2:$C$2705,C2232)</f>
        <v>2</v>
      </c>
      <c r="G2232" s="3" t="n">
        <f aca="false">MIN(INT((MIN(B2232,2020)-1900)/10)+1,12)</f>
        <v>12</v>
      </c>
      <c r="H2232" s="3" t="n">
        <f aca="false">(MIN(B2232,2020)-1900-10*(G2232-1))/10</f>
        <v>0</v>
      </c>
      <c r="I2232" s="20" t="n">
        <f aca="false">EXP(LN(INDEX(Pop_Inputs!$B$2:$N$29,MATCH(C2232,Pop_Inputs!$A$2:$A$29,0),G2232))*(1-H2232)+LN(INDEX(Pop_Inputs!$B$2:$N$29,MATCH(C2232,Pop_Inputs!$A$2:$A$29,0),G2232+1))*H2232)</f>
        <v>2695598</v>
      </c>
      <c r="J2232" s="20" t="n">
        <f aca="false">I2232/F2232</f>
        <v>1347799</v>
      </c>
      <c r="K2232" s="21" t="n">
        <f aca="false">D2232/(D2232+E2232)</f>
        <v>0.54320987654321</v>
      </c>
      <c r="L2232" s="21" t="n">
        <f aca="false">AVERAGEIFS($K$2:$K$2705,$B$2:$B$2705,B2232)</f>
        <v>0.5</v>
      </c>
      <c r="M2232" s="21" t="n">
        <f aca="false">K2232-L2232</f>
        <v>0.0432098765432098</v>
      </c>
      <c r="N2232" s="21" t="n">
        <f aca="false">LN(J2232)</f>
        <v>14.1139834495441</v>
      </c>
      <c r="O2232" s="21" t="n">
        <f aca="false">AVERAGEIFS($N$2:$N$2705,$B$2:$B$2705,B2232)</f>
        <v>13.6178159222213</v>
      </c>
      <c r="P2232" s="21" t="n">
        <f aca="false">N2232-O2232</f>
        <v>0.496167527322873</v>
      </c>
      <c r="Q2232" s="7" t="n">
        <v>0</v>
      </c>
      <c r="R2232" s="3" t="n">
        <f aca="false">IF(AND(Q2232=1,B2232-_xlfn.MINIFS($B$2:$B$2705,$A$2:$A$2705,A2232)&lt;10),1,0)</f>
        <v>0</v>
      </c>
      <c r="S2232" s="7" t="n">
        <v>0</v>
      </c>
      <c r="T2232" s="3" t="n">
        <f aca="false">_xlfn.MINIFS($B$2:$B$2705,$A$2:$A$2705,A2232)</f>
        <v>1901</v>
      </c>
      <c r="U2232" s="3" t="n">
        <f aca="false">B2232-T2232</f>
        <v>109</v>
      </c>
      <c r="V2232" s="3" t="str">
        <f aca="false">INDEX(Pop_Inputs!$Q$2:$Q$29,MATCH(C2232,Pop_Inputs!$A$2:$A$29,0))</f>
        <v>Midwest</v>
      </c>
      <c r="W2232" s="29" t="n">
        <v>105530000</v>
      </c>
      <c r="X2232" s="3" t="n">
        <f aca="false">IF(W2232="","",LN(W2232))</f>
        <v>18.4745058306473</v>
      </c>
      <c r="Y2232" s="3" t="n">
        <f aca="false">IF(X2232="","",X2232-AVERAGEIFS($X$2:$X$2705,$B$2:$B$2705,B2232))</f>
        <v>0.230723509503516</v>
      </c>
      <c r="Z2232" s="21" t="n">
        <f aca="false">P2232</f>
        <v>0.496167527322873</v>
      </c>
      <c r="AA2232" s="3" t="n">
        <f aca="false">R2232</f>
        <v>0</v>
      </c>
      <c r="AB2232" s="21" t="n">
        <f aca="false">P2232</f>
        <v>0.496167527322873</v>
      </c>
      <c r="AC2232" s="3" t="n">
        <f aca="false">Y2232</f>
        <v>0.230723509503516</v>
      </c>
      <c r="AD2232" s="3" t="n">
        <f aca="false">R2232</f>
        <v>0</v>
      </c>
    </row>
    <row r="2233" customFormat="false" ht="15" hidden="false" customHeight="true" outlineLevel="0" collapsed="false">
      <c r="A2233" s="7" t="s">
        <v>57</v>
      </c>
      <c r="B2233" s="7" t="n">
        <v>2010</v>
      </c>
      <c r="C2233" s="7" t="s">
        <v>143</v>
      </c>
      <c r="D2233" s="7" t="n">
        <v>91</v>
      </c>
      <c r="E2233" s="7" t="n">
        <v>71</v>
      </c>
      <c r="F2233" s="3" t="n">
        <f aca="false">COUNTIFS($B$2:$B$2705,B2233,$C$2:$C$2705,C2233)</f>
        <v>1</v>
      </c>
      <c r="G2233" s="3" t="n">
        <f aca="false">MIN(INT((MIN(B2233,2020)-1900)/10)+1,12)</f>
        <v>12</v>
      </c>
      <c r="H2233" s="3" t="n">
        <f aca="false">(MIN(B2233,2020)-1900-10*(G2233-1))/10</f>
        <v>0</v>
      </c>
      <c r="I2233" s="20" t="n">
        <f aca="false">EXP(LN(INDEX(Pop_Inputs!$B$2:$N$29,MATCH(C2233,Pop_Inputs!$A$2:$A$29,0),G2233))*(1-H2233)+LN(INDEX(Pop_Inputs!$B$2:$N$29,MATCH(C2233,Pop_Inputs!$A$2:$A$29,0),G2233+1))*H2233)</f>
        <v>296943</v>
      </c>
      <c r="J2233" s="20" t="n">
        <f aca="false">I2233/F2233</f>
        <v>296943</v>
      </c>
      <c r="K2233" s="21" t="n">
        <f aca="false">D2233/(D2233+E2233)</f>
        <v>0.561728395061728</v>
      </c>
      <c r="L2233" s="21" t="n">
        <f aca="false">AVERAGEIFS($K$2:$K$2705,$B$2:$B$2705,B2233)</f>
        <v>0.5</v>
      </c>
      <c r="M2233" s="21" t="n">
        <f aca="false">K2233-L2233</f>
        <v>0.0617283950617285</v>
      </c>
      <c r="N2233" s="21" t="n">
        <f aca="false">LN(J2233)</f>
        <v>12.6012954801741</v>
      </c>
      <c r="O2233" s="21" t="n">
        <f aca="false">AVERAGEIFS($N$2:$N$2705,$B$2:$B$2705,B2233)</f>
        <v>13.6178159222213</v>
      </c>
      <c r="P2233" s="21" t="n">
        <f aca="false">N2233-O2233</f>
        <v>-1.01652044204719</v>
      </c>
      <c r="Q2233" s="7" t="n">
        <v>0</v>
      </c>
      <c r="R2233" s="3" t="n">
        <f aca="false">IF(AND(Q2233=1,B2233-_xlfn.MINIFS($B$2:$B$2705,$A$2:$A$2705,A2233)&lt;10),1,0)</f>
        <v>0</v>
      </c>
      <c r="S2233" s="7" t="n">
        <v>0</v>
      </c>
      <c r="T2233" s="3" t="n">
        <f aca="false">_xlfn.MINIFS($B$2:$B$2705,$A$2:$A$2705,A2233)</f>
        <v>1901</v>
      </c>
      <c r="U2233" s="3" t="n">
        <f aca="false">B2233-T2233</f>
        <v>109</v>
      </c>
      <c r="V2233" s="3" t="str">
        <f aca="false">INDEX(Pop_Inputs!$Q$2:$Q$29,MATCH(C2233,Pop_Inputs!$A$2:$A$29,0))</f>
        <v>Midwest</v>
      </c>
      <c r="W2233" s="29" t="n">
        <v>71761542</v>
      </c>
      <c r="X2233" s="3" t="n">
        <f aca="false">IF(W2233="","",LN(W2233))</f>
        <v>18.0888592637783</v>
      </c>
      <c r="Y2233" s="3" t="n">
        <f aca="false">IF(X2233="","",X2233-AVERAGEIFS($X$2:$X$2705,$B$2:$B$2705,B2233))</f>
        <v>-0.154923057365497</v>
      </c>
      <c r="Z2233" s="21" t="n">
        <f aca="false">P2233</f>
        <v>-1.01652044204719</v>
      </c>
      <c r="AA2233" s="3" t="n">
        <f aca="false">R2233</f>
        <v>0</v>
      </c>
      <c r="AB2233" s="21" t="n">
        <f aca="false">P2233</f>
        <v>-1.01652044204719</v>
      </c>
      <c r="AC2233" s="3" t="n">
        <f aca="false">Y2233</f>
        <v>-0.154923057365497</v>
      </c>
      <c r="AD2233" s="3" t="n">
        <f aca="false">R2233</f>
        <v>0</v>
      </c>
    </row>
    <row r="2234" customFormat="false" ht="15" hidden="false" customHeight="true" outlineLevel="0" collapsed="false">
      <c r="A2234" s="7" t="s">
        <v>66</v>
      </c>
      <c r="B2234" s="7" t="n">
        <v>2010</v>
      </c>
      <c r="C2234" s="7" t="s">
        <v>151</v>
      </c>
      <c r="D2234" s="7" t="n">
        <v>69</v>
      </c>
      <c r="E2234" s="7" t="n">
        <v>93</v>
      </c>
      <c r="F2234" s="3" t="n">
        <f aca="false">COUNTIFS($B$2:$B$2705,B2234,$C$2:$C$2705,C2234)</f>
        <v>1</v>
      </c>
      <c r="G2234" s="3" t="n">
        <f aca="false">MIN(INT((MIN(B2234,2020)-1900)/10)+1,12)</f>
        <v>12</v>
      </c>
      <c r="H2234" s="3" t="n">
        <f aca="false">(MIN(B2234,2020)-1900-10*(G2234-1))/10</f>
        <v>0</v>
      </c>
      <c r="I2234" s="20" t="n">
        <f aca="false">EXP(LN(INDEX(Pop_Inputs!$B$2:$N$29,MATCH(C2234,Pop_Inputs!$A$2:$A$29,0),G2234))*(1-H2234)+LN(INDEX(Pop_Inputs!$B$2:$N$29,MATCH(C2234,Pop_Inputs!$A$2:$A$29,0),G2234+1))*H2234)</f>
        <v>396815</v>
      </c>
      <c r="J2234" s="20" t="n">
        <f aca="false">I2234/F2234</f>
        <v>396815</v>
      </c>
      <c r="K2234" s="21" t="n">
        <f aca="false">D2234/(D2234+E2234)</f>
        <v>0.425925925925926</v>
      </c>
      <c r="L2234" s="21" t="n">
        <f aca="false">AVERAGEIFS($K$2:$K$2705,$B$2:$B$2705,B2234)</f>
        <v>0.5</v>
      </c>
      <c r="M2234" s="21" t="n">
        <f aca="false">K2234-L2234</f>
        <v>-0.0740740740740741</v>
      </c>
      <c r="N2234" s="21" t="n">
        <f aca="false">LN(J2234)</f>
        <v>12.8912254560977</v>
      </c>
      <c r="O2234" s="21" t="n">
        <f aca="false">AVERAGEIFS($N$2:$N$2705,$B$2:$B$2705,B2234)</f>
        <v>13.6178159222213</v>
      </c>
      <c r="P2234" s="21" t="n">
        <f aca="false">N2234-O2234</f>
        <v>-0.726590466123545</v>
      </c>
      <c r="Q2234" s="7" t="n">
        <v>0</v>
      </c>
      <c r="R2234" s="3" t="n">
        <f aca="false">IF(AND(Q2234=1,B2234-_xlfn.MINIFS($B$2:$B$2705,$A$2:$A$2705,A2234)&lt;10),1,0)</f>
        <v>0</v>
      </c>
      <c r="S2234" s="7" t="n">
        <v>0</v>
      </c>
      <c r="T2234" s="3" t="n">
        <f aca="false">_xlfn.MINIFS($B$2:$B$2705,$A$2:$A$2705,A2234)</f>
        <v>1901</v>
      </c>
      <c r="U2234" s="3" t="n">
        <f aca="false">B2234-T2234</f>
        <v>109</v>
      </c>
      <c r="V2234" s="3" t="str">
        <f aca="false">INDEX(Pop_Inputs!$Q$2:$Q$29,MATCH(C2234,Pop_Inputs!$A$2:$A$29,0))</f>
        <v>Midwest</v>
      </c>
      <c r="W2234" s="29" t="n">
        <v>61203966</v>
      </c>
      <c r="X2234" s="3" t="n">
        <f aca="false">IF(W2234="","",LN(W2234))</f>
        <v>17.9297225493044</v>
      </c>
      <c r="Y2234" s="3" t="n">
        <f aca="false">IF(X2234="","",X2234-AVERAGEIFS($X$2:$X$2705,$B$2:$B$2705,B2234))</f>
        <v>-0.314059771839318</v>
      </c>
      <c r="Z2234" s="21" t="n">
        <f aca="false">P2234</f>
        <v>-0.726590466123545</v>
      </c>
      <c r="AA2234" s="3" t="n">
        <f aca="false">R2234</f>
        <v>0</v>
      </c>
      <c r="AB2234" s="21" t="n">
        <f aca="false">P2234</f>
        <v>-0.726590466123545</v>
      </c>
      <c r="AC2234" s="3" t="n">
        <f aca="false">Y2234</f>
        <v>-0.314059771839318</v>
      </c>
      <c r="AD2234" s="3" t="n">
        <f aca="false">R2234</f>
        <v>0</v>
      </c>
    </row>
    <row r="2235" customFormat="false" ht="15" hidden="false" customHeight="true" outlineLevel="0" collapsed="false">
      <c r="A2235" s="7" t="s">
        <v>82</v>
      </c>
      <c r="B2235" s="7" t="n">
        <v>2010</v>
      </c>
      <c r="C2235" s="7" t="s">
        <v>163</v>
      </c>
      <c r="D2235" s="7" t="n">
        <v>83</v>
      </c>
      <c r="E2235" s="7" t="n">
        <v>79</v>
      </c>
      <c r="F2235" s="3" t="n">
        <f aca="false">COUNTIFS($B$2:$B$2705,B2235,$C$2:$C$2705,C2235)</f>
        <v>1</v>
      </c>
      <c r="G2235" s="3" t="n">
        <f aca="false">MIN(INT((MIN(B2235,2020)-1900)/10)+1,12)</f>
        <v>12</v>
      </c>
      <c r="H2235" s="3" t="n">
        <f aca="false">(MIN(B2235,2020)-1900-10*(G2235-1))/10</f>
        <v>0</v>
      </c>
      <c r="I2235" s="20" t="n">
        <f aca="false">EXP(LN(INDEX(Pop_Inputs!$B$2:$N$29,MATCH(C2235,Pop_Inputs!$A$2:$A$29,0),G2235))*(1-H2235)+LN(INDEX(Pop_Inputs!$B$2:$N$29,MATCH(C2235,Pop_Inputs!$A$2:$A$29,0),G2235+1))*H2235)</f>
        <v>600158.000000001</v>
      </c>
      <c r="J2235" s="20" t="n">
        <f aca="false">I2235/F2235</f>
        <v>600158.000000001</v>
      </c>
      <c r="K2235" s="21" t="n">
        <f aca="false">D2235/(D2235+E2235)</f>
        <v>0.512345679012346</v>
      </c>
      <c r="L2235" s="21" t="n">
        <f aca="false">AVERAGEIFS($K$2:$K$2705,$B$2:$B$2705,B2235)</f>
        <v>0.5</v>
      </c>
      <c r="M2235" s="21" t="n">
        <f aca="false">K2235-L2235</f>
        <v>0.0123456790123457</v>
      </c>
      <c r="N2235" s="21" t="n">
        <f aca="false">LN(J2235)</f>
        <v>13.3049482328655</v>
      </c>
      <c r="O2235" s="21" t="n">
        <f aca="false">AVERAGEIFS($N$2:$N$2705,$B$2:$B$2705,B2235)</f>
        <v>13.6178159222213</v>
      </c>
      <c r="P2235" s="21" t="n">
        <f aca="false">N2235-O2235</f>
        <v>-0.31286768935578</v>
      </c>
      <c r="Q2235" s="7" t="n">
        <v>1</v>
      </c>
      <c r="R2235" s="3" t="n">
        <f aca="false">IF(AND(Q2235=1,B2235-_xlfn.MINIFS($B$2:$B$2705,$A$2:$A$2705,A2235)&lt;10),1,0)</f>
        <v>0</v>
      </c>
      <c r="S2235" s="7" t="n">
        <v>0</v>
      </c>
      <c r="T2235" s="3" t="n">
        <f aca="false">_xlfn.MINIFS($B$2:$B$2705,$A$2:$A$2705,A2235)</f>
        <v>1993</v>
      </c>
      <c r="U2235" s="3" t="n">
        <f aca="false">B2235-T2235</f>
        <v>17</v>
      </c>
      <c r="V2235" s="3" t="str">
        <f aca="false">INDEX(Pop_Inputs!$Q$2:$Q$29,MATCH(C2235,Pop_Inputs!$A$2:$A$29,0))</f>
        <v>West</v>
      </c>
      <c r="W2235" s="29" t="n">
        <v>84227000</v>
      </c>
      <c r="X2235" s="3" t="n">
        <f aca="false">IF(W2235="","",LN(W2235))</f>
        <v>18.2490260928936</v>
      </c>
      <c r="Y2235" s="3" t="n">
        <f aca="false">IF(X2235="","",X2235-AVERAGEIFS($X$2:$X$2705,$B$2:$B$2705,B2235))</f>
        <v>0.00524377174987123</v>
      </c>
      <c r="Z2235" s="21" t="n">
        <f aca="false">P2235</f>
        <v>-0.31286768935578</v>
      </c>
      <c r="AA2235" s="3" t="n">
        <f aca="false">R2235</f>
        <v>0</v>
      </c>
      <c r="AB2235" s="21" t="n">
        <f aca="false">P2235</f>
        <v>-0.31286768935578</v>
      </c>
      <c r="AC2235" s="3" t="n">
        <f aca="false">Y2235</f>
        <v>0.00524377174987123</v>
      </c>
      <c r="AD2235" s="3" t="n">
        <f aca="false">R2235</f>
        <v>0</v>
      </c>
    </row>
    <row r="2236" customFormat="false" ht="15" hidden="false" customHeight="true" outlineLevel="0" collapsed="false">
      <c r="A2236" s="7" t="s">
        <v>67</v>
      </c>
      <c r="B2236" s="7" t="n">
        <v>2010</v>
      </c>
      <c r="C2236" s="7" t="s">
        <v>152</v>
      </c>
      <c r="D2236" s="7" t="n">
        <v>81</v>
      </c>
      <c r="E2236" s="7" t="n">
        <v>81</v>
      </c>
      <c r="F2236" s="3" t="n">
        <f aca="false">COUNTIFS($B$2:$B$2705,B2236,$C$2:$C$2705,C2236)</f>
        <v>1</v>
      </c>
      <c r="G2236" s="3" t="n">
        <f aca="false">MIN(INT((MIN(B2236,2020)-1900)/10)+1,12)</f>
        <v>12</v>
      </c>
      <c r="H2236" s="3" t="n">
        <f aca="false">(MIN(B2236,2020)-1900-10*(G2236-1))/10</f>
        <v>0</v>
      </c>
      <c r="I2236" s="20" t="n">
        <f aca="false">EXP(LN(INDEX(Pop_Inputs!$B$2:$N$29,MATCH(C2236,Pop_Inputs!$A$2:$A$29,0),G2236))*(1-H2236)+LN(INDEX(Pop_Inputs!$B$2:$N$29,MATCH(C2236,Pop_Inputs!$A$2:$A$29,0),G2236+1))*H2236)</f>
        <v>713777</v>
      </c>
      <c r="J2236" s="20" t="n">
        <f aca="false">I2236/F2236</f>
        <v>713777</v>
      </c>
      <c r="K2236" s="21" t="n">
        <f aca="false">D2236/(D2236+E2236)</f>
        <v>0.5</v>
      </c>
      <c r="L2236" s="21" t="n">
        <f aca="false">AVERAGEIFS($K$2:$K$2705,$B$2:$B$2705,B2236)</f>
        <v>0.5</v>
      </c>
      <c r="M2236" s="21" t="n">
        <f aca="false">K2236-L2236</f>
        <v>0</v>
      </c>
      <c r="N2236" s="21" t="n">
        <f aca="false">LN(J2236)</f>
        <v>13.4783258676082</v>
      </c>
      <c r="O2236" s="21" t="n">
        <f aca="false">AVERAGEIFS($N$2:$N$2705,$B$2:$B$2705,B2236)</f>
        <v>13.6178159222213</v>
      </c>
      <c r="P2236" s="21" t="n">
        <f aca="false">N2236-O2236</f>
        <v>-0.1394900546131</v>
      </c>
      <c r="Q2236" s="7" t="n">
        <v>0</v>
      </c>
      <c r="R2236" s="3" t="n">
        <f aca="false">IF(AND(Q2236=1,B2236-_xlfn.MINIFS($B$2:$B$2705,$A$2:$A$2705,A2236)&lt;10),1,0)</f>
        <v>0</v>
      </c>
      <c r="S2236" s="7" t="n">
        <v>0</v>
      </c>
      <c r="T2236" s="3" t="n">
        <f aca="false">_xlfn.MINIFS($B$2:$B$2705,$A$2:$A$2705,A2236)</f>
        <v>1901</v>
      </c>
      <c r="U2236" s="3" t="n">
        <f aca="false">B2236-T2236</f>
        <v>109</v>
      </c>
      <c r="V2236" s="3" t="str">
        <f aca="false">INDEX(Pop_Inputs!$Q$2:$Q$29,MATCH(C2236,Pop_Inputs!$A$2:$A$29,0))</f>
        <v>Midwest</v>
      </c>
      <c r="W2236" s="29" t="n">
        <v>122864928</v>
      </c>
      <c r="X2236" s="3" t="n">
        <f aca="false">IF(W2236="","",LN(W2236))</f>
        <v>18.6265961635907</v>
      </c>
      <c r="Y2236" s="3" t="n">
        <f aca="false">IF(X2236="","",X2236-AVERAGEIFS($X$2:$X$2705,$B$2:$B$2705,B2236))</f>
        <v>0.382813842446986</v>
      </c>
      <c r="Z2236" s="21" t="n">
        <f aca="false">P2236</f>
        <v>-0.1394900546131</v>
      </c>
      <c r="AA2236" s="3" t="n">
        <f aca="false">R2236</f>
        <v>0</v>
      </c>
      <c r="AB2236" s="21" t="n">
        <f aca="false">P2236</f>
        <v>-0.1394900546131</v>
      </c>
      <c r="AC2236" s="3" t="n">
        <f aca="false">Y2236</f>
        <v>0.382813842446986</v>
      </c>
      <c r="AD2236" s="3" t="n">
        <f aca="false">R2236</f>
        <v>0</v>
      </c>
    </row>
    <row r="2237" customFormat="false" ht="15" hidden="false" customHeight="true" outlineLevel="0" collapsed="false">
      <c r="A2237" s="7" t="s">
        <v>83</v>
      </c>
      <c r="B2237" s="7" t="n">
        <v>2010</v>
      </c>
      <c r="C2237" s="7" t="s">
        <v>164</v>
      </c>
      <c r="D2237" s="7" t="n">
        <v>80</v>
      </c>
      <c r="E2237" s="7" t="n">
        <v>82</v>
      </c>
      <c r="F2237" s="3" t="n">
        <f aca="false">COUNTIFS($B$2:$B$2705,B2237,$C$2:$C$2705,C2237)</f>
        <v>1</v>
      </c>
      <c r="G2237" s="3" t="n">
        <f aca="false">MIN(INT((MIN(B2237,2020)-1900)/10)+1,12)</f>
        <v>12</v>
      </c>
      <c r="H2237" s="3" t="n">
        <f aca="false">(MIN(B2237,2020)-1900-10*(G2237-1))/10</f>
        <v>0</v>
      </c>
      <c r="I2237" s="20" t="n">
        <f aca="false">EXP(LN(INDEX(Pop_Inputs!$B$2:$N$29,MATCH(C2237,Pop_Inputs!$A$2:$A$29,0),G2237))*(1-H2237)+LN(INDEX(Pop_Inputs!$B$2:$N$29,MATCH(C2237,Pop_Inputs!$A$2:$A$29,0),G2237+1))*H2237)</f>
        <v>399457</v>
      </c>
      <c r="J2237" s="20" t="n">
        <f aca="false">I2237/F2237</f>
        <v>399457</v>
      </c>
      <c r="K2237" s="21" t="n">
        <f aca="false">D2237/(D2237+E2237)</f>
        <v>0.493827160493827</v>
      </c>
      <c r="L2237" s="21" t="n">
        <f aca="false">AVERAGEIFS($K$2:$K$2705,$B$2:$B$2705,B2237)</f>
        <v>0.5</v>
      </c>
      <c r="M2237" s="21" t="n">
        <f aca="false">K2237-L2237</f>
        <v>-0.00617283950617287</v>
      </c>
      <c r="N2237" s="21" t="n">
        <f aca="false">LN(J2237)</f>
        <v>12.8978614038523</v>
      </c>
      <c r="O2237" s="21" t="n">
        <f aca="false">AVERAGEIFS($N$2:$N$2705,$B$2:$B$2705,B2237)</f>
        <v>13.6178159222213</v>
      </c>
      <c r="P2237" s="21" t="n">
        <f aca="false">N2237-O2237</f>
        <v>-0.719954518368986</v>
      </c>
      <c r="Q2237" s="7" t="n">
        <v>1</v>
      </c>
      <c r="R2237" s="3" t="n">
        <f aca="false">IF(AND(Q2237=1,B2237-_xlfn.MINIFS($B$2:$B$2705,$A$2:$A$2705,A2237)&lt;10),1,0)</f>
        <v>0</v>
      </c>
      <c r="S2237" s="7" t="n">
        <v>0</v>
      </c>
      <c r="T2237" s="3" t="n">
        <f aca="false">_xlfn.MINIFS($B$2:$B$2705,$A$2:$A$2705,A2237)</f>
        <v>1993</v>
      </c>
      <c r="U2237" s="3" t="n">
        <f aca="false">B2237-T2237</f>
        <v>17</v>
      </c>
      <c r="V2237" s="3" t="str">
        <f aca="false">INDEX(Pop_Inputs!$Q$2:$Q$29,MATCH(C2237,Pop_Inputs!$A$2:$A$29,0))</f>
        <v>South</v>
      </c>
      <c r="W2237" s="29" t="n">
        <v>57029719</v>
      </c>
      <c r="X2237" s="3" t="n">
        <f aca="false">IF(W2237="","",LN(W2237))</f>
        <v>17.8590830758893</v>
      </c>
      <c r="Y2237" s="3" t="n">
        <f aca="false">IF(X2237="","",X2237-AVERAGEIFS($X$2:$X$2705,$B$2:$B$2705,B2237))</f>
        <v>-0.384699245254456</v>
      </c>
      <c r="Z2237" s="21" t="n">
        <f aca="false">P2237</f>
        <v>-0.719954518368986</v>
      </c>
      <c r="AA2237" s="3" t="n">
        <f aca="false">R2237</f>
        <v>0</v>
      </c>
      <c r="AB2237" s="21" t="n">
        <f aca="false">P2237</f>
        <v>-0.719954518368986</v>
      </c>
      <c r="AC2237" s="3" t="n">
        <f aca="false">Y2237</f>
        <v>-0.384699245254456</v>
      </c>
      <c r="AD2237" s="3" t="n">
        <f aca="false">R2237</f>
        <v>0</v>
      </c>
    </row>
    <row r="2238" customFormat="false" ht="15" hidden="false" customHeight="true" outlineLevel="0" collapsed="false">
      <c r="A2238" s="7" t="s">
        <v>74</v>
      </c>
      <c r="B2238" s="7" t="n">
        <v>2010</v>
      </c>
      <c r="C2238" s="7" t="s">
        <v>156</v>
      </c>
      <c r="D2238" s="7" t="n">
        <v>76</v>
      </c>
      <c r="E2238" s="7" t="n">
        <v>86</v>
      </c>
      <c r="F2238" s="3" t="n">
        <f aca="false">COUNTIFS($B$2:$B$2705,B2238,$C$2:$C$2705,C2238)</f>
        <v>1</v>
      </c>
      <c r="G2238" s="3" t="n">
        <f aca="false">MIN(INT((MIN(B2238,2020)-1900)/10)+1,12)</f>
        <v>12</v>
      </c>
      <c r="H2238" s="3" t="n">
        <f aca="false">(MIN(B2238,2020)-1900-10*(G2238-1))/10</f>
        <v>0</v>
      </c>
      <c r="I2238" s="20" t="n">
        <f aca="false">EXP(LN(INDEX(Pop_Inputs!$B$2:$N$29,MATCH(C2238,Pop_Inputs!$A$2:$A$29,0),G2238))*(1-H2238)+LN(INDEX(Pop_Inputs!$B$2:$N$29,MATCH(C2238,Pop_Inputs!$A$2:$A$29,0),G2238+1))*H2238)</f>
        <v>2099451</v>
      </c>
      <c r="J2238" s="20" t="n">
        <f aca="false">I2238/F2238</f>
        <v>2099451</v>
      </c>
      <c r="K2238" s="21" t="n">
        <f aca="false">D2238/(D2238+E2238)</f>
        <v>0.469135802469136</v>
      </c>
      <c r="L2238" s="21" t="n">
        <f aca="false">AVERAGEIFS($K$2:$K$2705,$B$2:$B$2705,B2238)</f>
        <v>0.5</v>
      </c>
      <c r="M2238" s="21" t="n">
        <f aca="false">K2238-L2238</f>
        <v>-0.0308641975308642</v>
      </c>
      <c r="N2238" s="21" t="n">
        <f aca="false">LN(J2238)</f>
        <v>14.5571864399438</v>
      </c>
      <c r="O2238" s="21" t="n">
        <f aca="false">AVERAGEIFS($N$2:$N$2705,$B$2:$B$2705,B2238)</f>
        <v>13.6178159222213</v>
      </c>
      <c r="P2238" s="21" t="n">
        <f aca="false">N2238-O2238</f>
        <v>0.939370517722555</v>
      </c>
      <c r="Q2238" s="7" t="n">
        <v>1</v>
      </c>
      <c r="R2238" s="3" t="n">
        <f aca="false">IF(AND(Q2238=1,B2238-_xlfn.MINIFS($B$2:$B$2705,$A$2:$A$2705,A2238)&lt;10),1,0)</f>
        <v>0</v>
      </c>
      <c r="S2238" s="7" t="n">
        <v>0</v>
      </c>
      <c r="T2238" s="3" t="n">
        <f aca="false">_xlfn.MINIFS($B$2:$B$2705,$A$2:$A$2705,A2238)</f>
        <v>1962</v>
      </c>
      <c r="U2238" s="3" t="n">
        <f aca="false">B2238-T2238</f>
        <v>48</v>
      </c>
      <c r="V2238" s="3" t="str">
        <f aca="false">INDEX(Pop_Inputs!$Q$2:$Q$29,MATCH(C2238,Pop_Inputs!$A$2:$A$29,0))</f>
        <v>South</v>
      </c>
      <c r="W2238" s="29" t="n">
        <v>92355500</v>
      </c>
      <c r="X2238" s="3" t="n">
        <f aca="false">IF(W2238="","",LN(W2238))</f>
        <v>18.341155818873</v>
      </c>
      <c r="Y2238" s="3" t="n">
        <f aca="false">IF(X2238="","",X2238-AVERAGEIFS($X$2:$X$2705,$B$2:$B$2705,B2238))</f>
        <v>0.0973734977291905</v>
      </c>
      <c r="Z2238" s="21" t="n">
        <f aca="false">P2238</f>
        <v>0.939370517722555</v>
      </c>
      <c r="AA2238" s="3" t="n">
        <f aca="false">R2238</f>
        <v>0</v>
      </c>
      <c r="AB2238" s="21" t="n">
        <f aca="false">P2238</f>
        <v>0.939370517722555</v>
      </c>
      <c r="AC2238" s="3" t="n">
        <f aca="false">Y2238</f>
        <v>0.0973734977291905</v>
      </c>
      <c r="AD2238" s="3" t="n">
        <f aca="false">R2238</f>
        <v>0</v>
      </c>
    </row>
    <row r="2239" customFormat="false" ht="15" hidden="false" customHeight="true" outlineLevel="0" collapsed="false">
      <c r="A2239" s="7" t="s">
        <v>76</v>
      </c>
      <c r="B2239" s="7" t="n">
        <v>2010</v>
      </c>
      <c r="C2239" s="7" t="s">
        <v>157</v>
      </c>
      <c r="D2239" s="7" t="n">
        <v>67</v>
      </c>
      <c r="E2239" s="7" t="n">
        <v>95</v>
      </c>
      <c r="F2239" s="3" t="n">
        <f aca="false">COUNTIFS($B$2:$B$2705,B2239,$C$2:$C$2705,C2239)</f>
        <v>1</v>
      </c>
      <c r="G2239" s="3" t="n">
        <f aca="false">MIN(INT((MIN(B2239,2020)-1900)/10)+1,12)</f>
        <v>12</v>
      </c>
      <c r="H2239" s="3" t="n">
        <f aca="false">(MIN(B2239,2020)-1900-10*(G2239-1))/10</f>
        <v>0</v>
      </c>
      <c r="I2239" s="20" t="n">
        <f aca="false">EXP(LN(INDEX(Pop_Inputs!$B$2:$N$29,MATCH(C2239,Pop_Inputs!$A$2:$A$29,0),G2239))*(1-H2239)+LN(INDEX(Pop_Inputs!$B$2:$N$29,MATCH(C2239,Pop_Inputs!$A$2:$A$29,0),G2239+1))*H2239)</f>
        <v>459787</v>
      </c>
      <c r="J2239" s="20" t="n">
        <f aca="false">I2239/F2239</f>
        <v>459787</v>
      </c>
      <c r="K2239" s="21" t="n">
        <f aca="false">D2239/(D2239+E2239)</f>
        <v>0.41358024691358</v>
      </c>
      <c r="L2239" s="21" t="n">
        <f aca="false">AVERAGEIFS($K$2:$K$2705,$B$2:$B$2705,B2239)</f>
        <v>0.5</v>
      </c>
      <c r="M2239" s="21" t="n">
        <f aca="false">K2239-L2239</f>
        <v>-0.0864197530864198</v>
      </c>
      <c r="N2239" s="21" t="n">
        <f aca="false">LN(J2239)</f>
        <v>13.0385186177493</v>
      </c>
      <c r="O2239" s="21" t="n">
        <f aca="false">AVERAGEIFS($N$2:$N$2705,$B$2:$B$2705,B2239)</f>
        <v>13.6178159222213</v>
      </c>
      <c r="P2239" s="21" t="n">
        <f aca="false">N2239-O2239</f>
        <v>-0.579297304471981</v>
      </c>
      <c r="Q2239" s="7" t="n">
        <v>1</v>
      </c>
      <c r="R2239" s="3" t="n">
        <f aca="false">IF(AND(Q2239=1,B2239-_xlfn.MINIFS($B$2:$B$2705,$A$2:$A$2705,A2239)&lt;10),1,0)</f>
        <v>0</v>
      </c>
      <c r="S2239" s="7" t="n">
        <v>0</v>
      </c>
      <c r="T2239" s="3" t="n">
        <f aca="false">_xlfn.MINIFS($B$2:$B$2705,$A$2:$A$2705,A2239)</f>
        <v>1969</v>
      </c>
      <c r="U2239" s="3" t="n">
        <f aca="false">B2239-T2239</f>
        <v>41</v>
      </c>
      <c r="V2239" s="3" t="str">
        <f aca="false">INDEX(Pop_Inputs!$Q$2:$Q$29,MATCH(C2239,Pop_Inputs!$A$2:$A$29,0))</f>
        <v>Midwest</v>
      </c>
      <c r="W2239" s="29" t="n">
        <v>71405210</v>
      </c>
      <c r="X2239" s="3" t="n">
        <f aca="false">IF(W2239="","",LN(W2239))</f>
        <v>18.0838813938354</v>
      </c>
      <c r="Y2239" s="3" t="n">
        <f aca="false">IF(X2239="","",X2239-AVERAGEIFS($X$2:$X$2705,$B$2:$B$2705,B2239))</f>
        <v>-0.159900927308392</v>
      </c>
      <c r="Z2239" s="21" t="n">
        <f aca="false">P2239</f>
        <v>-0.579297304471981</v>
      </c>
      <c r="AA2239" s="3" t="n">
        <f aca="false">R2239</f>
        <v>0</v>
      </c>
      <c r="AB2239" s="21" t="n">
        <f aca="false">P2239</f>
        <v>-0.579297304471981</v>
      </c>
      <c r="AC2239" s="3" t="n">
        <f aca="false">Y2239</f>
        <v>-0.159900927308392</v>
      </c>
      <c r="AD2239" s="3" t="n">
        <f aca="false">R2239</f>
        <v>0</v>
      </c>
    </row>
    <row r="2240" customFormat="false" ht="15" hidden="false" customHeight="true" outlineLevel="0" collapsed="false">
      <c r="A2240" s="7" t="s">
        <v>62</v>
      </c>
      <c r="B2240" s="7" t="n">
        <v>2010</v>
      </c>
      <c r="C2240" s="7" t="s">
        <v>148</v>
      </c>
      <c r="D2240" s="7" t="n">
        <v>80</v>
      </c>
      <c r="E2240" s="7" t="n">
        <v>82</v>
      </c>
      <c r="F2240" s="3" t="n">
        <f aca="false">COUNTIFS($B$2:$B$2705,B2240,$C$2:$C$2705,C2240)</f>
        <v>2</v>
      </c>
      <c r="G2240" s="3" t="n">
        <f aca="false">MIN(INT((MIN(B2240,2020)-1900)/10)+1,12)</f>
        <v>12</v>
      </c>
      <c r="H2240" s="3" t="n">
        <f aca="false">(MIN(B2240,2020)-1900-10*(G2240-1))/10</f>
        <v>0</v>
      </c>
      <c r="I2240" s="20" t="n">
        <f aca="false">EXP(LN(INDEX(Pop_Inputs!$B$2:$N$29,MATCH(C2240,Pop_Inputs!$A$2:$A$29,0),G2240))*(1-H2240)+LN(INDEX(Pop_Inputs!$B$2:$N$29,MATCH(C2240,Pop_Inputs!$A$2:$A$29,0),G2240+1))*H2240)</f>
        <v>3792621</v>
      </c>
      <c r="J2240" s="20" t="n">
        <f aca="false">I2240/F2240</f>
        <v>1896310.5</v>
      </c>
      <c r="K2240" s="21" t="n">
        <f aca="false">D2240/(D2240+E2240)</f>
        <v>0.493827160493827</v>
      </c>
      <c r="L2240" s="21" t="n">
        <f aca="false">AVERAGEIFS($K$2:$K$2705,$B$2:$B$2705,B2240)</f>
        <v>0.5</v>
      </c>
      <c r="M2240" s="21" t="n">
        <f aca="false">K2240-L2240</f>
        <v>-0.00617283950617287</v>
      </c>
      <c r="N2240" s="21" t="n">
        <f aca="false">LN(J2240)</f>
        <v>14.4554207142117</v>
      </c>
      <c r="O2240" s="21" t="n">
        <f aca="false">AVERAGEIFS($N$2:$N$2705,$B$2:$B$2705,B2240)</f>
        <v>13.6178159222213</v>
      </c>
      <c r="P2240" s="21" t="n">
        <f aca="false">N2240-O2240</f>
        <v>0.837604791990469</v>
      </c>
      <c r="Q2240" s="7" t="n">
        <v>0</v>
      </c>
      <c r="R2240" s="3" t="n">
        <f aca="false">IF(AND(Q2240=1,B2240-_xlfn.MINIFS($B$2:$B$2705,$A$2:$A$2705,A2240)&lt;10),1,0)</f>
        <v>0</v>
      </c>
      <c r="S2240" s="7" t="n">
        <v>0</v>
      </c>
      <c r="T2240" s="3" t="n">
        <f aca="false">_xlfn.MINIFS($B$2:$B$2705,$A$2:$A$2705,A2240)</f>
        <v>1901</v>
      </c>
      <c r="U2240" s="3" t="n">
        <f aca="false">B2240-T2240</f>
        <v>109</v>
      </c>
      <c r="V2240" s="3" t="str">
        <f aca="false">INDEX(Pop_Inputs!$Q$2:$Q$29,MATCH(C2240,Pop_Inputs!$A$2:$A$29,0))</f>
        <v>West</v>
      </c>
      <c r="W2240" s="29" t="n">
        <v>95358016</v>
      </c>
      <c r="X2240" s="3" t="n">
        <f aca="false">IF(W2240="","",LN(W2240))</f>
        <v>18.3731489556958</v>
      </c>
      <c r="Y2240" s="3" t="n">
        <f aca="false">IF(X2240="","",X2240-AVERAGEIFS($X$2:$X$2705,$B$2:$B$2705,B2240))</f>
        <v>0.129366634551992</v>
      </c>
      <c r="Z2240" s="21" t="n">
        <f aca="false">P2240</f>
        <v>0.837604791990469</v>
      </c>
      <c r="AA2240" s="3" t="n">
        <f aca="false">R2240</f>
        <v>0</v>
      </c>
      <c r="AB2240" s="21" t="n">
        <f aca="false">P2240</f>
        <v>0.837604791990469</v>
      </c>
      <c r="AC2240" s="3" t="n">
        <f aca="false">Y2240</f>
        <v>0.129366634551992</v>
      </c>
      <c r="AD2240" s="3" t="n">
        <f aca="false">R2240</f>
        <v>0</v>
      </c>
    </row>
    <row r="2241" customFormat="false" ht="15" hidden="false" customHeight="true" outlineLevel="0" collapsed="false">
      <c r="A2241" s="7" t="s">
        <v>77</v>
      </c>
      <c r="B2241" s="7" t="n">
        <v>2010</v>
      </c>
      <c r="C2241" s="7" t="s">
        <v>158</v>
      </c>
      <c r="D2241" s="7" t="n">
        <v>77</v>
      </c>
      <c r="E2241" s="7" t="n">
        <v>85</v>
      </c>
      <c r="F2241" s="3" t="n">
        <f aca="false">COUNTIFS($B$2:$B$2705,B2241,$C$2:$C$2705,C2241)</f>
        <v>1</v>
      </c>
      <c r="G2241" s="3" t="n">
        <f aca="false">MIN(INT((MIN(B2241,2020)-1900)/10)+1,12)</f>
        <v>12</v>
      </c>
      <c r="H2241" s="3" t="n">
        <f aca="false">(MIN(B2241,2020)-1900-10*(G2241-1))/10</f>
        <v>0</v>
      </c>
      <c r="I2241" s="20" t="n">
        <f aca="false">EXP(LN(INDEX(Pop_Inputs!$B$2:$N$29,MATCH(C2241,Pop_Inputs!$A$2:$A$29,0),G2241))*(1-H2241)+LN(INDEX(Pop_Inputs!$B$2:$N$29,MATCH(C2241,Pop_Inputs!$A$2:$A$29,0),G2241+1))*H2241)</f>
        <v>594833</v>
      </c>
      <c r="J2241" s="20" t="n">
        <f aca="false">I2241/F2241</f>
        <v>594833</v>
      </c>
      <c r="K2241" s="21" t="n">
        <f aca="false">D2241/(D2241+E2241)</f>
        <v>0.475308641975309</v>
      </c>
      <c r="L2241" s="21" t="n">
        <f aca="false">AVERAGEIFS($K$2:$K$2705,$B$2:$B$2705,B2241)</f>
        <v>0.5</v>
      </c>
      <c r="M2241" s="21" t="n">
        <f aca="false">K2241-L2241</f>
        <v>-0.0246913580246914</v>
      </c>
      <c r="N2241" s="21" t="n">
        <f aca="false">LN(J2241)</f>
        <v>13.296035972863</v>
      </c>
      <c r="O2241" s="21" t="n">
        <f aca="false">AVERAGEIFS($N$2:$N$2705,$B$2:$B$2705,B2241)</f>
        <v>13.6178159222213</v>
      </c>
      <c r="P2241" s="21" t="n">
        <f aca="false">N2241-O2241</f>
        <v>-0.321779949358236</v>
      </c>
      <c r="Q2241" s="7" t="n">
        <v>1</v>
      </c>
      <c r="R2241" s="3" t="n">
        <f aca="false">IF(AND(Q2241=1,B2241-_xlfn.MINIFS($B$2:$B$2705,$A$2:$A$2705,A2241)&lt;10),1,0)</f>
        <v>0</v>
      </c>
      <c r="S2241" s="7" t="n">
        <v>0</v>
      </c>
      <c r="T2241" s="3" t="n">
        <f aca="false">_xlfn.MINIFS($B$2:$B$2705,$A$2:$A$2705,A2241)</f>
        <v>1969</v>
      </c>
      <c r="U2241" s="3" t="n">
        <f aca="false">B2241-T2241</f>
        <v>41</v>
      </c>
      <c r="V2241" s="3" t="str">
        <f aca="false">INDEX(Pop_Inputs!$Q$2:$Q$29,MATCH(C2241,Pop_Inputs!$A$2:$A$29,0))</f>
        <v>Midwest</v>
      </c>
      <c r="W2241" s="29" t="n">
        <v>81108278</v>
      </c>
      <c r="X2241" s="3" t="n">
        <f aca="false">IF(W2241="","",LN(W2241))</f>
        <v>18.2112955853933</v>
      </c>
      <c r="Y2241" s="3" t="n">
        <f aca="false">IF(X2241="","",X2241-AVERAGEIFS($X$2:$X$2705,$B$2:$B$2705,B2241))</f>
        <v>-0.0324867357504139</v>
      </c>
      <c r="Z2241" s="21" t="n">
        <f aca="false">P2241</f>
        <v>-0.321779949358236</v>
      </c>
      <c r="AA2241" s="3" t="n">
        <f aca="false">R2241</f>
        <v>0</v>
      </c>
      <c r="AB2241" s="21" t="n">
        <f aca="false">P2241</f>
        <v>-0.321779949358236</v>
      </c>
      <c r="AC2241" s="3" t="n">
        <f aca="false">Y2241</f>
        <v>-0.0324867357504139</v>
      </c>
      <c r="AD2241" s="3" t="n">
        <f aca="false">R2241</f>
        <v>0</v>
      </c>
    </row>
    <row r="2242" customFormat="false" ht="15" hidden="false" customHeight="true" outlineLevel="0" collapsed="false">
      <c r="A2242" s="7" t="s">
        <v>68</v>
      </c>
      <c r="B2242" s="7" t="n">
        <v>2010</v>
      </c>
      <c r="C2242" s="7" t="s">
        <v>153</v>
      </c>
      <c r="D2242" s="7" t="n">
        <v>94</v>
      </c>
      <c r="E2242" s="7" t="n">
        <v>68</v>
      </c>
      <c r="F2242" s="3" t="n">
        <f aca="false">COUNTIFS($B$2:$B$2705,B2242,$C$2:$C$2705,C2242)</f>
        <v>1</v>
      </c>
      <c r="G2242" s="3" t="n">
        <f aca="false">MIN(INT((MIN(B2242,2020)-1900)/10)+1,12)</f>
        <v>12</v>
      </c>
      <c r="H2242" s="3" t="n">
        <f aca="false">(MIN(B2242,2020)-1900-10*(G2242-1))/10</f>
        <v>0</v>
      </c>
      <c r="I2242" s="20" t="n">
        <f aca="false">EXP(LN(INDEX(Pop_Inputs!$B$2:$N$29,MATCH(C2242,Pop_Inputs!$A$2:$A$29,0),G2242))*(1-H2242)+LN(INDEX(Pop_Inputs!$B$2:$N$29,MATCH(C2242,Pop_Inputs!$A$2:$A$29,0),G2242+1))*H2242)</f>
        <v>382578</v>
      </c>
      <c r="J2242" s="20" t="n">
        <f aca="false">I2242/F2242</f>
        <v>382578</v>
      </c>
      <c r="K2242" s="21" t="n">
        <f aca="false">D2242/(D2242+E2242)</f>
        <v>0.580246913580247</v>
      </c>
      <c r="L2242" s="21" t="n">
        <f aca="false">AVERAGEIFS($K$2:$K$2705,$B$2:$B$2705,B2242)</f>
        <v>0.5</v>
      </c>
      <c r="M2242" s="21" t="n">
        <f aca="false">K2242-L2242</f>
        <v>0.0802469135802469</v>
      </c>
      <c r="N2242" s="21" t="n">
        <f aca="false">LN(J2242)</f>
        <v>12.8546878330282</v>
      </c>
      <c r="O2242" s="21" t="n">
        <f aca="false">AVERAGEIFS($N$2:$N$2705,$B$2:$B$2705,B2242)</f>
        <v>13.6178159222213</v>
      </c>
      <c r="P2242" s="21" t="n">
        <f aca="false">N2242-O2242</f>
        <v>-0.763128089193083</v>
      </c>
      <c r="Q2242" s="7" t="n">
        <v>0</v>
      </c>
      <c r="R2242" s="3" t="n">
        <f aca="false">IF(AND(Q2242=1,B2242-_xlfn.MINIFS($B$2:$B$2705,$A$2:$A$2705,A2242)&lt;10),1,0)</f>
        <v>0</v>
      </c>
      <c r="S2242" s="7" t="n">
        <v>0</v>
      </c>
      <c r="T2242" s="3" t="n">
        <f aca="false">_xlfn.MINIFS($B$2:$B$2705,$A$2:$A$2705,A2242)</f>
        <v>1901</v>
      </c>
      <c r="U2242" s="3" t="n">
        <f aca="false">B2242-T2242</f>
        <v>109</v>
      </c>
      <c r="V2242" s="3" t="str">
        <f aca="false">INDEX(Pop_Inputs!$Q$2:$Q$29,MATCH(C2242,Pop_Inputs!$A$2:$A$29,0))</f>
        <v>Midwest</v>
      </c>
      <c r="W2242" s="29" t="n">
        <v>97559166</v>
      </c>
      <c r="X2242" s="3" t="n">
        <f aca="false">IF(W2242="","",LN(W2242))</f>
        <v>18.39596958269</v>
      </c>
      <c r="Y2242" s="3" t="n">
        <f aca="false">IF(X2242="","",X2242-AVERAGEIFS($X$2:$X$2705,$B$2:$B$2705,B2242))</f>
        <v>0.15218726154621</v>
      </c>
      <c r="Z2242" s="21" t="n">
        <f aca="false">P2242</f>
        <v>-0.763128089193083</v>
      </c>
      <c r="AA2242" s="3" t="n">
        <f aca="false">R2242</f>
        <v>0</v>
      </c>
      <c r="AB2242" s="21" t="n">
        <f aca="false">P2242</f>
        <v>-0.763128089193083</v>
      </c>
      <c r="AC2242" s="3" t="n">
        <f aca="false">Y2242</f>
        <v>0.15218726154621</v>
      </c>
      <c r="AD2242" s="3" t="n">
        <f aca="false">R2242</f>
        <v>0</v>
      </c>
    </row>
    <row r="2243" customFormat="false" ht="15" hidden="false" customHeight="true" outlineLevel="0" collapsed="false">
      <c r="A2243" s="7" t="s">
        <v>75</v>
      </c>
      <c r="B2243" s="7" t="n">
        <v>2010</v>
      </c>
      <c r="C2243" s="7" t="s">
        <v>154</v>
      </c>
      <c r="D2243" s="7" t="n">
        <v>79</v>
      </c>
      <c r="E2243" s="7" t="n">
        <v>83</v>
      </c>
      <c r="F2243" s="3" t="n">
        <f aca="false">COUNTIFS($B$2:$B$2705,B2243,$C$2:$C$2705,C2243)</f>
        <v>2</v>
      </c>
      <c r="G2243" s="3" t="n">
        <f aca="false">MIN(INT((MIN(B2243,2020)-1900)/10)+1,12)</f>
        <v>12</v>
      </c>
      <c r="H2243" s="3" t="n">
        <f aca="false">(MIN(B2243,2020)-1900-10*(G2243-1))/10</f>
        <v>0</v>
      </c>
      <c r="I2243" s="20" t="n">
        <f aca="false">EXP(LN(INDEX(Pop_Inputs!$B$2:$N$29,MATCH(C2243,Pop_Inputs!$A$2:$A$29,0),G2243))*(1-H2243)+LN(INDEX(Pop_Inputs!$B$2:$N$29,MATCH(C2243,Pop_Inputs!$A$2:$A$29,0),G2243+1))*H2243)</f>
        <v>8175133</v>
      </c>
      <c r="J2243" s="20" t="n">
        <f aca="false">I2243/F2243</f>
        <v>4087566.5</v>
      </c>
      <c r="K2243" s="21" t="n">
        <f aca="false">D2243/(D2243+E2243)</f>
        <v>0.487654320987654</v>
      </c>
      <c r="L2243" s="21" t="n">
        <f aca="false">AVERAGEIFS($K$2:$K$2705,$B$2:$B$2705,B2243)</f>
        <v>0.5</v>
      </c>
      <c r="M2243" s="21" t="n">
        <f aca="false">K2243-L2243</f>
        <v>-0.0123456790123457</v>
      </c>
      <c r="N2243" s="21" t="n">
        <f aca="false">LN(J2243)</f>
        <v>15.2234603631685</v>
      </c>
      <c r="O2243" s="21" t="n">
        <f aca="false">AVERAGEIFS($N$2:$N$2705,$B$2:$B$2705,B2243)</f>
        <v>13.6178159222213</v>
      </c>
      <c r="P2243" s="21" t="n">
        <f aca="false">N2243-O2243</f>
        <v>1.60564444094719</v>
      </c>
      <c r="Q2243" s="7" t="n">
        <v>1</v>
      </c>
      <c r="R2243" s="3" t="n">
        <f aca="false">IF(AND(Q2243=1,B2243-_xlfn.MINIFS($B$2:$B$2705,$A$2:$A$2705,A2243)&lt;10),1,0)</f>
        <v>0</v>
      </c>
      <c r="S2243" s="7" t="n">
        <v>0</v>
      </c>
      <c r="T2243" s="3" t="n">
        <f aca="false">_xlfn.MINIFS($B$2:$B$2705,$A$2:$A$2705,A2243)</f>
        <v>1962</v>
      </c>
      <c r="U2243" s="3" t="n">
        <f aca="false">B2243-T2243</f>
        <v>48</v>
      </c>
      <c r="V2243" s="3" t="str">
        <f aca="false">INDEX(Pop_Inputs!$Q$2:$Q$29,MATCH(C2243,Pop_Inputs!$A$2:$A$29,0))</f>
        <v>Northeast</v>
      </c>
      <c r="W2243" s="29" t="n">
        <v>134422942</v>
      </c>
      <c r="X2243" s="3" t="n">
        <f aca="false">IF(W2243="","",LN(W2243))</f>
        <v>18.7165016708906</v>
      </c>
      <c r="Y2243" s="3" t="n">
        <f aca="false">IF(X2243="","",X2243-AVERAGEIFS($X$2:$X$2705,$B$2:$B$2705,B2243))</f>
        <v>0.472719349746843</v>
      </c>
      <c r="Z2243" s="21" t="n">
        <f aca="false">P2243</f>
        <v>1.60564444094719</v>
      </c>
      <c r="AA2243" s="3" t="n">
        <f aca="false">R2243</f>
        <v>0</v>
      </c>
      <c r="AB2243" s="21" t="n">
        <f aca="false">P2243</f>
        <v>1.60564444094719</v>
      </c>
      <c r="AC2243" s="3" t="n">
        <f aca="false">Y2243</f>
        <v>0.472719349746843</v>
      </c>
      <c r="AD2243" s="3" t="n">
        <f aca="false">R2243</f>
        <v>0</v>
      </c>
    </row>
    <row r="2244" customFormat="false" ht="15" hidden="false" customHeight="true" outlineLevel="0" collapsed="false">
      <c r="A2244" s="7" t="s">
        <v>70</v>
      </c>
      <c r="B2244" s="7" t="n">
        <v>2010</v>
      </c>
      <c r="C2244" s="7" t="s">
        <v>154</v>
      </c>
      <c r="D2244" s="7" t="n">
        <v>95</v>
      </c>
      <c r="E2244" s="7" t="n">
        <v>67</v>
      </c>
      <c r="F2244" s="3" t="n">
        <f aca="false">COUNTIFS($B$2:$B$2705,B2244,$C$2:$C$2705,C2244)</f>
        <v>2</v>
      </c>
      <c r="G2244" s="3" t="n">
        <f aca="false">MIN(INT((MIN(B2244,2020)-1900)/10)+1,12)</f>
        <v>12</v>
      </c>
      <c r="H2244" s="3" t="n">
        <f aca="false">(MIN(B2244,2020)-1900-10*(G2244-1))/10</f>
        <v>0</v>
      </c>
      <c r="I2244" s="20" t="n">
        <f aca="false">EXP(LN(INDEX(Pop_Inputs!$B$2:$N$29,MATCH(C2244,Pop_Inputs!$A$2:$A$29,0),G2244))*(1-H2244)+LN(INDEX(Pop_Inputs!$B$2:$N$29,MATCH(C2244,Pop_Inputs!$A$2:$A$29,0),G2244+1))*H2244)</f>
        <v>8175133</v>
      </c>
      <c r="J2244" s="20" t="n">
        <f aca="false">I2244/F2244</f>
        <v>4087566.5</v>
      </c>
      <c r="K2244" s="21" t="n">
        <f aca="false">D2244/(D2244+E2244)</f>
        <v>0.58641975308642</v>
      </c>
      <c r="L2244" s="21" t="n">
        <f aca="false">AVERAGEIFS($K$2:$K$2705,$B$2:$B$2705,B2244)</f>
        <v>0.5</v>
      </c>
      <c r="M2244" s="21" t="n">
        <f aca="false">K2244-L2244</f>
        <v>0.0864197530864198</v>
      </c>
      <c r="N2244" s="21" t="n">
        <f aca="false">LN(J2244)</f>
        <v>15.2234603631685</v>
      </c>
      <c r="O2244" s="21" t="n">
        <f aca="false">AVERAGEIFS($N$2:$N$2705,$B$2:$B$2705,B2244)</f>
        <v>13.6178159222213</v>
      </c>
      <c r="P2244" s="21" t="n">
        <f aca="false">N2244-O2244</f>
        <v>1.60564444094719</v>
      </c>
      <c r="Q2244" s="7" t="n">
        <v>0</v>
      </c>
      <c r="R2244" s="3" t="n">
        <f aca="false">IF(AND(Q2244=1,B2244-_xlfn.MINIFS($B$2:$B$2705,$A$2:$A$2705,A2244)&lt;10),1,0)</f>
        <v>0</v>
      </c>
      <c r="S2244" s="7" t="n">
        <v>1</v>
      </c>
      <c r="T2244" s="3" t="n">
        <f aca="false">_xlfn.MINIFS($B$2:$B$2705,$A$2:$A$2705,A2244)</f>
        <v>1903</v>
      </c>
      <c r="U2244" s="3" t="n">
        <f aca="false">B2244-T2244</f>
        <v>107</v>
      </c>
      <c r="V2244" s="3" t="str">
        <f aca="false">INDEX(Pop_Inputs!$Q$2:$Q$29,MATCH(C2244,Pop_Inputs!$A$2:$A$29,0))</f>
        <v>Northeast</v>
      </c>
      <c r="W2244" s="29" t="n">
        <v>206333389</v>
      </c>
      <c r="X2244" s="3" t="n">
        <f aca="false">IF(W2244="","",LN(W2244))</f>
        <v>19.1450038117707</v>
      </c>
      <c r="Y2244" s="3" t="n">
        <f aca="false">IF(X2244="","",X2244-AVERAGEIFS($X$2:$X$2705,$B$2:$B$2705,B2244))</f>
        <v>0.901221490626949</v>
      </c>
      <c r="Z2244" s="21" t="n">
        <f aca="false">P2244</f>
        <v>1.60564444094719</v>
      </c>
      <c r="AA2244" s="3" t="n">
        <f aca="false">R2244</f>
        <v>0</v>
      </c>
      <c r="AB2244" s="21" t="n">
        <f aca="false">P2244</f>
        <v>1.60564444094719</v>
      </c>
      <c r="AC2244" s="3" t="n">
        <f aca="false">Y2244</f>
        <v>0.901221490626949</v>
      </c>
      <c r="AD2244" s="3" t="n">
        <f aca="false">R2244</f>
        <v>0</v>
      </c>
    </row>
    <row r="2245" customFormat="false" ht="15" hidden="false" customHeight="true" outlineLevel="0" collapsed="false">
      <c r="A2245" s="7" t="s">
        <v>69</v>
      </c>
      <c r="B2245" s="7" t="n">
        <v>2010</v>
      </c>
      <c r="C2245" s="7" t="s">
        <v>253</v>
      </c>
      <c r="D2245" s="7" t="n">
        <v>81</v>
      </c>
      <c r="E2245" s="7" t="n">
        <v>81</v>
      </c>
      <c r="F2245" s="3" t="n">
        <f aca="false">COUNTIFS($B$2:$B$2705,B2245,$C$2:$C$2705,C2245)</f>
        <v>1</v>
      </c>
      <c r="G2245" s="3" t="n">
        <f aca="false">MIN(INT((MIN(B2245,2020)-1900)/10)+1,12)</f>
        <v>12</v>
      </c>
      <c r="H2245" s="3" t="n">
        <f aca="false">(MIN(B2245,2020)-1900-10*(G2245-1))/10</f>
        <v>0</v>
      </c>
      <c r="I2245" s="20" t="n">
        <f aca="false">EXP(LN(INDEX(Pop_Inputs!$B$2:$N$29,MATCH(C2245,Pop_Inputs!$A$2:$A$29,0),G2245))*(1-H2245)+LN(INDEX(Pop_Inputs!$B$2:$N$29,MATCH(C2245,Pop_Inputs!$A$2:$A$29,0),G2245+1))*H2245)</f>
        <v>390724</v>
      </c>
      <c r="J2245" s="20" t="n">
        <f aca="false">I2245/F2245</f>
        <v>390724</v>
      </c>
      <c r="K2245" s="21" t="n">
        <f aca="false">D2245/(D2245+E2245)</f>
        <v>0.5</v>
      </c>
      <c r="L2245" s="21" t="n">
        <f aca="false">AVERAGEIFS($K$2:$K$2705,$B$2:$B$2705,B2245)</f>
        <v>0.5</v>
      </c>
      <c r="M2245" s="21" t="n">
        <f aca="false">K2245-L2245</f>
        <v>0</v>
      </c>
      <c r="N2245" s="21" t="n">
        <f aca="false">LN(J2245)</f>
        <v>12.8757567073623</v>
      </c>
      <c r="O2245" s="21" t="n">
        <f aca="false">AVERAGEIFS($N$2:$N$2705,$B$2:$B$2705,B2245)</f>
        <v>13.6178159222213</v>
      </c>
      <c r="P2245" s="21" t="n">
        <f aca="false">N2245-O2245</f>
        <v>-0.74205921485895</v>
      </c>
      <c r="Q2245" s="7" t="n">
        <v>0</v>
      </c>
      <c r="R2245" s="3" t="n">
        <f aca="false">IF(AND(Q2245=1,B2245-_xlfn.MINIFS($B$2:$B$2705,$A$2:$A$2705,A2245)&lt;10),1,0)</f>
        <v>0</v>
      </c>
      <c r="S2245" s="7" t="n">
        <v>0</v>
      </c>
      <c r="T2245" s="3" t="n">
        <f aca="false">_xlfn.MINIFS($B$2:$B$2705,$A$2:$A$2705,A2245)</f>
        <v>1901</v>
      </c>
      <c r="U2245" s="3" t="n">
        <f aca="false">B2245-T2245</f>
        <v>109</v>
      </c>
      <c r="V2245" s="3" t="str">
        <f aca="false">INDEX(Pop_Inputs!$Q$2:$Q$29,MATCH(C2245,Pop_Inputs!$A$2:$A$29,0))</f>
        <v>West</v>
      </c>
      <c r="W2245" s="29" t="n">
        <v>55254900</v>
      </c>
      <c r="X2245" s="3" t="n">
        <f aca="false">IF(W2245="","",LN(W2245))</f>
        <v>17.8274675822124</v>
      </c>
      <c r="Y2245" s="3" t="n">
        <f aca="false">IF(X2245="","",X2245-AVERAGEIFS($X$2:$X$2705,$B$2:$B$2705,B2245))</f>
        <v>-0.416314738931344</v>
      </c>
      <c r="Z2245" s="21" t="n">
        <f aca="false">P2245</f>
        <v>-0.74205921485895</v>
      </c>
      <c r="AA2245" s="3" t="n">
        <f aca="false">R2245</f>
        <v>0</v>
      </c>
      <c r="AB2245" s="21" t="n">
        <f aca="false">P2245</f>
        <v>-0.74205921485895</v>
      </c>
      <c r="AC2245" s="3" t="n">
        <f aca="false">Y2245</f>
        <v>-0.416314738931344</v>
      </c>
      <c r="AD2245" s="3" t="n">
        <f aca="false">R2245</f>
        <v>0</v>
      </c>
    </row>
    <row r="2246" customFormat="false" ht="15" hidden="false" customHeight="true" outlineLevel="0" collapsed="false">
      <c r="A2246" s="7" t="s">
        <v>60</v>
      </c>
      <c r="B2246" s="7" t="n">
        <v>2010</v>
      </c>
      <c r="C2246" s="7" t="s">
        <v>146</v>
      </c>
      <c r="D2246" s="7" t="n">
        <v>97</v>
      </c>
      <c r="E2246" s="7" t="n">
        <v>65</v>
      </c>
      <c r="F2246" s="3" t="n">
        <f aca="false">COUNTIFS($B$2:$B$2705,B2246,$C$2:$C$2705,C2246)</f>
        <v>1</v>
      </c>
      <c r="G2246" s="3" t="n">
        <f aca="false">MIN(INT((MIN(B2246,2020)-1900)/10)+1,12)</f>
        <v>12</v>
      </c>
      <c r="H2246" s="3" t="n">
        <f aca="false">(MIN(B2246,2020)-1900-10*(G2246-1))/10</f>
        <v>0</v>
      </c>
      <c r="I2246" s="20" t="n">
        <f aca="false">EXP(LN(INDEX(Pop_Inputs!$B$2:$N$29,MATCH(C2246,Pop_Inputs!$A$2:$A$29,0),G2246))*(1-H2246)+LN(INDEX(Pop_Inputs!$B$2:$N$29,MATCH(C2246,Pop_Inputs!$A$2:$A$29,0),G2246+1))*H2246)</f>
        <v>1526006</v>
      </c>
      <c r="J2246" s="20" t="n">
        <f aca="false">I2246/F2246</f>
        <v>1526006</v>
      </c>
      <c r="K2246" s="21" t="n">
        <f aca="false">D2246/(D2246+E2246)</f>
        <v>0.598765432098765</v>
      </c>
      <c r="L2246" s="21" t="n">
        <f aca="false">AVERAGEIFS($K$2:$K$2705,$B$2:$B$2705,B2246)</f>
        <v>0.5</v>
      </c>
      <c r="M2246" s="21" t="n">
        <f aca="false">K2246-L2246</f>
        <v>0.0987654320987654</v>
      </c>
      <c r="N2246" s="21" t="n">
        <f aca="false">LN(J2246)</f>
        <v>14.2381644226668</v>
      </c>
      <c r="O2246" s="21" t="n">
        <f aca="false">AVERAGEIFS($N$2:$N$2705,$B$2:$B$2705,B2246)</f>
        <v>13.6178159222213</v>
      </c>
      <c r="P2246" s="21" t="n">
        <f aca="false">N2246-O2246</f>
        <v>0.620348500445516</v>
      </c>
      <c r="Q2246" s="7" t="n">
        <v>0</v>
      </c>
      <c r="R2246" s="3" t="n">
        <f aca="false">IF(AND(Q2246=1,B2246-_xlfn.MINIFS($B$2:$B$2705,$A$2:$A$2705,A2246)&lt;10),1,0)</f>
        <v>0</v>
      </c>
      <c r="S2246" s="7" t="n">
        <v>0</v>
      </c>
      <c r="T2246" s="3" t="n">
        <f aca="false">_xlfn.MINIFS($B$2:$B$2705,$A$2:$A$2705,A2246)</f>
        <v>1901</v>
      </c>
      <c r="U2246" s="3" t="n">
        <f aca="false">B2246-T2246</f>
        <v>109</v>
      </c>
      <c r="V2246" s="3" t="str">
        <f aca="false">INDEX(Pop_Inputs!$Q$2:$Q$29,MATCH(C2246,Pop_Inputs!$A$2:$A$29,0))</f>
        <v>Northeast</v>
      </c>
      <c r="W2246" s="29" t="n">
        <v>141928379</v>
      </c>
      <c r="X2246" s="3" t="n">
        <f aca="false">IF(W2246="","",LN(W2246))</f>
        <v>18.7708331150871</v>
      </c>
      <c r="Y2246" s="3" t="n">
        <f aca="false">IF(X2246="","",X2246-AVERAGEIFS($X$2:$X$2705,$B$2:$B$2705,B2246))</f>
        <v>0.527050793943371</v>
      </c>
      <c r="Z2246" s="21" t="n">
        <f aca="false">P2246</f>
        <v>0.620348500445516</v>
      </c>
      <c r="AA2246" s="3" t="n">
        <f aca="false">R2246</f>
        <v>0</v>
      </c>
      <c r="AB2246" s="21" t="n">
        <f aca="false">P2246</f>
        <v>0.620348500445516</v>
      </c>
      <c r="AC2246" s="3" t="n">
        <f aca="false">Y2246</f>
        <v>0.527050793943371</v>
      </c>
      <c r="AD2246" s="3" t="n">
        <f aca="false">R2246</f>
        <v>0</v>
      </c>
    </row>
    <row r="2247" customFormat="false" ht="15" hidden="false" customHeight="true" outlineLevel="0" collapsed="false">
      <c r="A2247" s="7" t="s">
        <v>58</v>
      </c>
      <c r="B2247" s="7" t="n">
        <v>2010</v>
      </c>
      <c r="C2247" s="7" t="s">
        <v>144</v>
      </c>
      <c r="D2247" s="7" t="n">
        <v>57</v>
      </c>
      <c r="E2247" s="7" t="n">
        <v>105</v>
      </c>
      <c r="F2247" s="3" t="n">
        <f aca="false">COUNTIFS($B$2:$B$2705,B2247,$C$2:$C$2705,C2247)</f>
        <v>1</v>
      </c>
      <c r="G2247" s="3" t="n">
        <f aca="false">MIN(INT((MIN(B2247,2020)-1900)/10)+1,12)</f>
        <v>12</v>
      </c>
      <c r="H2247" s="3" t="n">
        <f aca="false">(MIN(B2247,2020)-1900-10*(G2247-1))/10</f>
        <v>0</v>
      </c>
      <c r="I2247" s="20" t="n">
        <f aca="false">EXP(LN(INDEX(Pop_Inputs!$B$2:$N$29,MATCH(C2247,Pop_Inputs!$A$2:$A$29,0),G2247))*(1-H2247)+LN(INDEX(Pop_Inputs!$B$2:$N$29,MATCH(C2247,Pop_Inputs!$A$2:$A$29,0),G2247+1))*H2247)</f>
        <v>305704</v>
      </c>
      <c r="J2247" s="20" t="n">
        <f aca="false">I2247/F2247</f>
        <v>305704</v>
      </c>
      <c r="K2247" s="21" t="n">
        <f aca="false">D2247/(D2247+E2247)</f>
        <v>0.351851851851852</v>
      </c>
      <c r="L2247" s="21" t="n">
        <f aca="false">AVERAGEIFS($K$2:$K$2705,$B$2:$B$2705,B2247)</f>
        <v>0.5</v>
      </c>
      <c r="M2247" s="21" t="n">
        <f aca="false">K2247-L2247</f>
        <v>-0.148148148148148</v>
      </c>
      <c r="N2247" s="21" t="n">
        <f aca="false">LN(J2247)</f>
        <v>12.6303725925169</v>
      </c>
      <c r="O2247" s="21" t="n">
        <f aca="false">AVERAGEIFS($N$2:$N$2705,$B$2:$B$2705,B2247)</f>
        <v>13.6178159222213</v>
      </c>
      <c r="P2247" s="21" t="n">
        <f aca="false">N2247-O2247</f>
        <v>-0.987443329704355</v>
      </c>
      <c r="Q2247" s="7" t="n">
        <v>0</v>
      </c>
      <c r="R2247" s="3" t="n">
        <f aca="false">IF(AND(Q2247=1,B2247-_xlfn.MINIFS($B$2:$B$2705,$A$2:$A$2705,A2247)&lt;10),1,0)</f>
        <v>0</v>
      </c>
      <c r="S2247" s="7" t="n">
        <v>0</v>
      </c>
      <c r="T2247" s="3" t="n">
        <f aca="false">_xlfn.MINIFS($B$2:$B$2705,$A$2:$A$2705,A2247)</f>
        <v>1901</v>
      </c>
      <c r="U2247" s="3" t="n">
        <f aca="false">B2247-T2247</f>
        <v>109</v>
      </c>
      <c r="V2247" s="3" t="str">
        <f aca="false">INDEX(Pop_Inputs!$Q$2:$Q$29,MATCH(C2247,Pop_Inputs!$A$2:$A$29,0))</f>
        <v>Northeast</v>
      </c>
      <c r="W2247" s="29" t="n">
        <v>34943000</v>
      </c>
      <c r="X2247" s="3" t="n">
        <f aca="false">IF(W2247="","",LN(W2247))</f>
        <v>17.3692287204611</v>
      </c>
      <c r="Y2247" s="3" t="n">
        <f aca="false">IF(X2247="","",X2247-AVERAGEIFS($X$2:$X$2705,$B$2:$B$2705,B2247))</f>
        <v>-0.874553600682642</v>
      </c>
      <c r="Z2247" s="21" t="n">
        <f aca="false">P2247</f>
        <v>-0.987443329704355</v>
      </c>
      <c r="AA2247" s="3" t="n">
        <f aca="false">R2247</f>
        <v>0</v>
      </c>
      <c r="AB2247" s="21" t="n">
        <f aca="false">P2247</f>
        <v>-0.987443329704355</v>
      </c>
      <c r="AC2247" s="3" t="n">
        <f aca="false">Y2247</f>
        <v>-0.874553600682642</v>
      </c>
      <c r="AD2247" s="3" t="n">
        <f aca="false">R2247</f>
        <v>0</v>
      </c>
    </row>
    <row r="2248" customFormat="false" ht="15" hidden="false" customHeight="true" outlineLevel="0" collapsed="false">
      <c r="A2248" s="7" t="s">
        <v>78</v>
      </c>
      <c r="B2248" s="7" t="n">
        <v>2010</v>
      </c>
      <c r="C2248" s="7" t="s">
        <v>159</v>
      </c>
      <c r="D2248" s="7" t="n">
        <v>90</v>
      </c>
      <c r="E2248" s="7" t="n">
        <v>72</v>
      </c>
      <c r="F2248" s="3" t="n">
        <f aca="false">COUNTIFS($B$2:$B$2705,B2248,$C$2:$C$2705,C2248)</f>
        <v>1</v>
      </c>
      <c r="G2248" s="3" t="n">
        <f aca="false">MIN(INT((MIN(B2248,2020)-1900)/10)+1,12)</f>
        <v>12</v>
      </c>
      <c r="H2248" s="3" t="n">
        <f aca="false">(MIN(B2248,2020)-1900-10*(G2248-1))/10</f>
        <v>0</v>
      </c>
      <c r="I2248" s="20" t="n">
        <f aca="false">EXP(LN(INDEX(Pop_Inputs!$B$2:$N$29,MATCH(C2248,Pop_Inputs!$A$2:$A$29,0),G2248))*(1-H2248)+LN(INDEX(Pop_Inputs!$B$2:$N$29,MATCH(C2248,Pop_Inputs!$A$2:$A$29,0),G2248+1))*H2248)</f>
        <v>1307402</v>
      </c>
      <c r="J2248" s="20" t="n">
        <f aca="false">I2248/F2248</f>
        <v>1307402</v>
      </c>
      <c r="K2248" s="21" t="n">
        <f aca="false">D2248/(D2248+E2248)</f>
        <v>0.555555555555556</v>
      </c>
      <c r="L2248" s="21" t="n">
        <f aca="false">AVERAGEIFS($K$2:$K$2705,$B$2:$B$2705,B2248)</f>
        <v>0.5</v>
      </c>
      <c r="M2248" s="21" t="n">
        <f aca="false">K2248-L2248</f>
        <v>0.0555555555555556</v>
      </c>
      <c r="N2248" s="21" t="n">
        <f aca="false">LN(J2248)</f>
        <v>14.0835525199133</v>
      </c>
      <c r="O2248" s="21" t="n">
        <f aca="false">AVERAGEIFS($N$2:$N$2705,$B$2:$B$2705,B2248)</f>
        <v>13.6178159222213</v>
      </c>
      <c r="P2248" s="21" t="n">
        <f aca="false">N2248-O2248</f>
        <v>0.465736597692045</v>
      </c>
      <c r="Q2248" s="7" t="n">
        <v>1</v>
      </c>
      <c r="R2248" s="3" t="n">
        <f aca="false">IF(AND(Q2248=1,B2248-_xlfn.MINIFS($B$2:$B$2705,$A$2:$A$2705,A2248)&lt;10),1,0)</f>
        <v>0</v>
      </c>
      <c r="S2248" s="7" t="n">
        <v>0</v>
      </c>
      <c r="T2248" s="3" t="n">
        <f aca="false">_xlfn.MINIFS($B$2:$B$2705,$A$2:$A$2705,A2248)</f>
        <v>1969</v>
      </c>
      <c r="U2248" s="3" t="n">
        <f aca="false">B2248-T2248</f>
        <v>41</v>
      </c>
      <c r="V2248" s="3" t="str">
        <f aca="false">INDEX(Pop_Inputs!$Q$2:$Q$29,MATCH(C2248,Pop_Inputs!$A$2:$A$29,0))</f>
        <v>West</v>
      </c>
      <c r="W2248" s="29" t="n">
        <v>37799300</v>
      </c>
      <c r="X2248" s="3" t="n">
        <f aca="false">IF(W2248="","",LN(W2248))</f>
        <v>17.4478011418998</v>
      </c>
      <c r="Y2248" s="3" t="n">
        <f aca="false">IF(X2248="","",X2248-AVERAGEIFS($X$2:$X$2705,$B$2:$B$2705,B2248))</f>
        <v>-0.795981179243931</v>
      </c>
      <c r="Z2248" s="21" t="n">
        <f aca="false">P2248</f>
        <v>0.465736597692045</v>
      </c>
      <c r="AA2248" s="3" t="n">
        <f aca="false">R2248</f>
        <v>0</v>
      </c>
      <c r="AB2248" s="21" t="n">
        <f aca="false">P2248</f>
        <v>0.465736597692045</v>
      </c>
      <c r="AC2248" s="3" t="n">
        <f aca="false">Y2248</f>
        <v>-0.795981179243931</v>
      </c>
      <c r="AD2248" s="3" t="n">
        <f aca="false">R2248</f>
        <v>0</v>
      </c>
    </row>
    <row r="2249" customFormat="false" ht="15" hidden="false" customHeight="true" outlineLevel="0" collapsed="false">
      <c r="A2249" s="7" t="s">
        <v>80</v>
      </c>
      <c r="B2249" s="7" t="n">
        <v>2010</v>
      </c>
      <c r="C2249" s="7" t="s">
        <v>161</v>
      </c>
      <c r="D2249" s="7" t="n">
        <v>61</v>
      </c>
      <c r="E2249" s="7" t="n">
        <v>101</v>
      </c>
      <c r="F2249" s="3" t="n">
        <f aca="false">COUNTIFS($B$2:$B$2705,B2249,$C$2:$C$2705,C2249)</f>
        <v>1</v>
      </c>
      <c r="G2249" s="3" t="n">
        <f aca="false">MIN(INT((MIN(B2249,2020)-1900)/10)+1,12)</f>
        <v>12</v>
      </c>
      <c r="H2249" s="3" t="n">
        <f aca="false">(MIN(B2249,2020)-1900-10*(G2249-1))/10</f>
        <v>0</v>
      </c>
      <c r="I2249" s="20" t="n">
        <f aca="false">EXP(LN(INDEX(Pop_Inputs!$B$2:$N$29,MATCH(C2249,Pop_Inputs!$A$2:$A$29,0),G2249))*(1-H2249)+LN(INDEX(Pop_Inputs!$B$2:$N$29,MATCH(C2249,Pop_Inputs!$A$2:$A$29,0),G2249+1))*H2249)</f>
        <v>608660</v>
      </c>
      <c r="J2249" s="20" t="n">
        <f aca="false">I2249/F2249</f>
        <v>608660</v>
      </c>
      <c r="K2249" s="21" t="n">
        <f aca="false">D2249/(D2249+E2249)</f>
        <v>0.376543209876543</v>
      </c>
      <c r="L2249" s="21" t="n">
        <f aca="false">AVERAGEIFS($K$2:$K$2705,$B$2:$B$2705,B2249)</f>
        <v>0.5</v>
      </c>
      <c r="M2249" s="21" t="n">
        <f aca="false">K2249-L2249</f>
        <v>-0.123456790123457</v>
      </c>
      <c r="N2249" s="21" t="n">
        <f aca="false">LN(J2249)</f>
        <v>13.3190150985064</v>
      </c>
      <c r="O2249" s="21" t="n">
        <f aca="false">AVERAGEIFS($N$2:$N$2705,$B$2:$B$2705,B2249)</f>
        <v>13.6178159222213</v>
      </c>
      <c r="P2249" s="21" t="n">
        <f aca="false">N2249-O2249</f>
        <v>-0.298800823714823</v>
      </c>
      <c r="Q2249" s="7" t="n">
        <v>1</v>
      </c>
      <c r="R2249" s="3" t="n">
        <f aca="false">IF(AND(Q2249=1,B2249-_xlfn.MINIFS($B$2:$B$2705,$A$2:$A$2705,A2249)&lt;10),1,0)</f>
        <v>0</v>
      </c>
      <c r="S2249" s="7" t="n">
        <v>0</v>
      </c>
      <c r="T2249" s="3" t="n">
        <f aca="false">_xlfn.MINIFS($B$2:$B$2705,$A$2:$A$2705,A2249)</f>
        <v>1977</v>
      </c>
      <c r="U2249" s="3" t="n">
        <f aca="false">B2249-T2249</f>
        <v>33</v>
      </c>
      <c r="V2249" s="3" t="str">
        <f aca="false">INDEX(Pop_Inputs!$Q$2:$Q$29,MATCH(C2249,Pop_Inputs!$A$2:$A$29,0))</f>
        <v>West</v>
      </c>
      <c r="W2249" s="29" t="n">
        <v>86510000</v>
      </c>
      <c r="X2249" s="3" t="n">
        <f aca="false">IF(W2249="","",LN(W2249))</f>
        <v>18.2757705721566</v>
      </c>
      <c r="Y2249" s="3" t="n">
        <f aca="false">IF(X2249="","",X2249-AVERAGEIFS($X$2:$X$2705,$B$2:$B$2705,B2249))</f>
        <v>0.0319882510127982</v>
      </c>
      <c r="Z2249" s="21" t="n">
        <f aca="false">P2249</f>
        <v>-0.298800823714823</v>
      </c>
      <c r="AA2249" s="3" t="n">
        <f aca="false">R2249</f>
        <v>0</v>
      </c>
      <c r="AB2249" s="21" t="n">
        <f aca="false">P2249</f>
        <v>-0.298800823714823</v>
      </c>
      <c r="AC2249" s="3" t="n">
        <f aca="false">Y2249</f>
        <v>0.0319882510127982</v>
      </c>
      <c r="AD2249" s="3" t="n">
        <f aca="false">R2249</f>
        <v>0</v>
      </c>
    </row>
    <row r="2250" customFormat="false" ht="15" hidden="false" customHeight="true" outlineLevel="0" collapsed="false">
      <c r="A2250" s="7" t="s">
        <v>61</v>
      </c>
      <c r="B2250" s="7" t="n">
        <v>2010</v>
      </c>
      <c r="C2250" s="7" t="s">
        <v>147</v>
      </c>
      <c r="D2250" s="7" t="n">
        <v>92</v>
      </c>
      <c r="E2250" s="7" t="n">
        <v>70</v>
      </c>
      <c r="F2250" s="3" t="n">
        <f aca="false">COUNTIFS($B$2:$B$2705,B2250,$C$2:$C$2705,C2250)</f>
        <v>1</v>
      </c>
      <c r="G2250" s="3" t="n">
        <f aca="false">MIN(INT((MIN(B2250,2020)-1900)/10)+1,12)</f>
        <v>12</v>
      </c>
      <c r="H2250" s="3" t="n">
        <f aca="false">(MIN(B2250,2020)-1900-10*(G2250-1))/10</f>
        <v>0</v>
      </c>
      <c r="I2250" s="20" t="n">
        <f aca="false">EXP(LN(INDEX(Pop_Inputs!$B$2:$N$29,MATCH(C2250,Pop_Inputs!$A$2:$A$29,0),G2250))*(1-H2250)+LN(INDEX(Pop_Inputs!$B$2:$N$29,MATCH(C2250,Pop_Inputs!$A$2:$A$29,0),G2250+1))*H2250)</f>
        <v>805235</v>
      </c>
      <c r="J2250" s="20" t="n">
        <f aca="false">I2250/F2250</f>
        <v>805235</v>
      </c>
      <c r="K2250" s="21" t="n">
        <f aca="false">D2250/(D2250+E2250)</f>
        <v>0.567901234567901</v>
      </c>
      <c r="L2250" s="21" t="n">
        <f aca="false">AVERAGEIFS($K$2:$K$2705,$B$2:$B$2705,B2250)</f>
        <v>0.5</v>
      </c>
      <c r="M2250" s="21" t="n">
        <f aca="false">K2250-L2250</f>
        <v>0.0679012345679012</v>
      </c>
      <c r="N2250" s="21" t="n">
        <f aca="false">LN(J2250)</f>
        <v>13.5988894392646</v>
      </c>
      <c r="O2250" s="21" t="n">
        <f aca="false">AVERAGEIFS($N$2:$N$2705,$B$2:$B$2705,B2250)</f>
        <v>13.6178159222213</v>
      </c>
      <c r="P2250" s="21" t="n">
        <f aca="false">N2250-O2250</f>
        <v>-0.0189264829566707</v>
      </c>
      <c r="Q2250" s="7" t="n">
        <v>0</v>
      </c>
      <c r="R2250" s="3" t="n">
        <f aca="false">IF(AND(Q2250=1,B2250-_xlfn.MINIFS($B$2:$B$2705,$A$2:$A$2705,A2250)&lt;10),1,0)</f>
        <v>0</v>
      </c>
      <c r="S2250" s="7" t="n">
        <v>0</v>
      </c>
      <c r="T2250" s="3" t="n">
        <f aca="false">_xlfn.MINIFS($B$2:$B$2705,$A$2:$A$2705,A2250)</f>
        <v>1901</v>
      </c>
      <c r="U2250" s="3" t="n">
        <f aca="false">B2250-T2250</f>
        <v>109</v>
      </c>
      <c r="V2250" s="3" t="str">
        <f aca="false">INDEX(Pop_Inputs!$Q$2:$Q$29,MATCH(C2250,Pop_Inputs!$A$2:$A$29,0))</f>
        <v>West</v>
      </c>
      <c r="W2250" s="29" t="n">
        <v>98641333</v>
      </c>
      <c r="X2250" s="3" t="n">
        <f aca="false">IF(W2250="","",LN(W2250))</f>
        <v>18.4070009305166</v>
      </c>
      <c r="Y2250" s="3" t="n">
        <f aca="false">IF(X2250="","",X2250-AVERAGEIFS($X$2:$X$2705,$B$2:$B$2705,B2250))</f>
        <v>0.163218609372805</v>
      </c>
      <c r="Z2250" s="21" t="n">
        <f aca="false">P2250</f>
        <v>-0.0189264829566707</v>
      </c>
      <c r="AA2250" s="3" t="n">
        <f aca="false">R2250</f>
        <v>0</v>
      </c>
      <c r="AB2250" s="21" t="n">
        <f aca="false">P2250</f>
        <v>-0.0189264829566707</v>
      </c>
      <c r="AC2250" s="3" t="n">
        <f aca="false">Y2250</f>
        <v>0.163218609372805</v>
      </c>
      <c r="AD2250" s="3" t="n">
        <f aca="false">R2250</f>
        <v>0</v>
      </c>
    </row>
    <row r="2251" customFormat="false" ht="15" hidden="false" customHeight="true" outlineLevel="0" collapsed="false">
      <c r="A2251" s="7" t="s">
        <v>59</v>
      </c>
      <c r="B2251" s="7" t="n">
        <v>2010</v>
      </c>
      <c r="C2251" s="7" t="s">
        <v>145</v>
      </c>
      <c r="D2251" s="7" t="n">
        <v>86</v>
      </c>
      <c r="E2251" s="7" t="n">
        <v>76</v>
      </c>
      <c r="F2251" s="3" t="n">
        <f aca="false">COUNTIFS($B$2:$B$2705,B2251,$C$2:$C$2705,C2251)</f>
        <v>1</v>
      </c>
      <c r="G2251" s="3" t="n">
        <f aca="false">MIN(INT((MIN(B2251,2020)-1900)/10)+1,12)</f>
        <v>12</v>
      </c>
      <c r="H2251" s="3" t="n">
        <f aca="false">(MIN(B2251,2020)-1900-10*(G2251-1))/10</f>
        <v>0</v>
      </c>
      <c r="I2251" s="20" t="n">
        <f aca="false">EXP(LN(INDEX(Pop_Inputs!$B$2:$N$29,MATCH(C2251,Pop_Inputs!$A$2:$A$29,0),G2251))*(1-H2251)+LN(INDEX(Pop_Inputs!$B$2:$N$29,MATCH(C2251,Pop_Inputs!$A$2:$A$29,0),G2251+1))*H2251)</f>
        <v>319294</v>
      </c>
      <c r="J2251" s="20" t="n">
        <f aca="false">I2251/F2251</f>
        <v>319294</v>
      </c>
      <c r="K2251" s="21" t="n">
        <f aca="false">D2251/(D2251+E2251)</f>
        <v>0.530864197530864</v>
      </c>
      <c r="L2251" s="21" t="n">
        <f aca="false">AVERAGEIFS($K$2:$K$2705,$B$2:$B$2705,B2251)</f>
        <v>0.5</v>
      </c>
      <c r="M2251" s="21" t="n">
        <f aca="false">K2251-L2251</f>
        <v>0.0308641975308642</v>
      </c>
      <c r="N2251" s="21" t="n">
        <f aca="false">LN(J2251)</f>
        <v>12.6738675874208</v>
      </c>
      <c r="O2251" s="21" t="n">
        <f aca="false">AVERAGEIFS($N$2:$N$2705,$B$2:$B$2705,B2251)</f>
        <v>13.6178159222213</v>
      </c>
      <c r="P2251" s="21" t="n">
        <f aca="false">N2251-O2251</f>
        <v>-0.943948334800487</v>
      </c>
      <c r="Q2251" s="7" t="n">
        <v>0</v>
      </c>
      <c r="R2251" s="3" t="n">
        <f aca="false">IF(AND(Q2251=1,B2251-_xlfn.MINIFS($B$2:$B$2705,$A$2:$A$2705,A2251)&lt;10),1,0)</f>
        <v>0</v>
      </c>
      <c r="S2251" s="7" t="n">
        <v>0</v>
      </c>
      <c r="T2251" s="3" t="n">
        <f aca="false">_xlfn.MINIFS($B$2:$B$2705,$A$2:$A$2705,A2251)</f>
        <v>1901</v>
      </c>
      <c r="U2251" s="3" t="n">
        <f aca="false">B2251-T2251</f>
        <v>109</v>
      </c>
      <c r="V2251" s="3" t="str">
        <f aca="false">INDEX(Pop_Inputs!$Q$2:$Q$29,MATCH(C2251,Pop_Inputs!$A$2:$A$29,0))</f>
        <v>Midwest</v>
      </c>
      <c r="W2251" s="29" t="n">
        <v>93540751</v>
      </c>
      <c r="X2251" s="3" t="n">
        <f aca="false">IF(W2251="","",LN(W2251))</f>
        <v>18.3539077388806</v>
      </c>
      <c r="Y2251" s="3" t="n">
        <f aca="false">IF(X2251="","",X2251-AVERAGEIFS($X$2:$X$2705,$B$2:$B$2705,B2251))</f>
        <v>0.110125417736871</v>
      </c>
      <c r="Z2251" s="21" t="n">
        <f aca="false">P2251</f>
        <v>-0.943948334800487</v>
      </c>
      <c r="AA2251" s="3" t="n">
        <f aca="false">R2251</f>
        <v>0</v>
      </c>
      <c r="AB2251" s="21" t="n">
        <f aca="false">P2251</f>
        <v>-0.943948334800487</v>
      </c>
      <c r="AC2251" s="3" t="n">
        <f aca="false">Y2251</f>
        <v>0.110125417736871</v>
      </c>
      <c r="AD2251" s="3" t="n">
        <f aca="false">R2251</f>
        <v>0</v>
      </c>
    </row>
    <row r="2252" customFormat="false" ht="15" hidden="false" customHeight="true" outlineLevel="0" collapsed="false">
      <c r="A2252" s="7" t="s">
        <v>85</v>
      </c>
      <c r="B2252" s="7" t="n">
        <v>2010</v>
      </c>
      <c r="C2252" s="7" t="s">
        <v>166</v>
      </c>
      <c r="D2252" s="7" t="n">
        <v>96</v>
      </c>
      <c r="E2252" s="7" t="n">
        <v>66</v>
      </c>
      <c r="F2252" s="3" t="n">
        <f aca="false">COUNTIFS($B$2:$B$2705,B2252,$C$2:$C$2705,C2252)</f>
        <v>1</v>
      </c>
      <c r="G2252" s="3" t="n">
        <f aca="false">MIN(INT((MIN(B2252,2020)-1900)/10)+1,12)</f>
        <v>12</v>
      </c>
      <c r="H2252" s="3" t="n">
        <f aca="false">(MIN(B2252,2020)-1900-10*(G2252-1))/10</f>
        <v>0</v>
      </c>
      <c r="I2252" s="20" t="n">
        <f aca="false">EXP(LN(INDEX(Pop_Inputs!$B$2:$N$29,MATCH(C2252,Pop_Inputs!$A$2:$A$29,0),G2252))*(1-H2252)+LN(INDEX(Pop_Inputs!$B$2:$N$29,MATCH(C2252,Pop_Inputs!$A$2:$A$29,0),G2252+1))*H2252)</f>
        <v>335709</v>
      </c>
      <c r="J2252" s="20" t="n">
        <f aca="false">I2252/F2252</f>
        <v>335709</v>
      </c>
      <c r="K2252" s="21" t="n">
        <f aca="false">D2252/(D2252+E2252)</f>
        <v>0.592592592592593</v>
      </c>
      <c r="L2252" s="21" t="n">
        <f aca="false">AVERAGEIFS($K$2:$K$2705,$B$2:$B$2705,B2252)</f>
        <v>0.5</v>
      </c>
      <c r="M2252" s="21" t="n">
        <f aca="false">K2252-L2252</f>
        <v>0.0925925925925926</v>
      </c>
      <c r="N2252" s="21" t="n">
        <f aca="false">LN(J2252)</f>
        <v>12.7239999922602</v>
      </c>
      <c r="O2252" s="21" t="n">
        <f aca="false">AVERAGEIFS($N$2:$N$2705,$B$2:$B$2705,B2252)</f>
        <v>13.6178159222213</v>
      </c>
      <c r="P2252" s="21" t="n">
        <f aca="false">N2252-O2252</f>
        <v>-0.893815929961033</v>
      </c>
      <c r="Q2252" s="7" t="n">
        <v>1</v>
      </c>
      <c r="R2252" s="3" t="n">
        <f aca="false">IF(AND(Q2252=1,B2252-_xlfn.MINIFS($B$2:$B$2705,$A$2:$A$2705,A2252)&lt;10),1,0)</f>
        <v>0</v>
      </c>
      <c r="S2252" s="7" t="n">
        <v>0</v>
      </c>
      <c r="T2252" s="3" t="n">
        <f aca="false">_xlfn.MINIFS($B$2:$B$2705,$A$2:$A$2705,A2252)</f>
        <v>1998</v>
      </c>
      <c r="U2252" s="3" t="n">
        <f aca="false">B2252-T2252</f>
        <v>12</v>
      </c>
      <c r="V2252" s="3" t="str">
        <f aca="false">INDEX(Pop_Inputs!$Q$2:$Q$29,MATCH(C2252,Pop_Inputs!$A$2:$A$29,0))</f>
        <v>South</v>
      </c>
      <c r="W2252" s="29" t="n">
        <v>71923471</v>
      </c>
      <c r="X2252" s="3" t="n">
        <f aca="false">IF(W2252="","",LN(W2252))</f>
        <v>18.0911132089208</v>
      </c>
      <c r="Y2252" s="3" t="n">
        <f aca="false">IF(X2252="","",X2252-AVERAGEIFS($X$2:$X$2705,$B$2:$B$2705,B2252))</f>
        <v>-0.152669112222959</v>
      </c>
      <c r="Z2252" s="21" t="n">
        <f aca="false">P2252</f>
        <v>-0.893815929961033</v>
      </c>
      <c r="AA2252" s="3" t="n">
        <f aca="false">R2252</f>
        <v>0</v>
      </c>
      <c r="AB2252" s="21" t="n">
        <f aca="false">P2252</f>
        <v>-0.893815929961033</v>
      </c>
      <c r="AC2252" s="3" t="n">
        <f aca="false">Y2252</f>
        <v>-0.152669112222959</v>
      </c>
      <c r="AD2252" s="3" t="n">
        <f aca="false">R2252</f>
        <v>0</v>
      </c>
    </row>
    <row r="2253" customFormat="false" ht="15" hidden="false" customHeight="true" outlineLevel="0" collapsed="false">
      <c r="A2253" s="7" t="s">
        <v>73</v>
      </c>
      <c r="B2253" s="7" t="n">
        <v>2010</v>
      </c>
      <c r="C2253" s="7" t="s">
        <v>155</v>
      </c>
      <c r="D2253" s="7" t="n">
        <v>90</v>
      </c>
      <c r="E2253" s="7" t="n">
        <v>72</v>
      </c>
      <c r="F2253" s="3" t="n">
        <f aca="false">COUNTIFS($B$2:$B$2705,B2253,$C$2:$C$2705,C2253)</f>
        <v>1</v>
      </c>
      <c r="G2253" s="3" t="n">
        <f aca="false">MIN(INT((MIN(B2253,2020)-1900)/10)+1,12)</f>
        <v>12</v>
      </c>
      <c r="H2253" s="3" t="n">
        <f aca="false">(MIN(B2253,2020)-1900-10*(G2253-1))/10</f>
        <v>0</v>
      </c>
      <c r="I2253" s="20" t="n">
        <f aca="false">EXP(LN(INDEX(Pop_Inputs!$B$2:$N$29,MATCH(C2253,Pop_Inputs!$A$2:$A$29,0),G2253))*(1-H2253)+LN(INDEX(Pop_Inputs!$B$2:$N$29,MATCH(C2253,Pop_Inputs!$A$2:$A$29,0),G2253+1))*H2253)</f>
        <v>1197816</v>
      </c>
      <c r="J2253" s="20" t="n">
        <f aca="false">I2253/F2253</f>
        <v>1197816</v>
      </c>
      <c r="K2253" s="21" t="n">
        <f aca="false">D2253/(D2253+E2253)</f>
        <v>0.555555555555556</v>
      </c>
      <c r="L2253" s="21" t="n">
        <f aca="false">AVERAGEIFS($K$2:$K$2705,$B$2:$B$2705,B2253)</f>
        <v>0.5</v>
      </c>
      <c r="M2253" s="21" t="n">
        <f aca="false">K2253-L2253</f>
        <v>0.0555555555555556</v>
      </c>
      <c r="N2253" s="21" t="n">
        <f aca="false">LN(J2253)</f>
        <v>13.996010456546</v>
      </c>
      <c r="O2253" s="21" t="n">
        <f aca="false">AVERAGEIFS($N$2:$N$2705,$B$2:$B$2705,B2253)</f>
        <v>13.6178159222213</v>
      </c>
      <c r="P2253" s="21" t="n">
        <f aca="false">N2253-O2253</f>
        <v>0.378194534324697</v>
      </c>
      <c r="Q2253" s="7" t="n">
        <v>1</v>
      </c>
      <c r="R2253" s="3" t="n">
        <f aca="false">IF(AND(Q2253=1,B2253-_xlfn.MINIFS($B$2:$B$2705,$A$2:$A$2705,A2253)&lt;10),1,0)</f>
        <v>0</v>
      </c>
      <c r="S2253" s="7" t="n">
        <v>0</v>
      </c>
      <c r="T2253" s="3" t="n">
        <f aca="false">_xlfn.MINIFS($B$2:$B$2705,$A$2:$A$2705,A2253)</f>
        <v>1961</v>
      </c>
      <c r="U2253" s="3" t="n">
        <f aca="false">B2253-T2253</f>
        <v>49</v>
      </c>
      <c r="V2253" s="3" t="str">
        <f aca="false">INDEX(Pop_Inputs!$Q$2:$Q$29,MATCH(C2253,Pop_Inputs!$A$2:$A$29,0))</f>
        <v>South</v>
      </c>
      <c r="W2253" s="29" t="n">
        <v>55250544</v>
      </c>
      <c r="X2253" s="3" t="n">
        <f aca="false">IF(W2253="","",LN(W2253))</f>
        <v>17.8273887444675</v>
      </c>
      <c r="Y2253" s="3" t="n">
        <f aca="false">IF(X2253="","",X2253-AVERAGEIFS($X$2:$X$2705,$B$2:$B$2705,B2253))</f>
        <v>-0.416393576676249</v>
      </c>
      <c r="Z2253" s="21" t="n">
        <f aca="false">P2253</f>
        <v>0.378194534324697</v>
      </c>
      <c r="AA2253" s="3" t="n">
        <f aca="false">R2253</f>
        <v>0</v>
      </c>
      <c r="AB2253" s="21" t="n">
        <f aca="false">P2253</f>
        <v>0.378194534324697</v>
      </c>
      <c r="AC2253" s="3" t="n">
        <f aca="false">Y2253</f>
        <v>-0.416393576676249</v>
      </c>
      <c r="AD2253" s="3" t="n">
        <f aca="false">R2253</f>
        <v>0</v>
      </c>
    </row>
    <row r="2254" customFormat="false" ht="15" hidden="false" customHeight="true" outlineLevel="0" collapsed="false">
      <c r="A2254" s="7" t="s">
        <v>81</v>
      </c>
      <c r="B2254" s="7" t="n">
        <v>2010</v>
      </c>
      <c r="C2254" s="7" t="s">
        <v>162</v>
      </c>
      <c r="D2254" s="7" t="n">
        <v>85</v>
      </c>
      <c r="E2254" s="7" t="n">
        <v>77</v>
      </c>
      <c r="F2254" s="3" t="n">
        <f aca="false">COUNTIFS($B$2:$B$2705,B2254,$C$2:$C$2705,C2254)</f>
        <v>1</v>
      </c>
      <c r="G2254" s="3" t="n">
        <f aca="false">MIN(INT((MIN(B2254,2020)-1900)/10)+1,12)</f>
        <v>12</v>
      </c>
      <c r="H2254" s="3" t="n">
        <f aca="false">(MIN(B2254,2020)-1900-10*(G2254-1))/10</f>
        <v>0</v>
      </c>
      <c r="I2254" s="20" t="n">
        <f aca="false">EXP(LN(INDEX(Pop_Inputs!$B$2:$N$29,MATCH(C2254,Pop_Inputs!$A$2:$A$29,0),G2254))*(1-H2254)+LN(INDEX(Pop_Inputs!$B$2:$N$29,MATCH(C2254,Pop_Inputs!$A$2:$A$29,0),G2254+1))*H2254)</f>
        <v>2615060</v>
      </c>
      <c r="J2254" s="20" t="n">
        <f aca="false">I2254/F2254</f>
        <v>2615060</v>
      </c>
      <c r="K2254" s="21" t="n">
        <f aca="false">D2254/(D2254+E2254)</f>
        <v>0.524691358024691</v>
      </c>
      <c r="L2254" s="21" t="n">
        <f aca="false">AVERAGEIFS($K$2:$K$2705,$B$2:$B$2705,B2254)</f>
        <v>0.5</v>
      </c>
      <c r="M2254" s="21" t="n">
        <f aca="false">K2254-L2254</f>
        <v>0.0246913580246914</v>
      </c>
      <c r="N2254" s="21" t="n">
        <f aca="false">LN(J2254)</f>
        <v>14.7767975997686</v>
      </c>
      <c r="O2254" s="21" t="n">
        <f aca="false">AVERAGEIFS($N$2:$N$2705,$B$2:$B$2705,B2254)</f>
        <v>13.6178159222213</v>
      </c>
      <c r="P2254" s="21" t="n">
        <f aca="false">N2254-O2254</f>
        <v>1.15898167754735</v>
      </c>
      <c r="Q2254" s="7" t="n">
        <v>1</v>
      </c>
      <c r="R2254" s="3" t="n">
        <f aca="false">IF(AND(Q2254=1,B2254-_xlfn.MINIFS($B$2:$B$2705,$A$2:$A$2705,A2254)&lt;10),1,0)</f>
        <v>0</v>
      </c>
      <c r="S2254" s="7" t="n">
        <v>0</v>
      </c>
      <c r="T2254" s="3" t="n">
        <f aca="false">_xlfn.MINIFS($B$2:$B$2705,$A$2:$A$2705,A2254)</f>
        <v>1977</v>
      </c>
      <c r="U2254" s="3" t="n">
        <f aca="false">B2254-T2254</f>
        <v>33</v>
      </c>
      <c r="V2254" s="3" t="str">
        <f aca="false">INDEX(Pop_Inputs!$Q$2:$Q$29,MATCH(C2254,Pop_Inputs!$A$2:$A$29,0))</f>
        <v>Canada</v>
      </c>
      <c r="W2254" s="29" t="n">
        <v>62234000</v>
      </c>
      <c r="X2254" s="3" t="n">
        <f aca="false">IF(W2254="","",LN(W2254))</f>
        <v>17.9464120321593</v>
      </c>
      <c r="Y2254" s="3" t="n">
        <f aca="false">IF(X2254="","",X2254-AVERAGEIFS($X$2:$X$2705,$B$2:$B$2705,B2254))</f>
        <v>-0.297370288984503</v>
      </c>
      <c r="Z2254" s="21" t="n">
        <f aca="false">P2254</f>
        <v>1.15898167754735</v>
      </c>
      <c r="AA2254" s="3" t="n">
        <f aca="false">R2254</f>
        <v>0</v>
      </c>
      <c r="AB2254" s="21" t="n">
        <f aca="false">P2254</f>
        <v>1.15898167754735</v>
      </c>
      <c r="AC2254" s="3" t="n">
        <f aca="false">Y2254</f>
        <v>-0.297370288984503</v>
      </c>
      <c r="AD2254" s="3" t="n">
        <f aca="false">R2254</f>
        <v>0</v>
      </c>
    </row>
    <row r="2255" customFormat="false" ht="15" hidden="false" customHeight="true" outlineLevel="0" collapsed="false">
      <c r="A2255" s="7" t="s">
        <v>79</v>
      </c>
      <c r="B2255" s="7" t="n">
        <v>2010</v>
      </c>
      <c r="C2255" s="7" t="s">
        <v>160</v>
      </c>
      <c r="D2255" s="7" t="n">
        <v>69</v>
      </c>
      <c r="E2255" s="7" t="n">
        <v>93</v>
      </c>
      <c r="F2255" s="3" t="n">
        <f aca="false">COUNTIFS($B$2:$B$2705,B2255,$C$2:$C$2705,C2255)</f>
        <v>1</v>
      </c>
      <c r="G2255" s="3" t="n">
        <f aca="false">MIN(INT((MIN(B2255,2020)-1900)/10)+1,12)</f>
        <v>12</v>
      </c>
      <c r="H2255" s="3" t="n">
        <f aca="false">(MIN(B2255,2020)-1900-10*(G2255-1))/10</f>
        <v>0</v>
      </c>
      <c r="I2255" s="20" t="n">
        <f aca="false">EXP(LN(INDEX(Pop_Inputs!$B$2:$N$29,MATCH(C2255,Pop_Inputs!$A$2:$A$29,0),G2255))*(1-H2255)+LN(INDEX(Pop_Inputs!$B$2:$N$29,MATCH(C2255,Pop_Inputs!$A$2:$A$29,0),G2255+1))*H2255)</f>
        <v>601723</v>
      </c>
      <c r="J2255" s="20" t="n">
        <f aca="false">I2255/F2255</f>
        <v>601723</v>
      </c>
      <c r="K2255" s="21" t="n">
        <f aca="false">D2255/(D2255+E2255)</f>
        <v>0.425925925925926</v>
      </c>
      <c r="L2255" s="21" t="n">
        <f aca="false">AVERAGEIFS($K$2:$K$2705,$B$2:$B$2705,B2255)</f>
        <v>0.5</v>
      </c>
      <c r="M2255" s="21" t="n">
        <f aca="false">K2255-L2255</f>
        <v>-0.0740740740740741</v>
      </c>
      <c r="N2255" s="21" t="n">
        <f aca="false">LN(J2255)</f>
        <v>13.307552485507</v>
      </c>
      <c r="O2255" s="21" t="n">
        <f aca="false">AVERAGEIFS($N$2:$N$2705,$B$2:$B$2705,B2255)</f>
        <v>13.6178159222213</v>
      </c>
      <c r="P2255" s="21" t="n">
        <f aca="false">N2255-O2255</f>
        <v>-0.310263436714292</v>
      </c>
      <c r="Q2255" s="7" t="n">
        <v>1</v>
      </c>
      <c r="R2255" s="3" t="n">
        <f aca="false">IF(AND(Q2255=1,B2255-_xlfn.MINIFS($B$2:$B$2705,$A$2:$A$2705,A2255)&lt;10),1,0)</f>
        <v>0</v>
      </c>
      <c r="S2255" s="7" t="n">
        <v>0</v>
      </c>
      <c r="T2255" s="3" t="n">
        <f aca="false">_xlfn.MINIFS($B$2:$B$2705,$A$2:$A$2705,A2255)</f>
        <v>1969</v>
      </c>
      <c r="U2255" s="3" t="n">
        <f aca="false">B2255-T2255</f>
        <v>41</v>
      </c>
      <c r="V2255" s="3" t="str">
        <f aca="false">INDEX(Pop_Inputs!$Q$2:$Q$29,MATCH(C2255,Pop_Inputs!$A$2:$A$29,0))</f>
        <v>South</v>
      </c>
      <c r="W2255" s="29" t="n">
        <v>61400000</v>
      </c>
      <c r="X2255" s="3" t="n">
        <f aca="false">IF(W2255="","",LN(W2255))</f>
        <v>17.9329203931174</v>
      </c>
      <c r="Y2255" s="3" t="n">
        <f aca="false">IF(X2255="","",X2255-AVERAGEIFS($X$2:$X$2705,$B$2:$B$2705,B2255))</f>
        <v>-0.310861928026387</v>
      </c>
      <c r="Z2255" s="21" t="n">
        <f aca="false">P2255</f>
        <v>-0.310263436714292</v>
      </c>
      <c r="AA2255" s="3" t="n">
        <f aca="false">R2255</f>
        <v>0</v>
      </c>
      <c r="AB2255" s="21" t="n">
        <f aca="false">P2255</f>
        <v>-0.310263436714292</v>
      </c>
      <c r="AC2255" s="3" t="n">
        <f aca="false">Y2255</f>
        <v>-0.310861928026387</v>
      </c>
      <c r="AD2255" s="3" t="n">
        <f aca="false">R2255</f>
        <v>0</v>
      </c>
    </row>
    <row r="2256" customFormat="false" ht="15" hidden="false" customHeight="true" outlineLevel="0" collapsed="false">
      <c r="A2256" s="7" t="s">
        <v>71</v>
      </c>
      <c r="B2256" s="7" t="n">
        <v>2011</v>
      </c>
      <c r="C2256" s="7" t="s">
        <v>148</v>
      </c>
      <c r="D2256" s="7" t="n">
        <v>86</v>
      </c>
      <c r="E2256" s="7" t="n">
        <v>76</v>
      </c>
      <c r="F2256" s="3" t="n">
        <f aca="false">COUNTIFS($B$2:$B$2705,B2256,$C$2:$C$2705,C2256)</f>
        <v>2</v>
      </c>
      <c r="G2256" s="3" t="n">
        <f aca="false">MIN(INT((MIN(B2256,2020)-1900)/10)+1,12)</f>
        <v>12</v>
      </c>
      <c r="H2256" s="3" t="n">
        <f aca="false">(MIN(B2256,2020)-1900-10*(G2256-1))/10</f>
        <v>0.1</v>
      </c>
      <c r="I2256" s="20" t="n">
        <f aca="false">EXP(LN(INDEX(Pop_Inputs!$B$2:$N$29,MATCH(C2256,Pop_Inputs!$A$2:$A$29,0),G2256))*(1-H2256)+LN(INDEX(Pop_Inputs!$B$2:$N$29,MATCH(C2256,Pop_Inputs!$A$2:$A$29,0),G2256+1))*H2256)</f>
        <v>3803102.28734561</v>
      </c>
      <c r="J2256" s="20" t="n">
        <f aca="false">I2256/F2256</f>
        <v>1901551.14367281</v>
      </c>
      <c r="K2256" s="21" t="n">
        <f aca="false">D2256/(D2256+E2256)</f>
        <v>0.530864197530864</v>
      </c>
      <c r="L2256" s="21" t="n">
        <f aca="false">AVERAGEIFS($K$2:$K$2705,$B$2:$B$2705,B2256)</f>
        <v>0.500001278020602</v>
      </c>
      <c r="M2256" s="21" t="n">
        <f aca="false">K2256-L2256</f>
        <v>0.0308629195102625</v>
      </c>
      <c r="N2256" s="21" t="n">
        <f aca="false">LN(J2256)</f>
        <v>14.4581805024772</v>
      </c>
      <c r="O2256" s="21" t="n">
        <f aca="false">AVERAGEIFS($N$2:$N$2705,$B$2:$B$2705,B2256)</f>
        <v>13.623936490804</v>
      </c>
      <c r="P2256" s="21" t="n">
        <f aca="false">N2256-O2256</f>
        <v>0.834244011673162</v>
      </c>
      <c r="Q2256" s="7" t="n">
        <v>1</v>
      </c>
      <c r="R2256" s="3" t="n">
        <f aca="false">IF(AND(Q2256=1,B2256-_xlfn.MINIFS($B$2:$B$2705,$A$2:$A$2705,A2256)&lt;10),1,0)</f>
        <v>0</v>
      </c>
      <c r="S2256" s="7" t="n">
        <v>0</v>
      </c>
      <c r="T2256" s="3" t="n">
        <f aca="false">_xlfn.MINIFS($B$2:$B$2705,$A$2:$A$2705,A2256)</f>
        <v>1961</v>
      </c>
      <c r="U2256" s="3" t="n">
        <f aca="false">B2256-T2256</f>
        <v>50</v>
      </c>
      <c r="V2256" s="3" t="str">
        <f aca="false">INDEX(Pop_Inputs!$Q$2:$Q$29,MATCH(C2256,Pop_Inputs!$A$2:$A$29,0))</f>
        <v>West</v>
      </c>
      <c r="W2256" s="29" t="n">
        <v>138543166</v>
      </c>
      <c r="X2256" s="3" t="n">
        <f aca="false">IF(W2256="","",LN(W2256))</f>
        <v>18.7466925029034</v>
      </c>
      <c r="Y2256" s="3" t="n">
        <f aca="false">IF(X2256="","",X2256-AVERAGEIFS($X$2:$X$2705,$B$2:$B$2705,B2256))</f>
        <v>0.493376133890525</v>
      </c>
      <c r="Z2256" s="21" t="n">
        <f aca="false">P2256</f>
        <v>0.834244011673162</v>
      </c>
      <c r="AA2256" s="3" t="n">
        <f aca="false">R2256</f>
        <v>0</v>
      </c>
      <c r="AB2256" s="21" t="n">
        <f aca="false">P2256</f>
        <v>0.834244011673162</v>
      </c>
      <c r="AC2256" s="3" t="n">
        <f aca="false">Y2256</f>
        <v>0.493376133890525</v>
      </c>
      <c r="AD2256" s="3" t="n">
        <f aca="false">R2256</f>
        <v>0</v>
      </c>
    </row>
    <row r="2257" customFormat="false" ht="15" hidden="false" customHeight="true" outlineLevel="0" collapsed="false">
      <c r="A2257" s="7" t="s">
        <v>84</v>
      </c>
      <c r="B2257" s="7" t="n">
        <v>2011</v>
      </c>
      <c r="C2257" s="7" t="s">
        <v>165</v>
      </c>
      <c r="D2257" s="7" t="n">
        <v>94</v>
      </c>
      <c r="E2257" s="7" t="n">
        <v>68</v>
      </c>
      <c r="F2257" s="3" t="n">
        <f aca="false">COUNTIFS($B$2:$B$2705,B2257,$C$2:$C$2705,C2257)</f>
        <v>1</v>
      </c>
      <c r="G2257" s="3" t="n">
        <f aca="false">MIN(INT((MIN(B2257,2020)-1900)/10)+1,12)</f>
        <v>12</v>
      </c>
      <c r="H2257" s="3" t="n">
        <f aca="false">(MIN(B2257,2020)-1900-10*(G2257-1))/10</f>
        <v>0.1</v>
      </c>
      <c r="I2257" s="20" t="n">
        <f aca="false">EXP(LN(INDEX(Pop_Inputs!$B$2:$N$29,MATCH(C2257,Pop_Inputs!$A$2:$A$29,0),G2257))*(1-H2257)+LN(INDEX(Pop_Inputs!$B$2:$N$29,MATCH(C2257,Pop_Inputs!$A$2:$A$29,0),G2257+1))*H2257)</f>
        <v>1461114.78765475</v>
      </c>
      <c r="J2257" s="20" t="n">
        <f aca="false">I2257/F2257</f>
        <v>1461114.78765475</v>
      </c>
      <c r="K2257" s="21" t="n">
        <f aca="false">D2257/(D2257+E2257)</f>
        <v>0.580246913580247</v>
      </c>
      <c r="L2257" s="21" t="n">
        <f aca="false">AVERAGEIFS($K$2:$K$2705,$B$2:$B$2705,B2257)</f>
        <v>0.500001278020602</v>
      </c>
      <c r="M2257" s="21" t="n">
        <f aca="false">K2257-L2257</f>
        <v>0.0802456355596453</v>
      </c>
      <c r="N2257" s="21" t="n">
        <f aca="false">LN(J2257)</f>
        <v>14.1947102555143</v>
      </c>
      <c r="O2257" s="21" t="n">
        <f aca="false">AVERAGEIFS($N$2:$N$2705,$B$2:$B$2705,B2257)</f>
        <v>13.623936490804</v>
      </c>
      <c r="P2257" s="21" t="n">
        <f aca="false">N2257-O2257</f>
        <v>0.570773764710228</v>
      </c>
      <c r="Q2257" s="7" t="n">
        <v>1</v>
      </c>
      <c r="R2257" s="3" t="n">
        <f aca="false">IF(AND(Q2257=1,B2257-_xlfn.MINIFS($B$2:$B$2705,$A$2:$A$2705,A2257)&lt;10),1,0)</f>
        <v>0</v>
      </c>
      <c r="S2257" s="7" t="n">
        <v>0</v>
      </c>
      <c r="T2257" s="3" t="n">
        <f aca="false">_xlfn.MINIFS($B$2:$B$2705,$A$2:$A$2705,A2257)</f>
        <v>1998</v>
      </c>
      <c r="U2257" s="3" t="n">
        <f aca="false">B2257-T2257</f>
        <v>13</v>
      </c>
      <c r="V2257" s="3" t="str">
        <f aca="false">INDEX(Pop_Inputs!$Q$2:$Q$29,MATCH(C2257,Pop_Inputs!$A$2:$A$29,0))</f>
        <v>West</v>
      </c>
      <c r="W2257" s="29" t="n">
        <v>53639833</v>
      </c>
      <c r="X2257" s="3" t="n">
        <f aca="false">IF(W2257="","",LN(W2257))</f>
        <v>17.7978025030247</v>
      </c>
      <c r="Y2257" s="3" t="n">
        <f aca="false">IF(X2257="","",X2257-AVERAGEIFS($X$2:$X$2705,$B$2:$B$2705,B2257))</f>
        <v>-0.455513865988177</v>
      </c>
      <c r="Z2257" s="21" t="n">
        <f aca="false">P2257</f>
        <v>0.570773764710228</v>
      </c>
      <c r="AA2257" s="3" t="n">
        <f aca="false">R2257</f>
        <v>0</v>
      </c>
      <c r="AB2257" s="21" t="n">
        <f aca="false">P2257</f>
        <v>0.570773764710228</v>
      </c>
      <c r="AC2257" s="3" t="n">
        <f aca="false">Y2257</f>
        <v>-0.455513865988177</v>
      </c>
      <c r="AD2257" s="3" t="n">
        <f aca="false">R2257</f>
        <v>0</v>
      </c>
    </row>
    <row r="2258" customFormat="false" ht="15" hidden="false" customHeight="true" outlineLevel="0" collapsed="false">
      <c r="A2258" s="7" t="s">
        <v>54</v>
      </c>
      <c r="B2258" s="7" t="n">
        <v>2011</v>
      </c>
      <c r="C2258" s="7" t="s">
        <v>141</v>
      </c>
      <c r="D2258" s="7" t="n">
        <v>89</v>
      </c>
      <c r="E2258" s="7" t="n">
        <v>73</v>
      </c>
      <c r="F2258" s="3" t="n">
        <f aca="false">COUNTIFS($B$2:$B$2705,B2258,$C$2:$C$2705,C2258)</f>
        <v>1</v>
      </c>
      <c r="G2258" s="3" t="n">
        <f aca="false">MIN(INT((MIN(B2258,2020)-1900)/10)+1,12)</f>
        <v>12</v>
      </c>
      <c r="H2258" s="3" t="n">
        <f aca="false">(MIN(B2258,2020)-1900-10*(G2258-1))/10</f>
        <v>0.1</v>
      </c>
      <c r="I2258" s="20" t="n">
        <f aca="false">EXP(LN(INDEX(Pop_Inputs!$B$2:$N$29,MATCH(C2258,Pop_Inputs!$A$2:$A$29,0),G2258))*(1-H2258)+LN(INDEX(Pop_Inputs!$B$2:$N$29,MATCH(C2258,Pop_Inputs!$A$2:$A$29,0),G2258+1))*H2258)</f>
        <v>427279.834085899</v>
      </c>
      <c r="J2258" s="20" t="n">
        <f aca="false">I2258/F2258</f>
        <v>427279.834085899</v>
      </c>
      <c r="K2258" s="21" t="n">
        <f aca="false">D2258/(D2258+E2258)</f>
        <v>0.549382716049383</v>
      </c>
      <c r="L2258" s="21" t="n">
        <f aca="false">AVERAGEIFS($K$2:$K$2705,$B$2:$B$2705,B2258)</f>
        <v>0.500001278020602</v>
      </c>
      <c r="M2258" s="21" t="n">
        <f aca="false">K2258-L2258</f>
        <v>0.049381438028781</v>
      </c>
      <c r="N2258" s="21" t="n">
        <f aca="false">LN(J2258)</f>
        <v>12.9651944267106</v>
      </c>
      <c r="O2258" s="21" t="n">
        <f aca="false">AVERAGEIFS($N$2:$N$2705,$B$2:$B$2705,B2258)</f>
        <v>13.623936490804</v>
      </c>
      <c r="P2258" s="21" t="n">
        <f aca="false">N2258-O2258</f>
        <v>-0.658742064093458</v>
      </c>
      <c r="Q2258" s="7" t="n">
        <v>0</v>
      </c>
      <c r="R2258" s="3" t="n">
        <f aca="false">IF(AND(Q2258=1,B2258-_xlfn.MINIFS($B$2:$B$2705,$A$2:$A$2705,A2258)&lt;10),1,0)</f>
        <v>0</v>
      </c>
      <c r="S2258" s="7" t="n">
        <v>0</v>
      </c>
      <c r="T2258" s="3" t="n">
        <f aca="false">_xlfn.MINIFS($B$2:$B$2705,$A$2:$A$2705,A2258)</f>
        <v>1901</v>
      </c>
      <c r="U2258" s="3" t="n">
        <f aca="false">B2258-T2258</f>
        <v>110</v>
      </c>
      <c r="V2258" s="3" t="str">
        <f aca="false">INDEX(Pop_Inputs!$Q$2:$Q$29,MATCH(C2258,Pop_Inputs!$A$2:$A$29,0))</f>
        <v>South</v>
      </c>
      <c r="W2258" s="29" t="n">
        <v>87002692</v>
      </c>
      <c r="X2258" s="3" t="n">
        <f aca="false">IF(W2258="","",LN(W2258))</f>
        <v>18.2814496186689</v>
      </c>
      <c r="Y2258" s="3" t="n">
        <f aca="false">IF(X2258="","",X2258-AVERAGEIFS($X$2:$X$2705,$B$2:$B$2705,B2258))</f>
        <v>0.0281332496560474</v>
      </c>
      <c r="Z2258" s="21" t="n">
        <f aca="false">P2258</f>
        <v>-0.658742064093458</v>
      </c>
      <c r="AA2258" s="3" t="n">
        <f aca="false">R2258</f>
        <v>0</v>
      </c>
      <c r="AB2258" s="21" t="n">
        <f aca="false">P2258</f>
        <v>-0.658742064093458</v>
      </c>
      <c r="AC2258" s="3" t="n">
        <f aca="false">Y2258</f>
        <v>0.0281332496560474</v>
      </c>
      <c r="AD2258" s="3" t="n">
        <f aca="false">R2258</f>
        <v>0</v>
      </c>
    </row>
    <row r="2259" customFormat="false" ht="15" hidden="false" customHeight="true" outlineLevel="0" collapsed="false">
      <c r="A2259" s="7" t="s">
        <v>63</v>
      </c>
      <c r="B2259" s="7" t="n">
        <v>2011</v>
      </c>
      <c r="C2259" s="7" t="s">
        <v>149</v>
      </c>
      <c r="D2259" s="7" t="n">
        <v>69</v>
      </c>
      <c r="E2259" s="7" t="n">
        <v>93</v>
      </c>
      <c r="F2259" s="3" t="n">
        <f aca="false">COUNTIFS($B$2:$B$2705,B2259,$C$2:$C$2705,C2259)</f>
        <v>1</v>
      </c>
      <c r="G2259" s="3" t="n">
        <f aca="false">MIN(INT((MIN(B2259,2020)-1900)/10)+1,12)</f>
        <v>12</v>
      </c>
      <c r="H2259" s="3" t="n">
        <f aca="false">(MIN(B2259,2020)-1900-10*(G2259-1))/10</f>
        <v>0.1</v>
      </c>
      <c r="I2259" s="20" t="n">
        <f aca="false">EXP(LN(INDEX(Pop_Inputs!$B$2:$N$29,MATCH(C2259,Pop_Inputs!$A$2:$A$29,0),G2259))*(1-H2259)+LN(INDEX(Pop_Inputs!$B$2:$N$29,MATCH(C2259,Pop_Inputs!$A$2:$A$29,0),G2259+1))*H2259)</f>
        <v>617342.260578229</v>
      </c>
      <c r="J2259" s="20" t="n">
        <f aca="false">I2259/F2259</f>
        <v>617342.260578229</v>
      </c>
      <c r="K2259" s="21" t="n">
        <f aca="false">D2259/(D2259+E2259)</f>
        <v>0.425925925925926</v>
      </c>
      <c r="L2259" s="21" t="n">
        <f aca="false">AVERAGEIFS($K$2:$K$2705,$B$2:$B$2705,B2259)</f>
        <v>0.500001278020602</v>
      </c>
      <c r="M2259" s="21" t="n">
        <f aca="false">K2259-L2259</f>
        <v>-0.0740753520946758</v>
      </c>
      <c r="N2259" s="21" t="n">
        <f aca="false">LN(J2259)</f>
        <v>13.3331788663954</v>
      </c>
      <c r="O2259" s="21" t="n">
        <f aca="false">AVERAGEIFS($N$2:$N$2705,$B$2:$B$2705,B2259)</f>
        <v>13.623936490804</v>
      </c>
      <c r="P2259" s="21" t="n">
        <f aca="false">N2259-O2259</f>
        <v>-0.290757624408599</v>
      </c>
      <c r="Q2259" s="7" t="n">
        <v>0</v>
      </c>
      <c r="R2259" s="3" t="n">
        <f aca="false">IF(AND(Q2259=1,B2259-_xlfn.MINIFS($B$2:$B$2705,$A$2:$A$2705,A2259)&lt;10),1,0)</f>
        <v>0</v>
      </c>
      <c r="S2259" s="7" t="n">
        <v>0</v>
      </c>
      <c r="T2259" s="3" t="n">
        <f aca="false">_xlfn.MINIFS($B$2:$B$2705,$A$2:$A$2705,A2259)</f>
        <v>1901</v>
      </c>
      <c r="U2259" s="3" t="n">
        <f aca="false">B2259-T2259</f>
        <v>110</v>
      </c>
      <c r="V2259" s="3" t="str">
        <f aca="false">INDEX(Pop_Inputs!$Q$2:$Q$29,MATCH(C2259,Pop_Inputs!$A$2:$A$29,0))</f>
        <v>South</v>
      </c>
      <c r="W2259" s="29" t="n">
        <v>85304038</v>
      </c>
      <c r="X2259" s="3" t="n">
        <f aca="false">IF(W2259="","",LN(W2259))</f>
        <v>18.2617323501457</v>
      </c>
      <c r="Y2259" s="3" t="n">
        <f aca="false">IF(X2259="","",X2259-AVERAGEIFS($X$2:$X$2705,$B$2:$B$2705,B2259))</f>
        <v>0.00841598113284547</v>
      </c>
      <c r="Z2259" s="21" t="n">
        <f aca="false">P2259</f>
        <v>-0.290757624408599</v>
      </c>
      <c r="AA2259" s="3" t="n">
        <f aca="false">R2259</f>
        <v>0</v>
      </c>
      <c r="AB2259" s="21" t="n">
        <f aca="false">P2259</f>
        <v>-0.290757624408599</v>
      </c>
      <c r="AC2259" s="3" t="n">
        <f aca="false">Y2259</f>
        <v>0.00841598113284547</v>
      </c>
      <c r="AD2259" s="3" t="n">
        <f aca="false">R2259</f>
        <v>0</v>
      </c>
    </row>
    <row r="2260" customFormat="false" ht="15" hidden="false" customHeight="true" outlineLevel="0" collapsed="false">
      <c r="A2260" s="7" t="s">
        <v>64</v>
      </c>
      <c r="B2260" s="7" t="n">
        <v>2011</v>
      </c>
      <c r="C2260" s="7" t="s">
        <v>150</v>
      </c>
      <c r="D2260" s="7" t="n">
        <v>90</v>
      </c>
      <c r="E2260" s="7" t="n">
        <v>72</v>
      </c>
      <c r="F2260" s="3" t="n">
        <f aca="false">COUNTIFS($B$2:$B$2705,B2260,$C$2:$C$2705,C2260)</f>
        <v>1</v>
      </c>
      <c r="G2260" s="3" t="n">
        <f aca="false">MIN(INT((MIN(B2260,2020)-1900)/10)+1,12)</f>
        <v>12</v>
      </c>
      <c r="H2260" s="3" t="n">
        <f aca="false">(MIN(B2260,2020)-1900-10*(G2260-1))/10</f>
        <v>0.1</v>
      </c>
      <c r="I2260" s="20" t="n">
        <f aca="false">EXP(LN(INDEX(Pop_Inputs!$B$2:$N$29,MATCH(C2260,Pop_Inputs!$A$2:$A$29,0),G2260))*(1-H2260)+LN(INDEX(Pop_Inputs!$B$2:$N$29,MATCH(C2260,Pop_Inputs!$A$2:$A$29,0),G2260+1))*H2260)</f>
        <v>623167.429769125</v>
      </c>
      <c r="J2260" s="20" t="n">
        <f aca="false">I2260/F2260</f>
        <v>623167.429769125</v>
      </c>
      <c r="K2260" s="21" t="n">
        <f aca="false">D2260/(D2260+E2260)</f>
        <v>0.555555555555556</v>
      </c>
      <c r="L2260" s="21" t="n">
        <f aca="false">AVERAGEIFS($K$2:$K$2705,$B$2:$B$2705,B2260)</f>
        <v>0.500001278020602</v>
      </c>
      <c r="M2260" s="21" t="n">
        <f aca="false">K2260-L2260</f>
        <v>0.0555542775349539</v>
      </c>
      <c r="N2260" s="21" t="n">
        <f aca="false">LN(J2260)</f>
        <v>13.3425705092864</v>
      </c>
      <c r="O2260" s="21" t="n">
        <f aca="false">AVERAGEIFS($N$2:$N$2705,$B$2:$B$2705,B2260)</f>
        <v>13.623936490804</v>
      </c>
      <c r="P2260" s="21" t="n">
        <f aca="false">N2260-O2260</f>
        <v>-0.281365981517634</v>
      </c>
      <c r="Q2260" s="7" t="n">
        <v>0</v>
      </c>
      <c r="R2260" s="3" t="n">
        <f aca="false">IF(AND(Q2260=1,B2260-_xlfn.MINIFS($B$2:$B$2705,$A$2:$A$2705,A2260)&lt;10),1,0)</f>
        <v>0</v>
      </c>
      <c r="S2260" s="7" t="n">
        <v>0</v>
      </c>
      <c r="T2260" s="3" t="n">
        <f aca="false">_xlfn.MINIFS($B$2:$B$2705,$A$2:$A$2705,A2260)</f>
        <v>1901</v>
      </c>
      <c r="U2260" s="3" t="n">
        <f aca="false">B2260-T2260</f>
        <v>110</v>
      </c>
      <c r="V2260" s="3" t="str">
        <f aca="false">INDEX(Pop_Inputs!$Q$2:$Q$29,MATCH(C2260,Pop_Inputs!$A$2:$A$29,0))</f>
        <v>Northeast</v>
      </c>
      <c r="W2260" s="29" t="n">
        <v>161762475</v>
      </c>
      <c r="X2260" s="3" t="n">
        <f aca="false">IF(W2260="","",LN(W2260))</f>
        <v>18.9016396135645</v>
      </c>
      <c r="Y2260" s="3" t="n">
        <f aca="false">IF(X2260="","",X2260-AVERAGEIFS($X$2:$X$2705,$B$2:$B$2705,B2260))</f>
        <v>0.648323244551651</v>
      </c>
      <c r="Z2260" s="21" t="n">
        <f aca="false">P2260</f>
        <v>-0.281365981517634</v>
      </c>
      <c r="AA2260" s="3" t="n">
        <f aca="false">R2260</f>
        <v>0</v>
      </c>
      <c r="AB2260" s="21" t="n">
        <f aca="false">P2260</f>
        <v>-0.281365981517634</v>
      </c>
      <c r="AC2260" s="3" t="n">
        <f aca="false">Y2260</f>
        <v>0.648323244551651</v>
      </c>
      <c r="AD2260" s="3" t="n">
        <f aca="false">R2260</f>
        <v>0</v>
      </c>
    </row>
    <row r="2261" customFormat="false" ht="15" hidden="false" customHeight="true" outlineLevel="0" collapsed="false">
      <c r="A2261" s="7" t="s">
        <v>56</v>
      </c>
      <c r="B2261" s="7" t="n">
        <v>2011</v>
      </c>
      <c r="C2261" s="7" t="s">
        <v>142</v>
      </c>
      <c r="D2261" s="7" t="n">
        <v>71</v>
      </c>
      <c r="E2261" s="7" t="n">
        <v>91</v>
      </c>
      <c r="F2261" s="3" t="n">
        <f aca="false">COUNTIFS($B$2:$B$2705,B2261,$C$2:$C$2705,C2261)</f>
        <v>2</v>
      </c>
      <c r="G2261" s="3" t="n">
        <f aca="false">MIN(INT((MIN(B2261,2020)-1900)/10)+1,12)</f>
        <v>12</v>
      </c>
      <c r="H2261" s="3" t="n">
        <f aca="false">(MIN(B2261,2020)-1900-10*(G2261-1))/10</f>
        <v>0.1</v>
      </c>
      <c r="I2261" s="20" t="n">
        <f aca="false">EXP(LN(INDEX(Pop_Inputs!$B$2:$N$29,MATCH(C2261,Pop_Inputs!$A$2:$A$29,0),G2261))*(1-H2261)+LN(INDEX(Pop_Inputs!$B$2:$N$29,MATCH(C2261,Pop_Inputs!$A$2:$A$29,0),G2261+1))*H2261)</f>
        <v>2700634.44302545</v>
      </c>
      <c r="J2261" s="20" t="n">
        <f aca="false">I2261/F2261</f>
        <v>1350317.22151272</v>
      </c>
      <c r="K2261" s="21" t="n">
        <f aca="false">D2261/(D2261+E2261)</f>
        <v>0.438271604938272</v>
      </c>
      <c r="L2261" s="21" t="n">
        <f aca="false">AVERAGEIFS($K$2:$K$2705,$B$2:$B$2705,B2261)</f>
        <v>0.500001278020602</v>
      </c>
      <c r="M2261" s="21" t="n">
        <f aca="false">K2261-L2261</f>
        <v>-0.0617296730823301</v>
      </c>
      <c r="N2261" s="21" t="n">
        <f aca="false">LN(J2261)</f>
        <v>14.1158501017097</v>
      </c>
      <c r="O2261" s="21" t="n">
        <f aca="false">AVERAGEIFS($N$2:$N$2705,$B$2:$B$2705,B2261)</f>
        <v>13.623936490804</v>
      </c>
      <c r="P2261" s="21" t="n">
        <f aca="false">N2261-O2261</f>
        <v>0.491913610905664</v>
      </c>
      <c r="Q2261" s="7" t="n">
        <v>0</v>
      </c>
      <c r="R2261" s="3" t="n">
        <f aca="false">IF(AND(Q2261=1,B2261-_xlfn.MINIFS($B$2:$B$2705,$A$2:$A$2705,A2261)&lt;10),1,0)</f>
        <v>0</v>
      </c>
      <c r="S2261" s="7" t="n">
        <v>0</v>
      </c>
      <c r="T2261" s="3" t="n">
        <f aca="false">_xlfn.MINIFS($B$2:$B$2705,$A$2:$A$2705,A2261)</f>
        <v>1901</v>
      </c>
      <c r="U2261" s="3" t="n">
        <f aca="false">B2261-T2261</f>
        <v>110</v>
      </c>
      <c r="V2261" s="3" t="str">
        <f aca="false">INDEX(Pop_Inputs!$Q$2:$Q$29,MATCH(C2261,Pop_Inputs!$A$2:$A$29,0))</f>
        <v>Midwest</v>
      </c>
      <c r="W2261" s="29" t="n">
        <v>125047329</v>
      </c>
      <c r="X2261" s="3" t="n">
        <f aca="false">IF(W2261="","",LN(W2261))</f>
        <v>18.6442028556036</v>
      </c>
      <c r="Y2261" s="3" t="n">
        <f aca="false">IF(X2261="","",X2261-AVERAGEIFS($X$2:$X$2705,$B$2:$B$2705,B2261))</f>
        <v>0.39088648659073</v>
      </c>
      <c r="Z2261" s="21" t="n">
        <f aca="false">P2261</f>
        <v>0.491913610905664</v>
      </c>
      <c r="AA2261" s="3" t="n">
        <f aca="false">R2261</f>
        <v>0</v>
      </c>
      <c r="AB2261" s="21" t="n">
        <f aca="false">P2261</f>
        <v>0.491913610905664</v>
      </c>
      <c r="AC2261" s="3" t="n">
        <f aca="false">Y2261</f>
        <v>0.39088648659073</v>
      </c>
      <c r="AD2261" s="3" t="n">
        <f aca="false">R2261</f>
        <v>0</v>
      </c>
    </row>
    <row r="2262" customFormat="false" ht="15" hidden="false" customHeight="true" outlineLevel="0" collapsed="false">
      <c r="A2262" s="7" t="s">
        <v>65</v>
      </c>
      <c r="B2262" s="7" t="n">
        <v>2011</v>
      </c>
      <c r="C2262" s="7" t="s">
        <v>142</v>
      </c>
      <c r="D2262" s="7" t="n">
        <v>79</v>
      </c>
      <c r="E2262" s="7" t="n">
        <v>83</v>
      </c>
      <c r="F2262" s="3" t="n">
        <f aca="false">COUNTIFS($B$2:$B$2705,B2262,$C$2:$C$2705,C2262)</f>
        <v>2</v>
      </c>
      <c r="G2262" s="3" t="n">
        <f aca="false">MIN(INT((MIN(B2262,2020)-1900)/10)+1,12)</f>
        <v>12</v>
      </c>
      <c r="H2262" s="3" t="n">
        <f aca="false">(MIN(B2262,2020)-1900-10*(G2262-1))/10</f>
        <v>0.1</v>
      </c>
      <c r="I2262" s="20" t="n">
        <f aca="false">EXP(LN(INDEX(Pop_Inputs!$B$2:$N$29,MATCH(C2262,Pop_Inputs!$A$2:$A$29,0),G2262))*(1-H2262)+LN(INDEX(Pop_Inputs!$B$2:$N$29,MATCH(C2262,Pop_Inputs!$A$2:$A$29,0),G2262+1))*H2262)</f>
        <v>2700634.44302545</v>
      </c>
      <c r="J2262" s="20" t="n">
        <f aca="false">I2262/F2262</f>
        <v>1350317.22151272</v>
      </c>
      <c r="K2262" s="21" t="n">
        <f aca="false">D2262/(D2262+E2262)</f>
        <v>0.487654320987654</v>
      </c>
      <c r="L2262" s="21" t="n">
        <f aca="false">AVERAGEIFS($K$2:$K$2705,$B$2:$B$2705,B2262)</f>
        <v>0.500001278020602</v>
      </c>
      <c r="M2262" s="21" t="n">
        <f aca="false">K2262-L2262</f>
        <v>-0.0123469570329474</v>
      </c>
      <c r="N2262" s="21" t="n">
        <f aca="false">LN(J2262)</f>
        <v>14.1158501017097</v>
      </c>
      <c r="O2262" s="21" t="n">
        <f aca="false">AVERAGEIFS($N$2:$N$2705,$B$2:$B$2705,B2262)</f>
        <v>13.623936490804</v>
      </c>
      <c r="P2262" s="21" t="n">
        <f aca="false">N2262-O2262</f>
        <v>0.491913610905664</v>
      </c>
      <c r="Q2262" s="7" t="n">
        <v>0</v>
      </c>
      <c r="R2262" s="3" t="n">
        <f aca="false">IF(AND(Q2262=1,B2262-_xlfn.MINIFS($B$2:$B$2705,$A$2:$A$2705,A2262)&lt;10),1,0)</f>
        <v>0</v>
      </c>
      <c r="S2262" s="7" t="n">
        <v>0</v>
      </c>
      <c r="T2262" s="3" t="n">
        <f aca="false">_xlfn.MINIFS($B$2:$B$2705,$A$2:$A$2705,A2262)</f>
        <v>1901</v>
      </c>
      <c r="U2262" s="3" t="n">
        <f aca="false">B2262-T2262</f>
        <v>110</v>
      </c>
      <c r="V2262" s="3" t="str">
        <f aca="false">INDEX(Pop_Inputs!$Q$2:$Q$29,MATCH(C2262,Pop_Inputs!$A$2:$A$29,0))</f>
        <v>Midwest</v>
      </c>
      <c r="W2262" s="29" t="n">
        <v>127789000</v>
      </c>
      <c r="X2262" s="3" t="n">
        <f aca="false">IF(W2262="","",LN(W2262))</f>
        <v>18.6658910242158</v>
      </c>
      <c r="Y2262" s="3" t="n">
        <f aca="false">IF(X2262="","",X2262-AVERAGEIFS($X$2:$X$2705,$B$2:$B$2705,B2262))</f>
        <v>0.412574655202985</v>
      </c>
      <c r="Z2262" s="21" t="n">
        <f aca="false">P2262</f>
        <v>0.491913610905664</v>
      </c>
      <c r="AA2262" s="3" t="n">
        <f aca="false">R2262</f>
        <v>0</v>
      </c>
      <c r="AB2262" s="21" t="n">
        <f aca="false">P2262</f>
        <v>0.491913610905664</v>
      </c>
      <c r="AC2262" s="3" t="n">
        <f aca="false">Y2262</f>
        <v>0.412574655202985</v>
      </c>
      <c r="AD2262" s="3" t="n">
        <f aca="false">R2262</f>
        <v>0</v>
      </c>
    </row>
    <row r="2263" customFormat="false" ht="15" hidden="false" customHeight="true" outlineLevel="0" collapsed="false">
      <c r="A2263" s="7" t="s">
        <v>57</v>
      </c>
      <c r="B2263" s="7" t="n">
        <v>2011</v>
      </c>
      <c r="C2263" s="7" t="s">
        <v>143</v>
      </c>
      <c r="D2263" s="7" t="n">
        <v>79</v>
      </c>
      <c r="E2263" s="7" t="n">
        <v>83</v>
      </c>
      <c r="F2263" s="3" t="n">
        <f aca="false">COUNTIFS($B$2:$B$2705,B2263,$C$2:$C$2705,C2263)</f>
        <v>1</v>
      </c>
      <c r="G2263" s="3" t="n">
        <f aca="false">MIN(INT((MIN(B2263,2020)-1900)/10)+1,12)</f>
        <v>12</v>
      </c>
      <c r="H2263" s="3" t="n">
        <f aca="false">(MIN(B2263,2020)-1900-10*(G2263-1))/10</f>
        <v>0.1</v>
      </c>
      <c r="I2263" s="20" t="n">
        <f aca="false">EXP(LN(INDEX(Pop_Inputs!$B$2:$N$29,MATCH(C2263,Pop_Inputs!$A$2:$A$29,0),G2263))*(1-H2263)+LN(INDEX(Pop_Inputs!$B$2:$N$29,MATCH(C2263,Pop_Inputs!$A$2:$A$29,0),G2263+1))*H2263)</f>
        <v>298157.790643101</v>
      </c>
      <c r="J2263" s="20" t="n">
        <f aca="false">I2263/F2263</f>
        <v>298157.790643101</v>
      </c>
      <c r="K2263" s="21" t="n">
        <f aca="false">D2263/(D2263+E2263)</f>
        <v>0.487654320987654</v>
      </c>
      <c r="L2263" s="21" t="n">
        <f aca="false">AVERAGEIFS($K$2:$K$2705,$B$2:$B$2705,B2263)</f>
        <v>0.500001278020602</v>
      </c>
      <c r="M2263" s="21" t="n">
        <f aca="false">K2263-L2263</f>
        <v>-0.0123469570329474</v>
      </c>
      <c r="N2263" s="21" t="n">
        <f aca="false">LN(J2263)</f>
        <v>12.6053781241549</v>
      </c>
      <c r="O2263" s="21" t="n">
        <f aca="false">AVERAGEIFS($N$2:$N$2705,$B$2:$B$2705,B2263)</f>
        <v>13.623936490804</v>
      </c>
      <c r="P2263" s="21" t="n">
        <f aca="false">N2263-O2263</f>
        <v>-1.01855836664918</v>
      </c>
      <c r="Q2263" s="7" t="n">
        <v>0</v>
      </c>
      <c r="R2263" s="3" t="n">
        <f aca="false">IF(AND(Q2263=1,B2263-_xlfn.MINIFS($B$2:$B$2705,$A$2:$A$2705,A2263)&lt;10),1,0)</f>
        <v>0</v>
      </c>
      <c r="S2263" s="7" t="n">
        <v>0</v>
      </c>
      <c r="T2263" s="3" t="n">
        <f aca="false">_xlfn.MINIFS($B$2:$B$2705,$A$2:$A$2705,A2263)</f>
        <v>1901</v>
      </c>
      <c r="U2263" s="3" t="n">
        <f aca="false">B2263-T2263</f>
        <v>110</v>
      </c>
      <c r="V2263" s="3" t="str">
        <f aca="false">INDEX(Pop_Inputs!$Q$2:$Q$29,MATCH(C2263,Pop_Inputs!$A$2:$A$29,0))</f>
        <v>Midwest</v>
      </c>
      <c r="W2263" s="29" t="n">
        <v>75947134</v>
      </c>
      <c r="X2263" s="3" t="n">
        <f aca="false">IF(W2263="","",LN(W2263))</f>
        <v>18.1455480509419</v>
      </c>
      <c r="Y2263" s="3" t="n">
        <f aca="false">IF(X2263="","",X2263-AVERAGEIFS($X$2:$X$2705,$B$2:$B$2705,B2263))</f>
        <v>-0.107768318070981</v>
      </c>
      <c r="Z2263" s="21" t="n">
        <f aca="false">P2263</f>
        <v>-1.01855836664918</v>
      </c>
      <c r="AA2263" s="3" t="n">
        <f aca="false">R2263</f>
        <v>0</v>
      </c>
      <c r="AB2263" s="21" t="n">
        <f aca="false">P2263</f>
        <v>-1.01855836664918</v>
      </c>
      <c r="AC2263" s="3" t="n">
        <f aca="false">Y2263</f>
        <v>-0.107768318070981</v>
      </c>
      <c r="AD2263" s="3" t="n">
        <f aca="false">R2263</f>
        <v>0</v>
      </c>
    </row>
    <row r="2264" customFormat="false" ht="15" hidden="false" customHeight="true" outlineLevel="0" collapsed="false">
      <c r="A2264" s="7" t="s">
        <v>66</v>
      </c>
      <c r="B2264" s="7" t="n">
        <v>2011</v>
      </c>
      <c r="C2264" s="7" t="s">
        <v>151</v>
      </c>
      <c r="D2264" s="7" t="n">
        <v>80</v>
      </c>
      <c r="E2264" s="7" t="n">
        <v>82</v>
      </c>
      <c r="F2264" s="3" t="n">
        <f aca="false">COUNTIFS($B$2:$B$2705,B2264,$C$2:$C$2705,C2264)</f>
        <v>1</v>
      </c>
      <c r="G2264" s="3" t="n">
        <f aca="false">MIN(INT((MIN(B2264,2020)-1900)/10)+1,12)</f>
        <v>12</v>
      </c>
      <c r="H2264" s="3" t="n">
        <f aca="false">(MIN(B2264,2020)-1900-10*(G2264-1))/10</f>
        <v>0.1</v>
      </c>
      <c r="I2264" s="20" t="n">
        <f aca="false">EXP(LN(INDEX(Pop_Inputs!$B$2:$N$29,MATCH(C2264,Pop_Inputs!$A$2:$A$29,0),G2264))*(1-H2264)+LN(INDEX(Pop_Inputs!$B$2:$N$29,MATCH(C2264,Pop_Inputs!$A$2:$A$29,0),G2264+1))*H2264)</f>
        <v>394326.854855387</v>
      </c>
      <c r="J2264" s="20" t="n">
        <f aca="false">I2264/F2264</f>
        <v>394326.854855387</v>
      </c>
      <c r="K2264" s="21" t="n">
        <f aca="false">D2264/(D2264+E2264)</f>
        <v>0.493827160493827</v>
      </c>
      <c r="L2264" s="21" t="n">
        <f aca="false">AVERAGEIFS($K$2:$K$2705,$B$2:$B$2705,B2264)</f>
        <v>0.500001278020602</v>
      </c>
      <c r="M2264" s="21" t="n">
        <f aca="false">K2264-L2264</f>
        <v>-0.00617411752677455</v>
      </c>
      <c r="N2264" s="21" t="n">
        <f aca="false">LN(J2264)</f>
        <v>12.8849354252193</v>
      </c>
      <c r="O2264" s="21" t="n">
        <f aca="false">AVERAGEIFS($N$2:$N$2705,$B$2:$B$2705,B2264)</f>
        <v>13.623936490804</v>
      </c>
      <c r="P2264" s="21" t="n">
        <f aca="false">N2264-O2264</f>
        <v>-0.739001065584743</v>
      </c>
      <c r="Q2264" s="7" t="n">
        <v>0</v>
      </c>
      <c r="R2264" s="3" t="n">
        <f aca="false">IF(AND(Q2264=1,B2264-_xlfn.MINIFS($B$2:$B$2705,$A$2:$A$2705,A2264)&lt;10),1,0)</f>
        <v>0</v>
      </c>
      <c r="S2264" s="7" t="n">
        <v>0</v>
      </c>
      <c r="T2264" s="3" t="n">
        <f aca="false">_xlfn.MINIFS($B$2:$B$2705,$A$2:$A$2705,A2264)</f>
        <v>1901</v>
      </c>
      <c r="U2264" s="3" t="n">
        <f aca="false">B2264-T2264</f>
        <v>110</v>
      </c>
      <c r="V2264" s="3" t="str">
        <f aca="false">INDEX(Pop_Inputs!$Q$2:$Q$29,MATCH(C2264,Pop_Inputs!$A$2:$A$29,0))</f>
        <v>Midwest</v>
      </c>
      <c r="W2264" s="29" t="n">
        <v>48776566</v>
      </c>
      <c r="X2264" s="3" t="n">
        <f aca="false">IF(W2264="","",LN(W2264))</f>
        <v>17.70276055057</v>
      </c>
      <c r="Y2264" s="3" t="n">
        <f aca="false">IF(X2264="","",X2264-AVERAGEIFS($X$2:$X$2705,$B$2:$B$2705,B2264))</f>
        <v>-0.550555818442799</v>
      </c>
      <c r="Z2264" s="21" t="n">
        <f aca="false">P2264</f>
        <v>-0.739001065584743</v>
      </c>
      <c r="AA2264" s="3" t="n">
        <f aca="false">R2264</f>
        <v>0</v>
      </c>
      <c r="AB2264" s="21" t="n">
        <f aca="false">P2264</f>
        <v>-0.739001065584743</v>
      </c>
      <c r="AC2264" s="3" t="n">
        <f aca="false">Y2264</f>
        <v>-0.550555818442799</v>
      </c>
      <c r="AD2264" s="3" t="n">
        <f aca="false">R2264</f>
        <v>0</v>
      </c>
    </row>
    <row r="2265" customFormat="false" ht="15" hidden="false" customHeight="true" outlineLevel="0" collapsed="false">
      <c r="A2265" s="7" t="s">
        <v>82</v>
      </c>
      <c r="B2265" s="7" t="n">
        <v>2011</v>
      </c>
      <c r="C2265" s="7" t="s">
        <v>163</v>
      </c>
      <c r="D2265" s="7" t="n">
        <v>73</v>
      </c>
      <c r="E2265" s="7" t="n">
        <v>89</v>
      </c>
      <c r="F2265" s="3" t="n">
        <f aca="false">COUNTIFS($B$2:$B$2705,B2265,$C$2:$C$2705,C2265)</f>
        <v>1</v>
      </c>
      <c r="G2265" s="3" t="n">
        <f aca="false">MIN(INT((MIN(B2265,2020)-1900)/10)+1,12)</f>
        <v>12</v>
      </c>
      <c r="H2265" s="3" t="n">
        <f aca="false">(MIN(B2265,2020)-1900-10*(G2265-1))/10</f>
        <v>0.1</v>
      </c>
      <c r="I2265" s="20" t="n">
        <f aca="false">EXP(LN(INDEX(Pop_Inputs!$B$2:$N$29,MATCH(C2265,Pop_Inputs!$A$2:$A$29,0),G2265))*(1-H2265)+LN(INDEX(Pop_Inputs!$B$2:$N$29,MATCH(C2265,Pop_Inputs!$A$2:$A$29,0),G2265+1))*H2265)</f>
        <v>610803.249327701</v>
      </c>
      <c r="J2265" s="20" t="n">
        <f aca="false">I2265/F2265</f>
        <v>610803.249327701</v>
      </c>
      <c r="K2265" s="21" t="n">
        <f aca="false">D2265/(D2265+E2265)</f>
        <v>0.450617283950617</v>
      </c>
      <c r="L2265" s="21" t="n">
        <f aca="false">AVERAGEIFS($K$2:$K$2705,$B$2:$B$2705,B2265)</f>
        <v>0.500001278020602</v>
      </c>
      <c r="M2265" s="21" t="n">
        <f aca="false">K2265-L2265</f>
        <v>-0.0493839940699844</v>
      </c>
      <c r="N2265" s="21" t="n">
        <f aca="false">LN(J2265)</f>
        <v>13.3225301721024</v>
      </c>
      <c r="O2265" s="21" t="n">
        <f aca="false">AVERAGEIFS($N$2:$N$2705,$B$2:$B$2705,B2265)</f>
        <v>13.623936490804</v>
      </c>
      <c r="P2265" s="21" t="n">
        <f aca="false">N2265-O2265</f>
        <v>-0.301406318701632</v>
      </c>
      <c r="Q2265" s="7" t="n">
        <v>1</v>
      </c>
      <c r="R2265" s="3" t="n">
        <f aca="false">IF(AND(Q2265=1,B2265-_xlfn.MINIFS($B$2:$B$2705,$A$2:$A$2705,A2265)&lt;10),1,0)</f>
        <v>0</v>
      </c>
      <c r="S2265" s="7" t="n">
        <v>0</v>
      </c>
      <c r="T2265" s="3" t="n">
        <f aca="false">_xlfn.MINIFS($B$2:$B$2705,$A$2:$A$2705,A2265)</f>
        <v>1993</v>
      </c>
      <c r="U2265" s="3" t="n">
        <f aca="false">B2265-T2265</f>
        <v>18</v>
      </c>
      <c r="V2265" s="3" t="str">
        <f aca="false">INDEX(Pop_Inputs!$Q$2:$Q$29,MATCH(C2265,Pop_Inputs!$A$2:$A$29,0))</f>
        <v>West</v>
      </c>
      <c r="W2265" s="29" t="n">
        <v>88148071</v>
      </c>
      <c r="X2265" s="3" t="n">
        <f aca="false">IF(W2265="","",LN(W2265))</f>
        <v>18.294528583415</v>
      </c>
      <c r="Y2265" s="3" t="n">
        <f aca="false">IF(X2265="","",X2265-AVERAGEIFS($X$2:$X$2705,$B$2:$B$2705,B2265))</f>
        <v>0.0412122144021616</v>
      </c>
      <c r="Z2265" s="21" t="n">
        <f aca="false">P2265</f>
        <v>-0.301406318701632</v>
      </c>
      <c r="AA2265" s="3" t="n">
        <f aca="false">R2265</f>
        <v>0</v>
      </c>
      <c r="AB2265" s="21" t="n">
        <f aca="false">P2265</f>
        <v>-0.301406318701632</v>
      </c>
      <c r="AC2265" s="3" t="n">
        <f aca="false">Y2265</f>
        <v>0.0412122144021616</v>
      </c>
      <c r="AD2265" s="3" t="n">
        <f aca="false">R2265</f>
        <v>0</v>
      </c>
    </row>
    <row r="2266" customFormat="false" ht="15" hidden="false" customHeight="true" outlineLevel="0" collapsed="false">
      <c r="A2266" s="7" t="s">
        <v>67</v>
      </c>
      <c r="B2266" s="7" t="n">
        <v>2011</v>
      </c>
      <c r="C2266" s="7" t="s">
        <v>152</v>
      </c>
      <c r="D2266" s="7" t="n">
        <v>95</v>
      </c>
      <c r="E2266" s="7" t="n">
        <v>67</v>
      </c>
      <c r="F2266" s="3" t="n">
        <f aca="false">COUNTIFS($B$2:$B$2705,B2266,$C$2:$C$2705,C2266)</f>
        <v>1</v>
      </c>
      <c r="G2266" s="3" t="n">
        <f aca="false">MIN(INT((MIN(B2266,2020)-1900)/10)+1,12)</f>
        <v>12</v>
      </c>
      <c r="H2266" s="3" t="n">
        <f aca="false">(MIN(B2266,2020)-1900-10*(G2266-1))/10</f>
        <v>0.1</v>
      </c>
      <c r="I2266" s="20" t="n">
        <f aca="false">EXP(LN(INDEX(Pop_Inputs!$B$2:$N$29,MATCH(C2266,Pop_Inputs!$A$2:$A$29,0),G2266))*(1-H2266)+LN(INDEX(Pop_Inputs!$B$2:$N$29,MATCH(C2266,Pop_Inputs!$A$2:$A$29,0),G2266+1))*H2266)</f>
        <v>705933.714718427</v>
      </c>
      <c r="J2266" s="20" t="n">
        <f aca="false">I2266/F2266</f>
        <v>705933.714718427</v>
      </c>
      <c r="K2266" s="21" t="n">
        <f aca="false">D2266/(D2266+E2266)</f>
        <v>0.58641975308642</v>
      </c>
      <c r="L2266" s="21" t="n">
        <f aca="false">AVERAGEIFS($K$2:$K$2705,$B$2:$B$2705,B2266)</f>
        <v>0.500001278020602</v>
      </c>
      <c r="M2266" s="21" t="n">
        <f aca="false">K2266-L2266</f>
        <v>0.0864184750658181</v>
      </c>
      <c r="N2266" s="21" t="n">
        <f aca="false">LN(J2266)</f>
        <v>13.4672766235668</v>
      </c>
      <c r="O2266" s="21" t="n">
        <f aca="false">AVERAGEIFS($N$2:$N$2705,$B$2:$B$2705,B2266)</f>
        <v>13.623936490804</v>
      </c>
      <c r="P2266" s="21" t="n">
        <f aca="false">N2266-O2266</f>
        <v>-0.156659867237279</v>
      </c>
      <c r="Q2266" s="7" t="n">
        <v>0</v>
      </c>
      <c r="R2266" s="3" t="n">
        <f aca="false">IF(AND(Q2266=1,B2266-_xlfn.MINIFS($B$2:$B$2705,$A$2:$A$2705,A2266)&lt;10),1,0)</f>
        <v>0</v>
      </c>
      <c r="S2266" s="7" t="n">
        <v>0</v>
      </c>
      <c r="T2266" s="3" t="n">
        <f aca="false">_xlfn.MINIFS($B$2:$B$2705,$A$2:$A$2705,A2266)</f>
        <v>1901</v>
      </c>
      <c r="U2266" s="3" t="n">
        <f aca="false">B2266-T2266</f>
        <v>110</v>
      </c>
      <c r="V2266" s="3" t="str">
        <f aca="false">INDEX(Pop_Inputs!$Q$2:$Q$29,MATCH(C2266,Pop_Inputs!$A$2:$A$29,0))</f>
        <v>Midwest</v>
      </c>
      <c r="W2266" s="29" t="n">
        <v>105700231</v>
      </c>
      <c r="X2266" s="3" t="n">
        <f aca="false">IF(W2266="","",LN(W2266))</f>
        <v>18.4761176362685</v>
      </c>
      <c r="Y2266" s="3" t="n">
        <f aca="false">IF(X2266="","",X2266-AVERAGEIFS($X$2:$X$2705,$B$2:$B$2705,B2266))</f>
        <v>0.222801267255704</v>
      </c>
      <c r="Z2266" s="21" t="n">
        <f aca="false">P2266</f>
        <v>-0.156659867237279</v>
      </c>
      <c r="AA2266" s="3" t="n">
        <f aca="false">R2266</f>
        <v>0</v>
      </c>
      <c r="AB2266" s="21" t="n">
        <f aca="false">P2266</f>
        <v>-0.156659867237279</v>
      </c>
      <c r="AC2266" s="3" t="n">
        <f aca="false">Y2266</f>
        <v>0.222801267255704</v>
      </c>
      <c r="AD2266" s="3" t="n">
        <f aca="false">R2266</f>
        <v>0</v>
      </c>
    </row>
    <row r="2267" customFormat="false" ht="15" hidden="false" customHeight="true" outlineLevel="0" collapsed="false">
      <c r="A2267" s="7" t="s">
        <v>83</v>
      </c>
      <c r="B2267" s="7" t="n">
        <v>2011</v>
      </c>
      <c r="C2267" s="7" t="s">
        <v>164</v>
      </c>
      <c r="D2267" s="7" t="n">
        <v>72</v>
      </c>
      <c r="E2267" s="7" t="n">
        <v>90</v>
      </c>
      <c r="F2267" s="3" t="n">
        <f aca="false">COUNTIFS($B$2:$B$2705,B2267,$C$2:$C$2705,C2267)</f>
        <v>1</v>
      </c>
      <c r="G2267" s="3" t="n">
        <f aca="false">MIN(INT((MIN(B2267,2020)-1900)/10)+1,12)</f>
        <v>12</v>
      </c>
      <c r="H2267" s="3" t="n">
        <f aca="false">(MIN(B2267,2020)-1900-10*(G2267-1))/10</f>
        <v>0.1</v>
      </c>
      <c r="I2267" s="20" t="n">
        <f aca="false">EXP(LN(INDEX(Pop_Inputs!$B$2:$N$29,MATCH(C2267,Pop_Inputs!$A$2:$A$29,0),G2267))*(1-H2267)+LN(INDEX(Pop_Inputs!$B$2:$N$29,MATCH(C2267,Pop_Inputs!$A$2:$A$29,0),G2267+1))*H2267)</f>
        <v>403542.177197725</v>
      </c>
      <c r="J2267" s="20" t="n">
        <f aca="false">I2267/F2267</f>
        <v>403542.177197725</v>
      </c>
      <c r="K2267" s="21" t="n">
        <f aca="false">D2267/(D2267+E2267)</f>
        <v>0.444444444444444</v>
      </c>
      <c r="L2267" s="21" t="n">
        <f aca="false">AVERAGEIFS($K$2:$K$2705,$B$2:$B$2705,B2267)</f>
        <v>0.500001278020602</v>
      </c>
      <c r="M2267" s="21" t="n">
        <f aca="false">K2267-L2267</f>
        <v>-0.0555568335761573</v>
      </c>
      <c r="N2267" s="21" t="n">
        <f aca="false">LN(J2267)</f>
        <v>12.9080362896005</v>
      </c>
      <c r="O2267" s="21" t="n">
        <f aca="false">AVERAGEIFS($N$2:$N$2705,$B$2:$B$2705,B2267)</f>
        <v>13.623936490804</v>
      </c>
      <c r="P2267" s="21" t="n">
        <f aca="false">N2267-O2267</f>
        <v>-0.715900201203549</v>
      </c>
      <c r="Q2267" s="7" t="n">
        <v>1</v>
      </c>
      <c r="R2267" s="3" t="n">
        <f aca="false">IF(AND(Q2267=1,B2267-_xlfn.MINIFS($B$2:$B$2705,$A$2:$A$2705,A2267)&lt;10),1,0)</f>
        <v>0</v>
      </c>
      <c r="S2267" s="7" t="n">
        <v>0</v>
      </c>
      <c r="T2267" s="3" t="n">
        <f aca="false">_xlfn.MINIFS($B$2:$B$2705,$A$2:$A$2705,A2267)</f>
        <v>1993</v>
      </c>
      <c r="U2267" s="3" t="n">
        <f aca="false">B2267-T2267</f>
        <v>18</v>
      </c>
      <c r="V2267" s="3" t="str">
        <f aca="false">INDEX(Pop_Inputs!$Q$2:$Q$29,MATCH(C2267,Pop_Inputs!$A$2:$A$29,0))</f>
        <v>South</v>
      </c>
      <c r="W2267" s="29" t="n">
        <v>56944000</v>
      </c>
      <c r="X2267" s="3" t="n">
        <f aca="false">IF(W2267="","",LN(W2267))</f>
        <v>17.8575788867321</v>
      </c>
      <c r="Y2267" s="3" t="n">
        <f aca="false">IF(X2267="","",X2267-AVERAGEIFS($X$2:$X$2705,$B$2:$B$2705,B2267))</f>
        <v>-0.395737482280726</v>
      </c>
      <c r="Z2267" s="21" t="n">
        <f aca="false">P2267</f>
        <v>-0.715900201203549</v>
      </c>
      <c r="AA2267" s="3" t="n">
        <f aca="false">R2267</f>
        <v>0</v>
      </c>
      <c r="AB2267" s="21" t="n">
        <f aca="false">P2267</f>
        <v>-0.715900201203549</v>
      </c>
      <c r="AC2267" s="3" t="n">
        <f aca="false">Y2267</f>
        <v>-0.395737482280726</v>
      </c>
      <c r="AD2267" s="3" t="n">
        <f aca="false">R2267</f>
        <v>0</v>
      </c>
    </row>
    <row r="2268" customFormat="false" ht="15" hidden="false" customHeight="true" outlineLevel="0" collapsed="false">
      <c r="A2268" s="7" t="s">
        <v>74</v>
      </c>
      <c r="B2268" s="7" t="n">
        <v>2011</v>
      </c>
      <c r="C2268" s="7" t="s">
        <v>156</v>
      </c>
      <c r="D2268" s="7" t="n">
        <v>56</v>
      </c>
      <c r="E2268" s="7" t="n">
        <v>106</v>
      </c>
      <c r="F2268" s="3" t="n">
        <f aca="false">COUNTIFS($B$2:$B$2705,B2268,$C$2:$C$2705,C2268)</f>
        <v>1</v>
      </c>
      <c r="G2268" s="3" t="n">
        <f aca="false">MIN(INT((MIN(B2268,2020)-1900)/10)+1,12)</f>
        <v>12</v>
      </c>
      <c r="H2268" s="3" t="n">
        <f aca="false">(MIN(B2268,2020)-1900-10*(G2268-1))/10</f>
        <v>0.1</v>
      </c>
      <c r="I2268" s="20" t="n">
        <f aca="false">EXP(LN(INDEX(Pop_Inputs!$B$2:$N$29,MATCH(C2268,Pop_Inputs!$A$2:$A$29,0),G2268))*(1-H2268)+LN(INDEX(Pop_Inputs!$B$2:$N$29,MATCH(C2268,Pop_Inputs!$A$2:$A$29,0),G2268+1))*H2268)</f>
        <v>2119114.13076464</v>
      </c>
      <c r="J2268" s="20" t="n">
        <f aca="false">I2268/F2268</f>
        <v>2119114.13076464</v>
      </c>
      <c r="K2268" s="21" t="n">
        <f aca="false">D2268/(D2268+E2268)</f>
        <v>0.345679012345679</v>
      </c>
      <c r="L2268" s="21" t="n">
        <f aca="false">AVERAGEIFS($K$2:$K$2705,$B$2:$B$2705,B2268)</f>
        <v>0.500001278020602</v>
      </c>
      <c r="M2268" s="21" t="n">
        <f aca="false">K2268-L2268</f>
        <v>-0.154322265674923</v>
      </c>
      <c r="N2268" s="21" t="n">
        <f aca="false">LN(J2268)</f>
        <v>14.5665086964723</v>
      </c>
      <c r="O2268" s="21" t="n">
        <f aca="false">AVERAGEIFS($N$2:$N$2705,$B$2:$B$2705,B2268)</f>
        <v>13.623936490804</v>
      </c>
      <c r="P2268" s="21" t="n">
        <f aca="false">N2268-O2268</f>
        <v>0.942572205668272</v>
      </c>
      <c r="Q2268" s="7" t="n">
        <v>1</v>
      </c>
      <c r="R2268" s="3" t="n">
        <f aca="false">IF(AND(Q2268=1,B2268-_xlfn.MINIFS($B$2:$B$2705,$A$2:$A$2705,A2268)&lt;10),1,0)</f>
        <v>0</v>
      </c>
      <c r="S2268" s="7" t="n">
        <v>0</v>
      </c>
      <c r="T2268" s="3" t="n">
        <f aca="false">_xlfn.MINIFS($B$2:$B$2705,$A$2:$A$2705,A2268)</f>
        <v>1962</v>
      </c>
      <c r="U2268" s="3" t="n">
        <f aca="false">B2268-T2268</f>
        <v>49</v>
      </c>
      <c r="V2268" s="3" t="str">
        <f aca="false">INDEX(Pop_Inputs!$Q$2:$Q$29,MATCH(C2268,Pop_Inputs!$A$2:$A$29,0))</f>
        <v>South</v>
      </c>
      <c r="W2268" s="29" t="n">
        <v>70694000</v>
      </c>
      <c r="X2268" s="3" t="n">
        <f aca="false">IF(W2268="","",LN(W2268))</f>
        <v>18.0738712616361</v>
      </c>
      <c r="Y2268" s="3" t="n">
        <f aca="false">IF(X2268="","",X2268-AVERAGEIFS($X$2:$X$2705,$B$2:$B$2705,B2268))</f>
        <v>-0.179445107376747</v>
      </c>
      <c r="Z2268" s="21" t="n">
        <f aca="false">P2268</f>
        <v>0.942572205668272</v>
      </c>
      <c r="AA2268" s="3" t="n">
        <f aca="false">R2268</f>
        <v>0</v>
      </c>
      <c r="AB2268" s="21" t="n">
        <f aca="false">P2268</f>
        <v>0.942572205668272</v>
      </c>
      <c r="AC2268" s="3" t="n">
        <f aca="false">Y2268</f>
        <v>-0.179445107376747</v>
      </c>
      <c r="AD2268" s="3" t="n">
        <f aca="false">R2268</f>
        <v>0</v>
      </c>
    </row>
    <row r="2269" customFormat="false" ht="15" hidden="false" customHeight="true" outlineLevel="0" collapsed="false">
      <c r="A2269" s="7" t="s">
        <v>76</v>
      </c>
      <c r="B2269" s="7" t="n">
        <v>2011</v>
      </c>
      <c r="C2269" s="7" t="s">
        <v>157</v>
      </c>
      <c r="D2269" s="7" t="n">
        <v>71</v>
      </c>
      <c r="E2269" s="7" t="n">
        <v>91</v>
      </c>
      <c r="F2269" s="3" t="n">
        <f aca="false">COUNTIFS($B$2:$B$2705,B2269,$C$2:$C$2705,C2269)</f>
        <v>1</v>
      </c>
      <c r="G2269" s="3" t="n">
        <f aca="false">MIN(INT((MIN(B2269,2020)-1900)/10)+1,12)</f>
        <v>12</v>
      </c>
      <c r="H2269" s="3" t="n">
        <f aca="false">(MIN(B2269,2020)-1900-10*(G2269-1))/10</f>
        <v>0.1</v>
      </c>
      <c r="I2269" s="20" t="n">
        <f aca="false">EXP(LN(INDEX(Pop_Inputs!$B$2:$N$29,MATCH(C2269,Pop_Inputs!$A$2:$A$29,0),G2269))*(1-H2269)+LN(INDEX(Pop_Inputs!$B$2:$N$29,MATCH(C2269,Pop_Inputs!$A$2:$A$29,0),G2269+1))*H2269)</f>
        <v>464403.071918999</v>
      </c>
      <c r="J2269" s="20" t="n">
        <f aca="false">I2269/F2269</f>
        <v>464403.071918999</v>
      </c>
      <c r="K2269" s="21" t="n">
        <f aca="false">D2269/(D2269+E2269)</f>
        <v>0.438271604938272</v>
      </c>
      <c r="L2269" s="21" t="n">
        <f aca="false">AVERAGEIFS($K$2:$K$2705,$B$2:$B$2705,B2269)</f>
        <v>0.500001278020602</v>
      </c>
      <c r="M2269" s="21" t="n">
        <f aca="false">K2269-L2269</f>
        <v>-0.0617296730823301</v>
      </c>
      <c r="N2269" s="21" t="n">
        <f aca="false">LN(J2269)</f>
        <v>13.0485081435967</v>
      </c>
      <c r="O2269" s="21" t="n">
        <f aca="false">AVERAGEIFS($N$2:$N$2705,$B$2:$B$2705,B2269)</f>
        <v>13.623936490804</v>
      </c>
      <c r="P2269" s="21" t="n">
        <f aca="false">N2269-O2269</f>
        <v>-0.57542834720739</v>
      </c>
      <c r="Q2269" s="7" t="n">
        <v>1</v>
      </c>
      <c r="R2269" s="3" t="n">
        <f aca="false">IF(AND(Q2269=1,B2269-_xlfn.MINIFS($B$2:$B$2705,$A$2:$A$2705,A2269)&lt;10),1,0)</f>
        <v>0</v>
      </c>
      <c r="S2269" s="7" t="n">
        <v>0</v>
      </c>
      <c r="T2269" s="3" t="n">
        <f aca="false">_xlfn.MINIFS($B$2:$B$2705,$A$2:$A$2705,A2269)</f>
        <v>1969</v>
      </c>
      <c r="U2269" s="3" t="n">
        <f aca="false">B2269-T2269</f>
        <v>42</v>
      </c>
      <c r="V2269" s="3" t="str">
        <f aca="false">INDEX(Pop_Inputs!$Q$2:$Q$29,MATCH(C2269,Pop_Inputs!$A$2:$A$29,0))</f>
        <v>Midwest</v>
      </c>
      <c r="W2269" s="29" t="n">
        <v>35712000</v>
      </c>
      <c r="X2269" s="3" t="n">
        <f aca="false">IF(W2269="","",LN(W2269))</f>
        <v>17.3909973247231</v>
      </c>
      <c r="Y2269" s="3" t="n">
        <f aca="false">IF(X2269="","",X2269-AVERAGEIFS($X$2:$X$2705,$B$2:$B$2705,B2269))</f>
        <v>-0.862319044289716</v>
      </c>
      <c r="Z2269" s="21" t="n">
        <f aca="false">P2269</f>
        <v>-0.57542834720739</v>
      </c>
      <c r="AA2269" s="3" t="n">
        <f aca="false">R2269</f>
        <v>0</v>
      </c>
      <c r="AB2269" s="21" t="n">
        <f aca="false">P2269</f>
        <v>-0.57542834720739</v>
      </c>
      <c r="AC2269" s="3" t="n">
        <f aca="false">Y2269</f>
        <v>-0.862319044289716</v>
      </c>
      <c r="AD2269" s="3" t="n">
        <f aca="false">R2269</f>
        <v>0</v>
      </c>
    </row>
    <row r="2270" customFormat="false" ht="15" hidden="false" customHeight="true" outlineLevel="0" collapsed="false">
      <c r="A2270" s="7" t="s">
        <v>62</v>
      </c>
      <c r="B2270" s="7" t="n">
        <v>2011</v>
      </c>
      <c r="C2270" s="7" t="s">
        <v>148</v>
      </c>
      <c r="D2270" s="7" t="n">
        <v>82</v>
      </c>
      <c r="E2270" s="7" t="n">
        <v>79</v>
      </c>
      <c r="F2270" s="3" t="n">
        <f aca="false">COUNTIFS($B$2:$B$2705,B2270,$C$2:$C$2705,C2270)</f>
        <v>2</v>
      </c>
      <c r="G2270" s="3" t="n">
        <f aca="false">MIN(INT((MIN(B2270,2020)-1900)/10)+1,12)</f>
        <v>12</v>
      </c>
      <c r="H2270" s="3" t="n">
        <f aca="false">(MIN(B2270,2020)-1900-10*(G2270-1))/10</f>
        <v>0.1</v>
      </c>
      <c r="I2270" s="20" t="n">
        <f aca="false">EXP(LN(INDEX(Pop_Inputs!$B$2:$N$29,MATCH(C2270,Pop_Inputs!$A$2:$A$29,0),G2270))*(1-H2270)+LN(INDEX(Pop_Inputs!$B$2:$N$29,MATCH(C2270,Pop_Inputs!$A$2:$A$29,0),G2270+1))*H2270)</f>
        <v>3803102.28734561</v>
      </c>
      <c r="J2270" s="20" t="n">
        <f aca="false">I2270/F2270</f>
        <v>1901551.14367281</v>
      </c>
      <c r="K2270" s="21" t="n">
        <f aca="false">D2270/(D2270+E2270)</f>
        <v>0.509316770186335</v>
      </c>
      <c r="L2270" s="21" t="n">
        <f aca="false">AVERAGEIFS($K$2:$K$2705,$B$2:$B$2705,B2270)</f>
        <v>0.500001278020602</v>
      </c>
      <c r="M2270" s="21" t="n">
        <f aca="false">K2270-L2270</f>
        <v>0.00931549216573369</v>
      </c>
      <c r="N2270" s="21" t="n">
        <f aca="false">LN(J2270)</f>
        <v>14.4581805024772</v>
      </c>
      <c r="O2270" s="21" t="n">
        <f aca="false">AVERAGEIFS($N$2:$N$2705,$B$2:$B$2705,B2270)</f>
        <v>13.623936490804</v>
      </c>
      <c r="P2270" s="21" t="n">
        <f aca="false">N2270-O2270</f>
        <v>0.834244011673162</v>
      </c>
      <c r="Q2270" s="7" t="n">
        <v>0</v>
      </c>
      <c r="R2270" s="3" t="n">
        <f aca="false">IF(AND(Q2270=1,B2270-_xlfn.MINIFS($B$2:$B$2705,$A$2:$A$2705,A2270)&lt;10),1,0)</f>
        <v>0</v>
      </c>
      <c r="S2270" s="7" t="n">
        <v>0</v>
      </c>
      <c r="T2270" s="3" t="n">
        <f aca="false">_xlfn.MINIFS($B$2:$B$2705,$A$2:$A$2705,A2270)</f>
        <v>1901</v>
      </c>
      <c r="U2270" s="3" t="n">
        <f aca="false">B2270-T2270</f>
        <v>110</v>
      </c>
      <c r="V2270" s="3" t="str">
        <f aca="false">INDEX(Pop_Inputs!$Q$2:$Q$29,MATCH(C2270,Pop_Inputs!$A$2:$A$29,0))</f>
        <v>West</v>
      </c>
      <c r="W2270" s="29" t="n">
        <v>104188999</v>
      </c>
      <c r="X2270" s="3" t="n">
        <f aca="false">IF(W2270="","",LN(W2270))</f>
        <v>18.4617171058943</v>
      </c>
      <c r="Y2270" s="3" t="n">
        <f aca="false">IF(X2270="","",X2270-AVERAGEIFS($X$2:$X$2705,$B$2:$B$2705,B2270))</f>
        <v>0.208400736881448</v>
      </c>
      <c r="Z2270" s="21" t="n">
        <f aca="false">P2270</f>
        <v>0.834244011673162</v>
      </c>
      <c r="AA2270" s="3" t="n">
        <f aca="false">R2270</f>
        <v>0</v>
      </c>
      <c r="AB2270" s="21" t="n">
        <f aca="false">P2270</f>
        <v>0.834244011673162</v>
      </c>
      <c r="AC2270" s="3" t="n">
        <f aca="false">Y2270</f>
        <v>0.208400736881448</v>
      </c>
      <c r="AD2270" s="3" t="n">
        <f aca="false">R2270</f>
        <v>0</v>
      </c>
    </row>
    <row r="2271" customFormat="false" ht="15" hidden="false" customHeight="true" outlineLevel="0" collapsed="false">
      <c r="A2271" s="7" t="s">
        <v>77</v>
      </c>
      <c r="B2271" s="7" t="n">
        <v>2011</v>
      </c>
      <c r="C2271" s="7" t="s">
        <v>158</v>
      </c>
      <c r="D2271" s="7" t="n">
        <v>96</v>
      </c>
      <c r="E2271" s="7" t="n">
        <v>66</v>
      </c>
      <c r="F2271" s="3" t="n">
        <f aca="false">COUNTIFS($B$2:$B$2705,B2271,$C$2:$C$2705,C2271)</f>
        <v>1</v>
      </c>
      <c r="G2271" s="3" t="n">
        <f aca="false">MIN(INT((MIN(B2271,2020)-1900)/10)+1,12)</f>
        <v>12</v>
      </c>
      <c r="H2271" s="3" t="n">
        <f aca="false">(MIN(B2271,2020)-1900-10*(G2271-1))/10</f>
        <v>0.1</v>
      </c>
      <c r="I2271" s="20" t="n">
        <f aca="false">EXP(LN(INDEX(Pop_Inputs!$B$2:$N$29,MATCH(C2271,Pop_Inputs!$A$2:$A$29,0),G2271))*(1-H2271)+LN(INDEX(Pop_Inputs!$B$2:$N$29,MATCH(C2271,Pop_Inputs!$A$2:$A$29,0),G2271+1))*H2271)</f>
        <v>593047.987273948</v>
      </c>
      <c r="J2271" s="20" t="n">
        <f aca="false">I2271/F2271</f>
        <v>593047.987273948</v>
      </c>
      <c r="K2271" s="21" t="n">
        <f aca="false">D2271/(D2271+E2271)</f>
        <v>0.592592592592593</v>
      </c>
      <c r="L2271" s="21" t="n">
        <f aca="false">AVERAGEIFS($K$2:$K$2705,$B$2:$B$2705,B2271)</f>
        <v>0.500001278020602</v>
      </c>
      <c r="M2271" s="21" t="n">
        <f aca="false">K2271-L2271</f>
        <v>0.0925913145719909</v>
      </c>
      <c r="N2271" s="21" t="n">
        <f aca="false">LN(J2271)</f>
        <v>13.2930305975961</v>
      </c>
      <c r="O2271" s="21" t="n">
        <f aca="false">AVERAGEIFS($N$2:$N$2705,$B$2:$B$2705,B2271)</f>
        <v>13.623936490804</v>
      </c>
      <c r="P2271" s="21" t="n">
        <f aca="false">N2271-O2271</f>
        <v>-0.330905893207962</v>
      </c>
      <c r="Q2271" s="7" t="n">
        <v>1</v>
      </c>
      <c r="R2271" s="3" t="n">
        <f aca="false">IF(AND(Q2271=1,B2271-_xlfn.MINIFS($B$2:$B$2705,$A$2:$A$2705,A2271)&lt;10),1,0)</f>
        <v>0</v>
      </c>
      <c r="S2271" s="7" t="n">
        <v>0</v>
      </c>
      <c r="T2271" s="3" t="n">
        <f aca="false">_xlfn.MINIFS($B$2:$B$2705,$A$2:$A$2705,A2271)</f>
        <v>1969</v>
      </c>
      <c r="U2271" s="3" t="n">
        <f aca="false">B2271-T2271</f>
        <v>42</v>
      </c>
      <c r="V2271" s="3" t="str">
        <f aca="false">INDEX(Pop_Inputs!$Q$2:$Q$29,MATCH(C2271,Pop_Inputs!$A$2:$A$29,0))</f>
        <v>Midwest</v>
      </c>
      <c r="W2271" s="29" t="n">
        <v>85497333</v>
      </c>
      <c r="X2271" s="3" t="n">
        <f aca="false">IF(W2271="","",LN(W2271))</f>
        <v>18.263995740438</v>
      </c>
      <c r="Y2271" s="3" t="n">
        <f aca="false">IF(X2271="","",X2271-AVERAGEIFS($X$2:$X$2705,$B$2:$B$2705,B2271))</f>
        <v>0.0106793714251836</v>
      </c>
      <c r="Z2271" s="21" t="n">
        <f aca="false">P2271</f>
        <v>-0.330905893207962</v>
      </c>
      <c r="AA2271" s="3" t="n">
        <f aca="false">R2271</f>
        <v>0</v>
      </c>
      <c r="AB2271" s="21" t="n">
        <f aca="false">P2271</f>
        <v>-0.330905893207962</v>
      </c>
      <c r="AC2271" s="3" t="n">
        <f aca="false">Y2271</f>
        <v>0.0106793714251836</v>
      </c>
      <c r="AD2271" s="3" t="n">
        <f aca="false">R2271</f>
        <v>0</v>
      </c>
    </row>
    <row r="2272" customFormat="false" ht="15" hidden="false" customHeight="true" outlineLevel="0" collapsed="false">
      <c r="A2272" s="7" t="s">
        <v>68</v>
      </c>
      <c r="B2272" s="7" t="n">
        <v>2011</v>
      </c>
      <c r="C2272" s="7" t="s">
        <v>153</v>
      </c>
      <c r="D2272" s="7" t="n">
        <v>63</v>
      </c>
      <c r="E2272" s="7" t="n">
        <v>99</v>
      </c>
      <c r="F2272" s="3" t="n">
        <f aca="false">COUNTIFS($B$2:$B$2705,B2272,$C$2:$C$2705,C2272)</f>
        <v>1</v>
      </c>
      <c r="G2272" s="3" t="n">
        <f aca="false">MIN(INT((MIN(B2272,2020)-1900)/10)+1,12)</f>
        <v>12</v>
      </c>
      <c r="H2272" s="3" t="n">
        <f aca="false">(MIN(B2272,2020)-1900-10*(G2272-1))/10</f>
        <v>0.1</v>
      </c>
      <c r="I2272" s="20" t="n">
        <f aca="false">EXP(LN(INDEX(Pop_Inputs!$B$2:$N$29,MATCH(C2272,Pop_Inputs!$A$2:$A$29,0),G2272))*(1-H2272)+LN(INDEX(Pop_Inputs!$B$2:$N$29,MATCH(C2272,Pop_Inputs!$A$2:$A$29,0),G2272+1))*H2272)</f>
        <v>387070.606166546</v>
      </c>
      <c r="J2272" s="20" t="n">
        <f aca="false">I2272/F2272</f>
        <v>387070.606166546</v>
      </c>
      <c r="K2272" s="21" t="n">
        <f aca="false">D2272/(D2272+E2272)</f>
        <v>0.388888888888889</v>
      </c>
      <c r="L2272" s="21" t="n">
        <f aca="false">AVERAGEIFS($K$2:$K$2705,$B$2:$B$2705,B2272)</f>
        <v>0.500001278020602</v>
      </c>
      <c r="M2272" s="21" t="n">
        <f aca="false">K2272-L2272</f>
        <v>-0.111112389131713</v>
      </c>
      <c r="N2272" s="21" t="n">
        <f aca="false">LN(J2272)</f>
        <v>12.8663624002457</v>
      </c>
      <c r="O2272" s="21" t="n">
        <f aca="false">AVERAGEIFS($N$2:$N$2705,$B$2:$B$2705,B2272)</f>
        <v>13.623936490804</v>
      </c>
      <c r="P2272" s="21" t="n">
        <f aca="false">N2272-O2272</f>
        <v>-0.757574090558371</v>
      </c>
      <c r="Q2272" s="7" t="n">
        <v>0</v>
      </c>
      <c r="R2272" s="3" t="n">
        <f aca="false">IF(AND(Q2272=1,B2272-_xlfn.MINIFS($B$2:$B$2705,$A$2:$A$2705,A2272)&lt;10),1,0)</f>
        <v>0</v>
      </c>
      <c r="S2272" s="7" t="n">
        <v>0</v>
      </c>
      <c r="T2272" s="3" t="n">
        <f aca="false">_xlfn.MINIFS($B$2:$B$2705,$A$2:$A$2705,A2272)</f>
        <v>1901</v>
      </c>
      <c r="U2272" s="3" t="n">
        <f aca="false">B2272-T2272</f>
        <v>110</v>
      </c>
      <c r="V2272" s="3" t="str">
        <f aca="false">INDEX(Pop_Inputs!$Q$2:$Q$29,MATCH(C2272,Pop_Inputs!$A$2:$A$29,0))</f>
        <v>Midwest</v>
      </c>
      <c r="W2272" s="29" t="n">
        <v>112737000</v>
      </c>
      <c r="X2272" s="3" t="n">
        <f aca="false">IF(W2272="","",LN(W2272))</f>
        <v>18.5405682303648</v>
      </c>
      <c r="Y2272" s="3" t="n">
        <f aca="false">IF(X2272="","",X2272-AVERAGEIFS($X$2:$X$2705,$B$2:$B$2705,B2272))</f>
        <v>0.287251861351933</v>
      </c>
      <c r="Z2272" s="21" t="n">
        <f aca="false">P2272</f>
        <v>-0.757574090558371</v>
      </c>
      <c r="AA2272" s="3" t="n">
        <f aca="false">R2272</f>
        <v>0</v>
      </c>
      <c r="AB2272" s="21" t="n">
        <f aca="false">P2272</f>
        <v>-0.757574090558371</v>
      </c>
      <c r="AC2272" s="3" t="n">
        <f aca="false">Y2272</f>
        <v>0.287251861351933</v>
      </c>
      <c r="AD2272" s="3" t="n">
        <f aca="false">R2272</f>
        <v>0</v>
      </c>
    </row>
    <row r="2273" customFormat="false" ht="15" hidden="false" customHeight="true" outlineLevel="0" collapsed="false">
      <c r="A2273" s="7" t="s">
        <v>75</v>
      </c>
      <c r="B2273" s="7" t="n">
        <v>2011</v>
      </c>
      <c r="C2273" s="7" t="s">
        <v>154</v>
      </c>
      <c r="D2273" s="7" t="n">
        <v>77</v>
      </c>
      <c r="E2273" s="7" t="n">
        <v>85</v>
      </c>
      <c r="F2273" s="3" t="n">
        <f aca="false">COUNTIFS($B$2:$B$2705,B2273,$C$2:$C$2705,C2273)</f>
        <v>2</v>
      </c>
      <c r="G2273" s="3" t="n">
        <f aca="false">MIN(INT((MIN(B2273,2020)-1900)/10)+1,12)</f>
        <v>12</v>
      </c>
      <c r="H2273" s="3" t="n">
        <f aca="false">(MIN(B2273,2020)-1900-10*(G2273-1))/10</f>
        <v>0.1</v>
      </c>
      <c r="I2273" s="20" t="n">
        <f aca="false">EXP(LN(INDEX(Pop_Inputs!$B$2:$N$29,MATCH(C2273,Pop_Inputs!$A$2:$A$29,0),G2273))*(1-H2273)+LN(INDEX(Pop_Inputs!$B$2:$N$29,MATCH(C2273,Pop_Inputs!$A$2:$A$29,0),G2273+1))*H2273)</f>
        <v>8235961.06419825</v>
      </c>
      <c r="J2273" s="20" t="n">
        <f aca="false">I2273/F2273</f>
        <v>4117980.53209912</v>
      </c>
      <c r="K2273" s="21" t="n">
        <f aca="false">D2273/(D2273+E2273)</f>
        <v>0.475308641975309</v>
      </c>
      <c r="L2273" s="21" t="n">
        <f aca="false">AVERAGEIFS($K$2:$K$2705,$B$2:$B$2705,B2273)</f>
        <v>0.500001278020602</v>
      </c>
      <c r="M2273" s="21" t="n">
        <f aca="false">K2273-L2273</f>
        <v>-0.024692636045293</v>
      </c>
      <c r="N2273" s="21" t="n">
        <f aca="false">LN(J2273)</f>
        <v>15.2308734390451</v>
      </c>
      <c r="O2273" s="21" t="n">
        <f aca="false">AVERAGEIFS($N$2:$N$2705,$B$2:$B$2705,B2273)</f>
        <v>13.623936490804</v>
      </c>
      <c r="P2273" s="21" t="n">
        <f aca="false">N2273-O2273</f>
        <v>1.60693694824108</v>
      </c>
      <c r="Q2273" s="7" t="n">
        <v>1</v>
      </c>
      <c r="R2273" s="3" t="n">
        <f aca="false">IF(AND(Q2273=1,B2273-_xlfn.MINIFS($B$2:$B$2705,$A$2:$A$2705,A2273)&lt;10),1,0)</f>
        <v>0</v>
      </c>
      <c r="S2273" s="7" t="n">
        <v>0</v>
      </c>
      <c r="T2273" s="3" t="n">
        <f aca="false">_xlfn.MINIFS($B$2:$B$2705,$A$2:$A$2705,A2273)</f>
        <v>1962</v>
      </c>
      <c r="U2273" s="3" t="n">
        <f aca="false">B2273-T2273</f>
        <v>49</v>
      </c>
      <c r="V2273" s="3" t="str">
        <f aca="false">INDEX(Pop_Inputs!$Q$2:$Q$29,MATCH(C2273,Pop_Inputs!$A$2:$A$29,0))</f>
        <v>Northeast</v>
      </c>
      <c r="W2273" s="29" t="n">
        <v>118847309</v>
      </c>
      <c r="X2273" s="3" t="n">
        <f aca="false">IF(W2273="","",LN(W2273))</f>
        <v>18.5933501095284</v>
      </c>
      <c r="Y2273" s="3" t="n">
        <f aca="false">IF(X2273="","",X2273-AVERAGEIFS($X$2:$X$2705,$B$2:$B$2705,B2273))</f>
        <v>0.340033740515612</v>
      </c>
      <c r="Z2273" s="21" t="n">
        <f aca="false">P2273</f>
        <v>1.60693694824108</v>
      </c>
      <c r="AA2273" s="3" t="n">
        <f aca="false">R2273</f>
        <v>0</v>
      </c>
      <c r="AB2273" s="21" t="n">
        <f aca="false">P2273</f>
        <v>1.60693694824108</v>
      </c>
      <c r="AC2273" s="3" t="n">
        <f aca="false">Y2273</f>
        <v>0.340033740515612</v>
      </c>
      <c r="AD2273" s="3" t="n">
        <f aca="false">R2273</f>
        <v>0</v>
      </c>
    </row>
    <row r="2274" customFormat="false" ht="15" hidden="false" customHeight="true" outlineLevel="0" collapsed="false">
      <c r="A2274" s="7" t="s">
        <v>70</v>
      </c>
      <c r="B2274" s="7" t="n">
        <v>2011</v>
      </c>
      <c r="C2274" s="7" t="s">
        <v>154</v>
      </c>
      <c r="D2274" s="7" t="n">
        <v>97</v>
      </c>
      <c r="E2274" s="7" t="n">
        <v>65</v>
      </c>
      <c r="F2274" s="3" t="n">
        <f aca="false">COUNTIFS($B$2:$B$2705,B2274,$C$2:$C$2705,C2274)</f>
        <v>2</v>
      </c>
      <c r="G2274" s="3" t="n">
        <f aca="false">MIN(INT((MIN(B2274,2020)-1900)/10)+1,12)</f>
        <v>12</v>
      </c>
      <c r="H2274" s="3" t="n">
        <f aca="false">(MIN(B2274,2020)-1900-10*(G2274-1))/10</f>
        <v>0.1</v>
      </c>
      <c r="I2274" s="20" t="n">
        <f aca="false">EXP(LN(INDEX(Pop_Inputs!$B$2:$N$29,MATCH(C2274,Pop_Inputs!$A$2:$A$29,0),G2274))*(1-H2274)+LN(INDEX(Pop_Inputs!$B$2:$N$29,MATCH(C2274,Pop_Inputs!$A$2:$A$29,0),G2274+1))*H2274)</f>
        <v>8235961.06419825</v>
      </c>
      <c r="J2274" s="20" t="n">
        <f aca="false">I2274/F2274</f>
        <v>4117980.53209912</v>
      </c>
      <c r="K2274" s="21" t="n">
        <f aca="false">D2274/(D2274+E2274)</f>
        <v>0.598765432098765</v>
      </c>
      <c r="L2274" s="21" t="n">
        <f aca="false">AVERAGEIFS($K$2:$K$2705,$B$2:$B$2705,B2274)</f>
        <v>0.500001278020602</v>
      </c>
      <c r="M2274" s="21" t="n">
        <f aca="false">K2274-L2274</f>
        <v>0.0987641540781638</v>
      </c>
      <c r="N2274" s="21" t="n">
        <f aca="false">LN(J2274)</f>
        <v>15.2308734390451</v>
      </c>
      <c r="O2274" s="21" t="n">
        <f aca="false">AVERAGEIFS($N$2:$N$2705,$B$2:$B$2705,B2274)</f>
        <v>13.623936490804</v>
      </c>
      <c r="P2274" s="21" t="n">
        <f aca="false">N2274-O2274</f>
        <v>1.60693694824108</v>
      </c>
      <c r="Q2274" s="7" t="n">
        <v>0</v>
      </c>
      <c r="R2274" s="3" t="n">
        <f aca="false">IF(AND(Q2274=1,B2274-_xlfn.MINIFS($B$2:$B$2705,$A$2:$A$2705,A2274)&lt;10),1,0)</f>
        <v>0</v>
      </c>
      <c r="S2274" s="7" t="n">
        <v>1</v>
      </c>
      <c r="T2274" s="3" t="n">
        <f aca="false">_xlfn.MINIFS($B$2:$B$2705,$A$2:$A$2705,A2274)</f>
        <v>1903</v>
      </c>
      <c r="U2274" s="3" t="n">
        <f aca="false">B2274-T2274</f>
        <v>108</v>
      </c>
      <c r="V2274" s="3" t="str">
        <f aca="false">INDEX(Pop_Inputs!$Q$2:$Q$29,MATCH(C2274,Pop_Inputs!$A$2:$A$29,0))</f>
        <v>Northeast</v>
      </c>
      <c r="W2274" s="29" t="n">
        <v>202275028</v>
      </c>
      <c r="X2274" s="3" t="n">
        <f aca="false">IF(W2274="","",LN(W2274))</f>
        <v>19.1251388540836</v>
      </c>
      <c r="Y2274" s="3" t="n">
        <f aca="false">IF(X2274="","",X2274-AVERAGEIFS($X$2:$X$2705,$B$2:$B$2705,B2274))</f>
        <v>0.871822485070744</v>
      </c>
      <c r="Z2274" s="21" t="n">
        <f aca="false">P2274</f>
        <v>1.60693694824108</v>
      </c>
      <c r="AA2274" s="3" t="n">
        <f aca="false">R2274</f>
        <v>0</v>
      </c>
      <c r="AB2274" s="21" t="n">
        <f aca="false">P2274</f>
        <v>1.60693694824108</v>
      </c>
      <c r="AC2274" s="3" t="n">
        <f aca="false">Y2274</f>
        <v>0.871822485070744</v>
      </c>
      <c r="AD2274" s="3" t="n">
        <f aca="false">R2274</f>
        <v>0</v>
      </c>
    </row>
    <row r="2275" customFormat="false" ht="15" hidden="false" customHeight="true" outlineLevel="0" collapsed="false">
      <c r="A2275" s="7" t="s">
        <v>69</v>
      </c>
      <c r="B2275" s="7" t="n">
        <v>2011</v>
      </c>
      <c r="C2275" s="7" t="s">
        <v>253</v>
      </c>
      <c r="D2275" s="7" t="n">
        <v>74</v>
      </c>
      <c r="E2275" s="7" t="n">
        <v>88</v>
      </c>
      <c r="F2275" s="3" t="n">
        <f aca="false">COUNTIFS($B$2:$B$2705,B2275,$C$2:$C$2705,C2275)</f>
        <v>1</v>
      </c>
      <c r="G2275" s="3" t="n">
        <f aca="false">MIN(INT((MIN(B2275,2020)-1900)/10)+1,12)</f>
        <v>12</v>
      </c>
      <c r="H2275" s="3" t="n">
        <f aca="false">(MIN(B2275,2020)-1900-10*(G2275-1))/10</f>
        <v>0.1</v>
      </c>
      <c r="I2275" s="20" t="n">
        <f aca="false">EXP(LN(INDEX(Pop_Inputs!$B$2:$N$29,MATCH(C2275,Pop_Inputs!$A$2:$A$29,0),G2275))*(1-H2275)+LN(INDEX(Pop_Inputs!$B$2:$N$29,MATCH(C2275,Pop_Inputs!$A$2:$A$29,0),G2275+1))*H2275)</f>
        <v>395450.439652563</v>
      </c>
      <c r="J2275" s="20" t="n">
        <f aca="false">I2275/F2275</f>
        <v>395450.439652563</v>
      </c>
      <c r="K2275" s="21" t="n">
        <f aca="false">D2275/(D2275+E2275)</f>
        <v>0.45679012345679</v>
      </c>
      <c r="L2275" s="21" t="n">
        <f aca="false">AVERAGEIFS($K$2:$K$2705,$B$2:$B$2705,B2275)</f>
        <v>0.500001278020602</v>
      </c>
      <c r="M2275" s="21" t="n">
        <f aca="false">K2275-L2275</f>
        <v>-0.0432111545638116</v>
      </c>
      <c r="N2275" s="21" t="n">
        <f aca="false">LN(J2275)</f>
        <v>12.8877807477248</v>
      </c>
      <c r="O2275" s="21" t="n">
        <f aca="false">AVERAGEIFS($N$2:$N$2705,$B$2:$B$2705,B2275)</f>
        <v>13.623936490804</v>
      </c>
      <c r="P2275" s="21" t="n">
        <f aca="false">N2275-O2275</f>
        <v>-0.73615574307922</v>
      </c>
      <c r="Q2275" s="7" t="n">
        <v>0</v>
      </c>
      <c r="R2275" s="3" t="n">
        <f aca="false">IF(AND(Q2275=1,B2275-_xlfn.MINIFS($B$2:$B$2705,$A$2:$A$2705,A2275)&lt;10),1,0)</f>
        <v>0</v>
      </c>
      <c r="S2275" s="7" t="n">
        <v>0</v>
      </c>
      <c r="T2275" s="3" t="n">
        <f aca="false">_xlfn.MINIFS($B$2:$B$2705,$A$2:$A$2705,A2275)</f>
        <v>1901</v>
      </c>
      <c r="U2275" s="3" t="n">
        <f aca="false">B2275-T2275</f>
        <v>110</v>
      </c>
      <c r="V2275" s="3" t="str">
        <f aca="false">INDEX(Pop_Inputs!$Q$2:$Q$29,MATCH(C2275,Pop_Inputs!$A$2:$A$29,0))</f>
        <v>West</v>
      </c>
      <c r="W2275" s="29" t="n">
        <v>66536500</v>
      </c>
      <c r="X2275" s="3" t="n">
        <f aca="false">IF(W2275="","",LN(W2275))</f>
        <v>18.0132612272313</v>
      </c>
      <c r="Y2275" s="3" t="n">
        <f aca="false">IF(X2275="","",X2275-AVERAGEIFS($X$2:$X$2705,$B$2:$B$2705,B2275))</f>
        <v>-0.240055141781543</v>
      </c>
      <c r="Z2275" s="21" t="n">
        <f aca="false">P2275</f>
        <v>-0.73615574307922</v>
      </c>
      <c r="AA2275" s="3" t="n">
        <f aca="false">R2275</f>
        <v>0</v>
      </c>
      <c r="AB2275" s="21" t="n">
        <f aca="false">P2275</f>
        <v>-0.73615574307922</v>
      </c>
      <c r="AC2275" s="3" t="n">
        <f aca="false">Y2275</f>
        <v>-0.240055141781543</v>
      </c>
      <c r="AD2275" s="3" t="n">
        <f aca="false">R2275</f>
        <v>0</v>
      </c>
    </row>
    <row r="2276" customFormat="false" ht="15" hidden="false" customHeight="true" outlineLevel="0" collapsed="false">
      <c r="A2276" s="7" t="s">
        <v>60</v>
      </c>
      <c r="B2276" s="7" t="n">
        <v>2011</v>
      </c>
      <c r="C2276" s="7" t="s">
        <v>146</v>
      </c>
      <c r="D2276" s="7" t="n">
        <v>102</v>
      </c>
      <c r="E2276" s="7" t="n">
        <v>60</v>
      </c>
      <c r="F2276" s="3" t="n">
        <f aca="false">COUNTIFS($B$2:$B$2705,B2276,$C$2:$C$2705,C2276)</f>
        <v>1</v>
      </c>
      <c r="G2276" s="3" t="n">
        <f aca="false">MIN(INT((MIN(B2276,2020)-1900)/10)+1,12)</f>
        <v>12</v>
      </c>
      <c r="H2276" s="3" t="n">
        <f aca="false">(MIN(B2276,2020)-1900-10*(G2276-1))/10</f>
        <v>0.1</v>
      </c>
      <c r="I2276" s="20" t="n">
        <f aca="false">EXP(LN(INDEX(Pop_Inputs!$B$2:$N$29,MATCH(C2276,Pop_Inputs!$A$2:$A$29,0),G2276))*(1-H2276)+LN(INDEX(Pop_Inputs!$B$2:$N$29,MATCH(C2276,Pop_Inputs!$A$2:$A$29,0),G2276+1))*H2276)</f>
        <v>1533612.2071459</v>
      </c>
      <c r="J2276" s="20" t="n">
        <f aca="false">I2276/F2276</f>
        <v>1533612.2071459</v>
      </c>
      <c r="K2276" s="21" t="n">
        <f aca="false">D2276/(D2276+E2276)</f>
        <v>0.62962962962963</v>
      </c>
      <c r="L2276" s="21" t="n">
        <f aca="false">AVERAGEIFS($K$2:$K$2705,$B$2:$B$2705,B2276)</f>
        <v>0.500001278020602</v>
      </c>
      <c r="M2276" s="21" t="n">
        <f aca="false">K2276-L2276</f>
        <v>0.129628351609028</v>
      </c>
      <c r="N2276" s="21" t="n">
        <f aca="false">LN(J2276)</f>
        <v>14.2431364304797</v>
      </c>
      <c r="O2276" s="21" t="n">
        <f aca="false">AVERAGEIFS($N$2:$N$2705,$B$2:$B$2705,B2276)</f>
        <v>13.623936490804</v>
      </c>
      <c r="P2276" s="21" t="n">
        <f aca="false">N2276-O2276</f>
        <v>0.619199939675644</v>
      </c>
      <c r="Q2276" s="7" t="n">
        <v>0</v>
      </c>
      <c r="R2276" s="3" t="n">
        <f aca="false">IF(AND(Q2276=1,B2276-_xlfn.MINIFS($B$2:$B$2705,$A$2:$A$2705,A2276)&lt;10),1,0)</f>
        <v>0</v>
      </c>
      <c r="S2276" s="7" t="n">
        <v>0</v>
      </c>
      <c r="T2276" s="3" t="n">
        <f aca="false">_xlfn.MINIFS($B$2:$B$2705,$A$2:$A$2705,A2276)</f>
        <v>1901</v>
      </c>
      <c r="U2276" s="3" t="n">
        <f aca="false">B2276-T2276</f>
        <v>110</v>
      </c>
      <c r="V2276" s="3" t="str">
        <f aca="false">INDEX(Pop_Inputs!$Q$2:$Q$29,MATCH(C2276,Pop_Inputs!$A$2:$A$29,0))</f>
        <v>Northeast</v>
      </c>
      <c r="W2276" s="29" t="n">
        <v>172976379</v>
      </c>
      <c r="X2276" s="3" t="n">
        <f aca="false">IF(W2276="","",LN(W2276))</f>
        <v>18.9686656055677</v>
      </c>
      <c r="Y2276" s="3" t="n">
        <f aca="false">IF(X2276="","",X2276-AVERAGEIFS($X$2:$X$2705,$B$2:$B$2705,B2276))</f>
        <v>0.715349236554861</v>
      </c>
      <c r="Z2276" s="21" t="n">
        <f aca="false">P2276</f>
        <v>0.619199939675644</v>
      </c>
      <c r="AA2276" s="3" t="n">
        <f aca="false">R2276</f>
        <v>0</v>
      </c>
      <c r="AB2276" s="21" t="n">
        <f aca="false">P2276</f>
        <v>0.619199939675644</v>
      </c>
      <c r="AC2276" s="3" t="n">
        <f aca="false">Y2276</f>
        <v>0.715349236554861</v>
      </c>
      <c r="AD2276" s="3" t="n">
        <f aca="false">R2276</f>
        <v>0</v>
      </c>
    </row>
    <row r="2277" customFormat="false" ht="15" hidden="false" customHeight="true" outlineLevel="0" collapsed="false">
      <c r="A2277" s="7" t="s">
        <v>58</v>
      </c>
      <c r="B2277" s="7" t="n">
        <v>2011</v>
      </c>
      <c r="C2277" s="7" t="s">
        <v>144</v>
      </c>
      <c r="D2277" s="7" t="n">
        <v>72</v>
      </c>
      <c r="E2277" s="7" t="n">
        <v>90</v>
      </c>
      <c r="F2277" s="3" t="n">
        <f aca="false">COUNTIFS($B$2:$B$2705,B2277,$C$2:$C$2705,C2277)</f>
        <v>1</v>
      </c>
      <c r="G2277" s="3" t="n">
        <f aca="false">MIN(INT((MIN(B2277,2020)-1900)/10)+1,12)</f>
        <v>12</v>
      </c>
      <c r="H2277" s="3" t="n">
        <f aca="false">(MIN(B2277,2020)-1900-10*(G2277-1))/10</f>
        <v>0.1</v>
      </c>
      <c r="I2277" s="20" t="n">
        <f aca="false">EXP(LN(INDEX(Pop_Inputs!$B$2:$N$29,MATCH(C2277,Pop_Inputs!$A$2:$A$29,0),G2277))*(1-H2277)+LN(INDEX(Pop_Inputs!$B$2:$N$29,MATCH(C2277,Pop_Inputs!$A$2:$A$29,0),G2277+1))*H2277)</f>
        <v>305429.594245639</v>
      </c>
      <c r="J2277" s="20" t="n">
        <f aca="false">I2277/F2277</f>
        <v>305429.594245639</v>
      </c>
      <c r="K2277" s="21" t="n">
        <f aca="false">D2277/(D2277+E2277)</f>
        <v>0.444444444444444</v>
      </c>
      <c r="L2277" s="21" t="n">
        <f aca="false">AVERAGEIFS($K$2:$K$2705,$B$2:$B$2705,B2277)</f>
        <v>0.500001278020602</v>
      </c>
      <c r="M2277" s="21" t="n">
        <f aca="false">K2277-L2277</f>
        <v>-0.0555568335761573</v>
      </c>
      <c r="N2277" s="21" t="n">
        <f aca="false">LN(J2277)</f>
        <v>12.6294745702992</v>
      </c>
      <c r="O2277" s="21" t="n">
        <f aca="false">AVERAGEIFS($N$2:$N$2705,$B$2:$B$2705,B2277)</f>
        <v>13.623936490804</v>
      </c>
      <c r="P2277" s="21" t="n">
        <f aca="false">N2277-O2277</f>
        <v>-0.99446192050482</v>
      </c>
      <c r="Q2277" s="7" t="n">
        <v>0</v>
      </c>
      <c r="R2277" s="3" t="n">
        <f aca="false">IF(AND(Q2277=1,B2277-_xlfn.MINIFS($B$2:$B$2705,$A$2:$A$2705,A2277)&lt;10),1,0)</f>
        <v>0</v>
      </c>
      <c r="S2277" s="7" t="n">
        <v>0</v>
      </c>
      <c r="T2277" s="3" t="n">
        <f aca="false">_xlfn.MINIFS($B$2:$B$2705,$A$2:$A$2705,A2277)</f>
        <v>1901</v>
      </c>
      <c r="U2277" s="3" t="n">
        <f aca="false">B2277-T2277</f>
        <v>110</v>
      </c>
      <c r="V2277" s="3" t="str">
        <f aca="false">INDEX(Pop_Inputs!$Q$2:$Q$29,MATCH(C2277,Pop_Inputs!$A$2:$A$29,0))</f>
        <v>Northeast</v>
      </c>
      <c r="W2277" s="29" t="n">
        <v>45047000</v>
      </c>
      <c r="X2277" s="3" t="n">
        <f aca="false">IF(W2277="","",LN(W2277))</f>
        <v>17.6232169471264</v>
      </c>
      <c r="Y2277" s="3" t="n">
        <f aca="false">IF(X2277="","",X2277-AVERAGEIFS($X$2:$X$2705,$B$2:$B$2705,B2277))</f>
        <v>-0.63009942188641</v>
      </c>
      <c r="Z2277" s="21" t="n">
        <f aca="false">P2277</f>
        <v>-0.99446192050482</v>
      </c>
      <c r="AA2277" s="3" t="n">
        <f aca="false">R2277</f>
        <v>0</v>
      </c>
      <c r="AB2277" s="21" t="n">
        <f aca="false">P2277</f>
        <v>-0.99446192050482</v>
      </c>
      <c r="AC2277" s="3" t="n">
        <f aca="false">Y2277</f>
        <v>-0.63009942188641</v>
      </c>
      <c r="AD2277" s="3" t="n">
        <f aca="false">R2277</f>
        <v>0</v>
      </c>
    </row>
    <row r="2278" customFormat="false" ht="15" hidden="false" customHeight="true" outlineLevel="0" collapsed="false">
      <c r="A2278" s="7" t="s">
        <v>78</v>
      </c>
      <c r="B2278" s="7" t="n">
        <v>2011</v>
      </c>
      <c r="C2278" s="7" t="s">
        <v>159</v>
      </c>
      <c r="D2278" s="7" t="n">
        <v>71</v>
      </c>
      <c r="E2278" s="7" t="n">
        <v>91</v>
      </c>
      <c r="F2278" s="3" t="n">
        <f aca="false">COUNTIFS($B$2:$B$2705,B2278,$C$2:$C$2705,C2278)</f>
        <v>1</v>
      </c>
      <c r="G2278" s="3" t="n">
        <f aca="false">MIN(INT((MIN(B2278,2020)-1900)/10)+1,12)</f>
        <v>12</v>
      </c>
      <c r="H2278" s="3" t="n">
        <f aca="false">(MIN(B2278,2020)-1900-10*(G2278-1))/10</f>
        <v>0.1</v>
      </c>
      <c r="I2278" s="20" t="n">
        <f aca="false">EXP(LN(INDEX(Pop_Inputs!$B$2:$N$29,MATCH(C2278,Pop_Inputs!$A$2:$A$29,0),G2278))*(1-H2278)+LN(INDEX(Pop_Inputs!$B$2:$N$29,MATCH(C2278,Pop_Inputs!$A$2:$A$29,0),G2278+1))*H2278)</f>
        <v>1315145.33061307</v>
      </c>
      <c r="J2278" s="20" t="n">
        <f aca="false">I2278/F2278</f>
        <v>1315145.33061307</v>
      </c>
      <c r="K2278" s="21" t="n">
        <f aca="false">D2278/(D2278+E2278)</f>
        <v>0.438271604938272</v>
      </c>
      <c r="L2278" s="21" t="n">
        <f aca="false">AVERAGEIFS($K$2:$K$2705,$B$2:$B$2705,B2278)</f>
        <v>0.500001278020602</v>
      </c>
      <c r="M2278" s="21" t="n">
        <f aca="false">K2278-L2278</f>
        <v>-0.0617296730823301</v>
      </c>
      <c r="N2278" s="21" t="n">
        <f aca="false">LN(J2278)</f>
        <v>14.0894577350639</v>
      </c>
      <c r="O2278" s="21" t="n">
        <f aca="false">AVERAGEIFS($N$2:$N$2705,$B$2:$B$2705,B2278)</f>
        <v>13.623936490804</v>
      </c>
      <c r="P2278" s="21" t="n">
        <f aca="false">N2278-O2278</f>
        <v>0.465521244259815</v>
      </c>
      <c r="Q2278" s="7" t="n">
        <v>1</v>
      </c>
      <c r="R2278" s="3" t="n">
        <f aca="false">IF(AND(Q2278=1,B2278-_xlfn.MINIFS($B$2:$B$2705,$A$2:$A$2705,A2278)&lt;10),1,0)</f>
        <v>0</v>
      </c>
      <c r="S2278" s="7" t="n">
        <v>0</v>
      </c>
      <c r="T2278" s="3" t="n">
        <f aca="false">_xlfn.MINIFS($B$2:$B$2705,$A$2:$A$2705,A2278)</f>
        <v>1969</v>
      </c>
      <c r="U2278" s="3" t="n">
        <f aca="false">B2278-T2278</f>
        <v>42</v>
      </c>
      <c r="V2278" s="3" t="str">
        <f aca="false">INDEX(Pop_Inputs!$Q$2:$Q$29,MATCH(C2278,Pop_Inputs!$A$2:$A$29,0))</f>
        <v>West</v>
      </c>
      <c r="W2278" s="29" t="n">
        <v>45869140</v>
      </c>
      <c r="X2278" s="3" t="n">
        <f aca="false">IF(W2278="","",LN(W2278))</f>
        <v>17.6413031177601</v>
      </c>
      <c r="Y2278" s="3" t="n">
        <f aca="false">IF(X2278="","",X2278-AVERAGEIFS($X$2:$X$2705,$B$2:$B$2705,B2278))</f>
        <v>-0.612013251252694</v>
      </c>
      <c r="Z2278" s="21" t="n">
        <f aca="false">P2278</f>
        <v>0.465521244259815</v>
      </c>
      <c r="AA2278" s="3" t="n">
        <f aca="false">R2278</f>
        <v>0</v>
      </c>
      <c r="AB2278" s="21" t="n">
        <f aca="false">P2278</f>
        <v>0.465521244259815</v>
      </c>
      <c r="AC2278" s="3" t="n">
        <f aca="false">Y2278</f>
        <v>-0.612013251252694</v>
      </c>
      <c r="AD2278" s="3" t="n">
        <f aca="false">R2278</f>
        <v>0</v>
      </c>
    </row>
    <row r="2279" customFormat="false" ht="15" hidden="false" customHeight="true" outlineLevel="0" collapsed="false">
      <c r="A2279" s="7" t="s">
        <v>80</v>
      </c>
      <c r="B2279" s="7" t="n">
        <v>2011</v>
      </c>
      <c r="C2279" s="7" t="s">
        <v>161</v>
      </c>
      <c r="D2279" s="7" t="n">
        <v>67</v>
      </c>
      <c r="E2279" s="7" t="n">
        <v>95</v>
      </c>
      <c r="F2279" s="3" t="n">
        <f aca="false">COUNTIFS($B$2:$B$2705,B2279,$C$2:$C$2705,C2279)</f>
        <v>1</v>
      </c>
      <c r="G2279" s="3" t="n">
        <f aca="false">MIN(INT((MIN(B2279,2020)-1900)/10)+1,12)</f>
        <v>12</v>
      </c>
      <c r="H2279" s="3" t="n">
        <f aca="false">(MIN(B2279,2020)-1900-10*(G2279-1))/10</f>
        <v>0.1</v>
      </c>
      <c r="I2279" s="20" t="n">
        <f aca="false">EXP(LN(INDEX(Pop_Inputs!$B$2:$N$29,MATCH(C2279,Pop_Inputs!$A$2:$A$29,0),G2279))*(1-H2279)+LN(INDEX(Pop_Inputs!$B$2:$N$29,MATCH(C2279,Pop_Inputs!$A$2:$A$29,0),G2279+1))*H2279)</f>
        <v>620418.755438229</v>
      </c>
      <c r="J2279" s="20" t="n">
        <f aca="false">I2279/F2279</f>
        <v>620418.755438229</v>
      </c>
      <c r="K2279" s="21" t="n">
        <f aca="false">D2279/(D2279+E2279)</f>
        <v>0.41358024691358</v>
      </c>
      <c r="L2279" s="21" t="n">
        <f aca="false">AVERAGEIFS($K$2:$K$2705,$B$2:$B$2705,B2279)</f>
        <v>0.500001278020602</v>
      </c>
      <c r="M2279" s="21" t="n">
        <f aca="false">K2279-L2279</f>
        <v>-0.0864210311070214</v>
      </c>
      <c r="N2279" s="21" t="n">
        <f aca="false">LN(J2279)</f>
        <v>13.3381499410304</v>
      </c>
      <c r="O2279" s="21" t="n">
        <f aca="false">AVERAGEIFS($N$2:$N$2705,$B$2:$B$2705,B2279)</f>
        <v>13.623936490804</v>
      </c>
      <c r="P2279" s="21" t="n">
        <f aca="false">N2279-O2279</f>
        <v>-0.285786549773659</v>
      </c>
      <c r="Q2279" s="7" t="n">
        <v>1</v>
      </c>
      <c r="R2279" s="3" t="n">
        <f aca="false">IF(AND(Q2279=1,B2279-_xlfn.MINIFS($B$2:$B$2705,$A$2:$A$2705,A2279)&lt;10),1,0)</f>
        <v>0</v>
      </c>
      <c r="S2279" s="7" t="n">
        <v>0</v>
      </c>
      <c r="T2279" s="3" t="n">
        <f aca="false">_xlfn.MINIFS($B$2:$B$2705,$A$2:$A$2705,A2279)</f>
        <v>1977</v>
      </c>
      <c r="U2279" s="3" t="n">
        <f aca="false">B2279-T2279</f>
        <v>34</v>
      </c>
      <c r="V2279" s="3" t="str">
        <f aca="false">INDEX(Pop_Inputs!$Q$2:$Q$29,MATCH(C2279,Pop_Inputs!$A$2:$A$29,0))</f>
        <v>West</v>
      </c>
      <c r="W2279" s="29" t="n">
        <v>86110600</v>
      </c>
      <c r="X2279" s="3" t="n">
        <f aca="false">IF(W2279="","",LN(W2279))</f>
        <v>18.2711430744799</v>
      </c>
      <c r="Y2279" s="3" t="n">
        <f aca="false">IF(X2279="","",X2279-AVERAGEIFS($X$2:$X$2705,$B$2:$B$2705,B2279))</f>
        <v>0.0178267054670798</v>
      </c>
      <c r="Z2279" s="21" t="n">
        <f aca="false">P2279</f>
        <v>-0.285786549773659</v>
      </c>
      <c r="AA2279" s="3" t="n">
        <f aca="false">R2279</f>
        <v>0</v>
      </c>
      <c r="AB2279" s="21" t="n">
        <f aca="false">P2279</f>
        <v>-0.285786549773659</v>
      </c>
      <c r="AC2279" s="3" t="n">
        <f aca="false">Y2279</f>
        <v>0.0178267054670798</v>
      </c>
      <c r="AD2279" s="3" t="n">
        <f aca="false">R2279</f>
        <v>0</v>
      </c>
    </row>
    <row r="2280" customFormat="false" ht="15" hidden="false" customHeight="true" outlineLevel="0" collapsed="false">
      <c r="A2280" s="7" t="s">
        <v>61</v>
      </c>
      <c r="B2280" s="7" t="n">
        <v>2011</v>
      </c>
      <c r="C2280" s="7" t="s">
        <v>147</v>
      </c>
      <c r="D2280" s="7" t="n">
        <v>86</v>
      </c>
      <c r="E2280" s="7" t="n">
        <v>76</v>
      </c>
      <c r="F2280" s="3" t="n">
        <f aca="false">COUNTIFS($B$2:$B$2705,B2280,$C$2:$C$2705,C2280)</f>
        <v>1</v>
      </c>
      <c r="G2280" s="3" t="n">
        <f aca="false">MIN(INT((MIN(B2280,2020)-1900)/10)+1,12)</f>
        <v>12</v>
      </c>
      <c r="H2280" s="3" t="n">
        <f aca="false">(MIN(B2280,2020)-1900-10*(G2280-1))/10</f>
        <v>0.1</v>
      </c>
      <c r="I2280" s="20" t="n">
        <f aca="false">EXP(LN(INDEX(Pop_Inputs!$B$2:$N$29,MATCH(C2280,Pop_Inputs!$A$2:$A$29,0),G2280))*(1-H2280)+LN(INDEX(Pop_Inputs!$B$2:$N$29,MATCH(C2280,Pop_Inputs!$A$2:$A$29,0),G2280+1))*H2280)</f>
        <v>811857.455358155</v>
      </c>
      <c r="J2280" s="20" t="n">
        <f aca="false">I2280/F2280</f>
        <v>811857.455358155</v>
      </c>
      <c r="K2280" s="21" t="n">
        <f aca="false">D2280/(D2280+E2280)</f>
        <v>0.530864197530864</v>
      </c>
      <c r="L2280" s="21" t="n">
        <f aca="false">AVERAGEIFS($K$2:$K$2705,$B$2:$B$2705,B2280)</f>
        <v>0.500001278020602</v>
      </c>
      <c r="M2280" s="21" t="n">
        <f aca="false">K2280-L2280</f>
        <v>0.0308629195102625</v>
      </c>
      <c r="N2280" s="21" t="n">
        <f aca="false">LN(J2280)</f>
        <v>13.6070800561451</v>
      </c>
      <c r="O2280" s="21" t="n">
        <f aca="false">AVERAGEIFS($N$2:$N$2705,$B$2:$B$2705,B2280)</f>
        <v>13.623936490804</v>
      </c>
      <c r="P2280" s="21" t="n">
        <f aca="false">N2280-O2280</f>
        <v>-0.0168564346589903</v>
      </c>
      <c r="Q2280" s="7" t="n">
        <v>0</v>
      </c>
      <c r="R2280" s="3" t="n">
        <f aca="false">IF(AND(Q2280=1,B2280-_xlfn.MINIFS($B$2:$B$2705,$A$2:$A$2705,A2280)&lt;10),1,0)</f>
        <v>0</v>
      </c>
      <c r="S2280" s="7" t="n">
        <v>0</v>
      </c>
      <c r="T2280" s="3" t="n">
        <f aca="false">_xlfn.MINIFS($B$2:$B$2705,$A$2:$A$2705,A2280)</f>
        <v>1901</v>
      </c>
      <c r="U2280" s="3" t="n">
        <f aca="false">B2280-T2280</f>
        <v>110</v>
      </c>
      <c r="V2280" s="3" t="str">
        <f aca="false">INDEX(Pop_Inputs!$Q$2:$Q$29,MATCH(C2280,Pop_Inputs!$A$2:$A$29,0))</f>
        <v>West</v>
      </c>
      <c r="W2280" s="29" t="n">
        <v>118198333</v>
      </c>
      <c r="X2280" s="3" t="n">
        <f aca="false">IF(W2280="","",LN(W2280))</f>
        <v>18.5878745596219</v>
      </c>
      <c r="Y2280" s="3" t="n">
        <f aca="false">IF(X2280="","",X2280-AVERAGEIFS($X$2:$X$2705,$B$2:$B$2705,B2280))</f>
        <v>0.334558190609094</v>
      </c>
      <c r="Z2280" s="21" t="n">
        <f aca="false">P2280</f>
        <v>-0.0168564346589903</v>
      </c>
      <c r="AA2280" s="3" t="n">
        <f aca="false">R2280</f>
        <v>0</v>
      </c>
      <c r="AB2280" s="21" t="n">
        <f aca="false">P2280</f>
        <v>-0.0168564346589903</v>
      </c>
      <c r="AC2280" s="3" t="n">
        <f aca="false">Y2280</f>
        <v>0.334558190609094</v>
      </c>
      <c r="AD2280" s="3" t="n">
        <f aca="false">R2280</f>
        <v>0</v>
      </c>
    </row>
    <row r="2281" customFormat="false" ht="15" hidden="false" customHeight="true" outlineLevel="0" collapsed="false">
      <c r="A2281" s="7" t="s">
        <v>59</v>
      </c>
      <c r="B2281" s="7" t="n">
        <v>2011</v>
      </c>
      <c r="C2281" s="7" t="s">
        <v>145</v>
      </c>
      <c r="D2281" s="7" t="n">
        <v>90</v>
      </c>
      <c r="E2281" s="7" t="n">
        <v>72</v>
      </c>
      <c r="F2281" s="3" t="n">
        <f aca="false">COUNTIFS($B$2:$B$2705,B2281,$C$2:$C$2705,C2281)</f>
        <v>1</v>
      </c>
      <c r="G2281" s="3" t="n">
        <f aca="false">MIN(INT((MIN(B2281,2020)-1900)/10)+1,12)</f>
        <v>12</v>
      </c>
      <c r="H2281" s="3" t="n">
        <f aca="false">(MIN(B2281,2020)-1900-10*(G2281-1))/10</f>
        <v>0.1</v>
      </c>
      <c r="I2281" s="20" t="n">
        <f aca="false">EXP(LN(INDEX(Pop_Inputs!$B$2:$N$29,MATCH(C2281,Pop_Inputs!$A$2:$A$29,0),G2281))*(1-H2281)+LN(INDEX(Pop_Inputs!$B$2:$N$29,MATCH(C2281,Pop_Inputs!$A$2:$A$29,0),G2281+1))*H2281)</f>
        <v>317476.546563322</v>
      </c>
      <c r="J2281" s="20" t="n">
        <f aca="false">I2281/F2281</f>
        <v>317476.546563322</v>
      </c>
      <c r="K2281" s="21" t="n">
        <f aca="false">D2281/(D2281+E2281)</f>
        <v>0.555555555555556</v>
      </c>
      <c r="L2281" s="21" t="n">
        <f aca="false">AVERAGEIFS($K$2:$K$2705,$B$2:$B$2705,B2281)</f>
        <v>0.500001278020602</v>
      </c>
      <c r="M2281" s="21" t="n">
        <f aca="false">K2281-L2281</f>
        <v>0.0555542775349539</v>
      </c>
      <c r="N2281" s="21" t="n">
        <f aca="false">LN(J2281)</f>
        <v>12.6681592254945</v>
      </c>
      <c r="O2281" s="21" t="n">
        <f aca="false">AVERAGEIFS($N$2:$N$2705,$B$2:$B$2705,B2281)</f>
        <v>13.623936490804</v>
      </c>
      <c r="P2281" s="21" t="n">
        <f aca="false">N2281-O2281</f>
        <v>-0.955777265309518</v>
      </c>
      <c r="Q2281" s="7" t="n">
        <v>0</v>
      </c>
      <c r="R2281" s="3" t="n">
        <f aca="false">IF(AND(Q2281=1,B2281-_xlfn.MINIFS($B$2:$B$2705,$A$2:$A$2705,A2281)&lt;10),1,0)</f>
        <v>0</v>
      </c>
      <c r="S2281" s="7" t="n">
        <v>0</v>
      </c>
      <c r="T2281" s="3" t="n">
        <f aca="false">_xlfn.MINIFS($B$2:$B$2705,$A$2:$A$2705,A2281)</f>
        <v>1901</v>
      </c>
      <c r="U2281" s="3" t="n">
        <f aca="false">B2281-T2281</f>
        <v>110</v>
      </c>
      <c r="V2281" s="3" t="str">
        <f aca="false">INDEX(Pop_Inputs!$Q$2:$Q$29,MATCH(C2281,Pop_Inputs!$A$2:$A$29,0))</f>
        <v>Midwest</v>
      </c>
      <c r="W2281" s="29" t="n">
        <v>105433572</v>
      </c>
      <c r="X2281" s="3" t="n">
        <f aca="false">IF(W2281="","",LN(W2281))</f>
        <v>18.4735916632789</v>
      </c>
      <c r="Y2281" s="3" t="n">
        <f aca="false">IF(X2281="","",X2281-AVERAGEIFS($X$2:$X$2705,$B$2:$B$2705,B2281))</f>
        <v>0.220275294266095</v>
      </c>
      <c r="Z2281" s="21" t="n">
        <f aca="false">P2281</f>
        <v>-0.955777265309518</v>
      </c>
      <c r="AA2281" s="3" t="n">
        <f aca="false">R2281</f>
        <v>0</v>
      </c>
      <c r="AB2281" s="21" t="n">
        <f aca="false">P2281</f>
        <v>-0.955777265309518</v>
      </c>
      <c r="AC2281" s="3" t="n">
        <f aca="false">Y2281</f>
        <v>0.220275294266095</v>
      </c>
      <c r="AD2281" s="3" t="n">
        <f aca="false">R2281</f>
        <v>0</v>
      </c>
    </row>
    <row r="2282" customFormat="false" ht="15" hidden="false" customHeight="true" outlineLevel="0" collapsed="false">
      <c r="A2282" s="7" t="s">
        <v>85</v>
      </c>
      <c r="B2282" s="7" t="n">
        <v>2011</v>
      </c>
      <c r="C2282" s="7" t="s">
        <v>166</v>
      </c>
      <c r="D2282" s="7" t="n">
        <v>91</v>
      </c>
      <c r="E2282" s="7" t="n">
        <v>71</v>
      </c>
      <c r="F2282" s="3" t="n">
        <f aca="false">COUNTIFS($B$2:$B$2705,B2282,$C$2:$C$2705,C2282)</f>
        <v>1</v>
      </c>
      <c r="G2282" s="3" t="n">
        <f aca="false">MIN(INT((MIN(B2282,2020)-1900)/10)+1,12)</f>
        <v>12</v>
      </c>
      <c r="H2282" s="3" t="n">
        <f aca="false">(MIN(B2282,2020)-1900-10*(G2282-1))/10</f>
        <v>0.1</v>
      </c>
      <c r="I2282" s="20" t="n">
        <f aca="false">EXP(LN(INDEX(Pop_Inputs!$B$2:$N$29,MATCH(C2282,Pop_Inputs!$A$2:$A$29,0),G2282))*(1-H2282)+LN(INDEX(Pop_Inputs!$B$2:$N$29,MATCH(C2282,Pop_Inputs!$A$2:$A$29,0),G2282+1))*H2282)</f>
        <v>340336.190772006</v>
      </c>
      <c r="J2282" s="20" t="n">
        <f aca="false">I2282/F2282</f>
        <v>340336.190772006</v>
      </c>
      <c r="K2282" s="21" t="n">
        <f aca="false">D2282/(D2282+E2282)</f>
        <v>0.561728395061728</v>
      </c>
      <c r="L2282" s="21" t="n">
        <f aca="false">AVERAGEIFS($K$2:$K$2705,$B$2:$B$2705,B2282)</f>
        <v>0.500001278020602</v>
      </c>
      <c r="M2282" s="21" t="n">
        <f aca="false">K2282-L2282</f>
        <v>0.0617271170411268</v>
      </c>
      <c r="N2282" s="21" t="n">
        <f aca="false">LN(J2282)</f>
        <v>12.7376892044435</v>
      </c>
      <c r="O2282" s="21" t="n">
        <f aca="false">AVERAGEIFS($N$2:$N$2705,$B$2:$B$2705,B2282)</f>
        <v>13.623936490804</v>
      </c>
      <c r="P2282" s="21" t="n">
        <f aca="false">N2282-O2282</f>
        <v>-0.886247286360581</v>
      </c>
      <c r="Q2282" s="7" t="n">
        <v>1</v>
      </c>
      <c r="R2282" s="3" t="n">
        <f aca="false">IF(AND(Q2282=1,B2282-_xlfn.MINIFS($B$2:$B$2705,$A$2:$A$2705,A2282)&lt;10),1,0)</f>
        <v>0</v>
      </c>
      <c r="S2282" s="7" t="n">
        <v>0</v>
      </c>
      <c r="T2282" s="3" t="n">
        <f aca="false">_xlfn.MINIFS($B$2:$B$2705,$A$2:$A$2705,A2282)</f>
        <v>1998</v>
      </c>
      <c r="U2282" s="3" t="n">
        <f aca="false">B2282-T2282</f>
        <v>13</v>
      </c>
      <c r="V2282" s="3" t="str">
        <f aca="false">INDEX(Pop_Inputs!$Q$2:$Q$29,MATCH(C2282,Pop_Inputs!$A$2:$A$29,0))</f>
        <v>South</v>
      </c>
      <c r="W2282" s="29" t="n">
        <v>41053571</v>
      </c>
      <c r="X2282" s="3" t="n">
        <f aca="false">IF(W2282="","",LN(W2282))</f>
        <v>17.530388381553</v>
      </c>
      <c r="Y2282" s="3" t="n">
        <f aca="false">IF(X2282="","",X2282-AVERAGEIFS($X$2:$X$2705,$B$2:$B$2705,B2282))</f>
        <v>-0.722927987459851</v>
      </c>
      <c r="Z2282" s="21" t="n">
        <f aca="false">P2282</f>
        <v>-0.886247286360581</v>
      </c>
      <c r="AA2282" s="3" t="n">
        <f aca="false">R2282</f>
        <v>0</v>
      </c>
      <c r="AB2282" s="21" t="n">
        <f aca="false">P2282</f>
        <v>-0.886247286360581</v>
      </c>
      <c r="AC2282" s="3" t="n">
        <f aca="false">Y2282</f>
        <v>-0.722927987459851</v>
      </c>
      <c r="AD2282" s="3" t="n">
        <f aca="false">R2282</f>
        <v>0</v>
      </c>
    </row>
    <row r="2283" customFormat="false" ht="15" hidden="false" customHeight="true" outlineLevel="0" collapsed="false">
      <c r="A2283" s="7" t="s">
        <v>73</v>
      </c>
      <c r="B2283" s="7" t="n">
        <v>2011</v>
      </c>
      <c r="C2283" s="7" t="s">
        <v>155</v>
      </c>
      <c r="D2283" s="7" t="n">
        <v>96</v>
      </c>
      <c r="E2283" s="7" t="n">
        <v>66</v>
      </c>
      <c r="F2283" s="3" t="n">
        <f aca="false">COUNTIFS($B$2:$B$2705,B2283,$C$2:$C$2705,C2283)</f>
        <v>1</v>
      </c>
      <c r="G2283" s="3" t="n">
        <f aca="false">MIN(INT((MIN(B2283,2020)-1900)/10)+1,12)</f>
        <v>12</v>
      </c>
      <c r="H2283" s="3" t="n">
        <f aca="false">(MIN(B2283,2020)-1900-10*(G2283-1))/10</f>
        <v>0.1</v>
      </c>
      <c r="I2283" s="20" t="n">
        <f aca="false">EXP(LN(INDEX(Pop_Inputs!$B$2:$N$29,MATCH(C2283,Pop_Inputs!$A$2:$A$29,0),G2283))*(1-H2283)+LN(INDEX(Pop_Inputs!$B$2:$N$29,MATCH(C2283,Pop_Inputs!$A$2:$A$29,0),G2283+1))*H2283)</f>
        <v>1208068.27296204</v>
      </c>
      <c r="J2283" s="20" t="n">
        <f aca="false">I2283/F2283</f>
        <v>1208068.27296204</v>
      </c>
      <c r="K2283" s="21" t="n">
        <f aca="false">D2283/(D2283+E2283)</f>
        <v>0.592592592592593</v>
      </c>
      <c r="L2283" s="21" t="n">
        <f aca="false">AVERAGEIFS($K$2:$K$2705,$B$2:$B$2705,B2283)</f>
        <v>0.500001278020602</v>
      </c>
      <c r="M2283" s="21" t="n">
        <f aca="false">K2283-L2283</f>
        <v>0.0925913145719909</v>
      </c>
      <c r="N2283" s="21" t="n">
        <f aca="false">LN(J2283)</f>
        <v>14.0045331732325</v>
      </c>
      <c r="O2283" s="21" t="n">
        <f aca="false">AVERAGEIFS($N$2:$N$2705,$B$2:$B$2705,B2283)</f>
        <v>13.623936490804</v>
      </c>
      <c r="P2283" s="21" t="n">
        <f aca="false">N2283-O2283</f>
        <v>0.380596682428486</v>
      </c>
      <c r="Q2283" s="7" t="n">
        <v>1</v>
      </c>
      <c r="R2283" s="3" t="n">
        <f aca="false">IF(AND(Q2283=1,B2283-_xlfn.MINIFS($B$2:$B$2705,$A$2:$A$2705,A2283)&lt;10),1,0)</f>
        <v>0</v>
      </c>
      <c r="S2283" s="7" t="n">
        <v>0</v>
      </c>
      <c r="T2283" s="3" t="n">
        <f aca="false">_xlfn.MINIFS($B$2:$B$2705,$A$2:$A$2705,A2283)</f>
        <v>1961</v>
      </c>
      <c r="U2283" s="3" t="n">
        <f aca="false">B2283-T2283</f>
        <v>50</v>
      </c>
      <c r="V2283" s="3" t="str">
        <f aca="false">INDEX(Pop_Inputs!$Q$2:$Q$29,MATCH(C2283,Pop_Inputs!$A$2:$A$29,0))</f>
        <v>South</v>
      </c>
      <c r="W2283" s="29" t="n">
        <v>92299264</v>
      </c>
      <c r="X2283" s="3" t="n">
        <f aca="false">IF(W2283="","",LN(W2283))</f>
        <v>18.3405467254435</v>
      </c>
      <c r="Y2283" s="3" t="n">
        <f aca="false">IF(X2283="","",X2283-AVERAGEIFS($X$2:$X$2705,$B$2:$B$2705,B2283))</f>
        <v>0.0872303564306201</v>
      </c>
      <c r="Z2283" s="21" t="n">
        <f aca="false">P2283</f>
        <v>0.380596682428486</v>
      </c>
      <c r="AA2283" s="3" t="n">
        <f aca="false">R2283</f>
        <v>0</v>
      </c>
      <c r="AB2283" s="21" t="n">
        <f aca="false">P2283</f>
        <v>0.380596682428486</v>
      </c>
      <c r="AC2283" s="3" t="n">
        <f aca="false">Y2283</f>
        <v>0.0872303564306201</v>
      </c>
      <c r="AD2283" s="3" t="n">
        <f aca="false">R2283</f>
        <v>0</v>
      </c>
    </row>
    <row r="2284" customFormat="false" ht="15" hidden="false" customHeight="true" outlineLevel="0" collapsed="false">
      <c r="A2284" s="7" t="s">
        <v>81</v>
      </c>
      <c r="B2284" s="7" t="n">
        <v>2011</v>
      </c>
      <c r="C2284" s="7" t="s">
        <v>162</v>
      </c>
      <c r="D2284" s="7" t="n">
        <v>81</v>
      </c>
      <c r="E2284" s="7" t="n">
        <v>81</v>
      </c>
      <c r="F2284" s="3" t="n">
        <f aca="false">COUNTIFS($B$2:$B$2705,B2284,$C$2:$C$2705,C2284)</f>
        <v>1</v>
      </c>
      <c r="G2284" s="3" t="n">
        <f aca="false">MIN(INT((MIN(B2284,2020)-1900)/10)+1,12)</f>
        <v>12</v>
      </c>
      <c r="H2284" s="3" t="n">
        <f aca="false">(MIN(B2284,2020)-1900-10*(G2284-1))/10</f>
        <v>0.1</v>
      </c>
      <c r="I2284" s="20" t="n">
        <f aca="false">EXP(LN(INDEX(Pop_Inputs!$B$2:$N$29,MATCH(C2284,Pop_Inputs!$A$2:$A$29,0),G2284))*(1-H2284)+LN(INDEX(Pop_Inputs!$B$2:$N$29,MATCH(C2284,Pop_Inputs!$A$2:$A$29,0),G2284+1))*H2284)</f>
        <v>2632459.30043999</v>
      </c>
      <c r="J2284" s="20" t="n">
        <f aca="false">I2284/F2284</f>
        <v>2632459.30043999</v>
      </c>
      <c r="K2284" s="21" t="n">
        <f aca="false">D2284/(D2284+E2284)</f>
        <v>0.5</v>
      </c>
      <c r="L2284" s="21" t="n">
        <f aca="false">AVERAGEIFS($K$2:$K$2705,$B$2:$B$2705,B2284)</f>
        <v>0.500001278020602</v>
      </c>
      <c r="M2284" s="21" t="n">
        <f aca="false">K2284-L2284</f>
        <v>-1.27802060168047E-006</v>
      </c>
      <c r="N2284" s="21" t="n">
        <f aca="false">LN(J2284)</f>
        <v>14.7834290624491</v>
      </c>
      <c r="O2284" s="21" t="n">
        <f aca="false">AVERAGEIFS($N$2:$N$2705,$B$2:$B$2705,B2284)</f>
        <v>13.623936490804</v>
      </c>
      <c r="P2284" s="21" t="n">
        <f aca="false">N2284-O2284</f>
        <v>1.15949257164505</v>
      </c>
      <c r="Q2284" s="7" t="n">
        <v>1</v>
      </c>
      <c r="R2284" s="3" t="n">
        <f aca="false">IF(AND(Q2284=1,B2284-_xlfn.MINIFS($B$2:$B$2705,$A$2:$A$2705,A2284)&lt;10),1,0)</f>
        <v>0</v>
      </c>
      <c r="S2284" s="7" t="n">
        <v>0</v>
      </c>
      <c r="T2284" s="3" t="n">
        <f aca="false">_xlfn.MINIFS($B$2:$B$2705,$A$2:$A$2705,A2284)</f>
        <v>1977</v>
      </c>
      <c r="U2284" s="3" t="n">
        <f aca="false">B2284-T2284</f>
        <v>34</v>
      </c>
      <c r="V2284" s="3" t="str">
        <f aca="false">INDEX(Pop_Inputs!$Q$2:$Q$29,MATCH(C2284,Pop_Inputs!$A$2:$A$29,0))</f>
        <v>Canada</v>
      </c>
      <c r="W2284" s="29" t="n">
        <v>62567800</v>
      </c>
      <c r="X2284" s="3" t="n">
        <f aca="false">IF(W2284="","",LN(W2284))</f>
        <v>17.9517613267363</v>
      </c>
      <c r="Y2284" s="3" t="n">
        <f aca="false">IF(X2284="","",X2284-AVERAGEIFS($X$2:$X$2705,$B$2:$B$2705,B2284))</f>
        <v>-0.301555042276544</v>
      </c>
      <c r="Z2284" s="21" t="n">
        <f aca="false">P2284</f>
        <v>1.15949257164505</v>
      </c>
      <c r="AA2284" s="3" t="n">
        <f aca="false">R2284</f>
        <v>0</v>
      </c>
      <c r="AB2284" s="21" t="n">
        <f aca="false">P2284</f>
        <v>1.15949257164505</v>
      </c>
      <c r="AC2284" s="3" t="n">
        <f aca="false">Y2284</f>
        <v>-0.301555042276544</v>
      </c>
      <c r="AD2284" s="3" t="n">
        <f aca="false">R2284</f>
        <v>0</v>
      </c>
    </row>
    <row r="2285" customFormat="false" ht="15" hidden="false" customHeight="true" outlineLevel="0" collapsed="false">
      <c r="A2285" s="7" t="s">
        <v>79</v>
      </c>
      <c r="B2285" s="7" t="n">
        <v>2011</v>
      </c>
      <c r="C2285" s="7" t="s">
        <v>160</v>
      </c>
      <c r="D2285" s="7" t="n">
        <v>80</v>
      </c>
      <c r="E2285" s="7" t="n">
        <v>81</v>
      </c>
      <c r="F2285" s="3" t="n">
        <f aca="false">COUNTIFS($B$2:$B$2705,B2285,$C$2:$C$2705,C2285)</f>
        <v>1</v>
      </c>
      <c r="G2285" s="3" t="n">
        <f aca="false">MIN(INT((MIN(B2285,2020)-1900)/10)+1,12)</f>
        <v>12</v>
      </c>
      <c r="H2285" s="3" t="n">
        <f aca="false">(MIN(B2285,2020)-1900-10*(G2285-1))/10</f>
        <v>0.1</v>
      </c>
      <c r="I2285" s="20" t="n">
        <f aca="false">EXP(LN(INDEX(Pop_Inputs!$B$2:$N$29,MATCH(C2285,Pop_Inputs!$A$2:$A$29,0),G2285))*(1-H2285)+LN(INDEX(Pop_Inputs!$B$2:$N$29,MATCH(C2285,Pop_Inputs!$A$2:$A$29,0),G2285+1))*H2285)</f>
        <v>609976.652503949</v>
      </c>
      <c r="J2285" s="20" t="n">
        <f aca="false">I2285/F2285</f>
        <v>609976.652503949</v>
      </c>
      <c r="K2285" s="21" t="n">
        <f aca="false">D2285/(D2285+E2285)</f>
        <v>0.496894409937888</v>
      </c>
      <c r="L2285" s="21" t="n">
        <f aca="false">AVERAGEIFS($K$2:$K$2705,$B$2:$B$2705,B2285)</f>
        <v>0.500001278020602</v>
      </c>
      <c r="M2285" s="21" t="n">
        <f aca="false">K2285-L2285</f>
        <v>-0.00310686808271349</v>
      </c>
      <c r="N2285" s="21" t="n">
        <f aca="false">LN(J2285)</f>
        <v>13.3211759608333</v>
      </c>
      <c r="O2285" s="21" t="n">
        <f aca="false">AVERAGEIFS($N$2:$N$2705,$B$2:$B$2705,B2285)</f>
        <v>13.623936490804</v>
      </c>
      <c r="P2285" s="21" t="n">
        <f aca="false">N2285-O2285</f>
        <v>-0.302760529970731</v>
      </c>
      <c r="Q2285" s="7" t="n">
        <v>1</v>
      </c>
      <c r="R2285" s="3" t="n">
        <f aca="false">IF(AND(Q2285=1,B2285-_xlfn.MINIFS($B$2:$B$2705,$A$2:$A$2705,A2285)&lt;10),1,0)</f>
        <v>0</v>
      </c>
      <c r="S2285" s="7" t="n">
        <v>0</v>
      </c>
      <c r="T2285" s="3" t="n">
        <f aca="false">_xlfn.MINIFS($B$2:$B$2705,$A$2:$A$2705,A2285)</f>
        <v>1969</v>
      </c>
      <c r="U2285" s="3" t="n">
        <f aca="false">B2285-T2285</f>
        <v>42</v>
      </c>
      <c r="V2285" s="3" t="str">
        <f aca="false">INDEX(Pop_Inputs!$Q$2:$Q$29,MATCH(C2285,Pop_Inputs!$A$2:$A$29,0))</f>
        <v>South</v>
      </c>
      <c r="W2285" s="29" t="n">
        <v>63856928</v>
      </c>
      <c r="X2285" s="3" t="n">
        <f aca="false">IF(W2285="","",LN(W2285))</f>
        <v>17.9721556388636</v>
      </c>
      <c r="Y2285" s="3" t="n">
        <f aca="false">IF(X2285="","",X2285-AVERAGEIFS($X$2:$X$2705,$B$2:$B$2705,B2285))</f>
        <v>-0.28116073014921</v>
      </c>
      <c r="Z2285" s="21" t="n">
        <f aca="false">P2285</f>
        <v>-0.302760529970731</v>
      </c>
      <c r="AA2285" s="3" t="n">
        <f aca="false">R2285</f>
        <v>0</v>
      </c>
      <c r="AB2285" s="21" t="n">
        <f aca="false">P2285</f>
        <v>-0.302760529970731</v>
      </c>
      <c r="AC2285" s="3" t="n">
        <f aca="false">Y2285</f>
        <v>-0.28116073014921</v>
      </c>
      <c r="AD2285" s="3" t="n">
        <f aca="false">R2285</f>
        <v>0</v>
      </c>
    </row>
    <row r="2286" customFormat="false" ht="15" hidden="false" customHeight="true" outlineLevel="0" collapsed="false">
      <c r="A2286" s="7" t="s">
        <v>71</v>
      </c>
      <c r="B2286" s="7" t="n">
        <v>2012</v>
      </c>
      <c r="C2286" s="7" t="s">
        <v>148</v>
      </c>
      <c r="D2286" s="7" t="n">
        <v>89</v>
      </c>
      <c r="E2286" s="7" t="n">
        <v>73</v>
      </c>
      <c r="F2286" s="3" t="n">
        <f aca="false">COUNTIFS($B$2:$B$2705,B2286,$C$2:$C$2705,C2286)</f>
        <v>2</v>
      </c>
      <c r="G2286" s="3" t="n">
        <f aca="false">MIN(INT((MIN(B2286,2020)-1900)/10)+1,12)</f>
        <v>12</v>
      </c>
      <c r="H2286" s="3" t="n">
        <f aca="false">(MIN(B2286,2020)-1900-10*(G2286-1))/10</f>
        <v>0.2</v>
      </c>
      <c r="I2286" s="20" t="n">
        <f aca="false">EXP(LN(INDEX(Pop_Inputs!$B$2:$N$29,MATCH(C2286,Pop_Inputs!$A$2:$A$29,0),G2286))*(1-H2286)+LN(INDEX(Pop_Inputs!$B$2:$N$29,MATCH(C2286,Pop_Inputs!$A$2:$A$29,0),G2286+1))*H2286)</f>
        <v>3813612.54077681</v>
      </c>
      <c r="J2286" s="20" t="n">
        <f aca="false">I2286/F2286</f>
        <v>1906806.27038841</v>
      </c>
      <c r="K2286" s="21" t="n">
        <f aca="false">D2286/(D2286+E2286)</f>
        <v>0.549382716049383</v>
      </c>
      <c r="L2286" s="21" t="n">
        <f aca="false">AVERAGEIFS($K$2:$K$2705,$B$2:$B$2705,B2286)</f>
        <v>0.5</v>
      </c>
      <c r="M2286" s="21" t="n">
        <f aca="false">K2286-L2286</f>
        <v>0.0493827160493827</v>
      </c>
      <c r="N2286" s="21" t="n">
        <f aca="false">LN(J2286)</f>
        <v>14.4609402907427</v>
      </c>
      <c r="O2286" s="21" t="n">
        <f aca="false">AVERAGEIFS($N$2:$N$2705,$B$2:$B$2705,B2286)</f>
        <v>13.6300570593868</v>
      </c>
      <c r="P2286" s="21" t="n">
        <f aca="false">N2286-O2286</f>
        <v>0.830883231355857</v>
      </c>
      <c r="Q2286" s="7" t="n">
        <v>1</v>
      </c>
      <c r="R2286" s="3" t="n">
        <f aca="false">IF(AND(Q2286=1,B2286-_xlfn.MINIFS($B$2:$B$2705,$A$2:$A$2705,A2286)&lt;10),1,0)</f>
        <v>0</v>
      </c>
      <c r="S2286" s="7" t="n">
        <v>0</v>
      </c>
      <c r="T2286" s="3" t="n">
        <f aca="false">_xlfn.MINIFS($B$2:$B$2705,$A$2:$A$2705,A2286)</f>
        <v>1961</v>
      </c>
      <c r="U2286" s="3" t="n">
        <f aca="false">B2286-T2286</f>
        <v>51</v>
      </c>
      <c r="V2286" s="3" t="str">
        <f aca="false">INDEX(Pop_Inputs!$Q$2:$Q$29,MATCH(C2286,Pop_Inputs!$A$2:$A$29,0))</f>
        <v>West</v>
      </c>
      <c r="W2286" s="29" t="n">
        <v>154485166</v>
      </c>
      <c r="X2286" s="3" t="n">
        <f aca="false">IF(W2286="","",LN(W2286))</f>
        <v>18.8556086367476</v>
      </c>
      <c r="Y2286" s="3" t="n">
        <f aca="false">IF(X2286="","",X2286-AVERAGEIFS($X$2:$X$2705,$B$2:$B$2705,B2286))</f>
        <v>0.517301843918226</v>
      </c>
      <c r="Z2286" s="21" t="n">
        <f aca="false">P2286</f>
        <v>0.830883231355857</v>
      </c>
      <c r="AA2286" s="3" t="n">
        <f aca="false">R2286</f>
        <v>0</v>
      </c>
      <c r="AB2286" s="21" t="n">
        <f aca="false">P2286</f>
        <v>0.830883231355857</v>
      </c>
      <c r="AC2286" s="3" t="n">
        <f aca="false">Y2286</f>
        <v>0.517301843918226</v>
      </c>
      <c r="AD2286" s="3" t="n">
        <f aca="false">R2286</f>
        <v>0</v>
      </c>
    </row>
    <row r="2287" customFormat="false" ht="15" hidden="false" customHeight="true" outlineLevel="0" collapsed="false">
      <c r="A2287" s="7" t="s">
        <v>84</v>
      </c>
      <c r="B2287" s="7" t="n">
        <v>2012</v>
      </c>
      <c r="C2287" s="7" t="s">
        <v>165</v>
      </c>
      <c r="D2287" s="7" t="n">
        <v>81</v>
      </c>
      <c r="E2287" s="7" t="n">
        <v>81</v>
      </c>
      <c r="F2287" s="3" t="n">
        <f aca="false">COUNTIFS($B$2:$B$2705,B2287,$C$2:$C$2705,C2287)</f>
        <v>1</v>
      </c>
      <c r="G2287" s="3" t="n">
        <f aca="false">MIN(INT((MIN(B2287,2020)-1900)/10)+1,12)</f>
        <v>12</v>
      </c>
      <c r="H2287" s="3" t="n">
        <f aca="false">(MIN(B2287,2020)-1900-10*(G2287-1))/10</f>
        <v>0.2</v>
      </c>
      <c r="I2287" s="20" t="n">
        <f aca="false">EXP(LN(INDEX(Pop_Inputs!$B$2:$N$29,MATCH(C2287,Pop_Inputs!$A$2:$A$29,0),G2287))*(1-H2287)+LN(INDEX(Pop_Inputs!$B$2:$N$29,MATCH(C2287,Pop_Inputs!$A$2:$A$29,0),G2287+1))*H2287)</f>
        <v>1476763.39670359</v>
      </c>
      <c r="J2287" s="20" t="n">
        <f aca="false">I2287/F2287</f>
        <v>1476763.39670359</v>
      </c>
      <c r="K2287" s="21" t="n">
        <f aca="false">D2287/(D2287+E2287)</f>
        <v>0.5</v>
      </c>
      <c r="L2287" s="21" t="n">
        <f aca="false">AVERAGEIFS($K$2:$K$2705,$B$2:$B$2705,B2287)</f>
        <v>0.5</v>
      </c>
      <c r="M2287" s="21" t="n">
        <f aca="false">K2287-L2287</f>
        <v>0</v>
      </c>
      <c r="N2287" s="21" t="n">
        <f aca="false">LN(J2287)</f>
        <v>14.2053633568762</v>
      </c>
      <c r="O2287" s="21" t="n">
        <f aca="false">AVERAGEIFS($N$2:$N$2705,$B$2:$B$2705,B2287)</f>
        <v>13.6300570593868</v>
      </c>
      <c r="P2287" s="21" t="n">
        <f aca="false">N2287-O2287</f>
        <v>0.57530629748932</v>
      </c>
      <c r="Q2287" s="7" t="n">
        <v>1</v>
      </c>
      <c r="R2287" s="3" t="n">
        <f aca="false">IF(AND(Q2287=1,B2287-_xlfn.MINIFS($B$2:$B$2705,$A$2:$A$2705,A2287)&lt;10),1,0)</f>
        <v>0</v>
      </c>
      <c r="S2287" s="7" t="n">
        <v>0</v>
      </c>
      <c r="T2287" s="3" t="n">
        <f aca="false">_xlfn.MINIFS($B$2:$B$2705,$A$2:$A$2705,A2287)</f>
        <v>1998</v>
      </c>
      <c r="U2287" s="3" t="n">
        <f aca="false">B2287-T2287</f>
        <v>14</v>
      </c>
      <c r="V2287" s="3" t="str">
        <f aca="false">INDEX(Pop_Inputs!$Q$2:$Q$29,MATCH(C2287,Pop_Inputs!$A$2:$A$29,0))</f>
        <v>West</v>
      </c>
      <c r="W2287" s="29" t="n">
        <v>73804833</v>
      </c>
      <c r="X2287" s="3" t="n">
        <f aca="false">IF(W2287="","",LN(W2287))</f>
        <v>18.1169347752313</v>
      </c>
      <c r="Y2287" s="3" t="n">
        <f aca="false">IF(X2287="","",X2287-AVERAGEIFS($X$2:$X$2705,$B$2:$B$2705,B2287))</f>
        <v>-0.221372017597979</v>
      </c>
      <c r="Z2287" s="21" t="n">
        <f aca="false">P2287</f>
        <v>0.57530629748932</v>
      </c>
      <c r="AA2287" s="3" t="n">
        <f aca="false">R2287</f>
        <v>0</v>
      </c>
      <c r="AB2287" s="21" t="n">
        <f aca="false">P2287</f>
        <v>0.57530629748932</v>
      </c>
      <c r="AC2287" s="3" t="n">
        <f aca="false">Y2287</f>
        <v>-0.221372017597979</v>
      </c>
      <c r="AD2287" s="3" t="n">
        <f aca="false">R2287</f>
        <v>0</v>
      </c>
    </row>
    <row r="2288" customFormat="false" ht="15" hidden="false" customHeight="true" outlineLevel="0" collapsed="false">
      <c r="A2288" s="7" t="s">
        <v>54</v>
      </c>
      <c r="B2288" s="7" t="n">
        <v>2012</v>
      </c>
      <c r="C2288" s="7" t="s">
        <v>141</v>
      </c>
      <c r="D2288" s="7" t="n">
        <v>94</v>
      </c>
      <c r="E2288" s="7" t="n">
        <v>68</v>
      </c>
      <c r="F2288" s="3" t="n">
        <f aca="false">COUNTIFS($B$2:$B$2705,B2288,$C$2:$C$2705,C2288)</f>
        <v>1</v>
      </c>
      <c r="G2288" s="3" t="n">
        <f aca="false">MIN(INT((MIN(B2288,2020)-1900)/10)+1,12)</f>
        <v>12</v>
      </c>
      <c r="H2288" s="3" t="n">
        <f aca="false">(MIN(B2288,2020)-1900-10*(G2288-1))/10</f>
        <v>0.2</v>
      </c>
      <c r="I2288" s="20" t="n">
        <f aca="false">EXP(LN(INDEX(Pop_Inputs!$B$2:$N$29,MATCH(C2288,Pop_Inputs!$A$2:$A$29,0),G2288))*(1-H2288)+LN(INDEX(Pop_Inputs!$B$2:$N$29,MATCH(C2288,Pop_Inputs!$A$2:$A$29,0),G2288+1))*H2288)</f>
        <v>434682.744210095</v>
      </c>
      <c r="J2288" s="20" t="n">
        <f aca="false">I2288/F2288</f>
        <v>434682.744210095</v>
      </c>
      <c r="K2288" s="21" t="n">
        <f aca="false">D2288/(D2288+E2288)</f>
        <v>0.580246913580247</v>
      </c>
      <c r="L2288" s="21" t="n">
        <f aca="false">AVERAGEIFS($K$2:$K$2705,$B$2:$B$2705,B2288)</f>
        <v>0.5</v>
      </c>
      <c r="M2288" s="21" t="n">
        <f aca="false">K2288-L2288</f>
        <v>0.0802469135802469</v>
      </c>
      <c r="N2288" s="21" t="n">
        <f aca="false">LN(J2288)</f>
        <v>12.98237172033</v>
      </c>
      <c r="O2288" s="21" t="n">
        <f aca="false">AVERAGEIFS($N$2:$N$2705,$B$2:$B$2705,B2288)</f>
        <v>13.6300570593868</v>
      </c>
      <c r="P2288" s="21" t="n">
        <f aca="false">N2288-O2288</f>
        <v>-0.647685339056842</v>
      </c>
      <c r="Q2288" s="7" t="n">
        <v>0</v>
      </c>
      <c r="R2288" s="3" t="n">
        <f aca="false">IF(AND(Q2288=1,B2288-_xlfn.MINIFS($B$2:$B$2705,$A$2:$A$2705,A2288)&lt;10),1,0)</f>
        <v>0</v>
      </c>
      <c r="S2288" s="7" t="n">
        <v>0</v>
      </c>
      <c r="T2288" s="3" t="n">
        <f aca="false">_xlfn.MINIFS($B$2:$B$2705,$A$2:$A$2705,A2288)</f>
        <v>1901</v>
      </c>
      <c r="U2288" s="3" t="n">
        <f aca="false">B2288-T2288</f>
        <v>111</v>
      </c>
      <c r="V2288" s="3" t="str">
        <f aca="false">INDEX(Pop_Inputs!$Q$2:$Q$29,MATCH(C2288,Pop_Inputs!$A$2:$A$29,0))</f>
        <v>South</v>
      </c>
      <c r="W2288" s="29" t="n">
        <v>82829942</v>
      </c>
      <c r="X2288" s="3" t="n">
        <f aca="false">IF(W2288="","",LN(W2288))</f>
        <v>18.2323001723448</v>
      </c>
      <c r="Y2288" s="3" t="n">
        <f aca="false">IF(X2288="","",X2288-AVERAGEIFS($X$2:$X$2705,$B$2:$B$2705,B2288))</f>
        <v>-0.106006620484507</v>
      </c>
      <c r="Z2288" s="21" t="n">
        <f aca="false">P2288</f>
        <v>-0.647685339056842</v>
      </c>
      <c r="AA2288" s="3" t="n">
        <f aca="false">R2288</f>
        <v>0</v>
      </c>
      <c r="AB2288" s="21" t="n">
        <f aca="false">P2288</f>
        <v>-0.647685339056842</v>
      </c>
      <c r="AC2288" s="3" t="n">
        <f aca="false">Y2288</f>
        <v>-0.106006620484507</v>
      </c>
      <c r="AD2288" s="3" t="n">
        <f aca="false">R2288</f>
        <v>0</v>
      </c>
    </row>
    <row r="2289" customFormat="false" ht="15" hidden="false" customHeight="true" outlineLevel="0" collapsed="false">
      <c r="A2289" s="7" t="s">
        <v>63</v>
      </c>
      <c r="B2289" s="7" t="n">
        <v>2012</v>
      </c>
      <c r="C2289" s="7" t="s">
        <v>149</v>
      </c>
      <c r="D2289" s="7" t="n">
        <v>93</v>
      </c>
      <c r="E2289" s="7" t="n">
        <v>69</v>
      </c>
      <c r="F2289" s="3" t="n">
        <f aca="false">COUNTIFS($B$2:$B$2705,B2289,$C$2:$C$2705,C2289)</f>
        <v>1</v>
      </c>
      <c r="G2289" s="3" t="n">
        <f aca="false">MIN(INT((MIN(B2289,2020)-1900)/10)+1,12)</f>
        <v>12</v>
      </c>
      <c r="H2289" s="3" t="n">
        <f aca="false">(MIN(B2289,2020)-1900-10*(G2289-1))/10</f>
        <v>0.2</v>
      </c>
      <c r="I2289" s="20" t="n">
        <f aca="false">EXP(LN(INDEX(Pop_Inputs!$B$2:$N$29,MATCH(C2289,Pop_Inputs!$A$2:$A$29,0),G2289))*(1-H2289)+LN(INDEX(Pop_Inputs!$B$2:$N$29,MATCH(C2289,Pop_Inputs!$A$2:$A$29,0),G2289+1))*H2289)</f>
        <v>613744.60988023</v>
      </c>
      <c r="J2289" s="20" t="n">
        <f aca="false">I2289/F2289</f>
        <v>613744.60988023</v>
      </c>
      <c r="K2289" s="21" t="n">
        <f aca="false">D2289/(D2289+E2289)</f>
        <v>0.574074074074074</v>
      </c>
      <c r="L2289" s="21" t="n">
        <f aca="false">AVERAGEIFS($K$2:$K$2705,$B$2:$B$2705,B2289)</f>
        <v>0.5</v>
      </c>
      <c r="M2289" s="21" t="n">
        <f aca="false">K2289-L2289</f>
        <v>0.0740740740740741</v>
      </c>
      <c r="N2289" s="21" t="n">
        <f aca="false">LN(J2289)</f>
        <v>13.3273341757798</v>
      </c>
      <c r="O2289" s="21" t="n">
        <f aca="false">AVERAGEIFS($N$2:$N$2705,$B$2:$B$2705,B2289)</f>
        <v>13.6300570593868</v>
      </c>
      <c r="P2289" s="21" t="n">
        <f aca="false">N2289-O2289</f>
        <v>-0.302722883607066</v>
      </c>
      <c r="Q2289" s="7" t="n">
        <v>0</v>
      </c>
      <c r="R2289" s="3" t="n">
        <f aca="false">IF(AND(Q2289=1,B2289-_xlfn.MINIFS($B$2:$B$2705,$A$2:$A$2705,A2289)&lt;10),1,0)</f>
        <v>0</v>
      </c>
      <c r="S2289" s="7" t="n">
        <v>0</v>
      </c>
      <c r="T2289" s="3" t="n">
        <f aca="false">_xlfn.MINIFS($B$2:$B$2705,$A$2:$A$2705,A2289)</f>
        <v>1901</v>
      </c>
      <c r="U2289" s="3" t="n">
        <f aca="false">B2289-T2289</f>
        <v>111</v>
      </c>
      <c r="V2289" s="3" t="str">
        <f aca="false">INDEX(Pop_Inputs!$Q$2:$Q$29,MATCH(C2289,Pop_Inputs!$A$2:$A$29,0))</f>
        <v>South</v>
      </c>
      <c r="W2289" s="29" t="n">
        <v>77353999</v>
      </c>
      <c r="X2289" s="3" t="n">
        <f aca="false">IF(W2289="","",LN(W2289))</f>
        <v>18.1639028337116</v>
      </c>
      <c r="Y2289" s="3" t="n">
        <f aca="false">IF(X2289="","",X2289-AVERAGEIFS($X$2:$X$2705,$B$2:$B$2705,B2289))</f>
        <v>-0.174403959117736</v>
      </c>
      <c r="Z2289" s="21" t="n">
        <f aca="false">P2289</f>
        <v>-0.302722883607066</v>
      </c>
      <c r="AA2289" s="3" t="n">
        <f aca="false">R2289</f>
        <v>0</v>
      </c>
      <c r="AB2289" s="21" t="n">
        <f aca="false">P2289</f>
        <v>-0.302722883607066</v>
      </c>
      <c r="AC2289" s="3" t="n">
        <f aca="false">Y2289</f>
        <v>-0.174403959117736</v>
      </c>
      <c r="AD2289" s="3" t="n">
        <f aca="false">R2289</f>
        <v>0</v>
      </c>
    </row>
    <row r="2290" customFormat="false" ht="15" hidden="false" customHeight="true" outlineLevel="0" collapsed="false">
      <c r="A2290" s="7" t="s">
        <v>64</v>
      </c>
      <c r="B2290" s="7" t="n">
        <v>2012</v>
      </c>
      <c r="C2290" s="7" t="s">
        <v>150</v>
      </c>
      <c r="D2290" s="7" t="n">
        <v>69</v>
      </c>
      <c r="E2290" s="7" t="n">
        <v>93</v>
      </c>
      <c r="F2290" s="3" t="n">
        <f aca="false">COUNTIFS($B$2:$B$2705,B2290,$C$2:$C$2705,C2290)</f>
        <v>1</v>
      </c>
      <c r="G2290" s="3" t="n">
        <f aca="false">MIN(INT((MIN(B2290,2020)-1900)/10)+1,12)</f>
        <v>12</v>
      </c>
      <c r="H2290" s="3" t="n">
        <f aca="false">(MIN(B2290,2020)-1900-10*(G2290-1))/10</f>
        <v>0.2</v>
      </c>
      <c r="I2290" s="20" t="n">
        <f aca="false">EXP(LN(INDEX(Pop_Inputs!$B$2:$N$29,MATCH(C2290,Pop_Inputs!$A$2:$A$29,0),G2290))*(1-H2290)+LN(INDEX(Pop_Inputs!$B$2:$N$29,MATCH(C2290,Pop_Inputs!$A$2:$A$29,0),G2290+1))*H2290)</f>
        <v>628791.156528493</v>
      </c>
      <c r="J2290" s="20" t="n">
        <f aca="false">I2290/F2290</f>
        <v>628791.156528493</v>
      </c>
      <c r="K2290" s="21" t="n">
        <f aca="false">D2290/(D2290+E2290)</f>
        <v>0.425925925925926</v>
      </c>
      <c r="L2290" s="21" t="n">
        <f aca="false">AVERAGEIFS($K$2:$K$2705,$B$2:$B$2705,B2290)</f>
        <v>0.5</v>
      </c>
      <c r="M2290" s="21" t="n">
        <f aca="false">K2290-L2290</f>
        <v>-0.0740740740740741</v>
      </c>
      <c r="N2290" s="21" t="n">
        <f aca="false">LN(J2290)</f>
        <v>13.3515544559532</v>
      </c>
      <c r="O2290" s="21" t="n">
        <f aca="false">AVERAGEIFS($N$2:$N$2705,$B$2:$B$2705,B2290)</f>
        <v>13.6300570593868</v>
      </c>
      <c r="P2290" s="21" t="n">
        <f aca="false">N2290-O2290</f>
        <v>-0.278502603433614</v>
      </c>
      <c r="Q2290" s="7" t="n">
        <v>0</v>
      </c>
      <c r="R2290" s="3" t="n">
        <f aca="false">IF(AND(Q2290=1,B2290-_xlfn.MINIFS($B$2:$B$2705,$A$2:$A$2705,A2290)&lt;10),1,0)</f>
        <v>0</v>
      </c>
      <c r="S2290" s="7" t="n">
        <v>0</v>
      </c>
      <c r="T2290" s="3" t="n">
        <f aca="false">_xlfn.MINIFS($B$2:$B$2705,$A$2:$A$2705,A2290)</f>
        <v>1901</v>
      </c>
      <c r="U2290" s="3" t="n">
        <f aca="false">B2290-T2290</f>
        <v>111</v>
      </c>
      <c r="V2290" s="3" t="str">
        <f aca="false">INDEX(Pop_Inputs!$Q$2:$Q$29,MATCH(C2290,Pop_Inputs!$A$2:$A$29,0))</f>
        <v>Northeast</v>
      </c>
      <c r="W2290" s="29" t="n">
        <v>173186617</v>
      </c>
      <c r="X2290" s="3" t="n">
        <f aca="false">IF(W2290="","",LN(W2290))</f>
        <v>18.9698802820541</v>
      </c>
      <c r="Y2290" s="3" t="n">
        <f aca="false">IF(X2290="","",X2290-AVERAGEIFS($X$2:$X$2705,$B$2:$B$2705,B2290))</f>
        <v>0.63157348922476</v>
      </c>
      <c r="Z2290" s="21" t="n">
        <f aca="false">P2290</f>
        <v>-0.278502603433614</v>
      </c>
      <c r="AA2290" s="3" t="n">
        <f aca="false">R2290</f>
        <v>0</v>
      </c>
      <c r="AB2290" s="21" t="n">
        <f aca="false">P2290</f>
        <v>-0.278502603433614</v>
      </c>
      <c r="AC2290" s="3" t="n">
        <f aca="false">Y2290</f>
        <v>0.63157348922476</v>
      </c>
      <c r="AD2290" s="3" t="n">
        <f aca="false">R2290</f>
        <v>0</v>
      </c>
    </row>
    <row r="2291" customFormat="false" ht="15" hidden="false" customHeight="true" outlineLevel="0" collapsed="false">
      <c r="A2291" s="7" t="s">
        <v>56</v>
      </c>
      <c r="B2291" s="7" t="n">
        <v>2012</v>
      </c>
      <c r="C2291" s="7" t="s">
        <v>142</v>
      </c>
      <c r="D2291" s="7" t="n">
        <v>61</v>
      </c>
      <c r="E2291" s="7" t="n">
        <v>101</v>
      </c>
      <c r="F2291" s="3" t="n">
        <f aca="false">COUNTIFS($B$2:$B$2705,B2291,$C$2:$C$2705,C2291)</f>
        <v>2</v>
      </c>
      <c r="G2291" s="3" t="n">
        <f aca="false">MIN(INT((MIN(B2291,2020)-1900)/10)+1,12)</f>
        <v>12</v>
      </c>
      <c r="H2291" s="3" t="n">
        <f aca="false">(MIN(B2291,2020)-1900-10*(G2291-1))/10</f>
        <v>0.2</v>
      </c>
      <c r="I2291" s="20" t="n">
        <f aca="false">EXP(LN(INDEX(Pop_Inputs!$B$2:$N$29,MATCH(C2291,Pop_Inputs!$A$2:$A$29,0),G2291))*(1-H2291)+LN(INDEX(Pop_Inputs!$B$2:$N$29,MATCH(C2291,Pop_Inputs!$A$2:$A$29,0),G2291+1))*H2291)</f>
        <v>2705680.29611811</v>
      </c>
      <c r="J2291" s="20" t="n">
        <f aca="false">I2291/F2291</f>
        <v>1352840.14805906</v>
      </c>
      <c r="K2291" s="21" t="n">
        <f aca="false">D2291/(D2291+E2291)</f>
        <v>0.376543209876543</v>
      </c>
      <c r="L2291" s="21" t="n">
        <f aca="false">AVERAGEIFS($K$2:$K$2705,$B$2:$B$2705,B2291)</f>
        <v>0.5</v>
      </c>
      <c r="M2291" s="21" t="n">
        <f aca="false">K2291-L2291</f>
        <v>-0.123456790123457</v>
      </c>
      <c r="N2291" s="21" t="n">
        <f aca="false">LN(J2291)</f>
        <v>14.1177167538753</v>
      </c>
      <c r="O2291" s="21" t="n">
        <f aca="false">AVERAGEIFS($N$2:$N$2705,$B$2:$B$2705,B2291)</f>
        <v>13.6300570593868</v>
      </c>
      <c r="P2291" s="21" t="n">
        <f aca="false">N2291-O2291</f>
        <v>0.487659694488455</v>
      </c>
      <c r="Q2291" s="7" t="n">
        <v>0</v>
      </c>
      <c r="R2291" s="3" t="n">
        <f aca="false">IF(AND(Q2291=1,B2291-_xlfn.MINIFS($B$2:$B$2705,$A$2:$A$2705,A2291)&lt;10),1,0)</f>
        <v>0</v>
      </c>
      <c r="S2291" s="7" t="n">
        <v>0</v>
      </c>
      <c r="T2291" s="3" t="n">
        <f aca="false">_xlfn.MINIFS($B$2:$B$2705,$A$2:$A$2705,A2291)</f>
        <v>1901</v>
      </c>
      <c r="U2291" s="3" t="n">
        <f aca="false">B2291-T2291</f>
        <v>111</v>
      </c>
      <c r="V2291" s="3" t="str">
        <f aca="false">INDEX(Pop_Inputs!$Q$2:$Q$29,MATCH(C2291,Pop_Inputs!$A$2:$A$29,0))</f>
        <v>Midwest</v>
      </c>
      <c r="W2291" s="29" t="n">
        <v>88197033</v>
      </c>
      <c r="X2291" s="3" t="n">
        <f aca="false">IF(W2291="","",LN(W2291))</f>
        <v>18.2950838809554</v>
      </c>
      <c r="Y2291" s="3" t="n">
        <f aca="false">IF(X2291="","",X2291-AVERAGEIFS($X$2:$X$2705,$B$2:$B$2705,B2291))</f>
        <v>-0.043222911873908</v>
      </c>
      <c r="Z2291" s="21" t="n">
        <f aca="false">P2291</f>
        <v>0.487659694488455</v>
      </c>
      <c r="AA2291" s="3" t="n">
        <f aca="false">R2291</f>
        <v>0</v>
      </c>
      <c r="AB2291" s="21" t="n">
        <f aca="false">P2291</f>
        <v>0.487659694488455</v>
      </c>
      <c r="AC2291" s="3" t="n">
        <f aca="false">Y2291</f>
        <v>-0.043222911873908</v>
      </c>
      <c r="AD2291" s="3" t="n">
        <f aca="false">R2291</f>
        <v>0</v>
      </c>
    </row>
    <row r="2292" customFormat="false" ht="15" hidden="false" customHeight="true" outlineLevel="0" collapsed="false">
      <c r="A2292" s="7" t="s">
        <v>65</v>
      </c>
      <c r="B2292" s="7" t="n">
        <v>2012</v>
      </c>
      <c r="C2292" s="7" t="s">
        <v>142</v>
      </c>
      <c r="D2292" s="7" t="n">
        <v>85</v>
      </c>
      <c r="E2292" s="7" t="n">
        <v>77</v>
      </c>
      <c r="F2292" s="3" t="n">
        <f aca="false">COUNTIFS($B$2:$B$2705,B2292,$C$2:$C$2705,C2292)</f>
        <v>2</v>
      </c>
      <c r="G2292" s="3" t="n">
        <f aca="false">MIN(INT((MIN(B2292,2020)-1900)/10)+1,12)</f>
        <v>12</v>
      </c>
      <c r="H2292" s="3" t="n">
        <f aca="false">(MIN(B2292,2020)-1900-10*(G2292-1))/10</f>
        <v>0.2</v>
      </c>
      <c r="I2292" s="20" t="n">
        <f aca="false">EXP(LN(INDEX(Pop_Inputs!$B$2:$N$29,MATCH(C2292,Pop_Inputs!$A$2:$A$29,0),G2292))*(1-H2292)+LN(INDEX(Pop_Inputs!$B$2:$N$29,MATCH(C2292,Pop_Inputs!$A$2:$A$29,0),G2292+1))*H2292)</f>
        <v>2705680.29611811</v>
      </c>
      <c r="J2292" s="20" t="n">
        <f aca="false">I2292/F2292</f>
        <v>1352840.14805906</v>
      </c>
      <c r="K2292" s="21" t="n">
        <f aca="false">D2292/(D2292+E2292)</f>
        <v>0.524691358024691</v>
      </c>
      <c r="L2292" s="21" t="n">
        <f aca="false">AVERAGEIFS($K$2:$K$2705,$B$2:$B$2705,B2292)</f>
        <v>0.5</v>
      </c>
      <c r="M2292" s="21" t="n">
        <f aca="false">K2292-L2292</f>
        <v>0.0246913580246914</v>
      </c>
      <c r="N2292" s="21" t="n">
        <f aca="false">LN(J2292)</f>
        <v>14.1177167538753</v>
      </c>
      <c r="O2292" s="21" t="n">
        <f aca="false">AVERAGEIFS($N$2:$N$2705,$B$2:$B$2705,B2292)</f>
        <v>13.6300570593868</v>
      </c>
      <c r="P2292" s="21" t="n">
        <f aca="false">N2292-O2292</f>
        <v>0.487659694488455</v>
      </c>
      <c r="Q2292" s="7" t="n">
        <v>0</v>
      </c>
      <c r="R2292" s="3" t="n">
        <f aca="false">IF(AND(Q2292=1,B2292-_xlfn.MINIFS($B$2:$B$2705,$A$2:$A$2705,A2292)&lt;10),1,0)</f>
        <v>0</v>
      </c>
      <c r="S2292" s="7" t="n">
        <v>0</v>
      </c>
      <c r="T2292" s="3" t="n">
        <f aca="false">_xlfn.MINIFS($B$2:$B$2705,$A$2:$A$2705,A2292)</f>
        <v>1901</v>
      </c>
      <c r="U2292" s="3" t="n">
        <f aca="false">B2292-T2292</f>
        <v>111</v>
      </c>
      <c r="V2292" s="3" t="str">
        <f aca="false">INDEX(Pop_Inputs!$Q$2:$Q$29,MATCH(C2292,Pop_Inputs!$A$2:$A$29,0))</f>
        <v>Midwest</v>
      </c>
      <c r="W2292" s="29" t="n">
        <v>96919500</v>
      </c>
      <c r="X2292" s="3" t="n">
        <f aca="false">IF(W2292="","",LN(W2292))</f>
        <v>18.3893912950054</v>
      </c>
      <c r="Y2292" s="3" t="n">
        <f aca="false">IF(X2292="","",X2292-AVERAGEIFS($X$2:$X$2705,$B$2:$B$2705,B2292))</f>
        <v>0.0510845021760353</v>
      </c>
      <c r="Z2292" s="21" t="n">
        <f aca="false">P2292</f>
        <v>0.487659694488455</v>
      </c>
      <c r="AA2292" s="3" t="n">
        <f aca="false">R2292</f>
        <v>0</v>
      </c>
      <c r="AB2292" s="21" t="n">
        <f aca="false">P2292</f>
        <v>0.487659694488455</v>
      </c>
      <c r="AC2292" s="3" t="n">
        <f aca="false">Y2292</f>
        <v>0.0510845021760353</v>
      </c>
      <c r="AD2292" s="3" t="n">
        <f aca="false">R2292</f>
        <v>0</v>
      </c>
    </row>
    <row r="2293" customFormat="false" ht="15" hidden="false" customHeight="true" outlineLevel="0" collapsed="false">
      <c r="A2293" s="7" t="s">
        <v>57</v>
      </c>
      <c r="B2293" s="7" t="n">
        <v>2012</v>
      </c>
      <c r="C2293" s="7" t="s">
        <v>143</v>
      </c>
      <c r="D2293" s="7" t="n">
        <v>97</v>
      </c>
      <c r="E2293" s="7" t="n">
        <v>65</v>
      </c>
      <c r="F2293" s="3" t="n">
        <f aca="false">COUNTIFS($B$2:$B$2705,B2293,$C$2:$C$2705,C2293)</f>
        <v>1</v>
      </c>
      <c r="G2293" s="3" t="n">
        <f aca="false">MIN(INT((MIN(B2293,2020)-1900)/10)+1,12)</f>
        <v>12</v>
      </c>
      <c r="H2293" s="3" t="n">
        <f aca="false">(MIN(B2293,2020)-1900-10*(G2293-1))/10</f>
        <v>0.2</v>
      </c>
      <c r="I2293" s="20" t="n">
        <f aca="false">EXP(LN(INDEX(Pop_Inputs!$B$2:$N$29,MATCH(C2293,Pop_Inputs!$A$2:$A$29,0),G2293))*(1-H2293)+LN(INDEX(Pop_Inputs!$B$2:$N$29,MATCH(C2293,Pop_Inputs!$A$2:$A$29,0),G2293+1))*H2293)</f>
        <v>299377.550981755</v>
      </c>
      <c r="J2293" s="20" t="n">
        <f aca="false">I2293/F2293</f>
        <v>299377.550981755</v>
      </c>
      <c r="K2293" s="21" t="n">
        <f aca="false">D2293/(D2293+E2293)</f>
        <v>0.598765432098765</v>
      </c>
      <c r="L2293" s="21" t="n">
        <f aca="false">AVERAGEIFS($K$2:$K$2705,$B$2:$B$2705,B2293)</f>
        <v>0.5</v>
      </c>
      <c r="M2293" s="21" t="n">
        <f aca="false">K2293-L2293</f>
        <v>0.0987654320987654</v>
      </c>
      <c r="N2293" s="21" t="n">
        <f aca="false">LN(J2293)</f>
        <v>12.6094607681357</v>
      </c>
      <c r="O2293" s="21" t="n">
        <f aca="false">AVERAGEIFS($N$2:$N$2705,$B$2:$B$2705,B2293)</f>
        <v>13.6300570593868</v>
      </c>
      <c r="P2293" s="21" t="n">
        <f aca="false">N2293-O2293</f>
        <v>-1.02059629125116</v>
      </c>
      <c r="Q2293" s="7" t="n">
        <v>0</v>
      </c>
      <c r="R2293" s="3" t="n">
        <f aca="false">IF(AND(Q2293=1,B2293-_xlfn.MINIFS($B$2:$B$2705,$A$2:$A$2705,A2293)&lt;10),1,0)</f>
        <v>0</v>
      </c>
      <c r="S2293" s="7" t="n">
        <v>0</v>
      </c>
      <c r="T2293" s="3" t="n">
        <f aca="false">_xlfn.MINIFS($B$2:$B$2705,$A$2:$A$2705,A2293)</f>
        <v>1901</v>
      </c>
      <c r="U2293" s="3" t="n">
        <f aca="false">B2293-T2293</f>
        <v>111</v>
      </c>
      <c r="V2293" s="3" t="str">
        <f aca="false">INDEX(Pop_Inputs!$Q$2:$Q$29,MATCH(C2293,Pop_Inputs!$A$2:$A$29,0))</f>
        <v>Midwest</v>
      </c>
      <c r="W2293" s="29" t="n">
        <v>82203616</v>
      </c>
      <c r="X2293" s="3" t="n">
        <f aca="false">IF(W2293="","",LN(W2293))</f>
        <v>18.2247098493265</v>
      </c>
      <c r="Y2293" s="3" t="n">
        <f aca="false">IF(X2293="","",X2293-AVERAGEIFS($X$2:$X$2705,$B$2:$B$2705,B2293))</f>
        <v>-0.11359694350282</v>
      </c>
      <c r="Z2293" s="21" t="n">
        <f aca="false">P2293</f>
        <v>-1.02059629125116</v>
      </c>
      <c r="AA2293" s="3" t="n">
        <f aca="false">R2293</f>
        <v>0</v>
      </c>
      <c r="AB2293" s="21" t="n">
        <f aca="false">P2293</f>
        <v>-1.02059629125116</v>
      </c>
      <c r="AC2293" s="3" t="n">
        <f aca="false">Y2293</f>
        <v>-0.11359694350282</v>
      </c>
      <c r="AD2293" s="3" t="n">
        <f aca="false">R2293</f>
        <v>0</v>
      </c>
    </row>
    <row r="2294" customFormat="false" ht="15" hidden="false" customHeight="true" outlineLevel="0" collapsed="false">
      <c r="A2294" s="7" t="s">
        <v>66</v>
      </c>
      <c r="B2294" s="7" t="n">
        <v>2012</v>
      </c>
      <c r="C2294" s="7" t="s">
        <v>151</v>
      </c>
      <c r="D2294" s="7" t="n">
        <v>68</v>
      </c>
      <c r="E2294" s="7" t="n">
        <v>94</v>
      </c>
      <c r="F2294" s="3" t="n">
        <f aca="false">COUNTIFS($B$2:$B$2705,B2294,$C$2:$C$2705,C2294)</f>
        <v>1</v>
      </c>
      <c r="G2294" s="3" t="n">
        <f aca="false">MIN(INT((MIN(B2294,2020)-1900)/10)+1,12)</f>
        <v>12</v>
      </c>
      <c r="H2294" s="3" t="n">
        <f aca="false">(MIN(B2294,2020)-1900-10*(G2294-1))/10</f>
        <v>0.2</v>
      </c>
      <c r="I2294" s="20" t="n">
        <f aca="false">EXP(LN(INDEX(Pop_Inputs!$B$2:$N$29,MATCH(C2294,Pop_Inputs!$A$2:$A$29,0),G2294))*(1-H2294)+LN(INDEX(Pop_Inputs!$B$2:$N$29,MATCH(C2294,Pop_Inputs!$A$2:$A$29,0),G2294+1))*H2294)</f>
        <v>391854.311102508</v>
      </c>
      <c r="J2294" s="20" t="n">
        <f aca="false">I2294/F2294</f>
        <v>391854.311102508</v>
      </c>
      <c r="K2294" s="21" t="n">
        <f aca="false">D2294/(D2294+E2294)</f>
        <v>0.419753086419753</v>
      </c>
      <c r="L2294" s="21" t="n">
        <f aca="false">AVERAGEIFS($K$2:$K$2705,$B$2:$B$2705,B2294)</f>
        <v>0.5</v>
      </c>
      <c r="M2294" s="21" t="n">
        <f aca="false">K2294-L2294</f>
        <v>-0.0802469135802469</v>
      </c>
      <c r="N2294" s="21" t="n">
        <f aca="false">LN(J2294)</f>
        <v>12.8786453943409</v>
      </c>
      <c r="O2294" s="21" t="n">
        <f aca="false">AVERAGEIFS($N$2:$N$2705,$B$2:$B$2705,B2294)</f>
        <v>13.6300570593868</v>
      </c>
      <c r="P2294" s="21" t="n">
        <f aca="false">N2294-O2294</f>
        <v>-0.751411665045943</v>
      </c>
      <c r="Q2294" s="7" t="n">
        <v>0</v>
      </c>
      <c r="R2294" s="3" t="n">
        <f aca="false">IF(AND(Q2294=1,B2294-_xlfn.MINIFS($B$2:$B$2705,$A$2:$A$2705,A2294)&lt;10),1,0)</f>
        <v>0</v>
      </c>
      <c r="S2294" s="7" t="n">
        <v>0</v>
      </c>
      <c r="T2294" s="3" t="n">
        <f aca="false">_xlfn.MINIFS($B$2:$B$2705,$A$2:$A$2705,A2294)</f>
        <v>1901</v>
      </c>
      <c r="U2294" s="3" t="n">
        <f aca="false">B2294-T2294</f>
        <v>111</v>
      </c>
      <c r="V2294" s="3" t="str">
        <f aca="false">INDEX(Pop_Inputs!$Q$2:$Q$29,MATCH(C2294,Pop_Inputs!$A$2:$A$29,0))</f>
        <v>Midwest</v>
      </c>
      <c r="W2294" s="29" t="n">
        <v>78430300</v>
      </c>
      <c r="X2294" s="3" t="n">
        <f aca="false">IF(W2294="","",LN(W2294))</f>
        <v>18.1777208902485</v>
      </c>
      <c r="Y2294" s="3" t="n">
        <f aca="false">IF(X2294="","",X2294-AVERAGEIFS($X$2:$X$2705,$B$2:$B$2705,B2294))</f>
        <v>-0.160585902580852</v>
      </c>
      <c r="Z2294" s="21" t="n">
        <f aca="false">P2294</f>
        <v>-0.751411665045943</v>
      </c>
      <c r="AA2294" s="3" t="n">
        <f aca="false">R2294</f>
        <v>0</v>
      </c>
      <c r="AB2294" s="21" t="n">
        <f aca="false">P2294</f>
        <v>-0.751411665045943</v>
      </c>
      <c r="AC2294" s="3" t="n">
        <f aca="false">Y2294</f>
        <v>-0.160585902580852</v>
      </c>
      <c r="AD2294" s="3" t="n">
        <f aca="false">R2294</f>
        <v>0</v>
      </c>
    </row>
    <row r="2295" customFormat="false" ht="15" hidden="false" customHeight="true" outlineLevel="0" collapsed="false">
      <c r="A2295" s="7" t="s">
        <v>82</v>
      </c>
      <c r="B2295" s="7" t="n">
        <v>2012</v>
      </c>
      <c r="C2295" s="7" t="s">
        <v>163</v>
      </c>
      <c r="D2295" s="7" t="n">
        <v>64</v>
      </c>
      <c r="E2295" s="7" t="n">
        <v>98</v>
      </c>
      <c r="F2295" s="3" t="n">
        <f aca="false">COUNTIFS($B$2:$B$2705,B2295,$C$2:$C$2705,C2295)</f>
        <v>1</v>
      </c>
      <c r="G2295" s="3" t="n">
        <f aca="false">MIN(INT((MIN(B2295,2020)-1900)/10)+1,12)</f>
        <v>12</v>
      </c>
      <c r="H2295" s="3" t="n">
        <f aca="false">(MIN(B2295,2020)-1900-10*(G2295-1))/10</f>
        <v>0.2</v>
      </c>
      <c r="I2295" s="20" t="n">
        <f aca="false">EXP(LN(INDEX(Pop_Inputs!$B$2:$N$29,MATCH(C2295,Pop_Inputs!$A$2:$A$29,0),G2295))*(1-H2295)+LN(INDEX(Pop_Inputs!$B$2:$N$29,MATCH(C2295,Pop_Inputs!$A$2:$A$29,0),G2295+1))*H2295)</f>
        <v>621637.317821768</v>
      </c>
      <c r="J2295" s="20" t="n">
        <f aca="false">I2295/F2295</f>
        <v>621637.317821768</v>
      </c>
      <c r="K2295" s="21" t="n">
        <f aca="false">D2295/(D2295+E2295)</f>
        <v>0.395061728395062</v>
      </c>
      <c r="L2295" s="21" t="n">
        <f aca="false">AVERAGEIFS($K$2:$K$2705,$B$2:$B$2705,B2295)</f>
        <v>0.5</v>
      </c>
      <c r="M2295" s="21" t="n">
        <f aca="false">K2295-L2295</f>
        <v>-0.104938271604938</v>
      </c>
      <c r="N2295" s="21" t="n">
        <f aca="false">LN(J2295)</f>
        <v>13.3401121113393</v>
      </c>
      <c r="O2295" s="21" t="n">
        <f aca="false">AVERAGEIFS($N$2:$N$2705,$B$2:$B$2705,B2295)</f>
        <v>13.6300570593868</v>
      </c>
      <c r="P2295" s="21" t="n">
        <f aca="false">N2295-O2295</f>
        <v>-0.289944948047486</v>
      </c>
      <c r="Q2295" s="7" t="n">
        <v>1</v>
      </c>
      <c r="R2295" s="3" t="n">
        <f aca="false">IF(AND(Q2295=1,B2295-_xlfn.MINIFS($B$2:$B$2705,$A$2:$A$2705,A2295)&lt;10),1,0)</f>
        <v>0</v>
      </c>
      <c r="S2295" s="7" t="n">
        <v>0</v>
      </c>
      <c r="T2295" s="3" t="n">
        <f aca="false">_xlfn.MINIFS($B$2:$B$2705,$A$2:$A$2705,A2295)</f>
        <v>1993</v>
      </c>
      <c r="U2295" s="3" t="n">
        <f aca="false">B2295-T2295</f>
        <v>19</v>
      </c>
      <c r="V2295" s="3" t="str">
        <f aca="false">INDEX(Pop_Inputs!$Q$2:$Q$29,MATCH(C2295,Pop_Inputs!$A$2:$A$29,0))</f>
        <v>West</v>
      </c>
      <c r="W2295" s="29" t="n">
        <v>78069571</v>
      </c>
      <c r="X2295" s="3" t="n">
        <f aca="false">IF(W2295="","",LN(W2295))</f>
        <v>18.1731109230128</v>
      </c>
      <c r="Y2295" s="3" t="n">
        <f aca="false">IF(X2295="","",X2295-AVERAGEIFS($X$2:$X$2705,$B$2:$B$2705,B2295))</f>
        <v>-0.165195869816479</v>
      </c>
      <c r="Z2295" s="21" t="n">
        <f aca="false">P2295</f>
        <v>-0.289944948047486</v>
      </c>
      <c r="AA2295" s="3" t="n">
        <f aca="false">R2295</f>
        <v>0</v>
      </c>
      <c r="AB2295" s="21" t="n">
        <f aca="false">P2295</f>
        <v>-0.289944948047486</v>
      </c>
      <c r="AC2295" s="3" t="n">
        <f aca="false">Y2295</f>
        <v>-0.165195869816479</v>
      </c>
      <c r="AD2295" s="3" t="n">
        <f aca="false">R2295</f>
        <v>0</v>
      </c>
    </row>
    <row r="2296" customFormat="false" ht="15" hidden="false" customHeight="true" outlineLevel="0" collapsed="false">
      <c r="A2296" s="7" t="s">
        <v>67</v>
      </c>
      <c r="B2296" s="7" t="n">
        <v>2012</v>
      </c>
      <c r="C2296" s="7" t="s">
        <v>152</v>
      </c>
      <c r="D2296" s="7" t="n">
        <v>88</v>
      </c>
      <c r="E2296" s="7" t="n">
        <v>74</v>
      </c>
      <c r="F2296" s="3" t="n">
        <f aca="false">COUNTIFS($B$2:$B$2705,B2296,$C$2:$C$2705,C2296)</f>
        <v>1</v>
      </c>
      <c r="G2296" s="3" t="n">
        <f aca="false">MIN(INT((MIN(B2296,2020)-1900)/10)+1,12)</f>
        <v>12</v>
      </c>
      <c r="H2296" s="3" t="n">
        <f aca="false">(MIN(B2296,2020)-1900-10*(G2296-1))/10</f>
        <v>0.2</v>
      </c>
      <c r="I2296" s="20" t="n">
        <f aca="false">EXP(LN(INDEX(Pop_Inputs!$B$2:$N$29,MATCH(C2296,Pop_Inputs!$A$2:$A$29,0),G2296))*(1-H2296)+LN(INDEX(Pop_Inputs!$B$2:$N$29,MATCH(C2296,Pop_Inputs!$A$2:$A$29,0),G2296+1))*H2296)</f>
        <v>698176.614791676</v>
      </c>
      <c r="J2296" s="20" t="n">
        <f aca="false">I2296/F2296</f>
        <v>698176.614791676</v>
      </c>
      <c r="K2296" s="21" t="n">
        <f aca="false">D2296/(D2296+E2296)</f>
        <v>0.54320987654321</v>
      </c>
      <c r="L2296" s="21" t="n">
        <f aca="false">AVERAGEIFS($K$2:$K$2705,$B$2:$B$2705,B2296)</f>
        <v>0.5</v>
      </c>
      <c r="M2296" s="21" t="n">
        <f aca="false">K2296-L2296</f>
        <v>0.0432098765432098</v>
      </c>
      <c r="N2296" s="21" t="n">
        <f aca="false">LN(J2296)</f>
        <v>13.4562273795254</v>
      </c>
      <c r="O2296" s="21" t="n">
        <f aca="false">AVERAGEIFS($N$2:$N$2705,$B$2:$B$2705,B2296)</f>
        <v>13.6300570593868</v>
      </c>
      <c r="P2296" s="21" t="n">
        <f aca="false">N2296-O2296</f>
        <v>-0.173829679861457</v>
      </c>
      <c r="Q2296" s="7" t="n">
        <v>0</v>
      </c>
      <c r="R2296" s="3" t="n">
        <f aca="false">IF(AND(Q2296=1,B2296-_xlfn.MINIFS($B$2:$B$2705,$A$2:$A$2705,A2296)&lt;10),1,0)</f>
        <v>0</v>
      </c>
      <c r="S2296" s="7" t="n">
        <v>0</v>
      </c>
      <c r="T2296" s="3" t="n">
        <f aca="false">_xlfn.MINIFS($B$2:$B$2705,$A$2:$A$2705,A2296)</f>
        <v>1901</v>
      </c>
      <c r="U2296" s="3" t="n">
        <f aca="false">B2296-T2296</f>
        <v>111</v>
      </c>
      <c r="V2296" s="3" t="str">
        <f aca="false">INDEX(Pop_Inputs!$Q$2:$Q$29,MATCH(C2296,Pop_Inputs!$A$2:$A$29,0))</f>
        <v>Midwest</v>
      </c>
      <c r="W2296" s="29" t="n">
        <v>132300000</v>
      </c>
      <c r="X2296" s="3" t="n">
        <f aca="false">IF(W2296="","",LN(W2296))</f>
        <v>18.7005826290852</v>
      </c>
      <c r="Y2296" s="3" t="n">
        <f aca="false">IF(X2296="","",X2296-AVERAGEIFS($X$2:$X$2705,$B$2:$B$2705,B2296))</f>
        <v>0.362275836255858</v>
      </c>
      <c r="Z2296" s="21" t="n">
        <f aca="false">P2296</f>
        <v>-0.173829679861457</v>
      </c>
      <c r="AA2296" s="3" t="n">
        <f aca="false">R2296</f>
        <v>0</v>
      </c>
      <c r="AB2296" s="21" t="n">
        <f aca="false">P2296</f>
        <v>-0.173829679861457</v>
      </c>
      <c r="AC2296" s="3" t="n">
        <f aca="false">Y2296</f>
        <v>0.362275836255858</v>
      </c>
      <c r="AD2296" s="3" t="n">
        <f aca="false">R2296</f>
        <v>0</v>
      </c>
    </row>
    <row r="2297" customFormat="false" ht="15" hidden="false" customHeight="true" outlineLevel="0" collapsed="false">
      <c r="A2297" s="7" t="s">
        <v>83</v>
      </c>
      <c r="B2297" s="7" t="n">
        <v>2012</v>
      </c>
      <c r="C2297" s="7" t="s">
        <v>164</v>
      </c>
      <c r="D2297" s="7" t="n">
        <v>69</v>
      </c>
      <c r="E2297" s="7" t="n">
        <v>93</v>
      </c>
      <c r="F2297" s="3" t="n">
        <f aca="false">COUNTIFS($B$2:$B$2705,B2297,$C$2:$C$2705,C2297)</f>
        <v>1</v>
      </c>
      <c r="G2297" s="3" t="n">
        <f aca="false">MIN(INT((MIN(B2297,2020)-1900)/10)+1,12)</f>
        <v>12</v>
      </c>
      <c r="H2297" s="3" t="n">
        <f aca="false">(MIN(B2297,2020)-1900-10*(G2297-1))/10</f>
        <v>0.2</v>
      </c>
      <c r="I2297" s="20" t="n">
        <f aca="false">EXP(LN(INDEX(Pop_Inputs!$B$2:$N$29,MATCH(C2297,Pop_Inputs!$A$2:$A$29,0),G2297))*(1-H2297)+LN(INDEX(Pop_Inputs!$B$2:$N$29,MATCH(C2297,Pop_Inputs!$A$2:$A$29,0),G2297+1))*H2297)</f>
        <v>407669.132791462</v>
      </c>
      <c r="J2297" s="20" t="n">
        <f aca="false">I2297/F2297</f>
        <v>407669.132791462</v>
      </c>
      <c r="K2297" s="21" t="n">
        <f aca="false">D2297/(D2297+E2297)</f>
        <v>0.425925925925926</v>
      </c>
      <c r="L2297" s="21" t="n">
        <f aca="false">AVERAGEIFS($K$2:$K$2705,$B$2:$B$2705,B2297)</f>
        <v>0.5</v>
      </c>
      <c r="M2297" s="21" t="n">
        <f aca="false">K2297-L2297</f>
        <v>-0.0740740740740741</v>
      </c>
      <c r="N2297" s="21" t="n">
        <f aca="false">LN(J2297)</f>
        <v>12.9182111753487</v>
      </c>
      <c r="O2297" s="21" t="n">
        <f aca="false">AVERAGEIFS($N$2:$N$2705,$B$2:$B$2705,B2297)</f>
        <v>13.6300570593868</v>
      </c>
      <c r="P2297" s="21" t="n">
        <f aca="false">N2297-O2297</f>
        <v>-0.711845884038118</v>
      </c>
      <c r="Q2297" s="7" t="n">
        <v>1</v>
      </c>
      <c r="R2297" s="3" t="n">
        <f aca="false">IF(AND(Q2297=1,B2297-_xlfn.MINIFS($B$2:$B$2705,$A$2:$A$2705,A2297)&lt;10),1,0)</f>
        <v>0</v>
      </c>
      <c r="S2297" s="7" t="n">
        <v>0</v>
      </c>
      <c r="T2297" s="3" t="n">
        <f aca="false">_xlfn.MINIFS($B$2:$B$2705,$A$2:$A$2705,A2297)</f>
        <v>1993</v>
      </c>
      <c r="U2297" s="3" t="n">
        <f aca="false">B2297-T2297</f>
        <v>19</v>
      </c>
      <c r="V2297" s="3" t="str">
        <f aca="false">INDEX(Pop_Inputs!$Q$2:$Q$29,MATCH(C2297,Pop_Inputs!$A$2:$A$29,0))</f>
        <v>South</v>
      </c>
      <c r="W2297" s="29" t="n">
        <v>118078000</v>
      </c>
      <c r="X2297" s="3" t="n">
        <f aca="false">IF(W2297="","",LN(W2297))</f>
        <v>18.5868559810036</v>
      </c>
      <c r="Y2297" s="3" t="n">
        <f aca="false">IF(X2297="","",X2297-AVERAGEIFS($X$2:$X$2705,$B$2:$B$2705,B2297))</f>
        <v>0.248549188174291</v>
      </c>
      <c r="Z2297" s="21" t="n">
        <f aca="false">P2297</f>
        <v>-0.711845884038118</v>
      </c>
      <c r="AA2297" s="3" t="n">
        <f aca="false">R2297</f>
        <v>0</v>
      </c>
      <c r="AB2297" s="21" t="n">
        <f aca="false">P2297</f>
        <v>-0.711845884038118</v>
      </c>
      <c r="AC2297" s="3" t="n">
        <f aca="false">Y2297</f>
        <v>0.248549188174291</v>
      </c>
      <c r="AD2297" s="3" t="n">
        <f aca="false">R2297</f>
        <v>0</v>
      </c>
    </row>
    <row r="2298" customFormat="false" ht="15" hidden="false" customHeight="true" outlineLevel="0" collapsed="false">
      <c r="A2298" s="7" t="s">
        <v>74</v>
      </c>
      <c r="B2298" s="7" t="n">
        <v>2012</v>
      </c>
      <c r="C2298" s="7" t="s">
        <v>156</v>
      </c>
      <c r="D2298" s="7" t="n">
        <v>55</v>
      </c>
      <c r="E2298" s="7" t="n">
        <v>107</v>
      </c>
      <c r="F2298" s="3" t="n">
        <f aca="false">COUNTIFS($B$2:$B$2705,B2298,$C$2:$C$2705,C2298)</f>
        <v>1</v>
      </c>
      <c r="G2298" s="3" t="n">
        <f aca="false">MIN(INT((MIN(B2298,2020)-1900)/10)+1,12)</f>
        <v>12</v>
      </c>
      <c r="H2298" s="3" t="n">
        <f aca="false">(MIN(B2298,2020)-1900-10*(G2298-1))/10</f>
        <v>0.2</v>
      </c>
      <c r="I2298" s="20" t="n">
        <f aca="false">EXP(LN(INDEX(Pop_Inputs!$B$2:$N$29,MATCH(C2298,Pop_Inputs!$A$2:$A$29,0),G2298))*(1-H2298)+LN(INDEX(Pop_Inputs!$B$2:$N$29,MATCH(C2298,Pop_Inputs!$A$2:$A$29,0),G2298+1))*H2298)</f>
        <v>2138961.42334656</v>
      </c>
      <c r="J2298" s="20" t="n">
        <f aca="false">I2298/F2298</f>
        <v>2138961.42334656</v>
      </c>
      <c r="K2298" s="21" t="n">
        <f aca="false">D2298/(D2298+E2298)</f>
        <v>0.339506172839506</v>
      </c>
      <c r="L2298" s="21" t="n">
        <f aca="false">AVERAGEIFS($K$2:$K$2705,$B$2:$B$2705,B2298)</f>
        <v>0.5</v>
      </c>
      <c r="M2298" s="21" t="n">
        <f aca="false">K2298-L2298</f>
        <v>-0.160493827160494</v>
      </c>
      <c r="N2298" s="21" t="n">
        <f aca="false">LN(J2298)</f>
        <v>14.5758309530008</v>
      </c>
      <c r="O2298" s="21" t="n">
        <f aca="false">AVERAGEIFS($N$2:$N$2705,$B$2:$B$2705,B2298)</f>
        <v>13.6300570593868</v>
      </c>
      <c r="P2298" s="21" t="n">
        <f aca="false">N2298-O2298</f>
        <v>0.945773893613986</v>
      </c>
      <c r="Q2298" s="7" t="n">
        <v>1</v>
      </c>
      <c r="R2298" s="3" t="n">
        <f aca="false">IF(AND(Q2298=1,B2298-_xlfn.MINIFS($B$2:$B$2705,$A$2:$A$2705,A2298)&lt;10),1,0)</f>
        <v>0</v>
      </c>
      <c r="S2298" s="7" t="n">
        <v>0</v>
      </c>
      <c r="T2298" s="3" t="n">
        <f aca="false">_xlfn.MINIFS($B$2:$B$2705,$A$2:$A$2705,A2298)</f>
        <v>1962</v>
      </c>
      <c r="U2298" s="3" t="n">
        <f aca="false">B2298-T2298</f>
        <v>50</v>
      </c>
      <c r="V2298" s="3" t="str">
        <f aca="false">INDEX(Pop_Inputs!$Q$2:$Q$29,MATCH(C2298,Pop_Inputs!$A$2:$A$29,0))</f>
        <v>South</v>
      </c>
      <c r="W2298" s="29" t="n">
        <v>60651000</v>
      </c>
      <c r="X2298" s="3" t="n">
        <f aca="false">IF(W2298="","",LN(W2298))</f>
        <v>17.9206466812646</v>
      </c>
      <c r="Y2298" s="3" t="n">
        <f aca="false">IF(X2298="","",X2298-AVERAGEIFS($X$2:$X$2705,$B$2:$B$2705,B2298))</f>
        <v>-0.41766011156475</v>
      </c>
      <c r="Z2298" s="21" t="n">
        <f aca="false">P2298</f>
        <v>0.945773893613986</v>
      </c>
      <c r="AA2298" s="3" t="n">
        <f aca="false">R2298</f>
        <v>0</v>
      </c>
      <c r="AB2298" s="21" t="n">
        <f aca="false">P2298</f>
        <v>0.945773893613986</v>
      </c>
      <c r="AC2298" s="3" t="n">
        <f aca="false">Y2298</f>
        <v>-0.41766011156475</v>
      </c>
      <c r="AD2298" s="3" t="n">
        <f aca="false">R2298</f>
        <v>0</v>
      </c>
    </row>
    <row r="2299" customFormat="false" ht="15" hidden="false" customHeight="true" outlineLevel="0" collapsed="false">
      <c r="A2299" s="7" t="s">
        <v>76</v>
      </c>
      <c r="B2299" s="7" t="n">
        <v>2012</v>
      </c>
      <c r="C2299" s="7" t="s">
        <v>157</v>
      </c>
      <c r="D2299" s="7" t="n">
        <v>72</v>
      </c>
      <c r="E2299" s="7" t="n">
        <v>90</v>
      </c>
      <c r="F2299" s="3" t="n">
        <f aca="false">COUNTIFS($B$2:$B$2705,B2299,$C$2:$C$2705,C2299)</f>
        <v>1</v>
      </c>
      <c r="G2299" s="3" t="n">
        <f aca="false">MIN(INT((MIN(B2299,2020)-1900)/10)+1,12)</f>
        <v>12</v>
      </c>
      <c r="H2299" s="3" t="n">
        <f aca="false">(MIN(B2299,2020)-1900-10*(G2299-1))/10</f>
        <v>0.2</v>
      </c>
      <c r="I2299" s="20" t="n">
        <f aca="false">EXP(LN(INDEX(Pop_Inputs!$B$2:$N$29,MATCH(C2299,Pop_Inputs!$A$2:$A$29,0),G2299))*(1-H2299)+LN(INDEX(Pop_Inputs!$B$2:$N$29,MATCH(C2299,Pop_Inputs!$A$2:$A$29,0),G2299+1))*H2299)</f>
        <v>469065.487296951</v>
      </c>
      <c r="J2299" s="20" t="n">
        <f aca="false">I2299/F2299</f>
        <v>469065.487296951</v>
      </c>
      <c r="K2299" s="21" t="n">
        <f aca="false">D2299/(D2299+E2299)</f>
        <v>0.444444444444444</v>
      </c>
      <c r="L2299" s="21" t="n">
        <f aca="false">AVERAGEIFS($K$2:$K$2705,$B$2:$B$2705,B2299)</f>
        <v>0.5</v>
      </c>
      <c r="M2299" s="21" t="n">
        <f aca="false">K2299-L2299</f>
        <v>-0.0555555555555556</v>
      </c>
      <c r="N2299" s="21" t="n">
        <f aca="false">LN(J2299)</f>
        <v>13.058497669444</v>
      </c>
      <c r="O2299" s="21" t="n">
        <f aca="false">AVERAGEIFS($N$2:$N$2705,$B$2:$B$2705,B2299)</f>
        <v>13.6300570593868</v>
      </c>
      <c r="P2299" s="21" t="n">
        <f aca="false">N2299-O2299</f>
        <v>-0.5715593899428</v>
      </c>
      <c r="Q2299" s="7" t="n">
        <v>1</v>
      </c>
      <c r="R2299" s="3" t="n">
        <f aca="false">IF(AND(Q2299=1,B2299-_xlfn.MINIFS($B$2:$B$2705,$A$2:$A$2705,A2299)&lt;10),1,0)</f>
        <v>0</v>
      </c>
      <c r="S2299" s="7" t="n">
        <v>0</v>
      </c>
      <c r="T2299" s="3" t="n">
        <f aca="false">_xlfn.MINIFS($B$2:$B$2705,$A$2:$A$2705,A2299)</f>
        <v>1969</v>
      </c>
      <c r="U2299" s="3" t="n">
        <f aca="false">B2299-T2299</f>
        <v>43</v>
      </c>
      <c r="V2299" s="3" t="str">
        <f aca="false">INDEX(Pop_Inputs!$Q$2:$Q$29,MATCH(C2299,Pop_Inputs!$A$2:$A$29,0))</f>
        <v>Midwest</v>
      </c>
      <c r="W2299" s="29" t="n">
        <v>60916225</v>
      </c>
      <c r="X2299" s="3" t="n">
        <f aca="false">IF(W2299="","",LN(W2299))</f>
        <v>17.9250101175578</v>
      </c>
      <c r="Y2299" s="3" t="n">
        <f aca="false">IF(X2299="","",X2299-AVERAGEIFS($X$2:$X$2705,$B$2:$B$2705,B2299))</f>
        <v>-0.413296675271553</v>
      </c>
      <c r="Z2299" s="21" t="n">
        <f aca="false">P2299</f>
        <v>-0.5715593899428</v>
      </c>
      <c r="AA2299" s="3" t="n">
        <f aca="false">R2299</f>
        <v>0</v>
      </c>
      <c r="AB2299" s="21" t="n">
        <f aca="false">P2299</f>
        <v>-0.5715593899428</v>
      </c>
      <c r="AC2299" s="3" t="n">
        <f aca="false">Y2299</f>
        <v>-0.413296675271553</v>
      </c>
      <c r="AD2299" s="3" t="n">
        <f aca="false">R2299</f>
        <v>0</v>
      </c>
    </row>
    <row r="2300" customFormat="false" ht="15" hidden="false" customHeight="true" outlineLevel="0" collapsed="false">
      <c r="A2300" s="7" t="s">
        <v>62</v>
      </c>
      <c r="B2300" s="7" t="n">
        <v>2012</v>
      </c>
      <c r="C2300" s="7" t="s">
        <v>148</v>
      </c>
      <c r="D2300" s="7" t="n">
        <v>86</v>
      </c>
      <c r="E2300" s="7" t="n">
        <v>76</v>
      </c>
      <c r="F2300" s="3" t="n">
        <f aca="false">COUNTIFS($B$2:$B$2705,B2300,$C$2:$C$2705,C2300)</f>
        <v>2</v>
      </c>
      <c r="G2300" s="3" t="n">
        <f aca="false">MIN(INT((MIN(B2300,2020)-1900)/10)+1,12)</f>
        <v>12</v>
      </c>
      <c r="H2300" s="3" t="n">
        <f aca="false">(MIN(B2300,2020)-1900-10*(G2300-1))/10</f>
        <v>0.2</v>
      </c>
      <c r="I2300" s="20" t="n">
        <f aca="false">EXP(LN(INDEX(Pop_Inputs!$B$2:$N$29,MATCH(C2300,Pop_Inputs!$A$2:$A$29,0),G2300))*(1-H2300)+LN(INDEX(Pop_Inputs!$B$2:$N$29,MATCH(C2300,Pop_Inputs!$A$2:$A$29,0),G2300+1))*H2300)</f>
        <v>3813612.54077681</v>
      </c>
      <c r="J2300" s="20" t="n">
        <f aca="false">I2300/F2300</f>
        <v>1906806.27038841</v>
      </c>
      <c r="K2300" s="21" t="n">
        <f aca="false">D2300/(D2300+E2300)</f>
        <v>0.530864197530864</v>
      </c>
      <c r="L2300" s="21" t="n">
        <f aca="false">AVERAGEIFS($K$2:$K$2705,$B$2:$B$2705,B2300)</f>
        <v>0.5</v>
      </c>
      <c r="M2300" s="21" t="n">
        <f aca="false">K2300-L2300</f>
        <v>0.0308641975308642</v>
      </c>
      <c r="N2300" s="21" t="n">
        <f aca="false">LN(J2300)</f>
        <v>14.4609402907427</v>
      </c>
      <c r="O2300" s="21" t="n">
        <f aca="false">AVERAGEIFS($N$2:$N$2705,$B$2:$B$2705,B2300)</f>
        <v>13.6300570593868</v>
      </c>
      <c r="P2300" s="21" t="n">
        <f aca="false">N2300-O2300</f>
        <v>0.830883231355857</v>
      </c>
      <c r="Q2300" s="7" t="n">
        <v>0</v>
      </c>
      <c r="R2300" s="3" t="n">
        <f aca="false">IF(AND(Q2300=1,B2300-_xlfn.MINIFS($B$2:$B$2705,$A$2:$A$2705,A2300)&lt;10),1,0)</f>
        <v>0</v>
      </c>
      <c r="S2300" s="7" t="n">
        <v>0</v>
      </c>
      <c r="T2300" s="3" t="n">
        <f aca="false">_xlfn.MINIFS($B$2:$B$2705,$A$2:$A$2705,A2300)</f>
        <v>1901</v>
      </c>
      <c r="U2300" s="3" t="n">
        <f aca="false">B2300-T2300</f>
        <v>111</v>
      </c>
      <c r="V2300" s="3" t="str">
        <f aca="false">INDEX(Pop_Inputs!$Q$2:$Q$29,MATCH(C2300,Pop_Inputs!$A$2:$A$29,0))</f>
        <v>West</v>
      </c>
      <c r="W2300" s="29" t="n">
        <v>95143575</v>
      </c>
      <c r="X2300" s="3" t="n">
        <f aca="false">IF(W2300="","",LN(W2300))</f>
        <v>18.3708976244659</v>
      </c>
      <c r="Y2300" s="3" t="n">
        <f aca="false">IF(X2300="","",X2300-AVERAGEIFS($X$2:$X$2705,$B$2:$B$2705,B2300))</f>
        <v>0.0325908316366075</v>
      </c>
      <c r="Z2300" s="21" t="n">
        <f aca="false">P2300</f>
        <v>0.830883231355857</v>
      </c>
      <c r="AA2300" s="3" t="n">
        <f aca="false">R2300</f>
        <v>0</v>
      </c>
      <c r="AB2300" s="21" t="n">
        <f aca="false">P2300</f>
        <v>0.830883231355857</v>
      </c>
      <c r="AC2300" s="3" t="n">
        <f aca="false">Y2300</f>
        <v>0.0325908316366075</v>
      </c>
      <c r="AD2300" s="3" t="n">
        <f aca="false">R2300</f>
        <v>0</v>
      </c>
    </row>
    <row r="2301" customFormat="false" ht="15" hidden="false" customHeight="true" outlineLevel="0" collapsed="false">
      <c r="A2301" s="7" t="s">
        <v>77</v>
      </c>
      <c r="B2301" s="7" t="n">
        <v>2012</v>
      </c>
      <c r="C2301" s="7" t="s">
        <v>158</v>
      </c>
      <c r="D2301" s="7" t="n">
        <v>83</v>
      </c>
      <c r="E2301" s="7" t="n">
        <v>79</v>
      </c>
      <c r="F2301" s="3" t="n">
        <f aca="false">COUNTIFS($B$2:$B$2705,B2301,$C$2:$C$2705,C2301)</f>
        <v>1</v>
      </c>
      <c r="G2301" s="3" t="n">
        <f aca="false">MIN(INT((MIN(B2301,2020)-1900)/10)+1,12)</f>
        <v>12</v>
      </c>
      <c r="H2301" s="3" t="n">
        <f aca="false">(MIN(B2301,2020)-1900-10*(G2301-1))/10</f>
        <v>0.2</v>
      </c>
      <c r="I2301" s="20" t="n">
        <f aca="false">EXP(LN(INDEX(Pop_Inputs!$B$2:$N$29,MATCH(C2301,Pop_Inputs!$A$2:$A$29,0),G2301))*(1-H2301)+LN(INDEX(Pop_Inputs!$B$2:$N$29,MATCH(C2301,Pop_Inputs!$A$2:$A$29,0),G2301+1))*H2301)</f>
        <v>591268.331127699</v>
      </c>
      <c r="J2301" s="20" t="n">
        <f aca="false">I2301/F2301</f>
        <v>591268.331127699</v>
      </c>
      <c r="K2301" s="21" t="n">
        <f aca="false">D2301/(D2301+E2301)</f>
        <v>0.512345679012346</v>
      </c>
      <c r="L2301" s="21" t="n">
        <f aca="false">AVERAGEIFS($K$2:$K$2705,$B$2:$B$2705,B2301)</f>
        <v>0.5</v>
      </c>
      <c r="M2301" s="21" t="n">
        <f aca="false">K2301-L2301</f>
        <v>0.0123456790123457</v>
      </c>
      <c r="N2301" s="21" t="n">
        <f aca="false">LN(J2301)</f>
        <v>13.2900252223291</v>
      </c>
      <c r="O2301" s="21" t="n">
        <f aca="false">AVERAGEIFS($N$2:$N$2705,$B$2:$B$2705,B2301)</f>
        <v>13.6300570593868</v>
      </c>
      <c r="P2301" s="21" t="n">
        <f aca="false">N2301-O2301</f>
        <v>-0.340031837057687</v>
      </c>
      <c r="Q2301" s="7" t="n">
        <v>1</v>
      </c>
      <c r="R2301" s="3" t="n">
        <f aca="false">IF(AND(Q2301=1,B2301-_xlfn.MINIFS($B$2:$B$2705,$A$2:$A$2705,A2301)&lt;10),1,0)</f>
        <v>0</v>
      </c>
      <c r="S2301" s="7" t="n">
        <v>0</v>
      </c>
      <c r="T2301" s="3" t="n">
        <f aca="false">_xlfn.MINIFS($B$2:$B$2705,$A$2:$A$2705,A2301)</f>
        <v>1969</v>
      </c>
      <c r="U2301" s="3" t="n">
        <f aca="false">B2301-T2301</f>
        <v>43</v>
      </c>
      <c r="V2301" s="3" t="str">
        <f aca="false">INDEX(Pop_Inputs!$Q$2:$Q$29,MATCH(C2301,Pop_Inputs!$A$2:$A$29,0))</f>
        <v>Midwest</v>
      </c>
      <c r="W2301" s="29" t="n">
        <v>97653944</v>
      </c>
      <c r="X2301" s="3" t="n">
        <f aca="false">IF(W2301="","",LN(W2301))</f>
        <v>18.3969406036162</v>
      </c>
      <c r="Y2301" s="3" t="n">
        <f aca="false">IF(X2301="","",X2301-AVERAGEIFS($X$2:$X$2705,$B$2:$B$2705,B2301))</f>
        <v>0.0586338107869224</v>
      </c>
      <c r="Z2301" s="21" t="n">
        <f aca="false">P2301</f>
        <v>-0.340031837057687</v>
      </c>
      <c r="AA2301" s="3" t="n">
        <f aca="false">R2301</f>
        <v>0</v>
      </c>
      <c r="AB2301" s="21" t="n">
        <f aca="false">P2301</f>
        <v>-0.340031837057687</v>
      </c>
      <c r="AC2301" s="3" t="n">
        <f aca="false">Y2301</f>
        <v>0.0586338107869224</v>
      </c>
      <c r="AD2301" s="3" t="n">
        <f aca="false">R2301</f>
        <v>0</v>
      </c>
    </row>
    <row r="2302" customFormat="false" ht="15" hidden="false" customHeight="true" outlineLevel="0" collapsed="false">
      <c r="A2302" s="7" t="s">
        <v>68</v>
      </c>
      <c r="B2302" s="7" t="n">
        <v>2012</v>
      </c>
      <c r="C2302" s="7" t="s">
        <v>153</v>
      </c>
      <c r="D2302" s="7" t="n">
        <v>66</v>
      </c>
      <c r="E2302" s="7" t="n">
        <v>96</v>
      </c>
      <c r="F2302" s="3" t="n">
        <f aca="false">COUNTIFS($B$2:$B$2705,B2302,$C$2:$C$2705,C2302)</f>
        <v>1</v>
      </c>
      <c r="G2302" s="3" t="n">
        <f aca="false">MIN(INT((MIN(B2302,2020)-1900)/10)+1,12)</f>
        <v>12</v>
      </c>
      <c r="H2302" s="3" t="n">
        <f aca="false">(MIN(B2302,2020)-1900-10*(G2302-1))/10</f>
        <v>0.2</v>
      </c>
      <c r="I2302" s="20" t="n">
        <f aca="false">EXP(LN(INDEX(Pop_Inputs!$B$2:$N$29,MATCH(C2302,Pop_Inputs!$A$2:$A$29,0),G2302))*(1-H2302)+LN(INDEX(Pop_Inputs!$B$2:$N$29,MATCH(C2302,Pop_Inputs!$A$2:$A$29,0),G2302+1))*H2302)</f>
        <v>391615.968921731</v>
      </c>
      <c r="J2302" s="20" t="n">
        <f aca="false">I2302/F2302</f>
        <v>391615.968921731</v>
      </c>
      <c r="K2302" s="21" t="n">
        <f aca="false">D2302/(D2302+E2302)</f>
        <v>0.407407407407407</v>
      </c>
      <c r="L2302" s="21" t="n">
        <f aca="false">AVERAGEIFS($K$2:$K$2705,$B$2:$B$2705,B2302)</f>
        <v>0.5</v>
      </c>
      <c r="M2302" s="21" t="n">
        <f aca="false">K2302-L2302</f>
        <v>-0.0925925925925926</v>
      </c>
      <c r="N2302" s="21" t="n">
        <f aca="false">LN(J2302)</f>
        <v>12.8780369674632</v>
      </c>
      <c r="O2302" s="21" t="n">
        <f aca="false">AVERAGEIFS($N$2:$N$2705,$B$2:$B$2705,B2302)</f>
        <v>13.6300570593868</v>
      </c>
      <c r="P2302" s="21" t="n">
        <f aca="false">N2302-O2302</f>
        <v>-0.752020091923658</v>
      </c>
      <c r="Q2302" s="7" t="n">
        <v>0</v>
      </c>
      <c r="R2302" s="3" t="n">
        <f aca="false">IF(AND(Q2302=1,B2302-_xlfn.MINIFS($B$2:$B$2705,$A$2:$A$2705,A2302)&lt;10),1,0)</f>
        <v>0</v>
      </c>
      <c r="S2302" s="7" t="n">
        <v>0</v>
      </c>
      <c r="T2302" s="3" t="n">
        <f aca="false">_xlfn.MINIFS($B$2:$B$2705,$A$2:$A$2705,A2302)</f>
        <v>1901</v>
      </c>
      <c r="U2302" s="3" t="n">
        <f aca="false">B2302-T2302</f>
        <v>111</v>
      </c>
      <c r="V2302" s="3" t="str">
        <f aca="false">INDEX(Pop_Inputs!$Q$2:$Q$29,MATCH(C2302,Pop_Inputs!$A$2:$A$29,0))</f>
        <v>Midwest</v>
      </c>
      <c r="W2302" s="29" t="n">
        <v>94085000</v>
      </c>
      <c r="X2302" s="3" t="n">
        <f aca="false">IF(W2302="","",LN(W2302))</f>
        <v>18.3597091869609</v>
      </c>
      <c r="Y2302" s="3" t="n">
        <f aca="false">IF(X2302="","",X2302-AVERAGEIFS($X$2:$X$2705,$B$2:$B$2705,B2302))</f>
        <v>0.021402394131556</v>
      </c>
      <c r="Z2302" s="21" t="n">
        <f aca="false">P2302</f>
        <v>-0.752020091923658</v>
      </c>
      <c r="AA2302" s="3" t="n">
        <f aca="false">R2302</f>
        <v>0</v>
      </c>
      <c r="AB2302" s="21" t="n">
        <f aca="false">P2302</f>
        <v>-0.752020091923658</v>
      </c>
      <c r="AC2302" s="3" t="n">
        <f aca="false">Y2302</f>
        <v>0.021402394131556</v>
      </c>
      <c r="AD2302" s="3" t="n">
        <f aca="false">R2302</f>
        <v>0</v>
      </c>
    </row>
    <row r="2303" customFormat="false" ht="15" hidden="false" customHeight="true" outlineLevel="0" collapsed="false">
      <c r="A2303" s="7" t="s">
        <v>75</v>
      </c>
      <c r="B2303" s="7" t="n">
        <v>2012</v>
      </c>
      <c r="C2303" s="7" t="s">
        <v>154</v>
      </c>
      <c r="D2303" s="7" t="n">
        <v>74</v>
      </c>
      <c r="E2303" s="7" t="n">
        <v>88</v>
      </c>
      <c r="F2303" s="3" t="n">
        <f aca="false">COUNTIFS($B$2:$B$2705,B2303,$C$2:$C$2705,C2303)</f>
        <v>2</v>
      </c>
      <c r="G2303" s="3" t="n">
        <f aca="false">MIN(INT((MIN(B2303,2020)-1900)/10)+1,12)</f>
        <v>12</v>
      </c>
      <c r="H2303" s="3" t="n">
        <f aca="false">(MIN(B2303,2020)-1900-10*(G2303-1))/10</f>
        <v>0.2</v>
      </c>
      <c r="I2303" s="20" t="n">
        <f aca="false">EXP(LN(INDEX(Pop_Inputs!$B$2:$N$29,MATCH(C2303,Pop_Inputs!$A$2:$A$29,0),G2303))*(1-H2303)+LN(INDEX(Pop_Inputs!$B$2:$N$29,MATCH(C2303,Pop_Inputs!$A$2:$A$29,0),G2303+1))*H2303)</f>
        <v>8297241.72695287</v>
      </c>
      <c r="J2303" s="20" t="n">
        <f aca="false">I2303/F2303</f>
        <v>4148620.86347644</v>
      </c>
      <c r="K2303" s="21" t="n">
        <f aca="false">D2303/(D2303+E2303)</f>
        <v>0.45679012345679</v>
      </c>
      <c r="L2303" s="21" t="n">
        <f aca="false">AVERAGEIFS($K$2:$K$2705,$B$2:$B$2705,B2303)</f>
        <v>0.5</v>
      </c>
      <c r="M2303" s="21" t="n">
        <f aca="false">K2303-L2303</f>
        <v>-0.0432098765432099</v>
      </c>
      <c r="N2303" s="21" t="n">
        <f aca="false">LN(J2303)</f>
        <v>15.2382865149218</v>
      </c>
      <c r="O2303" s="21" t="n">
        <f aca="false">AVERAGEIFS($N$2:$N$2705,$B$2:$B$2705,B2303)</f>
        <v>13.6300570593868</v>
      </c>
      <c r="P2303" s="21" t="n">
        <f aca="false">N2303-O2303</f>
        <v>1.60822945553497</v>
      </c>
      <c r="Q2303" s="7" t="n">
        <v>1</v>
      </c>
      <c r="R2303" s="3" t="n">
        <f aca="false">IF(AND(Q2303=1,B2303-_xlfn.MINIFS($B$2:$B$2705,$A$2:$A$2705,A2303)&lt;10),1,0)</f>
        <v>0</v>
      </c>
      <c r="S2303" s="7" t="n">
        <v>0</v>
      </c>
      <c r="T2303" s="3" t="n">
        <f aca="false">_xlfn.MINIFS($B$2:$B$2705,$A$2:$A$2705,A2303)</f>
        <v>1962</v>
      </c>
      <c r="U2303" s="3" t="n">
        <f aca="false">B2303-T2303</f>
        <v>50</v>
      </c>
      <c r="V2303" s="3" t="str">
        <f aca="false">INDEX(Pop_Inputs!$Q$2:$Q$29,MATCH(C2303,Pop_Inputs!$A$2:$A$29,0))</f>
        <v>Northeast</v>
      </c>
      <c r="W2303" s="29" t="n">
        <v>93353983</v>
      </c>
      <c r="X2303" s="3" t="n">
        <f aca="false">IF(W2303="","",LN(W2303))</f>
        <v>18.3519090944226</v>
      </c>
      <c r="Y2303" s="3" t="n">
        <f aca="false">IF(X2303="","",X2303-AVERAGEIFS($X$2:$X$2705,$B$2:$B$2705,B2303))</f>
        <v>0.0136023015932771</v>
      </c>
      <c r="Z2303" s="21" t="n">
        <f aca="false">P2303</f>
        <v>1.60822945553497</v>
      </c>
      <c r="AA2303" s="3" t="n">
        <f aca="false">R2303</f>
        <v>0</v>
      </c>
      <c r="AB2303" s="21" t="n">
        <f aca="false">P2303</f>
        <v>1.60822945553497</v>
      </c>
      <c r="AC2303" s="3" t="n">
        <f aca="false">Y2303</f>
        <v>0.0136023015932771</v>
      </c>
      <c r="AD2303" s="3" t="n">
        <f aca="false">R2303</f>
        <v>0</v>
      </c>
    </row>
    <row r="2304" customFormat="false" ht="15" hidden="false" customHeight="true" outlineLevel="0" collapsed="false">
      <c r="A2304" s="7" t="s">
        <v>70</v>
      </c>
      <c r="B2304" s="7" t="n">
        <v>2012</v>
      </c>
      <c r="C2304" s="7" t="s">
        <v>154</v>
      </c>
      <c r="D2304" s="7" t="n">
        <v>95</v>
      </c>
      <c r="E2304" s="7" t="n">
        <v>67</v>
      </c>
      <c r="F2304" s="3" t="n">
        <f aca="false">COUNTIFS($B$2:$B$2705,B2304,$C$2:$C$2705,C2304)</f>
        <v>2</v>
      </c>
      <c r="G2304" s="3" t="n">
        <f aca="false">MIN(INT((MIN(B2304,2020)-1900)/10)+1,12)</f>
        <v>12</v>
      </c>
      <c r="H2304" s="3" t="n">
        <f aca="false">(MIN(B2304,2020)-1900-10*(G2304-1))/10</f>
        <v>0.2</v>
      </c>
      <c r="I2304" s="20" t="n">
        <f aca="false">EXP(LN(INDEX(Pop_Inputs!$B$2:$N$29,MATCH(C2304,Pop_Inputs!$A$2:$A$29,0),G2304))*(1-H2304)+LN(INDEX(Pop_Inputs!$B$2:$N$29,MATCH(C2304,Pop_Inputs!$A$2:$A$29,0),G2304+1))*H2304)</f>
        <v>8297241.72695287</v>
      </c>
      <c r="J2304" s="20" t="n">
        <f aca="false">I2304/F2304</f>
        <v>4148620.86347644</v>
      </c>
      <c r="K2304" s="21" t="n">
        <f aca="false">D2304/(D2304+E2304)</f>
        <v>0.58641975308642</v>
      </c>
      <c r="L2304" s="21" t="n">
        <f aca="false">AVERAGEIFS($K$2:$K$2705,$B$2:$B$2705,B2304)</f>
        <v>0.5</v>
      </c>
      <c r="M2304" s="21" t="n">
        <f aca="false">K2304-L2304</f>
        <v>0.0864197530864198</v>
      </c>
      <c r="N2304" s="21" t="n">
        <f aca="false">LN(J2304)</f>
        <v>15.2382865149218</v>
      </c>
      <c r="O2304" s="21" t="n">
        <f aca="false">AVERAGEIFS($N$2:$N$2705,$B$2:$B$2705,B2304)</f>
        <v>13.6300570593868</v>
      </c>
      <c r="P2304" s="21" t="n">
        <f aca="false">N2304-O2304</f>
        <v>1.60822945553497</v>
      </c>
      <c r="Q2304" s="7" t="n">
        <v>0</v>
      </c>
      <c r="R2304" s="3" t="n">
        <f aca="false">IF(AND(Q2304=1,B2304-_xlfn.MINIFS($B$2:$B$2705,$A$2:$A$2705,A2304)&lt;10),1,0)</f>
        <v>0</v>
      </c>
      <c r="S2304" s="7" t="n">
        <v>1</v>
      </c>
      <c r="T2304" s="3" t="n">
        <f aca="false">_xlfn.MINIFS($B$2:$B$2705,$A$2:$A$2705,A2304)</f>
        <v>1903</v>
      </c>
      <c r="U2304" s="3" t="n">
        <f aca="false">B2304-T2304</f>
        <v>109</v>
      </c>
      <c r="V2304" s="3" t="str">
        <f aca="false">INDEX(Pop_Inputs!$Q$2:$Q$29,MATCH(C2304,Pop_Inputs!$A$2:$A$29,0))</f>
        <v>Northeast</v>
      </c>
      <c r="W2304" s="29" t="n">
        <v>196522289</v>
      </c>
      <c r="X2304" s="3" t="n">
        <f aca="false">IF(W2304="","",LN(W2304))</f>
        <v>19.0962864128663</v>
      </c>
      <c r="Y2304" s="3" t="n">
        <f aca="false">IF(X2304="","",X2304-AVERAGEIFS($X$2:$X$2705,$B$2:$B$2705,B2304))</f>
        <v>0.757979620037013</v>
      </c>
      <c r="Z2304" s="21" t="n">
        <f aca="false">P2304</f>
        <v>1.60822945553497</v>
      </c>
      <c r="AA2304" s="3" t="n">
        <f aca="false">R2304</f>
        <v>0</v>
      </c>
      <c r="AB2304" s="21" t="n">
        <f aca="false">P2304</f>
        <v>1.60822945553497</v>
      </c>
      <c r="AC2304" s="3" t="n">
        <f aca="false">Y2304</f>
        <v>0.757979620037013</v>
      </c>
      <c r="AD2304" s="3" t="n">
        <f aca="false">R2304</f>
        <v>0</v>
      </c>
    </row>
    <row r="2305" customFormat="false" ht="15" hidden="false" customHeight="true" outlineLevel="0" collapsed="false">
      <c r="A2305" s="7" t="s">
        <v>69</v>
      </c>
      <c r="B2305" s="7" t="n">
        <v>2012</v>
      </c>
      <c r="C2305" s="7" t="s">
        <v>253</v>
      </c>
      <c r="D2305" s="7" t="n">
        <v>94</v>
      </c>
      <c r="E2305" s="7" t="n">
        <v>68</v>
      </c>
      <c r="F2305" s="3" t="n">
        <f aca="false">COUNTIFS($B$2:$B$2705,B2305,$C$2:$C$2705,C2305)</f>
        <v>1</v>
      </c>
      <c r="G2305" s="3" t="n">
        <f aca="false">MIN(INT((MIN(B2305,2020)-1900)/10)+1,12)</f>
        <v>12</v>
      </c>
      <c r="H2305" s="3" t="n">
        <f aca="false">(MIN(B2305,2020)-1900-10*(G2305-1))/10</f>
        <v>0.2</v>
      </c>
      <c r="I2305" s="20" t="n">
        <f aca="false">EXP(LN(INDEX(Pop_Inputs!$B$2:$N$29,MATCH(C2305,Pop_Inputs!$A$2:$A$29,0),G2305))*(1-H2305)+LN(INDEX(Pop_Inputs!$B$2:$N$29,MATCH(C2305,Pop_Inputs!$A$2:$A$29,0),G2305+1))*H2305)</f>
        <v>400234.053248343</v>
      </c>
      <c r="J2305" s="20" t="n">
        <f aca="false">I2305/F2305</f>
        <v>400234.053248343</v>
      </c>
      <c r="K2305" s="21" t="n">
        <f aca="false">D2305/(D2305+E2305)</f>
        <v>0.580246913580247</v>
      </c>
      <c r="L2305" s="21" t="n">
        <f aca="false">AVERAGEIFS($K$2:$K$2705,$B$2:$B$2705,B2305)</f>
        <v>0.5</v>
      </c>
      <c r="M2305" s="21" t="n">
        <f aca="false">K2305-L2305</f>
        <v>0.0802469135802469</v>
      </c>
      <c r="N2305" s="21" t="n">
        <f aca="false">LN(J2305)</f>
        <v>12.8998047880873</v>
      </c>
      <c r="O2305" s="21" t="n">
        <f aca="false">AVERAGEIFS($N$2:$N$2705,$B$2:$B$2705,B2305)</f>
        <v>13.6300570593868</v>
      </c>
      <c r="P2305" s="21" t="n">
        <f aca="false">N2305-O2305</f>
        <v>-0.730252271299488</v>
      </c>
      <c r="Q2305" s="7" t="n">
        <v>0</v>
      </c>
      <c r="R2305" s="3" t="n">
        <f aca="false">IF(AND(Q2305=1,B2305-_xlfn.MINIFS($B$2:$B$2705,$A$2:$A$2705,A2305)&lt;10),1,0)</f>
        <v>0</v>
      </c>
      <c r="S2305" s="7" t="n">
        <v>0</v>
      </c>
      <c r="T2305" s="3" t="n">
        <f aca="false">_xlfn.MINIFS($B$2:$B$2705,$A$2:$A$2705,A2305)</f>
        <v>1901</v>
      </c>
      <c r="U2305" s="3" t="n">
        <f aca="false">B2305-T2305</f>
        <v>111</v>
      </c>
      <c r="V2305" s="3" t="str">
        <f aca="false">INDEX(Pop_Inputs!$Q$2:$Q$29,MATCH(C2305,Pop_Inputs!$A$2:$A$29,0))</f>
        <v>West</v>
      </c>
      <c r="W2305" s="29" t="n">
        <v>55372500</v>
      </c>
      <c r="X2305" s="3" t="n">
        <f aca="false">IF(W2305="","",LN(W2305))</f>
        <v>17.8295936385836</v>
      </c>
      <c r="Y2305" s="3" t="n">
        <f aca="false">IF(X2305="","",X2305-AVERAGEIFS($X$2:$X$2705,$B$2:$B$2705,B2305))</f>
        <v>-0.508713154245758</v>
      </c>
      <c r="Z2305" s="21" t="n">
        <f aca="false">P2305</f>
        <v>-0.730252271299488</v>
      </c>
      <c r="AA2305" s="3" t="n">
        <f aca="false">R2305</f>
        <v>0</v>
      </c>
      <c r="AB2305" s="21" t="n">
        <f aca="false">P2305</f>
        <v>-0.730252271299488</v>
      </c>
      <c r="AC2305" s="3" t="n">
        <f aca="false">Y2305</f>
        <v>-0.508713154245758</v>
      </c>
      <c r="AD2305" s="3" t="n">
        <f aca="false">R2305</f>
        <v>0</v>
      </c>
    </row>
    <row r="2306" customFormat="false" ht="15" hidden="false" customHeight="true" outlineLevel="0" collapsed="false">
      <c r="A2306" s="7" t="s">
        <v>60</v>
      </c>
      <c r="B2306" s="7" t="n">
        <v>2012</v>
      </c>
      <c r="C2306" s="7" t="s">
        <v>146</v>
      </c>
      <c r="D2306" s="7" t="n">
        <v>81</v>
      </c>
      <c r="E2306" s="7" t="n">
        <v>81</v>
      </c>
      <c r="F2306" s="3" t="n">
        <f aca="false">COUNTIFS($B$2:$B$2705,B2306,$C$2:$C$2705,C2306)</f>
        <v>1</v>
      </c>
      <c r="G2306" s="3" t="n">
        <f aca="false">MIN(INT((MIN(B2306,2020)-1900)/10)+1,12)</f>
        <v>12</v>
      </c>
      <c r="H2306" s="3" t="n">
        <f aca="false">(MIN(B2306,2020)-1900-10*(G2306-1))/10</f>
        <v>0.2</v>
      </c>
      <c r="I2306" s="20" t="n">
        <f aca="false">EXP(LN(INDEX(Pop_Inputs!$B$2:$N$29,MATCH(C2306,Pop_Inputs!$A$2:$A$29,0),G2306))*(1-H2306)+LN(INDEX(Pop_Inputs!$B$2:$N$29,MATCH(C2306,Pop_Inputs!$A$2:$A$29,0),G2306+1))*H2306)</f>
        <v>1541256.32658517</v>
      </c>
      <c r="J2306" s="20" t="n">
        <f aca="false">I2306/F2306</f>
        <v>1541256.32658517</v>
      </c>
      <c r="K2306" s="21" t="n">
        <f aca="false">D2306/(D2306+E2306)</f>
        <v>0.5</v>
      </c>
      <c r="L2306" s="21" t="n">
        <f aca="false">AVERAGEIFS($K$2:$K$2705,$B$2:$B$2705,B2306)</f>
        <v>0.5</v>
      </c>
      <c r="M2306" s="21" t="n">
        <f aca="false">K2306-L2306</f>
        <v>0</v>
      </c>
      <c r="N2306" s="21" t="n">
        <f aca="false">LN(J2306)</f>
        <v>14.2481084382926</v>
      </c>
      <c r="O2306" s="21" t="n">
        <f aca="false">AVERAGEIFS($N$2:$N$2705,$B$2:$B$2705,B2306)</f>
        <v>13.6300570593868</v>
      </c>
      <c r="P2306" s="21" t="n">
        <f aca="false">N2306-O2306</f>
        <v>0.61805137890577</v>
      </c>
      <c r="Q2306" s="7" t="n">
        <v>0</v>
      </c>
      <c r="R2306" s="3" t="n">
        <f aca="false">IF(AND(Q2306=1,B2306-_xlfn.MINIFS($B$2:$B$2705,$A$2:$A$2705,A2306)&lt;10),1,0)</f>
        <v>0</v>
      </c>
      <c r="S2306" s="7" t="n">
        <v>0</v>
      </c>
      <c r="T2306" s="3" t="n">
        <f aca="false">_xlfn.MINIFS($B$2:$B$2705,$A$2:$A$2705,A2306)</f>
        <v>1901</v>
      </c>
      <c r="U2306" s="3" t="n">
        <f aca="false">B2306-T2306</f>
        <v>111</v>
      </c>
      <c r="V2306" s="3" t="str">
        <f aca="false">INDEX(Pop_Inputs!$Q$2:$Q$29,MATCH(C2306,Pop_Inputs!$A$2:$A$29,0))</f>
        <v>Northeast</v>
      </c>
      <c r="W2306" s="29" t="n">
        <v>174538938</v>
      </c>
      <c r="X2306" s="3" t="n">
        <f aca="false">IF(W2306="","",LN(W2306))</f>
        <v>18.9776584151158</v>
      </c>
      <c r="Y2306" s="3" t="n">
        <f aca="false">IF(X2306="","",X2306-AVERAGEIFS($X$2:$X$2705,$B$2:$B$2705,B2306))</f>
        <v>0.639351622286462</v>
      </c>
      <c r="Z2306" s="21" t="n">
        <f aca="false">P2306</f>
        <v>0.61805137890577</v>
      </c>
      <c r="AA2306" s="3" t="n">
        <f aca="false">R2306</f>
        <v>0</v>
      </c>
      <c r="AB2306" s="21" t="n">
        <f aca="false">P2306</f>
        <v>0.61805137890577</v>
      </c>
      <c r="AC2306" s="3" t="n">
        <f aca="false">Y2306</f>
        <v>0.639351622286462</v>
      </c>
      <c r="AD2306" s="3" t="n">
        <f aca="false">R2306</f>
        <v>0</v>
      </c>
    </row>
    <row r="2307" customFormat="false" ht="15" hidden="false" customHeight="true" outlineLevel="0" collapsed="false">
      <c r="A2307" s="7" t="s">
        <v>58</v>
      </c>
      <c r="B2307" s="7" t="n">
        <v>2012</v>
      </c>
      <c r="C2307" s="7" t="s">
        <v>144</v>
      </c>
      <c r="D2307" s="7" t="n">
        <v>79</v>
      </c>
      <c r="E2307" s="7" t="n">
        <v>83</v>
      </c>
      <c r="F2307" s="3" t="n">
        <f aca="false">COUNTIFS($B$2:$B$2705,B2307,$C$2:$C$2705,C2307)</f>
        <v>1</v>
      </c>
      <c r="G2307" s="3" t="n">
        <f aca="false">MIN(INT((MIN(B2307,2020)-1900)/10)+1,12)</f>
        <v>12</v>
      </c>
      <c r="H2307" s="3" t="n">
        <f aca="false">(MIN(B2307,2020)-1900-10*(G2307-1))/10</f>
        <v>0.2</v>
      </c>
      <c r="I2307" s="20" t="n">
        <f aca="false">EXP(LN(INDEX(Pop_Inputs!$B$2:$N$29,MATCH(C2307,Pop_Inputs!$A$2:$A$29,0),G2307))*(1-H2307)+LN(INDEX(Pop_Inputs!$B$2:$N$29,MATCH(C2307,Pop_Inputs!$A$2:$A$29,0),G2307+1))*H2307)</f>
        <v>305155.434803129</v>
      </c>
      <c r="J2307" s="20" t="n">
        <f aca="false">I2307/F2307</f>
        <v>305155.434803129</v>
      </c>
      <c r="K2307" s="21" t="n">
        <f aca="false">D2307/(D2307+E2307)</f>
        <v>0.487654320987654</v>
      </c>
      <c r="L2307" s="21" t="n">
        <f aca="false">AVERAGEIFS($K$2:$K$2705,$B$2:$B$2705,B2307)</f>
        <v>0.5</v>
      </c>
      <c r="M2307" s="21" t="n">
        <f aca="false">K2307-L2307</f>
        <v>-0.0123456790123457</v>
      </c>
      <c r="N2307" s="21" t="n">
        <f aca="false">LN(J2307)</f>
        <v>12.6285765480815</v>
      </c>
      <c r="O2307" s="21" t="n">
        <f aca="false">AVERAGEIFS($N$2:$N$2705,$B$2:$B$2705,B2307)</f>
        <v>13.6300570593868</v>
      </c>
      <c r="P2307" s="21" t="n">
        <f aca="false">N2307-O2307</f>
        <v>-1.00148051130529</v>
      </c>
      <c r="Q2307" s="7" t="n">
        <v>0</v>
      </c>
      <c r="R2307" s="3" t="n">
        <f aca="false">IF(AND(Q2307=1,B2307-_xlfn.MINIFS($B$2:$B$2705,$A$2:$A$2705,A2307)&lt;10),1,0)</f>
        <v>0</v>
      </c>
      <c r="S2307" s="7" t="n">
        <v>0</v>
      </c>
      <c r="T2307" s="3" t="n">
        <f aca="false">_xlfn.MINIFS($B$2:$B$2705,$A$2:$A$2705,A2307)</f>
        <v>1901</v>
      </c>
      <c r="U2307" s="3" t="n">
        <f aca="false">B2307-T2307</f>
        <v>111</v>
      </c>
      <c r="V2307" s="3" t="str">
        <f aca="false">INDEX(Pop_Inputs!$Q$2:$Q$29,MATCH(C2307,Pop_Inputs!$A$2:$A$29,0))</f>
        <v>Northeast</v>
      </c>
      <c r="W2307" s="29" t="n">
        <v>62951999</v>
      </c>
      <c r="X2307" s="3" t="n">
        <f aca="false">IF(W2307="","",LN(W2307))</f>
        <v>17.9578830733118</v>
      </c>
      <c r="Y2307" s="3" t="n">
        <f aca="false">IF(X2307="","",X2307-AVERAGEIFS($X$2:$X$2705,$B$2:$B$2705,B2307))</f>
        <v>-0.380423719517488</v>
      </c>
      <c r="Z2307" s="21" t="n">
        <f aca="false">P2307</f>
        <v>-1.00148051130529</v>
      </c>
      <c r="AA2307" s="3" t="n">
        <f aca="false">R2307</f>
        <v>0</v>
      </c>
      <c r="AB2307" s="21" t="n">
        <f aca="false">P2307</f>
        <v>-1.00148051130529</v>
      </c>
      <c r="AC2307" s="3" t="n">
        <f aca="false">Y2307</f>
        <v>-0.380423719517488</v>
      </c>
      <c r="AD2307" s="3" t="n">
        <f aca="false">R2307</f>
        <v>0</v>
      </c>
    </row>
    <row r="2308" customFormat="false" ht="15" hidden="false" customHeight="true" outlineLevel="0" collapsed="false">
      <c r="A2308" s="7" t="s">
        <v>78</v>
      </c>
      <c r="B2308" s="7" t="n">
        <v>2012</v>
      </c>
      <c r="C2308" s="7" t="s">
        <v>159</v>
      </c>
      <c r="D2308" s="7" t="n">
        <v>76</v>
      </c>
      <c r="E2308" s="7" t="n">
        <v>86</v>
      </c>
      <c r="F2308" s="3" t="n">
        <f aca="false">COUNTIFS($B$2:$B$2705,B2308,$C$2:$C$2705,C2308)</f>
        <v>1</v>
      </c>
      <c r="G2308" s="3" t="n">
        <f aca="false">MIN(INT((MIN(B2308,2020)-1900)/10)+1,12)</f>
        <v>12</v>
      </c>
      <c r="H2308" s="3" t="n">
        <f aca="false">(MIN(B2308,2020)-1900-10*(G2308-1))/10</f>
        <v>0.2</v>
      </c>
      <c r="I2308" s="20" t="n">
        <f aca="false">EXP(LN(INDEX(Pop_Inputs!$B$2:$N$29,MATCH(C2308,Pop_Inputs!$A$2:$A$29,0),G2308))*(1-H2308)+LN(INDEX(Pop_Inputs!$B$2:$N$29,MATCH(C2308,Pop_Inputs!$A$2:$A$29,0),G2308+1))*H2308)</f>
        <v>1322934.52253657</v>
      </c>
      <c r="J2308" s="20" t="n">
        <f aca="false">I2308/F2308</f>
        <v>1322934.52253657</v>
      </c>
      <c r="K2308" s="21" t="n">
        <f aca="false">D2308/(D2308+E2308)</f>
        <v>0.469135802469136</v>
      </c>
      <c r="L2308" s="21" t="n">
        <f aca="false">AVERAGEIFS($K$2:$K$2705,$B$2:$B$2705,B2308)</f>
        <v>0.5</v>
      </c>
      <c r="M2308" s="21" t="n">
        <f aca="false">K2308-L2308</f>
        <v>-0.0308641975308642</v>
      </c>
      <c r="N2308" s="21" t="n">
        <f aca="false">LN(J2308)</f>
        <v>14.0953629502144</v>
      </c>
      <c r="O2308" s="21" t="n">
        <f aca="false">AVERAGEIFS($N$2:$N$2705,$B$2:$B$2705,B2308)</f>
        <v>13.6300570593868</v>
      </c>
      <c r="P2308" s="21" t="n">
        <f aca="false">N2308-O2308</f>
        <v>0.465305890827585</v>
      </c>
      <c r="Q2308" s="7" t="n">
        <v>1</v>
      </c>
      <c r="R2308" s="3" t="n">
        <f aca="false">IF(AND(Q2308=1,B2308-_xlfn.MINIFS($B$2:$B$2705,$A$2:$A$2705,A2308)&lt;10),1,0)</f>
        <v>0</v>
      </c>
      <c r="S2308" s="7" t="n">
        <v>0</v>
      </c>
      <c r="T2308" s="3" t="n">
        <f aca="false">_xlfn.MINIFS($B$2:$B$2705,$A$2:$A$2705,A2308)</f>
        <v>1969</v>
      </c>
      <c r="U2308" s="3" t="n">
        <f aca="false">B2308-T2308</f>
        <v>43</v>
      </c>
      <c r="V2308" s="3" t="str">
        <f aca="false">INDEX(Pop_Inputs!$Q$2:$Q$29,MATCH(C2308,Pop_Inputs!$A$2:$A$29,0))</f>
        <v>West</v>
      </c>
      <c r="W2308" s="29" t="n">
        <v>55244700</v>
      </c>
      <c r="X2308" s="3" t="n">
        <f aca="false">IF(W2308="","",LN(W2308))</f>
        <v>17.827282966159</v>
      </c>
      <c r="Y2308" s="3" t="n">
        <f aca="false">IF(X2308="","",X2308-AVERAGEIFS($X$2:$X$2705,$B$2:$B$2705,B2308))</f>
        <v>-0.511023826670346</v>
      </c>
      <c r="Z2308" s="21" t="n">
        <f aca="false">P2308</f>
        <v>0.465305890827585</v>
      </c>
      <c r="AA2308" s="3" t="n">
        <f aca="false">R2308</f>
        <v>0</v>
      </c>
      <c r="AB2308" s="21" t="n">
        <f aca="false">P2308</f>
        <v>0.465305890827585</v>
      </c>
      <c r="AC2308" s="3" t="n">
        <f aca="false">Y2308</f>
        <v>-0.511023826670346</v>
      </c>
      <c r="AD2308" s="3" t="n">
        <f aca="false">R2308</f>
        <v>0</v>
      </c>
    </row>
    <row r="2309" customFormat="false" ht="15" hidden="false" customHeight="true" outlineLevel="0" collapsed="false">
      <c r="A2309" s="7" t="s">
        <v>80</v>
      </c>
      <c r="B2309" s="7" t="n">
        <v>2012</v>
      </c>
      <c r="C2309" s="7" t="s">
        <v>161</v>
      </c>
      <c r="D2309" s="7" t="n">
        <v>75</v>
      </c>
      <c r="E2309" s="7" t="n">
        <v>87</v>
      </c>
      <c r="F2309" s="3" t="n">
        <f aca="false">COUNTIFS($B$2:$B$2705,B2309,$C$2:$C$2705,C2309)</f>
        <v>1</v>
      </c>
      <c r="G2309" s="3" t="n">
        <f aca="false">MIN(INT((MIN(B2309,2020)-1900)/10)+1,12)</f>
        <v>12</v>
      </c>
      <c r="H2309" s="3" t="n">
        <f aca="false">(MIN(B2309,2020)-1900-10*(G2309-1))/10</f>
        <v>0.2</v>
      </c>
      <c r="I2309" s="20" t="n">
        <f aca="false">EXP(LN(INDEX(Pop_Inputs!$B$2:$N$29,MATCH(C2309,Pop_Inputs!$A$2:$A$29,0),G2309))*(1-H2309)+LN(INDEX(Pop_Inputs!$B$2:$N$29,MATCH(C2309,Pop_Inputs!$A$2:$A$29,0),G2309+1))*H2309)</f>
        <v>632404.679294714</v>
      </c>
      <c r="J2309" s="20" t="n">
        <f aca="false">I2309/F2309</f>
        <v>632404.679294714</v>
      </c>
      <c r="K2309" s="21" t="n">
        <f aca="false">D2309/(D2309+E2309)</f>
        <v>0.462962962962963</v>
      </c>
      <c r="L2309" s="21" t="n">
        <f aca="false">AVERAGEIFS($K$2:$K$2705,$B$2:$B$2705,B2309)</f>
        <v>0.5</v>
      </c>
      <c r="M2309" s="21" t="n">
        <f aca="false">K2309-L2309</f>
        <v>-0.037037037037037</v>
      </c>
      <c r="N2309" s="21" t="n">
        <f aca="false">LN(J2309)</f>
        <v>13.3572847835543</v>
      </c>
      <c r="O2309" s="21" t="n">
        <f aca="false">AVERAGEIFS($N$2:$N$2705,$B$2:$B$2705,B2309)</f>
        <v>13.6300570593868</v>
      </c>
      <c r="P2309" s="21" t="n">
        <f aca="false">N2309-O2309</f>
        <v>-0.272772275832498</v>
      </c>
      <c r="Q2309" s="7" t="n">
        <v>1</v>
      </c>
      <c r="R2309" s="3" t="n">
        <f aca="false">IF(AND(Q2309=1,B2309-_xlfn.MINIFS($B$2:$B$2705,$A$2:$A$2705,A2309)&lt;10),1,0)</f>
        <v>0</v>
      </c>
      <c r="S2309" s="7" t="n">
        <v>0</v>
      </c>
      <c r="T2309" s="3" t="n">
        <f aca="false">_xlfn.MINIFS($B$2:$B$2705,$A$2:$A$2705,A2309)</f>
        <v>1977</v>
      </c>
      <c r="U2309" s="3" t="n">
        <f aca="false">B2309-T2309</f>
        <v>35</v>
      </c>
      <c r="V2309" s="3" t="str">
        <f aca="false">INDEX(Pop_Inputs!$Q$2:$Q$29,MATCH(C2309,Pop_Inputs!$A$2:$A$29,0))</f>
        <v>West</v>
      </c>
      <c r="W2309" s="29" t="n">
        <v>81978100</v>
      </c>
      <c r="X2309" s="3" t="n">
        <f aca="false">IF(W2309="","",LN(W2309))</f>
        <v>18.2219626963874</v>
      </c>
      <c r="Y2309" s="3" t="n">
        <f aca="false">IF(X2309="","",X2309-AVERAGEIFS($X$2:$X$2705,$B$2:$B$2705,B2309))</f>
        <v>-0.116344096441921</v>
      </c>
      <c r="Z2309" s="21" t="n">
        <f aca="false">P2309</f>
        <v>-0.272772275832498</v>
      </c>
      <c r="AA2309" s="3" t="n">
        <f aca="false">R2309</f>
        <v>0</v>
      </c>
      <c r="AB2309" s="21" t="n">
        <f aca="false">P2309</f>
        <v>-0.272772275832498</v>
      </c>
      <c r="AC2309" s="3" t="n">
        <f aca="false">Y2309</f>
        <v>-0.116344096441921</v>
      </c>
      <c r="AD2309" s="3" t="n">
        <f aca="false">R2309</f>
        <v>0</v>
      </c>
    </row>
    <row r="2310" customFormat="false" ht="15" hidden="false" customHeight="true" outlineLevel="0" collapsed="false">
      <c r="A2310" s="7" t="s">
        <v>61</v>
      </c>
      <c r="B2310" s="7" t="n">
        <v>2012</v>
      </c>
      <c r="C2310" s="7" t="s">
        <v>147</v>
      </c>
      <c r="D2310" s="7" t="n">
        <v>94</v>
      </c>
      <c r="E2310" s="7" t="n">
        <v>68</v>
      </c>
      <c r="F2310" s="3" t="n">
        <f aca="false">COUNTIFS($B$2:$B$2705,B2310,$C$2:$C$2705,C2310)</f>
        <v>1</v>
      </c>
      <c r="G2310" s="3" t="n">
        <f aca="false">MIN(INT((MIN(B2310,2020)-1900)/10)+1,12)</f>
        <v>12</v>
      </c>
      <c r="H2310" s="3" t="n">
        <f aca="false">(MIN(B2310,2020)-1900-10*(G2310-1))/10</f>
        <v>0.2</v>
      </c>
      <c r="I2310" s="20" t="n">
        <f aca="false">EXP(LN(INDEX(Pop_Inputs!$B$2:$N$29,MATCH(C2310,Pop_Inputs!$A$2:$A$29,0),G2310))*(1-H2310)+LN(INDEX(Pop_Inputs!$B$2:$N$29,MATCH(C2310,Pop_Inputs!$A$2:$A$29,0),G2310+1))*H2310)</f>
        <v>818534.375456383</v>
      </c>
      <c r="J2310" s="20" t="n">
        <f aca="false">I2310/F2310</f>
        <v>818534.375456383</v>
      </c>
      <c r="K2310" s="21" t="n">
        <f aca="false">D2310/(D2310+E2310)</f>
        <v>0.580246913580247</v>
      </c>
      <c r="L2310" s="21" t="n">
        <f aca="false">AVERAGEIFS($K$2:$K$2705,$B$2:$B$2705,B2310)</f>
        <v>0.5</v>
      </c>
      <c r="M2310" s="21" t="n">
        <f aca="false">K2310-L2310</f>
        <v>0.0802469135802469</v>
      </c>
      <c r="N2310" s="21" t="n">
        <f aca="false">LN(J2310)</f>
        <v>13.6152706730255</v>
      </c>
      <c r="O2310" s="21" t="n">
        <f aca="false">AVERAGEIFS($N$2:$N$2705,$B$2:$B$2705,B2310)</f>
        <v>13.6300570593868</v>
      </c>
      <c r="P2310" s="21" t="n">
        <f aca="false">N2310-O2310</f>
        <v>-0.01478638636131</v>
      </c>
      <c r="Q2310" s="7" t="n">
        <v>0</v>
      </c>
      <c r="R2310" s="3" t="n">
        <f aca="false">IF(AND(Q2310=1,B2310-_xlfn.MINIFS($B$2:$B$2705,$A$2:$A$2705,A2310)&lt;10),1,0)</f>
        <v>0</v>
      </c>
      <c r="S2310" s="7" t="n">
        <v>0</v>
      </c>
      <c r="T2310" s="3" t="n">
        <f aca="false">_xlfn.MINIFS($B$2:$B$2705,$A$2:$A$2705,A2310)</f>
        <v>1901</v>
      </c>
      <c r="U2310" s="3" t="n">
        <f aca="false">B2310-T2310</f>
        <v>111</v>
      </c>
      <c r="V2310" s="3" t="str">
        <f aca="false">INDEX(Pop_Inputs!$Q$2:$Q$29,MATCH(C2310,Pop_Inputs!$A$2:$A$29,0))</f>
        <v>West</v>
      </c>
      <c r="W2310" s="29" t="n">
        <v>117620683</v>
      </c>
      <c r="X2310" s="3" t="n">
        <f aca="false">IF(W2310="","",LN(W2310))</f>
        <v>18.5829754538148</v>
      </c>
      <c r="Y2310" s="3" t="n">
        <f aca="false">IF(X2310="","",X2310-AVERAGEIFS($X$2:$X$2705,$B$2:$B$2705,B2310))</f>
        <v>0.244668660985472</v>
      </c>
      <c r="Z2310" s="21" t="n">
        <f aca="false">P2310</f>
        <v>-0.01478638636131</v>
      </c>
      <c r="AA2310" s="3" t="n">
        <f aca="false">R2310</f>
        <v>0</v>
      </c>
      <c r="AB2310" s="21" t="n">
        <f aca="false">P2310</f>
        <v>-0.01478638636131</v>
      </c>
      <c r="AC2310" s="3" t="n">
        <f aca="false">Y2310</f>
        <v>0.244668660985472</v>
      </c>
      <c r="AD2310" s="3" t="n">
        <f aca="false">R2310</f>
        <v>0</v>
      </c>
    </row>
    <row r="2311" customFormat="false" ht="15" hidden="false" customHeight="true" outlineLevel="0" collapsed="false">
      <c r="A2311" s="7" t="s">
        <v>59</v>
      </c>
      <c r="B2311" s="7" t="n">
        <v>2012</v>
      </c>
      <c r="C2311" s="7" t="s">
        <v>145</v>
      </c>
      <c r="D2311" s="7" t="n">
        <v>88</v>
      </c>
      <c r="E2311" s="7" t="n">
        <v>74</v>
      </c>
      <c r="F2311" s="3" t="n">
        <f aca="false">COUNTIFS($B$2:$B$2705,B2311,$C$2:$C$2705,C2311)</f>
        <v>1</v>
      </c>
      <c r="G2311" s="3" t="n">
        <f aca="false">MIN(INT((MIN(B2311,2020)-1900)/10)+1,12)</f>
        <v>12</v>
      </c>
      <c r="H2311" s="3" t="n">
        <f aca="false">(MIN(B2311,2020)-1900-10*(G2311-1))/10</f>
        <v>0.2</v>
      </c>
      <c r="I2311" s="20" t="n">
        <f aca="false">EXP(LN(INDEX(Pop_Inputs!$B$2:$N$29,MATCH(C2311,Pop_Inputs!$A$2:$A$29,0),G2311))*(1-H2311)+LN(INDEX(Pop_Inputs!$B$2:$N$29,MATCH(C2311,Pop_Inputs!$A$2:$A$29,0),G2311+1))*H2311)</f>
        <v>315669.438253687</v>
      </c>
      <c r="J2311" s="20" t="n">
        <f aca="false">I2311/F2311</f>
        <v>315669.438253687</v>
      </c>
      <c r="K2311" s="21" t="n">
        <f aca="false">D2311/(D2311+E2311)</f>
        <v>0.54320987654321</v>
      </c>
      <c r="L2311" s="21" t="n">
        <f aca="false">AVERAGEIFS($K$2:$K$2705,$B$2:$B$2705,B2311)</f>
        <v>0.5</v>
      </c>
      <c r="M2311" s="21" t="n">
        <f aca="false">K2311-L2311</f>
        <v>0.0432098765432098</v>
      </c>
      <c r="N2311" s="21" t="n">
        <f aca="false">LN(J2311)</f>
        <v>12.6624508635683</v>
      </c>
      <c r="O2311" s="21" t="n">
        <f aca="false">AVERAGEIFS($N$2:$N$2705,$B$2:$B$2705,B2311)</f>
        <v>13.6300570593868</v>
      </c>
      <c r="P2311" s="21" t="n">
        <f aca="false">N2311-O2311</f>
        <v>-0.967606195818553</v>
      </c>
      <c r="Q2311" s="7" t="n">
        <v>0</v>
      </c>
      <c r="R2311" s="3" t="n">
        <f aca="false">IF(AND(Q2311=1,B2311-_xlfn.MINIFS($B$2:$B$2705,$A$2:$A$2705,A2311)&lt;10),1,0)</f>
        <v>0</v>
      </c>
      <c r="S2311" s="7" t="n">
        <v>0</v>
      </c>
      <c r="T2311" s="3" t="n">
        <f aca="false">_xlfn.MINIFS($B$2:$B$2705,$A$2:$A$2705,A2311)</f>
        <v>1901</v>
      </c>
      <c r="U2311" s="3" t="n">
        <f aca="false">B2311-T2311</f>
        <v>111</v>
      </c>
      <c r="V2311" s="3" t="str">
        <f aca="false">INDEX(Pop_Inputs!$Q$2:$Q$29,MATCH(C2311,Pop_Inputs!$A$2:$A$29,0))</f>
        <v>Midwest</v>
      </c>
      <c r="W2311" s="29" t="n">
        <v>110300862</v>
      </c>
      <c r="X2311" s="3" t="n">
        <f aca="false">IF(W2311="","",LN(W2311))</f>
        <v>18.5187222992431</v>
      </c>
      <c r="Y2311" s="3" t="n">
        <f aca="false">IF(X2311="","",X2311-AVERAGEIFS($X$2:$X$2705,$B$2:$B$2705,B2311))</f>
        <v>0.180415506413734</v>
      </c>
      <c r="Z2311" s="21" t="n">
        <f aca="false">P2311</f>
        <v>-0.967606195818553</v>
      </c>
      <c r="AA2311" s="3" t="n">
        <f aca="false">R2311</f>
        <v>0</v>
      </c>
      <c r="AB2311" s="21" t="n">
        <f aca="false">P2311</f>
        <v>-0.967606195818553</v>
      </c>
      <c r="AC2311" s="3" t="n">
        <f aca="false">Y2311</f>
        <v>0.180415506413734</v>
      </c>
      <c r="AD2311" s="3" t="n">
        <f aca="false">R2311</f>
        <v>0</v>
      </c>
    </row>
    <row r="2312" customFormat="false" ht="15" hidden="false" customHeight="true" outlineLevel="0" collapsed="false">
      <c r="A2312" s="7" t="s">
        <v>85</v>
      </c>
      <c r="B2312" s="7" t="n">
        <v>2012</v>
      </c>
      <c r="C2312" s="7" t="s">
        <v>166</v>
      </c>
      <c r="D2312" s="7" t="n">
        <v>90</v>
      </c>
      <c r="E2312" s="7" t="n">
        <v>72</v>
      </c>
      <c r="F2312" s="3" t="n">
        <f aca="false">COUNTIFS($B$2:$B$2705,B2312,$C$2:$C$2705,C2312)</f>
        <v>1</v>
      </c>
      <c r="G2312" s="3" t="n">
        <f aca="false">MIN(INT((MIN(B2312,2020)-1900)/10)+1,12)</f>
        <v>12</v>
      </c>
      <c r="H2312" s="3" t="n">
        <f aca="false">(MIN(B2312,2020)-1900-10*(G2312-1))/10</f>
        <v>0.2</v>
      </c>
      <c r="I2312" s="20" t="n">
        <f aca="false">EXP(LN(INDEX(Pop_Inputs!$B$2:$N$29,MATCH(C2312,Pop_Inputs!$A$2:$A$29,0),G2312))*(1-H2312)+LN(INDEX(Pop_Inputs!$B$2:$N$29,MATCH(C2312,Pop_Inputs!$A$2:$A$29,0),G2312+1))*H2312)</f>
        <v>345027.159680555</v>
      </c>
      <c r="J2312" s="20" t="n">
        <f aca="false">I2312/F2312</f>
        <v>345027.159680555</v>
      </c>
      <c r="K2312" s="21" t="n">
        <f aca="false">D2312/(D2312+E2312)</f>
        <v>0.555555555555556</v>
      </c>
      <c r="L2312" s="21" t="n">
        <f aca="false">AVERAGEIFS($K$2:$K$2705,$B$2:$B$2705,B2312)</f>
        <v>0.5</v>
      </c>
      <c r="M2312" s="21" t="n">
        <f aca="false">K2312-L2312</f>
        <v>0.0555555555555556</v>
      </c>
      <c r="N2312" s="21" t="n">
        <f aca="false">LN(J2312)</f>
        <v>12.7513784166267</v>
      </c>
      <c r="O2312" s="21" t="n">
        <f aca="false">AVERAGEIFS($N$2:$N$2705,$B$2:$B$2705,B2312)</f>
        <v>13.6300570593868</v>
      </c>
      <c r="P2312" s="21" t="n">
        <f aca="false">N2312-O2312</f>
        <v>-0.878678642760129</v>
      </c>
      <c r="Q2312" s="7" t="n">
        <v>1</v>
      </c>
      <c r="R2312" s="3" t="n">
        <f aca="false">IF(AND(Q2312=1,B2312-_xlfn.MINIFS($B$2:$B$2705,$A$2:$A$2705,A2312)&lt;10),1,0)</f>
        <v>0</v>
      </c>
      <c r="S2312" s="7" t="n">
        <v>0</v>
      </c>
      <c r="T2312" s="3" t="n">
        <f aca="false">_xlfn.MINIFS($B$2:$B$2705,$A$2:$A$2705,A2312)</f>
        <v>1998</v>
      </c>
      <c r="U2312" s="3" t="n">
        <f aca="false">B2312-T2312</f>
        <v>14</v>
      </c>
      <c r="V2312" s="3" t="str">
        <f aca="false">INDEX(Pop_Inputs!$Q$2:$Q$29,MATCH(C2312,Pop_Inputs!$A$2:$A$29,0))</f>
        <v>South</v>
      </c>
      <c r="W2312" s="29" t="n">
        <v>64173500</v>
      </c>
      <c r="X2312" s="3" t="n">
        <f aca="false">IF(W2312="","",LN(W2312))</f>
        <v>17.9771009108605</v>
      </c>
      <c r="Y2312" s="3" t="n">
        <f aca="false">IF(X2312="","",X2312-AVERAGEIFS($X$2:$X$2705,$B$2:$B$2705,B2312))</f>
        <v>-0.361205881968861</v>
      </c>
      <c r="Z2312" s="21" t="n">
        <f aca="false">P2312</f>
        <v>-0.878678642760129</v>
      </c>
      <c r="AA2312" s="3" t="n">
        <f aca="false">R2312</f>
        <v>0</v>
      </c>
      <c r="AB2312" s="21" t="n">
        <f aca="false">P2312</f>
        <v>-0.878678642760129</v>
      </c>
      <c r="AC2312" s="3" t="n">
        <f aca="false">Y2312</f>
        <v>-0.361205881968861</v>
      </c>
      <c r="AD2312" s="3" t="n">
        <f aca="false">R2312</f>
        <v>0</v>
      </c>
    </row>
    <row r="2313" customFormat="false" ht="15" hidden="false" customHeight="true" outlineLevel="0" collapsed="false">
      <c r="A2313" s="7" t="s">
        <v>73</v>
      </c>
      <c r="B2313" s="7" t="n">
        <v>2012</v>
      </c>
      <c r="C2313" s="7" t="s">
        <v>155</v>
      </c>
      <c r="D2313" s="7" t="n">
        <v>93</v>
      </c>
      <c r="E2313" s="7" t="n">
        <v>69</v>
      </c>
      <c r="F2313" s="3" t="n">
        <f aca="false">COUNTIFS($B$2:$B$2705,B2313,$C$2:$C$2705,C2313)</f>
        <v>1</v>
      </c>
      <c r="G2313" s="3" t="n">
        <f aca="false">MIN(INT((MIN(B2313,2020)-1900)/10)+1,12)</f>
        <v>12</v>
      </c>
      <c r="H2313" s="3" t="n">
        <f aca="false">(MIN(B2313,2020)-1900-10*(G2313-1))/10</f>
        <v>0.2</v>
      </c>
      <c r="I2313" s="20" t="n">
        <f aca="false">EXP(LN(INDEX(Pop_Inputs!$B$2:$N$29,MATCH(C2313,Pop_Inputs!$A$2:$A$29,0),G2313))*(1-H2313)+LN(INDEX(Pop_Inputs!$B$2:$N$29,MATCH(C2313,Pop_Inputs!$A$2:$A$29,0),G2313+1))*H2313)</f>
        <v>1218408.29654761</v>
      </c>
      <c r="J2313" s="20" t="n">
        <f aca="false">I2313/F2313</f>
        <v>1218408.29654761</v>
      </c>
      <c r="K2313" s="21" t="n">
        <f aca="false">D2313/(D2313+E2313)</f>
        <v>0.574074074074074</v>
      </c>
      <c r="L2313" s="21" t="n">
        <f aca="false">AVERAGEIFS($K$2:$K$2705,$B$2:$B$2705,B2313)</f>
        <v>0.5</v>
      </c>
      <c r="M2313" s="21" t="n">
        <f aca="false">K2313-L2313</f>
        <v>0.0740740740740741</v>
      </c>
      <c r="N2313" s="21" t="n">
        <f aca="false">LN(J2313)</f>
        <v>14.0130558899191</v>
      </c>
      <c r="O2313" s="21" t="n">
        <f aca="false">AVERAGEIFS($N$2:$N$2705,$B$2:$B$2705,B2313)</f>
        <v>13.6300570593868</v>
      </c>
      <c r="P2313" s="21" t="n">
        <f aca="false">N2313-O2313</f>
        <v>0.382998830532273</v>
      </c>
      <c r="Q2313" s="7" t="n">
        <v>1</v>
      </c>
      <c r="R2313" s="3" t="n">
        <f aca="false">IF(AND(Q2313=1,B2313-_xlfn.MINIFS($B$2:$B$2705,$A$2:$A$2705,A2313)&lt;10),1,0)</f>
        <v>0</v>
      </c>
      <c r="S2313" s="7" t="n">
        <v>0</v>
      </c>
      <c r="T2313" s="3" t="n">
        <f aca="false">_xlfn.MINIFS($B$2:$B$2705,$A$2:$A$2705,A2313)</f>
        <v>1961</v>
      </c>
      <c r="U2313" s="3" t="n">
        <f aca="false">B2313-T2313</f>
        <v>51</v>
      </c>
      <c r="V2313" s="3" t="str">
        <f aca="false">INDEX(Pop_Inputs!$Q$2:$Q$29,MATCH(C2313,Pop_Inputs!$A$2:$A$29,0))</f>
        <v>South</v>
      </c>
      <c r="W2313" s="29" t="n">
        <v>120510974</v>
      </c>
      <c r="X2313" s="3" t="n">
        <f aca="false">IF(W2313="","",LN(W2313))</f>
        <v>18.6072513772877</v>
      </c>
      <c r="Y2313" s="3" t="n">
        <f aca="false">IF(X2313="","",X2313-AVERAGEIFS($X$2:$X$2705,$B$2:$B$2705,B2313))</f>
        <v>0.268944584458406</v>
      </c>
      <c r="Z2313" s="21" t="n">
        <f aca="false">P2313</f>
        <v>0.382998830532273</v>
      </c>
      <c r="AA2313" s="3" t="n">
        <f aca="false">R2313</f>
        <v>0</v>
      </c>
      <c r="AB2313" s="21" t="n">
        <f aca="false">P2313</f>
        <v>0.382998830532273</v>
      </c>
      <c r="AC2313" s="3" t="n">
        <f aca="false">Y2313</f>
        <v>0.268944584458406</v>
      </c>
      <c r="AD2313" s="3" t="n">
        <f aca="false">R2313</f>
        <v>0</v>
      </c>
    </row>
    <row r="2314" customFormat="false" ht="15" hidden="false" customHeight="true" outlineLevel="0" collapsed="false">
      <c r="A2314" s="7" t="s">
        <v>81</v>
      </c>
      <c r="B2314" s="7" t="n">
        <v>2012</v>
      </c>
      <c r="C2314" s="7" t="s">
        <v>162</v>
      </c>
      <c r="D2314" s="7" t="n">
        <v>73</v>
      </c>
      <c r="E2314" s="7" t="n">
        <v>89</v>
      </c>
      <c r="F2314" s="3" t="n">
        <f aca="false">COUNTIFS($B$2:$B$2705,B2314,$C$2:$C$2705,C2314)</f>
        <v>1</v>
      </c>
      <c r="G2314" s="3" t="n">
        <f aca="false">MIN(INT((MIN(B2314,2020)-1900)/10)+1,12)</f>
        <v>12</v>
      </c>
      <c r="H2314" s="3" t="n">
        <f aca="false">(MIN(B2314,2020)-1900-10*(G2314-1))/10</f>
        <v>0.2</v>
      </c>
      <c r="I2314" s="20" t="n">
        <f aca="false">EXP(LN(INDEX(Pop_Inputs!$B$2:$N$29,MATCH(C2314,Pop_Inputs!$A$2:$A$29,0),G2314))*(1-H2314)+LN(INDEX(Pop_Inputs!$B$2:$N$29,MATCH(C2314,Pop_Inputs!$A$2:$A$29,0),G2314+1))*H2314)</f>
        <v>2649974.36711701</v>
      </c>
      <c r="J2314" s="20" t="n">
        <f aca="false">I2314/F2314</f>
        <v>2649974.36711701</v>
      </c>
      <c r="K2314" s="21" t="n">
        <f aca="false">D2314/(D2314+E2314)</f>
        <v>0.450617283950617</v>
      </c>
      <c r="L2314" s="21" t="n">
        <f aca="false">AVERAGEIFS($K$2:$K$2705,$B$2:$B$2705,B2314)</f>
        <v>0.5</v>
      </c>
      <c r="M2314" s="21" t="n">
        <f aca="false">K2314-L2314</f>
        <v>-0.0493827160493827</v>
      </c>
      <c r="N2314" s="21" t="n">
        <f aca="false">LN(J2314)</f>
        <v>14.7900605251296</v>
      </c>
      <c r="O2314" s="21" t="n">
        <f aca="false">AVERAGEIFS($N$2:$N$2705,$B$2:$B$2705,B2314)</f>
        <v>13.6300570593868</v>
      </c>
      <c r="P2314" s="21" t="n">
        <f aca="false">N2314-O2314</f>
        <v>1.16000346574276</v>
      </c>
      <c r="Q2314" s="7" t="n">
        <v>1</v>
      </c>
      <c r="R2314" s="3" t="n">
        <f aca="false">IF(AND(Q2314=1,B2314-_xlfn.MINIFS($B$2:$B$2705,$A$2:$A$2705,A2314)&lt;10),1,0)</f>
        <v>0</v>
      </c>
      <c r="S2314" s="7" t="n">
        <v>0</v>
      </c>
      <c r="T2314" s="3" t="n">
        <f aca="false">_xlfn.MINIFS($B$2:$B$2705,$A$2:$A$2705,A2314)</f>
        <v>1977</v>
      </c>
      <c r="U2314" s="3" t="n">
        <f aca="false">B2314-T2314</f>
        <v>35</v>
      </c>
      <c r="V2314" s="3" t="str">
        <f aca="false">INDEX(Pop_Inputs!$Q$2:$Q$29,MATCH(C2314,Pop_Inputs!$A$2:$A$29,0))</f>
        <v>Canada</v>
      </c>
      <c r="W2314" s="29" t="n">
        <v>75009200</v>
      </c>
      <c r="X2314" s="3" t="n">
        <f aca="false">IF(W2314="","",LN(W2314))</f>
        <v>18.1331213306443</v>
      </c>
      <c r="Y2314" s="3" t="n">
        <f aca="false">IF(X2314="","",X2314-AVERAGEIFS($X$2:$X$2705,$B$2:$B$2705,B2314))</f>
        <v>-0.205185462185014</v>
      </c>
      <c r="Z2314" s="21" t="n">
        <f aca="false">P2314</f>
        <v>1.16000346574276</v>
      </c>
      <c r="AA2314" s="3" t="n">
        <f aca="false">R2314</f>
        <v>0</v>
      </c>
      <c r="AB2314" s="21" t="n">
        <f aca="false">P2314</f>
        <v>1.16000346574276</v>
      </c>
      <c r="AC2314" s="3" t="n">
        <f aca="false">Y2314</f>
        <v>-0.205185462185014</v>
      </c>
      <c r="AD2314" s="3" t="n">
        <f aca="false">R2314</f>
        <v>0</v>
      </c>
    </row>
    <row r="2315" customFormat="false" ht="15" hidden="false" customHeight="true" outlineLevel="0" collapsed="false">
      <c r="A2315" s="7" t="s">
        <v>79</v>
      </c>
      <c r="B2315" s="7" t="n">
        <v>2012</v>
      </c>
      <c r="C2315" s="7" t="s">
        <v>160</v>
      </c>
      <c r="D2315" s="7" t="n">
        <v>98</v>
      </c>
      <c r="E2315" s="7" t="n">
        <v>64</v>
      </c>
      <c r="F2315" s="3" t="n">
        <f aca="false">COUNTIFS($B$2:$B$2705,B2315,$C$2:$C$2705,C2315)</f>
        <v>1</v>
      </c>
      <c r="G2315" s="3" t="n">
        <f aca="false">MIN(INT((MIN(B2315,2020)-1900)/10)+1,12)</f>
        <v>12</v>
      </c>
      <c r="H2315" s="3" t="n">
        <f aca="false">(MIN(B2315,2020)-1900-10*(G2315-1))/10</f>
        <v>0.2</v>
      </c>
      <c r="I2315" s="20" t="n">
        <f aca="false">EXP(LN(INDEX(Pop_Inputs!$B$2:$N$29,MATCH(C2315,Pop_Inputs!$A$2:$A$29,0),G2315))*(1-H2315)+LN(INDEX(Pop_Inputs!$B$2:$N$29,MATCH(C2315,Pop_Inputs!$A$2:$A$29,0),G2315+1))*H2315)</f>
        <v>618343.517864405</v>
      </c>
      <c r="J2315" s="20" t="n">
        <f aca="false">I2315/F2315</f>
        <v>618343.517864405</v>
      </c>
      <c r="K2315" s="21" t="n">
        <f aca="false">D2315/(D2315+E2315)</f>
        <v>0.604938271604938</v>
      </c>
      <c r="L2315" s="21" t="n">
        <f aca="false">AVERAGEIFS($K$2:$K$2705,$B$2:$B$2705,B2315)</f>
        <v>0.5</v>
      </c>
      <c r="M2315" s="21" t="n">
        <f aca="false">K2315-L2315</f>
        <v>0.104938271604938</v>
      </c>
      <c r="N2315" s="21" t="n">
        <f aca="false">LN(J2315)</f>
        <v>13.3347994361597</v>
      </c>
      <c r="O2315" s="21" t="n">
        <f aca="false">AVERAGEIFS($N$2:$N$2705,$B$2:$B$2705,B2315)</f>
        <v>13.6300570593868</v>
      </c>
      <c r="P2315" s="21" t="n">
        <f aca="false">N2315-O2315</f>
        <v>-0.295257623227174</v>
      </c>
      <c r="Q2315" s="7" t="n">
        <v>1</v>
      </c>
      <c r="R2315" s="3" t="n">
        <f aca="false">IF(AND(Q2315=1,B2315-_xlfn.MINIFS($B$2:$B$2705,$A$2:$A$2705,A2315)&lt;10),1,0)</f>
        <v>0</v>
      </c>
      <c r="S2315" s="7" t="n">
        <v>0</v>
      </c>
      <c r="T2315" s="3" t="n">
        <f aca="false">_xlfn.MINIFS($B$2:$B$2705,$A$2:$A$2705,A2315)</f>
        <v>1969</v>
      </c>
      <c r="U2315" s="3" t="n">
        <f aca="false">B2315-T2315</f>
        <v>43</v>
      </c>
      <c r="V2315" s="3" t="str">
        <f aca="false">INDEX(Pop_Inputs!$Q$2:$Q$29,MATCH(C2315,Pop_Inputs!$A$2:$A$29,0))</f>
        <v>South</v>
      </c>
      <c r="W2315" s="29" t="n">
        <v>80855143</v>
      </c>
      <c r="X2315" s="3" t="n">
        <f aca="false">IF(W2315="","",LN(W2315))</f>
        <v>18.2081697535907</v>
      </c>
      <c r="Y2315" s="3" t="n">
        <f aca="false">IF(X2315="","",X2315-AVERAGEIFS($X$2:$X$2705,$B$2:$B$2705,B2315))</f>
        <v>-0.130137039238601</v>
      </c>
      <c r="Z2315" s="21" t="n">
        <f aca="false">P2315</f>
        <v>-0.295257623227174</v>
      </c>
      <c r="AA2315" s="3" t="n">
        <f aca="false">R2315</f>
        <v>0</v>
      </c>
      <c r="AB2315" s="21" t="n">
        <f aca="false">P2315</f>
        <v>-0.295257623227174</v>
      </c>
      <c r="AC2315" s="3" t="n">
        <f aca="false">Y2315</f>
        <v>-0.130137039238601</v>
      </c>
      <c r="AD2315" s="3" t="n">
        <f aca="false">R2315</f>
        <v>0</v>
      </c>
    </row>
    <row r="2316" customFormat="false" ht="15" hidden="false" customHeight="true" outlineLevel="0" collapsed="false">
      <c r="A2316" s="7" t="s">
        <v>71</v>
      </c>
      <c r="B2316" s="7" t="n">
        <v>2013</v>
      </c>
      <c r="C2316" s="7" t="s">
        <v>148</v>
      </c>
      <c r="D2316" s="7" t="n">
        <v>78</v>
      </c>
      <c r="E2316" s="7" t="n">
        <v>84</v>
      </c>
      <c r="F2316" s="3" t="n">
        <f aca="false">COUNTIFS($B$2:$B$2705,B2316,$C$2:$C$2705,C2316)</f>
        <v>2</v>
      </c>
      <c r="G2316" s="3" t="n">
        <f aca="false">MIN(INT((MIN(B2316,2020)-1900)/10)+1,12)</f>
        <v>12</v>
      </c>
      <c r="H2316" s="3" t="n">
        <f aca="false">(MIN(B2316,2020)-1900-10*(G2316-1))/10</f>
        <v>0.3</v>
      </c>
      <c r="I2316" s="20" t="n">
        <f aca="false">EXP(LN(INDEX(Pop_Inputs!$B$2:$N$29,MATCH(C2316,Pop_Inputs!$A$2:$A$29,0),G2316))*(1-H2316)+LN(INDEX(Pop_Inputs!$B$2:$N$29,MATCH(C2316,Pop_Inputs!$A$2:$A$29,0),G2316+1))*H2316)</f>
        <v>3824151.84034424</v>
      </c>
      <c r="J2316" s="20" t="n">
        <f aca="false">I2316/F2316</f>
        <v>1912075.92017212</v>
      </c>
      <c r="K2316" s="21" t="n">
        <f aca="false">D2316/(D2316+E2316)</f>
        <v>0.481481481481481</v>
      </c>
      <c r="L2316" s="21" t="n">
        <f aca="false">AVERAGEIFS($K$2:$K$2705,$B$2:$B$2705,B2316)</f>
        <v>0.499974753212654</v>
      </c>
      <c r="M2316" s="21" t="n">
        <f aca="false">K2316-L2316</f>
        <v>-0.0184932717311723</v>
      </c>
      <c r="N2316" s="21" t="n">
        <f aca="false">LN(J2316)</f>
        <v>14.4637000790082</v>
      </c>
      <c r="O2316" s="21" t="n">
        <f aca="false">AVERAGEIFS($N$2:$N$2705,$B$2:$B$2705,B2316)</f>
        <v>13.6361776279696</v>
      </c>
      <c r="P2316" s="21" t="n">
        <f aca="false">N2316-O2316</f>
        <v>0.827522451038552</v>
      </c>
      <c r="Q2316" s="7" t="n">
        <v>1</v>
      </c>
      <c r="R2316" s="3" t="n">
        <f aca="false">IF(AND(Q2316=1,B2316-_xlfn.MINIFS($B$2:$B$2705,$A$2:$A$2705,A2316)&lt;10),1,0)</f>
        <v>0</v>
      </c>
      <c r="S2316" s="7" t="n">
        <v>0</v>
      </c>
      <c r="T2316" s="3" t="n">
        <f aca="false">_xlfn.MINIFS($B$2:$B$2705,$A$2:$A$2705,A2316)</f>
        <v>1961</v>
      </c>
      <c r="U2316" s="3" t="n">
        <f aca="false">B2316-T2316</f>
        <v>52</v>
      </c>
      <c r="V2316" s="3" t="str">
        <f aca="false">INDEX(Pop_Inputs!$Q$2:$Q$29,MATCH(C2316,Pop_Inputs!$A$2:$A$29,0))</f>
        <v>West</v>
      </c>
      <c r="W2316" s="29" t="n">
        <v>124174750</v>
      </c>
      <c r="X2316" s="3" t="n">
        <f aca="false">IF(W2316="","",LN(W2316))</f>
        <v>18.637200405668</v>
      </c>
      <c r="Y2316" s="3" t="n">
        <f aca="false">IF(X2316="","",X2316-AVERAGEIFS($X$2:$X$2705,$B$2:$B$2705,B2316))</f>
        <v>0.32363949739231</v>
      </c>
      <c r="Z2316" s="21" t="n">
        <f aca="false">P2316</f>
        <v>0.827522451038552</v>
      </c>
      <c r="AA2316" s="3" t="n">
        <f aca="false">R2316</f>
        <v>0</v>
      </c>
      <c r="AB2316" s="21" t="n">
        <f aca="false">P2316</f>
        <v>0.827522451038552</v>
      </c>
      <c r="AC2316" s="3" t="n">
        <f aca="false">Y2316</f>
        <v>0.32363949739231</v>
      </c>
      <c r="AD2316" s="3" t="n">
        <f aca="false">R2316</f>
        <v>0</v>
      </c>
    </row>
    <row r="2317" customFormat="false" ht="15" hidden="false" customHeight="true" outlineLevel="0" collapsed="false">
      <c r="A2317" s="7" t="s">
        <v>84</v>
      </c>
      <c r="B2317" s="7" t="n">
        <v>2013</v>
      </c>
      <c r="C2317" s="7" t="s">
        <v>165</v>
      </c>
      <c r="D2317" s="7" t="n">
        <v>81</v>
      </c>
      <c r="E2317" s="7" t="n">
        <v>81</v>
      </c>
      <c r="F2317" s="3" t="n">
        <f aca="false">COUNTIFS($B$2:$B$2705,B2317,$C$2:$C$2705,C2317)</f>
        <v>1</v>
      </c>
      <c r="G2317" s="3" t="n">
        <f aca="false">MIN(INT((MIN(B2317,2020)-1900)/10)+1,12)</f>
        <v>12</v>
      </c>
      <c r="H2317" s="3" t="n">
        <f aca="false">(MIN(B2317,2020)-1900-10*(G2317-1))/10</f>
        <v>0.3</v>
      </c>
      <c r="I2317" s="20" t="n">
        <f aca="false">EXP(LN(INDEX(Pop_Inputs!$B$2:$N$29,MATCH(C2317,Pop_Inputs!$A$2:$A$29,0),G2317))*(1-H2317)+LN(INDEX(Pop_Inputs!$B$2:$N$29,MATCH(C2317,Pop_Inputs!$A$2:$A$29,0),G2317+1))*H2317)</f>
        <v>1492579.60310154</v>
      </c>
      <c r="J2317" s="20" t="n">
        <f aca="false">I2317/F2317</f>
        <v>1492579.60310154</v>
      </c>
      <c r="K2317" s="21" t="n">
        <f aca="false">D2317/(D2317+E2317)</f>
        <v>0.5</v>
      </c>
      <c r="L2317" s="21" t="n">
        <f aca="false">AVERAGEIFS($K$2:$K$2705,$B$2:$B$2705,B2317)</f>
        <v>0.499974753212654</v>
      </c>
      <c r="M2317" s="21" t="n">
        <f aca="false">K2317-L2317</f>
        <v>2.52467873462781E-005</v>
      </c>
      <c r="N2317" s="21" t="n">
        <f aca="false">LN(J2317)</f>
        <v>14.216016458238</v>
      </c>
      <c r="O2317" s="21" t="n">
        <f aca="false">AVERAGEIFS($N$2:$N$2705,$B$2:$B$2705,B2317)</f>
        <v>13.6361776279696</v>
      </c>
      <c r="P2317" s="21" t="n">
        <f aca="false">N2317-O2317</f>
        <v>0.579838830268415</v>
      </c>
      <c r="Q2317" s="7" t="n">
        <v>1</v>
      </c>
      <c r="R2317" s="3" t="n">
        <f aca="false">IF(AND(Q2317=1,B2317-_xlfn.MINIFS($B$2:$B$2705,$A$2:$A$2705,A2317)&lt;10),1,0)</f>
        <v>0</v>
      </c>
      <c r="S2317" s="7" t="n">
        <v>0</v>
      </c>
      <c r="T2317" s="3" t="n">
        <f aca="false">_xlfn.MINIFS($B$2:$B$2705,$A$2:$A$2705,A2317)</f>
        <v>1998</v>
      </c>
      <c r="U2317" s="3" t="n">
        <f aca="false">B2317-T2317</f>
        <v>15</v>
      </c>
      <c r="V2317" s="3" t="str">
        <f aca="false">INDEX(Pop_Inputs!$Q$2:$Q$29,MATCH(C2317,Pop_Inputs!$A$2:$A$29,0))</f>
        <v>West</v>
      </c>
      <c r="W2317" s="29" t="n">
        <v>90132000</v>
      </c>
      <c r="X2317" s="3" t="n">
        <f aca="false">IF(W2317="","",LN(W2317))</f>
        <v>18.3167858204562</v>
      </c>
      <c r="Y2317" s="3" t="n">
        <f aca="false">IF(X2317="","",X2317-AVERAGEIFS($X$2:$X$2705,$B$2:$B$2705,B2317))</f>
        <v>0.00322491218049947</v>
      </c>
      <c r="Z2317" s="21" t="n">
        <f aca="false">P2317</f>
        <v>0.579838830268415</v>
      </c>
      <c r="AA2317" s="3" t="n">
        <f aca="false">R2317</f>
        <v>0</v>
      </c>
      <c r="AB2317" s="21" t="n">
        <f aca="false">P2317</f>
        <v>0.579838830268415</v>
      </c>
      <c r="AC2317" s="3" t="n">
        <f aca="false">Y2317</f>
        <v>0.00322491218049947</v>
      </c>
      <c r="AD2317" s="3" t="n">
        <f aca="false">R2317</f>
        <v>0</v>
      </c>
    </row>
    <row r="2318" customFormat="false" ht="15" hidden="false" customHeight="true" outlineLevel="0" collapsed="false">
      <c r="A2318" s="7" t="s">
        <v>54</v>
      </c>
      <c r="B2318" s="7" t="n">
        <v>2013</v>
      </c>
      <c r="C2318" s="7" t="s">
        <v>141</v>
      </c>
      <c r="D2318" s="7" t="n">
        <v>96</v>
      </c>
      <c r="E2318" s="7" t="n">
        <v>66</v>
      </c>
      <c r="F2318" s="3" t="n">
        <f aca="false">COUNTIFS($B$2:$B$2705,B2318,$C$2:$C$2705,C2318)</f>
        <v>1</v>
      </c>
      <c r="G2318" s="3" t="n">
        <f aca="false">MIN(INT((MIN(B2318,2020)-1900)/10)+1,12)</f>
        <v>12</v>
      </c>
      <c r="H2318" s="3" t="n">
        <f aca="false">(MIN(B2318,2020)-1900-10*(G2318-1))/10</f>
        <v>0.3</v>
      </c>
      <c r="I2318" s="20" t="n">
        <f aca="false">EXP(LN(INDEX(Pop_Inputs!$B$2:$N$29,MATCH(C2318,Pop_Inputs!$A$2:$A$29,0),G2318))*(1-H2318)+LN(INDEX(Pop_Inputs!$B$2:$N$29,MATCH(C2318,Pop_Inputs!$A$2:$A$29,0),G2318+1))*H2318)</f>
        <v>442213.914724638</v>
      </c>
      <c r="J2318" s="20" t="n">
        <f aca="false">I2318/F2318</f>
        <v>442213.914724638</v>
      </c>
      <c r="K2318" s="21" t="n">
        <f aca="false">D2318/(D2318+E2318)</f>
        <v>0.592592592592593</v>
      </c>
      <c r="L2318" s="21" t="n">
        <f aca="false">AVERAGEIFS($K$2:$K$2705,$B$2:$B$2705,B2318)</f>
        <v>0.499974753212654</v>
      </c>
      <c r="M2318" s="21" t="n">
        <f aca="false">K2318-L2318</f>
        <v>0.0926178393799388</v>
      </c>
      <c r="N2318" s="21" t="n">
        <f aca="false">LN(J2318)</f>
        <v>12.9995490139494</v>
      </c>
      <c r="O2318" s="21" t="n">
        <f aca="false">AVERAGEIFS($N$2:$N$2705,$B$2:$B$2705,B2318)</f>
        <v>13.6361776279696</v>
      </c>
      <c r="P2318" s="21" t="n">
        <f aca="false">N2318-O2318</f>
        <v>-0.636628614020223</v>
      </c>
      <c r="Q2318" s="7" t="n">
        <v>0</v>
      </c>
      <c r="R2318" s="3" t="n">
        <f aca="false">IF(AND(Q2318=1,B2318-_xlfn.MINIFS($B$2:$B$2705,$A$2:$A$2705,A2318)&lt;10),1,0)</f>
        <v>0</v>
      </c>
      <c r="S2318" s="7" t="n">
        <v>0</v>
      </c>
      <c r="T2318" s="3" t="n">
        <f aca="false">_xlfn.MINIFS($B$2:$B$2705,$A$2:$A$2705,A2318)</f>
        <v>1901</v>
      </c>
      <c r="U2318" s="3" t="n">
        <f aca="false">B2318-T2318</f>
        <v>112</v>
      </c>
      <c r="V2318" s="3" t="str">
        <f aca="false">INDEX(Pop_Inputs!$Q$2:$Q$29,MATCH(C2318,Pop_Inputs!$A$2:$A$29,0))</f>
        <v>South</v>
      </c>
      <c r="W2318" s="29" t="n">
        <v>87871525</v>
      </c>
      <c r="X2318" s="3" t="n">
        <f aca="false">IF(W2318="","",LN(W2318))</f>
        <v>18.2913863625052</v>
      </c>
      <c r="Y2318" s="3" t="n">
        <f aca="false">IF(X2318="","",X2318-AVERAGEIFS($X$2:$X$2705,$B$2:$B$2705,B2318))</f>
        <v>-0.0221745457704294</v>
      </c>
      <c r="Z2318" s="21" t="n">
        <f aca="false">P2318</f>
        <v>-0.636628614020223</v>
      </c>
      <c r="AA2318" s="3" t="n">
        <f aca="false">R2318</f>
        <v>0</v>
      </c>
      <c r="AB2318" s="21" t="n">
        <f aca="false">P2318</f>
        <v>-0.636628614020223</v>
      </c>
      <c r="AC2318" s="3" t="n">
        <f aca="false">Y2318</f>
        <v>-0.0221745457704294</v>
      </c>
      <c r="AD2318" s="3" t="n">
        <f aca="false">R2318</f>
        <v>0</v>
      </c>
    </row>
    <row r="2319" customFormat="false" ht="15" hidden="false" customHeight="true" outlineLevel="0" collapsed="false">
      <c r="A2319" s="7" t="s">
        <v>63</v>
      </c>
      <c r="B2319" s="7" t="n">
        <v>2013</v>
      </c>
      <c r="C2319" s="7" t="s">
        <v>149</v>
      </c>
      <c r="D2319" s="7" t="n">
        <v>85</v>
      </c>
      <c r="E2319" s="7" t="n">
        <v>77</v>
      </c>
      <c r="F2319" s="3" t="n">
        <f aca="false">COUNTIFS($B$2:$B$2705,B2319,$C$2:$C$2705,C2319)</f>
        <v>1</v>
      </c>
      <c r="G2319" s="3" t="n">
        <f aca="false">MIN(INT((MIN(B2319,2020)-1900)/10)+1,12)</f>
        <v>12</v>
      </c>
      <c r="H2319" s="3" t="n">
        <f aca="false">(MIN(B2319,2020)-1900-10*(G2319-1))/10</f>
        <v>0.3</v>
      </c>
      <c r="I2319" s="20" t="n">
        <f aca="false">EXP(LN(INDEX(Pop_Inputs!$B$2:$N$29,MATCH(C2319,Pop_Inputs!$A$2:$A$29,0),G2319))*(1-H2319)+LN(INDEX(Pop_Inputs!$B$2:$N$29,MATCH(C2319,Pop_Inputs!$A$2:$A$29,0),G2319+1))*H2319)</f>
        <v>610167.925008436</v>
      </c>
      <c r="J2319" s="20" t="n">
        <f aca="false">I2319/F2319</f>
        <v>610167.925008436</v>
      </c>
      <c r="K2319" s="21" t="n">
        <f aca="false">D2319/(D2319+E2319)</f>
        <v>0.524691358024691</v>
      </c>
      <c r="L2319" s="21" t="n">
        <f aca="false">AVERAGEIFS($K$2:$K$2705,$B$2:$B$2705,B2319)</f>
        <v>0.499974753212654</v>
      </c>
      <c r="M2319" s="21" t="n">
        <f aca="false">K2319-L2319</f>
        <v>0.0247166048120376</v>
      </c>
      <c r="N2319" s="21" t="n">
        <f aca="false">LN(J2319)</f>
        <v>13.3214894851641</v>
      </c>
      <c r="O2319" s="21" t="n">
        <f aca="false">AVERAGEIFS($N$2:$N$2705,$B$2:$B$2705,B2319)</f>
        <v>13.6361776279696</v>
      </c>
      <c r="P2319" s="21" t="n">
        <f aca="false">N2319-O2319</f>
        <v>-0.31468814280553</v>
      </c>
      <c r="Q2319" s="7" t="n">
        <v>0</v>
      </c>
      <c r="R2319" s="3" t="n">
        <f aca="false">IF(AND(Q2319=1,B2319-_xlfn.MINIFS($B$2:$B$2705,$A$2:$A$2705,A2319)&lt;10),1,0)</f>
        <v>0</v>
      </c>
      <c r="S2319" s="7" t="n">
        <v>0</v>
      </c>
      <c r="T2319" s="3" t="n">
        <f aca="false">_xlfn.MINIFS($B$2:$B$2705,$A$2:$A$2705,A2319)</f>
        <v>1901</v>
      </c>
      <c r="U2319" s="3" t="n">
        <f aca="false">B2319-T2319</f>
        <v>112</v>
      </c>
      <c r="V2319" s="3" t="str">
        <f aca="false">INDEX(Pop_Inputs!$Q$2:$Q$29,MATCH(C2319,Pop_Inputs!$A$2:$A$29,0))</f>
        <v>South</v>
      </c>
      <c r="W2319" s="29" t="n">
        <v>84393333</v>
      </c>
      <c r="X2319" s="3" t="n">
        <f aca="false">IF(W2319="","",LN(W2319))</f>
        <v>18.2509989635551</v>
      </c>
      <c r="Y2319" s="3" t="n">
        <f aca="false">IF(X2319="","",X2319-AVERAGEIFS($X$2:$X$2705,$B$2:$B$2705,B2319))</f>
        <v>-0.0625619447205636</v>
      </c>
      <c r="Z2319" s="21" t="n">
        <f aca="false">P2319</f>
        <v>-0.31468814280553</v>
      </c>
      <c r="AA2319" s="3" t="n">
        <f aca="false">R2319</f>
        <v>0</v>
      </c>
      <c r="AB2319" s="21" t="n">
        <f aca="false">P2319</f>
        <v>-0.31468814280553</v>
      </c>
      <c r="AC2319" s="3" t="n">
        <f aca="false">Y2319</f>
        <v>-0.0625619447205636</v>
      </c>
      <c r="AD2319" s="3" t="n">
        <f aca="false">R2319</f>
        <v>0</v>
      </c>
    </row>
    <row r="2320" customFormat="false" ht="15" hidden="false" customHeight="true" outlineLevel="0" collapsed="false">
      <c r="A2320" s="7" t="s">
        <v>64</v>
      </c>
      <c r="B2320" s="7" t="n">
        <v>2013</v>
      </c>
      <c r="C2320" s="7" t="s">
        <v>150</v>
      </c>
      <c r="D2320" s="7" t="n">
        <v>97</v>
      </c>
      <c r="E2320" s="7" t="n">
        <v>65</v>
      </c>
      <c r="F2320" s="3" t="n">
        <f aca="false">COUNTIFS($B$2:$B$2705,B2320,$C$2:$C$2705,C2320)</f>
        <v>1</v>
      </c>
      <c r="G2320" s="3" t="n">
        <f aca="false">MIN(INT((MIN(B2320,2020)-1900)/10)+1,12)</f>
        <v>12</v>
      </c>
      <c r="H2320" s="3" t="n">
        <f aca="false">(MIN(B2320,2020)-1900-10*(G2320-1))/10</f>
        <v>0.3</v>
      </c>
      <c r="I2320" s="20" t="n">
        <f aca="false">EXP(LN(INDEX(Pop_Inputs!$B$2:$N$29,MATCH(C2320,Pop_Inputs!$A$2:$A$29,0),G2320))*(1-H2320)+LN(INDEX(Pop_Inputs!$B$2:$N$29,MATCH(C2320,Pop_Inputs!$A$2:$A$29,0),G2320+1))*H2320)</f>
        <v>634465.634179438</v>
      </c>
      <c r="J2320" s="20" t="n">
        <f aca="false">I2320/F2320</f>
        <v>634465.634179438</v>
      </c>
      <c r="K2320" s="21" t="n">
        <f aca="false">D2320/(D2320+E2320)</f>
        <v>0.598765432098765</v>
      </c>
      <c r="L2320" s="21" t="n">
        <f aca="false">AVERAGEIFS($K$2:$K$2705,$B$2:$B$2705,B2320)</f>
        <v>0.499974753212654</v>
      </c>
      <c r="M2320" s="21" t="n">
        <f aca="false">K2320-L2320</f>
        <v>0.0987906788861117</v>
      </c>
      <c r="N2320" s="21" t="n">
        <f aca="false">LN(J2320)</f>
        <v>13.36053840262</v>
      </c>
      <c r="O2320" s="21" t="n">
        <f aca="false">AVERAGEIFS($N$2:$N$2705,$B$2:$B$2705,B2320)</f>
        <v>13.6361776279696</v>
      </c>
      <c r="P2320" s="21" t="n">
        <f aca="false">N2320-O2320</f>
        <v>-0.275639225349593</v>
      </c>
      <c r="Q2320" s="7" t="n">
        <v>0</v>
      </c>
      <c r="R2320" s="3" t="n">
        <f aca="false">IF(AND(Q2320=1,B2320-_xlfn.MINIFS($B$2:$B$2705,$A$2:$A$2705,A2320)&lt;10),1,0)</f>
        <v>0</v>
      </c>
      <c r="S2320" s="7" t="n">
        <v>0</v>
      </c>
      <c r="T2320" s="3" t="n">
        <f aca="false">_xlfn.MINIFS($B$2:$B$2705,$A$2:$A$2705,A2320)</f>
        <v>1901</v>
      </c>
      <c r="U2320" s="3" t="n">
        <f aca="false">B2320-T2320</f>
        <v>112</v>
      </c>
      <c r="V2320" s="3" t="str">
        <f aca="false">INDEX(Pop_Inputs!$Q$2:$Q$29,MATCH(C2320,Pop_Inputs!$A$2:$A$29,0))</f>
        <v>Northeast</v>
      </c>
      <c r="W2320" s="29" t="n">
        <v>151530000</v>
      </c>
      <c r="X2320" s="3" t="n">
        <f aca="false">IF(W2320="","",LN(W2320))</f>
        <v>18.8362941831123</v>
      </c>
      <c r="Y2320" s="3" t="n">
        <f aca="false">IF(X2320="","",X2320-AVERAGEIFS($X$2:$X$2705,$B$2:$B$2705,B2320))</f>
        <v>0.522733274836693</v>
      </c>
      <c r="Z2320" s="21" t="n">
        <f aca="false">P2320</f>
        <v>-0.275639225349593</v>
      </c>
      <c r="AA2320" s="3" t="n">
        <f aca="false">R2320</f>
        <v>0</v>
      </c>
      <c r="AB2320" s="21" t="n">
        <f aca="false">P2320</f>
        <v>-0.275639225349593</v>
      </c>
      <c r="AC2320" s="3" t="n">
        <f aca="false">Y2320</f>
        <v>0.522733274836693</v>
      </c>
      <c r="AD2320" s="3" t="n">
        <f aca="false">R2320</f>
        <v>0</v>
      </c>
    </row>
    <row r="2321" customFormat="false" ht="15" hidden="false" customHeight="true" outlineLevel="0" collapsed="false">
      <c r="A2321" s="7" t="s">
        <v>56</v>
      </c>
      <c r="B2321" s="7" t="n">
        <v>2013</v>
      </c>
      <c r="C2321" s="7" t="s">
        <v>142</v>
      </c>
      <c r="D2321" s="7" t="n">
        <v>66</v>
      </c>
      <c r="E2321" s="7" t="n">
        <v>96</v>
      </c>
      <c r="F2321" s="3" t="n">
        <f aca="false">COUNTIFS($B$2:$B$2705,B2321,$C$2:$C$2705,C2321)</f>
        <v>2</v>
      </c>
      <c r="G2321" s="3" t="n">
        <f aca="false">MIN(INT((MIN(B2321,2020)-1900)/10)+1,12)</f>
        <v>12</v>
      </c>
      <c r="H2321" s="3" t="n">
        <f aca="false">(MIN(B2321,2020)-1900-10*(G2321-1))/10</f>
        <v>0.3</v>
      </c>
      <c r="I2321" s="20" t="n">
        <f aca="false">EXP(LN(INDEX(Pop_Inputs!$B$2:$N$29,MATCH(C2321,Pop_Inputs!$A$2:$A$29,0),G2321))*(1-H2321)+LN(INDEX(Pop_Inputs!$B$2:$N$29,MATCH(C2321,Pop_Inputs!$A$2:$A$29,0),G2321+1))*H2321)</f>
        <v>2710735.57685969</v>
      </c>
      <c r="J2321" s="20" t="n">
        <f aca="false">I2321/F2321</f>
        <v>1355367.78842985</v>
      </c>
      <c r="K2321" s="21" t="n">
        <f aca="false">D2321/(D2321+E2321)</f>
        <v>0.407407407407407</v>
      </c>
      <c r="L2321" s="21" t="n">
        <f aca="false">AVERAGEIFS($K$2:$K$2705,$B$2:$B$2705,B2321)</f>
        <v>0.499974753212654</v>
      </c>
      <c r="M2321" s="21" t="n">
        <f aca="false">K2321-L2321</f>
        <v>-0.0925673458052463</v>
      </c>
      <c r="N2321" s="21" t="n">
        <f aca="false">LN(J2321)</f>
        <v>14.1195834060409</v>
      </c>
      <c r="O2321" s="21" t="n">
        <f aca="false">AVERAGEIFS($N$2:$N$2705,$B$2:$B$2705,B2321)</f>
        <v>13.6361776279696</v>
      </c>
      <c r="P2321" s="21" t="n">
        <f aca="false">N2321-O2321</f>
        <v>0.483405778071244</v>
      </c>
      <c r="Q2321" s="7" t="n">
        <v>0</v>
      </c>
      <c r="R2321" s="3" t="n">
        <f aca="false">IF(AND(Q2321=1,B2321-_xlfn.MINIFS($B$2:$B$2705,$A$2:$A$2705,A2321)&lt;10),1,0)</f>
        <v>0</v>
      </c>
      <c r="S2321" s="7" t="n">
        <v>0</v>
      </c>
      <c r="T2321" s="3" t="n">
        <f aca="false">_xlfn.MINIFS($B$2:$B$2705,$A$2:$A$2705,A2321)</f>
        <v>1901</v>
      </c>
      <c r="U2321" s="3" t="n">
        <f aca="false">B2321-T2321</f>
        <v>112</v>
      </c>
      <c r="V2321" s="3" t="str">
        <f aca="false">INDEX(Pop_Inputs!$Q$2:$Q$29,MATCH(C2321,Pop_Inputs!$A$2:$A$29,0))</f>
        <v>Midwest</v>
      </c>
      <c r="W2321" s="29" t="n">
        <v>100567726</v>
      </c>
      <c r="X2321" s="3" t="n">
        <f aca="false">IF(W2321="","",LN(W2321))</f>
        <v>18.4263419490484</v>
      </c>
      <c r="Y2321" s="3" t="n">
        <f aca="false">IF(X2321="","",X2321-AVERAGEIFS($X$2:$X$2705,$B$2:$B$2705,B2321))</f>
        <v>0.112781040772742</v>
      </c>
      <c r="Z2321" s="21" t="n">
        <f aca="false">P2321</f>
        <v>0.483405778071244</v>
      </c>
      <c r="AA2321" s="3" t="n">
        <f aca="false">R2321</f>
        <v>0</v>
      </c>
      <c r="AB2321" s="21" t="n">
        <f aca="false">P2321</f>
        <v>0.483405778071244</v>
      </c>
      <c r="AC2321" s="3" t="n">
        <f aca="false">Y2321</f>
        <v>0.112781040772742</v>
      </c>
      <c r="AD2321" s="3" t="n">
        <f aca="false">R2321</f>
        <v>0</v>
      </c>
    </row>
    <row r="2322" customFormat="false" ht="15" hidden="false" customHeight="true" outlineLevel="0" collapsed="false">
      <c r="A2322" s="7" t="s">
        <v>65</v>
      </c>
      <c r="B2322" s="7" t="n">
        <v>2013</v>
      </c>
      <c r="C2322" s="7" t="s">
        <v>142</v>
      </c>
      <c r="D2322" s="7" t="n">
        <v>63</v>
      </c>
      <c r="E2322" s="7" t="n">
        <v>99</v>
      </c>
      <c r="F2322" s="3" t="n">
        <f aca="false">COUNTIFS($B$2:$B$2705,B2322,$C$2:$C$2705,C2322)</f>
        <v>2</v>
      </c>
      <c r="G2322" s="3" t="n">
        <f aca="false">MIN(INT((MIN(B2322,2020)-1900)/10)+1,12)</f>
        <v>12</v>
      </c>
      <c r="H2322" s="3" t="n">
        <f aca="false">(MIN(B2322,2020)-1900-10*(G2322-1))/10</f>
        <v>0.3</v>
      </c>
      <c r="I2322" s="20" t="n">
        <f aca="false">EXP(LN(INDEX(Pop_Inputs!$B$2:$N$29,MATCH(C2322,Pop_Inputs!$A$2:$A$29,0),G2322))*(1-H2322)+LN(INDEX(Pop_Inputs!$B$2:$N$29,MATCH(C2322,Pop_Inputs!$A$2:$A$29,0),G2322+1))*H2322)</f>
        <v>2710735.57685969</v>
      </c>
      <c r="J2322" s="20" t="n">
        <f aca="false">I2322/F2322</f>
        <v>1355367.78842985</v>
      </c>
      <c r="K2322" s="21" t="n">
        <f aca="false">D2322/(D2322+E2322)</f>
        <v>0.388888888888889</v>
      </c>
      <c r="L2322" s="21" t="n">
        <f aca="false">AVERAGEIFS($K$2:$K$2705,$B$2:$B$2705,B2322)</f>
        <v>0.499974753212654</v>
      </c>
      <c r="M2322" s="21" t="n">
        <f aca="false">K2322-L2322</f>
        <v>-0.111085864323765</v>
      </c>
      <c r="N2322" s="21" t="n">
        <f aca="false">LN(J2322)</f>
        <v>14.1195834060409</v>
      </c>
      <c r="O2322" s="21" t="n">
        <f aca="false">AVERAGEIFS($N$2:$N$2705,$B$2:$B$2705,B2322)</f>
        <v>13.6361776279696</v>
      </c>
      <c r="P2322" s="21" t="n">
        <f aca="false">N2322-O2322</f>
        <v>0.483405778071244</v>
      </c>
      <c r="Q2322" s="7" t="n">
        <v>0</v>
      </c>
      <c r="R2322" s="3" t="n">
        <f aca="false">IF(AND(Q2322=1,B2322-_xlfn.MINIFS($B$2:$B$2705,$A$2:$A$2705,A2322)&lt;10),1,0)</f>
        <v>0</v>
      </c>
      <c r="S2322" s="7" t="n">
        <v>0</v>
      </c>
      <c r="T2322" s="3" t="n">
        <f aca="false">_xlfn.MINIFS($B$2:$B$2705,$A$2:$A$2705,A2322)</f>
        <v>1901</v>
      </c>
      <c r="U2322" s="3" t="n">
        <f aca="false">B2322-T2322</f>
        <v>112</v>
      </c>
      <c r="V2322" s="3" t="str">
        <f aca="false">INDEX(Pop_Inputs!$Q$2:$Q$29,MATCH(C2322,Pop_Inputs!$A$2:$A$29,0))</f>
        <v>Midwest</v>
      </c>
      <c r="W2322" s="29" t="n">
        <v>120065277</v>
      </c>
      <c r="X2322" s="3" t="n">
        <f aca="false">IF(W2322="","",LN(W2322))</f>
        <v>18.6035461278456</v>
      </c>
      <c r="Y2322" s="3" t="n">
        <f aca="false">IF(X2322="","",X2322-AVERAGEIFS($X$2:$X$2705,$B$2:$B$2705,B2322))</f>
        <v>0.289985219569903</v>
      </c>
      <c r="Z2322" s="21" t="n">
        <f aca="false">P2322</f>
        <v>0.483405778071244</v>
      </c>
      <c r="AA2322" s="3" t="n">
        <f aca="false">R2322</f>
        <v>0</v>
      </c>
      <c r="AB2322" s="21" t="n">
        <f aca="false">P2322</f>
        <v>0.483405778071244</v>
      </c>
      <c r="AC2322" s="3" t="n">
        <f aca="false">Y2322</f>
        <v>0.289985219569903</v>
      </c>
      <c r="AD2322" s="3" t="n">
        <f aca="false">R2322</f>
        <v>0</v>
      </c>
    </row>
    <row r="2323" customFormat="false" ht="15" hidden="false" customHeight="true" outlineLevel="0" collapsed="false">
      <c r="A2323" s="7" t="s">
        <v>57</v>
      </c>
      <c r="B2323" s="7" t="n">
        <v>2013</v>
      </c>
      <c r="C2323" s="7" t="s">
        <v>143</v>
      </c>
      <c r="D2323" s="7" t="n">
        <v>90</v>
      </c>
      <c r="E2323" s="7" t="n">
        <v>72</v>
      </c>
      <c r="F2323" s="3" t="n">
        <f aca="false">COUNTIFS($B$2:$B$2705,B2323,$C$2:$C$2705,C2323)</f>
        <v>1</v>
      </c>
      <c r="G2323" s="3" t="n">
        <f aca="false">MIN(INT((MIN(B2323,2020)-1900)/10)+1,12)</f>
        <v>12</v>
      </c>
      <c r="H2323" s="3" t="n">
        <f aca="false">(MIN(B2323,2020)-1900-10*(G2323-1))/10</f>
        <v>0.3</v>
      </c>
      <c r="I2323" s="20" t="n">
        <f aca="false">EXP(LN(INDEX(Pop_Inputs!$B$2:$N$29,MATCH(C2323,Pop_Inputs!$A$2:$A$29,0),G2323))*(1-H2323)+LN(INDEX(Pop_Inputs!$B$2:$N$29,MATCH(C2323,Pop_Inputs!$A$2:$A$29,0),G2323+1))*H2323)</f>
        <v>300602.301346933</v>
      </c>
      <c r="J2323" s="20" t="n">
        <f aca="false">I2323/F2323</f>
        <v>300602.301346933</v>
      </c>
      <c r="K2323" s="21" t="n">
        <f aca="false">D2323/(D2323+E2323)</f>
        <v>0.555555555555556</v>
      </c>
      <c r="L2323" s="21" t="n">
        <f aca="false">AVERAGEIFS($K$2:$K$2705,$B$2:$B$2705,B2323)</f>
        <v>0.499974753212654</v>
      </c>
      <c r="M2323" s="21" t="n">
        <f aca="false">K2323-L2323</f>
        <v>0.0555808023429019</v>
      </c>
      <c r="N2323" s="21" t="n">
        <f aca="false">LN(J2323)</f>
        <v>12.6135434121165</v>
      </c>
      <c r="O2323" s="21" t="n">
        <f aca="false">AVERAGEIFS($N$2:$N$2705,$B$2:$B$2705,B2323)</f>
        <v>13.6361776279696</v>
      </c>
      <c r="P2323" s="21" t="n">
        <f aca="false">N2323-O2323</f>
        <v>-1.02263421585315</v>
      </c>
      <c r="Q2323" s="7" t="n">
        <v>0</v>
      </c>
      <c r="R2323" s="3" t="n">
        <f aca="false">IF(AND(Q2323=1,B2323-_xlfn.MINIFS($B$2:$B$2705,$A$2:$A$2705,A2323)&lt;10),1,0)</f>
        <v>0</v>
      </c>
      <c r="S2323" s="7" t="n">
        <v>0</v>
      </c>
      <c r="T2323" s="3" t="n">
        <f aca="false">_xlfn.MINIFS($B$2:$B$2705,$A$2:$A$2705,A2323)</f>
        <v>1901</v>
      </c>
      <c r="U2323" s="3" t="n">
        <f aca="false">B2323-T2323</f>
        <v>112</v>
      </c>
      <c r="V2323" s="3" t="str">
        <f aca="false">INDEX(Pop_Inputs!$Q$2:$Q$29,MATCH(C2323,Pop_Inputs!$A$2:$A$29,0))</f>
        <v>Midwest</v>
      </c>
      <c r="W2323" s="29" t="n">
        <v>106404462</v>
      </c>
      <c r="X2323" s="3" t="n">
        <f aca="false">IF(W2323="","",LN(W2323))</f>
        <v>18.4827580700828</v>
      </c>
      <c r="Y2323" s="3" t="n">
        <f aca="false">IF(X2323="","",X2323-AVERAGEIFS($X$2:$X$2705,$B$2:$B$2705,B2323))</f>
        <v>0.169197161807098</v>
      </c>
      <c r="Z2323" s="21" t="n">
        <f aca="false">P2323</f>
        <v>-1.02263421585315</v>
      </c>
      <c r="AA2323" s="3" t="n">
        <f aca="false">R2323</f>
        <v>0</v>
      </c>
      <c r="AB2323" s="21" t="n">
        <f aca="false">P2323</f>
        <v>-1.02263421585315</v>
      </c>
      <c r="AC2323" s="3" t="n">
        <f aca="false">Y2323</f>
        <v>0.169197161807098</v>
      </c>
      <c r="AD2323" s="3" t="n">
        <f aca="false">R2323</f>
        <v>0</v>
      </c>
    </row>
    <row r="2324" customFormat="false" ht="15" hidden="false" customHeight="true" outlineLevel="0" collapsed="false">
      <c r="A2324" s="7" t="s">
        <v>66</v>
      </c>
      <c r="B2324" s="7" t="n">
        <v>2013</v>
      </c>
      <c r="C2324" s="7" t="s">
        <v>151</v>
      </c>
      <c r="D2324" s="7" t="n">
        <v>92</v>
      </c>
      <c r="E2324" s="7" t="n">
        <v>70</v>
      </c>
      <c r="F2324" s="3" t="n">
        <f aca="false">COUNTIFS($B$2:$B$2705,B2324,$C$2:$C$2705,C2324)</f>
        <v>1</v>
      </c>
      <c r="G2324" s="3" t="n">
        <f aca="false">MIN(INT((MIN(B2324,2020)-1900)/10)+1,12)</f>
        <v>12</v>
      </c>
      <c r="H2324" s="3" t="n">
        <f aca="false">(MIN(B2324,2020)-1900-10*(G2324-1))/10</f>
        <v>0.3</v>
      </c>
      <c r="I2324" s="20" t="n">
        <f aca="false">EXP(LN(INDEX(Pop_Inputs!$B$2:$N$29,MATCH(C2324,Pop_Inputs!$A$2:$A$29,0),G2324))*(1-H2324)+LN(INDEX(Pop_Inputs!$B$2:$N$29,MATCH(C2324,Pop_Inputs!$A$2:$A$29,0),G2324+1))*H2324)</f>
        <v>389397.27091611</v>
      </c>
      <c r="J2324" s="20" t="n">
        <f aca="false">I2324/F2324</f>
        <v>389397.27091611</v>
      </c>
      <c r="K2324" s="21" t="n">
        <f aca="false">D2324/(D2324+E2324)</f>
        <v>0.567901234567901</v>
      </c>
      <c r="L2324" s="21" t="n">
        <f aca="false">AVERAGEIFS($K$2:$K$2705,$B$2:$B$2705,B2324)</f>
        <v>0.499974753212654</v>
      </c>
      <c r="M2324" s="21" t="n">
        <f aca="false">K2324-L2324</f>
        <v>0.0679264813552475</v>
      </c>
      <c r="N2324" s="21" t="n">
        <f aca="false">LN(J2324)</f>
        <v>12.8723553634625</v>
      </c>
      <c r="O2324" s="21" t="n">
        <f aca="false">AVERAGEIFS($N$2:$N$2705,$B$2:$B$2705,B2324)</f>
        <v>13.6361776279696</v>
      </c>
      <c r="P2324" s="21" t="n">
        <f aca="false">N2324-O2324</f>
        <v>-0.763822264507141</v>
      </c>
      <c r="Q2324" s="7" t="n">
        <v>0</v>
      </c>
      <c r="R2324" s="3" t="n">
        <f aca="false">IF(AND(Q2324=1,B2324-_xlfn.MINIFS($B$2:$B$2705,$A$2:$A$2705,A2324)&lt;10),1,0)</f>
        <v>0</v>
      </c>
      <c r="S2324" s="7" t="n">
        <v>0</v>
      </c>
      <c r="T2324" s="3" t="n">
        <f aca="false">_xlfn.MINIFS($B$2:$B$2705,$A$2:$A$2705,A2324)</f>
        <v>1901</v>
      </c>
      <c r="U2324" s="3" t="n">
        <f aca="false">B2324-T2324</f>
        <v>112</v>
      </c>
      <c r="V2324" s="3" t="str">
        <f aca="false">INDEX(Pop_Inputs!$Q$2:$Q$29,MATCH(C2324,Pop_Inputs!$A$2:$A$29,0))</f>
        <v>Midwest</v>
      </c>
      <c r="W2324" s="29" t="n">
        <v>75771800</v>
      </c>
      <c r="X2324" s="3" t="n">
        <f aca="false">IF(W2324="","",LN(W2324))</f>
        <v>18.1432367497294</v>
      </c>
      <c r="Y2324" s="3" t="n">
        <f aca="false">IF(X2324="","",X2324-AVERAGEIFS($X$2:$X$2705,$B$2:$B$2705,B2324))</f>
        <v>-0.170324158546268</v>
      </c>
      <c r="Z2324" s="21" t="n">
        <f aca="false">P2324</f>
        <v>-0.763822264507141</v>
      </c>
      <c r="AA2324" s="3" t="n">
        <f aca="false">R2324</f>
        <v>0</v>
      </c>
      <c r="AB2324" s="21" t="n">
        <f aca="false">P2324</f>
        <v>-0.763822264507141</v>
      </c>
      <c r="AC2324" s="3" t="n">
        <f aca="false">Y2324</f>
        <v>-0.170324158546268</v>
      </c>
      <c r="AD2324" s="3" t="n">
        <f aca="false">R2324</f>
        <v>0</v>
      </c>
    </row>
    <row r="2325" customFormat="false" ht="15" hidden="false" customHeight="true" outlineLevel="0" collapsed="false">
      <c r="A2325" s="7" t="s">
        <v>82</v>
      </c>
      <c r="B2325" s="7" t="n">
        <v>2013</v>
      </c>
      <c r="C2325" s="7" t="s">
        <v>163</v>
      </c>
      <c r="D2325" s="7" t="n">
        <v>74</v>
      </c>
      <c r="E2325" s="7" t="n">
        <v>88</v>
      </c>
      <c r="F2325" s="3" t="n">
        <f aca="false">COUNTIFS($B$2:$B$2705,B2325,$C$2:$C$2705,C2325)</f>
        <v>1</v>
      </c>
      <c r="G2325" s="3" t="n">
        <f aca="false">MIN(INT((MIN(B2325,2020)-1900)/10)+1,12)</f>
        <v>12</v>
      </c>
      <c r="H2325" s="3" t="n">
        <f aca="false">(MIN(B2325,2020)-1900-10*(G2325-1))/10</f>
        <v>0.3</v>
      </c>
      <c r="I2325" s="20" t="n">
        <f aca="false">EXP(LN(INDEX(Pop_Inputs!$B$2:$N$29,MATCH(C2325,Pop_Inputs!$A$2:$A$29,0),G2325))*(1-H2325)+LN(INDEX(Pop_Inputs!$B$2:$N$29,MATCH(C2325,Pop_Inputs!$A$2:$A$29,0),G2325+1))*H2325)</f>
        <v>632663.554645431</v>
      </c>
      <c r="J2325" s="20" t="n">
        <f aca="false">I2325/F2325</f>
        <v>632663.554645431</v>
      </c>
      <c r="K2325" s="21" t="n">
        <f aca="false">D2325/(D2325+E2325)</f>
        <v>0.45679012345679</v>
      </c>
      <c r="L2325" s="21" t="n">
        <f aca="false">AVERAGEIFS($K$2:$K$2705,$B$2:$B$2705,B2325)</f>
        <v>0.499974753212654</v>
      </c>
      <c r="M2325" s="21" t="n">
        <f aca="false">K2325-L2325</f>
        <v>-0.0431846297558636</v>
      </c>
      <c r="N2325" s="21" t="n">
        <f aca="false">LN(J2325)</f>
        <v>13.3576940505763</v>
      </c>
      <c r="O2325" s="21" t="n">
        <f aca="false">AVERAGEIFS($N$2:$N$2705,$B$2:$B$2705,B2325)</f>
        <v>13.6361776279696</v>
      </c>
      <c r="P2325" s="21" t="n">
        <f aca="false">N2325-O2325</f>
        <v>-0.278483577393335</v>
      </c>
      <c r="Q2325" s="7" t="n">
        <v>1</v>
      </c>
      <c r="R2325" s="3" t="n">
        <f aca="false">IF(AND(Q2325=1,B2325-_xlfn.MINIFS($B$2:$B$2705,$A$2:$A$2705,A2325)&lt;10),1,0)</f>
        <v>0</v>
      </c>
      <c r="S2325" s="7" t="n">
        <v>0</v>
      </c>
      <c r="T2325" s="3" t="n">
        <f aca="false">_xlfn.MINIFS($B$2:$B$2705,$A$2:$A$2705,A2325)</f>
        <v>1993</v>
      </c>
      <c r="U2325" s="3" t="n">
        <f aca="false">B2325-T2325</f>
        <v>20</v>
      </c>
      <c r="V2325" s="3" t="str">
        <f aca="false">INDEX(Pop_Inputs!$Q$2:$Q$29,MATCH(C2325,Pop_Inputs!$A$2:$A$29,0))</f>
        <v>West</v>
      </c>
      <c r="W2325" s="29" t="n">
        <v>74409071</v>
      </c>
      <c r="X2325" s="3" t="n">
        <f aca="false">IF(W2325="","",LN(W2325))</f>
        <v>18.1250884144144</v>
      </c>
      <c r="Y2325" s="3" t="n">
        <f aca="false">IF(X2325="","",X2325-AVERAGEIFS($X$2:$X$2705,$B$2:$B$2705,B2325))</f>
        <v>-0.188472493861209</v>
      </c>
      <c r="Z2325" s="21" t="n">
        <f aca="false">P2325</f>
        <v>-0.278483577393335</v>
      </c>
      <c r="AA2325" s="3" t="n">
        <f aca="false">R2325</f>
        <v>0</v>
      </c>
      <c r="AB2325" s="21" t="n">
        <f aca="false">P2325</f>
        <v>-0.278483577393335</v>
      </c>
      <c r="AC2325" s="3" t="n">
        <f aca="false">Y2325</f>
        <v>-0.188472493861209</v>
      </c>
      <c r="AD2325" s="3" t="n">
        <f aca="false">R2325</f>
        <v>0</v>
      </c>
    </row>
    <row r="2326" customFormat="false" ht="15" hidden="false" customHeight="true" outlineLevel="0" collapsed="false">
      <c r="A2326" s="7" t="s">
        <v>67</v>
      </c>
      <c r="B2326" s="7" t="n">
        <v>2013</v>
      </c>
      <c r="C2326" s="7" t="s">
        <v>152</v>
      </c>
      <c r="D2326" s="7" t="n">
        <v>93</v>
      </c>
      <c r="E2326" s="7" t="n">
        <v>69</v>
      </c>
      <c r="F2326" s="3" t="n">
        <f aca="false">COUNTIFS($B$2:$B$2705,B2326,$C$2:$C$2705,C2326)</f>
        <v>1</v>
      </c>
      <c r="G2326" s="3" t="n">
        <f aca="false">MIN(INT((MIN(B2326,2020)-1900)/10)+1,12)</f>
        <v>12</v>
      </c>
      <c r="H2326" s="3" t="n">
        <f aca="false">(MIN(B2326,2020)-1900-10*(G2326-1))/10</f>
        <v>0.3</v>
      </c>
      <c r="I2326" s="20" t="n">
        <f aca="false">EXP(LN(INDEX(Pop_Inputs!$B$2:$N$29,MATCH(C2326,Pop_Inputs!$A$2:$A$29,0),G2326))*(1-H2326)+LN(INDEX(Pop_Inputs!$B$2:$N$29,MATCH(C2326,Pop_Inputs!$A$2:$A$29,0),G2326+1))*H2326)</f>
        <v>690504.753178404</v>
      </c>
      <c r="J2326" s="20" t="n">
        <f aca="false">I2326/F2326</f>
        <v>690504.753178404</v>
      </c>
      <c r="K2326" s="21" t="n">
        <f aca="false">D2326/(D2326+E2326)</f>
        <v>0.574074074074074</v>
      </c>
      <c r="L2326" s="21" t="n">
        <f aca="false">AVERAGEIFS($K$2:$K$2705,$B$2:$B$2705,B2326)</f>
        <v>0.499974753212654</v>
      </c>
      <c r="M2326" s="21" t="n">
        <f aca="false">K2326-L2326</f>
        <v>0.0740993208614204</v>
      </c>
      <c r="N2326" s="21" t="n">
        <f aca="false">LN(J2326)</f>
        <v>13.445178135484</v>
      </c>
      <c r="O2326" s="21" t="n">
        <f aca="false">AVERAGEIFS($N$2:$N$2705,$B$2:$B$2705,B2326)</f>
        <v>13.6361776279696</v>
      </c>
      <c r="P2326" s="21" t="n">
        <f aca="false">N2326-O2326</f>
        <v>-0.190999492485638</v>
      </c>
      <c r="Q2326" s="7" t="n">
        <v>0</v>
      </c>
      <c r="R2326" s="3" t="n">
        <f aca="false">IF(AND(Q2326=1,B2326-_xlfn.MINIFS($B$2:$B$2705,$A$2:$A$2705,A2326)&lt;10),1,0)</f>
        <v>0</v>
      </c>
      <c r="S2326" s="7" t="n">
        <v>0</v>
      </c>
      <c r="T2326" s="3" t="n">
        <f aca="false">_xlfn.MINIFS($B$2:$B$2705,$A$2:$A$2705,A2326)</f>
        <v>1901</v>
      </c>
      <c r="U2326" s="3" t="n">
        <f aca="false">B2326-T2326</f>
        <v>112</v>
      </c>
      <c r="V2326" s="3" t="str">
        <f aca="false">INDEX(Pop_Inputs!$Q$2:$Q$29,MATCH(C2326,Pop_Inputs!$A$2:$A$29,0))</f>
        <v>Midwest</v>
      </c>
      <c r="W2326" s="29" t="n">
        <v>145989500</v>
      </c>
      <c r="X2326" s="3" t="n">
        <f aca="false">IF(W2326="","",LN(W2326))</f>
        <v>18.7990452592782</v>
      </c>
      <c r="Y2326" s="3" t="n">
        <f aca="false">IF(X2326="","",X2326-AVERAGEIFS($X$2:$X$2705,$B$2:$B$2705,B2326))</f>
        <v>0.48548435100253</v>
      </c>
      <c r="Z2326" s="21" t="n">
        <f aca="false">P2326</f>
        <v>-0.190999492485638</v>
      </c>
      <c r="AA2326" s="3" t="n">
        <f aca="false">R2326</f>
        <v>0</v>
      </c>
      <c r="AB2326" s="21" t="n">
        <f aca="false">P2326</f>
        <v>-0.190999492485638</v>
      </c>
      <c r="AC2326" s="3" t="n">
        <f aca="false">Y2326</f>
        <v>0.48548435100253</v>
      </c>
      <c r="AD2326" s="3" t="n">
        <f aca="false">R2326</f>
        <v>0</v>
      </c>
    </row>
    <row r="2327" customFormat="false" ht="15" hidden="false" customHeight="true" outlineLevel="0" collapsed="false">
      <c r="A2327" s="7" t="s">
        <v>83</v>
      </c>
      <c r="B2327" s="7" t="n">
        <v>2013</v>
      </c>
      <c r="C2327" s="7" t="s">
        <v>164</v>
      </c>
      <c r="D2327" s="7" t="n">
        <v>62</v>
      </c>
      <c r="E2327" s="7" t="n">
        <v>100</v>
      </c>
      <c r="F2327" s="3" t="n">
        <f aca="false">COUNTIFS($B$2:$B$2705,B2327,$C$2:$C$2705,C2327)</f>
        <v>1</v>
      </c>
      <c r="G2327" s="3" t="n">
        <f aca="false">MIN(INT((MIN(B2327,2020)-1900)/10)+1,12)</f>
        <v>12</v>
      </c>
      <c r="H2327" s="3" t="n">
        <f aca="false">(MIN(B2327,2020)-1900-10*(G2327-1))/10</f>
        <v>0.3</v>
      </c>
      <c r="I2327" s="20" t="n">
        <f aca="false">EXP(LN(INDEX(Pop_Inputs!$B$2:$N$29,MATCH(C2327,Pop_Inputs!$A$2:$A$29,0),G2327))*(1-H2327)+LN(INDEX(Pop_Inputs!$B$2:$N$29,MATCH(C2327,Pop_Inputs!$A$2:$A$29,0),G2327+1))*H2327)</f>
        <v>411838.294041597</v>
      </c>
      <c r="J2327" s="20" t="n">
        <f aca="false">I2327/F2327</f>
        <v>411838.294041597</v>
      </c>
      <c r="K2327" s="21" t="n">
        <f aca="false">D2327/(D2327+E2327)</f>
        <v>0.382716049382716</v>
      </c>
      <c r="L2327" s="21" t="n">
        <f aca="false">AVERAGEIFS($K$2:$K$2705,$B$2:$B$2705,B2327)</f>
        <v>0.499974753212654</v>
      </c>
      <c r="M2327" s="21" t="n">
        <f aca="false">K2327-L2327</f>
        <v>-0.117258703829938</v>
      </c>
      <c r="N2327" s="21" t="n">
        <f aca="false">LN(J2327)</f>
        <v>12.9283860610969</v>
      </c>
      <c r="O2327" s="21" t="n">
        <f aca="false">AVERAGEIFS($N$2:$N$2705,$B$2:$B$2705,B2327)</f>
        <v>13.6361776279696</v>
      </c>
      <c r="P2327" s="21" t="n">
        <f aca="false">N2327-O2327</f>
        <v>-0.707791566872682</v>
      </c>
      <c r="Q2327" s="7" t="n">
        <v>1</v>
      </c>
      <c r="R2327" s="3" t="n">
        <f aca="false">IF(AND(Q2327=1,B2327-_xlfn.MINIFS($B$2:$B$2705,$A$2:$A$2705,A2327)&lt;10),1,0)</f>
        <v>0</v>
      </c>
      <c r="S2327" s="7" t="n">
        <v>0</v>
      </c>
      <c r="T2327" s="3" t="n">
        <f aca="false">_xlfn.MINIFS($B$2:$B$2705,$A$2:$A$2705,A2327)</f>
        <v>1993</v>
      </c>
      <c r="U2327" s="3" t="n">
        <f aca="false">B2327-T2327</f>
        <v>20</v>
      </c>
      <c r="V2327" s="3" t="str">
        <f aca="false">INDEX(Pop_Inputs!$Q$2:$Q$29,MATCH(C2327,Pop_Inputs!$A$2:$A$29,0))</f>
        <v>South</v>
      </c>
      <c r="W2327" s="29" t="n">
        <v>33601900</v>
      </c>
      <c r="X2327" s="3" t="n">
        <f aca="false">IF(W2327="","",LN(W2327))</f>
        <v>17.3300931709537</v>
      </c>
      <c r="Y2327" s="3" t="n">
        <f aca="false">IF(X2327="","",X2327-AVERAGEIFS($X$2:$X$2705,$B$2:$B$2705,B2327))</f>
        <v>-0.983467737321927</v>
      </c>
      <c r="Z2327" s="21" t="n">
        <f aca="false">P2327</f>
        <v>-0.707791566872682</v>
      </c>
      <c r="AA2327" s="3" t="n">
        <f aca="false">R2327</f>
        <v>0</v>
      </c>
      <c r="AB2327" s="21" t="n">
        <f aca="false">P2327</f>
        <v>-0.707791566872682</v>
      </c>
      <c r="AC2327" s="3" t="n">
        <f aca="false">Y2327</f>
        <v>-0.983467737321927</v>
      </c>
      <c r="AD2327" s="3" t="n">
        <f aca="false">R2327</f>
        <v>0</v>
      </c>
    </row>
    <row r="2328" customFormat="false" ht="15" hidden="false" customHeight="true" outlineLevel="0" collapsed="false">
      <c r="A2328" s="7" t="s">
        <v>74</v>
      </c>
      <c r="B2328" s="7" t="n">
        <v>2013</v>
      </c>
      <c r="C2328" s="7" t="s">
        <v>156</v>
      </c>
      <c r="D2328" s="7" t="n">
        <v>51</v>
      </c>
      <c r="E2328" s="7" t="n">
        <v>111</v>
      </c>
      <c r="F2328" s="3" t="n">
        <f aca="false">COUNTIFS($B$2:$B$2705,B2328,$C$2:$C$2705,C2328)</f>
        <v>1</v>
      </c>
      <c r="G2328" s="3" t="n">
        <f aca="false">MIN(INT((MIN(B2328,2020)-1900)/10)+1,12)</f>
        <v>12</v>
      </c>
      <c r="H2328" s="3" t="n">
        <f aca="false">(MIN(B2328,2020)-1900-10*(G2328-1))/10</f>
        <v>0.3</v>
      </c>
      <c r="I2328" s="20" t="n">
        <f aca="false">EXP(LN(INDEX(Pop_Inputs!$B$2:$N$29,MATCH(C2328,Pop_Inputs!$A$2:$A$29,0),G2328))*(1-H2328)+LN(INDEX(Pop_Inputs!$B$2:$N$29,MATCH(C2328,Pop_Inputs!$A$2:$A$29,0),G2328+1))*H2328)</f>
        <v>2158994.60257663</v>
      </c>
      <c r="J2328" s="20" t="n">
        <f aca="false">I2328/F2328</f>
        <v>2158994.60257663</v>
      </c>
      <c r="K2328" s="21" t="n">
        <f aca="false">D2328/(D2328+E2328)</f>
        <v>0.314814814814815</v>
      </c>
      <c r="L2328" s="21" t="n">
        <f aca="false">AVERAGEIFS($K$2:$K$2705,$B$2:$B$2705,B2328)</f>
        <v>0.499974753212654</v>
      </c>
      <c r="M2328" s="21" t="n">
        <f aca="false">K2328-L2328</f>
        <v>-0.185159938397839</v>
      </c>
      <c r="N2328" s="21" t="n">
        <f aca="false">LN(J2328)</f>
        <v>14.5851532095293</v>
      </c>
      <c r="O2328" s="21" t="n">
        <f aca="false">AVERAGEIFS($N$2:$N$2705,$B$2:$B$2705,B2328)</f>
        <v>13.6361776279696</v>
      </c>
      <c r="P2328" s="21" t="n">
        <f aca="false">N2328-O2328</f>
        <v>0.948975581559701</v>
      </c>
      <c r="Q2328" s="7" t="n">
        <v>1</v>
      </c>
      <c r="R2328" s="3" t="n">
        <f aca="false">IF(AND(Q2328=1,B2328-_xlfn.MINIFS($B$2:$B$2705,$A$2:$A$2705,A2328)&lt;10),1,0)</f>
        <v>0</v>
      </c>
      <c r="S2328" s="7" t="n">
        <v>0</v>
      </c>
      <c r="T2328" s="3" t="n">
        <f aca="false">_xlfn.MINIFS($B$2:$B$2705,$A$2:$A$2705,A2328)</f>
        <v>1962</v>
      </c>
      <c r="U2328" s="3" t="n">
        <f aca="false">B2328-T2328</f>
        <v>51</v>
      </c>
      <c r="V2328" s="3" t="str">
        <f aca="false">INDEX(Pop_Inputs!$Q$2:$Q$29,MATCH(C2328,Pop_Inputs!$A$2:$A$29,0))</f>
        <v>South</v>
      </c>
      <c r="W2328" s="29" t="n">
        <v>17890700</v>
      </c>
      <c r="X2328" s="3" t="n">
        <f aca="false">IF(W2328="","",LN(W2328))</f>
        <v>16.6997915827239</v>
      </c>
      <c r="Y2328" s="3" t="n">
        <f aca="false">IF(X2328="","",X2328-AVERAGEIFS($X$2:$X$2705,$B$2:$B$2705,B2328))</f>
        <v>-1.61376932555176</v>
      </c>
      <c r="Z2328" s="21" t="n">
        <f aca="false">P2328</f>
        <v>0.948975581559701</v>
      </c>
      <c r="AA2328" s="3" t="n">
        <f aca="false">R2328</f>
        <v>0</v>
      </c>
      <c r="AB2328" s="21" t="n">
        <f aca="false">P2328</f>
        <v>0.948975581559701</v>
      </c>
      <c r="AC2328" s="3" t="n">
        <f aca="false">Y2328</f>
        <v>-1.61376932555176</v>
      </c>
      <c r="AD2328" s="3" t="n">
        <f aca="false">R2328</f>
        <v>0</v>
      </c>
    </row>
    <row r="2329" customFormat="false" ht="15" hidden="false" customHeight="true" outlineLevel="0" collapsed="false">
      <c r="A2329" s="7" t="s">
        <v>76</v>
      </c>
      <c r="B2329" s="7" t="n">
        <v>2013</v>
      </c>
      <c r="C2329" s="7" t="s">
        <v>157</v>
      </c>
      <c r="D2329" s="7" t="n">
        <v>86</v>
      </c>
      <c r="E2329" s="7" t="n">
        <v>76</v>
      </c>
      <c r="F2329" s="3" t="n">
        <f aca="false">COUNTIFS($B$2:$B$2705,B2329,$C$2:$C$2705,C2329)</f>
        <v>1</v>
      </c>
      <c r="G2329" s="3" t="n">
        <f aca="false">MIN(INT((MIN(B2329,2020)-1900)/10)+1,12)</f>
        <v>12</v>
      </c>
      <c r="H2329" s="3" t="n">
        <f aca="false">(MIN(B2329,2020)-1900-10*(G2329-1))/10</f>
        <v>0.3</v>
      </c>
      <c r="I2329" s="20" t="n">
        <f aca="false">EXP(LN(INDEX(Pop_Inputs!$B$2:$N$29,MATCH(C2329,Pop_Inputs!$A$2:$A$29,0),G2329))*(1-H2329)+LN(INDEX(Pop_Inputs!$B$2:$N$29,MATCH(C2329,Pop_Inputs!$A$2:$A$29,0),G2329+1))*H2329)</f>
        <v>473774.711403075</v>
      </c>
      <c r="J2329" s="20" t="n">
        <f aca="false">I2329/F2329</f>
        <v>473774.711403075</v>
      </c>
      <c r="K2329" s="21" t="n">
        <f aca="false">D2329/(D2329+E2329)</f>
        <v>0.530864197530864</v>
      </c>
      <c r="L2329" s="21" t="n">
        <f aca="false">AVERAGEIFS($K$2:$K$2705,$B$2:$B$2705,B2329)</f>
        <v>0.499974753212654</v>
      </c>
      <c r="M2329" s="21" t="n">
        <f aca="false">K2329-L2329</f>
        <v>0.0308894443182105</v>
      </c>
      <c r="N2329" s="21" t="n">
        <f aca="false">LN(J2329)</f>
        <v>13.0684871952914</v>
      </c>
      <c r="O2329" s="21" t="n">
        <f aca="false">AVERAGEIFS($N$2:$N$2705,$B$2:$B$2705,B2329)</f>
        <v>13.6361776279696</v>
      </c>
      <c r="P2329" s="21" t="n">
        <f aca="false">N2329-O2329</f>
        <v>-0.567690432678209</v>
      </c>
      <c r="Q2329" s="7" t="n">
        <v>1</v>
      </c>
      <c r="R2329" s="3" t="n">
        <f aca="false">IF(AND(Q2329=1,B2329-_xlfn.MINIFS($B$2:$B$2705,$A$2:$A$2705,A2329)&lt;10),1,0)</f>
        <v>0</v>
      </c>
      <c r="S2329" s="7" t="n">
        <v>0</v>
      </c>
      <c r="T2329" s="3" t="n">
        <f aca="false">_xlfn.MINIFS($B$2:$B$2705,$A$2:$A$2705,A2329)</f>
        <v>1969</v>
      </c>
      <c r="U2329" s="3" t="n">
        <f aca="false">B2329-T2329</f>
        <v>44</v>
      </c>
      <c r="V2329" s="3" t="str">
        <f aca="false">INDEX(Pop_Inputs!$Q$2:$Q$29,MATCH(C2329,Pop_Inputs!$A$2:$A$29,0))</f>
        <v>Midwest</v>
      </c>
      <c r="W2329" s="29" t="n">
        <v>80091725</v>
      </c>
      <c r="X2329" s="3" t="n">
        <f aca="false">IF(W2329="","",LN(W2329))</f>
        <v>18.1986830983374</v>
      </c>
      <c r="Y2329" s="3" t="n">
        <f aca="false">IF(X2329="","",X2329-AVERAGEIFS($X$2:$X$2705,$B$2:$B$2705,B2329))</f>
        <v>-0.114877809938285</v>
      </c>
      <c r="Z2329" s="21" t="n">
        <f aca="false">P2329</f>
        <v>-0.567690432678209</v>
      </c>
      <c r="AA2329" s="3" t="n">
        <f aca="false">R2329</f>
        <v>0</v>
      </c>
      <c r="AB2329" s="21" t="n">
        <f aca="false">P2329</f>
        <v>-0.567690432678209</v>
      </c>
      <c r="AC2329" s="3" t="n">
        <f aca="false">Y2329</f>
        <v>-0.114877809938285</v>
      </c>
      <c r="AD2329" s="3" t="n">
        <f aca="false">R2329</f>
        <v>0</v>
      </c>
    </row>
    <row r="2330" customFormat="false" ht="15" hidden="false" customHeight="true" outlineLevel="0" collapsed="false">
      <c r="A2330" s="7" t="s">
        <v>62</v>
      </c>
      <c r="B2330" s="7" t="n">
        <v>2013</v>
      </c>
      <c r="C2330" s="7" t="s">
        <v>148</v>
      </c>
      <c r="D2330" s="7" t="n">
        <v>92</v>
      </c>
      <c r="E2330" s="7" t="n">
        <v>70</v>
      </c>
      <c r="F2330" s="3" t="n">
        <f aca="false">COUNTIFS($B$2:$B$2705,B2330,$C$2:$C$2705,C2330)</f>
        <v>2</v>
      </c>
      <c r="G2330" s="3" t="n">
        <f aca="false">MIN(INT((MIN(B2330,2020)-1900)/10)+1,12)</f>
        <v>12</v>
      </c>
      <c r="H2330" s="3" t="n">
        <f aca="false">(MIN(B2330,2020)-1900-10*(G2330-1))/10</f>
        <v>0.3</v>
      </c>
      <c r="I2330" s="20" t="n">
        <f aca="false">EXP(LN(INDEX(Pop_Inputs!$B$2:$N$29,MATCH(C2330,Pop_Inputs!$A$2:$A$29,0),G2330))*(1-H2330)+LN(INDEX(Pop_Inputs!$B$2:$N$29,MATCH(C2330,Pop_Inputs!$A$2:$A$29,0),G2330+1))*H2330)</f>
        <v>3824151.84034424</v>
      </c>
      <c r="J2330" s="20" t="n">
        <f aca="false">I2330/F2330</f>
        <v>1912075.92017212</v>
      </c>
      <c r="K2330" s="21" t="n">
        <f aca="false">D2330/(D2330+E2330)</f>
        <v>0.567901234567901</v>
      </c>
      <c r="L2330" s="21" t="n">
        <f aca="false">AVERAGEIFS($K$2:$K$2705,$B$2:$B$2705,B2330)</f>
        <v>0.499974753212654</v>
      </c>
      <c r="M2330" s="21" t="n">
        <f aca="false">K2330-L2330</f>
        <v>0.0679264813552475</v>
      </c>
      <c r="N2330" s="21" t="n">
        <f aca="false">LN(J2330)</f>
        <v>14.4637000790082</v>
      </c>
      <c r="O2330" s="21" t="n">
        <f aca="false">AVERAGEIFS($N$2:$N$2705,$B$2:$B$2705,B2330)</f>
        <v>13.6361776279696</v>
      </c>
      <c r="P2330" s="21" t="n">
        <f aca="false">N2330-O2330</f>
        <v>0.827522451038552</v>
      </c>
      <c r="Q2330" s="7" t="n">
        <v>0</v>
      </c>
      <c r="R2330" s="3" t="n">
        <f aca="false">IF(AND(Q2330=1,B2330-_xlfn.MINIFS($B$2:$B$2705,$A$2:$A$2705,A2330)&lt;10),1,0)</f>
        <v>0</v>
      </c>
      <c r="S2330" s="7" t="n">
        <v>0</v>
      </c>
      <c r="T2330" s="3" t="n">
        <f aca="false">_xlfn.MINIFS($B$2:$B$2705,$A$2:$A$2705,A2330)</f>
        <v>1901</v>
      </c>
      <c r="U2330" s="3" t="n">
        <f aca="false">B2330-T2330</f>
        <v>112</v>
      </c>
      <c r="V2330" s="3" t="str">
        <f aca="false">INDEX(Pop_Inputs!$Q$2:$Q$29,MATCH(C2330,Pop_Inputs!$A$2:$A$29,0))</f>
        <v>West</v>
      </c>
      <c r="W2330" s="29" t="n">
        <v>223362196</v>
      </c>
      <c r="X2330" s="3" t="n">
        <f aca="false">IF(W2330="","",LN(W2330))</f>
        <v>19.2243052091518</v>
      </c>
      <c r="Y2330" s="3" t="n">
        <f aca="false">IF(X2330="","",X2330-AVERAGEIFS($X$2:$X$2705,$B$2:$B$2705,B2330))</f>
        <v>0.910744300876193</v>
      </c>
      <c r="Z2330" s="21" t="n">
        <f aca="false">P2330</f>
        <v>0.827522451038552</v>
      </c>
      <c r="AA2330" s="3" t="n">
        <f aca="false">R2330</f>
        <v>0</v>
      </c>
      <c r="AB2330" s="21" t="n">
        <f aca="false">P2330</f>
        <v>0.827522451038552</v>
      </c>
      <c r="AC2330" s="3" t="n">
        <f aca="false">Y2330</f>
        <v>0.910744300876193</v>
      </c>
      <c r="AD2330" s="3" t="n">
        <f aca="false">R2330</f>
        <v>0</v>
      </c>
    </row>
    <row r="2331" customFormat="false" ht="15" hidden="false" customHeight="true" outlineLevel="0" collapsed="false">
      <c r="A2331" s="7" t="s">
        <v>77</v>
      </c>
      <c r="B2331" s="7" t="n">
        <v>2013</v>
      </c>
      <c r="C2331" s="7" t="s">
        <v>158</v>
      </c>
      <c r="D2331" s="7" t="n">
        <v>74</v>
      </c>
      <c r="E2331" s="7" t="n">
        <v>88</v>
      </c>
      <c r="F2331" s="3" t="n">
        <f aca="false">COUNTIFS($B$2:$B$2705,B2331,$C$2:$C$2705,C2331)</f>
        <v>1</v>
      </c>
      <c r="G2331" s="3" t="n">
        <f aca="false">MIN(INT((MIN(B2331,2020)-1900)/10)+1,12)</f>
        <v>12</v>
      </c>
      <c r="H2331" s="3" t="n">
        <f aca="false">(MIN(B2331,2020)-1900-10*(G2331-1))/10</f>
        <v>0.3</v>
      </c>
      <c r="I2331" s="20" t="n">
        <f aca="false">EXP(LN(INDEX(Pop_Inputs!$B$2:$N$29,MATCH(C2331,Pop_Inputs!$A$2:$A$29,0),G2331))*(1-H2331)+LN(INDEX(Pop_Inputs!$B$2:$N$29,MATCH(C2331,Pop_Inputs!$A$2:$A$29,0),G2331+1))*H2331)</f>
        <v>589494.015486882</v>
      </c>
      <c r="J2331" s="20" t="n">
        <f aca="false">I2331/F2331</f>
        <v>589494.015486882</v>
      </c>
      <c r="K2331" s="21" t="n">
        <f aca="false">D2331/(D2331+E2331)</f>
        <v>0.45679012345679</v>
      </c>
      <c r="L2331" s="21" t="n">
        <f aca="false">AVERAGEIFS($K$2:$K$2705,$B$2:$B$2705,B2331)</f>
        <v>0.499974753212654</v>
      </c>
      <c r="M2331" s="21" t="n">
        <f aca="false">K2331-L2331</f>
        <v>-0.0431846297558636</v>
      </c>
      <c r="N2331" s="21" t="n">
        <f aca="false">LN(J2331)</f>
        <v>13.2870198470622</v>
      </c>
      <c r="O2331" s="21" t="n">
        <f aca="false">AVERAGEIFS($N$2:$N$2705,$B$2:$B$2705,B2331)</f>
        <v>13.6361776279696</v>
      </c>
      <c r="P2331" s="21" t="n">
        <f aca="false">N2331-O2331</f>
        <v>-0.349157780907412</v>
      </c>
      <c r="Q2331" s="7" t="n">
        <v>1</v>
      </c>
      <c r="R2331" s="3" t="n">
        <f aca="false">IF(AND(Q2331=1,B2331-_xlfn.MINIFS($B$2:$B$2705,$A$2:$A$2705,A2331)&lt;10),1,0)</f>
        <v>0</v>
      </c>
      <c r="S2331" s="7" t="n">
        <v>0</v>
      </c>
      <c r="T2331" s="3" t="n">
        <f aca="false">_xlfn.MINIFS($B$2:$B$2705,$A$2:$A$2705,A2331)</f>
        <v>1969</v>
      </c>
      <c r="U2331" s="3" t="n">
        <f aca="false">B2331-T2331</f>
        <v>44</v>
      </c>
      <c r="V2331" s="3" t="str">
        <f aca="false">INDEX(Pop_Inputs!$Q$2:$Q$29,MATCH(C2331,Pop_Inputs!$A$2:$A$29,0))</f>
        <v>Midwest</v>
      </c>
      <c r="W2331" s="29" t="n">
        <v>76947033</v>
      </c>
      <c r="X2331" s="3" t="n">
        <f aca="false">IF(W2331="","",LN(W2331))</f>
        <v>18.1586278600009</v>
      </c>
      <c r="Y2331" s="3" t="n">
        <f aca="false">IF(X2331="","",X2331-AVERAGEIFS($X$2:$X$2705,$B$2:$B$2705,B2331))</f>
        <v>-0.154933048274721</v>
      </c>
      <c r="Z2331" s="21" t="n">
        <f aca="false">P2331</f>
        <v>-0.349157780907412</v>
      </c>
      <c r="AA2331" s="3" t="n">
        <f aca="false">R2331</f>
        <v>0</v>
      </c>
      <c r="AB2331" s="21" t="n">
        <f aca="false">P2331</f>
        <v>-0.349157780907412</v>
      </c>
      <c r="AC2331" s="3" t="n">
        <f aca="false">Y2331</f>
        <v>-0.154933048274721</v>
      </c>
      <c r="AD2331" s="3" t="n">
        <f aca="false">R2331</f>
        <v>0</v>
      </c>
    </row>
    <row r="2332" customFormat="false" ht="15" hidden="false" customHeight="true" outlineLevel="0" collapsed="false">
      <c r="A2332" s="7" t="s">
        <v>68</v>
      </c>
      <c r="B2332" s="7" t="n">
        <v>2013</v>
      </c>
      <c r="C2332" s="7" t="s">
        <v>153</v>
      </c>
      <c r="D2332" s="7" t="n">
        <v>66</v>
      </c>
      <c r="E2332" s="7" t="n">
        <v>96</v>
      </c>
      <c r="F2332" s="3" t="n">
        <f aca="false">COUNTIFS($B$2:$B$2705,B2332,$C$2:$C$2705,C2332)</f>
        <v>1</v>
      </c>
      <c r="G2332" s="3" t="n">
        <f aca="false">MIN(INT((MIN(B2332,2020)-1900)/10)+1,12)</f>
        <v>12</v>
      </c>
      <c r="H2332" s="3" t="n">
        <f aca="false">(MIN(B2332,2020)-1900-10*(G2332-1))/10</f>
        <v>0.3</v>
      </c>
      <c r="I2332" s="20" t="n">
        <f aca="false">EXP(LN(INDEX(Pop_Inputs!$B$2:$N$29,MATCH(C2332,Pop_Inputs!$A$2:$A$29,0),G2332))*(1-H2332)+LN(INDEX(Pop_Inputs!$B$2:$N$29,MATCH(C2332,Pop_Inputs!$A$2:$A$29,0),G2332+1))*H2332)</f>
        <v>396214.707785167</v>
      </c>
      <c r="J2332" s="20" t="n">
        <f aca="false">I2332/F2332</f>
        <v>396214.707785167</v>
      </c>
      <c r="K2332" s="21" t="n">
        <f aca="false">D2332/(D2332+E2332)</f>
        <v>0.407407407407407</v>
      </c>
      <c r="L2332" s="21" t="n">
        <f aca="false">AVERAGEIFS($K$2:$K$2705,$B$2:$B$2705,B2332)</f>
        <v>0.499974753212654</v>
      </c>
      <c r="M2332" s="21" t="n">
        <f aca="false">K2332-L2332</f>
        <v>-0.0925673458052463</v>
      </c>
      <c r="N2332" s="21" t="n">
        <f aca="false">LN(J2332)</f>
        <v>12.8897115346807</v>
      </c>
      <c r="O2332" s="21" t="n">
        <f aca="false">AVERAGEIFS($N$2:$N$2705,$B$2:$B$2705,B2332)</f>
        <v>13.6361776279696</v>
      </c>
      <c r="P2332" s="21" t="n">
        <f aca="false">N2332-O2332</f>
        <v>-0.746466093288946</v>
      </c>
      <c r="Q2332" s="7" t="n">
        <v>0</v>
      </c>
      <c r="R2332" s="3" t="n">
        <f aca="false">IF(AND(Q2332=1,B2332-_xlfn.MINIFS($B$2:$B$2705,$A$2:$A$2705,A2332)&lt;10),1,0)</f>
        <v>0</v>
      </c>
      <c r="S2332" s="7" t="n">
        <v>0</v>
      </c>
      <c r="T2332" s="3" t="n">
        <f aca="false">_xlfn.MINIFS($B$2:$B$2705,$A$2:$A$2705,A2332)</f>
        <v>1901</v>
      </c>
      <c r="U2332" s="3" t="n">
        <f aca="false">B2332-T2332</f>
        <v>112</v>
      </c>
      <c r="V2332" s="3" t="str">
        <f aca="false">INDEX(Pop_Inputs!$Q$2:$Q$29,MATCH(C2332,Pop_Inputs!$A$2:$A$29,0))</f>
        <v>Midwest</v>
      </c>
      <c r="W2332" s="29" t="n">
        <v>75337500</v>
      </c>
      <c r="X2332" s="3" t="n">
        <f aca="false">IF(W2332="","",LN(W2332))</f>
        <v>18.1374885767734</v>
      </c>
      <c r="Y2332" s="3" t="n">
        <f aca="false">IF(X2332="","",X2332-AVERAGEIFS($X$2:$X$2705,$B$2:$B$2705,B2332))</f>
        <v>-0.176072331502215</v>
      </c>
      <c r="Z2332" s="21" t="n">
        <f aca="false">P2332</f>
        <v>-0.746466093288946</v>
      </c>
      <c r="AA2332" s="3" t="n">
        <f aca="false">R2332</f>
        <v>0</v>
      </c>
      <c r="AB2332" s="21" t="n">
        <f aca="false">P2332</f>
        <v>-0.746466093288946</v>
      </c>
      <c r="AC2332" s="3" t="n">
        <f aca="false">Y2332</f>
        <v>-0.176072331502215</v>
      </c>
      <c r="AD2332" s="3" t="n">
        <f aca="false">R2332</f>
        <v>0</v>
      </c>
    </row>
    <row r="2333" customFormat="false" ht="15" hidden="false" customHeight="true" outlineLevel="0" collapsed="false">
      <c r="A2333" s="7" t="s">
        <v>75</v>
      </c>
      <c r="B2333" s="7" t="n">
        <v>2013</v>
      </c>
      <c r="C2333" s="7" t="s">
        <v>154</v>
      </c>
      <c r="D2333" s="7" t="n">
        <v>74</v>
      </c>
      <c r="E2333" s="7" t="n">
        <v>88</v>
      </c>
      <c r="F2333" s="3" t="n">
        <f aca="false">COUNTIFS($B$2:$B$2705,B2333,$C$2:$C$2705,C2333)</f>
        <v>2</v>
      </c>
      <c r="G2333" s="3" t="n">
        <f aca="false">MIN(INT((MIN(B2333,2020)-1900)/10)+1,12)</f>
        <v>12</v>
      </c>
      <c r="H2333" s="3" t="n">
        <f aca="false">(MIN(B2333,2020)-1900-10*(G2333-1))/10</f>
        <v>0.3</v>
      </c>
      <c r="I2333" s="20" t="n">
        <f aca="false">EXP(LN(INDEX(Pop_Inputs!$B$2:$N$29,MATCH(C2333,Pop_Inputs!$A$2:$A$29,0),G2333))*(1-H2333)+LN(INDEX(Pop_Inputs!$B$2:$N$29,MATCH(C2333,Pop_Inputs!$A$2:$A$29,0),G2333+1))*H2333)</f>
        <v>8358978.3558781</v>
      </c>
      <c r="J2333" s="20" t="n">
        <f aca="false">I2333/F2333</f>
        <v>4179489.17793905</v>
      </c>
      <c r="K2333" s="21" t="n">
        <f aca="false">D2333/(D2333+E2333)</f>
        <v>0.45679012345679</v>
      </c>
      <c r="L2333" s="21" t="n">
        <f aca="false">AVERAGEIFS($K$2:$K$2705,$B$2:$B$2705,B2333)</f>
        <v>0.499974753212654</v>
      </c>
      <c r="M2333" s="21" t="n">
        <f aca="false">K2333-L2333</f>
        <v>-0.0431846297558636</v>
      </c>
      <c r="N2333" s="21" t="n">
        <f aca="false">LN(J2333)</f>
        <v>15.2456995907985</v>
      </c>
      <c r="O2333" s="21" t="n">
        <f aca="false">AVERAGEIFS($N$2:$N$2705,$B$2:$B$2705,B2333)</f>
        <v>13.6361776279696</v>
      </c>
      <c r="P2333" s="21" t="n">
        <f aca="false">N2333-O2333</f>
        <v>1.60952196282886</v>
      </c>
      <c r="Q2333" s="7" t="n">
        <v>1</v>
      </c>
      <c r="R2333" s="3" t="n">
        <f aca="false">IF(AND(Q2333=1,B2333-_xlfn.MINIFS($B$2:$B$2705,$A$2:$A$2705,A2333)&lt;10),1,0)</f>
        <v>0</v>
      </c>
      <c r="S2333" s="7" t="n">
        <v>0</v>
      </c>
      <c r="T2333" s="3" t="n">
        <f aca="false">_xlfn.MINIFS($B$2:$B$2705,$A$2:$A$2705,A2333)</f>
        <v>1962</v>
      </c>
      <c r="U2333" s="3" t="n">
        <f aca="false">B2333-T2333</f>
        <v>51</v>
      </c>
      <c r="V2333" s="3" t="str">
        <f aca="false">INDEX(Pop_Inputs!$Q$2:$Q$29,MATCH(C2333,Pop_Inputs!$A$2:$A$29,0))</f>
        <v>Northeast</v>
      </c>
      <c r="W2333" s="29" t="n">
        <v>49448346</v>
      </c>
      <c r="X2333" s="3" t="n">
        <f aca="false">IF(W2333="","",LN(W2333))</f>
        <v>17.7164391675464</v>
      </c>
      <c r="Y2333" s="3" t="n">
        <f aca="false">IF(X2333="","",X2333-AVERAGEIFS($X$2:$X$2705,$B$2:$B$2705,B2333))</f>
        <v>-0.59712174072925</v>
      </c>
      <c r="Z2333" s="21" t="n">
        <f aca="false">P2333</f>
        <v>1.60952196282886</v>
      </c>
      <c r="AA2333" s="3" t="n">
        <f aca="false">R2333</f>
        <v>0</v>
      </c>
      <c r="AB2333" s="21" t="n">
        <f aca="false">P2333</f>
        <v>1.60952196282886</v>
      </c>
      <c r="AC2333" s="3" t="n">
        <f aca="false">Y2333</f>
        <v>-0.59712174072925</v>
      </c>
      <c r="AD2333" s="3" t="n">
        <f aca="false">R2333</f>
        <v>0</v>
      </c>
    </row>
    <row r="2334" customFormat="false" ht="15" hidden="false" customHeight="true" outlineLevel="0" collapsed="false">
      <c r="A2334" s="7" t="s">
        <v>70</v>
      </c>
      <c r="B2334" s="7" t="n">
        <v>2013</v>
      </c>
      <c r="C2334" s="7" t="s">
        <v>154</v>
      </c>
      <c r="D2334" s="7" t="n">
        <v>85</v>
      </c>
      <c r="E2334" s="7" t="n">
        <v>77</v>
      </c>
      <c r="F2334" s="3" t="n">
        <f aca="false">COUNTIFS($B$2:$B$2705,B2334,$C$2:$C$2705,C2334)</f>
        <v>2</v>
      </c>
      <c r="G2334" s="3" t="n">
        <f aca="false">MIN(INT((MIN(B2334,2020)-1900)/10)+1,12)</f>
        <v>12</v>
      </c>
      <c r="H2334" s="3" t="n">
        <f aca="false">(MIN(B2334,2020)-1900-10*(G2334-1))/10</f>
        <v>0.3</v>
      </c>
      <c r="I2334" s="20" t="n">
        <f aca="false">EXP(LN(INDEX(Pop_Inputs!$B$2:$N$29,MATCH(C2334,Pop_Inputs!$A$2:$A$29,0),G2334))*(1-H2334)+LN(INDEX(Pop_Inputs!$B$2:$N$29,MATCH(C2334,Pop_Inputs!$A$2:$A$29,0),G2334+1))*H2334)</f>
        <v>8358978.3558781</v>
      </c>
      <c r="J2334" s="20" t="n">
        <f aca="false">I2334/F2334</f>
        <v>4179489.17793905</v>
      </c>
      <c r="K2334" s="21" t="n">
        <f aca="false">D2334/(D2334+E2334)</f>
        <v>0.524691358024691</v>
      </c>
      <c r="L2334" s="21" t="n">
        <f aca="false">AVERAGEIFS($K$2:$K$2705,$B$2:$B$2705,B2334)</f>
        <v>0.499974753212654</v>
      </c>
      <c r="M2334" s="21" t="n">
        <f aca="false">K2334-L2334</f>
        <v>0.0247166048120376</v>
      </c>
      <c r="N2334" s="21" t="n">
        <f aca="false">LN(J2334)</f>
        <v>15.2456995907985</v>
      </c>
      <c r="O2334" s="21" t="n">
        <f aca="false">AVERAGEIFS($N$2:$N$2705,$B$2:$B$2705,B2334)</f>
        <v>13.6361776279696</v>
      </c>
      <c r="P2334" s="21" t="n">
        <f aca="false">N2334-O2334</f>
        <v>1.60952196282886</v>
      </c>
      <c r="Q2334" s="7" t="n">
        <v>0</v>
      </c>
      <c r="R2334" s="3" t="n">
        <f aca="false">IF(AND(Q2334=1,B2334-_xlfn.MINIFS($B$2:$B$2705,$A$2:$A$2705,A2334)&lt;10),1,0)</f>
        <v>0</v>
      </c>
      <c r="S2334" s="7" t="n">
        <v>1</v>
      </c>
      <c r="T2334" s="3" t="n">
        <f aca="false">_xlfn.MINIFS($B$2:$B$2705,$A$2:$A$2705,A2334)</f>
        <v>1903</v>
      </c>
      <c r="U2334" s="3" t="n">
        <f aca="false">B2334-T2334</f>
        <v>110</v>
      </c>
      <c r="V2334" s="3" t="str">
        <f aca="false">INDEX(Pop_Inputs!$Q$2:$Q$29,MATCH(C2334,Pop_Inputs!$A$2:$A$29,0))</f>
        <v>Northeast</v>
      </c>
      <c r="W2334" s="29" t="n">
        <v>231978886</v>
      </c>
      <c r="X2334" s="3" t="n">
        <f aca="false">IF(W2334="","",LN(W2334))</f>
        <v>19.2621569168684</v>
      </c>
      <c r="Y2334" s="3" t="n">
        <f aca="false">IF(X2334="","",X2334-AVERAGEIFS($X$2:$X$2705,$B$2:$B$2705,B2334))</f>
        <v>0.948596008592709</v>
      </c>
      <c r="Z2334" s="21" t="n">
        <f aca="false">P2334</f>
        <v>1.60952196282886</v>
      </c>
      <c r="AA2334" s="3" t="n">
        <f aca="false">R2334</f>
        <v>0</v>
      </c>
      <c r="AB2334" s="21" t="n">
        <f aca="false">P2334</f>
        <v>1.60952196282886</v>
      </c>
      <c r="AC2334" s="3" t="n">
        <f aca="false">Y2334</f>
        <v>0.948596008592709</v>
      </c>
      <c r="AD2334" s="3" t="n">
        <f aca="false">R2334</f>
        <v>0</v>
      </c>
    </row>
    <row r="2335" customFormat="false" ht="15" hidden="false" customHeight="true" outlineLevel="0" collapsed="false">
      <c r="A2335" s="7" t="s">
        <v>69</v>
      </c>
      <c r="B2335" s="7" t="n">
        <v>2013</v>
      </c>
      <c r="C2335" s="7" t="s">
        <v>253</v>
      </c>
      <c r="D2335" s="7" t="n">
        <v>96</v>
      </c>
      <c r="E2335" s="7" t="n">
        <v>66</v>
      </c>
      <c r="F2335" s="3" t="n">
        <f aca="false">COUNTIFS($B$2:$B$2705,B2335,$C$2:$C$2705,C2335)</f>
        <v>1</v>
      </c>
      <c r="G2335" s="3" t="n">
        <f aca="false">MIN(INT((MIN(B2335,2020)-1900)/10)+1,12)</f>
        <v>12</v>
      </c>
      <c r="H2335" s="3" t="n">
        <f aca="false">(MIN(B2335,2020)-1900-10*(G2335-1))/10</f>
        <v>0.3</v>
      </c>
      <c r="I2335" s="20" t="n">
        <f aca="false">EXP(LN(INDEX(Pop_Inputs!$B$2:$N$29,MATCH(C2335,Pop_Inputs!$A$2:$A$29,0),G2335))*(1-H2335)+LN(INDEX(Pop_Inputs!$B$2:$N$29,MATCH(C2335,Pop_Inputs!$A$2:$A$29,0),G2335+1))*H2335)</f>
        <v>405075.532398788</v>
      </c>
      <c r="J2335" s="20" t="n">
        <f aca="false">I2335/F2335</f>
        <v>405075.532398788</v>
      </c>
      <c r="K2335" s="21" t="n">
        <f aca="false">D2335/(D2335+E2335)</f>
        <v>0.592592592592593</v>
      </c>
      <c r="L2335" s="21" t="n">
        <f aca="false">AVERAGEIFS($K$2:$K$2705,$B$2:$B$2705,B2335)</f>
        <v>0.499974753212654</v>
      </c>
      <c r="M2335" s="21" t="n">
        <f aca="false">K2335-L2335</f>
        <v>0.0926178393799388</v>
      </c>
      <c r="N2335" s="21" t="n">
        <f aca="false">LN(J2335)</f>
        <v>12.9118288284499</v>
      </c>
      <c r="O2335" s="21" t="n">
        <f aca="false">AVERAGEIFS($N$2:$N$2705,$B$2:$B$2705,B2335)</f>
        <v>13.6361776279696</v>
      </c>
      <c r="P2335" s="21" t="n">
        <f aca="false">N2335-O2335</f>
        <v>-0.724348799519758</v>
      </c>
      <c r="Q2335" s="7" t="n">
        <v>0</v>
      </c>
      <c r="R2335" s="3" t="n">
        <f aca="false">IF(AND(Q2335=1,B2335-_xlfn.MINIFS($B$2:$B$2705,$A$2:$A$2705,A2335)&lt;10),1,0)</f>
        <v>0</v>
      </c>
      <c r="S2335" s="7" t="n">
        <v>0</v>
      </c>
      <c r="T2335" s="3" t="n">
        <f aca="false">_xlfn.MINIFS($B$2:$B$2705,$A$2:$A$2705,A2335)</f>
        <v>1901</v>
      </c>
      <c r="U2335" s="3" t="n">
        <f aca="false">B2335-T2335</f>
        <v>112</v>
      </c>
      <c r="V2335" s="3" t="str">
        <f aca="false">INDEX(Pop_Inputs!$Q$2:$Q$29,MATCH(C2335,Pop_Inputs!$A$2:$A$29,0))</f>
        <v>West</v>
      </c>
      <c r="W2335" s="29" t="n">
        <v>60132500</v>
      </c>
      <c r="X2335" s="3" t="n">
        <f aca="false">IF(W2335="","",LN(W2335))</f>
        <v>17.9120610187355</v>
      </c>
      <c r="Y2335" s="3" t="n">
        <f aca="false">IF(X2335="","",X2335-AVERAGEIFS($X$2:$X$2705,$B$2:$B$2705,B2335))</f>
        <v>-0.401499889540116</v>
      </c>
      <c r="Z2335" s="21" t="n">
        <f aca="false">P2335</f>
        <v>-0.724348799519758</v>
      </c>
      <c r="AA2335" s="3" t="n">
        <f aca="false">R2335</f>
        <v>0</v>
      </c>
      <c r="AB2335" s="21" t="n">
        <f aca="false">P2335</f>
        <v>-0.724348799519758</v>
      </c>
      <c r="AC2335" s="3" t="n">
        <f aca="false">Y2335</f>
        <v>-0.401499889540116</v>
      </c>
      <c r="AD2335" s="3" t="n">
        <f aca="false">R2335</f>
        <v>0</v>
      </c>
    </row>
    <row r="2336" customFormat="false" ht="15" hidden="false" customHeight="true" outlineLevel="0" collapsed="false">
      <c r="A2336" s="7" t="s">
        <v>60</v>
      </c>
      <c r="B2336" s="7" t="n">
        <v>2013</v>
      </c>
      <c r="C2336" s="7" t="s">
        <v>146</v>
      </c>
      <c r="D2336" s="7" t="n">
        <v>73</v>
      </c>
      <c r="E2336" s="7" t="n">
        <v>89</v>
      </c>
      <c r="F2336" s="3" t="n">
        <f aca="false">COUNTIFS($B$2:$B$2705,B2336,$C$2:$C$2705,C2336)</f>
        <v>1</v>
      </c>
      <c r="G2336" s="3" t="n">
        <f aca="false">MIN(INT((MIN(B2336,2020)-1900)/10)+1,12)</f>
        <v>12</v>
      </c>
      <c r="H2336" s="3" t="n">
        <f aca="false">(MIN(B2336,2020)-1900-10*(G2336-1))/10</f>
        <v>0.3</v>
      </c>
      <c r="I2336" s="20" t="n">
        <f aca="false">EXP(LN(INDEX(Pop_Inputs!$B$2:$N$29,MATCH(C2336,Pop_Inputs!$A$2:$A$29,0),G2336))*(1-H2336)+LN(INDEX(Pop_Inputs!$B$2:$N$29,MATCH(C2336,Pop_Inputs!$A$2:$A$29,0),G2336+1))*H2336)</f>
        <v>1548938.5472874</v>
      </c>
      <c r="J2336" s="20" t="n">
        <f aca="false">I2336/F2336</f>
        <v>1548938.5472874</v>
      </c>
      <c r="K2336" s="21" t="n">
        <f aca="false">D2336/(D2336+E2336)</f>
        <v>0.450617283950617</v>
      </c>
      <c r="L2336" s="21" t="n">
        <f aca="false">AVERAGEIFS($K$2:$K$2705,$B$2:$B$2705,B2336)</f>
        <v>0.499974753212654</v>
      </c>
      <c r="M2336" s="21" t="n">
        <f aca="false">K2336-L2336</f>
        <v>-0.0493574692620364</v>
      </c>
      <c r="N2336" s="21" t="n">
        <f aca="false">LN(J2336)</f>
        <v>14.2530804461055</v>
      </c>
      <c r="O2336" s="21" t="n">
        <f aca="false">AVERAGEIFS($N$2:$N$2705,$B$2:$B$2705,B2336)</f>
        <v>13.6361776279696</v>
      </c>
      <c r="P2336" s="21" t="n">
        <f aca="false">N2336-O2336</f>
        <v>0.616902818135898</v>
      </c>
      <c r="Q2336" s="7" t="n">
        <v>0</v>
      </c>
      <c r="R2336" s="3" t="n">
        <f aca="false">IF(AND(Q2336=1,B2336-_xlfn.MINIFS($B$2:$B$2705,$A$2:$A$2705,A2336)&lt;10),1,0)</f>
        <v>0</v>
      </c>
      <c r="S2336" s="7" t="n">
        <v>0</v>
      </c>
      <c r="T2336" s="3" t="n">
        <f aca="false">_xlfn.MINIFS($B$2:$B$2705,$A$2:$A$2705,A2336)</f>
        <v>1901</v>
      </c>
      <c r="U2336" s="3" t="n">
        <f aca="false">B2336-T2336</f>
        <v>112</v>
      </c>
      <c r="V2336" s="3" t="str">
        <f aca="false">INDEX(Pop_Inputs!$Q$2:$Q$29,MATCH(C2336,Pop_Inputs!$A$2:$A$29,0))</f>
        <v>Northeast</v>
      </c>
      <c r="W2336" s="29" t="n">
        <v>169863189</v>
      </c>
      <c r="X2336" s="3" t="n">
        <f aca="false">IF(W2336="","",LN(W2336))</f>
        <v>18.9505039004246</v>
      </c>
      <c r="Y2336" s="3" t="n">
        <f aca="false">IF(X2336="","",X2336-AVERAGEIFS($X$2:$X$2705,$B$2:$B$2705,B2336))</f>
        <v>0.636942992148956</v>
      </c>
      <c r="Z2336" s="21" t="n">
        <f aca="false">P2336</f>
        <v>0.616902818135898</v>
      </c>
      <c r="AA2336" s="3" t="n">
        <f aca="false">R2336</f>
        <v>0</v>
      </c>
      <c r="AB2336" s="21" t="n">
        <f aca="false">P2336</f>
        <v>0.616902818135898</v>
      </c>
      <c r="AC2336" s="3" t="n">
        <f aca="false">Y2336</f>
        <v>0.636942992148956</v>
      </c>
      <c r="AD2336" s="3" t="n">
        <f aca="false">R2336</f>
        <v>0</v>
      </c>
    </row>
    <row r="2337" customFormat="false" ht="15" hidden="false" customHeight="true" outlineLevel="0" collapsed="false">
      <c r="A2337" s="7" t="s">
        <v>58</v>
      </c>
      <c r="B2337" s="7" t="n">
        <v>2013</v>
      </c>
      <c r="C2337" s="7" t="s">
        <v>144</v>
      </c>
      <c r="D2337" s="7" t="n">
        <v>94</v>
      </c>
      <c r="E2337" s="7" t="n">
        <v>68</v>
      </c>
      <c r="F2337" s="3" t="n">
        <f aca="false">COUNTIFS($B$2:$B$2705,B2337,$C$2:$C$2705,C2337)</f>
        <v>1</v>
      </c>
      <c r="G2337" s="3" t="n">
        <f aca="false">MIN(INT((MIN(B2337,2020)-1900)/10)+1,12)</f>
        <v>12</v>
      </c>
      <c r="H2337" s="3" t="n">
        <f aca="false">(MIN(B2337,2020)-1900-10*(G2337-1))/10</f>
        <v>0.3</v>
      </c>
      <c r="I2337" s="20" t="n">
        <f aca="false">EXP(LN(INDEX(Pop_Inputs!$B$2:$N$29,MATCH(C2337,Pop_Inputs!$A$2:$A$29,0),G2337))*(1-H2337)+LN(INDEX(Pop_Inputs!$B$2:$N$29,MATCH(C2337,Pop_Inputs!$A$2:$A$29,0),G2337+1))*H2337)</f>
        <v>304881.521451375</v>
      </c>
      <c r="J2337" s="20" t="n">
        <f aca="false">I2337/F2337</f>
        <v>304881.521451375</v>
      </c>
      <c r="K2337" s="21" t="n">
        <f aca="false">D2337/(D2337+E2337)</f>
        <v>0.580246913580247</v>
      </c>
      <c r="L2337" s="21" t="n">
        <f aca="false">AVERAGEIFS($K$2:$K$2705,$B$2:$B$2705,B2337)</f>
        <v>0.499974753212654</v>
      </c>
      <c r="M2337" s="21" t="n">
        <f aca="false">K2337-L2337</f>
        <v>0.0802721603675932</v>
      </c>
      <c r="N2337" s="21" t="n">
        <f aca="false">LN(J2337)</f>
        <v>12.6276785258639</v>
      </c>
      <c r="O2337" s="21" t="n">
        <f aca="false">AVERAGEIFS($N$2:$N$2705,$B$2:$B$2705,B2337)</f>
        <v>13.6361776279696</v>
      </c>
      <c r="P2337" s="21" t="n">
        <f aca="false">N2337-O2337</f>
        <v>-1.00849910210575</v>
      </c>
      <c r="Q2337" s="7" t="n">
        <v>0</v>
      </c>
      <c r="R2337" s="3" t="n">
        <f aca="false">IF(AND(Q2337=1,B2337-_xlfn.MINIFS($B$2:$B$2705,$A$2:$A$2705,A2337)&lt;10),1,0)</f>
        <v>0</v>
      </c>
      <c r="S2337" s="7" t="n">
        <v>0</v>
      </c>
      <c r="T2337" s="3" t="n">
        <f aca="false">_xlfn.MINIFS($B$2:$B$2705,$A$2:$A$2705,A2337)</f>
        <v>1901</v>
      </c>
      <c r="U2337" s="3" t="n">
        <f aca="false">B2337-T2337</f>
        <v>112</v>
      </c>
      <c r="V2337" s="3" t="str">
        <f aca="false">INDEX(Pop_Inputs!$Q$2:$Q$29,MATCH(C2337,Pop_Inputs!$A$2:$A$29,0))</f>
        <v>Northeast</v>
      </c>
      <c r="W2337" s="29" t="n">
        <v>77062000</v>
      </c>
      <c r="X2337" s="3" t="n">
        <f aca="false">IF(W2337="","",LN(W2337))</f>
        <v>18.1601208506277</v>
      </c>
      <c r="Y2337" s="3" t="n">
        <f aca="false">IF(X2337="","",X2337-AVERAGEIFS($X$2:$X$2705,$B$2:$B$2705,B2337))</f>
        <v>-0.153440057647927</v>
      </c>
      <c r="Z2337" s="21" t="n">
        <f aca="false">P2337</f>
        <v>-1.00849910210575</v>
      </c>
      <c r="AA2337" s="3" t="n">
        <f aca="false">R2337</f>
        <v>0</v>
      </c>
      <c r="AB2337" s="21" t="n">
        <f aca="false">P2337</f>
        <v>-1.00849910210575</v>
      </c>
      <c r="AC2337" s="3" t="n">
        <f aca="false">Y2337</f>
        <v>-0.153440057647927</v>
      </c>
      <c r="AD2337" s="3" t="n">
        <f aca="false">R2337</f>
        <v>0</v>
      </c>
    </row>
    <row r="2338" customFormat="false" ht="15" hidden="false" customHeight="true" outlineLevel="0" collapsed="false">
      <c r="A2338" s="7" t="s">
        <v>78</v>
      </c>
      <c r="B2338" s="7" t="n">
        <v>2013</v>
      </c>
      <c r="C2338" s="7" t="s">
        <v>159</v>
      </c>
      <c r="D2338" s="7" t="n">
        <v>76</v>
      </c>
      <c r="E2338" s="7" t="n">
        <v>86</v>
      </c>
      <c r="F2338" s="3" t="n">
        <f aca="false">COUNTIFS($B$2:$B$2705,B2338,$C$2:$C$2705,C2338)</f>
        <v>1</v>
      </c>
      <c r="G2338" s="3" t="n">
        <f aca="false">MIN(INT((MIN(B2338,2020)-1900)/10)+1,12)</f>
        <v>12</v>
      </c>
      <c r="H2338" s="3" t="n">
        <f aca="false">(MIN(B2338,2020)-1900-10*(G2338-1))/10</f>
        <v>0.3</v>
      </c>
      <c r="I2338" s="20" t="n">
        <f aca="false">EXP(LN(INDEX(Pop_Inputs!$B$2:$N$29,MATCH(C2338,Pop_Inputs!$A$2:$A$29,0),G2338))*(1-H2338)+LN(INDEX(Pop_Inputs!$B$2:$N$29,MATCH(C2338,Pop_Inputs!$A$2:$A$29,0),G2338+1))*H2338)</f>
        <v>1330769.8473926</v>
      </c>
      <c r="J2338" s="20" t="n">
        <f aca="false">I2338/F2338</f>
        <v>1330769.8473926</v>
      </c>
      <c r="K2338" s="21" t="n">
        <f aca="false">D2338/(D2338+E2338)</f>
        <v>0.469135802469136</v>
      </c>
      <c r="L2338" s="21" t="n">
        <f aca="false">AVERAGEIFS($K$2:$K$2705,$B$2:$B$2705,B2338)</f>
        <v>0.499974753212654</v>
      </c>
      <c r="M2338" s="21" t="n">
        <f aca="false">K2338-L2338</f>
        <v>-0.0308389507435179</v>
      </c>
      <c r="N2338" s="21" t="n">
        <f aca="false">LN(J2338)</f>
        <v>14.101268165365</v>
      </c>
      <c r="O2338" s="21" t="n">
        <f aca="false">AVERAGEIFS($N$2:$N$2705,$B$2:$B$2705,B2338)</f>
        <v>13.6361776279696</v>
      </c>
      <c r="P2338" s="21" t="n">
        <f aca="false">N2338-O2338</f>
        <v>0.465090537395355</v>
      </c>
      <c r="Q2338" s="7" t="n">
        <v>1</v>
      </c>
      <c r="R2338" s="3" t="n">
        <f aca="false">IF(AND(Q2338=1,B2338-_xlfn.MINIFS($B$2:$B$2705,$A$2:$A$2705,A2338)&lt;10),1,0)</f>
        <v>0</v>
      </c>
      <c r="S2338" s="7" t="n">
        <v>0</v>
      </c>
      <c r="T2338" s="3" t="n">
        <f aca="false">_xlfn.MINIFS($B$2:$B$2705,$A$2:$A$2705,A2338)</f>
        <v>1969</v>
      </c>
      <c r="U2338" s="3" t="n">
        <f aca="false">B2338-T2338</f>
        <v>44</v>
      </c>
      <c r="V2338" s="3" t="str">
        <f aca="false">INDEX(Pop_Inputs!$Q$2:$Q$29,MATCH(C2338,Pop_Inputs!$A$2:$A$29,0))</f>
        <v>West</v>
      </c>
      <c r="W2338" s="29" t="n">
        <v>65585500</v>
      </c>
      <c r="X2338" s="3" t="n">
        <f aca="false">IF(W2338="","",LN(W2338))</f>
        <v>17.9988651928968</v>
      </c>
      <c r="Y2338" s="3" t="n">
        <f aca="false">IF(X2338="","",X2338-AVERAGEIFS($X$2:$X$2705,$B$2:$B$2705,B2338))</f>
        <v>-0.314695715378885</v>
      </c>
      <c r="Z2338" s="21" t="n">
        <f aca="false">P2338</f>
        <v>0.465090537395355</v>
      </c>
      <c r="AA2338" s="3" t="n">
        <f aca="false">R2338</f>
        <v>0</v>
      </c>
      <c r="AB2338" s="21" t="n">
        <f aca="false">P2338</f>
        <v>0.465090537395355</v>
      </c>
      <c r="AC2338" s="3" t="n">
        <f aca="false">Y2338</f>
        <v>-0.314695715378885</v>
      </c>
      <c r="AD2338" s="3" t="n">
        <f aca="false">R2338</f>
        <v>0</v>
      </c>
    </row>
    <row r="2339" customFormat="false" ht="15" hidden="false" customHeight="true" outlineLevel="0" collapsed="false">
      <c r="A2339" s="7" t="s">
        <v>80</v>
      </c>
      <c r="B2339" s="7" t="n">
        <v>2013</v>
      </c>
      <c r="C2339" s="7" t="s">
        <v>161</v>
      </c>
      <c r="D2339" s="7" t="n">
        <v>71</v>
      </c>
      <c r="E2339" s="7" t="n">
        <v>91</v>
      </c>
      <c r="F2339" s="3" t="n">
        <f aca="false">COUNTIFS($B$2:$B$2705,B2339,$C$2:$C$2705,C2339)</f>
        <v>1</v>
      </c>
      <c r="G2339" s="3" t="n">
        <f aca="false">MIN(INT((MIN(B2339,2020)-1900)/10)+1,12)</f>
        <v>12</v>
      </c>
      <c r="H2339" s="3" t="n">
        <f aca="false">(MIN(B2339,2020)-1900-10*(G2339-1))/10</f>
        <v>0.3</v>
      </c>
      <c r="I2339" s="20" t="n">
        <f aca="false">EXP(LN(INDEX(Pop_Inputs!$B$2:$N$29,MATCH(C2339,Pop_Inputs!$A$2:$A$29,0),G2339))*(1-H2339)+LN(INDEX(Pop_Inputs!$B$2:$N$29,MATCH(C2339,Pop_Inputs!$A$2:$A$29,0),G2339+1))*H2339)</f>
        <v>644622.160255869</v>
      </c>
      <c r="J2339" s="20" t="n">
        <f aca="false">I2339/F2339</f>
        <v>644622.160255869</v>
      </c>
      <c r="K2339" s="21" t="n">
        <f aca="false">D2339/(D2339+E2339)</f>
        <v>0.438271604938272</v>
      </c>
      <c r="L2339" s="21" t="n">
        <f aca="false">AVERAGEIFS($K$2:$K$2705,$B$2:$B$2705,B2339)</f>
        <v>0.499974753212654</v>
      </c>
      <c r="M2339" s="21" t="n">
        <f aca="false">K2339-L2339</f>
        <v>-0.0617031482743821</v>
      </c>
      <c r="N2339" s="21" t="n">
        <f aca="false">LN(J2339)</f>
        <v>13.3764196260783</v>
      </c>
      <c r="O2339" s="21" t="n">
        <f aca="false">AVERAGEIFS($N$2:$N$2705,$B$2:$B$2705,B2339)</f>
        <v>13.6361776279696</v>
      </c>
      <c r="P2339" s="21" t="n">
        <f aca="false">N2339-O2339</f>
        <v>-0.259758001891335</v>
      </c>
      <c r="Q2339" s="7" t="n">
        <v>1</v>
      </c>
      <c r="R2339" s="3" t="n">
        <f aca="false">IF(AND(Q2339=1,B2339-_xlfn.MINIFS($B$2:$B$2705,$A$2:$A$2705,A2339)&lt;10),1,0)</f>
        <v>0</v>
      </c>
      <c r="S2339" s="7" t="n">
        <v>0</v>
      </c>
      <c r="T2339" s="3" t="n">
        <f aca="false">_xlfn.MINIFS($B$2:$B$2705,$A$2:$A$2705,A2339)</f>
        <v>1977</v>
      </c>
      <c r="U2339" s="3" t="n">
        <f aca="false">B2339-T2339</f>
        <v>36</v>
      </c>
      <c r="V2339" s="3" t="str">
        <f aca="false">INDEX(Pop_Inputs!$Q$2:$Q$29,MATCH(C2339,Pop_Inputs!$A$2:$A$29,0))</f>
        <v>West</v>
      </c>
      <c r="W2339" s="29" t="n">
        <v>74005043</v>
      </c>
      <c r="X2339" s="3" t="n">
        <f aca="false">IF(W2339="","",LN(W2339))</f>
        <v>18.1196437974951</v>
      </c>
      <c r="Y2339" s="3" t="n">
        <f aca="false">IF(X2339="","",X2339-AVERAGEIFS($X$2:$X$2705,$B$2:$B$2705,B2339))</f>
        <v>-0.193917110780571</v>
      </c>
      <c r="Z2339" s="21" t="n">
        <f aca="false">P2339</f>
        <v>-0.259758001891335</v>
      </c>
      <c r="AA2339" s="3" t="n">
        <f aca="false">R2339</f>
        <v>0</v>
      </c>
      <c r="AB2339" s="21" t="n">
        <f aca="false">P2339</f>
        <v>-0.259758001891335</v>
      </c>
      <c r="AC2339" s="3" t="n">
        <f aca="false">Y2339</f>
        <v>-0.193917110780571</v>
      </c>
      <c r="AD2339" s="3" t="n">
        <f aca="false">R2339</f>
        <v>0</v>
      </c>
    </row>
    <row r="2340" customFormat="false" ht="15" hidden="false" customHeight="true" outlineLevel="0" collapsed="false">
      <c r="A2340" s="7" t="s">
        <v>61</v>
      </c>
      <c r="B2340" s="7" t="n">
        <v>2013</v>
      </c>
      <c r="C2340" s="7" t="s">
        <v>147</v>
      </c>
      <c r="D2340" s="7" t="n">
        <v>76</v>
      </c>
      <c r="E2340" s="7" t="n">
        <v>86</v>
      </c>
      <c r="F2340" s="3" t="n">
        <f aca="false">COUNTIFS($B$2:$B$2705,B2340,$C$2:$C$2705,C2340)</f>
        <v>1</v>
      </c>
      <c r="G2340" s="3" t="n">
        <f aca="false">MIN(INT((MIN(B2340,2020)-1900)/10)+1,12)</f>
        <v>12</v>
      </c>
      <c r="H2340" s="3" t="n">
        <f aca="false">(MIN(B2340,2020)-1900-10*(G2340-1))/10</f>
        <v>0.3</v>
      </c>
      <c r="I2340" s="20" t="n">
        <f aca="false">EXP(LN(INDEX(Pop_Inputs!$B$2:$N$29,MATCH(C2340,Pop_Inputs!$A$2:$A$29,0),G2340))*(1-H2340)+LN(INDEX(Pop_Inputs!$B$2:$N$29,MATCH(C2340,Pop_Inputs!$A$2:$A$29,0),G2340+1))*H2340)</f>
        <v>825266.208226412</v>
      </c>
      <c r="J2340" s="20" t="n">
        <f aca="false">I2340/F2340</f>
        <v>825266.208226412</v>
      </c>
      <c r="K2340" s="21" t="n">
        <f aca="false">D2340/(D2340+E2340)</f>
        <v>0.469135802469136</v>
      </c>
      <c r="L2340" s="21" t="n">
        <f aca="false">AVERAGEIFS($K$2:$K$2705,$B$2:$B$2705,B2340)</f>
        <v>0.499974753212654</v>
      </c>
      <c r="M2340" s="21" t="n">
        <f aca="false">K2340-L2340</f>
        <v>-0.0308389507435179</v>
      </c>
      <c r="N2340" s="21" t="n">
        <f aca="false">LN(J2340)</f>
        <v>13.623461289906</v>
      </c>
      <c r="O2340" s="21" t="n">
        <f aca="false">AVERAGEIFS($N$2:$N$2705,$B$2:$B$2705,B2340)</f>
        <v>13.6361776279696</v>
      </c>
      <c r="P2340" s="21" t="n">
        <f aca="false">N2340-O2340</f>
        <v>-0.0127163380636297</v>
      </c>
      <c r="Q2340" s="7" t="n">
        <v>0</v>
      </c>
      <c r="R2340" s="3" t="n">
        <f aca="false">IF(AND(Q2340=1,B2340-_xlfn.MINIFS($B$2:$B$2705,$A$2:$A$2705,A2340)&lt;10),1,0)</f>
        <v>0</v>
      </c>
      <c r="S2340" s="7" t="n">
        <v>0</v>
      </c>
      <c r="T2340" s="3" t="n">
        <f aca="false">_xlfn.MINIFS($B$2:$B$2705,$A$2:$A$2705,A2340)</f>
        <v>1901</v>
      </c>
      <c r="U2340" s="3" t="n">
        <f aca="false">B2340-T2340</f>
        <v>112</v>
      </c>
      <c r="V2340" s="3" t="str">
        <f aca="false">INDEX(Pop_Inputs!$Q$2:$Q$29,MATCH(C2340,Pop_Inputs!$A$2:$A$29,0))</f>
        <v>West</v>
      </c>
      <c r="W2340" s="29" t="n">
        <v>140180334</v>
      </c>
      <c r="X2340" s="3" t="n">
        <f aca="false">IF(W2340="","",LN(W2340))</f>
        <v>18.7584402516845</v>
      </c>
      <c r="Y2340" s="3" t="n">
        <f aca="false">IF(X2340="","",X2340-AVERAGEIFS($X$2:$X$2705,$B$2:$B$2705,B2340))</f>
        <v>0.444879343408839</v>
      </c>
      <c r="Z2340" s="21" t="n">
        <f aca="false">P2340</f>
        <v>-0.0127163380636297</v>
      </c>
      <c r="AA2340" s="3" t="n">
        <f aca="false">R2340</f>
        <v>0</v>
      </c>
      <c r="AB2340" s="21" t="n">
        <f aca="false">P2340</f>
        <v>-0.0127163380636297</v>
      </c>
      <c r="AC2340" s="3" t="n">
        <f aca="false">Y2340</f>
        <v>0.444879343408839</v>
      </c>
      <c r="AD2340" s="3" t="n">
        <f aca="false">R2340</f>
        <v>0</v>
      </c>
    </row>
    <row r="2341" customFormat="false" ht="15" hidden="false" customHeight="true" outlineLevel="0" collapsed="false">
      <c r="A2341" s="7" t="s">
        <v>59</v>
      </c>
      <c r="B2341" s="7" t="n">
        <v>2013</v>
      </c>
      <c r="C2341" s="7" t="s">
        <v>145</v>
      </c>
      <c r="D2341" s="7" t="n">
        <v>97</v>
      </c>
      <c r="E2341" s="7" t="n">
        <v>65</v>
      </c>
      <c r="F2341" s="3" t="n">
        <f aca="false">COUNTIFS($B$2:$B$2705,B2341,$C$2:$C$2705,C2341)</f>
        <v>1</v>
      </c>
      <c r="G2341" s="3" t="n">
        <f aca="false">MIN(INT((MIN(B2341,2020)-1900)/10)+1,12)</f>
        <v>12</v>
      </c>
      <c r="H2341" s="3" t="n">
        <f aca="false">(MIN(B2341,2020)-1900-10*(G2341-1))/10</f>
        <v>0.3</v>
      </c>
      <c r="I2341" s="20" t="n">
        <f aca="false">EXP(LN(INDEX(Pop_Inputs!$B$2:$N$29,MATCH(C2341,Pop_Inputs!$A$2:$A$29,0),G2341))*(1-H2341)+LN(INDEX(Pop_Inputs!$B$2:$N$29,MATCH(C2341,Pop_Inputs!$A$2:$A$29,0),G2341+1))*H2341)</f>
        <v>313872.616185597</v>
      </c>
      <c r="J2341" s="20" t="n">
        <f aca="false">I2341/F2341</f>
        <v>313872.616185597</v>
      </c>
      <c r="K2341" s="21" t="n">
        <f aca="false">D2341/(D2341+E2341)</f>
        <v>0.598765432098765</v>
      </c>
      <c r="L2341" s="21" t="n">
        <f aca="false">AVERAGEIFS($K$2:$K$2705,$B$2:$B$2705,B2341)</f>
        <v>0.499974753212654</v>
      </c>
      <c r="M2341" s="21" t="n">
        <f aca="false">K2341-L2341</f>
        <v>0.0987906788861117</v>
      </c>
      <c r="N2341" s="21" t="n">
        <f aca="false">LN(J2341)</f>
        <v>12.656742501642</v>
      </c>
      <c r="O2341" s="21" t="n">
        <f aca="false">AVERAGEIFS($N$2:$N$2705,$B$2:$B$2705,B2341)</f>
        <v>13.6361776279696</v>
      </c>
      <c r="P2341" s="21" t="n">
        <f aca="false">N2341-O2341</f>
        <v>-0.979435126327584</v>
      </c>
      <c r="Q2341" s="7" t="n">
        <v>0</v>
      </c>
      <c r="R2341" s="3" t="n">
        <f aca="false">IF(AND(Q2341=1,B2341-_xlfn.MINIFS($B$2:$B$2705,$A$2:$A$2705,A2341)&lt;10),1,0)</f>
        <v>0</v>
      </c>
      <c r="S2341" s="7" t="n">
        <v>0</v>
      </c>
      <c r="T2341" s="3" t="n">
        <f aca="false">_xlfn.MINIFS($B$2:$B$2705,$A$2:$A$2705,A2341)</f>
        <v>1901</v>
      </c>
      <c r="U2341" s="3" t="n">
        <f aca="false">B2341-T2341</f>
        <v>112</v>
      </c>
      <c r="V2341" s="3" t="str">
        <f aca="false">INDEX(Pop_Inputs!$Q$2:$Q$29,MATCH(C2341,Pop_Inputs!$A$2:$A$29,0))</f>
        <v>Midwest</v>
      </c>
      <c r="W2341" s="29" t="n">
        <v>92260110</v>
      </c>
      <c r="X2341" s="3" t="n">
        <f aca="false">IF(W2341="","",LN(W2341))</f>
        <v>18.3401224283759</v>
      </c>
      <c r="Y2341" s="3" t="n">
        <f aca="false">IF(X2341="","",X2341-AVERAGEIFS($X$2:$X$2705,$B$2:$B$2705,B2341))</f>
        <v>0.026561520100266</v>
      </c>
      <c r="Z2341" s="21" t="n">
        <f aca="false">P2341</f>
        <v>-0.979435126327584</v>
      </c>
      <c r="AA2341" s="3" t="n">
        <f aca="false">R2341</f>
        <v>0</v>
      </c>
      <c r="AB2341" s="21" t="n">
        <f aca="false">P2341</f>
        <v>-0.979435126327584</v>
      </c>
      <c r="AC2341" s="3" t="n">
        <f aca="false">Y2341</f>
        <v>0.026561520100266</v>
      </c>
      <c r="AD2341" s="3" t="n">
        <f aca="false">R2341</f>
        <v>0</v>
      </c>
    </row>
    <row r="2342" customFormat="false" ht="15" hidden="false" customHeight="true" outlineLevel="0" collapsed="false">
      <c r="A2342" s="7" t="s">
        <v>85</v>
      </c>
      <c r="B2342" s="7" t="n">
        <v>2013</v>
      </c>
      <c r="C2342" s="7" t="s">
        <v>166</v>
      </c>
      <c r="D2342" s="7" t="n">
        <v>92</v>
      </c>
      <c r="E2342" s="7" t="n">
        <v>71</v>
      </c>
      <c r="F2342" s="3" t="n">
        <f aca="false">COUNTIFS($B$2:$B$2705,B2342,$C$2:$C$2705,C2342)</f>
        <v>1</v>
      </c>
      <c r="G2342" s="3" t="n">
        <f aca="false">MIN(INT((MIN(B2342,2020)-1900)/10)+1,12)</f>
        <v>12</v>
      </c>
      <c r="H2342" s="3" t="n">
        <f aca="false">(MIN(B2342,2020)-1900-10*(G2342-1))/10</f>
        <v>0.3</v>
      </c>
      <c r="I2342" s="20" t="n">
        <f aca="false">EXP(LN(INDEX(Pop_Inputs!$B$2:$N$29,MATCH(C2342,Pop_Inputs!$A$2:$A$29,0),G2342))*(1-H2342)+LN(INDEX(Pop_Inputs!$B$2:$N$29,MATCH(C2342,Pop_Inputs!$A$2:$A$29,0),G2342+1))*H2342)</f>
        <v>349782.785801289</v>
      </c>
      <c r="J2342" s="20" t="n">
        <f aca="false">I2342/F2342</f>
        <v>349782.785801289</v>
      </c>
      <c r="K2342" s="21" t="n">
        <f aca="false">D2342/(D2342+E2342)</f>
        <v>0.56441717791411</v>
      </c>
      <c r="L2342" s="21" t="n">
        <f aca="false">AVERAGEIFS($K$2:$K$2705,$B$2:$B$2705,B2342)</f>
        <v>0.499974753212654</v>
      </c>
      <c r="M2342" s="21" t="n">
        <f aca="false">K2342-L2342</f>
        <v>0.0644424247014567</v>
      </c>
      <c r="N2342" s="21" t="n">
        <f aca="false">LN(J2342)</f>
        <v>12.7650676288099</v>
      </c>
      <c r="O2342" s="21" t="n">
        <f aca="false">AVERAGEIFS($N$2:$N$2705,$B$2:$B$2705,B2342)</f>
        <v>13.6361776279696</v>
      </c>
      <c r="P2342" s="21" t="n">
        <f aca="false">N2342-O2342</f>
        <v>-0.871109999159675</v>
      </c>
      <c r="Q2342" s="7" t="n">
        <v>1</v>
      </c>
      <c r="R2342" s="3" t="n">
        <f aca="false">IF(AND(Q2342=1,B2342-_xlfn.MINIFS($B$2:$B$2705,$A$2:$A$2705,A2342)&lt;10),1,0)</f>
        <v>0</v>
      </c>
      <c r="S2342" s="7" t="n">
        <v>0</v>
      </c>
      <c r="T2342" s="3" t="n">
        <f aca="false">_xlfn.MINIFS($B$2:$B$2705,$A$2:$A$2705,A2342)</f>
        <v>1998</v>
      </c>
      <c r="U2342" s="3" t="n">
        <f aca="false">B2342-T2342</f>
        <v>15</v>
      </c>
      <c r="V2342" s="3" t="str">
        <f aca="false">INDEX(Pop_Inputs!$Q$2:$Q$29,MATCH(C2342,Pop_Inputs!$A$2:$A$29,0))</f>
        <v>South</v>
      </c>
      <c r="W2342" s="29" t="n">
        <v>52955272</v>
      </c>
      <c r="X2342" s="3" t="n">
        <f aca="false">IF(W2342="","",LN(W2342))</f>
        <v>17.7849581906833</v>
      </c>
      <c r="Y2342" s="3" t="n">
        <f aca="false">IF(X2342="","",X2342-AVERAGEIFS($X$2:$X$2705,$B$2:$B$2705,B2342))</f>
        <v>-0.528602717592339</v>
      </c>
      <c r="Z2342" s="21" t="n">
        <f aca="false">P2342</f>
        <v>-0.871109999159675</v>
      </c>
      <c r="AA2342" s="3" t="n">
        <f aca="false">R2342</f>
        <v>0</v>
      </c>
      <c r="AB2342" s="21" t="n">
        <f aca="false">P2342</f>
        <v>-0.871109999159675</v>
      </c>
      <c r="AC2342" s="3" t="n">
        <f aca="false">Y2342</f>
        <v>-0.528602717592339</v>
      </c>
      <c r="AD2342" s="3" t="n">
        <f aca="false">R2342</f>
        <v>0</v>
      </c>
    </row>
    <row r="2343" customFormat="false" ht="15" hidden="false" customHeight="true" outlineLevel="0" collapsed="false">
      <c r="A2343" s="7" t="s">
        <v>73</v>
      </c>
      <c r="B2343" s="7" t="n">
        <v>2013</v>
      </c>
      <c r="C2343" s="7" t="s">
        <v>155</v>
      </c>
      <c r="D2343" s="7" t="n">
        <v>91</v>
      </c>
      <c r="E2343" s="7" t="n">
        <v>72</v>
      </c>
      <c r="F2343" s="3" t="n">
        <f aca="false">COUNTIFS($B$2:$B$2705,B2343,$C$2:$C$2705,C2343)</f>
        <v>1</v>
      </c>
      <c r="G2343" s="3" t="n">
        <f aca="false">MIN(INT((MIN(B2343,2020)-1900)/10)+1,12)</f>
        <v>12</v>
      </c>
      <c r="H2343" s="3" t="n">
        <f aca="false">(MIN(B2343,2020)-1900-10*(G2343-1))/10</f>
        <v>0.3</v>
      </c>
      <c r="I2343" s="20" t="n">
        <f aca="false">EXP(LN(INDEX(Pop_Inputs!$B$2:$N$29,MATCH(C2343,Pop_Inputs!$A$2:$A$29,0),G2343))*(1-H2343)+LN(INDEX(Pop_Inputs!$B$2:$N$29,MATCH(C2343,Pop_Inputs!$A$2:$A$29,0),G2343+1))*H2343)</f>
        <v>1228836.82182647</v>
      </c>
      <c r="J2343" s="20" t="n">
        <f aca="false">I2343/F2343</f>
        <v>1228836.82182647</v>
      </c>
      <c r="K2343" s="21" t="n">
        <f aca="false">D2343/(D2343+E2343)</f>
        <v>0.558282208588957</v>
      </c>
      <c r="L2343" s="21" t="n">
        <f aca="false">AVERAGEIFS($K$2:$K$2705,$B$2:$B$2705,B2343)</f>
        <v>0.499974753212654</v>
      </c>
      <c r="M2343" s="21" t="n">
        <f aca="false">K2343-L2343</f>
        <v>0.0583074553763033</v>
      </c>
      <c r="N2343" s="21" t="n">
        <f aca="false">LN(J2343)</f>
        <v>14.0215786066057</v>
      </c>
      <c r="O2343" s="21" t="n">
        <f aca="false">AVERAGEIFS($N$2:$N$2705,$B$2:$B$2705,B2343)</f>
        <v>13.6361776279696</v>
      </c>
      <c r="P2343" s="21" t="n">
        <f aca="false">N2343-O2343</f>
        <v>0.385400978636062</v>
      </c>
      <c r="Q2343" s="7" t="n">
        <v>1</v>
      </c>
      <c r="R2343" s="3" t="n">
        <f aca="false">IF(AND(Q2343=1,B2343-_xlfn.MINIFS($B$2:$B$2705,$A$2:$A$2705,A2343)&lt;10),1,0)</f>
        <v>0</v>
      </c>
      <c r="S2343" s="7" t="n">
        <v>0</v>
      </c>
      <c r="T2343" s="3" t="n">
        <f aca="false">_xlfn.MINIFS($B$2:$B$2705,$A$2:$A$2705,A2343)</f>
        <v>1961</v>
      </c>
      <c r="U2343" s="3" t="n">
        <f aca="false">B2343-T2343</f>
        <v>52</v>
      </c>
      <c r="V2343" s="3" t="str">
        <f aca="false">INDEX(Pop_Inputs!$Q$2:$Q$29,MATCH(C2343,Pop_Inputs!$A$2:$A$29,0))</f>
        <v>South</v>
      </c>
      <c r="W2343" s="29" t="n">
        <v>112522600</v>
      </c>
      <c r="X2343" s="3" t="n">
        <f aca="false">IF(W2343="","",LN(W2343))</f>
        <v>18.5386646483222</v>
      </c>
      <c r="Y2343" s="3" t="n">
        <f aca="false">IF(X2343="","",X2343-AVERAGEIFS($X$2:$X$2705,$B$2:$B$2705,B2343))</f>
        <v>0.225103740046517</v>
      </c>
      <c r="Z2343" s="21" t="n">
        <f aca="false">P2343</f>
        <v>0.385400978636062</v>
      </c>
      <c r="AA2343" s="3" t="n">
        <f aca="false">R2343</f>
        <v>0</v>
      </c>
      <c r="AB2343" s="21" t="n">
        <f aca="false">P2343</f>
        <v>0.385400978636062</v>
      </c>
      <c r="AC2343" s="3" t="n">
        <f aca="false">Y2343</f>
        <v>0.225103740046517</v>
      </c>
      <c r="AD2343" s="3" t="n">
        <f aca="false">R2343</f>
        <v>0</v>
      </c>
    </row>
    <row r="2344" customFormat="false" ht="15" hidden="false" customHeight="true" outlineLevel="0" collapsed="false">
      <c r="A2344" s="7" t="s">
        <v>81</v>
      </c>
      <c r="B2344" s="7" t="n">
        <v>2013</v>
      </c>
      <c r="C2344" s="7" t="s">
        <v>162</v>
      </c>
      <c r="D2344" s="7" t="n">
        <v>74</v>
      </c>
      <c r="E2344" s="7" t="n">
        <v>88</v>
      </c>
      <c r="F2344" s="3" t="n">
        <f aca="false">COUNTIFS($B$2:$B$2705,B2344,$C$2:$C$2705,C2344)</f>
        <v>1</v>
      </c>
      <c r="G2344" s="3" t="n">
        <f aca="false">MIN(INT((MIN(B2344,2020)-1900)/10)+1,12)</f>
        <v>12</v>
      </c>
      <c r="H2344" s="3" t="n">
        <f aca="false">(MIN(B2344,2020)-1900-10*(G2344-1))/10</f>
        <v>0.3</v>
      </c>
      <c r="I2344" s="20" t="n">
        <f aca="false">EXP(LN(INDEX(Pop_Inputs!$B$2:$N$29,MATCH(C2344,Pop_Inputs!$A$2:$A$29,0),G2344))*(1-H2344)+LN(INDEX(Pop_Inputs!$B$2:$N$29,MATCH(C2344,Pop_Inputs!$A$2:$A$29,0),G2344+1))*H2344)</f>
        <v>2667605.97028166</v>
      </c>
      <c r="J2344" s="20" t="n">
        <f aca="false">I2344/F2344</f>
        <v>2667605.97028166</v>
      </c>
      <c r="K2344" s="21" t="n">
        <f aca="false">D2344/(D2344+E2344)</f>
        <v>0.45679012345679</v>
      </c>
      <c r="L2344" s="21" t="n">
        <f aca="false">AVERAGEIFS($K$2:$K$2705,$B$2:$B$2705,B2344)</f>
        <v>0.499974753212654</v>
      </c>
      <c r="M2344" s="21" t="n">
        <f aca="false">K2344-L2344</f>
        <v>-0.0431846297558636</v>
      </c>
      <c r="N2344" s="21" t="n">
        <f aca="false">LN(J2344)</f>
        <v>14.7966919878101</v>
      </c>
      <c r="O2344" s="21" t="n">
        <f aca="false">AVERAGEIFS($N$2:$N$2705,$B$2:$B$2705,B2344)</f>
        <v>13.6361776279696</v>
      </c>
      <c r="P2344" s="21" t="n">
        <f aca="false">N2344-O2344</f>
        <v>1.16051435984047</v>
      </c>
      <c r="Q2344" s="7" t="n">
        <v>1</v>
      </c>
      <c r="R2344" s="3" t="n">
        <f aca="false">IF(AND(Q2344=1,B2344-_xlfn.MINIFS($B$2:$B$2705,$A$2:$A$2705,A2344)&lt;10),1,0)</f>
        <v>0</v>
      </c>
      <c r="S2344" s="7" t="n">
        <v>0</v>
      </c>
      <c r="T2344" s="3" t="n">
        <f aca="false">_xlfn.MINIFS($B$2:$B$2705,$A$2:$A$2705,A2344)</f>
        <v>1977</v>
      </c>
      <c r="U2344" s="3" t="n">
        <f aca="false">B2344-T2344</f>
        <v>36</v>
      </c>
      <c r="V2344" s="3" t="str">
        <f aca="false">INDEX(Pop_Inputs!$Q$2:$Q$29,MATCH(C2344,Pop_Inputs!$A$2:$A$29,0))</f>
        <v>Canada</v>
      </c>
      <c r="W2344" s="29" t="n">
        <v>126288100</v>
      </c>
      <c r="X2344" s="3" t="n">
        <f aca="false">IF(W2344="","",LN(W2344))</f>
        <v>18.6540763627709</v>
      </c>
      <c r="Y2344" s="3" t="n">
        <f aca="false">IF(X2344="","",X2344-AVERAGEIFS($X$2:$X$2705,$B$2:$B$2705,B2344))</f>
        <v>0.340515454495229</v>
      </c>
      <c r="Z2344" s="21" t="n">
        <f aca="false">P2344</f>
        <v>1.16051435984047</v>
      </c>
      <c r="AA2344" s="3" t="n">
        <f aca="false">R2344</f>
        <v>0</v>
      </c>
      <c r="AB2344" s="21" t="n">
        <f aca="false">P2344</f>
        <v>1.16051435984047</v>
      </c>
      <c r="AC2344" s="3" t="n">
        <f aca="false">Y2344</f>
        <v>0.340515454495229</v>
      </c>
      <c r="AD2344" s="3" t="n">
        <f aca="false">R2344</f>
        <v>0</v>
      </c>
    </row>
    <row r="2345" customFormat="false" ht="15" hidden="false" customHeight="true" outlineLevel="0" collapsed="false">
      <c r="A2345" s="7" t="s">
        <v>79</v>
      </c>
      <c r="B2345" s="7" t="n">
        <v>2013</v>
      </c>
      <c r="C2345" s="7" t="s">
        <v>160</v>
      </c>
      <c r="D2345" s="7" t="n">
        <v>86</v>
      </c>
      <c r="E2345" s="7" t="n">
        <v>76</v>
      </c>
      <c r="F2345" s="3" t="n">
        <f aca="false">COUNTIFS($B$2:$B$2705,B2345,$C$2:$C$2705,C2345)</f>
        <v>1</v>
      </c>
      <c r="G2345" s="3" t="n">
        <f aca="false">MIN(INT((MIN(B2345,2020)-1900)/10)+1,12)</f>
        <v>12</v>
      </c>
      <c r="H2345" s="3" t="n">
        <f aca="false">(MIN(B2345,2020)-1900-10*(G2345-1))/10</f>
        <v>0.3</v>
      </c>
      <c r="I2345" s="20" t="n">
        <f aca="false">EXP(LN(INDEX(Pop_Inputs!$B$2:$N$29,MATCH(C2345,Pop_Inputs!$A$2:$A$29,0),G2345))*(1-H2345)+LN(INDEX(Pop_Inputs!$B$2:$N$29,MATCH(C2345,Pop_Inputs!$A$2:$A$29,0),G2345+1))*H2345)</f>
        <v>626825.148987897</v>
      </c>
      <c r="J2345" s="20" t="n">
        <f aca="false">I2345/F2345</f>
        <v>626825.148987897</v>
      </c>
      <c r="K2345" s="21" t="n">
        <f aca="false">D2345/(D2345+E2345)</f>
        <v>0.530864197530864</v>
      </c>
      <c r="L2345" s="21" t="n">
        <f aca="false">AVERAGEIFS($K$2:$K$2705,$B$2:$B$2705,B2345)</f>
        <v>0.499974753212654</v>
      </c>
      <c r="M2345" s="21" t="n">
        <f aca="false">K2345-L2345</f>
        <v>0.0308894443182105</v>
      </c>
      <c r="N2345" s="21" t="n">
        <f aca="false">LN(J2345)</f>
        <v>13.348422911486</v>
      </c>
      <c r="O2345" s="21" t="n">
        <f aca="false">AVERAGEIFS($N$2:$N$2705,$B$2:$B$2705,B2345)</f>
        <v>13.6361776279696</v>
      </c>
      <c r="P2345" s="21" t="n">
        <f aca="false">N2345-O2345</f>
        <v>-0.287754716483615</v>
      </c>
      <c r="Q2345" s="7" t="n">
        <v>1</v>
      </c>
      <c r="R2345" s="3" t="n">
        <f aca="false">IF(AND(Q2345=1,B2345-_xlfn.MINIFS($B$2:$B$2705,$A$2:$A$2705,A2345)&lt;10),1,0)</f>
        <v>0</v>
      </c>
      <c r="S2345" s="7" t="n">
        <v>0</v>
      </c>
      <c r="T2345" s="3" t="n">
        <f aca="false">_xlfn.MINIFS($B$2:$B$2705,$A$2:$A$2705,A2345)</f>
        <v>1969</v>
      </c>
      <c r="U2345" s="3" t="n">
        <f aca="false">B2345-T2345</f>
        <v>44</v>
      </c>
      <c r="V2345" s="3" t="str">
        <f aca="false">INDEX(Pop_Inputs!$Q$2:$Q$29,MATCH(C2345,Pop_Inputs!$A$2:$A$29,0))</f>
        <v>South</v>
      </c>
      <c r="W2345" s="29" t="n">
        <v>113703270</v>
      </c>
      <c r="X2345" s="3" t="n">
        <f aca="false">IF(W2345="","",LN(W2345))</f>
        <v>18.5491027182017</v>
      </c>
      <c r="Y2345" s="3" t="n">
        <f aca="false">IF(X2345="","",X2345-AVERAGEIFS($X$2:$X$2705,$B$2:$B$2705,B2345))</f>
        <v>0.235541809926016</v>
      </c>
      <c r="Z2345" s="21" t="n">
        <f aca="false">P2345</f>
        <v>-0.287754716483615</v>
      </c>
      <c r="AA2345" s="3" t="n">
        <f aca="false">R2345</f>
        <v>0</v>
      </c>
      <c r="AB2345" s="21" t="n">
        <f aca="false">P2345</f>
        <v>-0.287754716483615</v>
      </c>
      <c r="AC2345" s="3" t="n">
        <f aca="false">Y2345</f>
        <v>0.235541809926016</v>
      </c>
      <c r="AD2345" s="3" t="n">
        <f aca="false">R2345</f>
        <v>0</v>
      </c>
    </row>
    <row r="2346" customFormat="false" ht="15" hidden="false" customHeight="true" outlineLevel="0" collapsed="false">
      <c r="A2346" s="7" t="s">
        <v>71</v>
      </c>
      <c r="B2346" s="7" t="n">
        <v>2014</v>
      </c>
      <c r="C2346" s="7" t="s">
        <v>148</v>
      </c>
      <c r="D2346" s="7" t="n">
        <v>98</v>
      </c>
      <c r="E2346" s="7" t="n">
        <v>64</v>
      </c>
      <c r="F2346" s="3" t="n">
        <f aca="false">COUNTIFS($B$2:$B$2705,B2346,$C$2:$C$2705,C2346)</f>
        <v>2</v>
      </c>
      <c r="G2346" s="3" t="n">
        <f aca="false">MIN(INT((MIN(B2346,2020)-1900)/10)+1,12)</f>
        <v>12</v>
      </c>
      <c r="H2346" s="3" t="n">
        <f aca="false">(MIN(B2346,2020)-1900-10*(G2346-1))/10</f>
        <v>0.4</v>
      </c>
      <c r="I2346" s="20" t="n">
        <f aca="false">EXP(LN(INDEX(Pop_Inputs!$B$2:$N$29,MATCH(C2346,Pop_Inputs!$A$2:$A$29,0),G2346))*(1-H2346)+LN(INDEX(Pop_Inputs!$B$2:$N$29,MATCH(C2346,Pop_Inputs!$A$2:$A$29,0),G2346+1))*H2346)</f>
        <v>3834720.26631982</v>
      </c>
      <c r="J2346" s="20" t="n">
        <f aca="false">I2346/F2346</f>
        <v>1917360.13315991</v>
      </c>
      <c r="K2346" s="21" t="n">
        <f aca="false">D2346/(D2346+E2346)</f>
        <v>0.604938271604938</v>
      </c>
      <c r="L2346" s="21" t="n">
        <f aca="false">AVERAGEIFS($K$2:$K$2705,$B$2:$B$2705,B2346)</f>
        <v>0.5</v>
      </c>
      <c r="M2346" s="21" t="n">
        <f aca="false">K2346-L2346</f>
        <v>0.104938271604938</v>
      </c>
      <c r="N2346" s="21" t="n">
        <f aca="false">LN(J2346)</f>
        <v>14.4664598672736</v>
      </c>
      <c r="O2346" s="21" t="n">
        <f aca="false">AVERAGEIFS($N$2:$N$2705,$B$2:$B$2705,B2346)</f>
        <v>13.6422981965524</v>
      </c>
      <c r="P2346" s="21" t="n">
        <f aca="false">N2346-O2346</f>
        <v>0.824161670721248</v>
      </c>
      <c r="Q2346" s="7" t="n">
        <v>1</v>
      </c>
      <c r="R2346" s="3" t="n">
        <f aca="false">IF(AND(Q2346=1,B2346-_xlfn.MINIFS($B$2:$B$2705,$A$2:$A$2705,A2346)&lt;10),1,0)</f>
        <v>0</v>
      </c>
      <c r="S2346" s="7" t="n">
        <v>0</v>
      </c>
      <c r="T2346" s="3" t="n">
        <f aca="false">_xlfn.MINIFS($B$2:$B$2705,$A$2:$A$2705,A2346)</f>
        <v>1961</v>
      </c>
      <c r="U2346" s="3" t="n">
        <f aca="false">B2346-T2346</f>
        <v>53</v>
      </c>
      <c r="V2346" s="3" t="str">
        <f aca="false">INDEX(Pop_Inputs!$Q$2:$Q$29,MATCH(C2346,Pop_Inputs!$A$2:$A$29,0))</f>
        <v>West</v>
      </c>
      <c r="W2346" s="29" t="n">
        <v>121988250</v>
      </c>
      <c r="X2346" s="3" t="n">
        <f aca="false">IF(W2346="","",LN(W2346))</f>
        <v>18.6194352865839</v>
      </c>
      <c r="Y2346" s="3" t="n">
        <f aca="false">IF(X2346="","",X2346-AVERAGEIFS($X$2:$X$2705,$B$2:$B$2705,B2346))</f>
        <v>0.212780019754433</v>
      </c>
      <c r="Z2346" s="21" t="n">
        <f aca="false">P2346</f>
        <v>0.824161670721248</v>
      </c>
      <c r="AA2346" s="3" t="n">
        <f aca="false">R2346</f>
        <v>0</v>
      </c>
      <c r="AB2346" s="21" t="n">
        <f aca="false">P2346</f>
        <v>0.824161670721248</v>
      </c>
      <c r="AC2346" s="3" t="n">
        <f aca="false">Y2346</f>
        <v>0.212780019754433</v>
      </c>
      <c r="AD2346" s="3" t="n">
        <f aca="false">R2346</f>
        <v>0</v>
      </c>
    </row>
    <row r="2347" customFormat="false" ht="15" hidden="false" customHeight="true" outlineLevel="0" collapsed="false">
      <c r="A2347" s="7" t="s">
        <v>84</v>
      </c>
      <c r="B2347" s="7" t="n">
        <v>2014</v>
      </c>
      <c r="C2347" s="7" t="s">
        <v>165</v>
      </c>
      <c r="D2347" s="7" t="n">
        <v>64</v>
      </c>
      <c r="E2347" s="7" t="n">
        <v>98</v>
      </c>
      <c r="F2347" s="3" t="n">
        <f aca="false">COUNTIFS($B$2:$B$2705,B2347,$C$2:$C$2705,C2347)</f>
        <v>1</v>
      </c>
      <c r="G2347" s="3" t="n">
        <f aca="false">MIN(INT((MIN(B2347,2020)-1900)/10)+1,12)</f>
        <v>12</v>
      </c>
      <c r="H2347" s="3" t="n">
        <f aca="false">(MIN(B2347,2020)-1900-10*(G2347-1))/10</f>
        <v>0.4</v>
      </c>
      <c r="I2347" s="20" t="n">
        <f aca="false">EXP(LN(INDEX(Pop_Inputs!$B$2:$N$29,MATCH(C2347,Pop_Inputs!$A$2:$A$29,0),G2347))*(1-H2347)+LN(INDEX(Pop_Inputs!$B$2:$N$29,MATCH(C2347,Pop_Inputs!$A$2:$A$29,0),G2347+1))*H2347)</f>
        <v>1508565.2018242</v>
      </c>
      <c r="J2347" s="20" t="n">
        <f aca="false">I2347/F2347</f>
        <v>1508565.2018242</v>
      </c>
      <c r="K2347" s="21" t="n">
        <f aca="false">D2347/(D2347+E2347)</f>
        <v>0.395061728395062</v>
      </c>
      <c r="L2347" s="21" t="n">
        <f aca="false">AVERAGEIFS($K$2:$K$2705,$B$2:$B$2705,B2347)</f>
        <v>0.5</v>
      </c>
      <c r="M2347" s="21" t="n">
        <f aca="false">K2347-L2347</f>
        <v>-0.104938271604938</v>
      </c>
      <c r="N2347" s="21" t="n">
        <f aca="false">LN(J2347)</f>
        <v>14.2266695595999</v>
      </c>
      <c r="O2347" s="21" t="n">
        <f aca="false">AVERAGEIFS($N$2:$N$2705,$B$2:$B$2705,B2347)</f>
        <v>13.6422981965524</v>
      </c>
      <c r="P2347" s="21" t="n">
        <f aca="false">N2347-O2347</f>
        <v>0.584371363047506</v>
      </c>
      <c r="Q2347" s="7" t="n">
        <v>1</v>
      </c>
      <c r="R2347" s="3" t="n">
        <f aca="false">IF(AND(Q2347=1,B2347-_xlfn.MINIFS($B$2:$B$2705,$A$2:$A$2705,A2347)&lt;10),1,0)</f>
        <v>0</v>
      </c>
      <c r="S2347" s="7" t="n">
        <v>0</v>
      </c>
      <c r="T2347" s="3" t="n">
        <f aca="false">_xlfn.MINIFS($B$2:$B$2705,$A$2:$A$2705,A2347)</f>
        <v>1998</v>
      </c>
      <c r="U2347" s="3" t="n">
        <f aca="false">B2347-T2347</f>
        <v>16</v>
      </c>
      <c r="V2347" s="3" t="str">
        <f aca="false">INDEX(Pop_Inputs!$Q$2:$Q$29,MATCH(C2347,Pop_Inputs!$A$2:$A$29,0))</f>
        <v>West</v>
      </c>
      <c r="W2347" s="29" t="n">
        <v>97861500</v>
      </c>
      <c r="X2347" s="3" t="n">
        <f aca="false">IF(W2347="","",LN(W2347))</f>
        <v>18.3990637717274</v>
      </c>
      <c r="Y2347" s="3" t="n">
        <f aca="false">IF(X2347="","",X2347-AVERAGEIFS($X$2:$X$2705,$B$2:$B$2705,B2347))</f>
        <v>-0.00759149510204082</v>
      </c>
      <c r="Z2347" s="21" t="n">
        <f aca="false">P2347</f>
        <v>0.584371363047506</v>
      </c>
      <c r="AA2347" s="3" t="n">
        <f aca="false">R2347</f>
        <v>0</v>
      </c>
      <c r="AB2347" s="21" t="n">
        <f aca="false">P2347</f>
        <v>0.584371363047506</v>
      </c>
      <c r="AC2347" s="3" t="n">
        <f aca="false">Y2347</f>
        <v>-0.00759149510204082</v>
      </c>
      <c r="AD2347" s="3" t="n">
        <f aca="false">R2347</f>
        <v>0</v>
      </c>
    </row>
    <row r="2348" customFormat="false" ht="15" hidden="false" customHeight="true" outlineLevel="0" collapsed="false">
      <c r="A2348" s="7" t="s">
        <v>54</v>
      </c>
      <c r="B2348" s="7" t="n">
        <v>2014</v>
      </c>
      <c r="C2348" s="7" t="s">
        <v>141</v>
      </c>
      <c r="D2348" s="7" t="n">
        <v>79</v>
      </c>
      <c r="E2348" s="7" t="n">
        <v>83</v>
      </c>
      <c r="F2348" s="3" t="n">
        <f aca="false">COUNTIFS($B$2:$B$2705,B2348,$C$2:$C$2705,C2348)</f>
        <v>1</v>
      </c>
      <c r="G2348" s="3" t="n">
        <f aca="false">MIN(INT((MIN(B2348,2020)-1900)/10)+1,12)</f>
        <v>12</v>
      </c>
      <c r="H2348" s="3" t="n">
        <f aca="false">(MIN(B2348,2020)-1900-10*(G2348-1))/10</f>
        <v>0.4</v>
      </c>
      <c r="I2348" s="20" t="n">
        <f aca="false">EXP(LN(INDEX(Pop_Inputs!$B$2:$N$29,MATCH(C2348,Pop_Inputs!$A$2:$A$29,0),G2348))*(1-H2348)+LN(INDEX(Pop_Inputs!$B$2:$N$29,MATCH(C2348,Pop_Inputs!$A$2:$A$29,0),G2348+1))*H2348)</f>
        <v>449875.567826942</v>
      </c>
      <c r="J2348" s="20" t="n">
        <f aca="false">I2348/F2348</f>
        <v>449875.567826942</v>
      </c>
      <c r="K2348" s="21" t="n">
        <f aca="false">D2348/(D2348+E2348)</f>
        <v>0.487654320987654</v>
      </c>
      <c r="L2348" s="21" t="n">
        <f aca="false">AVERAGEIFS($K$2:$K$2705,$B$2:$B$2705,B2348)</f>
        <v>0.5</v>
      </c>
      <c r="M2348" s="21" t="n">
        <f aca="false">K2348-L2348</f>
        <v>-0.0123456790123457</v>
      </c>
      <c r="N2348" s="21" t="n">
        <f aca="false">LN(J2348)</f>
        <v>13.0167263075688</v>
      </c>
      <c r="O2348" s="21" t="n">
        <f aca="false">AVERAGEIFS($N$2:$N$2705,$B$2:$B$2705,B2348)</f>
        <v>13.6422981965524</v>
      </c>
      <c r="P2348" s="21" t="n">
        <f aca="false">N2348-O2348</f>
        <v>-0.625571888983604</v>
      </c>
      <c r="Q2348" s="7" t="n">
        <v>0</v>
      </c>
      <c r="R2348" s="3" t="n">
        <f aca="false">IF(AND(Q2348=1,B2348-_xlfn.MINIFS($B$2:$B$2705,$A$2:$A$2705,A2348)&lt;10),1,0)</f>
        <v>0</v>
      </c>
      <c r="S2348" s="7" t="n">
        <v>0</v>
      </c>
      <c r="T2348" s="3" t="n">
        <f aca="false">_xlfn.MINIFS($B$2:$B$2705,$A$2:$A$2705,A2348)</f>
        <v>1901</v>
      </c>
      <c r="U2348" s="3" t="n">
        <f aca="false">B2348-T2348</f>
        <v>113</v>
      </c>
      <c r="V2348" s="3" t="str">
        <f aca="false">INDEX(Pop_Inputs!$Q$2:$Q$29,MATCH(C2348,Pop_Inputs!$A$2:$A$29,0))</f>
        <v>South</v>
      </c>
      <c r="W2348" s="29" t="n">
        <v>97609000</v>
      </c>
      <c r="X2348" s="3" t="n">
        <f aca="false">IF(W2348="","",LN(W2348))</f>
        <v>18.3964802602467</v>
      </c>
      <c r="Y2348" s="3" t="n">
        <f aca="false">IF(X2348="","",X2348-AVERAGEIFS($X$2:$X$2705,$B$2:$B$2705,B2348))</f>
        <v>-0.0101750065827311</v>
      </c>
      <c r="Z2348" s="21" t="n">
        <f aca="false">P2348</f>
        <v>-0.625571888983604</v>
      </c>
      <c r="AA2348" s="3" t="n">
        <f aca="false">R2348</f>
        <v>0</v>
      </c>
      <c r="AB2348" s="21" t="n">
        <f aca="false">P2348</f>
        <v>-0.625571888983604</v>
      </c>
      <c r="AC2348" s="3" t="n">
        <f aca="false">Y2348</f>
        <v>-0.0101750065827311</v>
      </c>
      <c r="AD2348" s="3" t="n">
        <f aca="false">R2348</f>
        <v>0</v>
      </c>
    </row>
    <row r="2349" customFormat="false" ht="15" hidden="false" customHeight="true" outlineLevel="0" collapsed="false">
      <c r="A2349" s="7" t="s">
        <v>63</v>
      </c>
      <c r="B2349" s="7" t="n">
        <v>2014</v>
      </c>
      <c r="C2349" s="7" t="s">
        <v>149</v>
      </c>
      <c r="D2349" s="7" t="n">
        <v>96</v>
      </c>
      <c r="E2349" s="7" t="n">
        <v>66</v>
      </c>
      <c r="F2349" s="3" t="n">
        <f aca="false">COUNTIFS($B$2:$B$2705,B2349,$C$2:$C$2705,C2349)</f>
        <v>1</v>
      </c>
      <c r="G2349" s="3" t="n">
        <f aca="false">MIN(INT((MIN(B2349,2020)-1900)/10)+1,12)</f>
        <v>12</v>
      </c>
      <c r="H2349" s="3" t="n">
        <f aca="false">(MIN(B2349,2020)-1900-10*(G2349-1))/10</f>
        <v>0.4</v>
      </c>
      <c r="I2349" s="20" t="n">
        <f aca="false">EXP(LN(INDEX(Pop_Inputs!$B$2:$N$29,MATCH(C2349,Pop_Inputs!$A$2:$A$29,0),G2349))*(1-H2349)+LN(INDEX(Pop_Inputs!$B$2:$N$29,MATCH(C2349,Pop_Inputs!$A$2:$A$29,0),G2349+1))*H2349)</f>
        <v>606612.083781485</v>
      </c>
      <c r="J2349" s="20" t="n">
        <f aca="false">I2349/F2349</f>
        <v>606612.083781485</v>
      </c>
      <c r="K2349" s="21" t="n">
        <f aca="false">D2349/(D2349+E2349)</f>
        <v>0.592592592592593</v>
      </c>
      <c r="L2349" s="21" t="n">
        <f aca="false">AVERAGEIFS($K$2:$K$2705,$B$2:$B$2705,B2349)</f>
        <v>0.5</v>
      </c>
      <c r="M2349" s="21" t="n">
        <f aca="false">K2349-L2349</f>
        <v>0.0925925925925926</v>
      </c>
      <c r="N2349" s="21" t="n">
        <f aca="false">LN(J2349)</f>
        <v>13.3156447945484</v>
      </c>
      <c r="O2349" s="21" t="n">
        <f aca="false">AVERAGEIFS($N$2:$N$2705,$B$2:$B$2705,B2349)</f>
        <v>13.6422981965524</v>
      </c>
      <c r="P2349" s="21" t="n">
        <f aca="false">N2349-O2349</f>
        <v>-0.326653402003993</v>
      </c>
      <c r="Q2349" s="7" t="n">
        <v>0</v>
      </c>
      <c r="R2349" s="3" t="n">
        <f aca="false">IF(AND(Q2349=1,B2349-_xlfn.MINIFS($B$2:$B$2705,$A$2:$A$2705,A2349)&lt;10),1,0)</f>
        <v>0</v>
      </c>
      <c r="S2349" s="7" t="n">
        <v>0</v>
      </c>
      <c r="T2349" s="3" t="n">
        <f aca="false">_xlfn.MINIFS($B$2:$B$2705,$A$2:$A$2705,A2349)</f>
        <v>1901</v>
      </c>
      <c r="U2349" s="3" t="n">
        <f aca="false">B2349-T2349</f>
        <v>113</v>
      </c>
      <c r="V2349" s="3" t="str">
        <f aca="false">INDEX(Pop_Inputs!$Q$2:$Q$29,MATCH(C2349,Pop_Inputs!$A$2:$A$29,0))</f>
        <v>South</v>
      </c>
      <c r="W2349" s="29" t="n">
        <v>103416000</v>
      </c>
      <c r="X2349" s="3" t="n">
        <f aca="false">IF(W2349="","",LN(W2349))</f>
        <v>18.4542702469459</v>
      </c>
      <c r="Y2349" s="3" t="n">
        <f aca="false">IF(X2349="","",X2349-AVERAGEIFS($X$2:$X$2705,$B$2:$B$2705,B2349))</f>
        <v>0.0476149801164816</v>
      </c>
      <c r="Z2349" s="21" t="n">
        <f aca="false">P2349</f>
        <v>-0.326653402003993</v>
      </c>
      <c r="AA2349" s="3" t="n">
        <f aca="false">R2349</f>
        <v>0</v>
      </c>
      <c r="AB2349" s="21" t="n">
        <f aca="false">P2349</f>
        <v>-0.326653402003993</v>
      </c>
      <c r="AC2349" s="3" t="n">
        <f aca="false">Y2349</f>
        <v>0.0476149801164816</v>
      </c>
      <c r="AD2349" s="3" t="n">
        <f aca="false">R2349</f>
        <v>0</v>
      </c>
    </row>
    <row r="2350" customFormat="false" ht="15" hidden="false" customHeight="true" outlineLevel="0" collapsed="false">
      <c r="A2350" s="7" t="s">
        <v>64</v>
      </c>
      <c r="B2350" s="7" t="n">
        <v>2014</v>
      </c>
      <c r="C2350" s="7" t="s">
        <v>150</v>
      </c>
      <c r="D2350" s="7" t="n">
        <v>71</v>
      </c>
      <c r="E2350" s="7" t="n">
        <v>91</v>
      </c>
      <c r="F2350" s="3" t="n">
        <f aca="false">COUNTIFS($B$2:$B$2705,B2350,$C$2:$C$2705,C2350)</f>
        <v>1</v>
      </c>
      <c r="G2350" s="3" t="n">
        <f aca="false">MIN(INT((MIN(B2350,2020)-1900)/10)+1,12)</f>
        <v>12</v>
      </c>
      <c r="H2350" s="3" t="n">
        <f aca="false">(MIN(B2350,2020)-1900-10*(G2350-1))/10</f>
        <v>0.4</v>
      </c>
      <c r="I2350" s="20" t="n">
        <f aca="false">EXP(LN(INDEX(Pop_Inputs!$B$2:$N$29,MATCH(C2350,Pop_Inputs!$A$2:$A$29,0),G2350))*(1-H2350)+LN(INDEX(Pop_Inputs!$B$2:$N$29,MATCH(C2350,Pop_Inputs!$A$2:$A$29,0),G2350+1))*H2350)</f>
        <v>640191.320719499</v>
      </c>
      <c r="J2350" s="20" t="n">
        <f aca="false">I2350/F2350</f>
        <v>640191.320719499</v>
      </c>
      <c r="K2350" s="21" t="n">
        <f aca="false">D2350/(D2350+E2350)</f>
        <v>0.438271604938272</v>
      </c>
      <c r="L2350" s="21" t="n">
        <f aca="false">AVERAGEIFS($K$2:$K$2705,$B$2:$B$2705,B2350)</f>
        <v>0.5</v>
      </c>
      <c r="M2350" s="21" t="n">
        <f aca="false">K2350-L2350</f>
        <v>-0.0617283950617284</v>
      </c>
      <c r="N2350" s="21" t="n">
        <f aca="false">LN(J2350)</f>
        <v>13.3695223492868</v>
      </c>
      <c r="O2350" s="21" t="n">
        <f aca="false">AVERAGEIFS($N$2:$N$2705,$B$2:$B$2705,B2350)</f>
        <v>13.6422981965524</v>
      </c>
      <c r="P2350" s="21" t="n">
        <f aca="false">N2350-O2350</f>
        <v>-0.272775847265573</v>
      </c>
      <c r="Q2350" s="7" t="n">
        <v>0</v>
      </c>
      <c r="R2350" s="3" t="n">
        <f aca="false">IF(AND(Q2350=1,B2350-_xlfn.MINIFS($B$2:$B$2705,$A$2:$A$2705,A2350)&lt;10),1,0)</f>
        <v>0</v>
      </c>
      <c r="S2350" s="7" t="n">
        <v>0</v>
      </c>
      <c r="T2350" s="3" t="n">
        <f aca="false">_xlfn.MINIFS($B$2:$B$2705,$A$2:$A$2705,A2350)</f>
        <v>1901</v>
      </c>
      <c r="U2350" s="3" t="n">
        <f aca="false">B2350-T2350</f>
        <v>113</v>
      </c>
      <c r="V2350" s="3" t="str">
        <f aca="false">INDEX(Pop_Inputs!$Q$2:$Q$29,MATCH(C2350,Pop_Inputs!$A$2:$A$29,0))</f>
        <v>Northeast</v>
      </c>
      <c r="W2350" s="29" t="n">
        <v>139019929</v>
      </c>
      <c r="X2350" s="3" t="n">
        <f aca="false">IF(W2350="","",LN(W2350))</f>
        <v>18.7501278549186</v>
      </c>
      <c r="Y2350" s="3" t="n">
        <f aca="false">IF(X2350="","",X2350-AVERAGEIFS($X$2:$X$2705,$B$2:$B$2705,B2350))</f>
        <v>0.343472588089163</v>
      </c>
      <c r="Z2350" s="21" t="n">
        <f aca="false">P2350</f>
        <v>-0.272775847265573</v>
      </c>
      <c r="AA2350" s="3" t="n">
        <f aca="false">R2350</f>
        <v>0</v>
      </c>
      <c r="AB2350" s="21" t="n">
        <f aca="false">P2350</f>
        <v>-0.272775847265573</v>
      </c>
      <c r="AC2350" s="3" t="n">
        <f aca="false">Y2350</f>
        <v>0.343472588089163</v>
      </c>
      <c r="AD2350" s="3" t="n">
        <f aca="false">R2350</f>
        <v>0</v>
      </c>
    </row>
    <row r="2351" customFormat="false" ht="15" hidden="false" customHeight="true" outlineLevel="0" collapsed="false">
      <c r="A2351" s="7" t="s">
        <v>56</v>
      </c>
      <c r="B2351" s="7" t="n">
        <v>2014</v>
      </c>
      <c r="C2351" s="7" t="s">
        <v>142</v>
      </c>
      <c r="D2351" s="7" t="n">
        <v>73</v>
      </c>
      <c r="E2351" s="7" t="n">
        <v>89</v>
      </c>
      <c r="F2351" s="3" t="n">
        <f aca="false">COUNTIFS($B$2:$B$2705,B2351,$C$2:$C$2705,C2351)</f>
        <v>2</v>
      </c>
      <c r="G2351" s="3" t="n">
        <f aca="false">MIN(INT((MIN(B2351,2020)-1900)/10)+1,12)</f>
        <v>12</v>
      </c>
      <c r="H2351" s="3" t="n">
        <f aca="false">(MIN(B2351,2020)-1900-10*(G2351-1))/10</f>
        <v>0.4</v>
      </c>
      <c r="I2351" s="20" t="n">
        <f aca="false">EXP(LN(INDEX(Pop_Inputs!$B$2:$N$29,MATCH(C2351,Pop_Inputs!$A$2:$A$29,0),G2351))*(1-H2351)+LN(INDEX(Pop_Inputs!$B$2:$N$29,MATCH(C2351,Pop_Inputs!$A$2:$A$29,0),G2351+1))*H2351)</f>
        <v>2715800.3028648</v>
      </c>
      <c r="J2351" s="20" t="n">
        <f aca="false">I2351/F2351</f>
        <v>1357900.1514324</v>
      </c>
      <c r="K2351" s="21" t="n">
        <f aca="false">D2351/(D2351+E2351)</f>
        <v>0.450617283950617</v>
      </c>
      <c r="L2351" s="21" t="n">
        <f aca="false">AVERAGEIFS($K$2:$K$2705,$B$2:$B$2705,B2351)</f>
        <v>0.5</v>
      </c>
      <c r="M2351" s="21" t="n">
        <f aca="false">K2351-L2351</f>
        <v>-0.0493827160493827</v>
      </c>
      <c r="N2351" s="21" t="n">
        <f aca="false">LN(J2351)</f>
        <v>14.1214500582064</v>
      </c>
      <c r="O2351" s="21" t="n">
        <f aca="false">AVERAGEIFS($N$2:$N$2705,$B$2:$B$2705,B2351)</f>
        <v>13.6422981965524</v>
      </c>
      <c r="P2351" s="21" t="n">
        <f aca="false">N2351-O2351</f>
        <v>0.479151861654037</v>
      </c>
      <c r="Q2351" s="7" t="n">
        <v>0</v>
      </c>
      <c r="R2351" s="3" t="n">
        <f aca="false">IF(AND(Q2351=1,B2351-_xlfn.MINIFS($B$2:$B$2705,$A$2:$A$2705,A2351)&lt;10),1,0)</f>
        <v>0</v>
      </c>
      <c r="S2351" s="7" t="n">
        <v>0</v>
      </c>
      <c r="T2351" s="3" t="n">
        <f aca="false">_xlfn.MINIFS($B$2:$B$2705,$A$2:$A$2705,A2351)</f>
        <v>1901</v>
      </c>
      <c r="U2351" s="3" t="n">
        <f aca="false">B2351-T2351</f>
        <v>113</v>
      </c>
      <c r="V2351" s="3" t="str">
        <f aca="false">INDEX(Pop_Inputs!$Q$2:$Q$29,MATCH(C2351,Pop_Inputs!$A$2:$A$29,0))</f>
        <v>Midwest</v>
      </c>
      <c r="W2351" s="29" t="n">
        <v>65522500</v>
      </c>
      <c r="X2351" s="3" t="n">
        <f aca="false">IF(W2351="","",LN(W2351))</f>
        <v>17.9979041530693</v>
      </c>
      <c r="Y2351" s="3" t="n">
        <f aca="false">IF(X2351="","",X2351-AVERAGEIFS($X$2:$X$2705,$B$2:$B$2705,B2351))</f>
        <v>-0.408751113760129</v>
      </c>
      <c r="Z2351" s="21" t="n">
        <f aca="false">P2351</f>
        <v>0.479151861654037</v>
      </c>
      <c r="AA2351" s="3" t="n">
        <f aca="false">R2351</f>
        <v>0</v>
      </c>
      <c r="AB2351" s="21" t="n">
        <f aca="false">P2351</f>
        <v>0.479151861654037</v>
      </c>
      <c r="AC2351" s="3" t="n">
        <f aca="false">Y2351</f>
        <v>-0.408751113760129</v>
      </c>
      <c r="AD2351" s="3" t="n">
        <f aca="false">R2351</f>
        <v>0</v>
      </c>
    </row>
    <row r="2352" customFormat="false" ht="15" hidden="false" customHeight="true" outlineLevel="0" collapsed="false">
      <c r="A2352" s="7" t="s">
        <v>65</v>
      </c>
      <c r="B2352" s="7" t="n">
        <v>2014</v>
      </c>
      <c r="C2352" s="7" t="s">
        <v>142</v>
      </c>
      <c r="D2352" s="7" t="n">
        <v>73</v>
      </c>
      <c r="E2352" s="7" t="n">
        <v>89</v>
      </c>
      <c r="F2352" s="3" t="n">
        <f aca="false">COUNTIFS($B$2:$B$2705,B2352,$C$2:$C$2705,C2352)</f>
        <v>2</v>
      </c>
      <c r="G2352" s="3" t="n">
        <f aca="false">MIN(INT((MIN(B2352,2020)-1900)/10)+1,12)</f>
        <v>12</v>
      </c>
      <c r="H2352" s="3" t="n">
        <f aca="false">(MIN(B2352,2020)-1900-10*(G2352-1))/10</f>
        <v>0.4</v>
      </c>
      <c r="I2352" s="20" t="n">
        <f aca="false">EXP(LN(INDEX(Pop_Inputs!$B$2:$N$29,MATCH(C2352,Pop_Inputs!$A$2:$A$29,0),G2352))*(1-H2352)+LN(INDEX(Pop_Inputs!$B$2:$N$29,MATCH(C2352,Pop_Inputs!$A$2:$A$29,0),G2352+1))*H2352)</f>
        <v>2715800.3028648</v>
      </c>
      <c r="J2352" s="20" t="n">
        <f aca="false">I2352/F2352</f>
        <v>1357900.1514324</v>
      </c>
      <c r="K2352" s="21" t="n">
        <f aca="false">D2352/(D2352+E2352)</f>
        <v>0.450617283950617</v>
      </c>
      <c r="L2352" s="21" t="n">
        <f aca="false">AVERAGEIFS($K$2:$K$2705,$B$2:$B$2705,B2352)</f>
        <v>0.5</v>
      </c>
      <c r="M2352" s="21" t="n">
        <f aca="false">K2352-L2352</f>
        <v>-0.0493827160493827</v>
      </c>
      <c r="N2352" s="21" t="n">
        <f aca="false">LN(J2352)</f>
        <v>14.1214500582064</v>
      </c>
      <c r="O2352" s="21" t="n">
        <f aca="false">AVERAGEIFS($N$2:$N$2705,$B$2:$B$2705,B2352)</f>
        <v>13.6422981965524</v>
      </c>
      <c r="P2352" s="21" t="n">
        <f aca="false">N2352-O2352</f>
        <v>0.479151861654037</v>
      </c>
      <c r="Q2352" s="7" t="n">
        <v>0</v>
      </c>
      <c r="R2352" s="3" t="n">
        <f aca="false">IF(AND(Q2352=1,B2352-_xlfn.MINIFS($B$2:$B$2705,$A$2:$A$2705,A2352)&lt;10),1,0)</f>
        <v>0</v>
      </c>
      <c r="S2352" s="7" t="n">
        <v>0</v>
      </c>
      <c r="T2352" s="3" t="n">
        <f aca="false">_xlfn.MINIFS($B$2:$B$2705,$A$2:$A$2705,A2352)</f>
        <v>1901</v>
      </c>
      <c r="U2352" s="3" t="n">
        <f aca="false">B2352-T2352</f>
        <v>113</v>
      </c>
      <c r="V2352" s="3" t="str">
        <f aca="false">INDEX(Pop_Inputs!$Q$2:$Q$29,MATCH(C2352,Pop_Inputs!$A$2:$A$29,0))</f>
        <v>Midwest</v>
      </c>
      <c r="W2352" s="29" t="n">
        <v>81830500</v>
      </c>
      <c r="X2352" s="3" t="n">
        <f aca="false">IF(W2352="","",LN(W2352))</f>
        <v>18.2201605927134</v>
      </c>
      <c r="Y2352" s="3" t="n">
        <f aca="false">IF(X2352="","",X2352-AVERAGEIFS($X$2:$X$2705,$B$2:$B$2705,B2352))</f>
        <v>-0.18649467411602</v>
      </c>
      <c r="Z2352" s="21" t="n">
        <f aca="false">P2352</f>
        <v>0.479151861654037</v>
      </c>
      <c r="AA2352" s="3" t="n">
        <f aca="false">R2352</f>
        <v>0</v>
      </c>
      <c r="AB2352" s="21" t="n">
        <f aca="false">P2352</f>
        <v>0.479151861654037</v>
      </c>
      <c r="AC2352" s="3" t="n">
        <f aca="false">Y2352</f>
        <v>-0.18649467411602</v>
      </c>
      <c r="AD2352" s="3" t="n">
        <f aca="false">R2352</f>
        <v>0</v>
      </c>
    </row>
    <row r="2353" customFormat="false" ht="15" hidden="false" customHeight="true" outlineLevel="0" collapsed="false">
      <c r="A2353" s="7" t="s">
        <v>57</v>
      </c>
      <c r="B2353" s="7" t="n">
        <v>2014</v>
      </c>
      <c r="C2353" s="7" t="s">
        <v>143</v>
      </c>
      <c r="D2353" s="7" t="n">
        <v>76</v>
      </c>
      <c r="E2353" s="7" t="n">
        <v>86</v>
      </c>
      <c r="F2353" s="3" t="n">
        <f aca="false">COUNTIFS($B$2:$B$2705,B2353,$C$2:$C$2705,C2353)</f>
        <v>1</v>
      </c>
      <c r="G2353" s="3" t="n">
        <f aca="false">MIN(INT((MIN(B2353,2020)-1900)/10)+1,12)</f>
        <v>12</v>
      </c>
      <c r="H2353" s="3" t="n">
        <f aca="false">(MIN(B2353,2020)-1900-10*(G2353-1))/10</f>
        <v>0.4</v>
      </c>
      <c r="I2353" s="20" t="n">
        <f aca="false">EXP(LN(INDEX(Pop_Inputs!$B$2:$N$29,MATCH(C2353,Pop_Inputs!$A$2:$A$29,0),G2353))*(1-H2353)+LN(INDEX(Pop_Inputs!$B$2:$N$29,MATCH(C2353,Pop_Inputs!$A$2:$A$29,0),G2353+1))*H2353)</f>
        <v>301832.062152781</v>
      </c>
      <c r="J2353" s="20" t="n">
        <f aca="false">I2353/F2353</f>
        <v>301832.062152781</v>
      </c>
      <c r="K2353" s="21" t="n">
        <f aca="false">D2353/(D2353+E2353)</f>
        <v>0.469135802469136</v>
      </c>
      <c r="L2353" s="21" t="n">
        <f aca="false">AVERAGEIFS($K$2:$K$2705,$B$2:$B$2705,B2353)</f>
        <v>0.5</v>
      </c>
      <c r="M2353" s="21" t="n">
        <f aca="false">K2353-L2353</f>
        <v>-0.0308641975308642</v>
      </c>
      <c r="N2353" s="21" t="n">
        <f aca="false">LN(J2353)</f>
        <v>12.6176260560973</v>
      </c>
      <c r="O2353" s="21" t="n">
        <f aca="false">AVERAGEIFS($N$2:$N$2705,$B$2:$B$2705,B2353)</f>
        <v>13.6422981965524</v>
      </c>
      <c r="P2353" s="21" t="n">
        <f aca="false">N2353-O2353</f>
        <v>-1.02467214045514</v>
      </c>
      <c r="Q2353" s="7" t="n">
        <v>0</v>
      </c>
      <c r="R2353" s="3" t="n">
        <f aca="false">IF(AND(Q2353=1,B2353-_xlfn.MINIFS($B$2:$B$2705,$A$2:$A$2705,A2353)&lt;10),1,0)</f>
        <v>0</v>
      </c>
      <c r="S2353" s="7" t="n">
        <v>0</v>
      </c>
      <c r="T2353" s="3" t="n">
        <f aca="false">_xlfn.MINIFS($B$2:$B$2705,$A$2:$A$2705,A2353)</f>
        <v>1901</v>
      </c>
      <c r="U2353" s="3" t="n">
        <f aca="false">B2353-T2353</f>
        <v>113</v>
      </c>
      <c r="V2353" s="3" t="str">
        <f aca="false">INDEX(Pop_Inputs!$Q$2:$Q$29,MATCH(C2353,Pop_Inputs!$A$2:$A$29,0))</f>
        <v>Midwest</v>
      </c>
      <c r="W2353" s="29" t="n">
        <v>108217500</v>
      </c>
      <c r="X2353" s="3" t="n">
        <f aca="false">IF(W2353="","",LN(W2353))</f>
        <v>18.4996536488217</v>
      </c>
      <c r="Y2353" s="3" t="n">
        <f aca="false">IF(X2353="","",X2353-AVERAGEIFS($X$2:$X$2705,$B$2:$B$2705,B2353))</f>
        <v>0.0929983819922171</v>
      </c>
      <c r="Z2353" s="21" t="n">
        <f aca="false">P2353</f>
        <v>-1.02467214045514</v>
      </c>
      <c r="AA2353" s="3" t="n">
        <f aca="false">R2353</f>
        <v>0</v>
      </c>
      <c r="AB2353" s="21" t="n">
        <f aca="false">P2353</f>
        <v>-1.02467214045514</v>
      </c>
      <c r="AC2353" s="3" t="n">
        <f aca="false">Y2353</f>
        <v>0.0929983819922171</v>
      </c>
      <c r="AD2353" s="3" t="n">
        <f aca="false">R2353</f>
        <v>0</v>
      </c>
    </row>
    <row r="2354" customFormat="false" ht="15" hidden="false" customHeight="true" outlineLevel="0" collapsed="false">
      <c r="A2354" s="7" t="s">
        <v>66</v>
      </c>
      <c r="B2354" s="7" t="n">
        <v>2014</v>
      </c>
      <c r="C2354" s="7" t="s">
        <v>151</v>
      </c>
      <c r="D2354" s="7" t="n">
        <v>85</v>
      </c>
      <c r="E2354" s="7" t="n">
        <v>77</v>
      </c>
      <c r="F2354" s="3" t="n">
        <f aca="false">COUNTIFS($B$2:$B$2705,B2354,$C$2:$C$2705,C2354)</f>
        <v>1</v>
      </c>
      <c r="G2354" s="3" t="n">
        <f aca="false">MIN(INT((MIN(B2354,2020)-1900)/10)+1,12)</f>
        <v>12</v>
      </c>
      <c r="H2354" s="3" t="n">
        <f aca="false">(MIN(B2354,2020)-1900-10*(G2354-1))/10</f>
        <v>0.4</v>
      </c>
      <c r="I2354" s="20" t="n">
        <f aca="false">EXP(LN(INDEX(Pop_Inputs!$B$2:$N$29,MATCH(C2354,Pop_Inputs!$A$2:$A$29,0),G2354))*(1-H2354)+LN(INDEX(Pop_Inputs!$B$2:$N$29,MATCH(C2354,Pop_Inputs!$A$2:$A$29,0),G2354+1))*H2354)</f>
        <v>386955.637084336</v>
      </c>
      <c r="J2354" s="20" t="n">
        <f aca="false">I2354/F2354</f>
        <v>386955.637084336</v>
      </c>
      <c r="K2354" s="21" t="n">
        <f aca="false">D2354/(D2354+E2354)</f>
        <v>0.524691358024691</v>
      </c>
      <c r="L2354" s="21" t="n">
        <f aca="false">AVERAGEIFS($K$2:$K$2705,$B$2:$B$2705,B2354)</f>
        <v>0.5</v>
      </c>
      <c r="M2354" s="21" t="n">
        <f aca="false">K2354-L2354</f>
        <v>0.0246913580246914</v>
      </c>
      <c r="N2354" s="21" t="n">
        <f aca="false">LN(J2354)</f>
        <v>12.8660653325841</v>
      </c>
      <c r="O2354" s="21" t="n">
        <f aca="false">AVERAGEIFS($N$2:$N$2705,$B$2:$B$2705,B2354)</f>
        <v>13.6422981965524</v>
      </c>
      <c r="P2354" s="21" t="n">
        <f aca="false">N2354-O2354</f>
        <v>-0.776232863968339</v>
      </c>
      <c r="Q2354" s="7" t="n">
        <v>0</v>
      </c>
      <c r="R2354" s="3" t="n">
        <f aca="false">IF(AND(Q2354=1,B2354-_xlfn.MINIFS($B$2:$B$2705,$A$2:$A$2705,A2354)&lt;10),1,0)</f>
        <v>0</v>
      </c>
      <c r="S2354" s="7" t="n">
        <v>0</v>
      </c>
      <c r="T2354" s="3" t="n">
        <f aca="false">_xlfn.MINIFS($B$2:$B$2705,$A$2:$A$2705,A2354)</f>
        <v>1901</v>
      </c>
      <c r="U2354" s="3" t="n">
        <f aca="false">B2354-T2354</f>
        <v>113</v>
      </c>
      <c r="V2354" s="3" t="str">
        <f aca="false">INDEX(Pop_Inputs!$Q$2:$Q$29,MATCH(C2354,Pop_Inputs!$A$2:$A$29,0))</f>
        <v>Midwest</v>
      </c>
      <c r="W2354" s="29" t="n">
        <v>82151899</v>
      </c>
      <c r="X2354" s="3" t="n">
        <f aca="false">IF(W2354="","",LN(W2354))</f>
        <v>18.2240805184311</v>
      </c>
      <c r="Y2354" s="3" t="n">
        <f aca="false">IF(X2354="","",X2354-AVERAGEIFS($X$2:$X$2705,$B$2:$B$2705,B2354))</f>
        <v>-0.182574748398302</v>
      </c>
      <c r="Z2354" s="21" t="n">
        <f aca="false">P2354</f>
        <v>-0.776232863968339</v>
      </c>
      <c r="AA2354" s="3" t="n">
        <f aca="false">R2354</f>
        <v>0</v>
      </c>
      <c r="AB2354" s="21" t="n">
        <f aca="false">P2354</f>
        <v>-0.776232863968339</v>
      </c>
      <c r="AC2354" s="3" t="n">
        <f aca="false">Y2354</f>
        <v>-0.182574748398302</v>
      </c>
      <c r="AD2354" s="3" t="n">
        <f aca="false">R2354</f>
        <v>0</v>
      </c>
    </row>
    <row r="2355" customFormat="false" ht="15" hidden="false" customHeight="true" outlineLevel="0" collapsed="false">
      <c r="A2355" s="7" t="s">
        <v>82</v>
      </c>
      <c r="B2355" s="7" t="n">
        <v>2014</v>
      </c>
      <c r="C2355" s="7" t="s">
        <v>163</v>
      </c>
      <c r="D2355" s="7" t="n">
        <v>66</v>
      </c>
      <c r="E2355" s="7" t="n">
        <v>96</v>
      </c>
      <c r="F2355" s="3" t="n">
        <f aca="false">COUNTIFS($B$2:$B$2705,B2355,$C$2:$C$2705,C2355)</f>
        <v>1</v>
      </c>
      <c r="G2355" s="3" t="n">
        <f aca="false">MIN(INT((MIN(B2355,2020)-1900)/10)+1,12)</f>
        <v>12</v>
      </c>
      <c r="H2355" s="3" t="n">
        <f aca="false">(MIN(B2355,2020)-1900-10*(G2355-1))/10</f>
        <v>0.4</v>
      </c>
      <c r="I2355" s="20" t="n">
        <f aca="false">EXP(LN(INDEX(Pop_Inputs!$B$2:$N$29,MATCH(C2355,Pop_Inputs!$A$2:$A$29,0),G2355))*(1-H2355)+LN(INDEX(Pop_Inputs!$B$2:$N$29,MATCH(C2355,Pop_Inputs!$A$2:$A$29,0),G2355+1))*H2355)</f>
        <v>643885.3683674</v>
      </c>
      <c r="J2355" s="20" t="n">
        <f aca="false">I2355/F2355</f>
        <v>643885.3683674</v>
      </c>
      <c r="K2355" s="21" t="n">
        <f aca="false">D2355/(D2355+E2355)</f>
        <v>0.407407407407407</v>
      </c>
      <c r="L2355" s="21" t="n">
        <f aca="false">AVERAGEIFS($K$2:$K$2705,$B$2:$B$2705,B2355)</f>
        <v>0.5</v>
      </c>
      <c r="M2355" s="21" t="n">
        <f aca="false">K2355-L2355</f>
        <v>-0.0925925925925926</v>
      </c>
      <c r="N2355" s="21" t="n">
        <f aca="false">LN(J2355)</f>
        <v>13.3752759898132</v>
      </c>
      <c r="O2355" s="21" t="n">
        <f aca="false">AVERAGEIFS($N$2:$N$2705,$B$2:$B$2705,B2355)</f>
        <v>13.6422981965524</v>
      </c>
      <c r="P2355" s="21" t="n">
        <f aca="false">N2355-O2355</f>
        <v>-0.267022206739187</v>
      </c>
      <c r="Q2355" s="7" t="n">
        <v>1</v>
      </c>
      <c r="R2355" s="3" t="n">
        <f aca="false">IF(AND(Q2355=1,B2355-_xlfn.MINIFS($B$2:$B$2705,$A$2:$A$2705,A2355)&lt;10),1,0)</f>
        <v>0</v>
      </c>
      <c r="S2355" s="7" t="n">
        <v>0</v>
      </c>
      <c r="T2355" s="3" t="n">
        <f aca="false">_xlfn.MINIFS($B$2:$B$2705,$A$2:$A$2705,A2355)</f>
        <v>1993</v>
      </c>
      <c r="U2355" s="3" t="n">
        <f aca="false">B2355-T2355</f>
        <v>21</v>
      </c>
      <c r="V2355" s="3" t="str">
        <f aca="false">INDEX(Pop_Inputs!$Q$2:$Q$29,MATCH(C2355,Pop_Inputs!$A$2:$A$29,0))</f>
        <v>West</v>
      </c>
      <c r="W2355" s="29" t="n">
        <v>95403500</v>
      </c>
      <c r="X2355" s="3" t="n">
        <f aca="false">IF(W2355="","",LN(W2355))</f>
        <v>18.3736258233766</v>
      </c>
      <c r="Y2355" s="3" t="n">
        <f aca="false">IF(X2355="","",X2355-AVERAGEIFS($X$2:$X$2705,$B$2:$B$2705,B2355))</f>
        <v>-0.0330294434528717</v>
      </c>
      <c r="Z2355" s="21" t="n">
        <f aca="false">P2355</f>
        <v>-0.267022206739187</v>
      </c>
      <c r="AA2355" s="3" t="n">
        <f aca="false">R2355</f>
        <v>0</v>
      </c>
      <c r="AB2355" s="21" t="n">
        <f aca="false">P2355</f>
        <v>-0.267022206739187</v>
      </c>
      <c r="AC2355" s="3" t="n">
        <f aca="false">Y2355</f>
        <v>-0.0330294434528717</v>
      </c>
      <c r="AD2355" s="3" t="n">
        <f aca="false">R2355</f>
        <v>0</v>
      </c>
    </row>
    <row r="2356" customFormat="false" ht="15" hidden="false" customHeight="true" outlineLevel="0" collapsed="false">
      <c r="A2356" s="7" t="s">
        <v>67</v>
      </c>
      <c r="B2356" s="7" t="n">
        <v>2014</v>
      </c>
      <c r="C2356" s="7" t="s">
        <v>152</v>
      </c>
      <c r="D2356" s="7" t="n">
        <v>90</v>
      </c>
      <c r="E2356" s="7" t="n">
        <v>72</v>
      </c>
      <c r="F2356" s="3" t="n">
        <f aca="false">COUNTIFS($B$2:$B$2705,B2356,$C$2:$C$2705,C2356)</f>
        <v>1</v>
      </c>
      <c r="G2356" s="3" t="n">
        <f aca="false">MIN(INT((MIN(B2356,2020)-1900)/10)+1,12)</f>
        <v>12</v>
      </c>
      <c r="H2356" s="3" t="n">
        <f aca="false">(MIN(B2356,2020)-1900-10*(G2356-1))/10</f>
        <v>0.4</v>
      </c>
      <c r="I2356" s="20" t="n">
        <f aca="false">EXP(LN(INDEX(Pop_Inputs!$B$2:$N$29,MATCH(C2356,Pop_Inputs!$A$2:$A$29,0),G2356))*(1-H2356)+LN(INDEX(Pop_Inputs!$B$2:$N$29,MATCH(C2356,Pop_Inputs!$A$2:$A$29,0),G2356+1))*H2356)</f>
        <v>682917.193243775</v>
      </c>
      <c r="J2356" s="20" t="n">
        <f aca="false">I2356/F2356</f>
        <v>682917.193243775</v>
      </c>
      <c r="K2356" s="21" t="n">
        <f aca="false">D2356/(D2356+E2356)</f>
        <v>0.555555555555556</v>
      </c>
      <c r="L2356" s="21" t="n">
        <f aca="false">AVERAGEIFS($K$2:$K$2705,$B$2:$B$2705,B2356)</f>
        <v>0.5</v>
      </c>
      <c r="M2356" s="21" t="n">
        <f aca="false">K2356-L2356</f>
        <v>0.0555555555555556</v>
      </c>
      <c r="N2356" s="21" t="n">
        <f aca="false">LN(J2356)</f>
        <v>13.4341288914426</v>
      </c>
      <c r="O2356" s="21" t="n">
        <f aca="false">AVERAGEIFS($N$2:$N$2705,$B$2:$B$2705,B2356)</f>
        <v>13.6422981965524</v>
      </c>
      <c r="P2356" s="21" t="n">
        <f aca="false">N2356-O2356</f>
        <v>-0.208169305109815</v>
      </c>
      <c r="Q2356" s="7" t="n">
        <v>0</v>
      </c>
      <c r="R2356" s="3" t="n">
        <f aca="false">IF(AND(Q2356=1,B2356-_xlfn.MINIFS($B$2:$B$2705,$A$2:$A$2705,A2356)&lt;10),1,0)</f>
        <v>0</v>
      </c>
      <c r="S2356" s="7" t="n">
        <v>0</v>
      </c>
      <c r="T2356" s="3" t="n">
        <f aca="false">_xlfn.MINIFS($B$2:$B$2705,$A$2:$A$2705,A2356)</f>
        <v>1901</v>
      </c>
      <c r="U2356" s="3" t="n">
        <f aca="false">B2356-T2356</f>
        <v>113</v>
      </c>
      <c r="V2356" s="3" t="str">
        <f aca="false">INDEX(Pop_Inputs!$Q$2:$Q$29,MATCH(C2356,Pop_Inputs!$A$2:$A$29,0))</f>
        <v>Midwest</v>
      </c>
      <c r="W2356" s="29" t="n">
        <v>152855500</v>
      </c>
      <c r="X2356" s="3" t="n">
        <f aca="false">IF(W2356="","",LN(W2356))</f>
        <v>18.8450035886436</v>
      </c>
      <c r="Y2356" s="3" t="n">
        <f aca="false">IF(X2356="","",X2356-AVERAGEIFS($X$2:$X$2705,$B$2:$B$2705,B2356))</f>
        <v>0.438348321814164</v>
      </c>
      <c r="Z2356" s="21" t="n">
        <f aca="false">P2356</f>
        <v>-0.208169305109815</v>
      </c>
      <c r="AA2356" s="3" t="n">
        <f aca="false">R2356</f>
        <v>0</v>
      </c>
      <c r="AB2356" s="21" t="n">
        <f aca="false">P2356</f>
        <v>-0.208169305109815</v>
      </c>
      <c r="AC2356" s="3" t="n">
        <f aca="false">Y2356</f>
        <v>0.438348321814164</v>
      </c>
      <c r="AD2356" s="3" t="n">
        <f aca="false">R2356</f>
        <v>0</v>
      </c>
    </row>
    <row r="2357" customFormat="false" ht="15" hidden="false" customHeight="true" outlineLevel="0" collapsed="false">
      <c r="A2357" s="7" t="s">
        <v>83</v>
      </c>
      <c r="B2357" s="7" t="n">
        <v>2014</v>
      </c>
      <c r="C2357" s="7" t="s">
        <v>164</v>
      </c>
      <c r="D2357" s="7" t="n">
        <v>77</v>
      </c>
      <c r="E2357" s="7" t="n">
        <v>85</v>
      </c>
      <c r="F2357" s="3" t="n">
        <f aca="false">COUNTIFS($B$2:$B$2705,B2357,$C$2:$C$2705,C2357)</f>
        <v>1</v>
      </c>
      <c r="G2357" s="3" t="n">
        <f aca="false">MIN(INT((MIN(B2357,2020)-1900)/10)+1,12)</f>
        <v>12</v>
      </c>
      <c r="H2357" s="3" t="n">
        <f aca="false">(MIN(B2357,2020)-1900-10*(G2357-1))/10</f>
        <v>0.4</v>
      </c>
      <c r="I2357" s="20" t="n">
        <f aca="false">EXP(LN(INDEX(Pop_Inputs!$B$2:$N$29,MATCH(C2357,Pop_Inputs!$A$2:$A$29,0),G2357))*(1-H2357)+LN(INDEX(Pop_Inputs!$B$2:$N$29,MATCH(C2357,Pop_Inputs!$A$2:$A$29,0),G2357+1))*H2357)</f>
        <v>416050.092578031</v>
      </c>
      <c r="J2357" s="20" t="n">
        <f aca="false">I2357/F2357</f>
        <v>416050.092578031</v>
      </c>
      <c r="K2357" s="21" t="n">
        <f aca="false">D2357/(D2357+E2357)</f>
        <v>0.475308641975309</v>
      </c>
      <c r="L2357" s="21" t="n">
        <f aca="false">AVERAGEIFS($K$2:$K$2705,$B$2:$B$2705,B2357)</f>
        <v>0.5</v>
      </c>
      <c r="M2357" s="21" t="n">
        <f aca="false">K2357-L2357</f>
        <v>-0.0246913580246914</v>
      </c>
      <c r="N2357" s="21" t="n">
        <f aca="false">LN(J2357)</f>
        <v>12.9385609468452</v>
      </c>
      <c r="O2357" s="21" t="n">
        <f aca="false">AVERAGEIFS($N$2:$N$2705,$B$2:$B$2705,B2357)</f>
        <v>13.6422981965524</v>
      </c>
      <c r="P2357" s="21" t="n">
        <f aca="false">N2357-O2357</f>
        <v>-0.703737249707245</v>
      </c>
      <c r="Q2357" s="7" t="n">
        <v>1</v>
      </c>
      <c r="R2357" s="3" t="n">
        <f aca="false">IF(AND(Q2357=1,B2357-_xlfn.MINIFS($B$2:$B$2705,$A$2:$A$2705,A2357)&lt;10),1,0)</f>
        <v>0</v>
      </c>
      <c r="S2357" s="7" t="n">
        <v>0</v>
      </c>
      <c r="T2357" s="3" t="n">
        <f aca="false">_xlfn.MINIFS($B$2:$B$2705,$A$2:$A$2705,A2357)</f>
        <v>1993</v>
      </c>
      <c r="U2357" s="3" t="n">
        <f aca="false">B2357-T2357</f>
        <v>21</v>
      </c>
      <c r="V2357" s="3" t="str">
        <f aca="false">INDEX(Pop_Inputs!$Q$2:$Q$29,MATCH(C2357,Pop_Inputs!$A$2:$A$29,0))</f>
        <v>South</v>
      </c>
      <c r="W2357" s="29" t="n">
        <v>41836900</v>
      </c>
      <c r="X2357" s="3" t="n">
        <f aca="false">IF(W2357="","",LN(W2357))</f>
        <v>17.5492892831978</v>
      </c>
      <c r="Y2357" s="3" t="n">
        <f aca="false">IF(X2357="","",X2357-AVERAGEIFS($X$2:$X$2705,$B$2:$B$2705,B2357))</f>
        <v>-0.857365983631631</v>
      </c>
      <c r="Z2357" s="21" t="n">
        <f aca="false">P2357</f>
        <v>-0.703737249707245</v>
      </c>
      <c r="AA2357" s="3" t="n">
        <f aca="false">R2357</f>
        <v>0</v>
      </c>
      <c r="AB2357" s="21" t="n">
        <f aca="false">P2357</f>
        <v>-0.703737249707245</v>
      </c>
      <c r="AC2357" s="3" t="n">
        <f aca="false">Y2357</f>
        <v>-0.857365983631631</v>
      </c>
      <c r="AD2357" s="3" t="n">
        <f aca="false">R2357</f>
        <v>0</v>
      </c>
    </row>
    <row r="2358" customFormat="false" ht="15" hidden="false" customHeight="true" outlineLevel="0" collapsed="false">
      <c r="A2358" s="7" t="s">
        <v>74</v>
      </c>
      <c r="B2358" s="7" t="n">
        <v>2014</v>
      </c>
      <c r="C2358" s="7" t="s">
        <v>156</v>
      </c>
      <c r="D2358" s="7" t="n">
        <v>70</v>
      </c>
      <c r="E2358" s="7" t="n">
        <v>92</v>
      </c>
      <c r="F2358" s="3" t="n">
        <f aca="false">COUNTIFS($B$2:$B$2705,B2358,$C$2:$C$2705,C2358)</f>
        <v>1</v>
      </c>
      <c r="G2358" s="3" t="n">
        <f aca="false">MIN(INT((MIN(B2358,2020)-1900)/10)+1,12)</f>
        <v>12</v>
      </c>
      <c r="H2358" s="3" t="n">
        <f aca="false">(MIN(B2358,2020)-1900-10*(G2358-1))/10</f>
        <v>0.4</v>
      </c>
      <c r="I2358" s="20" t="n">
        <f aca="false">EXP(LN(INDEX(Pop_Inputs!$B$2:$N$29,MATCH(C2358,Pop_Inputs!$A$2:$A$29,0),G2358))*(1-H2358)+LN(INDEX(Pop_Inputs!$B$2:$N$29,MATCH(C2358,Pop_Inputs!$A$2:$A$29,0),G2358+1))*H2358)</f>
        <v>2179215.40944024</v>
      </c>
      <c r="J2358" s="20" t="n">
        <f aca="false">I2358/F2358</f>
        <v>2179215.40944024</v>
      </c>
      <c r="K2358" s="21" t="n">
        <f aca="false">D2358/(D2358+E2358)</f>
        <v>0.432098765432099</v>
      </c>
      <c r="L2358" s="21" t="n">
        <f aca="false">AVERAGEIFS($K$2:$K$2705,$B$2:$B$2705,B2358)</f>
        <v>0.5</v>
      </c>
      <c r="M2358" s="21" t="n">
        <f aca="false">K2358-L2358</f>
        <v>-0.0679012345679013</v>
      </c>
      <c r="N2358" s="21" t="n">
        <f aca="false">LN(J2358)</f>
        <v>14.5944754660578</v>
      </c>
      <c r="O2358" s="21" t="n">
        <f aca="false">AVERAGEIFS($N$2:$N$2705,$B$2:$B$2705,B2358)</f>
        <v>13.6422981965524</v>
      </c>
      <c r="P2358" s="21" t="n">
        <f aca="false">N2358-O2358</f>
        <v>0.952177269505418</v>
      </c>
      <c r="Q2358" s="7" t="n">
        <v>1</v>
      </c>
      <c r="R2358" s="3" t="n">
        <f aca="false">IF(AND(Q2358=1,B2358-_xlfn.MINIFS($B$2:$B$2705,$A$2:$A$2705,A2358)&lt;10),1,0)</f>
        <v>0</v>
      </c>
      <c r="S2358" s="7" t="n">
        <v>0</v>
      </c>
      <c r="T2358" s="3" t="n">
        <f aca="false">_xlfn.MINIFS($B$2:$B$2705,$A$2:$A$2705,A2358)</f>
        <v>1962</v>
      </c>
      <c r="U2358" s="3" t="n">
        <f aca="false">B2358-T2358</f>
        <v>52</v>
      </c>
      <c r="V2358" s="3" t="str">
        <f aca="false">INDEX(Pop_Inputs!$Q$2:$Q$29,MATCH(C2358,Pop_Inputs!$A$2:$A$29,0))</f>
        <v>South</v>
      </c>
      <c r="W2358" s="29" t="n">
        <v>35116300</v>
      </c>
      <c r="X2358" s="3" t="n">
        <f aca="false">IF(W2358="","",LN(W2358))</f>
        <v>17.374175968106</v>
      </c>
      <c r="Y2358" s="3" t="n">
        <f aca="false">IF(X2358="","",X2358-AVERAGEIFS($X$2:$X$2705,$B$2:$B$2705,B2358))</f>
        <v>-1.03247929872344</v>
      </c>
      <c r="Z2358" s="21" t="n">
        <f aca="false">P2358</f>
        <v>0.952177269505418</v>
      </c>
      <c r="AA2358" s="3" t="n">
        <f aca="false">R2358</f>
        <v>0</v>
      </c>
      <c r="AB2358" s="21" t="n">
        <f aca="false">P2358</f>
        <v>0.952177269505418</v>
      </c>
      <c r="AC2358" s="3" t="n">
        <f aca="false">Y2358</f>
        <v>-1.03247929872344</v>
      </c>
      <c r="AD2358" s="3" t="n">
        <f aca="false">R2358</f>
        <v>0</v>
      </c>
    </row>
    <row r="2359" customFormat="false" ht="15" hidden="false" customHeight="true" outlineLevel="0" collapsed="false">
      <c r="A2359" s="7" t="s">
        <v>76</v>
      </c>
      <c r="B2359" s="7" t="n">
        <v>2014</v>
      </c>
      <c r="C2359" s="7" t="s">
        <v>157</v>
      </c>
      <c r="D2359" s="7" t="n">
        <v>89</v>
      </c>
      <c r="E2359" s="7" t="n">
        <v>73</v>
      </c>
      <c r="F2359" s="3" t="n">
        <f aca="false">COUNTIFS($B$2:$B$2705,B2359,$C$2:$C$2705,C2359)</f>
        <v>1</v>
      </c>
      <c r="G2359" s="3" t="n">
        <f aca="false">MIN(INT((MIN(B2359,2020)-1900)/10)+1,12)</f>
        <v>12</v>
      </c>
      <c r="H2359" s="3" t="n">
        <f aca="false">(MIN(B2359,2020)-1900-10*(G2359-1))/10</f>
        <v>0.4</v>
      </c>
      <c r="I2359" s="20" t="n">
        <f aca="false">EXP(LN(INDEX(Pop_Inputs!$B$2:$N$29,MATCH(C2359,Pop_Inputs!$A$2:$A$29,0),G2359))*(1-H2359)+LN(INDEX(Pop_Inputs!$B$2:$N$29,MATCH(C2359,Pop_Inputs!$A$2:$A$29,0),G2359+1))*H2359)</f>
        <v>478531.214177707</v>
      </c>
      <c r="J2359" s="20" t="n">
        <f aca="false">I2359/F2359</f>
        <v>478531.214177707</v>
      </c>
      <c r="K2359" s="21" t="n">
        <f aca="false">D2359/(D2359+E2359)</f>
        <v>0.549382716049383</v>
      </c>
      <c r="L2359" s="21" t="n">
        <f aca="false">AVERAGEIFS($K$2:$K$2705,$B$2:$B$2705,B2359)</f>
        <v>0.5</v>
      </c>
      <c r="M2359" s="21" t="n">
        <f aca="false">K2359-L2359</f>
        <v>0.0493827160493827</v>
      </c>
      <c r="N2359" s="21" t="n">
        <f aca="false">LN(J2359)</f>
        <v>13.0784767211388</v>
      </c>
      <c r="O2359" s="21" t="n">
        <f aca="false">AVERAGEIFS($N$2:$N$2705,$B$2:$B$2705,B2359)</f>
        <v>13.6422981965524</v>
      </c>
      <c r="P2359" s="21" t="n">
        <f aca="false">N2359-O2359</f>
        <v>-0.563821475413619</v>
      </c>
      <c r="Q2359" s="7" t="n">
        <v>1</v>
      </c>
      <c r="R2359" s="3" t="n">
        <f aca="false">IF(AND(Q2359=1,B2359-_xlfn.MINIFS($B$2:$B$2705,$A$2:$A$2705,A2359)&lt;10),1,0)</f>
        <v>0</v>
      </c>
      <c r="S2359" s="7" t="n">
        <v>0</v>
      </c>
      <c r="T2359" s="3" t="n">
        <f aca="false">_xlfn.MINIFS($B$2:$B$2705,$A$2:$A$2705,A2359)</f>
        <v>1969</v>
      </c>
      <c r="U2359" s="3" t="n">
        <f aca="false">B2359-T2359</f>
        <v>45</v>
      </c>
      <c r="V2359" s="3" t="str">
        <f aca="false">INDEX(Pop_Inputs!$Q$2:$Q$29,MATCH(C2359,Pop_Inputs!$A$2:$A$29,0))</f>
        <v>Midwest</v>
      </c>
      <c r="W2359" s="29" t="n">
        <v>74594075</v>
      </c>
      <c r="X2359" s="3" t="n">
        <f aca="false">IF(W2359="","",LN(W2359))</f>
        <v>18.1275716384273</v>
      </c>
      <c r="Y2359" s="3" t="n">
        <f aca="false">IF(X2359="","",X2359-AVERAGEIFS($X$2:$X$2705,$B$2:$B$2705,B2359))</f>
        <v>-0.279083628402162</v>
      </c>
      <c r="Z2359" s="21" t="n">
        <f aca="false">P2359</f>
        <v>-0.563821475413619</v>
      </c>
      <c r="AA2359" s="3" t="n">
        <f aca="false">R2359</f>
        <v>0</v>
      </c>
      <c r="AB2359" s="21" t="n">
        <f aca="false">P2359</f>
        <v>-0.563821475413619</v>
      </c>
      <c r="AC2359" s="3" t="n">
        <f aca="false">Y2359</f>
        <v>-0.279083628402162</v>
      </c>
      <c r="AD2359" s="3" t="n">
        <f aca="false">R2359</f>
        <v>0</v>
      </c>
    </row>
    <row r="2360" customFormat="false" ht="15" hidden="false" customHeight="true" outlineLevel="0" collapsed="false">
      <c r="A2360" s="7" t="s">
        <v>62</v>
      </c>
      <c r="B2360" s="7" t="n">
        <v>2014</v>
      </c>
      <c r="C2360" s="7" t="s">
        <v>148</v>
      </c>
      <c r="D2360" s="7" t="n">
        <v>94</v>
      </c>
      <c r="E2360" s="7" t="n">
        <v>68</v>
      </c>
      <c r="F2360" s="3" t="n">
        <f aca="false">COUNTIFS($B$2:$B$2705,B2360,$C$2:$C$2705,C2360)</f>
        <v>2</v>
      </c>
      <c r="G2360" s="3" t="n">
        <f aca="false">MIN(INT((MIN(B2360,2020)-1900)/10)+1,12)</f>
        <v>12</v>
      </c>
      <c r="H2360" s="3" t="n">
        <f aca="false">(MIN(B2360,2020)-1900-10*(G2360-1))/10</f>
        <v>0.4</v>
      </c>
      <c r="I2360" s="20" t="n">
        <f aca="false">EXP(LN(INDEX(Pop_Inputs!$B$2:$N$29,MATCH(C2360,Pop_Inputs!$A$2:$A$29,0),G2360))*(1-H2360)+LN(INDEX(Pop_Inputs!$B$2:$N$29,MATCH(C2360,Pop_Inputs!$A$2:$A$29,0),G2360+1))*H2360)</f>
        <v>3834720.26631982</v>
      </c>
      <c r="J2360" s="20" t="n">
        <f aca="false">I2360/F2360</f>
        <v>1917360.13315991</v>
      </c>
      <c r="K2360" s="21" t="n">
        <f aca="false">D2360/(D2360+E2360)</f>
        <v>0.580246913580247</v>
      </c>
      <c r="L2360" s="21" t="n">
        <f aca="false">AVERAGEIFS($K$2:$K$2705,$B$2:$B$2705,B2360)</f>
        <v>0.5</v>
      </c>
      <c r="M2360" s="21" t="n">
        <f aca="false">K2360-L2360</f>
        <v>0.0802469135802469</v>
      </c>
      <c r="N2360" s="21" t="n">
        <f aca="false">LN(J2360)</f>
        <v>14.4664598672736</v>
      </c>
      <c r="O2360" s="21" t="n">
        <f aca="false">AVERAGEIFS($N$2:$N$2705,$B$2:$B$2705,B2360)</f>
        <v>13.6422981965524</v>
      </c>
      <c r="P2360" s="21" t="n">
        <f aca="false">N2360-O2360</f>
        <v>0.824161670721248</v>
      </c>
      <c r="Q2360" s="7" t="n">
        <v>0</v>
      </c>
      <c r="R2360" s="3" t="n">
        <f aca="false">IF(AND(Q2360=1,B2360-_xlfn.MINIFS($B$2:$B$2705,$A$2:$A$2705,A2360)&lt;10),1,0)</f>
        <v>0</v>
      </c>
      <c r="S2360" s="7" t="n">
        <v>0</v>
      </c>
      <c r="T2360" s="3" t="n">
        <f aca="false">_xlfn.MINIFS($B$2:$B$2705,$A$2:$A$2705,A2360)</f>
        <v>1901</v>
      </c>
      <c r="U2360" s="3" t="n">
        <f aca="false">B2360-T2360</f>
        <v>113</v>
      </c>
      <c r="V2360" s="3" t="str">
        <f aca="false">INDEX(Pop_Inputs!$Q$2:$Q$29,MATCH(C2360,Pop_Inputs!$A$2:$A$29,0))</f>
        <v>West</v>
      </c>
      <c r="W2360" s="29" t="n">
        <v>217014600</v>
      </c>
      <c r="X2360" s="3" t="n">
        <f aca="false">IF(W2360="","",LN(W2360))</f>
        <v>19.1954751903475</v>
      </c>
      <c r="Y2360" s="3" t="n">
        <f aca="false">IF(X2360="","",X2360-AVERAGEIFS($X$2:$X$2705,$B$2:$B$2705,B2360))</f>
        <v>0.788819923518012</v>
      </c>
      <c r="Z2360" s="21" t="n">
        <f aca="false">P2360</f>
        <v>0.824161670721248</v>
      </c>
      <c r="AA2360" s="3" t="n">
        <f aca="false">R2360</f>
        <v>0</v>
      </c>
      <c r="AB2360" s="21" t="n">
        <f aca="false">P2360</f>
        <v>0.824161670721248</v>
      </c>
      <c r="AC2360" s="3" t="n">
        <f aca="false">Y2360</f>
        <v>0.788819923518012</v>
      </c>
      <c r="AD2360" s="3" t="n">
        <f aca="false">R2360</f>
        <v>0</v>
      </c>
    </row>
    <row r="2361" customFormat="false" ht="15" hidden="false" customHeight="true" outlineLevel="0" collapsed="false">
      <c r="A2361" s="7" t="s">
        <v>77</v>
      </c>
      <c r="B2361" s="7" t="n">
        <v>2014</v>
      </c>
      <c r="C2361" s="7" t="s">
        <v>158</v>
      </c>
      <c r="D2361" s="7" t="n">
        <v>82</v>
      </c>
      <c r="E2361" s="7" t="n">
        <v>80</v>
      </c>
      <c r="F2361" s="3" t="n">
        <f aca="false">COUNTIFS($B$2:$B$2705,B2361,$C$2:$C$2705,C2361)</f>
        <v>1</v>
      </c>
      <c r="G2361" s="3" t="n">
        <f aca="false">MIN(INT((MIN(B2361,2020)-1900)/10)+1,12)</f>
        <v>12</v>
      </c>
      <c r="H2361" s="3" t="n">
        <f aca="false">(MIN(B2361,2020)-1900-10*(G2361-1))/10</f>
        <v>0.4</v>
      </c>
      <c r="I2361" s="20" t="n">
        <f aca="false">EXP(LN(INDEX(Pop_Inputs!$B$2:$N$29,MATCH(C2361,Pop_Inputs!$A$2:$A$29,0),G2361))*(1-H2361)+LN(INDEX(Pop_Inputs!$B$2:$N$29,MATCH(C2361,Pop_Inputs!$A$2:$A$29,0),G2361+1))*H2361)</f>
        <v>587725.024325371</v>
      </c>
      <c r="J2361" s="20" t="n">
        <f aca="false">I2361/F2361</f>
        <v>587725.024325371</v>
      </c>
      <c r="K2361" s="21" t="n">
        <f aca="false">D2361/(D2361+E2361)</f>
        <v>0.506172839506173</v>
      </c>
      <c r="L2361" s="21" t="n">
        <f aca="false">AVERAGEIFS($K$2:$K$2705,$B$2:$B$2705,B2361)</f>
        <v>0.5</v>
      </c>
      <c r="M2361" s="21" t="n">
        <f aca="false">K2361-L2361</f>
        <v>0.00617283950617287</v>
      </c>
      <c r="N2361" s="21" t="n">
        <f aca="false">LN(J2361)</f>
        <v>13.2840144717953</v>
      </c>
      <c r="O2361" s="21" t="n">
        <f aca="false">AVERAGEIFS($N$2:$N$2705,$B$2:$B$2705,B2361)</f>
        <v>13.6422981965524</v>
      </c>
      <c r="P2361" s="21" t="n">
        <f aca="false">N2361-O2361</f>
        <v>-0.358283724757138</v>
      </c>
      <c r="Q2361" s="7" t="n">
        <v>1</v>
      </c>
      <c r="R2361" s="3" t="n">
        <f aca="false">IF(AND(Q2361=1,B2361-_xlfn.MINIFS($B$2:$B$2705,$A$2:$A$2705,A2361)&lt;10),1,0)</f>
        <v>0</v>
      </c>
      <c r="S2361" s="7" t="n">
        <v>0</v>
      </c>
      <c r="T2361" s="3" t="n">
        <f aca="false">_xlfn.MINIFS($B$2:$B$2705,$A$2:$A$2705,A2361)</f>
        <v>1969</v>
      </c>
      <c r="U2361" s="3" t="n">
        <f aca="false">B2361-T2361</f>
        <v>45</v>
      </c>
      <c r="V2361" s="3" t="str">
        <f aca="false">INDEX(Pop_Inputs!$Q$2:$Q$29,MATCH(C2361,Pop_Inputs!$A$2:$A$29,0))</f>
        <v>Midwest</v>
      </c>
      <c r="W2361" s="29" t="n">
        <v>101217000</v>
      </c>
      <c r="X2361" s="3" t="n">
        <f aca="false">IF(W2361="","",LN(W2361))</f>
        <v>18.4327772848996</v>
      </c>
      <c r="Y2361" s="3" t="n">
        <f aca="false">IF(X2361="","",X2361-AVERAGEIFS($X$2:$X$2705,$B$2:$B$2705,B2361))</f>
        <v>0.0261220180701578</v>
      </c>
      <c r="Z2361" s="21" t="n">
        <f aca="false">P2361</f>
        <v>-0.358283724757138</v>
      </c>
      <c r="AA2361" s="3" t="n">
        <f aca="false">R2361</f>
        <v>0</v>
      </c>
      <c r="AB2361" s="21" t="n">
        <f aca="false">P2361</f>
        <v>-0.358283724757138</v>
      </c>
      <c r="AC2361" s="3" t="n">
        <f aca="false">Y2361</f>
        <v>0.0261220180701578</v>
      </c>
      <c r="AD2361" s="3" t="n">
        <f aca="false">R2361</f>
        <v>0</v>
      </c>
    </row>
    <row r="2362" customFormat="false" ht="15" hidden="false" customHeight="true" outlineLevel="0" collapsed="false">
      <c r="A2362" s="7" t="s">
        <v>68</v>
      </c>
      <c r="B2362" s="7" t="n">
        <v>2014</v>
      </c>
      <c r="C2362" s="7" t="s">
        <v>153</v>
      </c>
      <c r="D2362" s="7" t="n">
        <v>70</v>
      </c>
      <c r="E2362" s="7" t="n">
        <v>92</v>
      </c>
      <c r="F2362" s="3" t="n">
        <f aca="false">COUNTIFS($B$2:$B$2705,B2362,$C$2:$C$2705,C2362)</f>
        <v>1</v>
      </c>
      <c r="G2362" s="3" t="n">
        <f aca="false">MIN(INT((MIN(B2362,2020)-1900)/10)+1,12)</f>
        <v>12</v>
      </c>
      <c r="H2362" s="3" t="n">
        <f aca="false">(MIN(B2362,2020)-1900-10*(G2362-1))/10</f>
        <v>0.4</v>
      </c>
      <c r="I2362" s="20" t="n">
        <f aca="false">EXP(LN(INDEX(Pop_Inputs!$B$2:$N$29,MATCH(C2362,Pop_Inputs!$A$2:$A$29,0),G2362))*(1-H2362)+LN(INDEX(Pop_Inputs!$B$2:$N$29,MATCH(C2362,Pop_Inputs!$A$2:$A$29,0),G2362+1))*H2362)</f>
        <v>400867.449551479</v>
      </c>
      <c r="J2362" s="20" t="n">
        <f aca="false">I2362/F2362</f>
        <v>400867.449551479</v>
      </c>
      <c r="K2362" s="21" t="n">
        <f aca="false">D2362/(D2362+E2362)</f>
        <v>0.432098765432099</v>
      </c>
      <c r="L2362" s="21" t="n">
        <f aca="false">AVERAGEIFS($K$2:$K$2705,$B$2:$B$2705,B2362)</f>
        <v>0.5</v>
      </c>
      <c r="M2362" s="21" t="n">
        <f aca="false">K2362-L2362</f>
        <v>-0.0679012345679013</v>
      </c>
      <c r="N2362" s="21" t="n">
        <f aca="false">LN(J2362)</f>
        <v>12.9013861018982</v>
      </c>
      <c r="O2362" s="21" t="n">
        <f aca="false">AVERAGEIFS($N$2:$N$2705,$B$2:$B$2705,B2362)</f>
        <v>13.6422981965524</v>
      </c>
      <c r="P2362" s="21" t="n">
        <f aca="false">N2362-O2362</f>
        <v>-0.740912094654235</v>
      </c>
      <c r="Q2362" s="7" t="n">
        <v>0</v>
      </c>
      <c r="R2362" s="3" t="n">
        <f aca="false">IF(AND(Q2362=1,B2362-_xlfn.MINIFS($B$2:$B$2705,$A$2:$A$2705,A2362)&lt;10),1,0)</f>
        <v>0</v>
      </c>
      <c r="S2362" s="7" t="n">
        <v>0</v>
      </c>
      <c r="T2362" s="3" t="n">
        <f aca="false">_xlfn.MINIFS($B$2:$B$2705,$A$2:$A$2705,A2362)</f>
        <v>1901</v>
      </c>
      <c r="U2362" s="3" t="n">
        <f aca="false">B2362-T2362</f>
        <v>113</v>
      </c>
      <c r="V2362" s="3" t="str">
        <f aca="false">INDEX(Pop_Inputs!$Q$2:$Q$29,MATCH(C2362,Pop_Inputs!$A$2:$A$29,0))</f>
        <v>Midwest</v>
      </c>
      <c r="W2362" s="29" t="n">
        <v>83762500</v>
      </c>
      <c r="X2362" s="3" t="n">
        <f aca="false">IF(W2362="","",LN(W2362))</f>
        <v>18.2434959712636</v>
      </c>
      <c r="Y2362" s="3" t="n">
        <f aca="false">IF(X2362="","",X2362-AVERAGEIFS($X$2:$X$2705,$B$2:$B$2705,B2362))</f>
        <v>-0.163159295565876</v>
      </c>
      <c r="Z2362" s="21" t="n">
        <f aca="false">P2362</f>
        <v>-0.740912094654235</v>
      </c>
      <c r="AA2362" s="3" t="n">
        <f aca="false">R2362</f>
        <v>0</v>
      </c>
      <c r="AB2362" s="21" t="n">
        <f aca="false">P2362</f>
        <v>-0.740912094654235</v>
      </c>
      <c r="AC2362" s="3" t="n">
        <f aca="false">Y2362</f>
        <v>-0.163159295565876</v>
      </c>
      <c r="AD2362" s="3" t="n">
        <f aca="false">R2362</f>
        <v>0</v>
      </c>
    </row>
    <row r="2363" customFormat="false" ht="15" hidden="false" customHeight="true" outlineLevel="0" collapsed="false">
      <c r="A2363" s="7" t="s">
        <v>75</v>
      </c>
      <c r="B2363" s="7" t="n">
        <v>2014</v>
      </c>
      <c r="C2363" s="7" t="s">
        <v>154</v>
      </c>
      <c r="D2363" s="7" t="n">
        <v>79</v>
      </c>
      <c r="E2363" s="7" t="n">
        <v>83</v>
      </c>
      <c r="F2363" s="3" t="n">
        <f aca="false">COUNTIFS($B$2:$B$2705,B2363,$C$2:$C$2705,C2363)</f>
        <v>2</v>
      </c>
      <c r="G2363" s="3" t="n">
        <f aca="false">MIN(INT((MIN(B2363,2020)-1900)/10)+1,12)</f>
        <v>12</v>
      </c>
      <c r="H2363" s="3" t="n">
        <f aca="false">(MIN(B2363,2020)-1900-10*(G2363-1))/10</f>
        <v>0.4</v>
      </c>
      <c r="I2363" s="20" t="n">
        <f aca="false">EXP(LN(INDEX(Pop_Inputs!$B$2:$N$29,MATCH(C2363,Pop_Inputs!$A$2:$A$29,0),G2363))*(1-H2363)+LN(INDEX(Pop_Inputs!$B$2:$N$29,MATCH(C2363,Pop_Inputs!$A$2:$A$29,0),G2363+1))*H2363)</f>
        <v>8421174.34364526</v>
      </c>
      <c r="J2363" s="20" t="n">
        <f aca="false">I2363/F2363</f>
        <v>4210587.17182263</v>
      </c>
      <c r="K2363" s="21" t="n">
        <f aca="false">D2363/(D2363+E2363)</f>
        <v>0.487654320987654</v>
      </c>
      <c r="L2363" s="21" t="n">
        <f aca="false">AVERAGEIFS($K$2:$K$2705,$B$2:$B$2705,B2363)</f>
        <v>0.5</v>
      </c>
      <c r="M2363" s="21" t="n">
        <f aca="false">K2363-L2363</f>
        <v>-0.0123456790123457</v>
      </c>
      <c r="N2363" s="21" t="n">
        <f aca="false">LN(J2363)</f>
        <v>15.2531126666751</v>
      </c>
      <c r="O2363" s="21" t="n">
        <f aca="false">AVERAGEIFS($N$2:$N$2705,$B$2:$B$2705,B2363)</f>
        <v>13.6422981965524</v>
      </c>
      <c r="P2363" s="21" t="n">
        <f aca="false">N2363-O2363</f>
        <v>1.61081447012275</v>
      </c>
      <c r="Q2363" s="7" t="n">
        <v>1</v>
      </c>
      <c r="R2363" s="3" t="n">
        <f aca="false">IF(AND(Q2363=1,B2363-_xlfn.MINIFS($B$2:$B$2705,$A$2:$A$2705,A2363)&lt;10),1,0)</f>
        <v>0</v>
      </c>
      <c r="S2363" s="7" t="n">
        <v>0</v>
      </c>
      <c r="T2363" s="3" t="n">
        <f aca="false">_xlfn.MINIFS($B$2:$B$2705,$A$2:$A$2705,A2363)</f>
        <v>1962</v>
      </c>
      <c r="U2363" s="3" t="n">
        <f aca="false">B2363-T2363</f>
        <v>52</v>
      </c>
      <c r="V2363" s="3" t="str">
        <f aca="false">INDEX(Pop_Inputs!$Q$2:$Q$29,MATCH(C2363,Pop_Inputs!$A$2:$A$29,0))</f>
        <v>Northeast</v>
      </c>
      <c r="W2363" s="29" t="n">
        <v>85556990</v>
      </c>
      <c r="X2363" s="3" t="n">
        <f aca="false">IF(W2363="","",LN(W2363))</f>
        <v>18.264693261569</v>
      </c>
      <c r="Y2363" s="3" t="n">
        <f aca="false">IF(X2363="","",X2363-AVERAGEIFS($X$2:$X$2705,$B$2:$B$2705,B2363))</f>
        <v>-0.141962005260439</v>
      </c>
      <c r="Z2363" s="21" t="n">
        <f aca="false">P2363</f>
        <v>1.61081447012275</v>
      </c>
      <c r="AA2363" s="3" t="n">
        <f aca="false">R2363</f>
        <v>0</v>
      </c>
      <c r="AB2363" s="21" t="n">
        <f aca="false">P2363</f>
        <v>1.61081447012275</v>
      </c>
      <c r="AC2363" s="3" t="n">
        <f aca="false">Y2363</f>
        <v>-0.141962005260439</v>
      </c>
      <c r="AD2363" s="3" t="n">
        <f aca="false">R2363</f>
        <v>0</v>
      </c>
    </row>
    <row r="2364" customFormat="false" ht="15" hidden="false" customHeight="true" outlineLevel="0" collapsed="false">
      <c r="A2364" s="7" t="s">
        <v>70</v>
      </c>
      <c r="B2364" s="7" t="n">
        <v>2014</v>
      </c>
      <c r="C2364" s="7" t="s">
        <v>154</v>
      </c>
      <c r="D2364" s="7" t="n">
        <v>84</v>
      </c>
      <c r="E2364" s="7" t="n">
        <v>78</v>
      </c>
      <c r="F2364" s="3" t="n">
        <f aca="false">COUNTIFS($B$2:$B$2705,B2364,$C$2:$C$2705,C2364)</f>
        <v>2</v>
      </c>
      <c r="G2364" s="3" t="n">
        <f aca="false">MIN(INT((MIN(B2364,2020)-1900)/10)+1,12)</f>
        <v>12</v>
      </c>
      <c r="H2364" s="3" t="n">
        <f aca="false">(MIN(B2364,2020)-1900-10*(G2364-1))/10</f>
        <v>0.4</v>
      </c>
      <c r="I2364" s="20" t="n">
        <f aca="false">EXP(LN(INDEX(Pop_Inputs!$B$2:$N$29,MATCH(C2364,Pop_Inputs!$A$2:$A$29,0),G2364))*(1-H2364)+LN(INDEX(Pop_Inputs!$B$2:$N$29,MATCH(C2364,Pop_Inputs!$A$2:$A$29,0),G2364+1))*H2364)</f>
        <v>8421174.34364526</v>
      </c>
      <c r="J2364" s="20" t="n">
        <f aca="false">I2364/F2364</f>
        <v>4210587.17182263</v>
      </c>
      <c r="K2364" s="21" t="n">
        <f aca="false">D2364/(D2364+E2364)</f>
        <v>0.518518518518519</v>
      </c>
      <c r="L2364" s="21" t="n">
        <f aca="false">AVERAGEIFS($K$2:$K$2705,$B$2:$B$2705,B2364)</f>
        <v>0.5</v>
      </c>
      <c r="M2364" s="21" t="n">
        <f aca="false">K2364-L2364</f>
        <v>0.0185185185185185</v>
      </c>
      <c r="N2364" s="21" t="n">
        <f aca="false">LN(J2364)</f>
        <v>15.2531126666751</v>
      </c>
      <c r="O2364" s="21" t="n">
        <f aca="false">AVERAGEIFS($N$2:$N$2705,$B$2:$B$2705,B2364)</f>
        <v>13.6422981965524</v>
      </c>
      <c r="P2364" s="21" t="n">
        <f aca="false">N2364-O2364</f>
        <v>1.61081447012275</v>
      </c>
      <c r="Q2364" s="7" t="n">
        <v>0</v>
      </c>
      <c r="R2364" s="3" t="n">
        <f aca="false">IF(AND(Q2364=1,B2364-_xlfn.MINIFS($B$2:$B$2705,$A$2:$A$2705,A2364)&lt;10),1,0)</f>
        <v>0</v>
      </c>
      <c r="S2364" s="7" t="n">
        <v>1</v>
      </c>
      <c r="T2364" s="3" t="n">
        <f aca="false">_xlfn.MINIFS($B$2:$B$2705,$A$2:$A$2705,A2364)</f>
        <v>1903</v>
      </c>
      <c r="U2364" s="3" t="n">
        <f aca="false">B2364-T2364</f>
        <v>111</v>
      </c>
      <c r="V2364" s="3" t="str">
        <f aca="false">INDEX(Pop_Inputs!$Q$2:$Q$29,MATCH(C2364,Pop_Inputs!$A$2:$A$29,0))</f>
        <v>Northeast</v>
      </c>
      <c r="W2364" s="29" t="n">
        <v>197543907</v>
      </c>
      <c r="X2364" s="3" t="n">
        <f aca="false">IF(W2364="","",LN(W2364))</f>
        <v>19.1014714315214</v>
      </c>
      <c r="Y2364" s="3" t="n">
        <f aca="false">IF(X2364="","",X2364-AVERAGEIFS($X$2:$X$2705,$B$2:$B$2705,B2364))</f>
        <v>0.694816164691982</v>
      </c>
      <c r="Z2364" s="21" t="n">
        <f aca="false">P2364</f>
        <v>1.61081447012275</v>
      </c>
      <c r="AA2364" s="3" t="n">
        <f aca="false">R2364</f>
        <v>0</v>
      </c>
      <c r="AB2364" s="21" t="n">
        <f aca="false">P2364</f>
        <v>1.61081447012275</v>
      </c>
      <c r="AC2364" s="3" t="n">
        <f aca="false">Y2364</f>
        <v>0.694816164691982</v>
      </c>
      <c r="AD2364" s="3" t="n">
        <f aca="false">R2364</f>
        <v>0</v>
      </c>
    </row>
    <row r="2365" customFormat="false" ht="15" hidden="false" customHeight="true" outlineLevel="0" collapsed="false">
      <c r="A2365" s="7" t="s">
        <v>69</v>
      </c>
      <c r="B2365" s="7" t="n">
        <v>2014</v>
      </c>
      <c r="C2365" s="7" t="s">
        <v>253</v>
      </c>
      <c r="D2365" s="7" t="n">
        <v>88</v>
      </c>
      <c r="E2365" s="7" t="n">
        <v>74</v>
      </c>
      <c r="F2365" s="3" t="n">
        <f aca="false">COUNTIFS($B$2:$B$2705,B2365,$C$2:$C$2705,C2365)</f>
        <v>1</v>
      </c>
      <c r="G2365" s="3" t="n">
        <f aca="false">MIN(INT((MIN(B2365,2020)-1900)/10)+1,12)</f>
        <v>12</v>
      </c>
      <c r="H2365" s="3" t="n">
        <f aca="false">(MIN(B2365,2020)-1900-10*(G2365-1))/10</f>
        <v>0.4</v>
      </c>
      <c r="I2365" s="20" t="n">
        <f aca="false">EXP(LN(INDEX(Pop_Inputs!$B$2:$N$29,MATCH(C2365,Pop_Inputs!$A$2:$A$29,0),G2365))*(1-H2365)+LN(INDEX(Pop_Inputs!$B$2:$N$29,MATCH(C2365,Pop_Inputs!$A$2:$A$29,0),G2365+1))*H2365)</f>
        <v>409975.577081513</v>
      </c>
      <c r="J2365" s="20" t="n">
        <f aca="false">I2365/F2365</f>
        <v>409975.577081513</v>
      </c>
      <c r="K2365" s="21" t="n">
        <f aca="false">D2365/(D2365+E2365)</f>
        <v>0.54320987654321</v>
      </c>
      <c r="L2365" s="21" t="n">
        <f aca="false">AVERAGEIFS($K$2:$K$2705,$B$2:$B$2705,B2365)</f>
        <v>0.5</v>
      </c>
      <c r="M2365" s="21" t="n">
        <f aca="false">K2365-L2365</f>
        <v>0.0432098765432098</v>
      </c>
      <c r="N2365" s="21" t="n">
        <f aca="false">LN(J2365)</f>
        <v>12.9238528688124</v>
      </c>
      <c r="O2365" s="21" t="n">
        <f aca="false">AVERAGEIFS($N$2:$N$2705,$B$2:$B$2705,B2365)</f>
        <v>13.6422981965524</v>
      </c>
      <c r="P2365" s="21" t="n">
        <f aca="false">N2365-O2365</f>
        <v>-0.718445327740026</v>
      </c>
      <c r="Q2365" s="7" t="n">
        <v>0</v>
      </c>
      <c r="R2365" s="3" t="n">
        <f aca="false">IF(AND(Q2365=1,B2365-_xlfn.MINIFS($B$2:$B$2705,$A$2:$A$2705,A2365)&lt;10),1,0)</f>
        <v>0</v>
      </c>
      <c r="S2365" s="7" t="n">
        <v>0</v>
      </c>
      <c r="T2365" s="3" t="n">
        <f aca="false">_xlfn.MINIFS($B$2:$B$2705,$A$2:$A$2705,A2365)</f>
        <v>1901</v>
      </c>
      <c r="U2365" s="3" t="n">
        <f aca="false">B2365-T2365</f>
        <v>113</v>
      </c>
      <c r="V2365" s="3" t="str">
        <f aca="false">INDEX(Pop_Inputs!$Q$2:$Q$29,MATCH(C2365,Pop_Inputs!$A$2:$A$29,0))</f>
        <v>West</v>
      </c>
      <c r="W2365" s="29" t="n">
        <v>72408400</v>
      </c>
      <c r="X2365" s="3" t="n">
        <f aca="false">IF(W2365="","",LN(W2365))</f>
        <v>18.0978328727254</v>
      </c>
      <c r="Y2365" s="3" t="n">
        <f aca="false">IF(X2365="","",X2365-AVERAGEIFS($X$2:$X$2705,$B$2:$B$2705,B2365))</f>
        <v>-0.308822394104091</v>
      </c>
      <c r="Z2365" s="21" t="n">
        <f aca="false">P2365</f>
        <v>-0.718445327740026</v>
      </c>
      <c r="AA2365" s="3" t="n">
        <f aca="false">R2365</f>
        <v>0</v>
      </c>
      <c r="AB2365" s="21" t="n">
        <f aca="false">P2365</f>
        <v>-0.718445327740026</v>
      </c>
      <c r="AC2365" s="3" t="n">
        <f aca="false">Y2365</f>
        <v>-0.308822394104091</v>
      </c>
      <c r="AD2365" s="3" t="n">
        <f aca="false">R2365</f>
        <v>0</v>
      </c>
    </row>
    <row r="2366" customFormat="false" ht="15" hidden="false" customHeight="true" outlineLevel="0" collapsed="false">
      <c r="A2366" s="7" t="s">
        <v>60</v>
      </c>
      <c r="B2366" s="7" t="n">
        <v>2014</v>
      </c>
      <c r="C2366" s="7" t="s">
        <v>146</v>
      </c>
      <c r="D2366" s="7" t="n">
        <v>73</v>
      </c>
      <c r="E2366" s="7" t="n">
        <v>89</v>
      </c>
      <c r="F2366" s="3" t="n">
        <f aca="false">COUNTIFS($B$2:$B$2705,B2366,$C$2:$C$2705,C2366)</f>
        <v>1</v>
      </c>
      <c r="G2366" s="3" t="n">
        <f aca="false">MIN(INT((MIN(B2366,2020)-1900)/10)+1,12)</f>
        <v>12</v>
      </c>
      <c r="H2366" s="3" t="n">
        <f aca="false">(MIN(B2366,2020)-1900-10*(G2366-1))/10</f>
        <v>0.4</v>
      </c>
      <c r="I2366" s="20" t="n">
        <f aca="false">EXP(LN(INDEX(Pop_Inputs!$B$2:$N$29,MATCH(C2366,Pop_Inputs!$A$2:$A$29,0),G2366))*(1-H2366)+LN(INDEX(Pop_Inputs!$B$2:$N$29,MATCH(C2366,Pop_Inputs!$A$2:$A$29,0),G2366+1))*H2366)</f>
        <v>1556659.05916412</v>
      </c>
      <c r="J2366" s="20" t="n">
        <f aca="false">I2366/F2366</f>
        <v>1556659.05916412</v>
      </c>
      <c r="K2366" s="21" t="n">
        <f aca="false">D2366/(D2366+E2366)</f>
        <v>0.450617283950617</v>
      </c>
      <c r="L2366" s="21" t="n">
        <f aca="false">AVERAGEIFS($K$2:$K$2705,$B$2:$B$2705,B2366)</f>
        <v>0.5</v>
      </c>
      <c r="M2366" s="21" t="n">
        <f aca="false">K2366-L2366</f>
        <v>-0.0493827160493827</v>
      </c>
      <c r="N2366" s="21" t="n">
        <f aca="false">LN(J2366)</f>
        <v>14.2580524539184</v>
      </c>
      <c r="O2366" s="21" t="n">
        <f aca="false">AVERAGEIFS($N$2:$N$2705,$B$2:$B$2705,B2366)</f>
        <v>13.6422981965524</v>
      </c>
      <c r="P2366" s="21" t="n">
        <f aca="false">N2366-O2366</f>
        <v>0.615754257366026</v>
      </c>
      <c r="Q2366" s="7" t="n">
        <v>0</v>
      </c>
      <c r="R2366" s="3" t="n">
        <f aca="false">IF(AND(Q2366=1,B2366-_xlfn.MINIFS($B$2:$B$2705,$A$2:$A$2705,A2366)&lt;10),1,0)</f>
        <v>0</v>
      </c>
      <c r="S2366" s="7" t="n">
        <v>0</v>
      </c>
      <c r="T2366" s="3" t="n">
        <f aca="false">_xlfn.MINIFS($B$2:$B$2705,$A$2:$A$2705,A2366)</f>
        <v>1901</v>
      </c>
      <c r="U2366" s="3" t="n">
        <f aca="false">B2366-T2366</f>
        <v>113</v>
      </c>
      <c r="V2366" s="3" t="str">
        <f aca="false">INDEX(Pop_Inputs!$Q$2:$Q$29,MATCH(C2366,Pop_Inputs!$A$2:$A$29,0))</f>
        <v>Northeast</v>
      </c>
      <c r="W2366" s="29" t="n">
        <v>180944967</v>
      </c>
      <c r="X2366" s="3" t="n">
        <f aca="false">IF(W2366="","",LN(W2366))</f>
        <v>19.0137034932739</v>
      </c>
      <c r="Y2366" s="3" t="n">
        <f aca="false">IF(X2366="","",X2366-AVERAGEIFS($X$2:$X$2705,$B$2:$B$2705,B2366))</f>
        <v>0.607048226444416</v>
      </c>
      <c r="Z2366" s="21" t="n">
        <f aca="false">P2366</f>
        <v>0.615754257366026</v>
      </c>
      <c r="AA2366" s="3" t="n">
        <f aca="false">R2366</f>
        <v>0</v>
      </c>
      <c r="AB2366" s="21" t="n">
        <f aca="false">P2366</f>
        <v>0.615754257366026</v>
      </c>
      <c r="AC2366" s="3" t="n">
        <f aca="false">Y2366</f>
        <v>0.607048226444416</v>
      </c>
      <c r="AD2366" s="3" t="n">
        <f aca="false">R2366</f>
        <v>0</v>
      </c>
    </row>
    <row r="2367" customFormat="false" ht="15" hidden="false" customHeight="true" outlineLevel="0" collapsed="false">
      <c r="A2367" s="7" t="s">
        <v>58</v>
      </c>
      <c r="B2367" s="7" t="n">
        <v>2014</v>
      </c>
      <c r="C2367" s="7" t="s">
        <v>144</v>
      </c>
      <c r="D2367" s="7" t="n">
        <v>88</v>
      </c>
      <c r="E2367" s="7" t="n">
        <v>74</v>
      </c>
      <c r="F2367" s="3" t="n">
        <f aca="false">COUNTIFS($B$2:$B$2705,B2367,$C$2:$C$2705,C2367)</f>
        <v>1</v>
      </c>
      <c r="G2367" s="3" t="n">
        <f aca="false">MIN(INT((MIN(B2367,2020)-1900)/10)+1,12)</f>
        <v>12</v>
      </c>
      <c r="H2367" s="3" t="n">
        <f aca="false">(MIN(B2367,2020)-1900-10*(G2367-1))/10</f>
        <v>0.4</v>
      </c>
      <c r="I2367" s="20" t="n">
        <f aca="false">EXP(LN(INDEX(Pop_Inputs!$B$2:$N$29,MATCH(C2367,Pop_Inputs!$A$2:$A$29,0),G2367))*(1-H2367)+LN(INDEX(Pop_Inputs!$B$2:$N$29,MATCH(C2367,Pop_Inputs!$A$2:$A$29,0),G2367+1))*H2367)</f>
        <v>304607.853969482</v>
      </c>
      <c r="J2367" s="20" t="n">
        <f aca="false">I2367/F2367</f>
        <v>304607.853969482</v>
      </c>
      <c r="K2367" s="21" t="n">
        <f aca="false">D2367/(D2367+E2367)</f>
        <v>0.54320987654321</v>
      </c>
      <c r="L2367" s="21" t="n">
        <f aca="false">AVERAGEIFS($K$2:$K$2705,$B$2:$B$2705,B2367)</f>
        <v>0.5</v>
      </c>
      <c r="M2367" s="21" t="n">
        <f aca="false">K2367-L2367</f>
        <v>0.0432098765432098</v>
      </c>
      <c r="N2367" s="21" t="n">
        <f aca="false">LN(J2367)</f>
        <v>12.6267805036462</v>
      </c>
      <c r="O2367" s="21" t="n">
        <f aca="false">AVERAGEIFS($N$2:$N$2705,$B$2:$B$2705,B2367)</f>
        <v>13.6422981965524</v>
      </c>
      <c r="P2367" s="21" t="n">
        <f aca="false">N2367-O2367</f>
        <v>-1.01551769290622</v>
      </c>
      <c r="Q2367" s="7" t="n">
        <v>0</v>
      </c>
      <c r="R2367" s="3" t="n">
        <f aca="false">IF(AND(Q2367=1,B2367-_xlfn.MINIFS($B$2:$B$2705,$A$2:$A$2705,A2367)&lt;10),1,0)</f>
        <v>0</v>
      </c>
      <c r="S2367" s="7" t="n">
        <v>0</v>
      </c>
      <c r="T2367" s="3" t="n">
        <f aca="false">_xlfn.MINIFS($B$2:$B$2705,$A$2:$A$2705,A2367)</f>
        <v>1901</v>
      </c>
      <c r="U2367" s="3" t="n">
        <f aca="false">B2367-T2367</f>
        <v>113</v>
      </c>
      <c r="V2367" s="3" t="str">
        <f aca="false">INDEX(Pop_Inputs!$Q$2:$Q$29,MATCH(C2367,Pop_Inputs!$A$2:$A$29,0))</f>
        <v>Northeast</v>
      </c>
      <c r="W2367" s="29" t="n">
        <v>77178000</v>
      </c>
      <c r="X2367" s="3" t="n">
        <f aca="false">IF(W2367="","",LN(W2367))</f>
        <v>18.1616250002889</v>
      </c>
      <c r="Y2367" s="3" t="n">
        <f aca="false">IF(X2367="","",X2367-AVERAGEIFS($X$2:$X$2705,$B$2:$B$2705,B2367))</f>
        <v>-0.245030266540532</v>
      </c>
      <c r="Z2367" s="21" t="n">
        <f aca="false">P2367</f>
        <v>-1.01551769290622</v>
      </c>
      <c r="AA2367" s="3" t="n">
        <f aca="false">R2367</f>
        <v>0</v>
      </c>
      <c r="AB2367" s="21" t="n">
        <f aca="false">P2367</f>
        <v>-1.01551769290622</v>
      </c>
      <c r="AC2367" s="3" t="n">
        <f aca="false">Y2367</f>
        <v>-0.245030266540532</v>
      </c>
      <c r="AD2367" s="3" t="n">
        <f aca="false">R2367</f>
        <v>0</v>
      </c>
    </row>
    <row r="2368" customFormat="false" ht="15" hidden="false" customHeight="true" outlineLevel="0" collapsed="false">
      <c r="A2368" s="7" t="s">
        <v>78</v>
      </c>
      <c r="B2368" s="7" t="n">
        <v>2014</v>
      </c>
      <c r="C2368" s="7" t="s">
        <v>159</v>
      </c>
      <c r="D2368" s="7" t="n">
        <v>77</v>
      </c>
      <c r="E2368" s="7" t="n">
        <v>85</v>
      </c>
      <c r="F2368" s="3" t="n">
        <f aca="false">COUNTIFS($B$2:$B$2705,B2368,$C$2:$C$2705,C2368)</f>
        <v>1</v>
      </c>
      <c r="G2368" s="3" t="n">
        <f aca="false">MIN(INT((MIN(B2368,2020)-1900)/10)+1,12)</f>
        <v>12</v>
      </c>
      <c r="H2368" s="3" t="n">
        <f aca="false">(MIN(B2368,2020)-1900-10*(G2368-1))/10</f>
        <v>0.4</v>
      </c>
      <c r="I2368" s="20" t="n">
        <f aca="false">EXP(LN(INDEX(Pop_Inputs!$B$2:$N$29,MATCH(C2368,Pop_Inputs!$A$2:$A$29,0),G2368))*(1-H2368)+LN(INDEX(Pop_Inputs!$B$2:$N$29,MATCH(C2368,Pop_Inputs!$A$2:$A$29,0),G2368+1))*H2368)</f>
        <v>1338651.57841203</v>
      </c>
      <c r="J2368" s="20" t="n">
        <f aca="false">I2368/F2368</f>
        <v>1338651.57841203</v>
      </c>
      <c r="K2368" s="21" t="n">
        <f aca="false">D2368/(D2368+E2368)</f>
        <v>0.475308641975309</v>
      </c>
      <c r="L2368" s="21" t="n">
        <f aca="false">AVERAGEIFS($K$2:$K$2705,$B$2:$B$2705,B2368)</f>
        <v>0.5</v>
      </c>
      <c r="M2368" s="21" t="n">
        <f aca="false">K2368-L2368</f>
        <v>-0.0246913580246914</v>
      </c>
      <c r="N2368" s="21" t="n">
        <f aca="false">LN(J2368)</f>
        <v>14.1071733805155</v>
      </c>
      <c r="O2368" s="21" t="n">
        <f aca="false">AVERAGEIFS($N$2:$N$2705,$B$2:$B$2705,B2368)</f>
        <v>13.6422981965524</v>
      </c>
      <c r="P2368" s="21" t="n">
        <f aca="false">N2368-O2368</f>
        <v>0.464875183963125</v>
      </c>
      <c r="Q2368" s="7" t="n">
        <v>1</v>
      </c>
      <c r="R2368" s="3" t="n">
        <f aca="false">IF(AND(Q2368=1,B2368-_xlfn.MINIFS($B$2:$B$2705,$A$2:$A$2705,A2368)&lt;10),1,0)</f>
        <v>0</v>
      </c>
      <c r="S2368" s="7" t="n">
        <v>0</v>
      </c>
      <c r="T2368" s="3" t="n">
        <f aca="false">_xlfn.MINIFS($B$2:$B$2705,$A$2:$A$2705,A2368)</f>
        <v>1969</v>
      </c>
      <c r="U2368" s="3" t="n">
        <f aca="false">B2368-T2368</f>
        <v>45</v>
      </c>
      <c r="V2368" s="3" t="str">
        <f aca="false">INDEX(Pop_Inputs!$Q$2:$Q$29,MATCH(C2368,Pop_Inputs!$A$2:$A$29,0))</f>
        <v>West</v>
      </c>
      <c r="W2368" s="29" t="n">
        <v>75685700</v>
      </c>
      <c r="X2368" s="3" t="n">
        <f aca="false">IF(W2368="","",LN(W2368))</f>
        <v>18.1420997969964</v>
      </c>
      <c r="Y2368" s="3" t="n">
        <f aca="false">IF(X2368="","",X2368-AVERAGEIFS($X$2:$X$2705,$B$2:$B$2705,B2368))</f>
        <v>-0.264555469832999</v>
      </c>
      <c r="Z2368" s="21" t="n">
        <f aca="false">P2368</f>
        <v>0.464875183963125</v>
      </c>
      <c r="AA2368" s="3" t="n">
        <f aca="false">R2368</f>
        <v>0</v>
      </c>
      <c r="AB2368" s="21" t="n">
        <f aca="false">P2368</f>
        <v>0.464875183963125</v>
      </c>
      <c r="AC2368" s="3" t="n">
        <f aca="false">Y2368</f>
        <v>-0.264555469832999</v>
      </c>
      <c r="AD2368" s="3" t="n">
        <f aca="false">R2368</f>
        <v>0</v>
      </c>
    </row>
    <row r="2369" customFormat="false" ht="15" hidden="false" customHeight="true" outlineLevel="0" collapsed="false">
      <c r="A2369" s="7" t="s">
        <v>80</v>
      </c>
      <c r="B2369" s="7" t="n">
        <v>2014</v>
      </c>
      <c r="C2369" s="7" t="s">
        <v>161</v>
      </c>
      <c r="D2369" s="7" t="n">
        <v>87</v>
      </c>
      <c r="E2369" s="7" t="n">
        <v>75</v>
      </c>
      <c r="F2369" s="3" t="n">
        <f aca="false">COUNTIFS($B$2:$B$2705,B2369,$C$2:$C$2705,C2369)</f>
        <v>1</v>
      </c>
      <c r="G2369" s="3" t="n">
        <f aca="false">MIN(INT((MIN(B2369,2020)-1900)/10)+1,12)</f>
        <v>12</v>
      </c>
      <c r="H2369" s="3" t="n">
        <f aca="false">(MIN(B2369,2020)-1900-10*(G2369-1))/10</f>
        <v>0.4</v>
      </c>
      <c r="I2369" s="20" t="n">
        <f aca="false">EXP(LN(INDEX(Pop_Inputs!$B$2:$N$29,MATCH(C2369,Pop_Inputs!$A$2:$A$29,0),G2369))*(1-H2369)+LN(INDEX(Pop_Inputs!$B$2:$N$29,MATCH(C2369,Pop_Inputs!$A$2:$A$29,0),G2369+1))*H2369)</f>
        <v>657075.671793528</v>
      </c>
      <c r="J2369" s="20" t="n">
        <f aca="false">I2369/F2369</f>
        <v>657075.671793528</v>
      </c>
      <c r="K2369" s="21" t="n">
        <f aca="false">D2369/(D2369+E2369)</f>
        <v>0.537037037037037</v>
      </c>
      <c r="L2369" s="21" t="n">
        <f aca="false">AVERAGEIFS($K$2:$K$2705,$B$2:$B$2705,B2369)</f>
        <v>0.5</v>
      </c>
      <c r="M2369" s="21" t="n">
        <f aca="false">K2369-L2369</f>
        <v>0.0370370370370371</v>
      </c>
      <c r="N2369" s="21" t="n">
        <f aca="false">LN(J2369)</f>
        <v>13.3955544686022</v>
      </c>
      <c r="O2369" s="21" t="n">
        <f aca="false">AVERAGEIFS($N$2:$N$2705,$B$2:$B$2705,B2369)</f>
        <v>13.6422981965524</v>
      </c>
      <c r="P2369" s="21" t="n">
        <f aca="false">N2369-O2369</f>
        <v>-0.246743727950172</v>
      </c>
      <c r="Q2369" s="7" t="n">
        <v>1</v>
      </c>
      <c r="R2369" s="3" t="n">
        <f aca="false">IF(AND(Q2369=1,B2369-_xlfn.MINIFS($B$2:$B$2705,$A$2:$A$2705,A2369)&lt;10),1,0)</f>
        <v>0</v>
      </c>
      <c r="S2369" s="7" t="n">
        <v>0</v>
      </c>
      <c r="T2369" s="3" t="n">
        <f aca="false">_xlfn.MINIFS($B$2:$B$2705,$A$2:$A$2705,A2369)</f>
        <v>1977</v>
      </c>
      <c r="U2369" s="3" t="n">
        <f aca="false">B2369-T2369</f>
        <v>37</v>
      </c>
      <c r="V2369" s="3" t="str">
        <f aca="false">INDEX(Pop_Inputs!$Q$2:$Q$29,MATCH(C2369,Pop_Inputs!$A$2:$A$29,0))</f>
        <v>West</v>
      </c>
      <c r="W2369" s="29" t="n">
        <v>92531100</v>
      </c>
      <c r="X2369" s="3" t="n">
        <f aca="false">IF(W2369="","",LN(W2369))</f>
        <v>18.3430553621909</v>
      </c>
      <c r="Y2369" s="3" t="n">
        <f aca="false">IF(X2369="","",X2369-AVERAGEIFS($X$2:$X$2705,$B$2:$B$2705,B2369))</f>
        <v>-0.0635999046385756</v>
      </c>
      <c r="Z2369" s="21" t="n">
        <f aca="false">P2369</f>
        <v>-0.246743727950172</v>
      </c>
      <c r="AA2369" s="3" t="n">
        <f aca="false">R2369</f>
        <v>0</v>
      </c>
      <c r="AB2369" s="21" t="n">
        <f aca="false">P2369</f>
        <v>-0.246743727950172</v>
      </c>
      <c r="AC2369" s="3" t="n">
        <f aca="false">Y2369</f>
        <v>-0.0635999046385756</v>
      </c>
      <c r="AD2369" s="3" t="n">
        <f aca="false">R2369</f>
        <v>0</v>
      </c>
    </row>
    <row r="2370" customFormat="false" ht="15" hidden="false" customHeight="true" outlineLevel="0" collapsed="false">
      <c r="A2370" s="7" t="s">
        <v>61</v>
      </c>
      <c r="B2370" s="7" t="n">
        <v>2014</v>
      </c>
      <c r="C2370" s="7" t="s">
        <v>147</v>
      </c>
      <c r="D2370" s="7" t="n">
        <v>88</v>
      </c>
      <c r="E2370" s="7" t="n">
        <v>74</v>
      </c>
      <c r="F2370" s="3" t="n">
        <f aca="false">COUNTIFS($B$2:$B$2705,B2370,$C$2:$C$2705,C2370)</f>
        <v>1</v>
      </c>
      <c r="G2370" s="3" t="n">
        <f aca="false">MIN(INT((MIN(B2370,2020)-1900)/10)+1,12)</f>
        <v>12</v>
      </c>
      <c r="H2370" s="3" t="n">
        <f aca="false">(MIN(B2370,2020)-1900-10*(G2370-1))/10</f>
        <v>0.4</v>
      </c>
      <c r="I2370" s="20" t="n">
        <f aca="false">EXP(LN(INDEX(Pop_Inputs!$B$2:$N$29,MATCH(C2370,Pop_Inputs!$A$2:$A$29,0),G2370))*(1-H2370)+LN(INDEX(Pop_Inputs!$B$2:$N$29,MATCH(C2370,Pop_Inputs!$A$2:$A$29,0),G2370+1))*H2370)</f>
        <v>832053.405283884</v>
      </c>
      <c r="J2370" s="20" t="n">
        <f aca="false">I2370/F2370</f>
        <v>832053.405283884</v>
      </c>
      <c r="K2370" s="21" t="n">
        <f aca="false">D2370/(D2370+E2370)</f>
        <v>0.54320987654321</v>
      </c>
      <c r="L2370" s="21" t="n">
        <f aca="false">AVERAGEIFS($K$2:$K$2705,$B$2:$B$2705,B2370)</f>
        <v>0.5</v>
      </c>
      <c r="M2370" s="21" t="n">
        <f aca="false">K2370-L2370</f>
        <v>0.0432098765432098</v>
      </c>
      <c r="N2370" s="21" t="n">
        <f aca="false">LN(J2370)</f>
        <v>13.6316519067864</v>
      </c>
      <c r="O2370" s="21" t="n">
        <f aca="false">AVERAGEIFS($N$2:$N$2705,$B$2:$B$2705,B2370)</f>
        <v>13.6422981965524</v>
      </c>
      <c r="P2370" s="21" t="n">
        <f aca="false">N2370-O2370</f>
        <v>-0.0106462897659494</v>
      </c>
      <c r="Q2370" s="7" t="n">
        <v>0</v>
      </c>
      <c r="R2370" s="3" t="n">
        <f aca="false">IF(AND(Q2370=1,B2370-_xlfn.MINIFS($B$2:$B$2705,$A$2:$A$2705,A2370)&lt;10),1,0)</f>
        <v>0</v>
      </c>
      <c r="S2370" s="7" t="n">
        <v>0</v>
      </c>
      <c r="T2370" s="3" t="n">
        <f aca="false">_xlfn.MINIFS($B$2:$B$2705,$A$2:$A$2705,A2370)</f>
        <v>1901</v>
      </c>
      <c r="U2370" s="3" t="n">
        <f aca="false">B2370-T2370</f>
        <v>113</v>
      </c>
      <c r="V2370" s="3" t="str">
        <f aca="false">INDEX(Pop_Inputs!$Q$2:$Q$29,MATCH(C2370,Pop_Inputs!$A$2:$A$29,0))</f>
        <v>West</v>
      </c>
      <c r="W2370" s="29" t="n">
        <v>163510167</v>
      </c>
      <c r="X2370" s="3" t="n">
        <f aca="false">IF(W2370="","",LN(W2370))</f>
        <v>18.9123857298545</v>
      </c>
      <c r="Y2370" s="3" t="n">
        <f aca="false">IF(X2370="","",X2370-AVERAGEIFS($X$2:$X$2705,$B$2:$B$2705,B2370))</f>
        <v>0.505730463025067</v>
      </c>
      <c r="Z2370" s="21" t="n">
        <f aca="false">P2370</f>
        <v>-0.0106462897659494</v>
      </c>
      <c r="AA2370" s="3" t="n">
        <f aca="false">R2370</f>
        <v>0</v>
      </c>
      <c r="AB2370" s="21" t="n">
        <f aca="false">P2370</f>
        <v>-0.0106462897659494</v>
      </c>
      <c r="AC2370" s="3" t="n">
        <f aca="false">Y2370</f>
        <v>0.505730463025067</v>
      </c>
      <c r="AD2370" s="3" t="n">
        <f aca="false">R2370</f>
        <v>0</v>
      </c>
    </row>
    <row r="2371" customFormat="false" ht="15" hidden="false" customHeight="true" outlineLevel="0" collapsed="false">
      <c r="A2371" s="7" t="s">
        <v>59</v>
      </c>
      <c r="B2371" s="7" t="n">
        <v>2014</v>
      </c>
      <c r="C2371" s="7" t="s">
        <v>145</v>
      </c>
      <c r="D2371" s="7" t="n">
        <v>90</v>
      </c>
      <c r="E2371" s="7" t="n">
        <v>72</v>
      </c>
      <c r="F2371" s="3" t="n">
        <f aca="false">COUNTIFS($B$2:$B$2705,B2371,$C$2:$C$2705,C2371)</f>
        <v>1</v>
      </c>
      <c r="G2371" s="3" t="n">
        <f aca="false">MIN(INT((MIN(B2371,2020)-1900)/10)+1,12)</f>
        <v>12</v>
      </c>
      <c r="H2371" s="3" t="n">
        <f aca="false">(MIN(B2371,2020)-1900-10*(G2371-1))/10</f>
        <v>0.4</v>
      </c>
      <c r="I2371" s="20" t="n">
        <f aca="false">EXP(LN(INDEX(Pop_Inputs!$B$2:$N$29,MATCH(C2371,Pop_Inputs!$A$2:$A$29,0),G2371))*(1-H2371)+LN(INDEX(Pop_Inputs!$B$2:$N$29,MATCH(C2371,Pop_Inputs!$A$2:$A$29,0),G2371+1))*H2371)</f>
        <v>312086.021808736</v>
      </c>
      <c r="J2371" s="20" t="n">
        <f aca="false">I2371/F2371</f>
        <v>312086.021808736</v>
      </c>
      <c r="K2371" s="21" t="n">
        <f aca="false">D2371/(D2371+E2371)</f>
        <v>0.555555555555556</v>
      </c>
      <c r="L2371" s="21" t="n">
        <f aca="false">AVERAGEIFS($K$2:$K$2705,$B$2:$B$2705,B2371)</f>
        <v>0.5</v>
      </c>
      <c r="M2371" s="21" t="n">
        <f aca="false">K2371-L2371</f>
        <v>0.0555555555555556</v>
      </c>
      <c r="N2371" s="21" t="n">
        <f aca="false">LN(J2371)</f>
        <v>12.6510341397158</v>
      </c>
      <c r="O2371" s="21" t="n">
        <f aca="false">AVERAGEIFS($N$2:$N$2705,$B$2:$B$2705,B2371)</f>
        <v>13.6422981965524</v>
      </c>
      <c r="P2371" s="21" t="n">
        <f aca="false">N2371-O2371</f>
        <v>-0.991264056836615</v>
      </c>
      <c r="Q2371" s="7" t="n">
        <v>0</v>
      </c>
      <c r="R2371" s="3" t="n">
        <f aca="false">IF(AND(Q2371=1,B2371-_xlfn.MINIFS($B$2:$B$2705,$A$2:$A$2705,A2371)&lt;10),1,0)</f>
        <v>0</v>
      </c>
      <c r="S2371" s="7" t="n">
        <v>0</v>
      </c>
      <c r="T2371" s="3" t="n">
        <f aca="false">_xlfn.MINIFS($B$2:$B$2705,$A$2:$A$2705,A2371)</f>
        <v>1901</v>
      </c>
      <c r="U2371" s="3" t="n">
        <f aca="false">B2371-T2371</f>
        <v>113</v>
      </c>
      <c r="V2371" s="3" t="str">
        <f aca="false">INDEX(Pop_Inputs!$Q$2:$Q$29,MATCH(C2371,Pop_Inputs!$A$2:$A$29,0))</f>
        <v>Midwest</v>
      </c>
      <c r="W2371" s="29" t="n">
        <v>120693000</v>
      </c>
      <c r="X2371" s="3" t="n">
        <f aca="false">IF(W2371="","",LN(W2371))</f>
        <v>18.608760689357</v>
      </c>
      <c r="Y2371" s="3" t="n">
        <f aca="false">IF(X2371="","",X2371-AVERAGEIFS($X$2:$X$2705,$B$2:$B$2705,B2371))</f>
        <v>0.202105422527545</v>
      </c>
      <c r="Z2371" s="21" t="n">
        <f aca="false">P2371</f>
        <v>-0.991264056836615</v>
      </c>
      <c r="AA2371" s="3" t="n">
        <f aca="false">R2371</f>
        <v>0</v>
      </c>
      <c r="AB2371" s="21" t="n">
        <f aca="false">P2371</f>
        <v>-0.991264056836615</v>
      </c>
      <c r="AC2371" s="3" t="n">
        <f aca="false">Y2371</f>
        <v>0.202105422527545</v>
      </c>
      <c r="AD2371" s="3" t="n">
        <f aca="false">R2371</f>
        <v>0</v>
      </c>
    </row>
    <row r="2372" customFormat="false" ht="15" hidden="false" customHeight="true" outlineLevel="0" collapsed="false">
      <c r="A2372" s="7" t="s">
        <v>85</v>
      </c>
      <c r="B2372" s="7" t="n">
        <v>2014</v>
      </c>
      <c r="C2372" s="7" t="s">
        <v>166</v>
      </c>
      <c r="D2372" s="7" t="n">
        <v>77</v>
      </c>
      <c r="E2372" s="7" t="n">
        <v>85</v>
      </c>
      <c r="F2372" s="3" t="n">
        <f aca="false">COUNTIFS($B$2:$B$2705,B2372,$C$2:$C$2705,C2372)</f>
        <v>1</v>
      </c>
      <c r="G2372" s="3" t="n">
        <f aca="false">MIN(INT((MIN(B2372,2020)-1900)/10)+1,12)</f>
        <v>12</v>
      </c>
      <c r="H2372" s="3" t="n">
        <f aca="false">(MIN(B2372,2020)-1900-10*(G2372-1))/10</f>
        <v>0.4</v>
      </c>
      <c r="I2372" s="20" t="n">
        <f aca="false">EXP(LN(INDEX(Pop_Inputs!$B$2:$N$29,MATCH(C2372,Pop_Inputs!$A$2:$A$29,0),G2372))*(1-H2372)+LN(INDEX(Pop_Inputs!$B$2:$N$29,MATCH(C2372,Pop_Inputs!$A$2:$A$29,0),G2372+1))*H2372)</f>
        <v>354603.960326447</v>
      </c>
      <c r="J2372" s="20" t="n">
        <f aca="false">I2372/F2372</f>
        <v>354603.960326447</v>
      </c>
      <c r="K2372" s="21" t="n">
        <f aca="false">D2372/(D2372+E2372)</f>
        <v>0.475308641975309</v>
      </c>
      <c r="L2372" s="21" t="n">
        <f aca="false">AVERAGEIFS($K$2:$K$2705,$B$2:$B$2705,B2372)</f>
        <v>0.5</v>
      </c>
      <c r="M2372" s="21" t="n">
        <f aca="false">K2372-L2372</f>
        <v>-0.0246913580246914</v>
      </c>
      <c r="N2372" s="21" t="n">
        <f aca="false">LN(J2372)</f>
        <v>12.7787568409932</v>
      </c>
      <c r="O2372" s="21" t="n">
        <f aca="false">AVERAGEIFS($N$2:$N$2705,$B$2:$B$2705,B2372)</f>
        <v>13.6422981965524</v>
      </c>
      <c r="P2372" s="21" t="n">
        <f aca="false">N2372-O2372</f>
        <v>-0.863541355559221</v>
      </c>
      <c r="Q2372" s="7" t="n">
        <v>1</v>
      </c>
      <c r="R2372" s="3" t="n">
        <f aca="false">IF(AND(Q2372=1,B2372-_xlfn.MINIFS($B$2:$B$2705,$A$2:$A$2705,A2372)&lt;10),1,0)</f>
        <v>0</v>
      </c>
      <c r="S2372" s="7" t="n">
        <v>0</v>
      </c>
      <c r="T2372" s="3" t="n">
        <f aca="false">_xlfn.MINIFS($B$2:$B$2705,$A$2:$A$2705,A2372)</f>
        <v>1998</v>
      </c>
      <c r="U2372" s="3" t="n">
        <f aca="false">B2372-T2372</f>
        <v>16</v>
      </c>
      <c r="V2372" s="3" t="str">
        <f aca="false">INDEX(Pop_Inputs!$Q$2:$Q$29,MATCH(C2372,Pop_Inputs!$A$2:$A$29,0))</f>
        <v>South</v>
      </c>
      <c r="W2372" s="29" t="n">
        <v>72689100</v>
      </c>
      <c r="X2372" s="3" t="n">
        <f aca="false">IF(W2372="","",LN(W2372))</f>
        <v>18.1017020000387</v>
      </c>
      <c r="Y2372" s="3" t="n">
        <f aca="false">IF(X2372="","",X2372-AVERAGEIFS($X$2:$X$2705,$B$2:$B$2705,B2372))</f>
        <v>-0.304953266790712</v>
      </c>
      <c r="Z2372" s="21" t="n">
        <f aca="false">P2372</f>
        <v>-0.863541355559221</v>
      </c>
      <c r="AA2372" s="3" t="n">
        <f aca="false">R2372</f>
        <v>0</v>
      </c>
      <c r="AB2372" s="21" t="n">
        <f aca="false">P2372</f>
        <v>-0.863541355559221</v>
      </c>
      <c r="AC2372" s="3" t="n">
        <f aca="false">Y2372</f>
        <v>-0.304953266790712</v>
      </c>
      <c r="AD2372" s="3" t="n">
        <f aca="false">R2372</f>
        <v>0</v>
      </c>
    </row>
    <row r="2373" customFormat="false" ht="15" hidden="false" customHeight="true" outlineLevel="0" collapsed="false">
      <c r="A2373" s="7" t="s">
        <v>73</v>
      </c>
      <c r="B2373" s="7" t="n">
        <v>2014</v>
      </c>
      <c r="C2373" s="7" t="s">
        <v>155</v>
      </c>
      <c r="D2373" s="7" t="n">
        <v>67</v>
      </c>
      <c r="E2373" s="7" t="n">
        <v>95</v>
      </c>
      <c r="F2373" s="3" t="n">
        <f aca="false">COUNTIFS($B$2:$B$2705,B2373,$C$2:$C$2705,C2373)</f>
        <v>1</v>
      </c>
      <c r="G2373" s="3" t="n">
        <f aca="false">MIN(INT((MIN(B2373,2020)-1900)/10)+1,12)</f>
        <v>12</v>
      </c>
      <c r="H2373" s="3" t="n">
        <f aca="false">(MIN(B2373,2020)-1900-10*(G2373-1))/10</f>
        <v>0.4</v>
      </c>
      <c r="I2373" s="20" t="n">
        <f aca="false">EXP(LN(INDEX(Pop_Inputs!$B$2:$N$29,MATCH(C2373,Pop_Inputs!$A$2:$A$29,0),G2373))*(1-H2373)+LN(INDEX(Pop_Inputs!$B$2:$N$29,MATCH(C2373,Pop_Inputs!$A$2:$A$29,0),G2373+1))*H2373)</f>
        <v>1239354.60629684</v>
      </c>
      <c r="J2373" s="20" t="n">
        <f aca="false">I2373/F2373</f>
        <v>1239354.60629684</v>
      </c>
      <c r="K2373" s="21" t="n">
        <f aca="false">D2373/(D2373+E2373)</f>
        <v>0.41358024691358</v>
      </c>
      <c r="L2373" s="21" t="n">
        <f aca="false">AVERAGEIFS($K$2:$K$2705,$B$2:$B$2705,B2373)</f>
        <v>0.5</v>
      </c>
      <c r="M2373" s="21" t="n">
        <f aca="false">K2373-L2373</f>
        <v>-0.0864197530864198</v>
      </c>
      <c r="N2373" s="21" t="n">
        <f aca="false">LN(J2373)</f>
        <v>14.0301013232922</v>
      </c>
      <c r="O2373" s="21" t="n">
        <f aca="false">AVERAGEIFS($N$2:$N$2705,$B$2:$B$2705,B2373)</f>
        <v>13.6422981965524</v>
      </c>
      <c r="P2373" s="21" t="n">
        <f aca="false">N2373-O2373</f>
        <v>0.387803126739851</v>
      </c>
      <c r="Q2373" s="7" t="n">
        <v>1</v>
      </c>
      <c r="R2373" s="3" t="n">
        <f aca="false">IF(AND(Q2373=1,B2373-_xlfn.MINIFS($B$2:$B$2705,$A$2:$A$2705,A2373)&lt;10),1,0)</f>
        <v>0</v>
      </c>
      <c r="S2373" s="7" t="n">
        <v>0</v>
      </c>
      <c r="T2373" s="3" t="n">
        <f aca="false">_xlfn.MINIFS($B$2:$B$2705,$A$2:$A$2705,A2373)</f>
        <v>1961</v>
      </c>
      <c r="U2373" s="3" t="n">
        <f aca="false">B2373-T2373</f>
        <v>53</v>
      </c>
      <c r="V2373" s="3" t="str">
        <f aca="false">INDEX(Pop_Inputs!$Q$2:$Q$29,MATCH(C2373,Pop_Inputs!$A$2:$A$29,0))</f>
        <v>South</v>
      </c>
      <c r="W2373" s="29" t="n">
        <v>112255059</v>
      </c>
      <c r="X2373" s="3" t="n">
        <f aca="false">IF(W2373="","",LN(W2373))</f>
        <v>18.5362841526134</v>
      </c>
      <c r="Y2373" s="3" t="n">
        <f aca="false">IF(X2373="","",X2373-AVERAGEIFS($X$2:$X$2705,$B$2:$B$2705,B2373))</f>
        <v>0.129628885783937</v>
      </c>
      <c r="Z2373" s="21" t="n">
        <f aca="false">P2373</f>
        <v>0.387803126739851</v>
      </c>
      <c r="AA2373" s="3" t="n">
        <f aca="false">R2373</f>
        <v>0</v>
      </c>
      <c r="AB2373" s="21" t="n">
        <f aca="false">P2373</f>
        <v>0.387803126739851</v>
      </c>
      <c r="AC2373" s="3" t="n">
        <f aca="false">Y2373</f>
        <v>0.129628885783937</v>
      </c>
      <c r="AD2373" s="3" t="n">
        <f aca="false">R2373</f>
        <v>0</v>
      </c>
    </row>
    <row r="2374" customFormat="false" ht="15" hidden="false" customHeight="true" outlineLevel="0" collapsed="false">
      <c r="A2374" s="7" t="s">
        <v>81</v>
      </c>
      <c r="B2374" s="7" t="n">
        <v>2014</v>
      </c>
      <c r="C2374" s="7" t="s">
        <v>162</v>
      </c>
      <c r="D2374" s="7" t="n">
        <v>83</v>
      </c>
      <c r="E2374" s="7" t="n">
        <v>79</v>
      </c>
      <c r="F2374" s="3" t="n">
        <f aca="false">COUNTIFS($B$2:$B$2705,B2374,$C$2:$C$2705,C2374)</f>
        <v>1</v>
      </c>
      <c r="G2374" s="3" t="n">
        <f aca="false">MIN(INT((MIN(B2374,2020)-1900)/10)+1,12)</f>
        <v>12</v>
      </c>
      <c r="H2374" s="3" t="n">
        <f aca="false">(MIN(B2374,2020)-1900-10*(G2374-1))/10</f>
        <v>0.4</v>
      </c>
      <c r="I2374" s="20" t="n">
        <f aca="false">EXP(LN(INDEX(Pop_Inputs!$B$2:$N$29,MATCH(C2374,Pop_Inputs!$A$2:$A$29,0),G2374))*(1-H2374)+LN(INDEX(Pop_Inputs!$B$2:$N$29,MATCH(C2374,Pop_Inputs!$A$2:$A$29,0),G2374+1))*H2374)</f>
        <v>2685354.88530941</v>
      </c>
      <c r="J2374" s="20" t="n">
        <f aca="false">I2374/F2374</f>
        <v>2685354.88530941</v>
      </c>
      <c r="K2374" s="21" t="n">
        <f aca="false">D2374/(D2374+E2374)</f>
        <v>0.512345679012346</v>
      </c>
      <c r="L2374" s="21" t="n">
        <f aca="false">AVERAGEIFS($K$2:$K$2705,$B$2:$B$2705,B2374)</f>
        <v>0.5</v>
      </c>
      <c r="M2374" s="21" t="n">
        <f aca="false">K2374-L2374</f>
        <v>0.0123456790123457</v>
      </c>
      <c r="N2374" s="21" t="n">
        <f aca="false">LN(J2374)</f>
        <v>14.8033234504906</v>
      </c>
      <c r="O2374" s="21" t="n">
        <f aca="false">AVERAGEIFS($N$2:$N$2705,$B$2:$B$2705,B2374)</f>
        <v>13.6422981965524</v>
      </c>
      <c r="P2374" s="21" t="n">
        <f aca="false">N2374-O2374</f>
        <v>1.16102525393818</v>
      </c>
      <c r="Q2374" s="7" t="n">
        <v>1</v>
      </c>
      <c r="R2374" s="3" t="n">
        <f aca="false">IF(AND(Q2374=1,B2374-_xlfn.MINIFS($B$2:$B$2705,$A$2:$A$2705,A2374)&lt;10),1,0)</f>
        <v>0</v>
      </c>
      <c r="S2374" s="7" t="n">
        <v>0</v>
      </c>
      <c r="T2374" s="3" t="n">
        <f aca="false">_xlfn.MINIFS($B$2:$B$2705,$A$2:$A$2705,A2374)</f>
        <v>1977</v>
      </c>
      <c r="U2374" s="3" t="n">
        <f aca="false">B2374-T2374</f>
        <v>37</v>
      </c>
      <c r="V2374" s="3" t="str">
        <f aca="false">INDEX(Pop_Inputs!$Q$2:$Q$29,MATCH(C2374,Pop_Inputs!$A$2:$A$29,0))</f>
        <v>Canada</v>
      </c>
      <c r="W2374" s="29" t="n">
        <v>109920100</v>
      </c>
      <c r="X2374" s="3" t="n">
        <f aca="false">IF(W2374="","",LN(W2374))</f>
        <v>18.5152642961905</v>
      </c>
      <c r="Y2374" s="3" t="n">
        <f aca="false">IF(X2374="","",X2374-AVERAGEIFS($X$2:$X$2705,$B$2:$B$2705,B2374))</f>
        <v>0.108609029361009</v>
      </c>
      <c r="Z2374" s="21" t="n">
        <f aca="false">P2374</f>
        <v>1.16102525393818</v>
      </c>
      <c r="AA2374" s="3" t="n">
        <f aca="false">R2374</f>
        <v>0</v>
      </c>
      <c r="AB2374" s="21" t="n">
        <f aca="false">P2374</f>
        <v>1.16102525393818</v>
      </c>
      <c r="AC2374" s="3" t="n">
        <f aca="false">Y2374</f>
        <v>0.108609029361009</v>
      </c>
      <c r="AD2374" s="3" t="n">
        <f aca="false">R2374</f>
        <v>0</v>
      </c>
    </row>
    <row r="2375" customFormat="false" ht="15" hidden="false" customHeight="true" outlineLevel="0" collapsed="false">
      <c r="A2375" s="7" t="s">
        <v>79</v>
      </c>
      <c r="B2375" s="7" t="n">
        <v>2014</v>
      </c>
      <c r="C2375" s="7" t="s">
        <v>160</v>
      </c>
      <c r="D2375" s="7" t="n">
        <v>96</v>
      </c>
      <c r="E2375" s="7" t="n">
        <v>66</v>
      </c>
      <c r="F2375" s="3" t="n">
        <f aca="false">COUNTIFS($B$2:$B$2705,B2375,$C$2:$C$2705,C2375)</f>
        <v>1</v>
      </c>
      <c r="G2375" s="3" t="n">
        <f aca="false">MIN(INT((MIN(B2375,2020)-1900)/10)+1,12)</f>
        <v>12</v>
      </c>
      <c r="H2375" s="3" t="n">
        <f aca="false">(MIN(B2375,2020)-1900-10*(G2375-1))/10</f>
        <v>0.4</v>
      </c>
      <c r="I2375" s="20" t="n">
        <f aca="false">EXP(LN(INDEX(Pop_Inputs!$B$2:$N$29,MATCH(C2375,Pop_Inputs!$A$2:$A$29,0),G2375))*(1-H2375)+LN(INDEX(Pop_Inputs!$B$2:$N$29,MATCH(C2375,Pop_Inputs!$A$2:$A$29,0),G2375+1))*H2375)</f>
        <v>635423.12008171</v>
      </c>
      <c r="J2375" s="20" t="n">
        <f aca="false">I2375/F2375</f>
        <v>635423.12008171</v>
      </c>
      <c r="K2375" s="21" t="n">
        <f aca="false">D2375/(D2375+E2375)</f>
        <v>0.592592592592593</v>
      </c>
      <c r="L2375" s="21" t="n">
        <f aca="false">AVERAGEIFS($K$2:$K$2705,$B$2:$B$2705,B2375)</f>
        <v>0.5</v>
      </c>
      <c r="M2375" s="21" t="n">
        <f aca="false">K2375-L2375</f>
        <v>0.0925925925925926</v>
      </c>
      <c r="N2375" s="21" t="n">
        <f aca="false">LN(J2375)</f>
        <v>13.3620463868123</v>
      </c>
      <c r="O2375" s="21" t="n">
        <f aca="false">AVERAGEIFS($N$2:$N$2705,$B$2:$B$2705,B2375)</f>
        <v>13.6422981965524</v>
      </c>
      <c r="P2375" s="21" t="n">
        <f aca="false">N2375-O2375</f>
        <v>-0.280251809740054</v>
      </c>
      <c r="Q2375" s="7" t="n">
        <v>1</v>
      </c>
      <c r="R2375" s="3" t="n">
        <f aca="false">IF(AND(Q2375=1,B2375-_xlfn.MINIFS($B$2:$B$2705,$A$2:$A$2705,A2375)&lt;10),1,0)</f>
        <v>0</v>
      </c>
      <c r="S2375" s="7" t="n">
        <v>0</v>
      </c>
      <c r="T2375" s="3" t="n">
        <f aca="false">_xlfn.MINIFS($B$2:$B$2705,$A$2:$A$2705,A2375)</f>
        <v>1969</v>
      </c>
      <c r="U2375" s="3" t="n">
        <f aca="false">B2375-T2375</f>
        <v>45</v>
      </c>
      <c r="V2375" s="3" t="str">
        <f aca="false">INDEX(Pop_Inputs!$Q$2:$Q$29,MATCH(C2375,Pop_Inputs!$A$2:$A$29,0))</f>
        <v>South</v>
      </c>
      <c r="W2375" s="29" t="n">
        <v>131983680</v>
      </c>
      <c r="X2375" s="3" t="n">
        <f aca="false">IF(W2375="","",LN(W2375))</f>
        <v>18.6981888365434</v>
      </c>
      <c r="Y2375" s="3" t="n">
        <f aca="false">IF(X2375="","",X2375-AVERAGEIFS($X$2:$X$2705,$B$2:$B$2705,B2375))</f>
        <v>0.291533569713963</v>
      </c>
      <c r="Z2375" s="21" t="n">
        <f aca="false">P2375</f>
        <v>-0.280251809740054</v>
      </c>
      <c r="AA2375" s="3" t="n">
        <f aca="false">R2375</f>
        <v>0</v>
      </c>
      <c r="AB2375" s="21" t="n">
        <f aca="false">P2375</f>
        <v>-0.280251809740054</v>
      </c>
      <c r="AC2375" s="3" t="n">
        <f aca="false">Y2375</f>
        <v>0.291533569713963</v>
      </c>
      <c r="AD2375" s="3" t="n">
        <f aca="false">R2375</f>
        <v>0</v>
      </c>
    </row>
    <row r="2376" customFormat="false" ht="15" hidden="false" customHeight="true" outlineLevel="0" collapsed="false">
      <c r="A2376" s="7" t="s">
        <v>71</v>
      </c>
      <c r="B2376" s="7" t="n">
        <v>2015</v>
      </c>
      <c r="C2376" s="7" t="s">
        <v>148</v>
      </c>
      <c r="D2376" s="7" t="n">
        <v>85</v>
      </c>
      <c r="E2376" s="7" t="n">
        <v>77</v>
      </c>
      <c r="F2376" s="3" t="n">
        <f aca="false">COUNTIFS($B$2:$B$2705,B2376,$C$2:$C$2705,C2376)</f>
        <v>2</v>
      </c>
      <c r="G2376" s="3" t="n">
        <f aca="false">MIN(INT((MIN(B2376,2020)-1900)/10)+1,12)</f>
        <v>12</v>
      </c>
      <c r="H2376" s="3" t="n">
        <f aca="false">(MIN(B2376,2020)-1900-10*(G2376-1))/10</f>
        <v>0.5</v>
      </c>
      <c r="I2376" s="20" t="n">
        <f aca="false">EXP(LN(INDEX(Pop_Inputs!$B$2:$N$29,MATCH(C2376,Pop_Inputs!$A$2:$A$29,0),G2376))*(1-H2376)+LN(INDEX(Pop_Inputs!$B$2:$N$29,MATCH(C2376,Pop_Inputs!$A$2:$A$29,0),G2376+1))*H2376)</f>
        <v>3845317.89919728</v>
      </c>
      <c r="J2376" s="20" t="n">
        <f aca="false">I2376/F2376</f>
        <v>1922658.94959864</v>
      </c>
      <c r="K2376" s="21" t="n">
        <f aca="false">D2376/(D2376+E2376)</f>
        <v>0.524691358024691</v>
      </c>
      <c r="L2376" s="21" t="n">
        <f aca="false">AVERAGEIFS($K$2:$K$2705,$B$2:$B$2705,B2376)</f>
        <v>0.49999233187639</v>
      </c>
      <c r="M2376" s="21" t="n">
        <f aca="false">K2376-L2376</f>
        <v>0.0246990261483015</v>
      </c>
      <c r="N2376" s="21" t="n">
        <f aca="false">LN(J2376)</f>
        <v>14.4692196555391</v>
      </c>
      <c r="O2376" s="21" t="n">
        <f aca="false">AVERAGEIFS($N$2:$N$2705,$B$2:$B$2705,B2376)</f>
        <v>13.6484187651352</v>
      </c>
      <c r="P2376" s="21" t="n">
        <f aca="false">N2376-O2376</f>
        <v>0.820800890403939</v>
      </c>
      <c r="Q2376" s="7" t="n">
        <v>1</v>
      </c>
      <c r="R2376" s="3" t="n">
        <f aca="false">IF(AND(Q2376=1,B2376-_xlfn.MINIFS($B$2:$B$2705,$A$2:$A$2705,A2376)&lt;10),1,0)</f>
        <v>0</v>
      </c>
      <c r="S2376" s="7" t="n">
        <v>0</v>
      </c>
      <c r="T2376" s="3" t="n">
        <f aca="false">_xlfn.MINIFS($B$2:$B$2705,$A$2:$A$2705,A2376)</f>
        <v>1961</v>
      </c>
      <c r="U2376" s="3" t="n">
        <f aca="false">B2376-T2376</f>
        <v>54</v>
      </c>
      <c r="V2376" s="3" t="str">
        <f aca="false">INDEX(Pop_Inputs!$Q$2:$Q$29,MATCH(C2376,Pop_Inputs!$A$2:$A$29,0))</f>
        <v>West</v>
      </c>
      <c r="W2376" s="29" t="n">
        <v>120005415</v>
      </c>
      <c r="X2376" s="3" t="n">
        <f aca="false">IF(W2376="","",LN(W2376))</f>
        <v>18.6030474247282</v>
      </c>
      <c r="Y2376" s="3" t="n">
        <f aca="false">IF(X2376="","",X2376-AVERAGEIFS($X$2:$X$2705,$B$2:$B$2705,B2376))</f>
        <v>0.07804671811002</v>
      </c>
      <c r="Z2376" s="21" t="n">
        <f aca="false">P2376</f>
        <v>0.820800890403939</v>
      </c>
      <c r="AA2376" s="3" t="n">
        <f aca="false">R2376</f>
        <v>0</v>
      </c>
      <c r="AB2376" s="21" t="n">
        <f aca="false">P2376</f>
        <v>0.820800890403939</v>
      </c>
      <c r="AC2376" s="3" t="n">
        <f aca="false">Y2376</f>
        <v>0.07804671811002</v>
      </c>
      <c r="AD2376" s="3" t="n">
        <f aca="false">R2376</f>
        <v>0</v>
      </c>
    </row>
    <row r="2377" customFormat="false" ht="15" hidden="false" customHeight="true" outlineLevel="0" collapsed="false">
      <c r="A2377" s="7" t="s">
        <v>84</v>
      </c>
      <c r="B2377" s="7" t="n">
        <v>2015</v>
      </c>
      <c r="C2377" s="7" t="s">
        <v>165</v>
      </c>
      <c r="D2377" s="7" t="n">
        <v>79</v>
      </c>
      <c r="E2377" s="7" t="n">
        <v>83</v>
      </c>
      <c r="F2377" s="3" t="n">
        <f aca="false">COUNTIFS($B$2:$B$2705,B2377,$C$2:$C$2705,C2377)</f>
        <v>1</v>
      </c>
      <c r="G2377" s="3" t="n">
        <f aca="false">MIN(INT((MIN(B2377,2020)-1900)/10)+1,12)</f>
        <v>12</v>
      </c>
      <c r="H2377" s="3" t="n">
        <f aca="false">(MIN(B2377,2020)-1900-10*(G2377-1))/10</f>
        <v>0.5</v>
      </c>
      <c r="I2377" s="20" t="n">
        <f aca="false">EXP(LN(INDEX(Pop_Inputs!$B$2:$N$29,MATCH(C2377,Pop_Inputs!$A$2:$A$29,0),G2377))*(1-H2377)+LN(INDEX(Pop_Inputs!$B$2:$N$29,MATCH(C2377,Pop_Inputs!$A$2:$A$29,0),G2377+1))*H2377)</f>
        <v>1524722.00707145</v>
      </c>
      <c r="J2377" s="20" t="n">
        <f aca="false">I2377/F2377</f>
        <v>1524722.00707145</v>
      </c>
      <c r="K2377" s="21" t="n">
        <f aca="false">D2377/(D2377+E2377)</f>
        <v>0.487654320987654</v>
      </c>
      <c r="L2377" s="21" t="n">
        <f aca="false">AVERAGEIFS($K$2:$K$2705,$B$2:$B$2705,B2377)</f>
        <v>0.49999233187639</v>
      </c>
      <c r="M2377" s="21" t="n">
        <f aca="false">K2377-L2377</f>
        <v>-0.0123380108887355</v>
      </c>
      <c r="N2377" s="21" t="n">
        <f aca="false">LN(J2377)</f>
        <v>14.2373226609618</v>
      </c>
      <c r="O2377" s="21" t="n">
        <f aca="false">AVERAGEIFS($N$2:$N$2705,$B$2:$B$2705,B2377)</f>
        <v>13.6484187651352</v>
      </c>
      <c r="P2377" s="21" t="n">
        <f aca="false">N2377-O2377</f>
        <v>0.588903895826595</v>
      </c>
      <c r="Q2377" s="7" t="n">
        <v>1</v>
      </c>
      <c r="R2377" s="3" t="n">
        <f aca="false">IF(AND(Q2377=1,B2377-_xlfn.MINIFS($B$2:$B$2705,$A$2:$A$2705,A2377)&lt;10),1,0)</f>
        <v>0</v>
      </c>
      <c r="S2377" s="7" t="n">
        <v>0</v>
      </c>
      <c r="T2377" s="3" t="n">
        <f aca="false">_xlfn.MINIFS($B$2:$B$2705,$A$2:$A$2705,A2377)</f>
        <v>1998</v>
      </c>
      <c r="U2377" s="3" t="n">
        <f aca="false">B2377-T2377</f>
        <v>17</v>
      </c>
      <c r="V2377" s="3" t="str">
        <f aca="false">INDEX(Pop_Inputs!$Q$2:$Q$29,MATCH(C2377,Pop_Inputs!$A$2:$A$29,0))</f>
        <v>West</v>
      </c>
      <c r="W2377" s="29" t="n">
        <v>61834000</v>
      </c>
      <c r="X2377" s="3" t="n">
        <f aca="false">IF(W2377="","",LN(W2377))</f>
        <v>17.9399639329567</v>
      </c>
      <c r="Y2377" s="3" t="n">
        <f aca="false">IF(X2377="","",X2377-AVERAGEIFS($X$2:$X$2705,$B$2:$B$2705,B2377))</f>
        <v>-0.585036773661507</v>
      </c>
      <c r="Z2377" s="21" t="n">
        <f aca="false">P2377</f>
        <v>0.588903895826595</v>
      </c>
      <c r="AA2377" s="3" t="n">
        <f aca="false">R2377</f>
        <v>0</v>
      </c>
      <c r="AB2377" s="21" t="n">
        <f aca="false">P2377</f>
        <v>0.588903895826595</v>
      </c>
      <c r="AC2377" s="3" t="n">
        <f aca="false">Y2377</f>
        <v>-0.585036773661507</v>
      </c>
      <c r="AD2377" s="3" t="n">
        <f aca="false">R2377</f>
        <v>0</v>
      </c>
    </row>
    <row r="2378" customFormat="false" ht="15" hidden="false" customHeight="true" outlineLevel="0" collapsed="false">
      <c r="A2378" s="7" t="s">
        <v>54</v>
      </c>
      <c r="B2378" s="7" t="n">
        <v>2015</v>
      </c>
      <c r="C2378" s="7" t="s">
        <v>141</v>
      </c>
      <c r="D2378" s="7" t="n">
        <v>67</v>
      </c>
      <c r="E2378" s="7" t="n">
        <v>95</v>
      </c>
      <c r="F2378" s="3" t="n">
        <f aca="false">COUNTIFS($B$2:$B$2705,B2378,$C$2:$C$2705,C2378)</f>
        <v>1</v>
      </c>
      <c r="G2378" s="3" t="n">
        <f aca="false">MIN(INT((MIN(B2378,2020)-1900)/10)+1,12)</f>
        <v>12</v>
      </c>
      <c r="H2378" s="3" t="n">
        <f aca="false">(MIN(B2378,2020)-1900-10*(G2378-1))/10</f>
        <v>0.5</v>
      </c>
      <c r="I2378" s="20" t="n">
        <f aca="false">EXP(LN(INDEX(Pop_Inputs!$B$2:$N$29,MATCH(C2378,Pop_Inputs!$A$2:$A$29,0),G2378))*(1-H2378)+LN(INDEX(Pop_Inputs!$B$2:$N$29,MATCH(C2378,Pop_Inputs!$A$2:$A$29,0),G2378+1))*H2378)</f>
        <v>457669.964215481</v>
      </c>
      <c r="J2378" s="20" t="n">
        <f aca="false">I2378/F2378</f>
        <v>457669.964215481</v>
      </c>
      <c r="K2378" s="21" t="n">
        <f aca="false">D2378/(D2378+E2378)</f>
        <v>0.41358024691358</v>
      </c>
      <c r="L2378" s="21" t="n">
        <f aca="false">AVERAGEIFS($K$2:$K$2705,$B$2:$B$2705,B2378)</f>
        <v>0.49999233187639</v>
      </c>
      <c r="M2378" s="21" t="n">
        <f aca="false">K2378-L2378</f>
        <v>-0.0864120849628096</v>
      </c>
      <c r="N2378" s="21" t="n">
        <f aca="false">LN(J2378)</f>
        <v>13.0339036011882</v>
      </c>
      <c r="O2378" s="21" t="n">
        <f aca="false">AVERAGEIFS($N$2:$N$2705,$B$2:$B$2705,B2378)</f>
        <v>13.6484187651352</v>
      </c>
      <c r="P2378" s="21" t="n">
        <f aca="false">N2378-O2378</f>
        <v>-0.614515163946988</v>
      </c>
      <c r="Q2378" s="7" t="n">
        <v>0</v>
      </c>
      <c r="R2378" s="3" t="n">
        <f aca="false">IF(AND(Q2378=1,B2378-_xlfn.MINIFS($B$2:$B$2705,$A$2:$A$2705,A2378)&lt;10),1,0)</f>
        <v>0</v>
      </c>
      <c r="S2378" s="7" t="n">
        <v>0</v>
      </c>
      <c r="T2378" s="3" t="n">
        <f aca="false">_xlfn.MINIFS($B$2:$B$2705,$A$2:$A$2705,A2378)</f>
        <v>1901</v>
      </c>
      <c r="U2378" s="3" t="n">
        <f aca="false">B2378-T2378</f>
        <v>114</v>
      </c>
      <c r="V2378" s="3" t="str">
        <f aca="false">INDEX(Pop_Inputs!$Q$2:$Q$29,MATCH(C2378,Pop_Inputs!$A$2:$A$29,0))</f>
        <v>South</v>
      </c>
      <c r="W2378" s="29" t="n">
        <v>71781250</v>
      </c>
      <c r="X2378" s="3" t="n">
        <f aca="false">IF(W2378="","",LN(W2378))</f>
        <v>18.0891338578536</v>
      </c>
      <c r="Y2378" s="3" t="n">
        <f aca="false">IF(X2378="","",X2378-AVERAGEIFS($X$2:$X$2705,$B$2:$B$2705,B2378))</f>
        <v>-0.435866848764551</v>
      </c>
      <c r="Z2378" s="21" t="n">
        <f aca="false">P2378</f>
        <v>-0.614515163946988</v>
      </c>
      <c r="AA2378" s="3" t="n">
        <f aca="false">R2378</f>
        <v>0</v>
      </c>
      <c r="AB2378" s="21" t="n">
        <f aca="false">P2378</f>
        <v>-0.614515163946988</v>
      </c>
      <c r="AC2378" s="3" t="n">
        <f aca="false">Y2378</f>
        <v>-0.435866848764551</v>
      </c>
      <c r="AD2378" s="3" t="n">
        <f aca="false">R2378</f>
        <v>0</v>
      </c>
    </row>
    <row r="2379" customFormat="false" ht="15" hidden="false" customHeight="true" outlineLevel="0" collapsed="false">
      <c r="A2379" s="7" t="s">
        <v>63</v>
      </c>
      <c r="B2379" s="7" t="n">
        <v>2015</v>
      </c>
      <c r="C2379" s="7" t="s">
        <v>149</v>
      </c>
      <c r="D2379" s="7" t="n">
        <v>81</v>
      </c>
      <c r="E2379" s="7" t="n">
        <v>81</v>
      </c>
      <c r="F2379" s="3" t="n">
        <f aca="false">COUNTIFS($B$2:$B$2705,B2379,$C$2:$C$2705,C2379)</f>
        <v>1</v>
      </c>
      <c r="G2379" s="3" t="n">
        <f aca="false">MIN(INT((MIN(B2379,2020)-1900)/10)+1,12)</f>
        <v>12</v>
      </c>
      <c r="H2379" s="3" t="n">
        <f aca="false">(MIN(B2379,2020)-1900-10*(G2379-1))/10</f>
        <v>0.5</v>
      </c>
      <c r="I2379" s="20" t="n">
        <f aca="false">EXP(LN(INDEX(Pop_Inputs!$B$2:$N$29,MATCH(C2379,Pop_Inputs!$A$2:$A$29,0),G2379))*(1-H2379)+LN(INDEX(Pop_Inputs!$B$2:$N$29,MATCH(C2379,Pop_Inputs!$A$2:$A$29,0),G2379+1))*H2379)</f>
        <v>603076.964730042</v>
      </c>
      <c r="J2379" s="20" t="n">
        <f aca="false">I2379/F2379</f>
        <v>603076.964730042</v>
      </c>
      <c r="K2379" s="21" t="n">
        <f aca="false">D2379/(D2379+E2379)</f>
        <v>0.5</v>
      </c>
      <c r="L2379" s="21" t="n">
        <f aca="false">AVERAGEIFS($K$2:$K$2705,$B$2:$B$2705,B2379)</f>
        <v>0.49999233187639</v>
      </c>
      <c r="M2379" s="21" t="n">
        <f aca="false">K2379-L2379</f>
        <v>7.66812361013836E-006</v>
      </c>
      <c r="N2379" s="21" t="n">
        <f aca="false">LN(J2379)</f>
        <v>13.3098001039327</v>
      </c>
      <c r="O2379" s="21" t="n">
        <f aca="false">AVERAGEIFS($N$2:$N$2705,$B$2:$B$2705,B2379)</f>
        <v>13.6484187651352</v>
      </c>
      <c r="P2379" s="21" t="n">
        <f aca="false">N2379-O2379</f>
        <v>-0.338618661202458</v>
      </c>
      <c r="Q2379" s="7" t="n">
        <v>0</v>
      </c>
      <c r="R2379" s="3" t="n">
        <f aca="false">IF(AND(Q2379=1,B2379-_xlfn.MINIFS($B$2:$B$2705,$A$2:$A$2705,A2379)&lt;10),1,0)</f>
        <v>0</v>
      </c>
      <c r="S2379" s="7" t="n">
        <v>0</v>
      </c>
      <c r="T2379" s="3" t="n">
        <f aca="false">_xlfn.MINIFS($B$2:$B$2705,$A$2:$A$2705,A2379)</f>
        <v>1901</v>
      </c>
      <c r="U2379" s="3" t="n">
        <f aca="false">B2379-T2379</f>
        <v>114</v>
      </c>
      <c r="V2379" s="3" t="str">
        <f aca="false">INDEX(Pop_Inputs!$Q$2:$Q$29,MATCH(C2379,Pop_Inputs!$A$2:$A$29,0))</f>
        <v>South</v>
      </c>
      <c r="W2379" s="29" t="n">
        <v>115044833</v>
      </c>
      <c r="X2379" s="3" t="n">
        <f aca="false">IF(W2379="","",LN(W2379))</f>
        <v>18.5608324625288</v>
      </c>
      <c r="Y2379" s="3" t="n">
        <f aca="false">IF(X2379="","",X2379-AVERAGEIFS($X$2:$X$2705,$B$2:$B$2705,B2379))</f>
        <v>0.0358317559106247</v>
      </c>
      <c r="Z2379" s="21" t="n">
        <f aca="false">P2379</f>
        <v>-0.338618661202458</v>
      </c>
      <c r="AA2379" s="3" t="n">
        <f aca="false">R2379</f>
        <v>0</v>
      </c>
      <c r="AB2379" s="21" t="n">
        <f aca="false">P2379</f>
        <v>-0.338618661202458</v>
      </c>
      <c r="AC2379" s="3" t="n">
        <f aca="false">Y2379</f>
        <v>0.0358317559106247</v>
      </c>
      <c r="AD2379" s="3" t="n">
        <f aca="false">R2379</f>
        <v>0</v>
      </c>
    </row>
    <row r="2380" customFormat="false" ht="15" hidden="false" customHeight="true" outlineLevel="0" collapsed="false">
      <c r="A2380" s="7" t="s">
        <v>64</v>
      </c>
      <c r="B2380" s="7" t="n">
        <v>2015</v>
      </c>
      <c r="C2380" s="7" t="s">
        <v>150</v>
      </c>
      <c r="D2380" s="7" t="n">
        <v>78</v>
      </c>
      <c r="E2380" s="7" t="n">
        <v>84</v>
      </c>
      <c r="F2380" s="3" t="n">
        <f aca="false">COUNTIFS($B$2:$B$2705,B2380,$C$2:$C$2705,C2380)</f>
        <v>1</v>
      </c>
      <c r="G2380" s="3" t="n">
        <f aca="false">MIN(INT((MIN(B2380,2020)-1900)/10)+1,12)</f>
        <v>12</v>
      </c>
      <c r="H2380" s="3" t="n">
        <f aca="false">(MIN(B2380,2020)-1900-10*(G2380-1))/10</f>
        <v>0.5</v>
      </c>
      <c r="I2380" s="20" t="n">
        <f aca="false">EXP(LN(INDEX(Pop_Inputs!$B$2:$N$29,MATCH(C2380,Pop_Inputs!$A$2:$A$29,0),G2380))*(1-H2380)+LN(INDEX(Pop_Inputs!$B$2:$N$29,MATCH(C2380,Pop_Inputs!$A$2:$A$29,0),G2380+1))*H2380)</f>
        <v>645968.678279373</v>
      </c>
      <c r="J2380" s="20" t="n">
        <f aca="false">I2380/F2380</f>
        <v>645968.678279373</v>
      </c>
      <c r="K2380" s="21" t="n">
        <f aca="false">D2380/(D2380+E2380)</f>
        <v>0.481481481481481</v>
      </c>
      <c r="L2380" s="21" t="n">
        <f aca="false">AVERAGEIFS($K$2:$K$2705,$B$2:$B$2705,B2380)</f>
        <v>0.49999233187639</v>
      </c>
      <c r="M2380" s="21" t="n">
        <f aca="false">K2380-L2380</f>
        <v>-0.0185108503949084</v>
      </c>
      <c r="N2380" s="21" t="n">
        <f aca="false">LN(J2380)</f>
        <v>13.3785062959536</v>
      </c>
      <c r="O2380" s="21" t="n">
        <f aca="false">AVERAGEIFS($N$2:$N$2705,$B$2:$B$2705,B2380)</f>
        <v>13.6484187651352</v>
      </c>
      <c r="P2380" s="21" t="n">
        <f aca="false">N2380-O2380</f>
        <v>-0.269912469181554</v>
      </c>
      <c r="Q2380" s="7" t="n">
        <v>0</v>
      </c>
      <c r="R2380" s="3" t="n">
        <f aca="false">IF(AND(Q2380=1,B2380-_xlfn.MINIFS($B$2:$B$2705,$A$2:$A$2705,A2380)&lt;10),1,0)</f>
        <v>0</v>
      </c>
      <c r="S2380" s="7" t="n">
        <v>0</v>
      </c>
      <c r="T2380" s="3" t="n">
        <f aca="false">_xlfn.MINIFS($B$2:$B$2705,$A$2:$A$2705,A2380)</f>
        <v>1901</v>
      </c>
      <c r="U2380" s="3" t="n">
        <f aca="false">B2380-T2380</f>
        <v>114</v>
      </c>
      <c r="V2380" s="3" t="str">
        <f aca="false">INDEX(Pop_Inputs!$Q$2:$Q$29,MATCH(C2380,Pop_Inputs!$A$2:$A$29,0))</f>
        <v>Northeast</v>
      </c>
      <c r="W2380" s="29" t="n">
        <v>181103400</v>
      </c>
      <c r="X2380" s="3" t="n">
        <f aca="false">IF(W2380="","",LN(W2380))</f>
        <v>19.0145786968353</v>
      </c>
      <c r="Y2380" s="3" t="n">
        <f aca="false">IF(X2380="","",X2380-AVERAGEIFS($X$2:$X$2705,$B$2:$B$2705,B2380))</f>
        <v>0.489577990217136</v>
      </c>
      <c r="Z2380" s="21" t="n">
        <f aca="false">P2380</f>
        <v>-0.269912469181554</v>
      </c>
      <c r="AA2380" s="3" t="n">
        <f aca="false">R2380</f>
        <v>0</v>
      </c>
      <c r="AB2380" s="21" t="n">
        <f aca="false">P2380</f>
        <v>-0.269912469181554</v>
      </c>
      <c r="AC2380" s="3" t="n">
        <f aca="false">Y2380</f>
        <v>0.489577990217136</v>
      </c>
      <c r="AD2380" s="3" t="n">
        <f aca="false">R2380</f>
        <v>0</v>
      </c>
    </row>
    <row r="2381" customFormat="false" ht="15" hidden="false" customHeight="true" outlineLevel="0" collapsed="false">
      <c r="A2381" s="7" t="s">
        <v>56</v>
      </c>
      <c r="B2381" s="7" t="n">
        <v>2015</v>
      </c>
      <c r="C2381" s="7" t="s">
        <v>142</v>
      </c>
      <c r="D2381" s="7" t="n">
        <v>97</v>
      </c>
      <c r="E2381" s="7" t="n">
        <v>65</v>
      </c>
      <c r="F2381" s="3" t="n">
        <f aca="false">COUNTIFS($B$2:$B$2705,B2381,$C$2:$C$2705,C2381)</f>
        <v>2</v>
      </c>
      <c r="G2381" s="3" t="n">
        <f aca="false">MIN(INT((MIN(B2381,2020)-1900)/10)+1,12)</f>
        <v>12</v>
      </c>
      <c r="H2381" s="3" t="n">
        <f aca="false">(MIN(B2381,2020)-1900-10*(G2381-1))/10</f>
        <v>0.5</v>
      </c>
      <c r="I2381" s="20" t="n">
        <f aca="false">EXP(LN(INDEX(Pop_Inputs!$B$2:$N$29,MATCH(C2381,Pop_Inputs!$A$2:$A$29,0),G2381))*(1-H2381)+LN(INDEX(Pop_Inputs!$B$2:$N$29,MATCH(C2381,Pop_Inputs!$A$2:$A$29,0),G2381+1))*H2381)</f>
        <v>2720874.49178091</v>
      </c>
      <c r="J2381" s="20" t="n">
        <f aca="false">I2381/F2381</f>
        <v>1360437.24589045</v>
      </c>
      <c r="K2381" s="21" t="n">
        <f aca="false">D2381/(D2381+E2381)</f>
        <v>0.598765432098765</v>
      </c>
      <c r="L2381" s="21" t="n">
        <f aca="false">AVERAGEIFS($K$2:$K$2705,$B$2:$B$2705,B2381)</f>
        <v>0.49999233187639</v>
      </c>
      <c r="M2381" s="21" t="n">
        <f aca="false">K2381-L2381</f>
        <v>0.0987731002223756</v>
      </c>
      <c r="N2381" s="21" t="n">
        <f aca="false">LN(J2381)</f>
        <v>14.123316710372</v>
      </c>
      <c r="O2381" s="21" t="n">
        <f aca="false">AVERAGEIFS($N$2:$N$2705,$B$2:$B$2705,B2381)</f>
        <v>13.6484187651352</v>
      </c>
      <c r="P2381" s="21" t="n">
        <f aca="false">N2381-O2381</f>
        <v>0.474897945236826</v>
      </c>
      <c r="Q2381" s="7" t="n">
        <v>0</v>
      </c>
      <c r="R2381" s="3" t="n">
        <f aca="false">IF(AND(Q2381=1,B2381-_xlfn.MINIFS($B$2:$B$2705,$A$2:$A$2705,A2381)&lt;10),1,0)</f>
        <v>0</v>
      </c>
      <c r="S2381" s="7" t="n">
        <v>0</v>
      </c>
      <c r="T2381" s="3" t="n">
        <f aca="false">_xlfn.MINIFS($B$2:$B$2705,$A$2:$A$2705,A2381)</f>
        <v>1901</v>
      </c>
      <c r="U2381" s="3" t="n">
        <f aca="false">B2381-T2381</f>
        <v>114</v>
      </c>
      <c r="V2381" s="3" t="str">
        <f aca="false">INDEX(Pop_Inputs!$Q$2:$Q$29,MATCH(C2381,Pop_Inputs!$A$2:$A$29,0))</f>
        <v>Midwest</v>
      </c>
      <c r="W2381" s="29" t="n">
        <v>115879310</v>
      </c>
      <c r="X2381" s="3" t="n">
        <f aca="false">IF(W2381="","",LN(W2381))</f>
        <v>18.5680597764121</v>
      </c>
      <c r="Y2381" s="3" t="n">
        <f aca="false">IF(X2381="","",X2381-AVERAGEIFS($X$2:$X$2705,$B$2:$B$2705,B2381))</f>
        <v>0.0430590697938769</v>
      </c>
      <c r="Z2381" s="21" t="n">
        <f aca="false">P2381</f>
        <v>0.474897945236826</v>
      </c>
      <c r="AA2381" s="3" t="n">
        <f aca="false">R2381</f>
        <v>0</v>
      </c>
      <c r="AB2381" s="21" t="n">
        <f aca="false">P2381</f>
        <v>0.474897945236826</v>
      </c>
      <c r="AC2381" s="3" t="n">
        <f aca="false">Y2381</f>
        <v>0.0430590697938769</v>
      </c>
      <c r="AD2381" s="3" t="n">
        <f aca="false">R2381</f>
        <v>0</v>
      </c>
    </row>
    <row r="2382" customFormat="false" ht="15" hidden="false" customHeight="true" outlineLevel="0" collapsed="false">
      <c r="A2382" s="7" t="s">
        <v>65</v>
      </c>
      <c r="B2382" s="7" t="n">
        <v>2015</v>
      </c>
      <c r="C2382" s="7" t="s">
        <v>142</v>
      </c>
      <c r="D2382" s="7" t="n">
        <v>76</v>
      </c>
      <c r="E2382" s="7" t="n">
        <v>86</v>
      </c>
      <c r="F2382" s="3" t="n">
        <f aca="false">COUNTIFS($B$2:$B$2705,B2382,$C$2:$C$2705,C2382)</f>
        <v>2</v>
      </c>
      <c r="G2382" s="3" t="n">
        <f aca="false">MIN(INT((MIN(B2382,2020)-1900)/10)+1,12)</f>
        <v>12</v>
      </c>
      <c r="H2382" s="3" t="n">
        <f aca="false">(MIN(B2382,2020)-1900-10*(G2382-1))/10</f>
        <v>0.5</v>
      </c>
      <c r="I2382" s="20" t="n">
        <f aca="false">EXP(LN(INDEX(Pop_Inputs!$B$2:$N$29,MATCH(C2382,Pop_Inputs!$A$2:$A$29,0),G2382))*(1-H2382)+LN(INDEX(Pop_Inputs!$B$2:$N$29,MATCH(C2382,Pop_Inputs!$A$2:$A$29,0),G2382+1))*H2382)</f>
        <v>2720874.49178091</v>
      </c>
      <c r="J2382" s="20" t="n">
        <f aca="false">I2382/F2382</f>
        <v>1360437.24589045</v>
      </c>
      <c r="K2382" s="21" t="n">
        <f aca="false">D2382/(D2382+E2382)</f>
        <v>0.469135802469136</v>
      </c>
      <c r="L2382" s="21" t="n">
        <f aca="false">AVERAGEIFS($K$2:$K$2705,$B$2:$B$2705,B2382)</f>
        <v>0.49999233187639</v>
      </c>
      <c r="M2382" s="21" t="n">
        <f aca="false">K2382-L2382</f>
        <v>-0.0308565294072541</v>
      </c>
      <c r="N2382" s="21" t="n">
        <f aca="false">LN(J2382)</f>
        <v>14.123316710372</v>
      </c>
      <c r="O2382" s="21" t="n">
        <f aca="false">AVERAGEIFS($N$2:$N$2705,$B$2:$B$2705,B2382)</f>
        <v>13.6484187651352</v>
      </c>
      <c r="P2382" s="21" t="n">
        <f aca="false">N2382-O2382</f>
        <v>0.474897945236826</v>
      </c>
      <c r="Q2382" s="7" t="n">
        <v>0</v>
      </c>
      <c r="R2382" s="3" t="n">
        <f aca="false">IF(AND(Q2382=1,B2382-_xlfn.MINIFS($B$2:$B$2705,$A$2:$A$2705,A2382)&lt;10),1,0)</f>
        <v>0</v>
      </c>
      <c r="S2382" s="7" t="n">
        <v>0</v>
      </c>
      <c r="T2382" s="3" t="n">
        <f aca="false">_xlfn.MINIFS($B$2:$B$2705,$A$2:$A$2705,A2382)</f>
        <v>1901</v>
      </c>
      <c r="U2382" s="3" t="n">
        <f aca="false">B2382-T2382</f>
        <v>114</v>
      </c>
      <c r="V2382" s="3" t="str">
        <f aca="false">INDEX(Pop_Inputs!$Q$2:$Q$29,MATCH(C2382,Pop_Inputs!$A$2:$A$29,0))</f>
        <v>Midwest</v>
      </c>
      <c r="W2382" s="29" t="n">
        <v>112373700</v>
      </c>
      <c r="X2382" s="3" t="n">
        <f aca="false">IF(W2382="","",LN(W2382))</f>
        <v>18.5373404822798</v>
      </c>
      <c r="Y2382" s="3" t="n">
        <f aca="false">IF(X2382="","",X2382-AVERAGEIFS($X$2:$X$2705,$B$2:$B$2705,B2382))</f>
        <v>0.0123397756616015</v>
      </c>
      <c r="Z2382" s="21" t="n">
        <f aca="false">P2382</f>
        <v>0.474897945236826</v>
      </c>
      <c r="AA2382" s="3" t="n">
        <f aca="false">R2382</f>
        <v>0</v>
      </c>
      <c r="AB2382" s="21" t="n">
        <f aca="false">P2382</f>
        <v>0.474897945236826</v>
      </c>
      <c r="AC2382" s="3" t="n">
        <f aca="false">Y2382</f>
        <v>0.0123397756616015</v>
      </c>
      <c r="AD2382" s="3" t="n">
        <f aca="false">R2382</f>
        <v>0</v>
      </c>
    </row>
    <row r="2383" customFormat="false" ht="15" hidden="false" customHeight="true" outlineLevel="0" collapsed="false">
      <c r="A2383" s="7" t="s">
        <v>57</v>
      </c>
      <c r="B2383" s="7" t="n">
        <v>2015</v>
      </c>
      <c r="C2383" s="7" t="s">
        <v>143</v>
      </c>
      <c r="D2383" s="7" t="n">
        <v>64</v>
      </c>
      <c r="E2383" s="7" t="n">
        <v>98</v>
      </c>
      <c r="F2383" s="3" t="n">
        <f aca="false">COUNTIFS($B$2:$B$2705,B2383,$C$2:$C$2705,C2383)</f>
        <v>1</v>
      </c>
      <c r="G2383" s="3" t="n">
        <f aca="false">MIN(INT((MIN(B2383,2020)-1900)/10)+1,12)</f>
        <v>12</v>
      </c>
      <c r="H2383" s="3" t="n">
        <f aca="false">(MIN(B2383,2020)-1900-10*(G2383-1))/10</f>
        <v>0.5</v>
      </c>
      <c r="I2383" s="20" t="n">
        <f aca="false">EXP(LN(INDEX(Pop_Inputs!$B$2:$N$29,MATCH(C2383,Pop_Inputs!$A$2:$A$29,0),G2383))*(1-H2383)+LN(INDEX(Pop_Inputs!$B$2:$N$29,MATCH(C2383,Pop_Inputs!$A$2:$A$29,0),G2383+1))*H2383)</f>
        <v>303066.853896958</v>
      </c>
      <c r="J2383" s="20" t="n">
        <f aca="false">I2383/F2383</f>
        <v>303066.853896958</v>
      </c>
      <c r="K2383" s="21" t="n">
        <f aca="false">D2383/(D2383+E2383)</f>
        <v>0.395061728395062</v>
      </c>
      <c r="L2383" s="21" t="n">
        <f aca="false">AVERAGEIFS($K$2:$K$2705,$B$2:$B$2705,B2383)</f>
        <v>0.49999233187639</v>
      </c>
      <c r="M2383" s="21" t="n">
        <f aca="false">K2383-L2383</f>
        <v>-0.104930603481328</v>
      </c>
      <c r="N2383" s="21" t="n">
        <f aca="false">LN(J2383)</f>
        <v>12.6217087000781</v>
      </c>
      <c r="O2383" s="21" t="n">
        <f aca="false">AVERAGEIFS($N$2:$N$2705,$B$2:$B$2705,B2383)</f>
        <v>13.6484187651352</v>
      </c>
      <c r="P2383" s="21" t="n">
        <f aca="false">N2383-O2383</f>
        <v>-1.02671006505713</v>
      </c>
      <c r="Q2383" s="7" t="n">
        <v>0</v>
      </c>
      <c r="R2383" s="3" t="n">
        <f aca="false">IF(AND(Q2383=1,B2383-_xlfn.MINIFS($B$2:$B$2705,$A$2:$A$2705,A2383)&lt;10),1,0)</f>
        <v>0</v>
      </c>
      <c r="S2383" s="7" t="n">
        <v>0</v>
      </c>
      <c r="T2383" s="3" t="n">
        <f aca="false">_xlfn.MINIFS($B$2:$B$2705,$A$2:$A$2705,A2383)</f>
        <v>1901</v>
      </c>
      <c r="U2383" s="3" t="n">
        <f aca="false">B2383-T2383</f>
        <v>114</v>
      </c>
      <c r="V2383" s="3" t="str">
        <f aca="false">INDEX(Pop_Inputs!$Q$2:$Q$29,MATCH(C2383,Pop_Inputs!$A$2:$A$29,0))</f>
        <v>Midwest</v>
      </c>
      <c r="W2383" s="29" t="n">
        <v>113072286</v>
      </c>
      <c r="X2383" s="3" t="n">
        <f aca="false">IF(W2383="","",LN(W2383))</f>
        <v>18.5435378712714</v>
      </c>
      <c r="Y2383" s="3" t="n">
        <f aca="false">IF(X2383="","",X2383-AVERAGEIFS($X$2:$X$2705,$B$2:$B$2705,B2383))</f>
        <v>0.0185371646531998</v>
      </c>
      <c r="Z2383" s="21" t="n">
        <f aca="false">P2383</f>
        <v>-1.02671006505713</v>
      </c>
      <c r="AA2383" s="3" t="n">
        <f aca="false">R2383</f>
        <v>0</v>
      </c>
      <c r="AB2383" s="21" t="n">
        <f aca="false">P2383</f>
        <v>-1.02671006505713</v>
      </c>
      <c r="AC2383" s="3" t="n">
        <f aca="false">Y2383</f>
        <v>0.0185371646531998</v>
      </c>
      <c r="AD2383" s="3" t="n">
        <f aca="false">R2383</f>
        <v>0</v>
      </c>
    </row>
    <row r="2384" customFormat="false" ht="15" hidden="false" customHeight="true" outlineLevel="0" collapsed="false">
      <c r="A2384" s="7" t="s">
        <v>66</v>
      </c>
      <c r="B2384" s="7" t="n">
        <v>2015</v>
      </c>
      <c r="C2384" s="7" t="s">
        <v>151</v>
      </c>
      <c r="D2384" s="7" t="n">
        <v>81</v>
      </c>
      <c r="E2384" s="7" t="n">
        <v>80</v>
      </c>
      <c r="F2384" s="3" t="n">
        <f aca="false">COUNTIFS($B$2:$B$2705,B2384,$C$2:$C$2705,C2384)</f>
        <v>1</v>
      </c>
      <c r="G2384" s="3" t="n">
        <f aca="false">MIN(INT((MIN(B2384,2020)-1900)/10)+1,12)</f>
        <v>12</v>
      </c>
      <c r="H2384" s="3" t="n">
        <f aca="false">(MIN(B2384,2020)-1900-10*(G2384-1))/10</f>
        <v>0.5</v>
      </c>
      <c r="I2384" s="20" t="n">
        <f aca="false">EXP(LN(INDEX(Pop_Inputs!$B$2:$N$29,MATCH(C2384,Pop_Inputs!$A$2:$A$29,0),G2384))*(1-H2384)+LN(INDEX(Pop_Inputs!$B$2:$N$29,MATCH(C2384,Pop_Inputs!$A$2:$A$29,0),G2384+1))*H2384)</f>
        <v>384529.313004873</v>
      </c>
      <c r="J2384" s="20" t="n">
        <f aca="false">I2384/F2384</f>
        <v>384529.313004873</v>
      </c>
      <c r="K2384" s="21" t="n">
        <f aca="false">D2384/(D2384+E2384)</f>
        <v>0.503105590062112</v>
      </c>
      <c r="L2384" s="21" t="n">
        <f aca="false">AVERAGEIFS($K$2:$K$2705,$B$2:$B$2705,B2384)</f>
        <v>0.49999233187639</v>
      </c>
      <c r="M2384" s="21" t="n">
        <f aca="false">K2384-L2384</f>
        <v>0.00311325818572189</v>
      </c>
      <c r="N2384" s="21" t="n">
        <f aca="false">LN(J2384)</f>
        <v>12.8597753017056</v>
      </c>
      <c r="O2384" s="21" t="n">
        <f aca="false">AVERAGEIFS($N$2:$N$2705,$B$2:$B$2705,B2384)</f>
        <v>13.6484187651352</v>
      </c>
      <c r="P2384" s="21" t="n">
        <f aca="false">N2384-O2384</f>
        <v>-0.788643463429539</v>
      </c>
      <c r="Q2384" s="7" t="n">
        <v>0</v>
      </c>
      <c r="R2384" s="3" t="n">
        <f aca="false">IF(AND(Q2384=1,B2384-_xlfn.MINIFS($B$2:$B$2705,$A$2:$A$2705,A2384)&lt;10),1,0)</f>
        <v>0</v>
      </c>
      <c r="S2384" s="7" t="n">
        <v>0</v>
      </c>
      <c r="T2384" s="3" t="n">
        <f aca="false">_xlfn.MINIFS($B$2:$B$2705,$A$2:$A$2705,A2384)</f>
        <v>1901</v>
      </c>
      <c r="U2384" s="3" t="n">
        <f aca="false">B2384-T2384</f>
        <v>114</v>
      </c>
      <c r="V2384" s="3" t="str">
        <f aca="false">INDEX(Pop_Inputs!$Q$2:$Q$29,MATCH(C2384,Pop_Inputs!$A$2:$A$29,0))</f>
        <v>Midwest</v>
      </c>
      <c r="W2384" s="29" t="n">
        <v>87663766</v>
      </c>
      <c r="X2384" s="3" t="n">
        <f aca="false">IF(W2384="","",LN(W2384))</f>
        <v>18.2890192134741</v>
      </c>
      <c r="Y2384" s="3" t="n">
        <f aca="false">IF(X2384="","",X2384-AVERAGEIFS($X$2:$X$2705,$B$2:$B$2705,B2384))</f>
        <v>-0.235981493144141</v>
      </c>
      <c r="Z2384" s="21" t="n">
        <f aca="false">P2384</f>
        <v>-0.788643463429539</v>
      </c>
      <c r="AA2384" s="3" t="n">
        <f aca="false">R2384</f>
        <v>0</v>
      </c>
      <c r="AB2384" s="21" t="n">
        <f aca="false">P2384</f>
        <v>-0.788643463429539</v>
      </c>
      <c r="AC2384" s="3" t="n">
        <f aca="false">Y2384</f>
        <v>-0.235981493144141</v>
      </c>
      <c r="AD2384" s="3" t="n">
        <f aca="false">R2384</f>
        <v>0</v>
      </c>
    </row>
    <row r="2385" customFormat="false" ht="15" hidden="false" customHeight="true" outlineLevel="0" collapsed="false">
      <c r="A2385" s="7" t="s">
        <v>82</v>
      </c>
      <c r="B2385" s="7" t="n">
        <v>2015</v>
      </c>
      <c r="C2385" s="7" t="s">
        <v>163</v>
      </c>
      <c r="D2385" s="7" t="n">
        <v>68</v>
      </c>
      <c r="E2385" s="7" t="n">
        <v>94</v>
      </c>
      <c r="F2385" s="3" t="n">
        <f aca="false">COUNTIFS($B$2:$B$2705,B2385,$C$2:$C$2705,C2385)</f>
        <v>1</v>
      </c>
      <c r="G2385" s="3" t="n">
        <f aca="false">MIN(INT((MIN(B2385,2020)-1900)/10)+1,12)</f>
        <v>12</v>
      </c>
      <c r="H2385" s="3" t="n">
        <f aca="false">(MIN(B2385,2020)-1900-10*(G2385-1))/10</f>
        <v>0.5</v>
      </c>
      <c r="I2385" s="20" t="n">
        <f aca="false">EXP(LN(INDEX(Pop_Inputs!$B$2:$N$29,MATCH(C2385,Pop_Inputs!$A$2:$A$29,0),G2385))*(1-H2385)+LN(INDEX(Pop_Inputs!$B$2:$N$29,MATCH(C2385,Pop_Inputs!$A$2:$A$29,0),G2385+1))*H2385)</f>
        <v>655306.228015574</v>
      </c>
      <c r="J2385" s="20" t="n">
        <f aca="false">I2385/F2385</f>
        <v>655306.228015574</v>
      </c>
      <c r="K2385" s="21" t="n">
        <f aca="false">D2385/(D2385+E2385)</f>
        <v>0.419753086419753</v>
      </c>
      <c r="L2385" s="21" t="n">
        <f aca="false">AVERAGEIFS($K$2:$K$2705,$B$2:$B$2705,B2385)</f>
        <v>0.49999233187639</v>
      </c>
      <c r="M2385" s="21" t="n">
        <f aca="false">K2385-L2385</f>
        <v>-0.0802392454566368</v>
      </c>
      <c r="N2385" s="21" t="n">
        <f aca="false">LN(J2385)</f>
        <v>13.3928579290501</v>
      </c>
      <c r="O2385" s="21" t="n">
        <f aca="false">AVERAGEIFS($N$2:$N$2705,$B$2:$B$2705,B2385)</f>
        <v>13.6484187651352</v>
      </c>
      <c r="P2385" s="21" t="n">
        <f aca="false">N2385-O2385</f>
        <v>-0.25556083608504</v>
      </c>
      <c r="Q2385" s="7" t="n">
        <v>1</v>
      </c>
      <c r="R2385" s="3" t="n">
        <f aca="false">IF(AND(Q2385=1,B2385-_xlfn.MINIFS($B$2:$B$2705,$A$2:$A$2705,A2385)&lt;10),1,0)</f>
        <v>0</v>
      </c>
      <c r="S2385" s="7" t="n">
        <v>0</v>
      </c>
      <c r="T2385" s="3" t="n">
        <f aca="false">_xlfn.MINIFS($B$2:$B$2705,$A$2:$A$2705,A2385)</f>
        <v>1993</v>
      </c>
      <c r="U2385" s="3" t="n">
        <f aca="false">B2385-T2385</f>
        <v>22</v>
      </c>
      <c r="V2385" s="3" t="str">
        <f aca="false">INDEX(Pop_Inputs!$Q$2:$Q$29,MATCH(C2385,Pop_Inputs!$A$2:$A$29,0))</f>
        <v>West</v>
      </c>
      <c r="W2385" s="29" t="n">
        <v>95688600</v>
      </c>
      <c r="X2385" s="3" t="n">
        <f aca="false">IF(W2385="","",LN(W2385))</f>
        <v>18.3766097270705</v>
      </c>
      <c r="Y2385" s="3" t="n">
        <f aca="false">IF(X2385="","",X2385-AVERAGEIFS($X$2:$X$2705,$B$2:$B$2705,B2385))</f>
        <v>-0.148390979547688</v>
      </c>
      <c r="Z2385" s="21" t="n">
        <f aca="false">P2385</f>
        <v>-0.25556083608504</v>
      </c>
      <c r="AA2385" s="3" t="n">
        <f aca="false">R2385</f>
        <v>0</v>
      </c>
      <c r="AB2385" s="21" t="n">
        <f aca="false">P2385</f>
        <v>-0.25556083608504</v>
      </c>
      <c r="AC2385" s="3" t="n">
        <f aca="false">Y2385</f>
        <v>-0.148390979547688</v>
      </c>
      <c r="AD2385" s="3" t="n">
        <f aca="false">R2385</f>
        <v>0</v>
      </c>
    </row>
    <row r="2386" customFormat="false" ht="15" hidden="false" customHeight="true" outlineLevel="0" collapsed="false">
      <c r="A2386" s="7" t="s">
        <v>67</v>
      </c>
      <c r="B2386" s="7" t="n">
        <v>2015</v>
      </c>
      <c r="C2386" s="7" t="s">
        <v>152</v>
      </c>
      <c r="D2386" s="7" t="n">
        <v>74</v>
      </c>
      <c r="E2386" s="7" t="n">
        <v>87</v>
      </c>
      <c r="F2386" s="3" t="n">
        <f aca="false">COUNTIFS($B$2:$B$2705,B2386,$C$2:$C$2705,C2386)</f>
        <v>1</v>
      </c>
      <c r="G2386" s="3" t="n">
        <f aca="false">MIN(INT((MIN(B2386,2020)-1900)/10)+1,12)</f>
        <v>12</v>
      </c>
      <c r="H2386" s="3" t="n">
        <f aca="false">(MIN(B2386,2020)-1900-10*(G2386-1))/10</f>
        <v>0.5</v>
      </c>
      <c r="I2386" s="20" t="n">
        <f aca="false">EXP(LN(INDEX(Pop_Inputs!$B$2:$N$29,MATCH(C2386,Pop_Inputs!$A$2:$A$29,0),G2386))*(1-H2386)+LN(INDEX(Pop_Inputs!$B$2:$N$29,MATCH(C2386,Pop_Inputs!$A$2:$A$29,0),G2386+1))*H2386)</f>
        <v>675413.008645081</v>
      </c>
      <c r="J2386" s="20" t="n">
        <f aca="false">I2386/F2386</f>
        <v>675413.008645081</v>
      </c>
      <c r="K2386" s="21" t="n">
        <f aca="false">D2386/(D2386+E2386)</f>
        <v>0.459627329192547</v>
      </c>
      <c r="L2386" s="21" t="n">
        <f aca="false">AVERAGEIFS($K$2:$K$2705,$B$2:$B$2705,B2386)</f>
        <v>0.49999233187639</v>
      </c>
      <c r="M2386" s="21" t="n">
        <f aca="false">K2386-L2386</f>
        <v>-0.0403650026838433</v>
      </c>
      <c r="N2386" s="21" t="n">
        <f aca="false">LN(J2386)</f>
        <v>13.4230796474012</v>
      </c>
      <c r="O2386" s="21" t="n">
        <f aca="false">AVERAGEIFS($N$2:$N$2705,$B$2:$B$2705,B2386)</f>
        <v>13.6484187651352</v>
      </c>
      <c r="P2386" s="21" t="n">
        <f aca="false">N2386-O2386</f>
        <v>-0.225339117733995</v>
      </c>
      <c r="Q2386" s="7" t="n">
        <v>0</v>
      </c>
      <c r="R2386" s="3" t="n">
        <f aca="false">IF(AND(Q2386=1,B2386-_xlfn.MINIFS($B$2:$B$2705,$A$2:$A$2705,A2386)&lt;10),1,0)</f>
        <v>0</v>
      </c>
      <c r="S2386" s="7" t="n">
        <v>0</v>
      </c>
      <c r="T2386" s="3" t="n">
        <f aca="false">_xlfn.MINIFS($B$2:$B$2705,$A$2:$A$2705,A2386)</f>
        <v>1901</v>
      </c>
      <c r="U2386" s="3" t="n">
        <f aca="false">B2386-T2386</f>
        <v>114</v>
      </c>
      <c r="V2386" s="3" t="str">
        <f aca="false">INDEX(Pop_Inputs!$Q$2:$Q$29,MATCH(C2386,Pop_Inputs!$A$2:$A$29,0))</f>
        <v>Midwest</v>
      </c>
      <c r="W2386" s="29" t="n">
        <v>172284750</v>
      </c>
      <c r="X2386" s="3" t="n">
        <f aca="false">IF(W2386="","",LN(W2386))</f>
        <v>18.9646591891655</v>
      </c>
      <c r="Y2386" s="3" t="n">
        <f aca="false">IF(X2386="","",X2386-AVERAGEIFS($X$2:$X$2705,$B$2:$B$2705,B2386))</f>
        <v>0.439658482547305</v>
      </c>
      <c r="Z2386" s="21" t="n">
        <f aca="false">P2386</f>
        <v>-0.225339117733995</v>
      </c>
      <c r="AA2386" s="3" t="n">
        <f aca="false">R2386</f>
        <v>0</v>
      </c>
      <c r="AB2386" s="21" t="n">
        <f aca="false">P2386</f>
        <v>-0.225339117733995</v>
      </c>
      <c r="AC2386" s="3" t="n">
        <f aca="false">Y2386</f>
        <v>0.439658482547305</v>
      </c>
      <c r="AD2386" s="3" t="n">
        <f aca="false">R2386</f>
        <v>0</v>
      </c>
    </row>
    <row r="2387" customFormat="false" ht="15" hidden="false" customHeight="true" outlineLevel="0" collapsed="false">
      <c r="A2387" s="7" t="s">
        <v>83</v>
      </c>
      <c r="B2387" s="7" t="n">
        <v>2015</v>
      </c>
      <c r="C2387" s="7" t="s">
        <v>164</v>
      </c>
      <c r="D2387" s="7" t="n">
        <v>71</v>
      </c>
      <c r="E2387" s="7" t="n">
        <v>91</v>
      </c>
      <c r="F2387" s="3" t="n">
        <f aca="false">COUNTIFS($B$2:$B$2705,B2387,$C$2:$C$2705,C2387)</f>
        <v>1</v>
      </c>
      <c r="G2387" s="3" t="n">
        <f aca="false">MIN(INT((MIN(B2387,2020)-1900)/10)+1,12)</f>
        <v>12</v>
      </c>
      <c r="H2387" s="3" t="n">
        <f aca="false">(MIN(B2387,2020)-1900-10*(G2387-1))/10</f>
        <v>0.5</v>
      </c>
      <c r="I2387" s="20" t="n">
        <f aca="false">EXP(LN(INDEX(Pop_Inputs!$B$2:$N$29,MATCH(C2387,Pop_Inputs!$A$2:$A$29,0),G2387))*(1-H2387)+LN(INDEX(Pop_Inputs!$B$2:$N$29,MATCH(C2387,Pop_Inputs!$A$2:$A$29,0),G2387+1))*H2387)</f>
        <v>420304.964444866</v>
      </c>
      <c r="J2387" s="20" t="n">
        <f aca="false">I2387/F2387</f>
        <v>420304.964444866</v>
      </c>
      <c r="K2387" s="21" t="n">
        <f aca="false">D2387/(D2387+E2387)</f>
        <v>0.438271604938272</v>
      </c>
      <c r="L2387" s="21" t="n">
        <f aca="false">AVERAGEIFS($K$2:$K$2705,$B$2:$B$2705,B2387)</f>
        <v>0.49999233187639</v>
      </c>
      <c r="M2387" s="21" t="n">
        <f aca="false">K2387-L2387</f>
        <v>-0.0617207269381183</v>
      </c>
      <c r="N2387" s="21" t="n">
        <f aca="false">LN(J2387)</f>
        <v>12.9487358325934</v>
      </c>
      <c r="O2387" s="21" t="n">
        <f aca="false">AVERAGEIFS($N$2:$N$2705,$B$2:$B$2705,B2387)</f>
        <v>13.6484187651352</v>
      </c>
      <c r="P2387" s="21" t="n">
        <f aca="false">N2387-O2387</f>
        <v>-0.699682932541814</v>
      </c>
      <c r="Q2387" s="7" t="n">
        <v>1</v>
      </c>
      <c r="R2387" s="3" t="n">
        <f aca="false">IF(AND(Q2387=1,B2387-_xlfn.MINIFS($B$2:$B$2705,$A$2:$A$2705,A2387)&lt;10),1,0)</f>
        <v>0</v>
      </c>
      <c r="S2387" s="7" t="n">
        <v>0</v>
      </c>
      <c r="T2387" s="3" t="n">
        <f aca="false">_xlfn.MINIFS($B$2:$B$2705,$A$2:$A$2705,A2387)</f>
        <v>1993</v>
      </c>
      <c r="U2387" s="3" t="n">
        <f aca="false">B2387-T2387</f>
        <v>22</v>
      </c>
      <c r="V2387" s="3" t="str">
        <f aca="false">INDEX(Pop_Inputs!$Q$2:$Q$29,MATCH(C2387,Pop_Inputs!$A$2:$A$29,0))</f>
        <v>South</v>
      </c>
      <c r="W2387" s="29" t="n">
        <v>68056500</v>
      </c>
      <c r="X2387" s="3" t="n">
        <f aca="false">IF(W2387="","",LN(W2387))</f>
        <v>18.0358488005017</v>
      </c>
      <c r="Y2387" s="3" t="n">
        <f aca="false">IF(X2387="","",X2387-AVERAGEIFS($X$2:$X$2705,$B$2:$B$2705,B2387))</f>
        <v>-0.489151906116533</v>
      </c>
      <c r="Z2387" s="21" t="n">
        <f aca="false">P2387</f>
        <v>-0.699682932541814</v>
      </c>
      <c r="AA2387" s="3" t="n">
        <f aca="false">R2387</f>
        <v>0</v>
      </c>
      <c r="AB2387" s="21" t="n">
        <f aca="false">P2387</f>
        <v>-0.699682932541814</v>
      </c>
      <c r="AC2387" s="3" t="n">
        <f aca="false">Y2387</f>
        <v>-0.489151906116533</v>
      </c>
      <c r="AD2387" s="3" t="n">
        <f aca="false">R2387</f>
        <v>0</v>
      </c>
    </row>
    <row r="2388" customFormat="false" ht="15" hidden="false" customHeight="true" outlineLevel="0" collapsed="false">
      <c r="A2388" s="7" t="s">
        <v>74</v>
      </c>
      <c r="B2388" s="7" t="n">
        <v>2015</v>
      </c>
      <c r="C2388" s="7" t="s">
        <v>156</v>
      </c>
      <c r="D2388" s="7" t="n">
        <v>86</v>
      </c>
      <c r="E2388" s="7" t="n">
        <v>76</v>
      </c>
      <c r="F2388" s="3" t="n">
        <f aca="false">COUNTIFS($B$2:$B$2705,B2388,$C$2:$C$2705,C2388)</f>
        <v>1</v>
      </c>
      <c r="G2388" s="3" t="n">
        <f aca="false">MIN(INT((MIN(B2388,2020)-1900)/10)+1,12)</f>
        <v>12</v>
      </c>
      <c r="H2388" s="3" t="n">
        <f aca="false">(MIN(B2388,2020)-1900-10*(G2388-1))/10</f>
        <v>0.5</v>
      </c>
      <c r="I2388" s="20" t="n">
        <f aca="false">EXP(LN(INDEX(Pop_Inputs!$B$2:$N$29,MATCH(C2388,Pop_Inputs!$A$2:$A$29,0),G2388))*(1-H2388)+LN(INDEX(Pop_Inputs!$B$2:$N$29,MATCH(C2388,Pop_Inputs!$A$2:$A$29,0),G2388+1))*H2388)</f>
        <v>2199625.60122854</v>
      </c>
      <c r="J2388" s="20" t="n">
        <f aca="false">I2388/F2388</f>
        <v>2199625.60122854</v>
      </c>
      <c r="K2388" s="21" t="n">
        <f aca="false">D2388/(D2388+E2388)</f>
        <v>0.530864197530864</v>
      </c>
      <c r="L2388" s="21" t="n">
        <f aca="false">AVERAGEIFS($K$2:$K$2705,$B$2:$B$2705,B2388)</f>
        <v>0.49999233187639</v>
      </c>
      <c r="M2388" s="21" t="n">
        <f aca="false">K2388-L2388</f>
        <v>0.0308718656544744</v>
      </c>
      <c r="N2388" s="21" t="n">
        <f aca="false">LN(J2388)</f>
        <v>14.6037977225863</v>
      </c>
      <c r="O2388" s="21" t="n">
        <f aca="false">AVERAGEIFS($N$2:$N$2705,$B$2:$B$2705,B2388)</f>
        <v>13.6484187651352</v>
      </c>
      <c r="P2388" s="21" t="n">
        <f aca="false">N2388-O2388</f>
        <v>0.955378957451133</v>
      </c>
      <c r="Q2388" s="7" t="n">
        <v>1</v>
      </c>
      <c r="R2388" s="3" t="n">
        <f aca="false">IF(AND(Q2388=1,B2388-_xlfn.MINIFS($B$2:$B$2705,$A$2:$A$2705,A2388)&lt;10),1,0)</f>
        <v>0</v>
      </c>
      <c r="S2388" s="7" t="n">
        <v>0</v>
      </c>
      <c r="T2388" s="3" t="n">
        <f aca="false">_xlfn.MINIFS($B$2:$B$2705,$A$2:$A$2705,A2388)</f>
        <v>1962</v>
      </c>
      <c r="U2388" s="3" t="n">
        <f aca="false">B2388-T2388</f>
        <v>53</v>
      </c>
      <c r="V2388" s="3" t="str">
        <f aca="false">INDEX(Pop_Inputs!$Q$2:$Q$29,MATCH(C2388,Pop_Inputs!$A$2:$A$29,0))</f>
        <v>South</v>
      </c>
      <c r="W2388" s="29" t="n">
        <v>72256200</v>
      </c>
      <c r="X2388" s="3" t="n">
        <f aca="false">IF(W2388="","",LN(W2388))</f>
        <v>18.0957286944239</v>
      </c>
      <c r="Y2388" s="3" t="n">
        <f aca="false">IF(X2388="","",X2388-AVERAGEIFS($X$2:$X$2705,$B$2:$B$2705,B2388))</f>
        <v>-0.429272012194332</v>
      </c>
      <c r="Z2388" s="21" t="n">
        <f aca="false">P2388</f>
        <v>0.955378957451133</v>
      </c>
      <c r="AA2388" s="3" t="n">
        <f aca="false">R2388</f>
        <v>0</v>
      </c>
      <c r="AB2388" s="21" t="n">
        <f aca="false">P2388</f>
        <v>0.955378957451133</v>
      </c>
      <c r="AC2388" s="3" t="n">
        <f aca="false">Y2388</f>
        <v>-0.429272012194332</v>
      </c>
      <c r="AD2388" s="3" t="n">
        <f aca="false">R2388</f>
        <v>0</v>
      </c>
    </row>
    <row r="2389" customFormat="false" ht="15" hidden="false" customHeight="true" outlineLevel="0" collapsed="false">
      <c r="A2389" s="7" t="s">
        <v>76</v>
      </c>
      <c r="B2389" s="7" t="n">
        <v>2015</v>
      </c>
      <c r="C2389" s="7" t="s">
        <v>157</v>
      </c>
      <c r="D2389" s="7" t="n">
        <v>95</v>
      </c>
      <c r="E2389" s="7" t="n">
        <v>67</v>
      </c>
      <c r="F2389" s="3" t="n">
        <f aca="false">COUNTIFS($B$2:$B$2705,B2389,$C$2:$C$2705,C2389)</f>
        <v>1</v>
      </c>
      <c r="G2389" s="3" t="n">
        <f aca="false">MIN(INT((MIN(B2389,2020)-1900)/10)+1,12)</f>
        <v>12</v>
      </c>
      <c r="H2389" s="3" t="n">
        <f aca="false">(MIN(B2389,2020)-1900-10*(G2389-1))/10</f>
        <v>0.5</v>
      </c>
      <c r="I2389" s="20" t="n">
        <f aca="false">EXP(LN(INDEX(Pop_Inputs!$B$2:$N$29,MATCH(C2389,Pop_Inputs!$A$2:$A$29,0),G2389))*(1-H2389)+LN(INDEX(Pop_Inputs!$B$2:$N$29,MATCH(C2389,Pop_Inputs!$A$2:$A$29,0),G2389+1))*H2389)</f>
        <v>483335.470279184</v>
      </c>
      <c r="J2389" s="20" t="n">
        <f aca="false">I2389/F2389</f>
        <v>483335.470279184</v>
      </c>
      <c r="K2389" s="21" t="n">
        <f aca="false">D2389/(D2389+E2389)</f>
        <v>0.58641975308642</v>
      </c>
      <c r="L2389" s="21" t="n">
        <f aca="false">AVERAGEIFS($K$2:$K$2705,$B$2:$B$2705,B2389)</f>
        <v>0.49999233187639</v>
      </c>
      <c r="M2389" s="21" t="n">
        <f aca="false">K2389-L2389</f>
        <v>0.0864274212100299</v>
      </c>
      <c r="N2389" s="21" t="n">
        <f aca="false">LN(J2389)</f>
        <v>13.0884662469862</v>
      </c>
      <c r="O2389" s="21" t="n">
        <f aca="false">AVERAGEIFS($N$2:$N$2705,$B$2:$B$2705,B2389)</f>
        <v>13.6484187651352</v>
      </c>
      <c r="P2389" s="21" t="n">
        <f aca="false">N2389-O2389</f>
        <v>-0.55995251814903</v>
      </c>
      <c r="Q2389" s="7" t="n">
        <v>1</v>
      </c>
      <c r="R2389" s="3" t="n">
        <f aca="false">IF(AND(Q2389=1,B2389-_xlfn.MINIFS($B$2:$B$2705,$A$2:$A$2705,A2389)&lt;10),1,0)</f>
        <v>0</v>
      </c>
      <c r="S2389" s="7" t="n">
        <v>0</v>
      </c>
      <c r="T2389" s="3" t="n">
        <f aca="false">_xlfn.MINIFS($B$2:$B$2705,$A$2:$A$2705,A2389)</f>
        <v>1969</v>
      </c>
      <c r="U2389" s="3" t="n">
        <f aca="false">B2389-T2389</f>
        <v>46</v>
      </c>
      <c r="V2389" s="3" t="str">
        <f aca="false">INDEX(Pop_Inputs!$Q$2:$Q$29,MATCH(C2389,Pop_Inputs!$A$2:$A$29,0))</f>
        <v>Midwest</v>
      </c>
      <c r="W2389" s="29" t="n">
        <v>112107025</v>
      </c>
      <c r="X2389" s="3" t="n">
        <f aca="false">IF(W2389="","",LN(W2389))</f>
        <v>18.5349645533403</v>
      </c>
      <c r="Y2389" s="3" t="n">
        <f aca="false">IF(X2389="","",X2389-AVERAGEIFS($X$2:$X$2705,$B$2:$B$2705,B2389))</f>
        <v>0.00996384672205508</v>
      </c>
      <c r="Z2389" s="21" t="n">
        <f aca="false">P2389</f>
        <v>-0.55995251814903</v>
      </c>
      <c r="AA2389" s="3" t="n">
        <f aca="false">R2389</f>
        <v>0</v>
      </c>
      <c r="AB2389" s="21" t="n">
        <f aca="false">P2389</f>
        <v>-0.55995251814903</v>
      </c>
      <c r="AC2389" s="3" t="n">
        <f aca="false">Y2389</f>
        <v>0.00996384672205508</v>
      </c>
      <c r="AD2389" s="3" t="n">
        <f aca="false">R2389</f>
        <v>0</v>
      </c>
    </row>
    <row r="2390" customFormat="false" ht="15" hidden="false" customHeight="true" outlineLevel="0" collapsed="false">
      <c r="A2390" s="7" t="s">
        <v>62</v>
      </c>
      <c r="B2390" s="7" t="n">
        <v>2015</v>
      </c>
      <c r="C2390" s="7" t="s">
        <v>148</v>
      </c>
      <c r="D2390" s="7" t="n">
        <v>92</v>
      </c>
      <c r="E2390" s="7" t="n">
        <v>70</v>
      </c>
      <c r="F2390" s="3" t="n">
        <f aca="false">COUNTIFS($B$2:$B$2705,B2390,$C$2:$C$2705,C2390)</f>
        <v>2</v>
      </c>
      <c r="G2390" s="3" t="n">
        <f aca="false">MIN(INT((MIN(B2390,2020)-1900)/10)+1,12)</f>
        <v>12</v>
      </c>
      <c r="H2390" s="3" t="n">
        <f aca="false">(MIN(B2390,2020)-1900-10*(G2390-1))/10</f>
        <v>0.5</v>
      </c>
      <c r="I2390" s="20" t="n">
        <f aca="false">EXP(LN(INDEX(Pop_Inputs!$B$2:$N$29,MATCH(C2390,Pop_Inputs!$A$2:$A$29,0),G2390))*(1-H2390)+LN(INDEX(Pop_Inputs!$B$2:$N$29,MATCH(C2390,Pop_Inputs!$A$2:$A$29,0),G2390+1))*H2390)</f>
        <v>3845317.89919728</v>
      </c>
      <c r="J2390" s="20" t="n">
        <f aca="false">I2390/F2390</f>
        <v>1922658.94959864</v>
      </c>
      <c r="K2390" s="21" t="n">
        <f aca="false">D2390/(D2390+E2390)</f>
        <v>0.567901234567901</v>
      </c>
      <c r="L2390" s="21" t="n">
        <f aca="false">AVERAGEIFS($K$2:$K$2705,$B$2:$B$2705,B2390)</f>
        <v>0.49999233187639</v>
      </c>
      <c r="M2390" s="21" t="n">
        <f aca="false">K2390-L2390</f>
        <v>0.0679089026915113</v>
      </c>
      <c r="N2390" s="21" t="n">
        <f aca="false">LN(J2390)</f>
        <v>14.4692196555391</v>
      </c>
      <c r="O2390" s="21" t="n">
        <f aca="false">AVERAGEIFS($N$2:$N$2705,$B$2:$B$2705,B2390)</f>
        <v>13.6484187651352</v>
      </c>
      <c r="P2390" s="21" t="n">
        <f aca="false">N2390-O2390</f>
        <v>0.820800890403939</v>
      </c>
      <c r="Q2390" s="7" t="n">
        <v>0</v>
      </c>
      <c r="R2390" s="3" t="n">
        <f aca="false">IF(AND(Q2390=1,B2390-_xlfn.MINIFS($B$2:$B$2705,$A$2:$A$2705,A2390)&lt;10),1,0)</f>
        <v>0</v>
      </c>
      <c r="S2390" s="7" t="n">
        <v>0</v>
      </c>
      <c r="T2390" s="3" t="n">
        <f aca="false">_xlfn.MINIFS($B$2:$B$2705,$A$2:$A$2705,A2390)</f>
        <v>1901</v>
      </c>
      <c r="U2390" s="3" t="n">
        <f aca="false">B2390-T2390</f>
        <v>114</v>
      </c>
      <c r="V2390" s="3" t="str">
        <f aca="false">INDEX(Pop_Inputs!$Q$2:$Q$29,MATCH(C2390,Pop_Inputs!$A$2:$A$29,0))</f>
        <v>West</v>
      </c>
      <c r="W2390" s="29" t="n">
        <v>215792000</v>
      </c>
      <c r="X2390" s="3" t="n">
        <f aca="false">IF(W2390="","",LN(W2390))</f>
        <v>19.1898255387388</v>
      </c>
      <c r="Y2390" s="3" t="n">
        <f aca="false">IF(X2390="","",X2390-AVERAGEIFS($X$2:$X$2705,$B$2:$B$2705,B2390))</f>
        <v>0.66482483212058</v>
      </c>
      <c r="Z2390" s="21" t="n">
        <f aca="false">P2390</f>
        <v>0.820800890403939</v>
      </c>
      <c r="AA2390" s="3" t="n">
        <f aca="false">R2390</f>
        <v>0</v>
      </c>
      <c r="AB2390" s="21" t="n">
        <f aca="false">P2390</f>
        <v>0.820800890403939</v>
      </c>
      <c r="AC2390" s="3" t="n">
        <f aca="false">Y2390</f>
        <v>0.66482483212058</v>
      </c>
      <c r="AD2390" s="3" t="n">
        <f aca="false">R2390</f>
        <v>0</v>
      </c>
    </row>
    <row r="2391" customFormat="false" ht="15" hidden="false" customHeight="true" outlineLevel="0" collapsed="false">
      <c r="A2391" s="7" t="s">
        <v>77</v>
      </c>
      <c r="B2391" s="7" t="n">
        <v>2015</v>
      </c>
      <c r="C2391" s="7" t="s">
        <v>158</v>
      </c>
      <c r="D2391" s="7" t="n">
        <v>68</v>
      </c>
      <c r="E2391" s="7" t="n">
        <v>94</v>
      </c>
      <c r="F2391" s="3" t="n">
        <f aca="false">COUNTIFS($B$2:$B$2705,B2391,$C$2:$C$2705,C2391)</f>
        <v>1</v>
      </c>
      <c r="G2391" s="3" t="n">
        <f aca="false">MIN(INT((MIN(B2391,2020)-1900)/10)+1,12)</f>
        <v>12</v>
      </c>
      <c r="H2391" s="3" t="n">
        <f aca="false">(MIN(B2391,2020)-1900-10*(G2391-1))/10</f>
        <v>0.5</v>
      </c>
      <c r="I2391" s="20" t="n">
        <f aca="false">EXP(LN(INDEX(Pop_Inputs!$B$2:$N$29,MATCH(C2391,Pop_Inputs!$A$2:$A$29,0),G2391))*(1-H2391)+LN(INDEX(Pop_Inputs!$B$2:$N$29,MATCH(C2391,Pop_Inputs!$A$2:$A$29,0),G2391+1))*H2391)</f>
        <v>585961.341665131</v>
      </c>
      <c r="J2391" s="20" t="n">
        <f aca="false">I2391/F2391</f>
        <v>585961.341665131</v>
      </c>
      <c r="K2391" s="21" t="n">
        <f aca="false">D2391/(D2391+E2391)</f>
        <v>0.419753086419753</v>
      </c>
      <c r="L2391" s="21" t="n">
        <f aca="false">AVERAGEIFS($K$2:$K$2705,$B$2:$B$2705,B2391)</f>
        <v>0.49999233187639</v>
      </c>
      <c r="M2391" s="21" t="n">
        <f aca="false">K2391-L2391</f>
        <v>-0.0802392454566368</v>
      </c>
      <c r="N2391" s="21" t="n">
        <f aca="false">LN(J2391)</f>
        <v>13.2810090965283</v>
      </c>
      <c r="O2391" s="21" t="n">
        <f aca="false">AVERAGEIFS($N$2:$N$2705,$B$2:$B$2705,B2391)</f>
        <v>13.6484187651352</v>
      </c>
      <c r="P2391" s="21" t="n">
        <f aca="false">N2391-O2391</f>
        <v>-0.367409668606864</v>
      </c>
      <c r="Q2391" s="7" t="n">
        <v>1</v>
      </c>
      <c r="R2391" s="3" t="n">
        <f aca="false">IF(AND(Q2391=1,B2391-_xlfn.MINIFS($B$2:$B$2705,$A$2:$A$2705,A2391)&lt;10),1,0)</f>
        <v>0</v>
      </c>
      <c r="S2391" s="7" t="n">
        <v>0</v>
      </c>
      <c r="T2391" s="3" t="n">
        <f aca="false">_xlfn.MINIFS($B$2:$B$2705,$A$2:$A$2705,A2391)</f>
        <v>1969</v>
      </c>
      <c r="U2391" s="3" t="n">
        <f aca="false">B2391-T2391</f>
        <v>46</v>
      </c>
      <c r="V2391" s="3" t="str">
        <f aca="false">INDEX(Pop_Inputs!$Q$2:$Q$29,MATCH(C2391,Pop_Inputs!$A$2:$A$29,0))</f>
        <v>Midwest</v>
      </c>
      <c r="W2391" s="29" t="n">
        <v>100850000</v>
      </c>
      <c r="X2391" s="3" t="n">
        <f aca="false">IF(W2391="","",LN(W2391))</f>
        <v>18.4291448223645</v>
      </c>
      <c r="Y2391" s="3" t="n">
        <f aca="false">IF(X2391="","",X2391-AVERAGEIFS($X$2:$X$2705,$B$2:$B$2705,B2391))</f>
        <v>-0.0958558842537016</v>
      </c>
      <c r="Z2391" s="21" t="n">
        <f aca="false">P2391</f>
        <v>-0.367409668606864</v>
      </c>
      <c r="AA2391" s="3" t="n">
        <f aca="false">R2391</f>
        <v>0</v>
      </c>
      <c r="AB2391" s="21" t="n">
        <f aca="false">P2391</f>
        <v>-0.367409668606864</v>
      </c>
      <c r="AC2391" s="3" t="n">
        <f aca="false">Y2391</f>
        <v>-0.0958558842537016</v>
      </c>
      <c r="AD2391" s="3" t="n">
        <f aca="false">R2391</f>
        <v>0</v>
      </c>
    </row>
    <row r="2392" customFormat="false" ht="15" hidden="false" customHeight="true" outlineLevel="0" collapsed="false">
      <c r="A2392" s="7" t="s">
        <v>68</v>
      </c>
      <c r="B2392" s="7" t="n">
        <v>2015</v>
      </c>
      <c r="C2392" s="7" t="s">
        <v>153</v>
      </c>
      <c r="D2392" s="7" t="n">
        <v>83</v>
      </c>
      <c r="E2392" s="7" t="n">
        <v>79</v>
      </c>
      <c r="F2392" s="3" t="n">
        <f aca="false">COUNTIFS($B$2:$B$2705,B2392,$C$2:$C$2705,C2392)</f>
        <v>1</v>
      </c>
      <c r="G2392" s="3" t="n">
        <f aca="false">MIN(INT((MIN(B2392,2020)-1900)/10)+1,12)</f>
        <v>12</v>
      </c>
      <c r="H2392" s="3" t="n">
        <f aca="false">(MIN(B2392,2020)-1900-10*(G2392-1))/10</f>
        <v>0.5</v>
      </c>
      <c r="I2392" s="20" t="n">
        <f aca="false">EXP(LN(INDEX(Pop_Inputs!$B$2:$N$29,MATCH(C2392,Pop_Inputs!$A$2:$A$29,0),G2392))*(1-H2392)+LN(INDEX(Pop_Inputs!$B$2:$N$29,MATCH(C2392,Pop_Inputs!$A$2:$A$29,0),G2392+1))*H2392)</f>
        <v>405574.828375727</v>
      </c>
      <c r="J2392" s="20" t="n">
        <f aca="false">I2392/F2392</f>
        <v>405574.828375727</v>
      </c>
      <c r="K2392" s="21" t="n">
        <f aca="false">D2392/(D2392+E2392)</f>
        <v>0.512345679012346</v>
      </c>
      <c r="L2392" s="21" t="n">
        <f aca="false">AVERAGEIFS($K$2:$K$2705,$B$2:$B$2705,B2392)</f>
        <v>0.49999233187639</v>
      </c>
      <c r="M2392" s="21" t="n">
        <f aca="false">K2392-L2392</f>
        <v>0.0123533471359559</v>
      </c>
      <c r="N2392" s="21" t="n">
        <f aca="false">LN(J2392)</f>
        <v>12.9130606691157</v>
      </c>
      <c r="O2392" s="21" t="n">
        <f aca="false">AVERAGEIFS($N$2:$N$2705,$B$2:$B$2705,B2392)</f>
        <v>13.6484187651352</v>
      </c>
      <c r="P2392" s="21" t="n">
        <f aca="false">N2392-O2392</f>
        <v>-0.735358096019523</v>
      </c>
      <c r="Q2392" s="7" t="n">
        <v>0</v>
      </c>
      <c r="R2392" s="3" t="n">
        <f aca="false">IF(AND(Q2392=1,B2392-_xlfn.MINIFS($B$2:$B$2705,$A$2:$A$2705,A2392)&lt;10),1,0)</f>
        <v>0</v>
      </c>
      <c r="S2392" s="7" t="n">
        <v>0</v>
      </c>
      <c r="T2392" s="3" t="n">
        <f aca="false">_xlfn.MINIFS($B$2:$B$2705,$A$2:$A$2705,A2392)</f>
        <v>1901</v>
      </c>
      <c r="U2392" s="3" t="n">
        <f aca="false">B2392-T2392</f>
        <v>114</v>
      </c>
      <c r="V2392" s="3" t="str">
        <f aca="false">INDEX(Pop_Inputs!$Q$2:$Q$29,MATCH(C2392,Pop_Inputs!$A$2:$A$29,0))</f>
        <v>Midwest</v>
      </c>
      <c r="W2392" s="29" t="n">
        <v>107755000</v>
      </c>
      <c r="X2392" s="3" t="n">
        <f aca="false">IF(W2392="","",LN(W2392))</f>
        <v>18.4953706895838</v>
      </c>
      <c r="Y2392" s="3" t="n">
        <f aca="false">IF(X2392="","",X2392-AVERAGEIFS($X$2:$X$2705,$B$2:$B$2705,B2392))</f>
        <v>-0.0296300170343891</v>
      </c>
      <c r="Z2392" s="21" t="n">
        <f aca="false">P2392</f>
        <v>-0.735358096019523</v>
      </c>
      <c r="AA2392" s="3" t="n">
        <f aca="false">R2392</f>
        <v>0</v>
      </c>
      <c r="AB2392" s="21" t="n">
        <f aca="false">P2392</f>
        <v>-0.735358096019523</v>
      </c>
      <c r="AC2392" s="3" t="n">
        <f aca="false">Y2392</f>
        <v>-0.0296300170343891</v>
      </c>
      <c r="AD2392" s="3" t="n">
        <f aca="false">R2392</f>
        <v>0</v>
      </c>
    </row>
    <row r="2393" customFormat="false" ht="15" hidden="false" customHeight="true" outlineLevel="0" collapsed="false">
      <c r="A2393" s="7" t="s">
        <v>75</v>
      </c>
      <c r="B2393" s="7" t="n">
        <v>2015</v>
      </c>
      <c r="C2393" s="7" t="s">
        <v>154</v>
      </c>
      <c r="D2393" s="7" t="n">
        <v>90</v>
      </c>
      <c r="E2393" s="7" t="n">
        <v>72</v>
      </c>
      <c r="F2393" s="3" t="n">
        <f aca="false">COUNTIFS($B$2:$B$2705,B2393,$C$2:$C$2705,C2393)</f>
        <v>2</v>
      </c>
      <c r="G2393" s="3" t="n">
        <f aca="false">MIN(INT((MIN(B2393,2020)-1900)/10)+1,12)</f>
        <v>12</v>
      </c>
      <c r="H2393" s="3" t="n">
        <f aca="false">(MIN(B2393,2020)-1900-10*(G2393-1))/10</f>
        <v>0.5</v>
      </c>
      <c r="I2393" s="20" t="n">
        <f aca="false">EXP(LN(INDEX(Pop_Inputs!$B$2:$N$29,MATCH(C2393,Pop_Inputs!$A$2:$A$29,0),G2393))*(1-H2393)+LN(INDEX(Pop_Inputs!$B$2:$N$29,MATCH(C2393,Pop_Inputs!$A$2:$A$29,0),G2393+1))*H2393)</f>
        <v>8483833.10816932</v>
      </c>
      <c r="J2393" s="20" t="n">
        <f aca="false">I2393/F2393</f>
        <v>4241916.55408466</v>
      </c>
      <c r="K2393" s="21" t="n">
        <f aca="false">D2393/(D2393+E2393)</f>
        <v>0.555555555555556</v>
      </c>
      <c r="L2393" s="21" t="n">
        <f aca="false">AVERAGEIFS($K$2:$K$2705,$B$2:$B$2705,B2393)</f>
        <v>0.49999233187639</v>
      </c>
      <c r="M2393" s="21" t="n">
        <f aca="false">K2393-L2393</f>
        <v>0.0555632236791657</v>
      </c>
      <c r="N2393" s="21" t="n">
        <f aca="false">LN(J2393)</f>
        <v>15.2605257425518</v>
      </c>
      <c r="O2393" s="21" t="n">
        <f aca="false">AVERAGEIFS($N$2:$N$2705,$B$2:$B$2705,B2393)</f>
        <v>13.6484187651352</v>
      </c>
      <c r="P2393" s="21" t="n">
        <f aca="false">N2393-O2393</f>
        <v>1.61210697741663</v>
      </c>
      <c r="Q2393" s="7" t="n">
        <v>1</v>
      </c>
      <c r="R2393" s="3" t="n">
        <f aca="false">IF(AND(Q2393=1,B2393-_xlfn.MINIFS($B$2:$B$2705,$A$2:$A$2705,A2393)&lt;10),1,0)</f>
        <v>0</v>
      </c>
      <c r="S2393" s="7" t="n">
        <v>0</v>
      </c>
      <c r="T2393" s="3" t="n">
        <f aca="false">_xlfn.MINIFS($B$2:$B$2705,$A$2:$A$2705,A2393)</f>
        <v>1962</v>
      </c>
      <c r="U2393" s="3" t="n">
        <f aca="false">B2393-T2393</f>
        <v>53</v>
      </c>
      <c r="V2393" s="3" t="str">
        <f aca="false">INDEX(Pop_Inputs!$Q$2:$Q$29,MATCH(C2393,Pop_Inputs!$A$2:$A$29,0))</f>
        <v>Northeast</v>
      </c>
      <c r="W2393" s="29" t="n">
        <v>96766683</v>
      </c>
      <c r="X2393" s="3" t="n">
        <f aca="false">IF(W2393="","",LN(W2393))</f>
        <v>18.3878133091176</v>
      </c>
      <c r="Y2393" s="3" t="n">
        <f aca="false">IF(X2393="","",X2393-AVERAGEIFS($X$2:$X$2705,$B$2:$B$2705,B2393))</f>
        <v>-0.137187397500558</v>
      </c>
      <c r="Z2393" s="21" t="n">
        <f aca="false">P2393</f>
        <v>1.61210697741663</v>
      </c>
      <c r="AA2393" s="3" t="n">
        <f aca="false">R2393</f>
        <v>0</v>
      </c>
      <c r="AB2393" s="21" t="n">
        <f aca="false">P2393</f>
        <v>1.61210697741663</v>
      </c>
      <c r="AC2393" s="3" t="n">
        <f aca="false">Y2393</f>
        <v>-0.137187397500558</v>
      </c>
      <c r="AD2393" s="3" t="n">
        <f aca="false">R2393</f>
        <v>0</v>
      </c>
    </row>
    <row r="2394" customFormat="false" ht="15" hidden="false" customHeight="true" outlineLevel="0" collapsed="false">
      <c r="A2394" s="7" t="s">
        <v>70</v>
      </c>
      <c r="B2394" s="7" t="n">
        <v>2015</v>
      </c>
      <c r="C2394" s="7" t="s">
        <v>154</v>
      </c>
      <c r="D2394" s="7" t="n">
        <v>87</v>
      </c>
      <c r="E2394" s="7" t="n">
        <v>75</v>
      </c>
      <c r="F2394" s="3" t="n">
        <f aca="false">COUNTIFS($B$2:$B$2705,B2394,$C$2:$C$2705,C2394)</f>
        <v>2</v>
      </c>
      <c r="G2394" s="3" t="n">
        <f aca="false">MIN(INT((MIN(B2394,2020)-1900)/10)+1,12)</f>
        <v>12</v>
      </c>
      <c r="H2394" s="3" t="n">
        <f aca="false">(MIN(B2394,2020)-1900-10*(G2394-1))/10</f>
        <v>0.5</v>
      </c>
      <c r="I2394" s="20" t="n">
        <f aca="false">EXP(LN(INDEX(Pop_Inputs!$B$2:$N$29,MATCH(C2394,Pop_Inputs!$A$2:$A$29,0),G2394))*(1-H2394)+LN(INDEX(Pop_Inputs!$B$2:$N$29,MATCH(C2394,Pop_Inputs!$A$2:$A$29,0),G2394+1))*H2394)</f>
        <v>8483833.10816932</v>
      </c>
      <c r="J2394" s="20" t="n">
        <f aca="false">I2394/F2394</f>
        <v>4241916.55408466</v>
      </c>
      <c r="K2394" s="21" t="n">
        <f aca="false">D2394/(D2394+E2394)</f>
        <v>0.537037037037037</v>
      </c>
      <c r="L2394" s="21" t="n">
        <f aca="false">AVERAGEIFS($K$2:$K$2705,$B$2:$B$2705,B2394)</f>
        <v>0.49999233187639</v>
      </c>
      <c r="M2394" s="21" t="n">
        <f aca="false">K2394-L2394</f>
        <v>0.0370447051606472</v>
      </c>
      <c r="N2394" s="21" t="n">
        <f aca="false">LN(J2394)</f>
        <v>15.2605257425518</v>
      </c>
      <c r="O2394" s="21" t="n">
        <f aca="false">AVERAGEIFS($N$2:$N$2705,$B$2:$B$2705,B2394)</f>
        <v>13.6484187651352</v>
      </c>
      <c r="P2394" s="21" t="n">
        <f aca="false">N2394-O2394</f>
        <v>1.61210697741663</v>
      </c>
      <c r="Q2394" s="7" t="n">
        <v>0</v>
      </c>
      <c r="R2394" s="3" t="n">
        <f aca="false">IF(AND(Q2394=1,B2394-_xlfn.MINIFS($B$2:$B$2705,$A$2:$A$2705,A2394)&lt;10),1,0)</f>
        <v>0</v>
      </c>
      <c r="S2394" s="7" t="n">
        <v>1</v>
      </c>
      <c r="T2394" s="3" t="n">
        <f aca="false">_xlfn.MINIFS($B$2:$B$2705,$A$2:$A$2705,A2394)</f>
        <v>1903</v>
      </c>
      <c r="U2394" s="3" t="n">
        <f aca="false">B2394-T2394</f>
        <v>112</v>
      </c>
      <c r="V2394" s="3" t="str">
        <f aca="false">INDEX(Pop_Inputs!$Q$2:$Q$29,MATCH(C2394,Pop_Inputs!$A$2:$A$29,0))</f>
        <v>Northeast</v>
      </c>
      <c r="W2394" s="29" t="n">
        <v>212751957</v>
      </c>
      <c r="X2394" s="3" t="n">
        <f aca="false">IF(W2394="","",LN(W2394))</f>
        <v>19.1756375239653</v>
      </c>
      <c r="Y2394" s="3" t="n">
        <f aca="false">IF(X2394="","",X2394-AVERAGEIFS($X$2:$X$2705,$B$2:$B$2705,B2394))</f>
        <v>0.650636817347149</v>
      </c>
      <c r="Z2394" s="21" t="n">
        <f aca="false">P2394</f>
        <v>1.61210697741663</v>
      </c>
      <c r="AA2394" s="3" t="n">
        <f aca="false">R2394</f>
        <v>0</v>
      </c>
      <c r="AB2394" s="21" t="n">
        <f aca="false">P2394</f>
        <v>1.61210697741663</v>
      </c>
      <c r="AC2394" s="3" t="n">
        <f aca="false">Y2394</f>
        <v>0.650636817347149</v>
      </c>
      <c r="AD2394" s="3" t="n">
        <f aca="false">R2394</f>
        <v>0</v>
      </c>
    </row>
    <row r="2395" customFormat="false" ht="15" hidden="false" customHeight="true" outlineLevel="0" collapsed="false">
      <c r="A2395" s="7" t="s">
        <v>69</v>
      </c>
      <c r="B2395" s="7" t="n">
        <v>2015</v>
      </c>
      <c r="C2395" s="7" t="s">
        <v>253</v>
      </c>
      <c r="D2395" s="7" t="n">
        <v>68</v>
      </c>
      <c r="E2395" s="7" t="n">
        <v>94</v>
      </c>
      <c r="F2395" s="3" t="n">
        <f aca="false">COUNTIFS($B$2:$B$2705,B2395,$C$2:$C$2705,C2395)</f>
        <v>1</v>
      </c>
      <c r="G2395" s="3" t="n">
        <f aca="false">MIN(INT((MIN(B2395,2020)-1900)/10)+1,12)</f>
        <v>12</v>
      </c>
      <c r="H2395" s="3" t="n">
        <f aca="false">(MIN(B2395,2020)-1900-10*(G2395-1))/10</f>
        <v>0.5</v>
      </c>
      <c r="I2395" s="20" t="n">
        <f aca="false">EXP(LN(INDEX(Pop_Inputs!$B$2:$N$29,MATCH(C2395,Pop_Inputs!$A$2:$A$29,0),G2395))*(1-H2395)+LN(INDEX(Pop_Inputs!$B$2:$N$29,MATCH(C2395,Pop_Inputs!$A$2:$A$29,0),G2395+1))*H2395)</f>
        <v>414934.895741488</v>
      </c>
      <c r="J2395" s="20" t="n">
        <f aca="false">I2395/F2395</f>
        <v>414934.895741488</v>
      </c>
      <c r="K2395" s="21" t="n">
        <f aca="false">D2395/(D2395+E2395)</f>
        <v>0.419753086419753</v>
      </c>
      <c r="L2395" s="21" t="n">
        <f aca="false">AVERAGEIFS($K$2:$K$2705,$B$2:$B$2705,B2395)</f>
        <v>0.49999233187639</v>
      </c>
      <c r="M2395" s="21" t="n">
        <f aca="false">K2395-L2395</f>
        <v>-0.0802392454566368</v>
      </c>
      <c r="N2395" s="21" t="n">
        <f aca="false">LN(J2395)</f>
        <v>12.9358769091749</v>
      </c>
      <c r="O2395" s="21" t="n">
        <f aca="false">AVERAGEIFS($N$2:$N$2705,$B$2:$B$2705,B2395)</f>
        <v>13.6484187651352</v>
      </c>
      <c r="P2395" s="21" t="n">
        <f aca="false">N2395-O2395</f>
        <v>-0.712541855960298</v>
      </c>
      <c r="Q2395" s="7" t="n">
        <v>0</v>
      </c>
      <c r="R2395" s="3" t="n">
        <f aca="false">IF(AND(Q2395=1,B2395-_xlfn.MINIFS($B$2:$B$2705,$A$2:$A$2705,A2395)&lt;10),1,0)</f>
        <v>0</v>
      </c>
      <c r="S2395" s="7" t="n">
        <v>0</v>
      </c>
      <c r="T2395" s="3" t="n">
        <f aca="false">_xlfn.MINIFS($B$2:$B$2705,$A$2:$A$2705,A2395)</f>
        <v>1901</v>
      </c>
      <c r="U2395" s="3" t="n">
        <f aca="false">B2395-T2395</f>
        <v>114</v>
      </c>
      <c r="V2395" s="3" t="str">
        <f aca="false">INDEX(Pop_Inputs!$Q$2:$Q$29,MATCH(C2395,Pop_Inputs!$A$2:$A$29,0))</f>
        <v>West</v>
      </c>
      <c r="W2395" s="29" t="n">
        <v>79053501</v>
      </c>
      <c r="X2395" s="3" t="n">
        <f aca="false">IF(W2395="","",LN(W2395))</f>
        <v>18.1856354090641</v>
      </c>
      <c r="Y2395" s="3" t="n">
        <f aca="false">IF(X2395="","",X2395-AVERAGEIFS($X$2:$X$2705,$B$2:$B$2705,B2395))</f>
        <v>-0.3393652975541</v>
      </c>
      <c r="Z2395" s="21" t="n">
        <f aca="false">P2395</f>
        <v>-0.712541855960298</v>
      </c>
      <c r="AA2395" s="3" t="n">
        <f aca="false">R2395</f>
        <v>0</v>
      </c>
      <c r="AB2395" s="21" t="n">
        <f aca="false">P2395</f>
        <v>-0.712541855960298</v>
      </c>
      <c r="AC2395" s="3" t="n">
        <f aca="false">Y2395</f>
        <v>-0.3393652975541</v>
      </c>
      <c r="AD2395" s="3" t="n">
        <f aca="false">R2395</f>
        <v>0</v>
      </c>
    </row>
    <row r="2396" customFormat="false" ht="15" hidden="false" customHeight="true" outlineLevel="0" collapsed="false">
      <c r="A2396" s="7" t="s">
        <v>60</v>
      </c>
      <c r="B2396" s="7" t="n">
        <v>2015</v>
      </c>
      <c r="C2396" s="7" t="s">
        <v>146</v>
      </c>
      <c r="D2396" s="7" t="n">
        <v>63</v>
      </c>
      <c r="E2396" s="7" t="n">
        <v>99</v>
      </c>
      <c r="F2396" s="3" t="n">
        <f aca="false">COUNTIFS($B$2:$B$2705,B2396,$C$2:$C$2705,C2396)</f>
        <v>1</v>
      </c>
      <c r="G2396" s="3" t="n">
        <f aca="false">MIN(INT((MIN(B2396,2020)-1900)/10)+1,12)</f>
        <v>12</v>
      </c>
      <c r="H2396" s="3" t="n">
        <f aca="false">(MIN(B2396,2020)-1900-10*(G2396-1))/10</f>
        <v>0.5</v>
      </c>
      <c r="I2396" s="20" t="n">
        <f aca="false">EXP(LN(INDEX(Pop_Inputs!$B$2:$N$29,MATCH(C2396,Pop_Inputs!$A$2:$A$29,0),G2396))*(1-H2396)+LN(INDEX(Pop_Inputs!$B$2:$N$29,MATCH(C2396,Pop_Inputs!$A$2:$A$29,0),G2396+1))*H2396)</f>
        <v>1564418.05307341</v>
      </c>
      <c r="J2396" s="20" t="n">
        <f aca="false">I2396/F2396</f>
        <v>1564418.05307341</v>
      </c>
      <c r="K2396" s="21" t="n">
        <f aca="false">D2396/(D2396+E2396)</f>
        <v>0.388888888888889</v>
      </c>
      <c r="L2396" s="21" t="n">
        <f aca="false">AVERAGEIFS($K$2:$K$2705,$B$2:$B$2705,B2396)</f>
        <v>0.49999233187639</v>
      </c>
      <c r="M2396" s="21" t="n">
        <f aca="false">K2396-L2396</f>
        <v>-0.111103442987501</v>
      </c>
      <c r="N2396" s="21" t="n">
        <f aca="false">LN(J2396)</f>
        <v>14.2630244617313</v>
      </c>
      <c r="O2396" s="21" t="n">
        <f aca="false">AVERAGEIFS($N$2:$N$2705,$B$2:$B$2705,B2396)</f>
        <v>13.6484187651352</v>
      </c>
      <c r="P2396" s="21" t="n">
        <f aca="false">N2396-O2396</f>
        <v>0.614605696596152</v>
      </c>
      <c r="Q2396" s="7" t="n">
        <v>0</v>
      </c>
      <c r="R2396" s="3" t="n">
        <f aca="false">IF(AND(Q2396=1,B2396-_xlfn.MINIFS($B$2:$B$2705,$A$2:$A$2705,A2396)&lt;10),1,0)</f>
        <v>0</v>
      </c>
      <c r="S2396" s="7" t="n">
        <v>0</v>
      </c>
      <c r="T2396" s="3" t="n">
        <f aca="false">_xlfn.MINIFS($B$2:$B$2705,$A$2:$A$2705,A2396)</f>
        <v>1901</v>
      </c>
      <c r="U2396" s="3" t="n">
        <f aca="false">B2396-T2396</f>
        <v>114</v>
      </c>
      <c r="V2396" s="3" t="str">
        <f aca="false">INDEX(Pop_Inputs!$Q$2:$Q$29,MATCH(C2396,Pop_Inputs!$A$2:$A$29,0))</f>
        <v>Northeast</v>
      </c>
      <c r="W2396" s="29" t="n">
        <v>111693000</v>
      </c>
      <c r="X2396" s="3" t="n">
        <f aca="false">IF(W2396="","",LN(W2396))</f>
        <v>18.5312645942154</v>
      </c>
      <c r="Y2396" s="3" t="n">
        <f aca="false">IF(X2396="","",X2396-AVERAGEIFS($X$2:$X$2705,$B$2:$B$2705,B2396))</f>
        <v>0.00626388759717855</v>
      </c>
      <c r="Z2396" s="21" t="n">
        <f aca="false">P2396</f>
        <v>0.614605696596152</v>
      </c>
      <c r="AA2396" s="3" t="n">
        <f aca="false">R2396</f>
        <v>0</v>
      </c>
      <c r="AB2396" s="21" t="n">
        <f aca="false">P2396</f>
        <v>0.614605696596152</v>
      </c>
      <c r="AC2396" s="3" t="n">
        <f aca="false">Y2396</f>
        <v>0.00626388759717855</v>
      </c>
      <c r="AD2396" s="3" t="n">
        <f aca="false">R2396</f>
        <v>0</v>
      </c>
    </row>
    <row r="2397" customFormat="false" ht="15" hidden="false" customHeight="true" outlineLevel="0" collapsed="false">
      <c r="A2397" s="7" t="s">
        <v>58</v>
      </c>
      <c r="B2397" s="7" t="n">
        <v>2015</v>
      </c>
      <c r="C2397" s="7" t="s">
        <v>144</v>
      </c>
      <c r="D2397" s="7" t="n">
        <v>98</v>
      </c>
      <c r="E2397" s="7" t="n">
        <v>64</v>
      </c>
      <c r="F2397" s="3" t="n">
        <f aca="false">COUNTIFS($B$2:$B$2705,B2397,$C$2:$C$2705,C2397)</f>
        <v>1</v>
      </c>
      <c r="G2397" s="3" t="n">
        <f aca="false">MIN(INT((MIN(B2397,2020)-1900)/10)+1,12)</f>
        <v>12</v>
      </c>
      <c r="H2397" s="3" t="n">
        <f aca="false">(MIN(B2397,2020)-1900-10*(G2397-1))/10</f>
        <v>0.5</v>
      </c>
      <c r="I2397" s="20" t="n">
        <f aca="false">EXP(LN(INDEX(Pop_Inputs!$B$2:$N$29,MATCH(C2397,Pop_Inputs!$A$2:$A$29,0),G2397))*(1-H2397)+LN(INDEX(Pop_Inputs!$B$2:$N$29,MATCH(C2397,Pop_Inputs!$A$2:$A$29,0),G2397+1))*H2397)</f>
        <v>304334.432136753</v>
      </c>
      <c r="J2397" s="20" t="n">
        <f aca="false">I2397/F2397</f>
        <v>304334.432136753</v>
      </c>
      <c r="K2397" s="21" t="n">
        <f aca="false">D2397/(D2397+E2397)</f>
        <v>0.604938271604938</v>
      </c>
      <c r="L2397" s="21" t="n">
        <f aca="false">AVERAGEIFS($K$2:$K$2705,$B$2:$B$2705,B2397)</f>
        <v>0.49999233187639</v>
      </c>
      <c r="M2397" s="21" t="n">
        <f aca="false">K2397-L2397</f>
        <v>0.104945939728548</v>
      </c>
      <c r="N2397" s="21" t="n">
        <f aca="false">LN(J2397)</f>
        <v>12.6258824814285</v>
      </c>
      <c r="O2397" s="21" t="n">
        <f aca="false">AVERAGEIFS($N$2:$N$2705,$B$2:$B$2705,B2397)</f>
        <v>13.6484187651352</v>
      </c>
      <c r="P2397" s="21" t="n">
        <f aca="false">N2397-O2397</f>
        <v>-1.02253628370668</v>
      </c>
      <c r="Q2397" s="7" t="n">
        <v>0</v>
      </c>
      <c r="R2397" s="3" t="n">
        <f aca="false">IF(AND(Q2397=1,B2397-_xlfn.MINIFS($B$2:$B$2705,$A$2:$A$2705,A2397)&lt;10),1,0)</f>
        <v>0</v>
      </c>
      <c r="S2397" s="7" t="n">
        <v>0</v>
      </c>
      <c r="T2397" s="3" t="n">
        <f aca="false">_xlfn.MINIFS($B$2:$B$2705,$A$2:$A$2705,A2397)</f>
        <v>1901</v>
      </c>
      <c r="U2397" s="3" t="n">
        <f aca="false">B2397-T2397</f>
        <v>114</v>
      </c>
      <c r="V2397" s="3" t="str">
        <f aca="false">INDEX(Pop_Inputs!$Q$2:$Q$29,MATCH(C2397,Pop_Inputs!$A$2:$A$29,0))</f>
        <v>Northeast</v>
      </c>
      <c r="W2397" s="29" t="n">
        <v>88892499</v>
      </c>
      <c r="X2397" s="3" t="n">
        <f aca="false">IF(W2397="","",LN(W2397))</f>
        <v>18.3029383212213</v>
      </c>
      <c r="Y2397" s="3" t="n">
        <f aca="false">IF(X2397="","",X2397-AVERAGEIFS($X$2:$X$2705,$B$2:$B$2705,B2397))</f>
        <v>-0.222062385396931</v>
      </c>
      <c r="Z2397" s="21" t="n">
        <f aca="false">P2397</f>
        <v>-1.02253628370668</v>
      </c>
      <c r="AA2397" s="3" t="n">
        <f aca="false">R2397</f>
        <v>0</v>
      </c>
      <c r="AB2397" s="21" t="n">
        <f aca="false">P2397</f>
        <v>-1.02253628370668</v>
      </c>
      <c r="AC2397" s="3" t="n">
        <f aca="false">Y2397</f>
        <v>-0.222062385396931</v>
      </c>
      <c r="AD2397" s="3" t="n">
        <f aca="false">R2397</f>
        <v>0</v>
      </c>
    </row>
    <row r="2398" customFormat="false" ht="15" hidden="false" customHeight="true" outlineLevel="0" collapsed="false">
      <c r="A2398" s="7" t="s">
        <v>78</v>
      </c>
      <c r="B2398" s="7" t="n">
        <v>2015</v>
      </c>
      <c r="C2398" s="7" t="s">
        <v>159</v>
      </c>
      <c r="D2398" s="7" t="n">
        <v>74</v>
      </c>
      <c r="E2398" s="7" t="n">
        <v>88</v>
      </c>
      <c r="F2398" s="3" t="n">
        <f aca="false">COUNTIFS($B$2:$B$2705,B2398,$C$2:$C$2705,C2398)</f>
        <v>1</v>
      </c>
      <c r="G2398" s="3" t="n">
        <f aca="false">MIN(INT((MIN(B2398,2020)-1900)/10)+1,12)</f>
        <v>12</v>
      </c>
      <c r="H2398" s="3" t="n">
        <f aca="false">(MIN(B2398,2020)-1900-10*(G2398-1))/10</f>
        <v>0.5</v>
      </c>
      <c r="I2398" s="20" t="n">
        <f aca="false">EXP(LN(INDEX(Pop_Inputs!$B$2:$N$29,MATCH(C2398,Pop_Inputs!$A$2:$A$29,0),G2398))*(1-H2398)+LN(INDEX(Pop_Inputs!$B$2:$N$29,MATCH(C2398,Pop_Inputs!$A$2:$A$29,0),G2398+1))*H2398)</f>
        <v>1346579.99044394</v>
      </c>
      <c r="J2398" s="20" t="n">
        <f aca="false">I2398/F2398</f>
        <v>1346579.99044394</v>
      </c>
      <c r="K2398" s="21" t="n">
        <f aca="false">D2398/(D2398+E2398)</f>
        <v>0.45679012345679</v>
      </c>
      <c r="L2398" s="21" t="n">
        <f aca="false">AVERAGEIFS($K$2:$K$2705,$B$2:$B$2705,B2398)</f>
        <v>0.49999233187639</v>
      </c>
      <c r="M2398" s="21" t="n">
        <f aca="false">K2398-L2398</f>
        <v>-0.0432022084195998</v>
      </c>
      <c r="N2398" s="21" t="n">
        <f aca="false">LN(J2398)</f>
        <v>14.1130785956661</v>
      </c>
      <c r="O2398" s="21" t="n">
        <f aca="false">AVERAGEIFS($N$2:$N$2705,$B$2:$B$2705,B2398)</f>
        <v>13.6484187651352</v>
      </c>
      <c r="P2398" s="21" t="n">
        <f aca="false">N2398-O2398</f>
        <v>0.464659830530893</v>
      </c>
      <c r="Q2398" s="7" t="n">
        <v>1</v>
      </c>
      <c r="R2398" s="3" t="n">
        <f aca="false">IF(AND(Q2398=1,B2398-_xlfn.MINIFS($B$2:$B$2705,$A$2:$A$2705,A2398)&lt;10),1,0)</f>
        <v>0</v>
      </c>
      <c r="S2398" s="7" t="n">
        <v>0</v>
      </c>
      <c r="T2398" s="3" t="n">
        <f aca="false">_xlfn.MINIFS($B$2:$B$2705,$A$2:$A$2705,A2398)</f>
        <v>1969</v>
      </c>
      <c r="U2398" s="3" t="n">
        <f aca="false">B2398-T2398</f>
        <v>46</v>
      </c>
      <c r="V2398" s="3" t="str">
        <f aca="false">INDEX(Pop_Inputs!$Q$2:$Q$29,MATCH(C2398,Pop_Inputs!$A$2:$A$29,0))</f>
        <v>West</v>
      </c>
      <c r="W2398" s="29" t="n">
        <v>118441300</v>
      </c>
      <c r="X2398" s="3" t="n">
        <f aca="false">IF(W2398="","",LN(W2398))</f>
        <v>18.589928037159</v>
      </c>
      <c r="Y2398" s="3" t="n">
        <f aca="false">IF(X2398="","",X2398-AVERAGEIFS($X$2:$X$2705,$B$2:$B$2705,B2398))</f>
        <v>0.0649273305408471</v>
      </c>
      <c r="Z2398" s="21" t="n">
        <f aca="false">P2398</f>
        <v>0.464659830530893</v>
      </c>
      <c r="AA2398" s="3" t="n">
        <f aca="false">R2398</f>
        <v>0</v>
      </c>
      <c r="AB2398" s="21" t="n">
        <f aca="false">P2398</f>
        <v>0.464659830530893</v>
      </c>
      <c r="AC2398" s="3" t="n">
        <f aca="false">Y2398</f>
        <v>0.0649273305408471</v>
      </c>
      <c r="AD2398" s="3" t="n">
        <f aca="false">R2398</f>
        <v>0</v>
      </c>
    </row>
    <row r="2399" customFormat="false" ht="15" hidden="false" customHeight="true" outlineLevel="0" collapsed="false">
      <c r="A2399" s="7" t="s">
        <v>80</v>
      </c>
      <c r="B2399" s="7" t="n">
        <v>2015</v>
      </c>
      <c r="C2399" s="7" t="s">
        <v>161</v>
      </c>
      <c r="D2399" s="7" t="n">
        <v>76</v>
      </c>
      <c r="E2399" s="7" t="n">
        <v>86</v>
      </c>
      <c r="F2399" s="3" t="n">
        <f aca="false">COUNTIFS($B$2:$B$2705,B2399,$C$2:$C$2705,C2399)</f>
        <v>1</v>
      </c>
      <c r="G2399" s="3" t="n">
        <f aca="false">MIN(INT((MIN(B2399,2020)-1900)/10)+1,12)</f>
        <v>12</v>
      </c>
      <c r="H2399" s="3" t="n">
        <f aca="false">(MIN(B2399,2020)-1900-10*(G2399-1))/10</f>
        <v>0.5</v>
      </c>
      <c r="I2399" s="20" t="n">
        <f aca="false">EXP(LN(INDEX(Pop_Inputs!$B$2:$N$29,MATCH(C2399,Pop_Inputs!$A$2:$A$29,0),G2399))*(1-H2399)+LN(INDEX(Pop_Inputs!$B$2:$N$29,MATCH(C2399,Pop_Inputs!$A$2:$A$29,0),G2399+1))*H2399)</f>
        <v>669769.773802909</v>
      </c>
      <c r="J2399" s="20" t="n">
        <f aca="false">I2399/F2399</f>
        <v>669769.773802909</v>
      </c>
      <c r="K2399" s="21" t="n">
        <f aca="false">D2399/(D2399+E2399)</f>
        <v>0.469135802469136</v>
      </c>
      <c r="L2399" s="21" t="n">
        <f aca="false">AVERAGEIFS($K$2:$K$2705,$B$2:$B$2705,B2399)</f>
        <v>0.49999233187639</v>
      </c>
      <c r="M2399" s="21" t="n">
        <f aca="false">K2399-L2399</f>
        <v>-0.0308565294072541</v>
      </c>
      <c r="N2399" s="21" t="n">
        <f aca="false">LN(J2399)</f>
        <v>13.4146893111262</v>
      </c>
      <c r="O2399" s="21" t="n">
        <f aca="false">AVERAGEIFS($N$2:$N$2705,$B$2:$B$2705,B2399)</f>
        <v>13.6484187651352</v>
      </c>
      <c r="P2399" s="21" t="n">
        <f aca="false">N2399-O2399</f>
        <v>-0.23372945400901</v>
      </c>
      <c r="Q2399" s="7" t="n">
        <v>1</v>
      </c>
      <c r="R2399" s="3" t="n">
        <f aca="false">IF(AND(Q2399=1,B2399-_xlfn.MINIFS($B$2:$B$2705,$A$2:$A$2705,A2399)&lt;10),1,0)</f>
        <v>0</v>
      </c>
      <c r="S2399" s="7" t="n">
        <v>0</v>
      </c>
      <c r="T2399" s="3" t="n">
        <f aca="false">_xlfn.MINIFS($B$2:$B$2705,$A$2:$A$2705,A2399)</f>
        <v>1977</v>
      </c>
      <c r="U2399" s="3" t="n">
        <f aca="false">B2399-T2399</f>
        <v>38</v>
      </c>
      <c r="V2399" s="3" t="str">
        <f aca="false">INDEX(Pop_Inputs!$Q$2:$Q$29,MATCH(C2399,Pop_Inputs!$A$2:$A$29,0))</f>
        <v>West</v>
      </c>
      <c r="W2399" s="29" t="n">
        <v>122208700</v>
      </c>
      <c r="X2399" s="3" t="n">
        <f aca="false">IF(W2399="","",LN(W2399))</f>
        <v>18.6212407969302</v>
      </c>
      <c r="Y2399" s="3" t="n">
        <f aca="false">IF(X2399="","",X2399-AVERAGEIFS($X$2:$X$2705,$B$2:$B$2705,B2399))</f>
        <v>0.0962400903120297</v>
      </c>
      <c r="Z2399" s="21" t="n">
        <f aca="false">P2399</f>
        <v>-0.23372945400901</v>
      </c>
      <c r="AA2399" s="3" t="n">
        <f aca="false">R2399</f>
        <v>0</v>
      </c>
      <c r="AB2399" s="21" t="n">
        <f aca="false">P2399</f>
        <v>-0.23372945400901</v>
      </c>
      <c r="AC2399" s="3" t="n">
        <f aca="false">Y2399</f>
        <v>0.0962400903120297</v>
      </c>
      <c r="AD2399" s="3" t="n">
        <f aca="false">R2399</f>
        <v>0</v>
      </c>
    </row>
    <row r="2400" customFormat="false" ht="15" hidden="false" customHeight="true" outlineLevel="0" collapsed="false">
      <c r="A2400" s="7" t="s">
        <v>61</v>
      </c>
      <c r="B2400" s="7" t="n">
        <v>2015</v>
      </c>
      <c r="C2400" s="7" t="s">
        <v>147</v>
      </c>
      <c r="D2400" s="7" t="n">
        <v>84</v>
      </c>
      <c r="E2400" s="7" t="n">
        <v>78</v>
      </c>
      <c r="F2400" s="3" t="n">
        <f aca="false">COUNTIFS($B$2:$B$2705,B2400,$C$2:$C$2705,C2400)</f>
        <v>1</v>
      </c>
      <c r="G2400" s="3" t="n">
        <f aca="false">MIN(INT((MIN(B2400,2020)-1900)/10)+1,12)</f>
        <v>12</v>
      </c>
      <c r="H2400" s="3" t="n">
        <f aca="false">(MIN(B2400,2020)-1900-10*(G2400-1))/10</f>
        <v>0.5</v>
      </c>
      <c r="I2400" s="20" t="n">
        <f aca="false">EXP(LN(INDEX(Pop_Inputs!$B$2:$N$29,MATCH(C2400,Pop_Inputs!$A$2:$A$29,0),G2400))*(1-H2400)+LN(INDEX(Pop_Inputs!$B$2:$N$29,MATCH(C2400,Pop_Inputs!$A$2:$A$29,0),G2400+1))*H2400)</f>
        <v>838896.421958635</v>
      </c>
      <c r="J2400" s="20" t="n">
        <f aca="false">I2400/F2400</f>
        <v>838896.421958635</v>
      </c>
      <c r="K2400" s="21" t="n">
        <f aca="false">D2400/(D2400+E2400)</f>
        <v>0.518518518518519</v>
      </c>
      <c r="L2400" s="21" t="n">
        <f aca="false">AVERAGEIFS($K$2:$K$2705,$B$2:$B$2705,B2400)</f>
        <v>0.49999233187639</v>
      </c>
      <c r="M2400" s="21" t="n">
        <f aca="false">K2400-L2400</f>
        <v>0.0185261866421286</v>
      </c>
      <c r="N2400" s="21" t="n">
        <f aca="false">LN(J2400)</f>
        <v>13.6398425236669</v>
      </c>
      <c r="O2400" s="21" t="n">
        <f aca="false">AVERAGEIFS($N$2:$N$2705,$B$2:$B$2705,B2400)</f>
        <v>13.6484187651352</v>
      </c>
      <c r="P2400" s="21" t="n">
        <f aca="false">N2400-O2400</f>
        <v>-0.00857624146827085</v>
      </c>
      <c r="Q2400" s="7" t="n">
        <v>0</v>
      </c>
      <c r="R2400" s="3" t="n">
        <f aca="false">IF(AND(Q2400=1,B2400-_xlfn.MINIFS($B$2:$B$2705,$A$2:$A$2705,A2400)&lt;10),1,0)</f>
        <v>0</v>
      </c>
      <c r="S2400" s="7" t="n">
        <v>0</v>
      </c>
      <c r="T2400" s="3" t="n">
        <f aca="false">_xlfn.MINIFS($B$2:$B$2705,$A$2:$A$2705,A2400)</f>
        <v>1901</v>
      </c>
      <c r="U2400" s="3" t="n">
        <f aca="false">B2400-T2400</f>
        <v>114</v>
      </c>
      <c r="V2400" s="3" t="str">
        <f aca="false">INDEX(Pop_Inputs!$Q$2:$Q$29,MATCH(C2400,Pop_Inputs!$A$2:$A$29,0))</f>
        <v>West</v>
      </c>
      <c r="W2400" s="29" t="n">
        <v>164701500</v>
      </c>
      <c r="X2400" s="3" t="n">
        <f aca="false">IF(W2400="","",LN(W2400))</f>
        <v>18.9196453025745</v>
      </c>
      <c r="Y2400" s="3" t="n">
        <f aca="false">IF(X2400="","",X2400-AVERAGEIFS($X$2:$X$2705,$B$2:$B$2705,B2400))</f>
        <v>0.394644595956322</v>
      </c>
      <c r="Z2400" s="21" t="n">
        <f aca="false">P2400</f>
        <v>-0.00857624146827085</v>
      </c>
      <c r="AA2400" s="3" t="n">
        <f aca="false">R2400</f>
        <v>0</v>
      </c>
      <c r="AB2400" s="21" t="n">
        <f aca="false">P2400</f>
        <v>-0.00857624146827085</v>
      </c>
      <c r="AC2400" s="3" t="n">
        <f aca="false">Y2400</f>
        <v>0.394644595956322</v>
      </c>
      <c r="AD2400" s="3" t="n">
        <f aca="false">R2400</f>
        <v>0</v>
      </c>
    </row>
    <row r="2401" customFormat="false" ht="15" hidden="false" customHeight="true" outlineLevel="0" collapsed="false">
      <c r="A2401" s="7" t="s">
        <v>59</v>
      </c>
      <c r="B2401" s="7" t="n">
        <v>2015</v>
      </c>
      <c r="C2401" s="7" t="s">
        <v>145</v>
      </c>
      <c r="D2401" s="7" t="n">
        <v>100</v>
      </c>
      <c r="E2401" s="7" t="n">
        <v>62</v>
      </c>
      <c r="F2401" s="3" t="n">
        <f aca="false">COUNTIFS($B$2:$B$2705,B2401,$C$2:$C$2705,C2401)</f>
        <v>1</v>
      </c>
      <c r="G2401" s="3" t="n">
        <f aca="false">MIN(INT((MIN(B2401,2020)-1900)/10)+1,12)</f>
        <v>12</v>
      </c>
      <c r="H2401" s="3" t="n">
        <f aca="false">(MIN(B2401,2020)-1900-10*(G2401-1))/10</f>
        <v>0.5</v>
      </c>
      <c r="I2401" s="20" t="n">
        <f aca="false">EXP(LN(INDEX(Pop_Inputs!$B$2:$N$29,MATCH(C2401,Pop_Inputs!$A$2:$A$29,0),G2401))*(1-H2401)+LN(INDEX(Pop_Inputs!$B$2:$N$29,MATCH(C2401,Pop_Inputs!$A$2:$A$29,0),G2401+1))*H2401)</f>
        <v>310309.596906058</v>
      </c>
      <c r="J2401" s="20" t="n">
        <f aca="false">I2401/F2401</f>
        <v>310309.596906058</v>
      </c>
      <c r="K2401" s="21" t="n">
        <f aca="false">D2401/(D2401+E2401)</f>
        <v>0.617283950617284</v>
      </c>
      <c r="L2401" s="21" t="n">
        <f aca="false">AVERAGEIFS($K$2:$K$2705,$B$2:$B$2705,B2401)</f>
        <v>0.49999233187639</v>
      </c>
      <c r="M2401" s="21" t="n">
        <f aca="false">K2401-L2401</f>
        <v>0.117291618740894</v>
      </c>
      <c r="N2401" s="21" t="n">
        <f aca="false">LN(J2401)</f>
        <v>12.6453257777895</v>
      </c>
      <c r="O2401" s="21" t="n">
        <f aca="false">AVERAGEIFS($N$2:$N$2705,$B$2:$B$2705,B2401)</f>
        <v>13.6484187651352</v>
      </c>
      <c r="P2401" s="21" t="n">
        <f aca="false">N2401-O2401</f>
        <v>-1.00309298734565</v>
      </c>
      <c r="Q2401" s="7" t="n">
        <v>0</v>
      </c>
      <c r="R2401" s="3" t="n">
        <f aca="false">IF(AND(Q2401=1,B2401-_xlfn.MINIFS($B$2:$B$2705,$A$2:$A$2705,A2401)&lt;10),1,0)</f>
        <v>0</v>
      </c>
      <c r="S2401" s="7" t="n">
        <v>0</v>
      </c>
      <c r="T2401" s="3" t="n">
        <f aca="false">_xlfn.MINIFS($B$2:$B$2705,$A$2:$A$2705,A2401)</f>
        <v>1901</v>
      </c>
      <c r="U2401" s="3" t="n">
        <f aca="false">B2401-T2401</f>
        <v>114</v>
      </c>
      <c r="V2401" s="3" t="str">
        <f aca="false">INDEX(Pop_Inputs!$Q$2:$Q$29,MATCH(C2401,Pop_Inputs!$A$2:$A$29,0))</f>
        <v>Midwest</v>
      </c>
      <c r="W2401" s="29" t="n">
        <v>119241500</v>
      </c>
      <c r="X2401" s="3" t="n">
        <f aca="false">IF(W2401="","",LN(W2401))</f>
        <v>18.5966614063663</v>
      </c>
      <c r="Y2401" s="3" t="n">
        <f aca="false">IF(X2401="","",X2401-AVERAGEIFS($X$2:$X$2705,$B$2:$B$2705,B2401))</f>
        <v>0.071660699748076</v>
      </c>
      <c r="Z2401" s="21" t="n">
        <f aca="false">P2401</f>
        <v>-1.00309298734565</v>
      </c>
      <c r="AA2401" s="3" t="n">
        <f aca="false">R2401</f>
        <v>0</v>
      </c>
      <c r="AB2401" s="21" t="n">
        <f aca="false">P2401</f>
        <v>-1.00309298734565</v>
      </c>
      <c r="AC2401" s="3" t="n">
        <f aca="false">Y2401</f>
        <v>0.071660699748076</v>
      </c>
      <c r="AD2401" s="3" t="n">
        <f aca="false">R2401</f>
        <v>0</v>
      </c>
    </row>
    <row r="2402" customFormat="false" ht="15" hidden="false" customHeight="true" outlineLevel="0" collapsed="false">
      <c r="A2402" s="7" t="s">
        <v>85</v>
      </c>
      <c r="B2402" s="7" t="n">
        <v>2015</v>
      </c>
      <c r="C2402" s="7" t="s">
        <v>166</v>
      </c>
      <c r="D2402" s="7" t="n">
        <v>80</v>
      </c>
      <c r="E2402" s="7" t="n">
        <v>82</v>
      </c>
      <c r="F2402" s="3" t="n">
        <f aca="false">COUNTIFS($B$2:$B$2705,B2402,$C$2:$C$2705,C2402)</f>
        <v>1</v>
      </c>
      <c r="G2402" s="3" t="n">
        <f aca="false">MIN(INT((MIN(B2402,2020)-1900)/10)+1,12)</f>
        <v>12</v>
      </c>
      <c r="H2402" s="3" t="n">
        <f aca="false">(MIN(B2402,2020)-1900-10*(G2402-1))/10</f>
        <v>0.5</v>
      </c>
      <c r="I2402" s="20" t="n">
        <f aca="false">EXP(LN(INDEX(Pop_Inputs!$B$2:$N$29,MATCH(C2402,Pop_Inputs!$A$2:$A$29,0),G2402))*(1-H2402)+LN(INDEX(Pop_Inputs!$B$2:$N$29,MATCH(C2402,Pop_Inputs!$A$2:$A$29,0),G2402+1))*H2402)</f>
        <v>359491.586731873</v>
      </c>
      <c r="J2402" s="20" t="n">
        <f aca="false">I2402/F2402</f>
        <v>359491.586731873</v>
      </c>
      <c r="K2402" s="21" t="n">
        <f aca="false">D2402/(D2402+E2402)</f>
        <v>0.493827160493827</v>
      </c>
      <c r="L2402" s="21" t="n">
        <f aca="false">AVERAGEIFS($K$2:$K$2705,$B$2:$B$2705,B2402)</f>
        <v>0.49999233187639</v>
      </c>
      <c r="M2402" s="21" t="n">
        <f aca="false">K2402-L2402</f>
        <v>-0.00616517138256273</v>
      </c>
      <c r="N2402" s="21" t="n">
        <f aca="false">LN(J2402)</f>
        <v>12.7924460531764</v>
      </c>
      <c r="O2402" s="21" t="n">
        <f aca="false">AVERAGEIFS($N$2:$N$2705,$B$2:$B$2705,B2402)</f>
        <v>13.6484187651352</v>
      </c>
      <c r="P2402" s="21" t="n">
        <f aca="false">N2402-O2402</f>
        <v>-0.855972711958772</v>
      </c>
      <c r="Q2402" s="7" t="n">
        <v>1</v>
      </c>
      <c r="R2402" s="3" t="n">
        <f aca="false">IF(AND(Q2402=1,B2402-_xlfn.MINIFS($B$2:$B$2705,$A$2:$A$2705,A2402)&lt;10),1,0)</f>
        <v>0</v>
      </c>
      <c r="S2402" s="7" t="n">
        <v>0</v>
      </c>
      <c r="T2402" s="3" t="n">
        <f aca="false">_xlfn.MINIFS($B$2:$B$2705,$A$2:$A$2705,A2402)</f>
        <v>1998</v>
      </c>
      <c r="U2402" s="3" t="n">
        <f aca="false">B2402-T2402</f>
        <v>17</v>
      </c>
      <c r="V2402" s="3" t="str">
        <f aca="false">INDEX(Pop_Inputs!$Q$2:$Q$29,MATCH(C2402,Pop_Inputs!$A$2:$A$29,0))</f>
        <v>South</v>
      </c>
      <c r="W2402" s="29" t="n">
        <v>64521233</v>
      </c>
      <c r="X2402" s="3" t="n">
        <f aca="false">IF(W2402="","",LN(W2402))</f>
        <v>17.9825049213921</v>
      </c>
      <c r="Y2402" s="3" t="n">
        <f aca="false">IF(X2402="","",X2402-AVERAGEIFS($X$2:$X$2705,$B$2:$B$2705,B2402))</f>
        <v>-0.542495785226137</v>
      </c>
      <c r="Z2402" s="21" t="n">
        <f aca="false">P2402</f>
        <v>-0.855972711958772</v>
      </c>
      <c r="AA2402" s="3" t="n">
        <f aca="false">R2402</f>
        <v>0</v>
      </c>
      <c r="AB2402" s="21" t="n">
        <f aca="false">P2402</f>
        <v>-0.855972711958772</v>
      </c>
      <c r="AC2402" s="3" t="n">
        <f aca="false">Y2402</f>
        <v>-0.542495785226137</v>
      </c>
      <c r="AD2402" s="3" t="n">
        <f aca="false">R2402</f>
        <v>0</v>
      </c>
    </row>
    <row r="2403" customFormat="false" ht="15" hidden="false" customHeight="true" outlineLevel="0" collapsed="false">
      <c r="A2403" s="7" t="s">
        <v>73</v>
      </c>
      <c r="B2403" s="7" t="n">
        <v>2015</v>
      </c>
      <c r="C2403" s="7" t="s">
        <v>155</v>
      </c>
      <c r="D2403" s="7" t="n">
        <v>88</v>
      </c>
      <c r="E2403" s="7" t="n">
        <v>74</v>
      </c>
      <c r="F2403" s="3" t="n">
        <f aca="false">COUNTIFS($B$2:$B$2705,B2403,$C$2:$C$2705,C2403)</f>
        <v>1</v>
      </c>
      <c r="G2403" s="3" t="n">
        <f aca="false">MIN(INT((MIN(B2403,2020)-1900)/10)+1,12)</f>
        <v>12</v>
      </c>
      <c r="H2403" s="3" t="n">
        <f aca="false">(MIN(B2403,2020)-1900-10*(G2403-1))/10</f>
        <v>0.5</v>
      </c>
      <c r="I2403" s="20" t="n">
        <f aca="false">EXP(LN(INDEX(Pop_Inputs!$B$2:$N$29,MATCH(C2403,Pop_Inputs!$A$2:$A$29,0),G2403))*(1-H2403)+LN(INDEX(Pop_Inputs!$B$2:$N$29,MATCH(C2403,Pop_Inputs!$A$2:$A$29,0),G2403+1))*H2403)</f>
        <v>1249962.41394052</v>
      </c>
      <c r="J2403" s="20" t="n">
        <f aca="false">I2403/F2403</f>
        <v>1249962.41394052</v>
      </c>
      <c r="K2403" s="21" t="n">
        <f aca="false">D2403/(D2403+E2403)</f>
        <v>0.54320987654321</v>
      </c>
      <c r="L2403" s="21" t="n">
        <f aca="false">AVERAGEIFS($K$2:$K$2705,$B$2:$B$2705,B2403)</f>
        <v>0.49999233187639</v>
      </c>
      <c r="M2403" s="21" t="n">
        <f aca="false">K2403-L2403</f>
        <v>0.04321754466682</v>
      </c>
      <c r="N2403" s="21" t="n">
        <f aca="false">LN(J2403)</f>
        <v>14.0386240399788</v>
      </c>
      <c r="O2403" s="21" t="n">
        <f aca="false">AVERAGEIFS($N$2:$N$2705,$B$2:$B$2705,B2403)</f>
        <v>13.6484187651352</v>
      </c>
      <c r="P2403" s="21" t="n">
        <f aca="false">N2403-O2403</f>
        <v>0.390205274843638</v>
      </c>
      <c r="Q2403" s="7" t="n">
        <v>1</v>
      </c>
      <c r="R2403" s="3" t="n">
        <f aca="false">IF(AND(Q2403=1,B2403-_xlfn.MINIFS($B$2:$B$2705,$A$2:$A$2705,A2403)&lt;10),1,0)</f>
        <v>0</v>
      </c>
      <c r="S2403" s="7" t="n">
        <v>0</v>
      </c>
      <c r="T2403" s="3" t="n">
        <f aca="false">_xlfn.MINIFS($B$2:$B$2705,$A$2:$A$2705,A2403)</f>
        <v>1961</v>
      </c>
      <c r="U2403" s="3" t="n">
        <f aca="false">B2403-T2403</f>
        <v>54</v>
      </c>
      <c r="V2403" s="3" t="str">
        <f aca="false">INDEX(Pop_Inputs!$Q$2:$Q$29,MATCH(C2403,Pop_Inputs!$A$2:$A$29,0))</f>
        <v>South</v>
      </c>
      <c r="W2403" s="29" t="n">
        <v>143742789</v>
      </c>
      <c r="X2403" s="3" t="n">
        <f aca="false">IF(W2403="","",LN(W2403))</f>
        <v>18.7835360729052</v>
      </c>
      <c r="Y2403" s="3" t="n">
        <f aca="false">IF(X2403="","",X2403-AVERAGEIFS($X$2:$X$2705,$B$2:$B$2705,B2403))</f>
        <v>0.258535366287045</v>
      </c>
      <c r="Z2403" s="21" t="n">
        <f aca="false">P2403</f>
        <v>0.390205274843638</v>
      </c>
      <c r="AA2403" s="3" t="n">
        <f aca="false">R2403</f>
        <v>0</v>
      </c>
      <c r="AB2403" s="21" t="n">
        <f aca="false">P2403</f>
        <v>0.390205274843638</v>
      </c>
      <c r="AC2403" s="3" t="n">
        <f aca="false">Y2403</f>
        <v>0.258535366287045</v>
      </c>
      <c r="AD2403" s="3" t="n">
        <f aca="false">R2403</f>
        <v>0</v>
      </c>
    </row>
    <row r="2404" customFormat="false" ht="15" hidden="false" customHeight="true" outlineLevel="0" collapsed="false">
      <c r="A2404" s="7" t="s">
        <v>81</v>
      </c>
      <c r="B2404" s="7" t="n">
        <v>2015</v>
      </c>
      <c r="C2404" s="7" t="s">
        <v>162</v>
      </c>
      <c r="D2404" s="7" t="n">
        <v>93</v>
      </c>
      <c r="E2404" s="7" t="n">
        <v>69</v>
      </c>
      <c r="F2404" s="3" t="n">
        <f aca="false">COUNTIFS($B$2:$B$2705,B2404,$C$2:$C$2705,C2404)</f>
        <v>1</v>
      </c>
      <c r="G2404" s="3" t="n">
        <f aca="false">MIN(INT((MIN(B2404,2020)-1900)/10)+1,12)</f>
        <v>12</v>
      </c>
      <c r="H2404" s="3" t="n">
        <f aca="false">(MIN(B2404,2020)-1900-10*(G2404-1))/10</f>
        <v>0.5</v>
      </c>
      <c r="I2404" s="20" t="n">
        <f aca="false">EXP(LN(INDEX(Pop_Inputs!$B$2:$N$29,MATCH(C2404,Pop_Inputs!$A$2:$A$29,0),G2404))*(1-H2404)+LN(INDEX(Pop_Inputs!$B$2:$N$29,MATCH(C2404,Pop_Inputs!$A$2:$A$29,0),G2404+1))*H2404)</f>
        <v>2703221.89273467</v>
      </c>
      <c r="J2404" s="20" t="n">
        <f aca="false">I2404/F2404</f>
        <v>2703221.89273467</v>
      </c>
      <c r="K2404" s="21" t="n">
        <f aca="false">D2404/(D2404+E2404)</f>
        <v>0.574074074074074</v>
      </c>
      <c r="L2404" s="21" t="n">
        <f aca="false">AVERAGEIFS($K$2:$K$2705,$B$2:$B$2705,B2404)</f>
        <v>0.49999233187639</v>
      </c>
      <c r="M2404" s="21" t="n">
        <f aca="false">K2404-L2404</f>
        <v>0.0740817421976842</v>
      </c>
      <c r="N2404" s="21" t="n">
        <f aca="false">LN(J2404)</f>
        <v>14.8099549131711</v>
      </c>
      <c r="O2404" s="21" t="n">
        <f aca="false">AVERAGEIFS($N$2:$N$2705,$B$2:$B$2705,B2404)</f>
        <v>13.6484187651352</v>
      </c>
      <c r="P2404" s="21" t="n">
        <f aca="false">N2404-O2404</f>
        <v>1.16153614803588</v>
      </c>
      <c r="Q2404" s="7" t="n">
        <v>1</v>
      </c>
      <c r="R2404" s="3" t="n">
        <f aca="false">IF(AND(Q2404=1,B2404-_xlfn.MINIFS($B$2:$B$2705,$A$2:$A$2705,A2404)&lt;10),1,0)</f>
        <v>0</v>
      </c>
      <c r="S2404" s="7" t="n">
        <v>0</v>
      </c>
      <c r="T2404" s="3" t="n">
        <f aca="false">_xlfn.MINIFS($B$2:$B$2705,$A$2:$A$2705,A2404)</f>
        <v>1977</v>
      </c>
      <c r="U2404" s="3" t="n">
        <f aca="false">B2404-T2404</f>
        <v>38</v>
      </c>
      <c r="V2404" s="3" t="str">
        <f aca="false">INDEX(Pop_Inputs!$Q$2:$Q$29,MATCH(C2404,Pop_Inputs!$A$2:$A$29,0))</f>
        <v>Canada</v>
      </c>
      <c r="W2404" s="29" t="n">
        <v>112992400</v>
      </c>
      <c r="X2404" s="3" t="n">
        <f aca="false">IF(W2404="","",LN(W2404))</f>
        <v>18.5428311177776</v>
      </c>
      <c r="Y2404" s="3" t="n">
        <f aca="false">IF(X2404="","",X2404-AVERAGEIFS($X$2:$X$2705,$B$2:$B$2705,B2404))</f>
        <v>0.0178304111594194</v>
      </c>
      <c r="Z2404" s="21" t="n">
        <f aca="false">P2404</f>
        <v>1.16153614803588</v>
      </c>
      <c r="AA2404" s="3" t="n">
        <f aca="false">R2404</f>
        <v>0</v>
      </c>
      <c r="AB2404" s="21" t="n">
        <f aca="false">P2404</f>
        <v>1.16153614803588</v>
      </c>
      <c r="AC2404" s="3" t="n">
        <f aca="false">Y2404</f>
        <v>0.0178304111594194</v>
      </c>
      <c r="AD2404" s="3" t="n">
        <f aca="false">R2404</f>
        <v>0</v>
      </c>
    </row>
    <row r="2405" customFormat="false" ht="15" hidden="false" customHeight="true" outlineLevel="0" collapsed="false">
      <c r="A2405" s="7" t="s">
        <v>79</v>
      </c>
      <c r="B2405" s="7" t="n">
        <v>2015</v>
      </c>
      <c r="C2405" s="7" t="s">
        <v>160</v>
      </c>
      <c r="D2405" s="7" t="n">
        <v>83</v>
      </c>
      <c r="E2405" s="7" t="n">
        <v>79</v>
      </c>
      <c r="F2405" s="3" t="n">
        <f aca="false">COUNTIFS($B$2:$B$2705,B2405,$C$2:$C$2705,C2405)</f>
        <v>1</v>
      </c>
      <c r="G2405" s="3" t="n">
        <f aca="false">MIN(INT((MIN(B2405,2020)-1900)/10)+1,12)</f>
        <v>12</v>
      </c>
      <c r="H2405" s="3" t="n">
        <f aca="false">(MIN(B2405,2020)-1900-10*(G2405-1))/10</f>
        <v>0.5</v>
      </c>
      <c r="I2405" s="20" t="n">
        <f aca="false">EXP(LN(INDEX(Pop_Inputs!$B$2:$N$29,MATCH(C2405,Pop_Inputs!$A$2:$A$29,0),G2405))*(1-H2405)+LN(INDEX(Pop_Inputs!$B$2:$N$29,MATCH(C2405,Pop_Inputs!$A$2:$A$29,0),G2405+1))*H2405)</f>
        <v>644139.026946047</v>
      </c>
      <c r="J2405" s="20" t="n">
        <f aca="false">I2405/F2405</f>
        <v>644139.026946047</v>
      </c>
      <c r="K2405" s="21" t="n">
        <f aca="false">D2405/(D2405+E2405)</f>
        <v>0.512345679012346</v>
      </c>
      <c r="L2405" s="21" t="n">
        <f aca="false">AVERAGEIFS($K$2:$K$2705,$B$2:$B$2705,B2405)</f>
        <v>0.49999233187639</v>
      </c>
      <c r="M2405" s="21" t="n">
        <f aca="false">K2405-L2405</f>
        <v>0.0123533471359559</v>
      </c>
      <c r="N2405" s="21" t="n">
        <f aca="false">LN(J2405)</f>
        <v>13.3756698621387</v>
      </c>
      <c r="O2405" s="21" t="n">
        <f aca="false">AVERAGEIFS($N$2:$N$2705,$B$2:$B$2705,B2405)</f>
        <v>13.6484187651352</v>
      </c>
      <c r="P2405" s="21" t="n">
        <f aca="false">N2405-O2405</f>
        <v>-0.272748902996495</v>
      </c>
      <c r="Q2405" s="7" t="n">
        <v>1</v>
      </c>
      <c r="R2405" s="3" t="n">
        <f aca="false">IF(AND(Q2405=1,B2405-_xlfn.MINIFS($B$2:$B$2705,$A$2:$A$2705,A2405)&lt;10),1,0)</f>
        <v>0</v>
      </c>
      <c r="S2405" s="7" t="n">
        <v>0</v>
      </c>
      <c r="T2405" s="3" t="n">
        <f aca="false">_xlfn.MINIFS($B$2:$B$2705,$A$2:$A$2705,A2405)</f>
        <v>1969</v>
      </c>
      <c r="U2405" s="3" t="n">
        <f aca="false">B2405-T2405</f>
        <v>46</v>
      </c>
      <c r="V2405" s="3" t="str">
        <f aca="false">INDEX(Pop_Inputs!$Q$2:$Q$29,MATCH(C2405,Pop_Inputs!$A$2:$A$29,0))</f>
        <v>South</v>
      </c>
      <c r="W2405" s="29" t="n">
        <v>155587472</v>
      </c>
      <c r="X2405" s="3" t="n">
        <f aca="false">IF(W2405="","",LN(W2405))</f>
        <v>18.8627186523283</v>
      </c>
      <c r="Y2405" s="3" t="n">
        <f aca="false">IF(X2405="","",X2405-AVERAGEIFS($X$2:$X$2705,$B$2:$B$2705,B2405))</f>
        <v>0.337717945710114</v>
      </c>
      <c r="Z2405" s="21" t="n">
        <f aca="false">P2405</f>
        <v>-0.272748902996495</v>
      </c>
      <c r="AA2405" s="3" t="n">
        <f aca="false">R2405</f>
        <v>0</v>
      </c>
      <c r="AB2405" s="21" t="n">
        <f aca="false">P2405</f>
        <v>-0.272748902996495</v>
      </c>
      <c r="AC2405" s="3" t="n">
        <f aca="false">Y2405</f>
        <v>0.337717945710114</v>
      </c>
      <c r="AD2405" s="3" t="n">
        <f aca="false">R2405</f>
        <v>0</v>
      </c>
    </row>
    <row r="2406" customFormat="false" ht="15" hidden="false" customHeight="true" outlineLevel="0" collapsed="false">
      <c r="A2406" s="7" t="s">
        <v>71</v>
      </c>
      <c r="B2406" s="7" t="n">
        <v>2016</v>
      </c>
      <c r="C2406" s="7" t="s">
        <v>148</v>
      </c>
      <c r="D2406" s="7" t="n">
        <v>74</v>
      </c>
      <c r="E2406" s="7" t="n">
        <v>88</v>
      </c>
      <c r="F2406" s="3" t="n">
        <f aca="false">COUNTIFS($B$2:$B$2705,B2406,$C$2:$C$2705,C2406)</f>
        <v>2</v>
      </c>
      <c r="G2406" s="3" t="n">
        <f aca="false">MIN(INT((MIN(B2406,2020)-1900)/10)+1,12)</f>
        <v>12</v>
      </c>
      <c r="H2406" s="3" t="n">
        <f aca="false">(MIN(B2406,2020)-1900-10*(G2406-1))/10</f>
        <v>0.6</v>
      </c>
      <c r="I2406" s="20" t="n">
        <f aca="false">EXP(LN(INDEX(Pop_Inputs!$B$2:$N$29,MATCH(C2406,Pop_Inputs!$A$2:$A$29,0),G2406))*(1-H2406)+LN(INDEX(Pop_Inputs!$B$2:$N$29,MATCH(C2406,Pop_Inputs!$A$2:$A$29,0),G2406+1))*H2406)</f>
        <v>3855944.81969283</v>
      </c>
      <c r="J2406" s="20" t="n">
        <f aca="false">I2406/F2406</f>
        <v>1927972.40984641</v>
      </c>
      <c r="K2406" s="21" t="n">
        <f aca="false">D2406/(D2406+E2406)</f>
        <v>0.45679012345679</v>
      </c>
      <c r="L2406" s="21" t="n">
        <f aca="false">AVERAGEIFS($K$2:$K$2705,$B$2:$B$2705,B2406)</f>
        <v>0.500031950515042</v>
      </c>
      <c r="M2406" s="21" t="n">
        <f aca="false">K2406-L2406</f>
        <v>-0.0432418270582523</v>
      </c>
      <c r="N2406" s="21" t="n">
        <f aca="false">LN(J2406)</f>
        <v>14.4719794438046</v>
      </c>
      <c r="O2406" s="21" t="n">
        <f aca="false">AVERAGEIFS($N$2:$N$2705,$B$2:$B$2705,B2406)</f>
        <v>13.654539333718</v>
      </c>
      <c r="P2406" s="21" t="n">
        <f aca="false">N2406-O2406</f>
        <v>0.817440110086634</v>
      </c>
      <c r="Q2406" s="7" t="n">
        <v>1</v>
      </c>
      <c r="R2406" s="3" t="n">
        <f aca="false">IF(AND(Q2406=1,B2406-_xlfn.MINIFS($B$2:$B$2705,$A$2:$A$2705,A2406)&lt;10),1,0)</f>
        <v>0</v>
      </c>
      <c r="S2406" s="7" t="n">
        <v>0</v>
      </c>
      <c r="T2406" s="3" t="n">
        <f aca="false">_xlfn.MINIFS($B$2:$B$2705,$A$2:$A$2705,A2406)</f>
        <v>1961</v>
      </c>
      <c r="U2406" s="3" t="n">
        <f aca="false">B2406-T2406</f>
        <v>55</v>
      </c>
      <c r="V2406" s="3" t="str">
        <f aca="false">INDEX(Pop_Inputs!$Q$2:$Q$29,MATCH(C2406,Pop_Inputs!$A$2:$A$29,0))</f>
        <v>West</v>
      </c>
      <c r="W2406" s="29" t="n">
        <v>137251333</v>
      </c>
      <c r="X2406" s="3" t="n">
        <f aca="false">IF(W2406="","",LN(W2406))</f>
        <v>18.7373243505108</v>
      </c>
      <c r="Y2406" s="3" t="n">
        <f aca="false">IF(X2406="","",X2406-AVERAGEIFS($X$2:$X$2705,$B$2:$B$2705,B2406))</f>
        <v>0.162677024192938</v>
      </c>
      <c r="Z2406" s="21" t="n">
        <f aca="false">P2406</f>
        <v>0.817440110086634</v>
      </c>
      <c r="AA2406" s="3" t="n">
        <f aca="false">R2406</f>
        <v>0</v>
      </c>
      <c r="AB2406" s="21" t="n">
        <f aca="false">P2406</f>
        <v>0.817440110086634</v>
      </c>
      <c r="AC2406" s="3" t="n">
        <f aca="false">Y2406</f>
        <v>0.162677024192938</v>
      </c>
      <c r="AD2406" s="3" t="n">
        <f aca="false">R2406</f>
        <v>0</v>
      </c>
    </row>
    <row r="2407" customFormat="false" ht="15" hidden="false" customHeight="true" outlineLevel="0" collapsed="false">
      <c r="A2407" s="7" t="s">
        <v>84</v>
      </c>
      <c r="B2407" s="7" t="n">
        <v>2016</v>
      </c>
      <c r="C2407" s="7" t="s">
        <v>165</v>
      </c>
      <c r="D2407" s="7" t="n">
        <v>69</v>
      </c>
      <c r="E2407" s="7" t="n">
        <v>93</v>
      </c>
      <c r="F2407" s="3" t="n">
        <f aca="false">COUNTIFS($B$2:$B$2705,B2407,$C$2:$C$2705,C2407)</f>
        <v>1</v>
      </c>
      <c r="G2407" s="3" t="n">
        <f aca="false">MIN(INT((MIN(B2407,2020)-1900)/10)+1,12)</f>
        <v>12</v>
      </c>
      <c r="H2407" s="3" t="n">
        <f aca="false">(MIN(B2407,2020)-1900-10*(G2407-1))/10</f>
        <v>0.6</v>
      </c>
      <c r="I2407" s="20" t="n">
        <f aca="false">EXP(LN(INDEX(Pop_Inputs!$B$2:$N$29,MATCH(C2407,Pop_Inputs!$A$2:$A$29,0),G2407))*(1-H2407)+LN(INDEX(Pop_Inputs!$B$2:$N$29,MATCH(C2407,Pop_Inputs!$A$2:$A$29,0),G2407+1))*H2407)</f>
        <v>1541051.85247334</v>
      </c>
      <c r="J2407" s="20" t="n">
        <f aca="false">I2407/F2407</f>
        <v>1541051.85247334</v>
      </c>
      <c r="K2407" s="21" t="n">
        <f aca="false">D2407/(D2407+E2407)</f>
        <v>0.425925925925926</v>
      </c>
      <c r="L2407" s="21" t="n">
        <f aca="false">AVERAGEIFS($K$2:$K$2705,$B$2:$B$2705,B2407)</f>
        <v>0.500031950515042</v>
      </c>
      <c r="M2407" s="21" t="n">
        <f aca="false">K2407-L2407</f>
        <v>-0.0741060245891164</v>
      </c>
      <c r="N2407" s="21" t="n">
        <f aca="false">LN(J2407)</f>
        <v>14.2479757623237</v>
      </c>
      <c r="O2407" s="21" t="n">
        <f aca="false">AVERAGEIFS($N$2:$N$2705,$B$2:$B$2705,B2407)</f>
        <v>13.654539333718</v>
      </c>
      <c r="P2407" s="21" t="n">
        <f aca="false">N2407-O2407</f>
        <v>0.593436428605688</v>
      </c>
      <c r="Q2407" s="7" t="n">
        <v>1</v>
      </c>
      <c r="R2407" s="3" t="n">
        <f aca="false">IF(AND(Q2407=1,B2407-_xlfn.MINIFS($B$2:$B$2705,$A$2:$A$2705,A2407)&lt;10),1,0)</f>
        <v>0</v>
      </c>
      <c r="S2407" s="7" t="n">
        <v>0</v>
      </c>
      <c r="T2407" s="3" t="n">
        <f aca="false">_xlfn.MINIFS($B$2:$B$2705,$A$2:$A$2705,A2407)</f>
        <v>1998</v>
      </c>
      <c r="U2407" s="3" t="n">
        <f aca="false">B2407-T2407</f>
        <v>18</v>
      </c>
      <c r="V2407" s="3" t="str">
        <f aca="false">INDEX(Pop_Inputs!$Q$2:$Q$29,MATCH(C2407,Pop_Inputs!$A$2:$A$29,0))</f>
        <v>West</v>
      </c>
      <c r="W2407" s="29" t="n">
        <v>87439063</v>
      </c>
      <c r="X2407" s="3" t="n">
        <f aca="false">IF(W2407="","",LN(W2407))</f>
        <v>18.2864526858557</v>
      </c>
      <c r="Y2407" s="3" t="n">
        <f aca="false">IF(X2407="","",X2407-AVERAGEIFS($X$2:$X$2705,$B$2:$B$2705,B2407))</f>
        <v>-0.288194640462166</v>
      </c>
      <c r="Z2407" s="21" t="n">
        <f aca="false">P2407</f>
        <v>0.593436428605688</v>
      </c>
      <c r="AA2407" s="3" t="n">
        <f aca="false">R2407</f>
        <v>0</v>
      </c>
      <c r="AB2407" s="21" t="n">
        <f aca="false">P2407</f>
        <v>0.593436428605688</v>
      </c>
      <c r="AC2407" s="3" t="n">
        <f aca="false">Y2407</f>
        <v>-0.288194640462166</v>
      </c>
      <c r="AD2407" s="3" t="n">
        <f aca="false">R2407</f>
        <v>0</v>
      </c>
    </row>
    <row r="2408" customFormat="false" ht="15" hidden="false" customHeight="true" outlineLevel="0" collapsed="false">
      <c r="A2408" s="7" t="s">
        <v>54</v>
      </c>
      <c r="B2408" s="7" t="n">
        <v>2016</v>
      </c>
      <c r="C2408" s="7" t="s">
        <v>141</v>
      </c>
      <c r="D2408" s="7" t="n">
        <v>68</v>
      </c>
      <c r="E2408" s="7" t="n">
        <v>93</v>
      </c>
      <c r="F2408" s="3" t="n">
        <f aca="false">COUNTIFS($B$2:$B$2705,B2408,$C$2:$C$2705,C2408)</f>
        <v>1</v>
      </c>
      <c r="G2408" s="3" t="n">
        <f aca="false">MIN(INT((MIN(B2408,2020)-1900)/10)+1,12)</f>
        <v>12</v>
      </c>
      <c r="H2408" s="3" t="n">
        <f aca="false">(MIN(B2408,2020)-1900-10*(G2408-1))/10</f>
        <v>0.6</v>
      </c>
      <c r="I2408" s="20" t="n">
        <f aca="false">EXP(LN(INDEX(Pop_Inputs!$B$2:$N$29,MATCH(C2408,Pop_Inputs!$A$2:$A$29,0),G2408))*(1-H2408)+LN(INDEX(Pop_Inputs!$B$2:$N$29,MATCH(C2408,Pop_Inputs!$A$2:$A$29,0),G2408+1))*H2408)</f>
        <v>465599.403756853</v>
      </c>
      <c r="J2408" s="20" t="n">
        <f aca="false">I2408/F2408</f>
        <v>465599.403756853</v>
      </c>
      <c r="K2408" s="21" t="n">
        <f aca="false">D2408/(D2408+E2408)</f>
        <v>0.422360248447205</v>
      </c>
      <c r="L2408" s="21" t="n">
        <f aca="false">AVERAGEIFS($K$2:$K$2705,$B$2:$B$2705,B2408)</f>
        <v>0.500031950515042</v>
      </c>
      <c r="M2408" s="21" t="n">
        <f aca="false">K2408-L2408</f>
        <v>-0.0776717020678374</v>
      </c>
      <c r="N2408" s="21" t="n">
        <f aca="false">LN(J2408)</f>
        <v>13.0510808948076</v>
      </c>
      <c r="O2408" s="21" t="n">
        <f aca="false">AVERAGEIFS($N$2:$N$2705,$B$2:$B$2705,B2408)</f>
        <v>13.654539333718</v>
      </c>
      <c r="P2408" s="21" t="n">
        <f aca="false">N2408-O2408</f>
        <v>-0.603458438910371</v>
      </c>
      <c r="Q2408" s="7" t="n">
        <v>0</v>
      </c>
      <c r="R2408" s="3" t="n">
        <f aca="false">IF(AND(Q2408=1,B2408-_xlfn.MINIFS($B$2:$B$2705,$A$2:$A$2705,A2408)&lt;10),1,0)</f>
        <v>0</v>
      </c>
      <c r="S2408" s="7" t="n">
        <v>0</v>
      </c>
      <c r="T2408" s="3" t="n">
        <f aca="false">_xlfn.MINIFS($B$2:$B$2705,$A$2:$A$2705,A2408)</f>
        <v>1901</v>
      </c>
      <c r="U2408" s="3" t="n">
        <f aca="false">B2408-T2408</f>
        <v>115</v>
      </c>
      <c r="V2408" s="3" t="str">
        <f aca="false">INDEX(Pop_Inputs!$Q$2:$Q$29,MATCH(C2408,Pop_Inputs!$A$2:$A$29,0))</f>
        <v>South</v>
      </c>
      <c r="W2408" s="29" t="n">
        <v>68498291</v>
      </c>
      <c r="X2408" s="3" t="n">
        <f aca="false">IF(W2408="","",LN(W2408))</f>
        <v>18.0423193540161</v>
      </c>
      <c r="Y2408" s="3" t="n">
        <f aca="false">IF(X2408="","",X2408-AVERAGEIFS($X$2:$X$2705,$B$2:$B$2705,B2408))</f>
        <v>-0.532327972301705</v>
      </c>
      <c r="Z2408" s="21" t="n">
        <f aca="false">P2408</f>
        <v>-0.603458438910371</v>
      </c>
      <c r="AA2408" s="3" t="n">
        <f aca="false">R2408</f>
        <v>0</v>
      </c>
      <c r="AB2408" s="21" t="n">
        <f aca="false">P2408</f>
        <v>-0.603458438910371</v>
      </c>
      <c r="AC2408" s="3" t="n">
        <f aca="false">Y2408</f>
        <v>-0.532327972301705</v>
      </c>
      <c r="AD2408" s="3" t="n">
        <f aca="false">R2408</f>
        <v>0</v>
      </c>
    </row>
    <row r="2409" customFormat="false" ht="15" hidden="false" customHeight="true" outlineLevel="0" collapsed="false">
      <c r="A2409" s="7" t="s">
        <v>63</v>
      </c>
      <c r="B2409" s="7" t="n">
        <v>2016</v>
      </c>
      <c r="C2409" s="7" t="s">
        <v>149</v>
      </c>
      <c r="D2409" s="7" t="n">
        <v>89</v>
      </c>
      <c r="E2409" s="7" t="n">
        <v>73</v>
      </c>
      <c r="F2409" s="3" t="n">
        <f aca="false">COUNTIFS($B$2:$B$2705,B2409,$C$2:$C$2705,C2409)</f>
        <v>1</v>
      </c>
      <c r="G2409" s="3" t="n">
        <f aca="false">MIN(INT((MIN(B2409,2020)-1900)/10)+1,12)</f>
        <v>12</v>
      </c>
      <c r="H2409" s="3" t="n">
        <f aca="false">(MIN(B2409,2020)-1900-10*(G2409-1))/10</f>
        <v>0.6</v>
      </c>
      <c r="I2409" s="20" t="n">
        <f aca="false">EXP(LN(INDEX(Pop_Inputs!$B$2:$N$29,MATCH(C2409,Pop_Inputs!$A$2:$A$29,0),G2409))*(1-H2409)+LN(INDEX(Pop_Inputs!$B$2:$N$29,MATCH(C2409,Pop_Inputs!$A$2:$A$29,0),G2409+1))*H2409)</f>
        <v>599562.447092652</v>
      </c>
      <c r="J2409" s="20" t="n">
        <f aca="false">I2409/F2409</f>
        <v>599562.447092652</v>
      </c>
      <c r="K2409" s="21" t="n">
        <f aca="false">D2409/(D2409+E2409)</f>
        <v>0.549382716049383</v>
      </c>
      <c r="L2409" s="21" t="n">
        <f aca="false">AVERAGEIFS($K$2:$K$2705,$B$2:$B$2705,B2409)</f>
        <v>0.500031950515042</v>
      </c>
      <c r="M2409" s="21" t="n">
        <f aca="false">K2409-L2409</f>
        <v>0.0493507655343404</v>
      </c>
      <c r="N2409" s="21" t="n">
        <f aca="false">LN(J2409)</f>
        <v>13.303955413317</v>
      </c>
      <c r="O2409" s="21" t="n">
        <f aca="false">AVERAGEIFS($N$2:$N$2705,$B$2:$B$2705,B2409)</f>
        <v>13.654539333718</v>
      </c>
      <c r="P2409" s="21" t="n">
        <f aca="false">N2409-O2409</f>
        <v>-0.350583920400924</v>
      </c>
      <c r="Q2409" s="7" t="n">
        <v>0</v>
      </c>
      <c r="R2409" s="3" t="n">
        <f aca="false">IF(AND(Q2409=1,B2409-_xlfn.MINIFS($B$2:$B$2705,$A$2:$A$2705,A2409)&lt;10),1,0)</f>
        <v>0</v>
      </c>
      <c r="S2409" s="7" t="n">
        <v>0</v>
      </c>
      <c r="T2409" s="3" t="n">
        <f aca="false">_xlfn.MINIFS($B$2:$B$2705,$A$2:$A$2705,A2409)</f>
        <v>1901</v>
      </c>
      <c r="U2409" s="3" t="n">
        <f aca="false">B2409-T2409</f>
        <v>115</v>
      </c>
      <c r="V2409" s="3" t="str">
        <f aca="false">INDEX(Pop_Inputs!$Q$2:$Q$29,MATCH(C2409,Pop_Inputs!$A$2:$A$29,0))</f>
        <v>South</v>
      </c>
      <c r="W2409" s="29" t="n">
        <v>161863456</v>
      </c>
      <c r="X2409" s="3" t="n">
        <f aca="false">IF(W2409="","",LN(W2409))</f>
        <v>18.9022636735894</v>
      </c>
      <c r="Y2409" s="3" t="n">
        <f aca="false">IF(X2409="","",X2409-AVERAGEIFS($X$2:$X$2705,$B$2:$B$2705,B2409))</f>
        <v>0.327616347271558</v>
      </c>
      <c r="Z2409" s="21" t="n">
        <f aca="false">P2409</f>
        <v>-0.350583920400924</v>
      </c>
      <c r="AA2409" s="3" t="n">
        <f aca="false">R2409</f>
        <v>0</v>
      </c>
      <c r="AB2409" s="21" t="n">
        <f aca="false">P2409</f>
        <v>-0.350583920400924</v>
      </c>
      <c r="AC2409" s="3" t="n">
        <f aca="false">Y2409</f>
        <v>0.327616347271558</v>
      </c>
      <c r="AD2409" s="3" t="n">
        <f aca="false">R2409</f>
        <v>0</v>
      </c>
    </row>
    <row r="2410" customFormat="false" ht="15" hidden="false" customHeight="true" outlineLevel="0" collapsed="false">
      <c r="A2410" s="7" t="s">
        <v>64</v>
      </c>
      <c r="B2410" s="7" t="n">
        <v>2016</v>
      </c>
      <c r="C2410" s="7" t="s">
        <v>150</v>
      </c>
      <c r="D2410" s="7" t="n">
        <v>93</v>
      </c>
      <c r="E2410" s="7" t="n">
        <v>69</v>
      </c>
      <c r="F2410" s="3" t="n">
        <f aca="false">COUNTIFS($B$2:$B$2705,B2410,$C$2:$C$2705,C2410)</f>
        <v>1</v>
      </c>
      <c r="G2410" s="3" t="n">
        <f aca="false">MIN(INT((MIN(B2410,2020)-1900)/10)+1,12)</f>
        <v>12</v>
      </c>
      <c r="H2410" s="3" t="n">
        <f aca="false">(MIN(B2410,2020)-1900-10*(G2410-1))/10</f>
        <v>0.6</v>
      </c>
      <c r="I2410" s="20" t="n">
        <f aca="false">EXP(LN(INDEX(Pop_Inputs!$B$2:$N$29,MATCH(C2410,Pop_Inputs!$A$2:$A$29,0),G2410))*(1-H2410)+LN(INDEX(Pop_Inputs!$B$2:$N$29,MATCH(C2410,Pop_Inputs!$A$2:$A$29,0),G2410+1))*H2410)</f>
        <v>651798.173160225</v>
      </c>
      <c r="J2410" s="20" t="n">
        <f aca="false">I2410/F2410</f>
        <v>651798.173160225</v>
      </c>
      <c r="K2410" s="21" t="n">
        <f aca="false">D2410/(D2410+E2410)</f>
        <v>0.574074074074074</v>
      </c>
      <c r="L2410" s="21" t="n">
        <f aca="false">AVERAGEIFS($K$2:$K$2705,$B$2:$B$2705,B2410)</f>
        <v>0.500031950515042</v>
      </c>
      <c r="M2410" s="21" t="n">
        <f aca="false">K2410-L2410</f>
        <v>0.0740421235590317</v>
      </c>
      <c r="N2410" s="21" t="n">
        <f aca="false">LN(J2410)</f>
        <v>13.3874902426204</v>
      </c>
      <c r="O2410" s="21" t="n">
        <f aca="false">AVERAGEIFS($N$2:$N$2705,$B$2:$B$2705,B2410)</f>
        <v>13.654539333718</v>
      </c>
      <c r="P2410" s="21" t="n">
        <f aca="false">N2410-O2410</f>
        <v>-0.267049091097533</v>
      </c>
      <c r="Q2410" s="7" t="n">
        <v>0</v>
      </c>
      <c r="R2410" s="3" t="n">
        <f aca="false">IF(AND(Q2410=1,B2410-_xlfn.MINIFS($B$2:$B$2705,$A$2:$A$2705,A2410)&lt;10),1,0)</f>
        <v>0</v>
      </c>
      <c r="S2410" s="7" t="n">
        <v>0</v>
      </c>
      <c r="T2410" s="3" t="n">
        <f aca="false">_xlfn.MINIFS($B$2:$B$2705,$A$2:$A$2705,A2410)</f>
        <v>1901</v>
      </c>
      <c r="U2410" s="3" t="n">
        <f aca="false">B2410-T2410</f>
        <v>115</v>
      </c>
      <c r="V2410" s="3" t="str">
        <f aca="false">INDEX(Pop_Inputs!$Q$2:$Q$29,MATCH(C2410,Pop_Inputs!$A$2:$A$29,0))</f>
        <v>Northeast</v>
      </c>
      <c r="W2410" s="29" t="n">
        <v>188545761</v>
      </c>
      <c r="X2410" s="3" t="n">
        <f aca="false">IF(W2410="","",LN(W2410))</f>
        <v>19.0548512993157</v>
      </c>
      <c r="Y2410" s="3" t="n">
        <f aca="false">IF(X2410="","",X2410-AVERAGEIFS($X$2:$X$2705,$B$2:$B$2705,B2410))</f>
        <v>0.480203972997856</v>
      </c>
      <c r="Z2410" s="21" t="n">
        <f aca="false">P2410</f>
        <v>-0.267049091097533</v>
      </c>
      <c r="AA2410" s="3" t="n">
        <f aca="false">R2410</f>
        <v>0</v>
      </c>
      <c r="AB2410" s="21" t="n">
        <f aca="false">P2410</f>
        <v>-0.267049091097533</v>
      </c>
      <c r="AC2410" s="3" t="n">
        <f aca="false">Y2410</f>
        <v>0.480203972997856</v>
      </c>
      <c r="AD2410" s="3" t="n">
        <f aca="false">R2410</f>
        <v>0</v>
      </c>
    </row>
    <row r="2411" customFormat="false" ht="15" hidden="false" customHeight="true" outlineLevel="0" collapsed="false">
      <c r="A2411" s="7" t="s">
        <v>56</v>
      </c>
      <c r="B2411" s="7" t="n">
        <v>2016</v>
      </c>
      <c r="C2411" s="7" t="s">
        <v>142</v>
      </c>
      <c r="D2411" s="7" t="n">
        <v>103</v>
      </c>
      <c r="E2411" s="7" t="n">
        <v>58</v>
      </c>
      <c r="F2411" s="3" t="n">
        <f aca="false">COUNTIFS($B$2:$B$2705,B2411,$C$2:$C$2705,C2411)</f>
        <v>2</v>
      </c>
      <c r="G2411" s="3" t="n">
        <f aca="false">MIN(INT((MIN(B2411,2020)-1900)/10)+1,12)</f>
        <v>12</v>
      </c>
      <c r="H2411" s="3" t="n">
        <f aca="false">(MIN(B2411,2020)-1900-10*(G2411-1))/10</f>
        <v>0.6</v>
      </c>
      <c r="I2411" s="20" t="n">
        <f aca="false">EXP(LN(INDEX(Pop_Inputs!$B$2:$N$29,MATCH(C2411,Pop_Inputs!$A$2:$A$29,0),G2411))*(1-H2411)+LN(INDEX(Pop_Inputs!$B$2:$N$29,MATCH(C2411,Pop_Inputs!$A$2:$A$29,0),G2411+1))*H2411)</f>
        <v>2725958.16128847</v>
      </c>
      <c r="J2411" s="20" t="n">
        <f aca="false">I2411/F2411</f>
        <v>1362979.08064423</v>
      </c>
      <c r="K2411" s="21" t="n">
        <f aca="false">D2411/(D2411+E2411)</f>
        <v>0.639751552795031</v>
      </c>
      <c r="L2411" s="21" t="n">
        <f aca="false">AVERAGEIFS($K$2:$K$2705,$B$2:$B$2705,B2411)</f>
        <v>0.500031950515042</v>
      </c>
      <c r="M2411" s="21" t="n">
        <f aca="false">K2411-L2411</f>
        <v>0.139719602279989</v>
      </c>
      <c r="N2411" s="21" t="n">
        <f aca="false">LN(J2411)</f>
        <v>14.1251833625376</v>
      </c>
      <c r="O2411" s="21" t="n">
        <f aca="false">AVERAGEIFS($N$2:$N$2705,$B$2:$B$2705,B2411)</f>
        <v>13.654539333718</v>
      </c>
      <c r="P2411" s="21" t="n">
        <f aca="false">N2411-O2411</f>
        <v>0.470644028819617</v>
      </c>
      <c r="Q2411" s="7" t="n">
        <v>0</v>
      </c>
      <c r="R2411" s="3" t="n">
        <f aca="false">IF(AND(Q2411=1,B2411-_xlfn.MINIFS($B$2:$B$2705,$A$2:$A$2705,A2411)&lt;10),1,0)</f>
        <v>0</v>
      </c>
      <c r="S2411" s="7" t="n">
        <v>0</v>
      </c>
      <c r="T2411" s="3" t="n">
        <f aca="false">_xlfn.MINIFS($B$2:$B$2705,$A$2:$A$2705,A2411)</f>
        <v>1901</v>
      </c>
      <c r="U2411" s="3" t="n">
        <f aca="false">B2411-T2411</f>
        <v>115</v>
      </c>
      <c r="V2411" s="3" t="str">
        <f aca="false">INDEX(Pop_Inputs!$Q$2:$Q$29,MATCH(C2411,Pop_Inputs!$A$2:$A$29,0))</f>
        <v>Midwest</v>
      </c>
      <c r="W2411" s="29" t="n">
        <v>154067668</v>
      </c>
      <c r="X2411" s="3" t="n">
        <f aca="false">IF(W2411="","",LN(W2411))</f>
        <v>18.8529024664663</v>
      </c>
      <c r="Y2411" s="3" t="n">
        <f aca="false">IF(X2411="","",X2411-AVERAGEIFS($X$2:$X$2705,$B$2:$B$2705,B2411))</f>
        <v>0.278255140148435</v>
      </c>
      <c r="Z2411" s="21" t="n">
        <f aca="false">P2411</f>
        <v>0.470644028819617</v>
      </c>
      <c r="AA2411" s="3" t="n">
        <f aca="false">R2411</f>
        <v>0</v>
      </c>
      <c r="AB2411" s="21" t="n">
        <f aca="false">P2411</f>
        <v>0.470644028819617</v>
      </c>
      <c r="AC2411" s="3" t="n">
        <f aca="false">Y2411</f>
        <v>0.278255140148435</v>
      </c>
      <c r="AD2411" s="3" t="n">
        <f aca="false">R2411</f>
        <v>0</v>
      </c>
    </row>
    <row r="2412" customFormat="false" ht="15" hidden="false" customHeight="true" outlineLevel="0" collapsed="false">
      <c r="A2412" s="7" t="s">
        <v>65</v>
      </c>
      <c r="B2412" s="7" t="n">
        <v>2016</v>
      </c>
      <c r="C2412" s="7" t="s">
        <v>142</v>
      </c>
      <c r="D2412" s="7" t="n">
        <v>78</v>
      </c>
      <c r="E2412" s="7" t="n">
        <v>84</v>
      </c>
      <c r="F2412" s="3" t="n">
        <f aca="false">COUNTIFS($B$2:$B$2705,B2412,$C$2:$C$2705,C2412)</f>
        <v>2</v>
      </c>
      <c r="G2412" s="3" t="n">
        <f aca="false">MIN(INT((MIN(B2412,2020)-1900)/10)+1,12)</f>
        <v>12</v>
      </c>
      <c r="H2412" s="3" t="n">
        <f aca="false">(MIN(B2412,2020)-1900-10*(G2412-1))/10</f>
        <v>0.6</v>
      </c>
      <c r="I2412" s="20" t="n">
        <f aca="false">EXP(LN(INDEX(Pop_Inputs!$B$2:$N$29,MATCH(C2412,Pop_Inputs!$A$2:$A$29,0),G2412))*(1-H2412)+LN(INDEX(Pop_Inputs!$B$2:$N$29,MATCH(C2412,Pop_Inputs!$A$2:$A$29,0),G2412+1))*H2412)</f>
        <v>2725958.16128847</v>
      </c>
      <c r="J2412" s="20" t="n">
        <f aca="false">I2412/F2412</f>
        <v>1362979.08064423</v>
      </c>
      <c r="K2412" s="21" t="n">
        <f aca="false">D2412/(D2412+E2412)</f>
        <v>0.481481481481481</v>
      </c>
      <c r="L2412" s="21" t="n">
        <f aca="false">AVERAGEIFS($K$2:$K$2705,$B$2:$B$2705,B2412)</f>
        <v>0.500031950515042</v>
      </c>
      <c r="M2412" s="21" t="n">
        <f aca="false">K2412-L2412</f>
        <v>-0.0185504690335609</v>
      </c>
      <c r="N2412" s="21" t="n">
        <f aca="false">LN(J2412)</f>
        <v>14.1251833625376</v>
      </c>
      <c r="O2412" s="21" t="n">
        <f aca="false">AVERAGEIFS($N$2:$N$2705,$B$2:$B$2705,B2412)</f>
        <v>13.654539333718</v>
      </c>
      <c r="P2412" s="21" t="n">
        <f aca="false">N2412-O2412</f>
        <v>0.470644028819617</v>
      </c>
      <c r="Q2412" s="7" t="n">
        <v>0</v>
      </c>
      <c r="R2412" s="3" t="n">
        <f aca="false">IF(AND(Q2412=1,B2412-_xlfn.MINIFS($B$2:$B$2705,$A$2:$A$2705,A2412)&lt;10),1,0)</f>
        <v>0</v>
      </c>
      <c r="S2412" s="7" t="n">
        <v>0</v>
      </c>
      <c r="T2412" s="3" t="n">
        <f aca="false">_xlfn.MINIFS($B$2:$B$2705,$A$2:$A$2705,A2412)</f>
        <v>1901</v>
      </c>
      <c r="U2412" s="3" t="n">
        <f aca="false">B2412-T2412</f>
        <v>115</v>
      </c>
      <c r="V2412" s="3" t="str">
        <f aca="false">INDEX(Pop_Inputs!$Q$2:$Q$29,MATCH(C2412,Pop_Inputs!$A$2:$A$29,0))</f>
        <v>Midwest</v>
      </c>
      <c r="W2412" s="29" t="n">
        <v>112998667</v>
      </c>
      <c r="X2412" s="3" t="n">
        <f aca="false">IF(W2412="","",LN(W2412))</f>
        <v>18.5428865801469</v>
      </c>
      <c r="Y2412" s="3" t="n">
        <f aca="false">IF(X2412="","",X2412-AVERAGEIFS($X$2:$X$2705,$B$2:$B$2705,B2412))</f>
        <v>-0.0317607461709599</v>
      </c>
      <c r="Z2412" s="21" t="n">
        <f aca="false">P2412</f>
        <v>0.470644028819617</v>
      </c>
      <c r="AA2412" s="3" t="n">
        <f aca="false">R2412</f>
        <v>0</v>
      </c>
      <c r="AB2412" s="21" t="n">
        <f aca="false">P2412</f>
        <v>0.470644028819617</v>
      </c>
      <c r="AC2412" s="3" t="n">
        <f aca="false">Y2412</f>
        <v>-0.0317607461709599</v>
      </c>
      <c r="AD2412" s="3" t="n">
        <f aca="false">R2412</f>
        <v>0</v>
      </c>
    </row>
    <row r="2413" customFormat="false" ht="15" hidden="false" customHeight="true" outlineLevel="0" collapsed="false">
      <c r="A2413" s="7" t="s">
        <v>57</v>
      </c>
      <c r="B2413" s="7" t="n">
        <v>2016</v>
      </c>
      <c r="C2413" s="7" t="s">
        <v>143</v>
      </c>
      <c r="D2413" s="7" t="n">
        <v>68</v>
      </c>
      <c r="E2413" s="7" t="n">
        <v>94</v>
      </c>
      <c r="F2413" s="3" t="n">
        <f aca="false">COUNTIFS($B$2:$B$2705,B2413,$C$2:$C$2705,C2413)</f>
        <v>1</v>
      </c>
      <c r="G2413" s="3" t="n">
        <f aca="false">MIN(INT((MIN(B2413,2020)-1900)/10)+1,12)</f>
        <v>12</v>
      </c>
      <c r="H2413" s="3" t="n">
        <f aca="false">(MIN(B2413,2020)-1900-10*(G2413-1))/10</f>
        <v>0.6</v>
      </c>
      <c r="I2413" s="20" t="n">
        <f aca="false">EXP(LN(INDEX(Pop_Inputs!$B$2:$N$29,MATCH(C2413,Pop_Inputs!$A$2:$A$29,0),G2413))*(1-H2413)+LN(INDEX(Pop_Inputs!$B$2:$N$29,MATCH(C2413,Pop_Inputs!$A$2:$A$29,0),G2413+1))*H2413)</f>
        <v>304306.697160978</v>
      </c>
      <c r="J2413" s="20" t="n">
        <f aca="false">I2413/F2413</f>
        <v>304306.697160978</v>
      </c>
      <c r="K2413" s="21" t="n">
        <f aca="false">D2413/(D2413+E2413)</f>
        <v>0.419753086419753</v>
      </c>
      <c r="L2413" s="21" t="n">
        <f aca="false">AVERAGEIFS($K$2:$K$2705,$B$2:$B$2705,B2413)</f>
        <v>0.500031950515042</v>
      </c>
      <c r="M2413" s="21" t="n">
        <f aca="false">K2413-L2413</f>
        <v>-0.0802788640952893</v>
      </c>
      <c r="N2413" s="21" t="n">
        <f aca="false">LN(J2413)</f>
        <v>12.6257913440588</v>
      </c>
      <c r="O2413" s="21" t="n">
        <f aca="false">AVERAGEIFS($N$2:$N$2705,$B$2:$B$2705,B2413)</f>
        <v>13.654539333718</v>
      </c>
      <c r="P2413" s="21" t="n">
        <f aca="false">N2413-O2413</f>
        <v>-1.02874798965912</v>
      </c>
      <c r="Q2413" s="7" t="n">
        <v>0</v>
      </c>
      <c r="R2413" s="3" t="n">
        <f aca="false">IF(AND(Q2413=1,B2413-_xlfn.MINIFS($B$2:$B$2705,$A$2:$A$2705,A2413)&lt;10),1,0)</f>
        <v>0</v>
      </c>
      <c r="S2413" s="7" t="n">
        <v>0</v>
      </c>
      <c r="T2413" s="3" t="n">
        <f aca="false">_xlfn.MINIFS($B$2:$B$2705,$A$2:$A$2705,A2413)</f>
        <v>1901</v>
      </c>
      <c r="U2413" s="3" t="n">
        <f aca="false">B2413-T2413</f>
        <v>115</v>
      </c>
      <c r="V2413" s="3" t="str">
        <f aca="false">INDEX(Pop_Inputs!$Q$2:$Q$29,MATCH(C2413,Pop_Inputs!$A$2:$A$29,0))</f>
        <v>Midwest</v>
      </c>
      <c r="W2413" s="29" t="n">
        <v>88940059</v>
      </c>
      <c r="X2413" s="3" t="n">
        <f aca="false">IF(W2413="","",LN(W2413))</f>
        <v>18.3034732064152</v>
      </c>
      <c r="Y2413" s="3" t="n">
        <f aca="false">IF(X2413="","",X2413-AVERAGEIFS($X$2:$X$2705,$B$2:$B$2705,B2413))</f>
        <v>-0.271174119902653</v>
      </c>
      <c r="Z2413" s="21" t="n">
        <f aca="false">P2413</f>
        <v>-1.02874798965912</v>
      </c>
      <c r="AA2413" s="3" t="n">
        <f aca="false">R2413</f>
        <v>0</v>
      </c>
      <c r="AB2413" s="21" t="n">
        <f aca="false">P2413</f>
        <v>-1.02874798965912</v>
      </c>
      <c r="AC2413" s="3" t="n">
        <f aca="false">Y2413</f>
        <v>-0.271174119902653</v>
      </c>
      <c r="AD2413" s="3" t="n">
        <f aca="false">R2413</f>
        <v>0</v>
      </c>
    </row>
    <row r="2414" customFormat="false" ht="15" hidden="false" customHeight="true" outlineLevel="0" collapsed="false">
      <c r="A2414" s="7" t="s">
        <v>66</v>
      </c>
      <c r="B2414" s="7" t="n">
        <v>2016</v>
      </c>
      <c r="C2414" s="7" t="s">
        <v>151</v>
      </c>
      <c r="D2414" s="7" t="n">
        <v>94</v>
      </c>
      <c r="E2414" s="7" t="n">
        <v>67</v>
      </c>
      <c r="F2414" s="3" t="n">
        <f aca="false">COUNTIFS($B$2:$B$2705,B2414,$C$2:$C$2705,C2414)</f>
        <v>1</v>
      </c>
      <c r="G2414" s="3" t="n">
        <f aca="false">MIN(INT((MIN(B2414,2020)-1900)/10)+1,12)</f>
        <v>12</v>
      </c>
      <c r="H2414" s="3" t="n">
        <f aca="false">(MIN(B2414,2020)-1900-10*(G2414-1))/10</f>
        <v>0.6</v>
      </c>
      <c r="I2414" s="20" t="n">
        <f aca="false">EXP(LN(INDEX(Pop_Inputs!$B$2:$N$29,MATCH(C2414,Pop_Inputs!$A$2:$A$29,0),G2414))*(1-H2414)+LN(INDEX(Pop_Inputs!$B$2:$N$29,MATCH(C2414,Pop_Inputs!$A$2:$A$29,0),G2414+1))*H2414)</f>
        <v>382118.202681134</v>
      </c>
      <c r="J2414" s="20" t="n">
        <f aca="false">I2414/F2414</f>
        <v>382118.202681134</v>
      </c>
      <c r="K2414" s="21" t="n">
        <f aca="false">D2414/(D2414+E2414)</f>
        <v>0.583850931677019</v>
      </c>
      <c r="L2414" s="21" t="n">
        <f aca="false">AVERAGEIFS($K$2:$K$2705,$B$2:$B$2705,B2414)</f>
        <v>0.500031950515042</v>
      </c>
      <c r="M2414" s="21" t="n">
        <f aca="false">K2414-L2414</f>
        <v>0.0838189811619763</v>
      </c>
      <c r="N2414" s="21" t="n">
        <f aca="false">LN(J2414)</f>
        <v>12.8534852708272</v>
      </c>
      <c r="O2414" s="21" t="n">
        <f aca="false">AVERAGEIFS($N$2:$N$2705,$B$2:$B$2705,B2414)</f>
        <v>13.654539333718</v>
      </c>
      <c r="P2414" s="21" t="n">
        <f aca="false">N2414-O2414</f>
        <v>-0.801054062890737</v>
      </c>
      <c r="Q2414" s="7" t="n">
        <v>0</v>
      </c>
      <c r="R2414" s="3" t="n">
        <f aca="false">IF(AND(Q2414=1,B2414-_xlfn.MINIFS($B$2:$B$2705,$A$2:$A$2705,A2414)&lt;10),1,0)</f>
        <v>0</v>
      </c>
      <c r="S2414" s="7" t="n">
        <v>0</v>
      </c>
      <c r="T2414" s="3" t="n">
        <f aca="false">_xlfn.MINIFS($B$2:$B$2705,$A$2:$A$2705,A2414)</f>
        <v>1901</v>
      </c>
      <c r="U2414" s="3" t="n">
        <f aca="false">B2414-T2414</f>
        <v>115</v>
      </c>
      <c r="V2414" s="3" t="str">
        <f aca="false">INDEX(Pop_Inputs!$Q$2:$Q$29,MATCH(C2414,Pop_Inputs!$A$2:$A$29,0))</f>
        <v>Midwest</v>
      </c>
      <c r="W2414" s="29" t="n">
        <v>74311900</v>
      </c>
      <c r="X2414" s="3" t="n">
        <f aca="false">IF(W2414="","",LN(W2414))</f>
        <v>18.1237816583709</v>
      </c>
      <c r="Y2414" s="3" t="n">
        <f aca="false">IF(X2414="","",X2414-AVERAGEIFS($X$2:$X$2705,$B$2:$B$2705,B2414))</f>
        <v>-0.450865667946914</v>
      </c>
      <c r="Z2414" s="21" t="n">
        <f aca="false">P2414</f>
        <v>-0.801054062890737</v>
      </c>
      <c r="AA2414" s="3" t="n">
        <f aca="false">R2414</f>
        <v>0</v>
      </c>
      <c r="AB2414" s="21" t="n">
        <f aca="false">P2414</f>
        <v>-0.801054062890737</v>
      </c>
      <c r="AC2414" s="3" t="n">
        <f aca="false">Y2414</f>
        <v>-0.450865667946914</v>
      </c>
      <c r="AD2414" s="3" t="n">
        <f aca="false">R2414</f>
        <v>0</v>
      </c>
    </row>
    <row r="2415" customFormat="false" ht="15" hidden="false" customHeight="true" outlineLevel="0" collapsed="false">
      <c r="A2415" s="7" t="s">
        <v>82</v>
      </c>
      <c r="B2415" s="7" t="n">
        <v>2016</v>
      </c>
      <c r="C2415" s="7" t="s">
        <v>163</v>
      </c>
      <c r="D2415" s="7" t="n">
        <v>75</v>
      </c>
      <c r="E2415" s="7" t="n">
        <v>87</v>
      </c>
      <c r="F2415" s="3" t="n">
        <f aca="false">COUNTIFS($B$2:$B$2705,B2415,$C$2:$C$2705,C2415)</f>
        <v>1</v>
      </c>
      <c r="G2415" s="3" t="n">
        <f aca="false">MIN(INT((MIN(B2415,2020)-1900)/10)+1,12)</f>
        <v>12</v>
      </c>
      <c r="H2415" s="3" t="n">
        <f aca="false">(MIN(B2415,2020)-1900-10*(G2415-1))/10</f>
        <v>0.6</v>
      </c>
      <c r="I2415" s="20" t="n">
        <f aca="false">EXP(LN(INDEX(Pop_Inputs!$B$2:$N$29,MATCH(C2415,Pop_Inputs!$A$2:$A$29,0),G2415))*(1-H2415)+LN(INDEX(Pop_Inputs!$B$2:$N$29,MATCH(C2415,Pop_Inputs!$A$2:$A$29,0),G2415+1))*H2415)</f>
        <v>666929.664149426</v>
      </c>
      <c r="J2415" s="20" t="n">
        <f aca="false">I2415/F2415</f>
        <v>666929.664149426</v>
      </c>
      <c r="K2415" s="21" t="n">
        <f aca="false">D2415/(D2415+E2415)</f>
        <v>0.462962962962963</v>
      </c>
      <c r="L2415" s="21" t="n">
        <f aca="false">AVERAGEIFS($K$2:$K$2705,$B$2:$B$2705,B2415)</f>
        <v>0.500031950515042</v>
      </c>
      <c r="M2415" s="21" t="n">
        <f aca="false">K2415-L2415</f>
        <v>-0.0370689875520794</v>
      </c>
      <c r="N2415" s="21" t="n">
        <f aca="false">LN(J2415)</f>
        <v>13.4104398682871</v>
      </c>
      <c r="O2415" s="21" t="n">
        <f aca="false">AVERAGEIFS($N$2:$N$2705,$B$2:$B$2705,B2415)</f>
        <v>13.654539333718</v>
      </c>
      <c r="P2415" s="21" t="n">
        <f aca="false">N2415-O2415</f>
        <v>-0.244099465430892</v>
      </c>
      <c r="Q2415" s="7" t="n">
        <v>1</v>
      </c>
      <c r="R2415" s="3" t="n">
        <f aca="false">IF(AND(Q2415=1,B2415-_xlfn.MINIFS($B$2:$B$2705,$A$2:$A$2705,A2415)&lt;10),1,0)</f>
        <v>0</v>
      </c>
      <c r="S2415" s="7" t="n">
        <v>0</v>
      </c>
      <c r="T2415" s="3" t="n">
        <f aca="false">_xlfn.MINIFS($B$2:$B$2705,$A$2:$A$2705,A2415)</f>
        <v>1993</v>
      </c>
      <c r="U2415" s="3" t="n">
        <f aca="false">B2415-T2415</f>
        <v>23</v>
      </c>
      <c r="V2415" s="3" t="str">
        <f aca="false">INDEX(Pop_Inputs!$Q$2:$Q$29,MATCH(C2415,Pop_Inputs!$A$2:$A$29,0))</f>
        <v>West</v>
      </c>
      <c r="W2415" s="29" t="n">
        <v>112645071</v>
      </c>
      <c r="X2415" s="3" t="n">
        <f aca="false">IF(W2415="","",LN(W2415))</f>
        <v>18.5397524688919</v>
      </c>
      <c r="Y2415" s="3" t="n">
        <f aca="false">IF(X2415="","",X2415-AVERAGEIFS($X$2:$X$2705,$B$2:$B$2705,B2415))</f>
        <v>-0.0348948574259111</v>
      </c>
      <c r="Z2415" s="21" t="n">
        <f aca="false">P2415</f>
        <v>-0.244099465430892</v>
      </c>
      <c r="AA2415" s="3" t="n">
        <f aca="false">R2415</f>
        <v>0</v>
      </c>
      <c r="AB2415" s="21" t="n">
        <f aca="false">P2415</f>
        <v>-0.244099465430892</v>
      </c>
      <c r="AC2415" s="3" t="n">
        <f aca="false">Y2415</f>
        <v>-0.0348948574259111</v>
      </c>
      <c r="AD2415" s="3" t="n">
        <f aca="false">R2415</f>
        <v>0</v>
      </c>
    </row>
    <row r="2416" customFormat="false" ht="15" hidden="false" customHeight="true" outlineLevel="0" collapsed="false">
      <c r="A2416" s="7" t="s">
        <v>67</v>
      </c>
      <c r="B2416" s="7" t="n">
        <v>2016</v>
      </c>
      <c r="C2416" s="7" t="s">
        <v>152</v>
      </c>
      <c r="D2416" s="7" t="n">
        <v>86</v>
      </c>
      <c r="E2416" s="7" t="n">
        <v>75</v>
      </c>
      <c r="F2416" s="3" t="n">
        <f aca="false">COUNTIFS($B$2:$B$2705,B2416,$C$2:$C$2705,C2416)</f>
        <v>1</v>
      </c>
      <c r="G2416" s="3" t="n">
        <f aca="false">MIN(INT((MIN(B2416,2020)-1900)/10)+1,12)</f>
        <v>12</v>
      </c>
      <c r="H2416" s="3" t="n">
        <f aca="false">(MIN(B2416,2020)-1900-10*(G2416-1))/10</f>
        <v>0.6</v>
      </c>
      <c r="I2416" s="20" t="n">
        <f aca="false">EXP(LN(INDEX(Pop_Inputs!$B$2:$N$29,MATCH(C2416,Pop_Inputs!$A$2:$A$29,0),G2416))*(1-H2416)+LN(INDEX(Pop_Inputs!$B$2:$N$29,MATCH(C2416,Pop_Inputs!$A$2:$A$29,0),G2416+1))*H2416)</f>
        <v>667991.283218667</v>
      </c>
      <c r="J2416" s="20" t="n">
        <f aca="false">I2416/F2416</f>
        <v>667991.283218667</v>
      </c>
      <c r="K2416" s="21" t="n">
        <f aca="false">D2416/(D2416+E2416)</f>
        <v>0.53416149068323</v>
      </c>
      <c r="L2416" s="21" t="n">
        <f aca="false">AVERAGEIFS($K$2:$K$2705,$B$2:$B$2705,B2416)</f>
        <v>0.500031950515042</v>
      </c>
      <c r="M2416" s="21" t="n">
        <f aca="false">K2416-L2416</f>
        <v>0.0341295401681875</v>
      </c>
      <c r="N2416" s="21" t="n">
        <f aca="false">LN(J2416)</f>
        <v>13.4120304033598</v>
      </c>
      <c r="O2416" s="21" t="n">
        <f aca="false">AVERAGEIFS($N$2:$N$2705,$B$2:$B$2705,B2416)</f>
        <v>13.654539333718</v>
      </c>
      <c r="P2416" s="21" t="n">
        <f aca="false">N2416-O2416</f>
        <v>-0.242508930358174</v>
      </c>
      <c r="Q2416" s="7" t="n">
        <v>0</v>
      </c>
      <c r="R2416" s="3" t="n">
        <f aca="false">IF(AND(Q2416=1,B2416-_xlfn.MINIFS($B$2:$B$2705,$A$2:$A$2705,A2416)&lt;10),1,0)</f>
        <v>0</v>
      </c>
      <c r="S2416" s="7" t="n">
        <v>0</v>
      </c>
      <c r="T2416" s="3" t="n">
        <f aca="false">_xlfn.MINIFS($B$2:$B$2705,$A$2:$A$2705,A2416)</f>
        <v>1901</v>
      </c>
      <c r="U2416" s="3" t="n">
        <f aca="false">B2416-T2416</f>
        <v>115</v>
      </c>
      <c r="V2416" s="3" t="str">
        <f aca="false">INDEX(Pop_Inputs!$Q$2:$Q$29,MATCH(C2416,Pop_Inputs!$A$2:$A$29,0))</f>
        <v>Midwest</v>
      </c>
      <c r="W2416" s="29" t="n">
        <v>194876481</v>
      </c>
      <c r="X2416" s="3" t="n">
        <f aca="false">IF(W2416="","",LN(W2416))</f>
        <v>19.0878764850568</v>
      </c>
      <c r="Y2416" s="3" t="n">
        <f aca="false">IF(X2416="","",X2416-AVERAGEIFS($X$2:$X$2705,$B$2:$B$2705,B2416))</f>
        <v>0.513229158738941</v>
      </c>
      <c r="Z2416" s="21" t="n">
        <f aca="false">P2416</f>
        <v>-0.242508930358174</v>
      </c>
      <c r="AA2416" s="3" t="n">
        <f aca="false">R2416</f>
        <v>0</v>
      </c>
      <c r="AB2416" s="21" t="n">
        <f aca="false">P2416</f>
        <v>-0.242508930358174</v>
      </c>
      <c r="AC2416" s="3" t="n">
        <f aca="false">Y2416</f>
        <v>0.513229158738941</v>
      </c>
      <c r="AD2416" s="3" t="n">
        <f aca="false">R2416</f>
        <v>0</v>
      </c>
    </row>
    <row r="2417" customFormat="false" ht="15" hidden="false" customHeight="true" outlineLevel="0" collapsed="false">
      <c r="A2417" s="7" t="s">
        <v>83</v>
      </c>
      <c r="B2417" s="7" t="n">
        <v>2016</v>
      </c>
      <c r="C2417" s="7" t="s">
        <v>164</v>
      </c>
      <c r="D2417" s="7" t="n">
        <v>79</v>
      </c>
      <c r="E2417" s="7" t="n">
        <v>82</v>
      </c>
      <c r="F2417" s="3" t="n">
        <f aca="false">COUNTIFS($B$2:$B$2705,B2417,$C$2:$C$2705,C2417)</f>
        <v>1</v>
      </c>
      <c r="G2417" s="3" t="n">
        <f aca="false">MIN(INT((MIN(B2417,2020)-1900)/10)+1,12)</f>
        <v>12</v>
      </c>
      <c r="H2417" s="3" t="n">
        <f aca="false">(MIN(B2417,2020)-1900-10*(G2417-1))/10</f>
        <v>0.6</v>
      </c>
      <c r="I2417" s="20" t="n">
        <f aca="false">EXP(LN(INDEX(Pop_Inputs!$B$2:$N$29,MATCH(C2417,Pop_Inputs!$A$2:$A$29,0),G2417))*(1-H2417)+LN(INDEX(Pop_Inputs!$B$2:$N$29,MATCH(C2417,Pop_Inputs!$A$2:$A$29,0),G2417+1))*H2417)</f>
        <v>424603.350145554</v>
      </c>
      <c r="J2417" s="20" t="n">
        <f aca="false">I2417/F2417</f>
        <v>424603.350145554</v>
      </c>
      <c r="K2417" s="21" t="n">
        <f aca="false">D2417/(D2417+E2417)</f>
        <v>0.490683229813665</v>
      </c>
      <c r="L2417" s="21" t="n">
        <f aca="false">AVERAGEIFS($K$2:$K$2705,$B$2:$B$2705,B2417)</f>
        <v>0.500031950515042</v>
      </c>
      <c r="M2417" s="21" t="n">
        <f aca="false">K2417-L2417</f>
        <v>-0.00934872070137777</v>
      </c>
      <c r="N2417" s="21" t="n">
        <f aca="false">LN(J2417)</f>
        <v>12.9589107183416</v>
      </c>
      <c r="O2417" s="21" t="n">
        <f aca="false">AVERAGEIFS($N$2:$N$2705,$B$2:$B$2705,B2417)</f>
        <v>13.654539333718</v>
      </c>
      <c r="P2417" s="21" t="n">
        <f aca="false">N2417-O2417</f>
        <v>-0.69562861537638</v>
      </c>
      <c r="Q2417" s="7" t="n">
        <v>1</v>
      </c>
      <c r="R2417" s="3" t="n">
        <f aca="false">IF(AND(Q2417=1,B2417-_xlfn.MINIFS($B$2:$B$2705,$A$2:$A$2705,A2417)&lt;10),1,0)</f>
        <v>0</v>
      </c>
      <c r="S2417" s="7" t="n">
        <v>0</v>
      </c>
      <c r="T2417" s="3" t="n">
        <f aca="false">_xlfn.MINIFS($B$2:$B$2705,$A$2:$A$2705,A2417)</f>
        <v>1993</v>
      </c>
      <c r="U2417" s="3" t="n">
        <f aca="false">B2417-T2417</f>
        <v>23</v>
      </c>
      <c r="V2417" s="3" t="str">
        <f aca="false">INDEX(Pop_Inputs!$Q$2:$Q$29,MATCH(C2417,Pop_Inputs!$A$2:$A$29,0))</f>
        <v>South</v>
      </c>
      <c r="W2417" s="29" t="n">
        <v>77314202</v>
      </c>
      <c r="X2417" s="3" t="n">
        <f aca="false">IF(W2417="","",LN(W2417))</f>
        <v>18.163388222426</v>
      </c>
      <c r="Y2417" s="3" t="n">
        <f aca="false">IF(X2417="","",X2417-AVERAGEIFS($X$2:$X$2705,$B$2:$B$2705,B2417))</f>
        <v>-0.411259103891823</v>
      </c>
      <c r="Z2417" s="21" t="n">
        <f aca="false">P2417</f>
        <v>-0.69562861537638</v>
      </c>
      <c r="AA2417" s="3" t="n">
        <f aca="false">R2417</f>
        <v>0</v>
      </c>
      <c r="AB2417" s="21" t="n">
        <f aca="false">P2417</f>
        <v>-0.69562861537638</v>
      </c>
      <c r="AC2417" s="3" t="n">
        <f aca="false">Y2417</f>
        <v>-0.411259103891823</v>
      </c>
      <c r="AD2417" s="3" t="n">
        <f aca="false">R2417</f>
        <v>0</v>
      </c>
    </row>
    <row r="2418" customFormat="false" ht="15" hidden="false" customHeight="true" outlineLevel="0" collapsed="false">
      <c r="A2418" s="7" t="s">
        <v>74</v>
      </c>
      <c r="B2418" s="7" t="n">
        <v>2016</v>
      </c>
      <c r="C2418" s="7" t="s">
        <v>156</v>
      </c>
      <c r="D2418" s="7" t="n">
        <v>84</v>
      </c>
      <c r="E2418" s="7" t="n">
        <v>78</v>
      </c>
      <c r="F2418" s="3" t="n">
        <f aca="false">COUNTIFS($B$2:$B$2705,B2418,$C$2:$C$2705,C2418)</f>
        <v>1</v>
      </c>
      <c r="G2418" s="3" t="n">
        <f aca="false">MIN(INT((MIN(B2418,2020)-1900)/10)+1,12)</f>
        <v>12</v>
      </c>
      <c r="H2418" s="3" t="n">
        <f aca="false">(MIN(B2418,2020)-1900-10*(G2418-1))/10</f>
        <v>0.6</v>
      </c>
      <c r="I2418" s="20" t="n">
        <f aca="false">EXP(LN(INDEX(Pop_Inputs!$B$2:$N$29,MATCH(C2418,Pop_Inputs!$A$2:$A$29,0),G2418))*(1-H2418)+LN(INDEX(Pop_Inputs!$B$2:$N$29,MATCH(C2418,Pop_Inputs!$A$2:$A$29,0),G2418+1))*H2418)</f>
        <v>2220226.9516912</v>
      </c>
      <c r="J2418" s="20" t="n">
        <f aca="false">I2418/F2418</f>
        <v>2220226.9516912</v>
      </c>
      <c r="K2418" s="21" t="n">
        <f aca="false">D2418/(D2418+E2418)</f>
        <v>0.518518518518519</v>
      </c>
      <c r="L2418" s="21" t="n">
        <f aca="false">AVERAGEIFS($K$2:$K$2705,$B$2:$B$2705,B2418)</f>
        <v>0.500031950515042</v>
      </c>
      <c r="M2418" s="21" t="n">
        <f aca="false">K2418-L2418</f>
        <v>0.0184865680034761</v>
      </c>
      <c r="N2418" s="21" t="n">
        <f aca="false">LN(J2418)</f>
        <v>14.6131199791148</v>
      </c>
      <c r="O2418" s="21" t="n">
        <f aca="false">AVERAGEIFS($N$2:$N$2705,$B$2:$B$2705,B2418)</f>
        <v>13.654539333718</v>
      </c>
      <c r="P2418" s="21" t="n">
        <f aca="false">N2418-O2418</f>
        <v>0.958580645396848</v>
      </c>
      <c r="Q2418" s="7" t="n">
        <v>1</v>
      </c>
      <c r="R2418" s="3" t="n">
        <f aca="false">IF(AND(Q2418=1,B2418-_xlfn.MINIFS($B$2:$B$2705,$A$2:$A$2705,A2418)&lt;10),1,0)</f>
        <v>0</v>
      </c>
      <c r="S2418" s="7" t="n">
        <v>0</v>
      </c>
      <c r="T2418" s="3" t="n">
        <f aca="false">_xlfn.MINIFS($B$2:$B$2705,$A$2:$A$2705,A2418)</f>
        <v>1962</v>
      </c>
      <c r="U2418" s="3" t="n">
        <f aca="false">B2418-T2418</f>
        <v>54</v>
      </c>
      <c r="V2418" s="3" t="str">
        <f aca="false">INDEX(Pop_Inputs!$Q$2:$Q$29,MATCH(C2418,Pop_Inputs!$A$2:$A$29,0))</f>
        <v>South</v>
      </c>
      <c r="W2418" s="29" t="n">
        <v>94893700</v>
      </c>
      <c r="X2418" s="3" t="n">
        <f aca="false">IF(W2418="","",LN(W2418))</f>
        <v>18.3682678757074</v>
      </c>
      <c r="Y2418" s="3" t="n">
        <f aca="false">IF(X2418="","",X2418-AVERAGEIFS($X$2:$X$2705,$B$2:$B$2705,B2418))</f>
        <v>-0.206379450610413</v>
      </c>
      <c r="Z2418" s="21" t="n">
        <f aca="false">P2418</f>
        <v>0.958580645396848</v>
      </c>
      <c r="AA2418" s="3" t="n">
        <f aca="false">R2418</f>
        <v>0</v>
      </c>
      <c r="AB2418" s="21" t="n">
        <f aca="false">P2418</f>
        <v>0.958580645396848</v>
      </c>
      <c r="AC2418" s="3" t="n">
        <f aca="false">Y2418</f>
        <v>-0.206379450610413</v>
      </c>
      <c r="AD2418" s="3" t="n">
        <f aca="false">R2418</f>
        <v>0</v>
      </c>
    </row>
    <row r="2419" customFormat="false" ht="15" hidden="false" customHeight="true" outlineLevel="0" collapsed="false">
      <c r="A2419" s="7" t="s">
        <v>76</v>
      </c>
      <c r="B2419" s="7" t="n">
        <v>2016</v>
      </c>
      <c r="C2419" s="7" t="s">
        <v>157</v>
      </c>
      <c r="D2419" s="7" t="n">
        <v>81</v>
      </c>
      <c r="E2419" s="7" t="n">
        <v>81</v>
      </c>
      <c r="F2419" s="3" t="n">
        <f aca="false">COUNTIFS($B$2:$B$2705,B2419,$C$2:$C$2705,C2419)</f>
        <v>1</v>
      </c>
      <c r="G2419" s="3" t="n">
        <f aca="false">MIN(INT((MIN(B2419,2020)-1900)/10)+1,12)</f>
        <v>12</v>
      </c>
      <c r="H2419" s="3" t="n">
        <f aca="false">(MIN(B2419,2020)-1900-10*(G2419-1))/10</f>
        <v>0.6</v>
      </c>
      <c r="I2419" s="20" t="n">
        <f aca="false">EXP(LN(INDEX(Pop_Inputs!$B$2:$N$29,MATCH(C2419,Pop_Inputs!$A$2:$A$29,0),G2419))*(1-H2419)+LN(INDEX(Pop_Inputs!$B$2:$N$29,MATCH(C2419,Pop_Inputs!$A$2:$A$29,0),G2419+1))*H2419)</f>
        <v>488187.959131221</v>
      </c>
      <c r="J2419" s="20" t="n">
        <f aca="false">I2419/F2419</f>
        <v>488187.959131221</v>
      </c>
      <c r="K2419" s="21" t="n">
        <f aca="false">D2419/(D2419+E2419)</f>
        <v>0.5</v>
      </c>
      <c r="L2419" s="21" t="n">
        <f aca="false">AVERAGEIFS($K$2:$K$2705,$B$2:$B$2705,B2419)</f>
        <v>0.500031950515042</v>
      </c>
      <c r="M2419" s="21" t="n">
        <f aca="false">K2419-L2419</f>
        <v>-3.19505150423449E-005</v>
      </c>
      <c r="N2419" s="21" t="n">
        <f aca="false">LN(J2419)</f>
        <v>13.0984557728335</v>
      </c>
      <c r="O2419" s="21" t="n">
        <f aca="false">AVERAGEIFS($N$2:$N$2705,$B$2:$B$2705,B2419)</f>
        <v>13.654539333718</v>
      </c>
      <c r="P2419" s="21" t="n">
        <f aca="false">N2419-O2419</f>
        <v>-0.55608356088444</v>
      </c>
      <c r="Q2419" s="7" t="n">
        <v>1</v>
      </c>
      <c r="R2419" s="3" t="n">
        <f aca="false">IF(AND(Q2419=1,B2419-_xlfn.MINIFS($B$2:$B$2705,$A$2:$A$2705,A2419)&lt;10),1,0)</f>
        <v>0</v>
      </c>
      <c r="S2419" s="7" t="n">
        <v>0</v>
      </c>
      <c r="T2419" s="3" t="n">
        <f aca="false">_xlfn.MINIFS($B$2:$B$2705,$A$2:$A$2705,A2419)</f>
        <v>1969</v>
      </c>
      <c r="U2419" s="3" t="n">
        <f aca="false">B2419-T2419</f>
        <v>47</v>
      </c>
      <c r="V2419" s="3" t="str">
        <f aca="false">INDEX(Pop_Inputs!$Q$2:$Q$29,MATCH(C2419,Pop_Inputs!$A$2:$A$29,0))</f>
        <v>Midwest</v>
      </c>
      <c r="W2419" s="29" t="n">
        <v>131487125</v>
      </c>
      <c r="X2419" s="3" t="n">
        <f aca="false">IF(W2419="","",LN(W2419))</f>
        <v>18.6944194960435</v>
      </c>
      <c r="Y2419" s="3" t="n">
        <f aca="false">IF(X2419="","",X2419-AVERAGEIFS($X$2:$X$2705,$B$2:$B$2705,B2419))</f>
        <v>0.119772169725653</v>
      </c>
      <c r="Z2419" s="21" t="n">
        <f aca="false">P2419</f>
        <v>-0.55608356088444</v>
      </c>
      <c r="AA2419" s="3" t="n">
        <f aca="false">R2419</f>
        <v>0</v>
      </c>
      <c r="AB2419" s="21" t="n">
        <f aca="false">P2419</f>
        <v>-0.55608356088444</v>
      </c>
      <c r="AC2419" s="3" t="n">
        <f aca="false">Y2419</f>
        <v>0.119772169725653</v>
      </c>
      <c r="AD2419" s="3" t="n">
        <f aca="false">R2419</f>
        <v>0</v>
      </c>
    </row>
    <row r="2420" customFormat="false" ht="15" hidden="false" customHeight="true" outlineLevel="0" collapsed="false">
      <c r="A2420" s="7" t="s">
        <v>62</v>
      </c>
      <c r="B2420" s="7" t="n">
        <v>2016</v>
      </c>
      <c r="C2420" s="7" t="s">
        <v>148</v>
      </c>
      <c r="D2420" s="7" t="n">
        <v>91</v>
      </c>
      <c r="E2420" s="7" t="n">
        <v>71</v>
      </c>
      <c r="F2420" s="3" t="n">
        <f aca="false">COUNTIFS($B$2:$B$2705,B2420,$C$2:$C$2705,C2420)</f>
        <v>2</v>
      </c>
      <c r="G2420" s="3" t="n">
        <f aca="false">MIN(INT((MIN(B2420,2020)-1900)/10)+1,12)</f>
        <v>12</v>
      </c>
      <c r="H2420" s="3" t="n">
        <f aca="false">(MIN(B2420,2020)-1900-10*(G2420-1))/10</f>
        <v>0.6</v>
      </c>
      <c r="I2420" s="20" t="n">
        <f aca="false">EXP(LN(INDEX(Pop_Inputs!$B$2:$N$29,MATCH(C2420,Pop_Inputs!$A$2:$A$29,0),G2420))*(1-H2420)+LN(INDEX(Pop_Inputs!$B$2:$N$29,MATCH(C2420,Pop_Inputs!$A$2:$A$29,0),G2420+1))*H2420)</f>
        <v>3855944.81969283</v>
      </c>
      <c r="J2420" s="20" t="n">
        <f aca="false">I2420/F2420</f>
        <v>1927972.40984641</v>
      </c>
      <c r="K2420" s="21" t="n">
        <f aca="false">D2420/(D2420+E2420)</f>
        <v>0.561728395061728</v>
      </c>
      <c r="L2420" s="21" t="n">
        <f aca="false">AVERAGEIFS($K$2:$K$2705,$B$2:$B$2705,B2420)</f>
        <v>0.500031950515042</v>
      </c>
      <c r="M2420" s="21" t="n">
        <f aca="false">K2420-L2420</f>
        <v>0.0616964445466861</v>
      </c>
      <c r="N2420" s="21" t="n">
        <f aca="false">LN(J2420)</f>
        <v>14.4719794438046</v>
      </c>
      <c r="O2420" s="21" t="n">
        <f aca="false">AVERAGEIFS($N$2:$N$2705,$B$2:$B$2705,B2420)</f>
        <v>13.654539333718</v>
      </c>
      <c r="P2420" s="21" t="n">
        <f aca="false">N2420-O2420</f>
        <v>0.817440110086634</v>
      </c>
      <c r="Q2420" s="7" t="n">
        <v>0</v>
      </c>
      <c r="R2420" s="3" t="n">
        <f aca="false">IF(AND(Q2420=1,B2420-_xlfn.MINIFS($B$2:$B$2705,$A$2:$A$2705,A2420)&lt;10),1,0)</f>
        <v>0</v>
      </c>
      <c r="S2420" s="7" t="n">
        <v>0</v>
      </c>
      <c r="T2420" s="3" t="n">
        <f aca="false">_xlfn.MINIFS($B$2:$B$2705,$A$2:$A$2705,A2420)</f>
        <v>1901</v>
      </c>
      <c r="U2420" s="3" t="n">
        <f aca="false">B2420-T2420</f>
        <v>115</v>
      </c>
      <c r="V2420" s="3" t="str">
        <f aca="false">INDEX(Pop_Inputs!$Q$2:$Q$29,MATCH(C2420,Pop_Inputs!$A$2:$A$29,0))</f>
        <v>West</v>
      </c>
      <c r="W2420" s="29" t="n">
        <v>221288380</v>
      </c>
      <c r="X2420" s="3" t="n">
        <f aca="false">IF(W2420="","",LN(W2420))</f>
        <v>19.2149772957349</v>
      </c>
      <c r="Y2420" s="3" t="n">
        <f aca="false">IF(X2420="","",X2420-AVERAGEIFS($X$2:$X$2705,$B$2:$B$2705,B2420))</f>
        <v>0.640329969417053</v>
      </c>
      <c r="Z2420" s="21" t="n">
        <f aca="false">P2420</f>
        <v>0.817440110086634</v>
      </c>
      <c r="AA2420" s="3" t="n">
        <f aca="false">R2420</f>
        <v>0</v>
      </c>
      <c r="AB2420" s="21" t="n">
        <f aca="false">P2420</f>
        <v>0.817440110086634</v>
      </c>
      <c r="AC2420" s="3" t="n">
        <f aca="false">Y2420</f>
        <v>0.640329969417053</v>
      </c>
      <c r="AD2420" s="3" t="n">
        <f aca="false">R2420</f>
        <v>0</v>
      </c>
    </row>
    <row r="2421" customFormat="false" ht="15" hidden="false" customHeight="true" outlineLevel="0" collapsed="false">
      <c r="A2421" s="7" t="s">
        <v>77</v>
      </c>
      <c r="B2421" s="7" t="n">
        <v>2016</v>
      </c>
      <c r="C2421" s="7" t="s">
        <v>158</v>
      </c>
      <c r="D2421" s="7" t="n">
        <v>73</v>
      </c>
      <c r="E2421" s="7" t="n">
        <v>89</v>
      </c>
      <c r="F2421" s="3" t="n">
        <f aca="false">COUNTIFS($B$2:$B$2705,B2421,$C$2:$C$2705,C2421)</f>
        <v>1</v>
      </c>
      <c r="G2421" s="3" t="n">
        <f aca="false">MIN(INT((MIN(B2421,2020)-1900)/10)+1,12)</f>
        <v>12</v>
      </c>
      <c r="H2421" s="3" t="n">
        <f aca="false">(MIN(B2421,2020)-1900-10*(G2421-1))/10</f>
        <v>0.6</v>
      </c>
      <c r="I2421" s="20" t="n">
        <f aca="false">EXP(LN(INDEX(Pop_Inputs!$B$2:$N$29,MATCH(C2421,Pop_Inputs!$A$2:$A$29,0),G2421))*(1-H2421)+LN(INDEX(Pop_Inputs!$B$2:$N$29,MATCH(C2421,Pop_Inputs!$A$2:$A$29,0),G2421+1))*H2421)</f>
        <v>584202.951576071</v>
      </c>
      <c r="J2421" s="20" t="n">
        <f aca="false">I2421/F2421</f>
        <v>584202.951576071</v>
      </c>
      <c r="K2421" s="21" t="n">
        <f aca="false">D2421/(D2421+E2421)</f>
        <v>0.450617283950617</v>
      </c>
      <c r="L2421" s="21" t="n">
        <f aca="false">AVERAGEIFS($K$2:$K$2705,$B$2:$B$2705,B2421)</f>
        <v>0.500031950515042</v>
      </c>
      <c r="M2421" s="21" t="n">
        <f aca="false">K2421-L2421</f>
        <v>-0.0494146665644251</v>
      </c>
      <c r="N2421" s="21" t="n">
        <f aca="false">LN(J2421)</f>
        <v>13.2780037212614</v>
      </c>
      <c r="O2421" s="21" t="n">
        <f aca="false">AVERAGEIFS($N$2:$N$2705,$B$2:$B$2705,B2421)</f>
        <v>13.654539333718</v>
      </c>
      <c r="P2421" s="21" t="n">
        <f aca="false">N2421-O2421</f>
        <v>-0.376535612456589</v>
      </c>
      <c r="Q2421" s="7" t="n">
        <v>1</v>
      </c>
      <c r="R2421" s="3" t="n">
        <f aca="false">IF(AND(Q2421=1,B2421-_xlfn.MINIFS($B$2:$B$2705,$A$2:$A$2705,A2421)&lt;10),1,0)</f>
        <v>0</v>
      </c>
      <c r="S2421" s="7" t="n">
        <v>0</v>
      </c>
      <c r="T2421" s="3" t="n">
        <f aca="false">_xlfn.MINIFS($B$2:$B$2705,$A$2:$A$2705,A2421)</f>
        <v>1969</v>
      </c>
      <c r="U2421" s="3" t="n">
        <f aca="false">B2421-T2421</f>
        <v>47</v>
      </c>
      <c r="V2421" s="3" t="str">
        <f aca="false">INDEX(Pop_Inputs!$Q$2:$Q$29,MATCH(C2421,Pop_Inputs!$A$2:$A$29,0))</f>
        <v>Midwest</v>
      </c>
      <c r="W2421" s="29" t="n">
        <v>68775237</v>
      </c>
      <c r="X2421" s="3" t="n">
        <f aca="false">IF(W2421="","",LN(W2421))</f>
        <v>18.0463543107886</v>
      </c>
      <c r="Y2421" s="3" t="n">
        <f aca="false">IF(X2421="","",X2421-AVERAGEIFS($X$2:$X$2705,$B$2:$B$2705,B2421))</f>
        <v>-0.528293015529215</v>
      </c>
      <c r="Z2421" s="21" t="n">
        <f aca="false">P2421</f>
        <v>-0.376535612456589</v>
      </c>
      <c r="AA2421" s="3" t="n">
        <f aca="false">R2421</f>
        <v>0</v>
      </c>
      <c r="AB2421" s="21" t="n">
        <f aca="false">P2421</f>
        <v>-0.376535612456589</v>
      </c>
      <c r="AC2421" s="3" t="n">
        <f aca="false">Y2421</f>
        <v>-0.528293015529215</v>
      </c>
      <c r="AD2421" s="3" t="n">
        <f aca="false">R2421</f>
        <v>0</v>
      </c>
    </row>
    <row r="2422" customFormat="false" ht="15" hidden="false" customHeight="true" outlineLevel="0" collapsed="false">
      <c r="A2422" s="7" t="s">
        <v>68</v>
      </c>
      <c r="B2422" s="7" t="n">
        <v>2016</v>
      </c>
      <c r="C2422" s="7" t="s">
        <v>153</v>
      </c>
      <c r="D2422" s="7" t="n">
        <v>59</v>
      </c>
      <c r="E2422" s="7" t="n">
        <v>103</v>
      </c>
      <c r="F2422" s="3" t="n">
        <f aca="false">COUNTIFS($B$2:$B$2705,B2422,$C$2:$C$2705,C2422)</f>
        <v>1</v>
      </c>
      <c r="G2422" s="3" t="n">
        <f aca="false">MIN(INT((MIN(B2422,2020)-1900)/10)+1,12)</f>
        <v>12</v>
      </c>
      <c r="H2422" s="3" t="n">
        <f aca="false">(MIN(B2422,2020)-1900-10*(G2422-1))/10</f>
        <v>0.6</v>
      </c>
      <c r="I2422" s="20" t="n">
        <f aca="false">EXP(LN(INDEX(Pop_Inputs!$B$2:$N$29,MATCH(C2422,Pop_Inputs!$A$2:$A$29,0),G2422))*(1-H2422)+LN(INDEX(Pop_Inputs!$B$2:$N$29,MATCH(C2422,Pop_Inputs!$A$2:$A$29,0),G2422+1))*H2422)</f>
        <v>410337.48585984</v>
      </c>
      <c r="J2422" s="20" t="n">
        <f aca="false">I2422/F2422</f>
        <v>410337.48585984</v>
      </c>
      <c r="K2422" s="21" t="n">
        <f aca="false">D2422/(D2422+E2422)</f>
        <v>0.364197530864198</v>
      </c>
      <c r="L2422" s="21" t="n">
        <f aca="false">AVERAGEIFS($K$2:$K$2705,$B$2:$B$2705,B2422)</f>
        <v>0.500031950515042</v>
      </c>
      <c r="M2422" s="21" t="n">
        <f aca="false">K2422-L2422</f>
        <v>-0.135834419650845</v>
      </c>
      <c r="N2422" s="21" t="n">
        <f aca="false">LN(J2422)</f>
        <v>12.9247352363332</v>
      </c>
      <c r="O2422" s="21" t="n">
        <f aca="false">AVERAGEIFS($N$2:$N$2705,$B$2:$B$2705,B2422)</f>
        <v>13.654539333718</v>
      </c>
      <c r="P2422" s="21" t="n">
        <f aca="false">N2422-O2422</f>
        <v>-0.729804097384809</v>
      </c>
      <c r="Q2422" s="7" t="n">
        <v>0</v>
      </c>
      <c r="R2422" s="3" t="n">
        <f aca="false">IF(AND(Q2422=1,B2422-_xlfn.MINIFS($B$2:$B$2705,$A$2:$A$2705,A2422)&lt;10),1,0)</f>
        <v>0</v>
      </c>
      <c r="S2422" s="7" t="n">
        <v>0</v>
      </c>
      <c r="T2422" s="3" t="n">
        <f aca="false">_xlfn.MINIFS($B$2:$B$2705,$A$2:$A$2705,A2422)</f>
        <v>1901</v>
      </c>
      <c r="U2422" s="3" t="n">
        <f aca="false">B2422-T2422</f>
        <v>115</v>
      </c>
      <c r="V2422" s="3" t="str">
        <f aca="false">INDEX(Pop_Inputs!$Q$2:$Q$29,MATCH(C2422,Pop_Inputs!$A$2:$A$29,0))</f>
        <v>Midwest</v>
      </c>
      <c r="W2422" s="29" t="n">
        <v>102583200</v>
      </c>
      <c r="X2422" s="3" t="n">
        <f aca="false">IF(W2422="","",LN(W2422))</f>
        <v>18.4461847346036</v>
      </c>
      <c r="Y2422" s="3" t="n">
        <f aca="false">IF(X2422="","",X2422-AVERAGEIFS($X$2:$X$2705,$B$2:$B$2705,B2422))</f>
        <v>-0.128462591714232</v>
      </c>
      <c r="Z2422" s="21" t="n">
        <f aca="false">P2422</f>
        <v>-0.729804097384809</v>
      </c>
      <c r="AA2422" s="3" t="n">
        <f aca="false">R2422</f>
        <v>0</v>
      </c>
      <c r="AB2422" s="21" t="n">
        <f aca="false">P2422</f>
        <v>-0.729804097384809</v>
      </c>
      <c r="AC2422" s="3" t="n">
        <f aca="false">Y2422</f>
        <v>-0.128462591714232</v>
      </c>
      <c r="AD2422" s="3" t="n">
        <f aca="false">R2422</f>
        <v>0</v>
      </c>
    </row>
    <row r="2423" customFormat="false" ht="15" hidden="false" customHeight="true" outlineLevel="0" collapsed="false">
      <c r="A2423" s="7" t="s">
        <v>75</v>
      </c>
      <c r="B2423" s="7" t="n">
        <v>2016</v>
      </c>
      <c r="C2423" s="7" t="s">
        <v>154</v>
      </c>
      <c r="D2423" s="7" t="n">
        <v>87</v>
      </c>
      <c r="E2423" s="7" t="n">
        <v>75</v>
      </c>
      <c r="F2423" s="3" t="n">
        <f aca="false">COUNTIFS($B$2:$B$2705,B2423,$C$2:$C$2705,C2423)</f>
        <v>2</v>
      </c>
      <c r="G2423" s="3" t="n">
        <f aca="false">MIN(INT((MIN(B2423,2020)-1900)/10)+1,12)</f>
        <v>12</v>
      </c>
      <c r="H2423" s="3" t="n">
        <f aca="false">(MIN(B2423,2020)-1900-10*(G2423-1))/10</f>
        <v>0.6</v>
      </c>
      <c r="I2423" s="20" t="n">
        <f aca="false">EXP(LN(INDEX(Pop_Inputs!$B$2:$N$29,MATCH(C2423,Pop_Inputs!$A$2:$A$29,0),G2423))*(1-H2423)+LN(INDEX(Pop_Inputs!$B$2:$N$29,MATCH(C2423,Pop_Inputs!$A$2:$A$29,0),G2423+1))*H2423)</f>
        <v>8546958.0927966</v>
      </c>
      <c r="J2423" s="20" t="n">
        <f aca="false">I2423/F2423</f>
        <v>4273479.0463983</v>
      </c>
      <c r="K2423" s="21" t="n">
        <f aca="false">D2423/(D2423+E2423)</f>
        <v>0.537037037037037</v>
      </c>
      <c r="L2423" s="21" t="n">
        <f aca="false">AVERAGEIFS($K$2:$K$2705,$B$2:$B$2705,B2423)</f>
        <v>0.500031950515042</v>
      </c>
      <c r="M2423" s="21" t="n">
        <f aca="false">K2423-L2423</f>
        <v>0.0370050865219947</v>
      </c>
      <c r="N2423" s="21" t="n">
        <f aca="false">LN(J2423)</f>
        <v>15.2679388184285</v>
      </c>
      <c r="O2423" s="21" t="n">
        <f aca="false">AVERAGEIFS($N$2:$N$2705,$B$2:$B$2705,B2423)</f>
        <v>13.654539333718</v>
      </c>
      <c r="P2423" s="21" t="n">
        <f aca="false">N2423-O2423</f>
        <v>1.61339948471052</v>
      </c>
      <c r="Q2423" s="7" t="n">
        <v>1</v>
      </c>
      <c r="R2423" s="3" t="n">
        <f aca="false">IF(AND(Q2423=1,B2423-_xlfn.MINIFS($B$2:$B$2705,$A$2:$A$2705,A2423)&lt;10),1,0)</f>
        <v>0</v>
      </c>
      <c r="S2423" s="7" t="n">
        <v>0</v>
      </c>
      <c r="T2423" s="3" t="n">
        <f aca="false">_xlfn.MINIFS($B$2:$B$2705,$A$2:$A$2705,A2423)</f>
        <v>1962</v>
      </c>
      <c r="U2423" s="3" t="n">
        <f aca="false">B2423-T2423</f>
        <v>54</v>
      </c>
      <c r="V2423" s="3" t="str">
        <f aca="false">INDEX(Pop_Inputs!$Q$2:$Q$29,MATCH(C2423,Pop_Inputs!$A$2:$A$29,0))</f>
        <v>Northeast</v>
      </c>
      <c r="W2423" s="29" t="n">
        <v>133889129</v>
      </c>
      <c r="X2423" s="3" t="n">
        <f aca="false">IF(W2423="","",LN(W2423))</f>
        <v>18.7125226199122</v>
      </c>
      <c r="Y2423" s="3" t="n">
        <f aca="false">IF(X2423="","",X2423-AVERAGEIFS($X$2:$X$2705,$B$2:$B$2705,B2423))</f>
        <v>0.137875293594377</v>
      </c>
      <c r="Z2423" s="21" t="n">
        <f aca="false">P2423</f>
        <v>1.61339948471052</v>
      </c>
      <c r="AA2423" s="3" t="n">
        <f aca="false">R2423</f>
        <v>0</v>
      </c>
      <c r="AB2423" s="21" t="n">
        <f aca="false">P2423</f>
        <v>1.61339948471052</v>
      </c>
      <c r="AC2423" s="3" t="n">
        <f aca="false">Y2423</f>
        <v>0.137875293594377</v>
      </c>
      <c r="AD2423" s="3" t="n">
        <f aca="false">R2423</f>
        <v>0</v>
      </c>
    </row>
    <row r="2424" customFormat="false" ht="15" hidden="false" customHeight="true" outlineLevel="0" collapsed="false">
      <c r="A2424" s="7" t="s">
        <v>70</v>
      </c>
      <c r="B2424" s="7" t="n">
        <v>2016</v>
      </c>
      <c r="C2424" s="7" t="s">
        <v>154</v>
      </c>
      <c r="D2424" s="7" t="n">
        <v>84</v>
      </c>
      <c r="E2424" s="7" t="n">
        <v>78</v>
      </c>
      <c r="F2424" s="3" t="n">
        <f aca="false">COUNTIFS($B$2:$B$2705,B2424,$C$2:$C$2705,C2424)</f>
        <v>2</v>
      </c>
      <c r="G2424" s="3" t="n">
        <f aca="false">MIN(INT((MIN(B2424,2020)-1900)/10)+1,12)</f>
        <v>12</v>
      </c>
      <c r="H2424" s="3" t="n">
        <f aca="false">(MIN(B2424,2020)-1900-10*(G2424-1))/10</f>
        <v>0.6</v>
      </c>
      <c r="I2424" s="20" t="n">
        <f aca="false">EXP(LN(INDEX(Pop_Inputs!$B$2:$N$29,MATCH(C2424,Pop_Inputs!$A$2:$A$29,0),G2424))*(1-H2424)+LN(INDEX(Pop_Inputs!$B$2:$N$29,MATCH(C2424,Pop_Inputs!$A$2:$A$29,0),G2424+1))*H2424)</f>
        <v>8546958.0927966</v>
      </c>
      <c r="J2424" s="20" t="n">
        <f aca="false">I2424/F2424</f>
        <v>4273479.0463983</v>
      </c>
      <c r="K2424" s="21" t="n">
        <f aca="false">D2424/(D2424+E2424)</f>
        <v>0.518518518518519</v>
      </c>
      <c r="L2424" s="21" t="n">
        <f aca="false">AVERAGEIFS($K$2:$K$2705,$B$2:$B$2705,B2424)</f>
        <v>0.500031950515042</v>
      </c>
      <c r="M2424" s="21" t="n">
        <f aca="false">K2424-L2424</f>
        <v>0.0184865680034761</v>
      </c>
      <c r="N2424" s="21" t="n">
        <f aca="false">LN(J2424)</f>
        <v>15.2679388184285</v>
      </c>
      <c r="O2424" s="21" t="n">
        <f aca="false">AVERAGEIFS($N$2:$N$2705,$B$2:$B$2705,B2424)</f>
        <v>13.654539333718</v>
      </c>
      <c r="P2424" s="21" t="n">
        <f aca="false">N2424-O2424</f>
        <v>1.61339948471052</v>
      </c>
      <c r="Q2424" s="7" t="n">
        <v>0</v>
      </c>
      <c r="R2424" s="3" t="n">
        <f aca="false">IF(AND(Q2424=1,B2424-_xlfn.MINIFS($B$2:$B$2705,$A$2:$A$2705,A2424)&lt;10),1,0)</f>
        <v>0</v>
      </c>
      <c r="S2424" s="7" t="n">
        <v>1</v>
      </c>
      <c r="T2424" s="3" t="n">
        <f aca="false">_xlfn.MINIFS($B$2:$B$2705,$A$2:$A$2705,A2424)</f>
        <v>1903</v>
      </c>
      <c r="U2424" s="3" t="n">
        <f aca="false">B2424-T2424</f>
        <v>113</v>
      </c>
      <c r="V2424" s="3" t="str">
        <f aca="false">INDEX(Pop_Inputs!$Q$2:$Q$29,MATCH(C2424,Pop_Inputs!$A$2:$A$29,0))</f>
        <v>Northeast</v>
      </c>
      <c r="W2424" s="29" t="n">
        <v>222997792</v>
      </c>
      <c r="X2424" s="3" t="n">
        <f aca="false">IF(W2424="","",LN(W2424))</f>
        <v>19.2226724280301</v>
      </c>
      <c r="Y2424" s="3" t="n">
        <f aca="false">IF(X2424="","",X2424-AVERAGEIFS($X$2:$X$2705,$B$2:$B$2705,B2424))</f>
        <v>0.648025101712264</v>
      </c>
      <c r="Z2424" s="21" t="n">
        <f aca="false">P2424</f>
        <v>1.61339948471052</v>
      </c>
      <c r="AA2424" s="3" t="n">
        <f aca="false">R2424</f>
        <v>0</v>
      </c>
      <c r="AB2424" s="21" t="n">
        <f aca="false">P2424</f>
        <v>1.61339948471052</v>
      </c>
      <c r="AC2424" s="3" t="n">
        <f aca="false">Y2424</f>
        <v>0.648025101712264</v>
      </c>
      <c r="AD2424" s="3" t="n">
        <f aca="false">R2424</f>
        <v>0</v>
      </c>
    </row>
    <row r="2425" customFormat="false" ht="15" hidden="false" customHeight="true" outlineLevel="0" collapsed="false">
      <c r="A2425" s="7" t="s">
        <v>69</v>
      </c>
      <c r="B2425" s="7" t="n">
        <v>2016</v>
      </c>
      <c r="C2425" s="7" t="s">
        <v>253</v>
      </c>
      <c r="D2425" s="7" t="n">
        <v>69</v>
      </c>
      <c r="E2425" s="7" t="n">
        <v>93</v>
      </c>
      <c r="F2425" s="3" t="n">
        <f aca="false">COUNTIFS($B$2:$B$2705,B2425,$C$2:$C$2705,C2425)</f>
        <v>1</v>
      </c>
      <c r="G2425" s="3" t="n">
        <f aca="false">MIN(INT((MIN(B2425,2020)-1900)/10)+1,12)</f>
        <v>12</v>
      </c>
      <c r="H2425" s="3" t="n">
        <f aca="false">(MIN(B2425,2020)-1900-10*(G2425-1))/10</f>
        <v>0.6</v>
      </c>
      <c r="I2425" s="20" t="n">
        <f aca="false">EXP(LN(INDEX(Pop_Inputs!$B$2:$N$29,MATCH(C2425,Pop_Inputs!$A$2:$A$29,0),G2425))*(1-H2425)+LN(INDEX(Pop_Inputs!$B$2:$N$29,MATCH(C2425,Pop_Inputs!$A$2:$A$29,0),G2425+1))*H2425)</f>
        <v>419954.20539348</v>
      </c>
      <c r="J2425" s="20" t="n">
        <f aca="false">I2425/F2425</f>
        <v>419954.20539348</v>
      </c>
      <c r="K2425" s="21" t="n">
        <f aca="false">D2425/(D2425+E2425)</f>
        <v>0.425925925925926</v>
      </c>
      <c r="L2425" s="21" t="n">
        <f aca="false">AVERAGEIFS($K$2:$K$2705,$B$2:$B$2705,B2425)</f>
        <v>0.500031950515042</v>
      </c>
      <c r="M2425" s="21" t="n">
        <f aca="false">K2425-L2425</f>
        <v>-0.0741060245891164</v>
      </c>
      <c r="N2425" s="21" t="n">
        <f aca="false">LN(J2425)</f>
        <v>12.9479009495374</v>
      </c>
      <c r="O2425" s="21" t="n">
        <f aca="false">AVERAGEIFS($N$2:$N$2705,$B$2:$B$2705,B2425)</f>
        <v>13.654539333718</v>
      </c>
      <c r="P2425" s="21" t="n">
        <f aca="false">N2425-O2425</f>
        <v>-0.706638384180566</v>
      </c>
      <c r="Q2425" s="7" t="n">
        <v>0</v>
      </c>
      <c r="R2425" s="3" t="n">
        <f aca="false">IF(AND(Q2425=1,B2425-_xlfn.MINIFS($B$2:$B$2705,$A$2:$A$2705,A2425)&lt;10),1,0)</f>
        <v>0</v>
      </c>
      <c r="S2425" s="7" t="n">
        <v>0</v>
      </c>
      <c r="T2425" s="3" t="n">
        <f aca="false">_xlfn.MINIFS($B$2:$B$2705,$A$2:$A$2705,A2425)</f>
        <v>1901</v>
      </c>
      <c r="U2425" s="3" t="n">
        <f aca="false">B2425-T2425</f>
        <v>115</v>
      </c>
      <c r="V2425" s="3" t="str">
        <f aca="false">INDEX(Pop_Inputs!$Q$2:$Q$29,MATCH(C2425,Pop_Inputs!$A$2:$A$29,0))</f>
        <v>West</v>
      </c>
      <c r="W2425" s="29" t="n">
        <v>86806234</v>
      </c>
      <c r="X2425" s="3" t="n">
        <f aca="false">IF(W2425="","",LN(W2425))</f>
        <v>18.2791889973281</v>
      </c>
      <c r="Y2425" s="3" t="n">
        <f aca="false">IF(X2425="","",X2425-AVERAGEIFS($X$2:$X$2705,$B$2:$B$2705,B2425))</f>
        <v>-0.295458328989696</v>
      </c>
      <c r="Z2425" s="21" t="n">
        <f aca="false">P2425</f>
        <v>-0.706638384180566</v>
      </c>
      <c r="AA2425" s="3" t="n">
        <f aca="false">R2425</f>
        <v>0</v>
      </c>
      <c r="AB2425" s="21" t="n">
        <f aca="false">P2425</f>
        <v>-0.706638384180566</v>
      </c>
      <c r="AC2425" s="3" t="n">
        <f aca="false">Y2425</f>
        <v>-0.295458328989696</v>
      </c>
      <c r="AD2425" s="3" t="n">
        <f aca="false">R2425</f>
        <v>0</v>
      </c>
    </row>
    <row r="2426" customFormat="false" ht="15" hidden="false" customHeight="true" outlineLevel="0" collapsed="false">
      <c r="A2426" s="7" t="s">
        <v>60</v>
      </c>
      <c r="B2426" s="7" t="n">
        <v>2016</v>
      </c>
      <c r="C2426" s="7" t="s">
        <v>146</v>
      </c>
      <c r="D2426" s="7" t="n">
        <v>71</v>
      </c>
      <c r="E2426" s="7" t="n">
        <v>91</v>
      </c>
      <c r="F2426" s="3" t="n">
        <f aca="false">COUNTIFS($B$2:$B$2705,B2426,$C$2:$C$2705,C2426)</f>
        <v>1</v>
      </c>
      <c r="G2426" s="3" t="n">
        <f aca="false">MIN(INT((MIN(B2426,2020)-1900)/10)+1,12)</f>
        <v>12</v>
      </c>
      <c r="H2426" s="3" t="n">
        <f aca="false">(MIN(B2426,2020)-1900-10*(G2426-1))/10</f>
        <v>0.6</v>
      </c>
      <c r="I2426" s="20" t="n">
        <f aca="false">EXP(LN(INDEX(Pop_Inputs!$B$2:$N$29,MATCH(C2426,Pop_Inputs!$A$2:$A$29,0),G2426))*(1-H2426)+LN(INDEX(Pop_Inputs!$B$2:$N$29,MATCH(C2426,Pop_Inputs!$A$2:$A$29,0),G2426+1))*H2426)</f>
        <v>1572215.72082469</v>
      </c>
      <c r="J2426" s="20" t="n">
        <f aca="false">I2426/F2426</f>
        <v>1572215.72082469</v>
      </c>
      <c r="K2426" s="21" t="n">
        <f aca="false">D2426/(D2426+E2426)</f>
        <v>0.438271604938272</v>
      </c>
      <c r="L2426" s="21" t="n">
        <f aca="false">AVERAGEIFS($K$2:$K$2705,$B$2:$B$2705,B2426)</f>
        <v>0.500031950515042</v>
      </c>
      <c r="M2426" s="21" t="n">
        <f aca="false">K2426-L2426</f>
        <v>-0.0617603455767707</v>
      </c>
      <c r="N2426" s="21" t="n">
        <f aca="false">LN(J2426)</f>
        <v>14.2679964695442</v>
      </c>
      <c r="O2426" s="21" t="n">
        <f aca="false">AVERAGEIFS($N$2:$N$2705,$B$2:$B$2705,B2426)</f>
        <v>13.654539333718</v>
      </c>
      <c r="P2426" s="21" t="n">
        <f aca="false">N2426-O2426</f>
        <v>0.61345713582628</v>
      </c>
      <c r="Q2426" s="7" t="n">
        <v>0</v>
      </c>
      <c r="R2426" s="3" t="n">
        <f aca="false">IF(AND(Q2426=1,B2426-_xlfn.MINIFS($B$2:$B$2705,$A$2:$A$2705,A2426)&lt;10),1,0)</f>
        <v>0</v>
      </c>
      <c r="S2426" s="7" t="n">
        <v>0</v>
      </c>
      <c r="T2426" s="3" t="n">
        <f aca="false">_xlfn.MINIFS($B$2:$B$2705,$A$2:$A$2705,A2426)</f>
        <v>1901</v>
      </c>
      <c r="U2426" s="3" t="n">
        <f aca="false">B2426-T2426</f>
        <v>115</v>
      </c>
      <c r="V2426" s="3" t="str">
        <f aca="false">INDEX(Pop_Inputs!$Q$2:$Q$29,MATCH(C2426,Pop_Inputs!$A$2:$A$29,0))</f>
        <v>Northeast</v>
      </c>
      <c r="W2426" s="29" t="n">
        <v>58980000</v>
      </c>
      <c r="X2426" s="3" t="n">
        <f aca="false">IF(W2426="","",LN(W2426))</f>
        <v>17.8927089613514</v>
      </c>
      <c r="Y2426" s="3" t="n">
        <f aca="false">IF(X2426="","",X2426-AVERAGEIFS($X$2:$X$2705,$B$2:$B$2705,B2426))</f>
        <v>-0.681938364966417</v>
      </c>
      <c r="Z2426" s="21" t="n">
        <f aca="false">P2426</f>
        <v>0.61345713582628</v>
      </c>
      <c r="AA2426" s="3" t="n">
        <f aca="false">R2426</f>
        <v>0</v>
      </c>
      <c r="AB2426" s="21" t="n">
        <f aca="false">P2426</f>
        <v>0.61345713582628</v>
      </c>
      <c r="AC2426" s="3" t="n">
        <f aca="false">Y2426</f>
        <v>-0.681938364966417</v>
      </c>
      <c r="AD2426" s="3" t="n">
        <f aca="false">R2426</f>
        <v>0</v>
      </c>
    </row>
    <row r="2427" customFormat="false" ht="15" hidden="false" customHeight="true" outlineLevel="0" collapsed="false">
      <c r="A2427" s="7" t="s">
        <v>58</v>
      </c>
      <c r="B2427" s="7" t="n">
        <v>2016</v>
      </c>
      <c r="C2427" s="7" t="s">
        <v>144</v>
      </c>
      <c r="D2427" s="7" t="n">
        <v>78</v>
      </c>
      <c r="E2427" s="7" t="n">
        <v>83</v>
      </c>
      <c r="F2427" s="3" t="n">
        <f aca="false">COUNTIFS($B$2:$B$2705,B2427,$C$2:$C$2705,C2427)</f>
        <v>1</v>
      </c>
      <c r="G2427" s="3" t="n">
        <f aca="false">MIN(INT((MIN(B2427,2020)-1900)/10)+1,12)</f>
        <v>12</v>
      </c>
      <c r="H2427" s="3" t="n">
        <f aca="false">(MIN(B2427,2020)-1900-10*(G2427-1))/10</f>
        <v>0.6</v>
      </c>
      <c r="I2427" s="20" t="n">
        <f aca="false">EXP(LN(INDEX(Pop_Inputs!$B$2:$N$29,MATCH(C2427,Pop_Inputs!$A$2:$A$29,0),G2427))*(1-H2427)+LN(INDEX(Pop_Inputs!$B$2:$N$29,MATCH(C2427,Pop_Inputs!$A$2:$A$29,0),G2427+1))*H2427)</f>
        <v>304061.255732688</v>
      </c>
      <c r="J2427" s="20" t="n">
        <f aca="false">I2427/F2427</f>
        <v>304061.255732688</v>
      </c>
      <c r="K2427" s="21" t="n">
        <f aca="false">D2427/(D2427+E2427)</f>
        <v>0.484472049689441</v>
      </c>
      <c r="L2427" s="21" t="n">
        <f aca="false">AVERAGEIFS($K$2:$K$2705,$B$2:$B$2705,B2427)</f>
        <v>0.500031950515042</v>
      </c>
      <c r="M2427" s="21" t="n">
        <f aca="false">K2427-L2427</f>
        <v>-0.0155599008256013</v>
      </c>
      <c r="N2427" s="21" t="n">
        <f aca="false">LN(J2427)</f>
        <v>12.6249844592108</v>
      </c>
      <c r="O2427" s="21" t="n">
        <f aca="false">AVERAGEIFS($N$2:$N$2705,$B$2:$B$2705,B2427)</f>
        <v>13.654539333718</v>
      </c>
      <c r="P2427" s="21" t="n">
        <f aca="false">N2427-O2427</f>
        <v>-1.02955487450714</v>
      </c>
      <c r="Q2427" s="7" t="n">
        <v>0</v>
      </c>
      <c r="R2427" s="3" t="n">
        <f aca="false">IF(AND(Q2427=1,B2427-_xlfn.MINIFS($B$2:$B$2705,$A$2:$A$2705,A2427)&lt;10),1,0)</f>
        <v>0</v>
      </c>
      <c r="S2427" s="7" t="n">
        <v>0</v>
      </c>
      <c r="T2427" s="3" t="n">
        <f aca="false">_xlfn.MINIFS($B$2:$B$2705,$A$2:$A$2705,A2427)</f>
        <v>1901</v>
      </c>
      <c r="U2427" s="3" t="n">
        <f aca="false">B2427-T2427</f>
        <v>115</v>
      </c>
      <c r="V2427" s="3" t="str">
        <f aca="false">INDEX(Pop_Inputs!$Q$2:$Q$29,MATCH(C2427,Pop_Inputs!$A$2:$A$29,0))</f>
        <v>Northeast</v>
      </c>
      <c r="W2427" s="29" t="n">
        <v>103778833</v>
      </c>
      <c r="X2427" s="3" t="n">
        <f aca="false">IF(W2427="","",LN(W2427))</f>
        <v>18.4577725868994</v>
      </c>
      <c r="Y2427" s="3" t="n">
        <f aca="false">IF(X2427="","",X2427-AVERAGEIFS($X$2:$X$2705,$B$2:$B$2705,B2427))</f>
        <v>-0.1168747394184</v>
      </c>
      <c r="Z2427" s="21" t="n">
        <f aca="false">P2427</f>
        <v>-1.02955487450714</v>
      </c>
      <c r="AA2427" s="3" t="n">
        <f aca="false">R2427</f>
        <v>0</v>
      </c>
      <c r="AB2427" s="21" t="n">
        <f aca="false">P2427</f>
        <v>-1.02955487450714</v>
      </c>
      <c r="AC2427" s="3" t="n">
        <f aca="false">Y2427</f>
        <v>-0.1168747394184</v>
      </c>
      <c r="AD2427" s="3" t="n">
        <f aca="false">R2427</f>
        <v>0</v>
      </c>
    </row>
    <row r="2428" customFormat="false" ht="15" hidden="false" customHeight="true" outlineLevel="0" collapsed="false">
      <c r="A2428" s="7" t="s">
        <v>78</v>
      </c>
      <c r="B2428" s="7" t="n">
        <v>2016</v>
      </c>
      <c r="C2428" s="7" t="s">
        <v>159</v>
      </c>
      <c r="D2428" s="7" t="n">
        <v>68</v>
      </c>
      <c r="E2428" s="7" t="n">
        <v>94</v>
      </c>
      <c r="F2428" s="3" t="n">
        <f aca="false">COUNTIFS($B$2:$B$2705,B2428,$C$2:$C$2705,C2428)</f>
        <v>1</v>
      </c>
      <c r="G2428" s="3" t="n">
        <f aca="false">MIN(INT((MIN(B2428,2020)-1900)/10)+1,12)</f>
        <v>12</v>
      </c>
      <c r="H2428" s="3" t="n">
        <f aca="false">(MIN(B2428,2020)-1900-10*(G2428-1))/10</f>
        <v>0.6</v>
      </c>
      <c r="I2428" s="20" t="n">
        <f aca="false">EXP(LN(INDEX(Pop_Inputs!$B$2:$N$29,MATCH(C2428,Pop_Inputs!$A$2:$A$29,0),G2428))*(1-H2428)+LN(INDEX(Pop_Inputs!$B$2:$N$29,MATCH(C2428,Pop_Inputs!$A$2:$A$29,0),G2428+1))*H2428)</f>
        <v>1354555.35996528</v>
      </c>
      <c r="J2428" s="20" t="n">
        <f aca="false">I2428/F2428</f>
        <v>1354555.35996528</v>
      </c>
      <c r="K2428" s="21" t="n">
        <f aca="false">D2428/(D2428+E2428)</f>
        <v>0.419753086419753</v>
      </c>
      <c r="L2428" s="21" t="n">
        <f aca="false">AVERAGEIFS($K$2:$K$2705,$B$2:$B$2705,B2428)</f>
        <v>0.500031950515042</v>
      </c>
      <c r="M2428" s="21" t="n">
        <f aca="false">K2428-L2428</f>
        <v>-0.0802788640952893</v>
      </c>
      <c r="N2428" s="21" t="n">
        <f aca="false">LN(J2428)</f>
        <v>14.1189838108166</v>
      </c>
      <c r="O2428" s="21" t="n">
        <f aca="false">AVERAGEIFS($N$2:$N$2705,$B$2:$B$2705,B2428)</f>
        <v>13.654539333718</v>
      </c>
      <c r="P2428" s="21" t="n">
        <f aca="false">N2428-O2428</f>
        <v>0.464444477098663</v>
      </c>
      <c r="Q2428" s="7" t="n">
        <v>1</v>
      </c>
      <c r="R2428" s="3" t="n">
        <f aca="false">IF(AND(Q2428=1,B2428-_xlfn.MINIFS($B$2:$B$2705,$A$2:$A$2705,A2428)&lt;10),1,0)</f>
        <v>0</v>
      </c>
      <c r="S2428" s="7" t="n">
        <v>0</v>
      </c>
      <c r="T2428" s="3" t="n">
        <f aca="false">_xlfn.MINIFS($B$2:$B$2705,$A$2:$A$2705,A2428)</f>
        <v>1969</v>
      </c>
      <c r="U2428" s="3" t="n">
        <f aca="false">B2428-T2428</f>
        <v>47</v>
      </c>
      <c r="V2428" s="3" t="str">
        <f aca="false">INDEX(Pop_Inputs!$Q$2:$Q$29,MATCH(C2428,Pop_Inputs!$A$2:$A$29,0))</f>
        <v>West</v>
      </c>
      <c r="W2428" s="29" t="n">
        <v>101424814</v>
      </c>
      <c r="X2428" s="3" t="n">
        <f aca="false">IF(W2428="","",LN(W2428))</f>
        <v>18.4348283331877</v>
      </c>
      <c r="Y2428" s="3" t="n">
        <f aca="false">IF(X2428="","",X2428-AVERAGEIFS($X$2:$X$2705,$B$2:$B$2705,B2428))</f>
        <v>-0.139818993130106</v>
      </c>
      <c r="Z2428" s="21" t="n">
        <f aca="false">P2428</f>
        <v>0.464444477098663</v>
      </c>
      <c r="AA2428" s="3" t="n">
        <f aca="false">R2428</f>
        <v>0</v>
      </c>
      <c r="AB2428" s="21" t="n">
        <f aca="false">P2428</f>
        <v>0.464444477098663</v>
      </c>
      <c r="AC2428" s="3" t="n">
        <f aca="false">Y2428</f>
        <v>-0.139818993130106</v>
      </c>
      <c r="AD2428" s="3" t="n">
        <f aca="false">R2428</f>
        <v>0</v>
      </c>
    </row>
    <row r="2429" customFormat="false" ht="15" hidden="false" customHeight="true" outlineLevel="0" collapsed="false">
      <c r="A2429" s="7" t="s">
        <v>80</v>
      </c>
      <c r="B2429" s="7" t="n">
        <v>2016</v>
      </c>
      <c r="C2429" s="7" t="s">
        <v>161</v>
      </c>
      <c r="D2429" s="7" t="n">
        <v>86</v>
      </c>
      <c r="E2429" s="7" t="n">
        <v>76</v>
      </c>
      <c r="F2429" s="3" t="n">
        <f aca="false">COUNTIFS($B$2:$B$2705,B2429,$C$2:$C$2705,C2429)</f>
        <v>1</v>
      </c>
      <c r="G2429" s="3" t="n">
        <f aca="false">MIN(INT((MIN(B2429,2020)-1900)/10)+1,12)</f>
        <v>12</v>
      </c>
      <c r="H2429" s="3" t="n">
        <f aca="false">(MIN(B2429,2020)-1900-10*(G2429-1))/10</f>
        <v>0.6</v>
      </c>
      <c r="I2429" s="20" t="n">
        <f aca="false">EXP(LN(INDEX(Pop_Inputs!$B$2:$N$29,MATCH(C2429,Pop_Inputs!$A$2:$A$29,0),G2429))*(1-H2429)+LN(INDEX(Pop_Inputs!$B$2:$N$29,MATCH(C2429,Pop_Inputs!$A$2:$A$29,0),G2429+1))*H2429)</f>
        <v>682709.114272244</v>
      </c>
      <c r="J2429" s="20" t="n">
        <f aca="false">I2429/F2429</f>
        <v>682709.114272244</v>
      </c>
      <c r="K2429" s="21" t="n">
        <f aca="false">D2429/(D2429+E2429)</f>
        <v>0.530864197530864</v>
      </c>
      <c r="L2429" s="21" t="n">
        <f aca="false">AVERAGEIFS($K$2:$K$2705,$B$2:$B$2705,B2429)</f>
        <v>0.500031950515042</v>
      </c>
      <c r="M2429" s="21" t="n">
        <f aca="false">K2429-L2429</f>
        <v>0.0308322470158219</v>
      </c>
      <c r="N2429" s="21" t="n">
        <f aca="false">LN(J2429)</f>
        <v>13.4338241536501</v>
      </c>
      <c r="O2429" s="21" t="n">
        <f aca="false">AVERAGEIFS($N$2:$N$2705,$B$2:$B$2705,B2429)</f>
        <v>13.654539333718</v>
      </c>
      <c r="P2429" s="21" t="n">
        <f aca="false">N2429-O2429</f>
        <v>-0.220715180067847</v>
      </c>
      <c r="Q2429" s="7" t="n">
        <v>1</v>
      </c>
      <c r="R2429" s="3" t="n">
        <f aca="false">IF(AND(Q2429=1,B2429-_xlfn.MINIFS($B$2:$B$2705,$A$2:$A$2705,A2429)&lt;10),1,0)</f>
        <v>0</v>
      </c>
      <c r="S2429" s="7" t="n">
        <v>0</v>
      </c>
      <c r="T2429" s="3" t="n">
        <f aca="false">_xlfn.MINIFS($B$2:$B$2705,$A$2:$A$2705,A2429)</f>
        <v>1977</v>
      </c>
      <c r="U2429" s="3" t="n">
        <f aca="false">B2429-T2429</f>
        <v>39</v>
      </c>
      <c r="V2429" s="3" t="str">
        <f aca="false">INDEX(Pop_Inputs!$Q$2:$Q$29,MATCH(C2429,Pop_Inputs!$A$2:$A$29,0))</f>
        <v>West</v>
      </c>
      <c r="W2429" s="29" t="n">
        <v>135683339</v>
      </c>
      <c r="X2429" s="3" t="n">
        <f aca="false">IF(W2429="","",LN(W2429))</f>
        <v>18.7258343390801</v>
      </c>
      <c r="Y2429" s="3" t="n">
        <f aca="false">IF(X2429="","",X2429-AVERAGEIFS($X$2:$X$2705,$B$2:$B$2705,B2429))</f>
        <v>0.151187012762243</v>
      </c>
      <c r="Z2429" s="21" t="n">
        <f aca="false">P2429</f>
        <v>-0.220715180067847</v>
      </c>
      <c r="AA2429" s="3" t="n">
        <f aca="false">R2429</f>
        <v>0</v>
      </c>
      <c r="AB2429" s="21" t="n">
        <f aca="false">P2429</f>
        <v>-0.220715180067847</v>
      </c>
      <c r="AC2429" s="3" t="n">
        <f aca="false">Y2429</f>
        <v>0.151187012762243</v>
      </c>
      <c r="AD2429" s="3" t="n">
        <f aca="false">R2429</f>
        <v>0</v>
      </c>
    </row>
    <row r="2430" customFormat="false" ht="15" hidden="false" customHeight="true" outlineLevel="0" collapsed="false">
      <c r="A2430" s="7" t="s">
        <v>61</v>
      </c>
      <c r="B2430" s="7" t="n">
        <v>2016</v>
      </c>
      <c r="C2430" s="7" t="s">
        <v>147</v>
      </c>
      <c r="D2430" s="7" t="n">
        <v>87</v>
      </c>
      <c r="E2430" s="7" t="n">
        <v>75</v>
      </c>
      <c r="F2430" s="3" t="n">
        <f aca="false">COUNTIFS($B$2:$B$2705,B2430,$C$2:$C$2705,C2430)</f>
        <v>1</v>
      </c>
      <c r="G2430" s="3" t="n">
        <f aca="false">MIN(INT((MIN(B2430,2020)-1900)/10)+1,12)</f>
        <v>12</v>
      </c>
      <c r="H2430" s="3" t="n">
        <f aca="false">(MIN(B2430,2020)-1900-10*(G2430-1))/10</f>
        <v>0.6</v>
      </c>
      <c r="I2430" s="20" t="n">
        <f aca="false">EXP(LN(INDEX(Pop_Inputs!$B$2:$N$29,MATCH(C2430,Pop_Inputs!$A$2:$A$29,0),G2430))*(1-H2430)+LN(INDEX(Pop_Inputs!$B$2:$N$29,MATCH(C2430,Pop_Inputs!$A$2:$A$29,0),G2430+1))*H2430)</f>
        <v>845795.71732525</v>
      </c>
      <c r="J2430" s="20" t="n">
        <f aca="false">I2430/F2430</f>
        <v>845795.71732525</v>
      </c>
      <c r="K2430" s="21" t="n">
        <f aca="false">D2430/(D2430+E2430)</f>
        <v>0.537037037037037</v>
      </c>
      <c r="L2430" s="21" t="n">
        <f aca="false">AVERAGEIFS($K$2:$K$2705,$B$2:$B$2705,B2430)</f>
        <v>0.500031950515042</v>
      </c>
      <c r="M2430" s="21" t="n">
        <f aca="false">K2430-L2430</f>
        <v>0.0370050865219947</v>
      </c>
      <c r="N2430" s="21" t="n">
        <f aca="false">LN(J2430)</f>
        <v>13.6480331405474</v>
      </c>
      <c r="O2430" s="21" t="n">
        <f aca="false">AVERAGEIFS($N$2:$N$2705,$B$2:$B$2705,B2430)</f>
        <v>13.654539333718</v>
      </c>
      <c r="P2430" s="21" t="n">
        <f aca="false">N2430-O2430</f>
        <v>-0.00650619317059231</v>
      </c>
      <c r="Q2430" s="7" t="n">
        <v>0</v>
      </c>
      <c r="R2430" s="3" t="n">
        <f aca="false">IF(AND(Q2430=1,B2430-_xlfn.MINIFS($B$2:$B$2705,$A$2:$A$2705,A2430)&lt;10),1,0)</f>
        <v>0</v>
      </c>
      <c r="S2430" s="7" t="n">
        <v>0</v>
      </c>
      <c r="T2430" s="3" t="n">
        <f aca="false">_xlfn.MINIFS($B$2:$B$2705,$A$2:$A$2705,A2430)</f>
        <v>1901</v>
      </c>
      <c r="U2430" s="3" t="n">
        <f aca="false">B2430-T2430</f>
        <v>115</v>
      </c>
      <c r="V2430" s="3" t="str">
        <f aca="false">INDEX(Pop_Inputs!$Q$2:$Q$29,MATCH(C2430,Pop_Inputs!$A$2:$A$29,0))</f>
        <v>West</v>
      </c>
      <c r="W2430" s="29" t="n">
        <v>172253778</v>
      </c>
      <c r="X2430" s="3" t="n">
        <f aca="false">IF(W2430="","",LN(W2430))</f>
        <v>18.9644794008541</v>
      </c>
      <c r="Y2430" s="3" t="n">
        <f aca="false">IF(X2430="","",X2430-AVERAGEIFS($X$2:$X$2705,$B$2:$B$2705,B2430))</f>
        <v>0.389832074536269</v>
      </c>
      <c r="Z2430" s="21" t="n">
        <f aca="false">P2430</f>
        <v>-0.00650619317059231</v>
      </c>
      <c r="AA2430" s="3" t="n">
        <f aca="false">R2430</f>
        <v>0</v>
      </c>
      <c r="AB2430" s="21" t="n">
        <f aca="false">P2430</f>
        <v>-0.00650619317059231</v>
      </c>
      <c r="AC2430" s="3" t="n">
        <f aca="false">Y2430</f>
        <v>0.389832074536269</v>
      </c>
      <c r="AD2430" s="3" t="n">
        <f aca="false">R2430</f>
        <v>0</v>
      </c>
    </row>
    <row r="2431" customFormat="false" ht="15" hidden="false" customHeight="true" outlineLevel="0" collapsed="false">
      <c r="A2431" s="7" t="s">
        <v>59</v>
      </c>
      <c r="B2431" s="7" t="n">
        <v>2016</v>
      </c>
      <c r="C2431" s="7" t="s">
        <v>145</v>
      </c>
      <c r="D2431" s="7" t="n">
        <v>86</v>
      </c>
      <c r="E2431" s="7" t="n">
        <v>76</v>
      </c>
      <c r="F2431" s="3" t="n">
        <f aca="false">COUNTIFS($B$2:$B$2705,B2431,$C$2:$C$2705,C2431)</f>
        <v>1</v>
      </c>
      <c r="G2431" s="3" t="n">
        <f aca="false">MIN(INT((MIN(B2431,2020)-1900)/10)+1,12)</f>
        <v>12</v>
      </c>
      <c r="H2431" s="3" t="n">
        <f aca="false">(MIN(B2431,2020)-1900-10*(G2431-1))/10</f>
        <v>0.6</v>
      </c>
      <c r="I2431" s="20" t="n">
        <f aca="false">EXP(LN(INDEX(Pop_Inputs!$B$2:$N$29,MATCH(C2431,Pop_Inputs!$A$2:$A$29,0),G2431))*(1-H2431)+LN(INDEX(Pop_Inputs!$B$2:$N$29,MATCH(C2431,Pop_Inputs!$A$2:$A$29,0),G2431+1))*H2431)</f>
        <v>308543.283591898</v>
      </c>
      <c r="J2431" s="20" t="n">
        <f aca="false">I2431/F2431</f>
        <v>308543.283591898</v>
      </c>
      <c r="K2431" s="21" t="n">
        <f aca="false">D2431/(D2431+E2431)</f>
        <v>0.530864197530864</v>
      </c>
      <c r="L2431" s="21" t="n">
        <f aca="false">AVERAGEIFS($K$2:$K$2705,$B$2:$B$2705,B2431)</f>
        <v>0.500031950515042</v>
      </c>
      <c r="M2431" s="21" t="n">
        <f aca="false">K2431-L2431</f>
        <v>0.0308322470158219</v>
      </c>
      <c r="N2431" s="21" t="n">
        <f aca="false">LN(J2431)</f>
        <v>12.6396174158633</v>
      </c>
      <c r="O2431" s="21" t="n">
        <f aca="false">AVERAGEIFS($N$2:$N$2705,$B$2:$B$2705,B2431)</f>
        <v>13.654539333718</v>
      </c>
      <c r="P2431" s="21" t="n">
        <f aca="false">N2431-O2431</f>
        <v>-1.01492191785468</v>
      </c>
      <c r="Q2431" s="7" t="n">
        <v>0</v>
      </c>
      <c r="R2431" s="3" t="n">
        <f aca="false">IF(AND(Q2431=1,B2431-_xlfn.MINIFS($B$2:$B$2705,$A$2:$A$2705,A2431)&lt;10),1,0)</f>
        <v>0</v>
      </c>
      <c r="S2431" s="7" t="n">
        <v>0</v>
      </c>
      <c r="T2431" s="3" t="n">
        <f aca="false">_xlfn.MINIFS($B$2:$B$2705,$A$2:$A$2705,A2431)</f>
        <v>1901</v>
      </c>
      <c r="U2431" s="3" t="n">
        <f aca="false">B2431-T2431</f>
        <v>115</v>
      </c>
      <c r="V2431" s="3" t="str">
        <f aca="false">INDEX(Pop_Inputs!$Q$2:$Q$29,MATCH(C2431,Pop_Inputs!$A$2:$A$29,0))</f>
        <v>Midwest</v>
      </c>
      <c r="W2431" s="29" t="n">
        <v>143053500</v>
      </c>
      <c r="X2431" s="3" t="n">
        <f aca="false">IF(W2431="","",LN(W2431))</f>
        <v>18.7787292441307</v>
      </c>
      <c r="Y2431" s="3" t="n">
        <f aca="false">IF(X2431="","",X2431-AVERAGEIFS($X$2:$X$2705,$B$2:$B$2705,B2431))</f>
        <v>0.204081917812854</v>
      </c>
      <c r="Z2431" s="21" t="n">
        <f aca="false">P2431</f>
        <v>-1.01492191785468</v>
      </c>
      <c r="AA2431" s="3" t="n">
        <f aca="false">R2431</f>
        <v>0</v>
      </c>
      <c r="AB2431" s="21" t="n">
        <f aca="false">P2431</f>
        <v>-1.01492191785468</v>
      </c>
      <c r="AC2431" s="3" t="n">
        <f aca="false">Y2431</f>
        <v>0.204081917812854</v>
      </c>
      <c r="AD2431" s="3" t="n">
        <f aca="false">R2431</f>
        <v>0</v>
      </c>
    </row>
    <row r="2432" customFormat="false" ht="15" hidden="false" customHeight="true" outlineLevel="0" collapsed="false">
      <c r="A2432" s="7" t="s">
        <v>85</v>
      </c>
      <c r="B2432" s="7" t="n">
        <v>2016</v>
      </c>
      <c r="C2432" s="7" t="s">
        <v>166</v>
      </c>
      <c r="D2432" s="7" t="n">
        <v>68</v>
      </c>
      <c r="E2432" s="7" t="n">
        <v>94</v>
      </c>
      <c r="F2432" s="3" t="n">
        <f aca="false">COUNTIFS($B$2:$B$2705,B2432,$C$2:$C$2705,C2432)</f>
        <v>1</v>
      </c>
      <c r="G2432" s="3" t="n">
        <f aca="false">MIN(INT((MIN(B2432,2020)-1900)/10)+1,12)</f>
        <v>12</v>
      </c>
      <c r="H2432" s="3" t="n">
        <f aca="false">(MIN(B2432,2020)-1900-10*(G2432-1))/10</f>
        <v>0.6</v>
      </c>
      <c r="I2432" s="20" t="n">
        <f aca="false">EXP(LN(INDEX(Pop_Inputs!$B$2:$N$29,MATCH(C2432,Pop_Inputs!$A$2:$A$29,0),G2432))*(1-H2432)+LN(INDEX(Pop_Inputs!$B$2:$N$29,MATCH(C2432,Pop_Inputs!$A$2:$A$29,0),G2432+1))*H2432)</f>
        <v>364446.580946326</v>
      </c>
      <c r="J2432" s="20" t="n">
        <f aca="false">I2432/F2432</f>
        <v>364446.580946326</v>
      </c>
      <c r="K2432" s="21" t="n">
        <f aca="false">D2432/(D2432+E2432)</f>
        <v>0.419753086419753</v>
      </c>
      <c r="L2432" s="21" t="n">
        <f aca="false">AVERAGEIFS($K$2:$K$2705,$B$2:$B$2705,B2432)</f>
        <v>0.500031950515042</v>
      </c>
      <c r="M2432" s="21" t="n">
        <f aca="false">K2432-L2432</f>
        <v>-0.0802788640952893</v>
      </c>
      <c r="N2432" s="21" t="n">
        <f aca="false">LN(J2432)</f>
        <v>12.8061352653596</v>
      </c>
      <c r="O2432" s="21" t="n">
        <f aca="false">AVERAGEIFS($N$2:$N$2705,$B$2:$B$2705,B2432)</f>
        <v>13.654539333718</v>
      </c>
      <c r="P2432" s="21" t="n">
        <f aca="false">N2432-O2432</f>
        <v>-0.848404068358319</v>
      </c>
      <c r="Q2432" s="7" t="n">
        <v>1</v>
      </c>
      <c r="R2432" s="3" t="n">
        <f aca="false">IF(AND(Q2432=1,B2432-_xlfn.MINIFS($B$2:$B$2705,$A$2:$A$2705,A2432)&lt;10),1,0)</f>
        <v>0</v>
      </c>
      <c r="S2432" s="7" t="n">
        <v>0</v>
      </c>
      <c r="T2432" s="3" t="n">
        <f aca="false">_xlfn.MINIFS($B$2:$B$2705,$A$2:$A$2705,A2432)</f>
        <v>1998</v>
      </c>
      <c r="U2432" s="3" t="n">
        <f aca="false">B2432-T2432</f>
        <v>18</v>
      </c>
      <c r="V2432" s="3" t="str">
        <f aca="false">INDEX(Pop_Inputs!$Q$2:$Q$29,MATCH(C2432,Pop_Inputs!$A$2:$A$29,0))</f>
        <v>South</v>
      </c>
      <c r="W2432" s="29" t="n">
        <v>57097310</v>
      </c>
      <c r="X2432" s="3" t="n">
        <f aca="false">IF(W2432="","",LN(W2432))</f>
        <v>17.8602675631838</v>
      </c>
      <c r="Y2432" s="3" t="n">
        <f aca="false">IF(X2432="","",X2432-AVERAGEIFS($X$2:$X$2705,$B$2:$B$2705,B2432))</f>
        <v>-0.714379763134058</v>
      </c>
      <c r="Z2432" s="21" t="n">
        <f aca="false">P2432</f>
        <v>-0.848404068358319</v>
      </c>
      <c r="AA2432" s="3" t="n">
        <f aca="false">R2432</f>
        <v>0</v>
      </c>
      <c r="AB2432" s="21" t="n">
        <f aca="false">P2432</f>
        <v>-0.848404068358319</v>
      </c>
      <c r="AC2432" s="3" t="n">
        <f aca="false">Y2432</f>
        <v>-0.714379763134058</v>
      </c>
      <c r="AD2432" s="3" t="n">
        <f aca="false">R2432</f>
        <v>0</v>
      </c>
    </row>
    <row r="2433" customFormat="false" ht="15" hidden="false" customHeight="true" outlineLevel="0" collapsed="false">
      <c r="A2433" s="7" t="s">
        <v>73</v>
      </c>
      <c r="B2433" s="7" t="n">
        <v>2016</v>
      </c>
      <c r="C2433" s="7" t="s">
        <v>155</v>
      </c>
      <c r="D2433" s="7" t="n">
        <v>95</v>
      </c>
      <c r="E2433" s="7" t="n">
        <v>67</v>
      </c>
      <c r="F2433" s="3" t="n">
        <f aca="false">COUNTIFS($B$2:$B$2705,B2433,$C$2:$C$2705,C2433)</f>
        <v>1</v>
      </c>
      <c r="G2433" s="3" t="n">
        <f aca="false">MIN(INT((MIN(B2433,2020)-1900)/10)+1,12)</f>
        <v>12</v>
      </c>
      <c r="H2433" s="3" t="n">
        <f aca="false">(MIN(B2433,2020)-1900-10*(G2433-1))/10</f>
        <v>0.6</v>
      </c>
      <c r="I2433" s="20" t="n">
        <f aca="false">EXP(LN(INDEX(Pop_Inputs!$B$2:$N$29,MATCH(C2433,Pop_Inputs!$A$2:$A$29,0),G2433))*(1-H2433)+LN(INDEX(Pop_Inputs!$B$2:$N$29,MATCH(C2433,Pop_Inputs!$A$2:$A$29,0),G2433+1))*H2433)</f>
        <v>1260661.01527829</v>
      </c>
      <c r="J2433" s="20" t="n">
        <f aca="false">I2433/F2433</f>
        <v>1260661.01527829</v>
      </c>
      <c r="K2433" s="21" t="n">
        <f aca="false">D2433/(D2433+E2433)</f>
        <v>0.58641975308642</v>
      </c>
      <c r="L2433" s="21" t="n">
        <f aca="false">AVERAGEIFS($K$2:$K$2705,$B$2:$B$2705,B2433)</f>
        <v>0.500031950515042</v>
      </c>
      <c r="M2433" s="21" t="n">
        <f aca="false">K2433-L2433</f>
        <v>0.0863878025713775</v>
      </c>
      <c r="N2433" s="21" t="n">
        <f aca="false">LN(J2433)</f>
        <v>14.0471467566654</v>
      </c>
      <c r="O2433" s="21" t="n">
        <f aca="false">AVERAGEIFS($N$2:$N$2705,$B$2:$B$2705,B2433)</f>
        <v>13.654539333718</v>
      </c>
      <c r="P2433" s="21" t="n">
        <f aca="false">N2433-O2433</f>
        <v>0.392607422947426</v>
      </c>
      <c r="Q2433" s="7" t="n">
        <v>1</v>
      </c>
      <c r="R2433" s="3" t="n">
        <f aca="false">IF(AND(Q2433=1,B2433-_xlfn.MINIFS($B$2:$B$2705,$A$2:$A$2705,A2433)&lt;10),1,0)</f>
        <v>0</v>
      </c>
      <c r="S2433" s="7" t="n">
        <v>0</v>
      </c>
      <c r="T2433" s="3" t="n">
        <f aca="false">_xlfn.MINIFS($B$2:$B$2705,$A$2:$A$2705,A2433)</f>
        <v>1961</v>
      </c>
      <c r="U2433" s="3" t="n">
        <f aca="false">B2433-T2433</f>
        <v>55</v>
      </c>
      <c r="V2433" s="3" t="str">
        <f aca="false">INDEX(Pop_Inputs!$Q$2:$Q$29,MATCH(C2433,Pop_Inputs!$A$2:$A$29,0))</f>
        <v>South</v>
      </c>
      <c r="W2433" s="29" t="n">
        <v>176038723</v>
      </c>
      <c r="X2433" s="3" t="n">
        <f aca="false">IF(W2433="","",LN(W2433))</f>
        <v>18.9862145458477</v>
      </c>
      <c r="Y2433" s="3" t="n">
        <f aca="false">IF(X2433="","",X2433-AVERAGEIFS($X$2:$X$2705,$B$2:$B$2705,B2433))</f>
        <v>0.411567219529861</v>
      </c>
      <c r="Z2433" s="21" t="n">
        <f aca="false">P2433</f>
        <v>0.392607422947426</v>
      </c>
      <c r="AA2433" s="3" t="n">
        <f aca="false">R2433</f>
        <v>0</v>
      </c>
      <c r="AB2433" s="21" t="n">
        <f aca="false">P2433</f>
        <v>0.392607422947426</v>
      </c>
      <c r="AC2433" s="3" t="n">
        <f aca="false">Y2433</f>
        <v>0.411567219529861</v>
      </c>
      <c r="AD2433" s="3" t="n">
        <f aca="false">R2433</f>
        <v>0</v>
      </c>
    </row>
    <row r="2434" customFormat="false" ht="15" hidden="false" customHeight="true" outlineLevel="0" collapsed="false">
      <c r="A2434" s="7" t="s">
        <v>81</v>
      </c>
      <c r="B2434" s="7" t="n">
        <v>2016</v>
      </c>
      <c r="C2434" s="7" t="s">
        <v>162</v>
      </c>
      <c r="D2434" s="7" t="n">
        <v>89</v>
      </c>
      <c r="E2434" s="7" t="n">
        <v>73</v>
      </c>
      <c r="F2434" s="3" t="n">
        <f aca="false">COUNTIFS($B$2:$B$2705,B2434,$C$2:$C$2705,C2434)</f>
        <v>1</v>
      </c>
      <c r="G2434" s="3" t="n">
        <f aca="false">MIN(INT((MIN(B2434,2020)-1900)/10)+1,12)</f>
        <v>12</v>
      </c>
      <c r="H2434" s="3" t="n">
        <f aca="false">(MIN(B2434,2020)-1900-10*(G2434-1))/10</f>
        <v>0.6</v>
      </c>
      <c r="I2434" s="20" t="n">
        <f aca="false">EXP(LN(INDEX(Pop_Inputs!$B$2:$N$29,MATCH(C2434,Pop_Inputs!$A$2:$A$29,0),G2434))*(1-H2434)+LN(INDEX(Pop_Inputs!$B$2:$N$29,MATCH(C2434,Pop_Inputs!$A$2:$A$29,0),G2434+1))*H2434)</f>
        <v>2721207.77828515</v>
      </c>
      <c r="J2434" s="20" t="n">
        <f aca="false">I2434/F2434</f>
        <v>2721207.77828515</v>
      </c>
      <c r="K2434" s="21" t="n">
        <f aca="false">D2434/(D2434+E2434)</f>
        <v>0.549382716049383</v>
      </c>
      <c r="L2434" s="21" t="n">
        <f aca="false">AVERAGEIFS($K$2:$K$2705,$B$2:$B$2705,B2434)</f>
        <v>0.500031950515042</v>
      </c>
      <c r="M2434" s="21" t="n">
        <f aca="false">K2434-L2434</f>
        <v>0.0493507655343404</v>
      </c>
      <c r="N2434" s="21" t="n">
        <f aca="false">LN(J2434)</f>
        <v>14.8165863758516</v>
      </c>
      <c r="O2434" s="21" t="n">
        <f aca="false">AVERAGEIFS($N$2:$N$2705,$B$2:$B$2705,B2434)</f>
        <v>13.654539333718</v>
      </c>
      <c r="P2434" s="21" t="n">
        <f aca="false">N2434-O2434</f>
        <v>1.16204704213359</v>
      </c>
      <c r="Q2434" s="7" t="n">
        <v>1</v>
      </c>
      <c r="R2434" s="3" t="n">
        <f aca="false">IF(AND(Q2434=1,B2434-_xlfn.MINIFS($B$2:$B$2705,$A$2:$A$2705,A2434)&lt;10),1,0)</f>
        <v>0</v>
      </c>
      <c r="S2434" s="7" t="n">
        <v>0</v>
      </c>
      <c r="T2434" s="3" t="n">
        <f aca="false">_xlfn.MINIFS($B$2:$B$2705,$A$2:$A$2705,A2434)</f>
        <v>1977</v>
      </c>
      <c r="U2434" s="3" t="n">
        <f aca="false">B2434-T2434</f>
        <v>39</v>
      </c>
      <c r="V2434" s="3" t="str">
        <f aca="false">INDEX(Pop_Inputs!$Q$2:$Q$29,MATCH(C2434,Pop_Inputs!$A$2:$A$29,0))</f>
        <v>Canada</v>
      </c>
      <c r="W2434" s="29" t="n">
        <v>138701700</v>
      </c>
      <c r="X2434" s="3" t="n">
        <f aca="false">IF(W2434="","",LN(W2434))</f>
        <v>18.747836141879</v>
      </c>
      <c r="Y2434" s="3" t="n">
        <f aca="false">IF(X2434="","",X2434-AVERAGEIFS($X$2:$X$2705,$B$2:$B$2705,B2434))</f>
        <v>0.173188815561197</v>
      </c>
      <c r="Z2434" s="21" t="n">
        <f aca="false">P2434</f>
        <v>1.16204704213359</v>
      </c>
      <c r="AA2434" s="3" t="n">
        <f aca="false">R2434</f>
        <v>0</v>
      </c>
      <c r="AB2434" s="21" t="n">
        <f aca="false">P2434</f>
        <v>1.16204704213359</v>
      </c>
      <c r="AC2434" s="3" t="n">
        <f aca="false">Y2434</f>
        <v>0.173188815561197</v>
      </c>
      <c r="AD2434" s="3" t="n">
        <f aca="false">R2434</f>
        <v>0</v>
      </c>
    </row>
    <row r="2435" customFormat="false" ht="15" hidden="false" customHeight="true" outlineLevel="0" collapsed="false">
      <c r="A2435" s="7" t="s">
        <v>79</v>
      </c>
      <c r="B2435" s="7" t="n">
        <v>2016</v>
      </c>
      <c r="C2435" s="7" t="s">
        <v>160</v>
      </c>
      <c r="D2435" s="7" t="n">
        <v>95</v>
      </c>
      <c r="E2435" s="7" t="n">
        <v>67</v>
      </c>
      <c r="F2435" s="3" t="n">
        <f aca="false">COUNTIFS($B$2:$B$2705,B2435,$C$2:$C$2705,C2435)</f>
        <v>1</v>
      </c>
      <c r="G2435" s="3" t="n">
        <f aca="false">MIN(INT((MIN(B2435,2020)-1900)/10)+1,12)</f>
        <v>12</v>
      </c>
      <c r="H2435" s="3" t="n">
        <f aca="false">(MIN(B2435,2020)-1900-10*(G2435-1))/10</f>
        <v>0.6</v>
      </c>
      <c r="I2435" s="20" t="n">
        <f aca="false">EXP(LN(INDEX(Pop_Inputs!$B$2:$N$29,MATCH(C2435,Pop_Inputs!$A$2:$A$29,0),G2435))*(1-H2435)+LN(INDEX(Pop_Inputs!$B$2:$N$29,MATCH(C2435,Pop_Inputs!$A$2:$A$29,0),G2435+1))*H2435)</f>
        <v>652974.487270222</v>
      </c>
      <c r="J2435" s="20" t="n">
        <f aca="false">I2435/F2435</f>
        <v>652974.487270222</v>
      </c>
      <c r="K2435" s="21" t="n">
        <f aca="false">D2435/(D2435+E2435)</f>
        <v>0.58641975308642</v>
      </c>
      <c r="L2435" s="21" t="n">
        <f aca="false">AVERAGEIFS($K$2:$K$2705,$B$2:$B$2705,B2435)</f>
        <v>0.500031950515042</v>
      </c>
      <c r="M2435" s="21" t="n">
        <f aca="false">K2435-L2435</f>
        <v>0.0863878025713775</v>
      </c>
      <c r="N2435" s="21" t="n">
        <f aca="false">LN(J2435)</f>
        <v>13.389293337465</v>
      </c>
      <c r="O2435" s="21" t="n">
        <f aca="false">AVERAGEIFS($N$2:$N$2705,$B$2:$B$2705,B2435)</f>
        <v>13.654539333718</v>
      </c>
      <c r="P2435" s="21" t="n">
        <f aca="false">N2435-O2435</f>
        <v>-0.265245996252938</v>
      </c>
      <c r="Q2435" s="7" t="n">
        <v>1</v>
      </c>
      <c r="R2435" s="3" t="n">
        <f aca="false">IF(AND(Q2435=1,B2435-_xlfn.MINIFS($B$2:$B$2705,$A$2:$A$2705,A2435)&lt;10),1,0)</f>
        <v>0</v>
      </c>
      <c r="S2435" s="7" t="n">
        <v>0</v>
      </c>
      <c r="T2435" s="3" t="n">
        <f aca="false">_xlfn.MINIFS($B$2:$B$2705,$A$2:$A$2705,A2435)</f>
        <v>1969</v>
      </c>
      <c r="U2435" s="3" t="n">
        <f aca="false">B2435-T2435</f>
        <v>47</v>
      </c>
      <c r="V2435" s="3" t="str">
        <f aca="false">INDEX(Pop_Inputs!$Q$2:$Q$29,MATCH(C2435,Pop_Inputs!$A$2:$A$29,0))</f>
        <v>South</v>
      </c>
      <c r="W2435" s="29" t="n">
        <v>141652646</v>
      </c>
      <c r="X2435" s="3" t="n">
        <f aca="false">IF(W2435="","",LN(W2435))</f>
        <v>18.768888463911</v>
      </c>
      <c r="Y2435" s="3" t="n">
        <f aca="false">IF(X2435="","",X2435-AVERAGEIFS($X$2:$X$2705,$B$2:$B$2705,B2435))</f>
        <v>0.194241137593203</v>
      </c>
      <c r="Z2435" s="21" t="n">
        <f aca="false">P2435</f>
        <v>-0.265245996252938</v>
      </c>
      <c r="AA2435" s="3" t="n">
        <f aca="false">R2435</f>
        <v>0</v>
      </c>
      <c r="AB2435" s="21" t="n">
        <f aca="false">P2435</f>
        <v>-0.265245996252938</v>
      </c>
      <c r="AC2435" s="3" t="n">
        <f aca="false">Y2435</f>
        <v>0.194241137593203</v>
      </c>
      <c r="AD2435" s="3" t="n">
        <f aca="false">R2435</f>
        <v>0</v>
      </c>
    </row>
    <row r="2436" customFormat="false" ht="15" hidden="false" customHeight="true" outlineLevel="0" collapsed="false">
      <c r="A2436" s="7" t="s">
        <v>71</v>
      </c>
      <c r="B2436" s="7" t="n">
        <v>2017</v>
      </c>
      <c r="C2436" s="7" t="s">
        <v>148</v>
      </c>
      <c r="D2436" s="7" t="n">
        <v>80</v>
      </c>
      <c r="E2436" s="7" t="n">
        <v>82</v>
      </c>
      <c r="F2436" s="3" t="n">
        <f aca="false">COUNTIFS($B$2:$B$2705,B2436,$C$2:$C$2705,C2436)</f>
        <v>2</v>
      </c>
      <c r="G2436" s="3" t="n">
        <f aca="false">MIN(INT((MIN(B2436,2020)-1900)/10)+1,12)</f>
        <v>12</v>
      </c>
      <c r="H2436" s="3" t="n">
        <f aca="false">(MIN(B2436,2020)-1900-10*(G2436-1))/10</f>
        <v>0.7</v>
      </c>
      <c r="I2436" s="20" t="n">
        <f aca="false">EXP(LN(INDEX(Pop_Inputs!$B$2:$N$29,MATCH(C2436,Pop_Inputs!$A$2:$A$29,0),G2436))*(1-H2436)+LN(INDEX(Pop_Inputs!$B$2:$N$29,MATCH(C2436,Pop_Inputs!$A$2:$A$29,0),G2436+1))*H2436)</f>
        <v>3866601.10874571</v>
      </c>
      <c r="J2436" s="20" t="n">
        <f aca="false">I2436/F2436</f>
        <v>1933300.55437286</v>
      </c>
      <c r="K2436" s="21" t="n">
        <f aca="false">D2436/(D2436+E2436)</f>
        <v>0.493827160493827</v>
      </c>
      <c r="L2436" s="21" t="n">
        <f aca="false">AVERAGEIFS($K$2:$K$2705,$B$2:$B$2705,B2436)</f>
        <v>0.5</v>
      </c>
      <c r="M2436" s="21" t="n">
        <f aca="false">K2436-L2436</f>
        <v>-0.00617283950617287</v>
      </c>
      <c r="N2436" s="21" t="n">
        <f aca="false">LN(J2436)</f>
        <v>14.4747392320701</v>
      </c>
      <c r="O2436" s="21" t="n">
        <f aca="false">AVERAGEIFS($N$2:$N$2705,$B$2:$B$2705,B2436)</f>
        <v>13.6606599023007</v>
      </c>
      <c r="P2436" s="21" t="n">
        <f aca="false">N2436-O2436</f>
        <v>0.814079329769328</v>
      </c>
      <c r="Q2436" s="7" t="n">
        <v>1</v>
      </c>
      <c r="R2436" s="3" t="n">
        <f aca="false">IF(AND(Q2436=1,B2436-_xlfn.MINIFS($B$2:$B$2705,$A$2:$A$2705,A2436)&lt;10),1,0)</f>
        <v>0</v>
      </c>
      <c r="S2436" s="7" t="n">
        <v>0</v>
      </c>
      <c r="T2436" s="3" t="n">
        <f aca="false">_xlfn.MINIFS($B$2:$B$2705,$A$2:$A$2705,A2436)</f>
        <v>1961</v>
      </c>
      <c r="U2436" s="3" t="n">
        <f aca="false">B2436-T2436</f>
        <v>56</v>
      </c>
      <c r="V2436" s="3" t="str">
        <f aca="false">INDEX(Pop_Inputs!$Q$2:$Q$29,MATCH(C2436,Pop_Inputs!$A$2:$A$29,0))</f>
        <v>West</v>
      </c>
      <c r="W2436" s="29" t="n">
        <v>160375333</v>
      </c>
      <c r="X2436" s="3" t="n">
        <f aca="false">IF(W2436="","",LN(W2436))</f>
        <v>18.8930274572814</v>
      </c>
      <c r="Y2436" s="3" t="n">
        <f aca="false">IF(X2436="","",X2436-AVERAGEIFS($X$2:$X$2705,$B$2:$B$2705,B2436))</f>
        <v>0.207477726994096</v>
      </c>
      <c r="Z2436" s="21" t="n">
        <f aca="false">P2436</f>
        <v>0.814079329769328</v>
      </c>
      <c r="AA2436" s="3" t="n">
        <f aca="false">R2436</f>
        <v>0</v>
      </c>
      <c r="AB2436" s="21" t="n">
        <f aca="false">P2436</f>
        <v>0.814079329769328</v>
      </c>
      <c r="AC2436" s="3" t="n">
        <f aca="false">Y2436</f>
        <v>0.207477726994096</v>
      </c>
      <c r="AD2436" s="3" t="n">
        <f aca="false">R2436</f>
        <v>0</v>
      </c>
    </row>
    <row r="2437" customFormat="false" ht="15" hidden="false" customHeight="true" outlineLevel="0" collapsed="false">
      <c r="A2437" s="7" t="s">
        <v>84</v>
      </c>
      <c r="B2437" s="7" t="n">
        <v>2017</v>
      </c>
      <c r="C2437" s="7" t="s">
        <v>165</v>
      </c>
      <c r="D2437" s="7" t="n">
        <v>93</v>
      </c>
      <c r="E2437" s="7" t="n">
        <v>69</v>
      </c>
      <c r="F2437" s="3" t="n">
        <f aca="false">COUNTIFS($B$2:$B$2705,B2437,$C$2:$C$2705,C2437)</f>
        <v>1</v>
      </c>
      <c r="G2437" s="3" t="n">
        <f aca="false">MIN(INT((MIN(B2437,2020)-1900)/10)+1,12)</f>
        <v>12</v>
      </c>
      <c r="H2437" s="3" t="n">
        <f aca="false">(MIN(B2437,2020)-1900-10*(G2437-1))/10</f>
        <v>0.7</v>
      </c>
      <c r="I2437" s="20" t="n">
        <f aca="false">EXP(LN(INDEX(Pop_Inputs!$B$2:$N$29,MATCH(C2437,Pop_Inputs!$A$2:$A$29,0),G2437))*(1-H2437)+LN(INDEX(Pop_Inputs!$B$2:$N$29,MATCH(C2437,Pop_Inputs!$A$2:$A$29,0),G2437+1))*H2437)</f>
        <v>1557556.59129817</v>
      </c>
      <c r="J2437" s="20" t="n">
        <f aca="false">I2437/F2437</f>
        <v>1557556.59129817</v>
      </c>
      <c r="K2437" s="21" t="n">
        <f aca="false">D2437/(D2437+E2437)</f>
        <v>0.574074074074074</v>
      </c>
      <c r="L2437" s="21" t="n">
        <f aca="false">AVERAGEIFS($K$2:$K$2705,$B$2:$B$2705,B2437)</f>
        <v>0.5</v>
      </c>
      <c r="M2437" s="21" t="n">
        <f aca="false">K2437-L2437</f>
        <v>0.0740740740740741</v>
      </c>
      <c r="N2437" s="21" t="n">
        <f aca="false">LN(J2437)</f>
        <v>14.2586288636855</v>
      </c>
      <c r="O2437" s="21" t="n">
        <f aca="false">AVERAGEIFS($N$2:$N$2705,$B$2:$B$2705,B2437)</f>
        <v>13.6606599023007</v>
      </c>
      <c r="P2437" s="21" t="n">
        <f aca="false">N2437-O2437</f>
        <v>0.597968961384781</v>
      </c>
      <c r="Q2437" s="7" t="n">
        <v>1</v>
      </c>
      <c r="R2437" s="3" t="n">
        <f aca="false">IF(AND(Q2437=1,B2437-_xlfn.MINIFS($B$2:$B$2705,$A$2:$A$2705,A2437)&lt;10),1,0)</f>
        <v>0</v>
      </c>
      <c r="S2437" s="7" t="n">
        <v>0</v>
      </c>
      <c r="T2437" s="3" t="n">
        <f aca="false">_xlfn.MINIFS($B$2:$B$2705,$A$2:$A$2705,A2437)</f>
        <v>1998</v>
      </c>
      <c r="U2437" s="3" t="n">
        <f aca="false">B2437-T2437</f>
        <v>19</v>
      </c>
      <c r="V2437" s="3" t="str">
        <f aca="false">INDEX(Pop_Inputs!$Q$2:$Q$29,MATCH(C2437,Pop_Inputs!$A$2:$A$29,0))</f>
        <v>West</v>
      </c>
      <c r="W2437" s="29" t="n">
        <v>93257600</v>
      </c>
      <c r="X2437" s="3" t="n">
        <f aca="false">IF(W2437="","",LN(W2437))</f>
        <v>18.3508761145076</v>
      </c>
      <c r="Y2437" s="3" t="n">
        <f aca="false">IF(X2437="","",X2437-AVERAGEIFS($X$2:$X$2705,$B$2:$B$2705,B2437))</f>
        <v>-0.334673615779671</v>
      </c>
      <c r="Z2437" s="21" t="n">
        <f aca="false">P2437</f>
        <v>0.597968961384781</v>
      </c>
      <c r="AA2437" s="3" t="n">
        <f aca="false">R2437</f>
        <v>0</v>
      </c>
      <c r="AB2437" s="21" t="n">
        <f aca="false">P2437</f>
        <v>0.597968961384781</v>
      </c>
      <c r="AC2437" s="3" t="n">
        <f aca="false">Y2437</f>
        <v>-0.334673615779671</v>
      </c>
      <c r="AD2437" s="3" t="n">
        <f aca="false">R2437</f>
        <v>0</v>
      </c>
    </row>
    <row r="2438" customFormat="false" ht="15" hidden="false" customHeight="true" outlineLevel="0" collapsed="false">
      <c r="A2438" s="7" t="s">
        <v>54</v>
      </c>
      <c r="B2438" s="7" t="n">
        <v>2017</v>
      </c>
      <c r="C2438" s="7" t="s">
        <v>141</v>
      </c>
      <c r="D2438" s="7" t="n">
        <v>72</v>
      </c>
      <c r="E2438" s="7" t="n">
        <v>90</v>
      </c>
      <c r="F2438" s="3" t="n">
        <f aca="false">COUNTIFS($B$2:$B$2705,B2438,$C$2:$C$2705,C2438)</f>
        <v>1</v>
      </c>
      <c r="G2438" s="3" t="n">
        <f aca="false">MIN(INT((MIN(B2438,2020)-1900)/10)+1,12)</f>
        <v>12</v>
      </c>
      <c r="H2438" s="3" t="n">
        <f aca="false">(MIN(B2438,2020)-1900-10*(G2438-1))/10</f>
        <v>0.7</v>
      </c>
      <c r="I2438" s="20" t="n">
        <f aca="false">EXP(LN(INDEX(Pop_Inputs!$B$2:$N$29,MATCH(C2438,Pop_Inputs!$A$2:$A$29,0),G2438))*(1-H2438)+LN(INDEX(Pop_Inputs!$B$2:$N$29,MATCH(C2438,Pop_Inputs!$A$2:$A$29,0),G2438+1))*H2438)</f>
        <v>473666.226164388</v>
      </c>
      <c r="J2438" s="20" t="n">
        <f aca="false">I2438/F2438</f>
        <v>473666.226164388</v>
      </c>
      <c r="K2438" s="21" t="n">
        <f aca="false">D2438/(D2438+E2438)</f>
        <v>0.444444444444444</v>
      </c>
      <c r="L2438" s="21" t="n">
        <f aca="false">AVERAGEIFS($K$2:$K$2705,$B$2:$B$2705,B2438)</f>
        <v>0.5</v>
      </c>
      <c r="M2438" s="21" t="n">
        <f aca="false">K2438-L2438</f>
        <v>-0.0555555555555556</v>
      </c>
      <c r="N2438" s="21" t="n">
        <f aca="false">LN(J2438)</f>
        <v>13.068258188427</v>
      </c>
      <c r="O2438" s="21" t="n">
        <f aca="false">AVERAGEIFS($N$2:$N$2705,$B$2:$B$2705,B2438)</f>
        <v>13.6606599023007</v>
      </c>
      <c r="P2438" s="21" t="n">
        <f aca="false">N2438-O2438</f>
        <v>-0.592401713873752</v>
      </c>
      <c r="Q2438" s="7" t="n">
        <v>0</v>
      </c>
      <c r="R2438" s="3" t="n">
        <f aca="false">IF(AND(Q2438=1,B2438-_xlfn.MINIFS($B$2:$B$2705,$A$2:$A$2705,A2438)&lt;10),1,0)</f>
        <v>0</v>
      </c>
      <c r="S2438" s="7" t="n">
        <v>0</v>
      </c>
      <c r="T2438" s="3" t="n">
        <f aca="false">_xlfn.MINIFS($B$2:$B$2705,$A$2:$A$2705,A2438)</f>
        <v>1901</v>
      </c>
      <c r="U2438" s="3" t="n">
        <f aca="false">B2438-T2438</f>
        <v>116</v>
      </c>
      <c r="V2438" s="3" t="str">
        <f aca="false">INDEX(Pop_Inputs!$Q$2:$Q$29,MATCH(C2438,Pop_Inputs!$A$2:$A$29,0))</f>
        <v>South</v>
      </c>
      <c r="W2438" s="29" t="n">
        <v>112437541</v>
      </c>
      <c r="X2438" s="3" t="n">
        <f aca="false">IF(W2438="","",LN(W2438))</f>
        <v>18.537908434322</v>
      </c>
      <c r="Y2438" s="3" t="n">
        <f aca="false">IF(X2438="","",X2438-AVERAGEIFS($X$2:$X$2705,$B$2:$B$2705,B2438))</f>
        <v>-0.147641295965315</v>
      </c>
      <c r="Z2438" s="21" t="n">
        <f aca="false">P2438</f>
        <v>-0.592401713873752</v>
      </c>
      <c r="AA2438" s="3" t="n">
        <f aca="false">R2438</f>
        <v>0</v>
      </c>
      <c r="AB2438" s="21" t="n">
        <f aca="false">P2438</f>
        <v>-0.592401713873752</v>
      </c>
      <c r="AC2438" s="3" t="n">
        <f aca="false">Y2438</f>
        <v>-0.147641295965315</v>
      </c>
      <c r="AD2438" s="3" t="n">
        <f aca="false">R2438</f>
        <v>0</v>
      </c>
    </row>
    <row r="2439" customFormat="false" ht="15" hidden="false" customHeight="true" outlineLevel="0" collapsed="false">
      <c r="A2439" s="7" t="s">
        <v>63</v>
      </c>
      <c r="B2439" s="7" t="n">
        <v>2017</v>
      </c>
      <c r="C2439" s="7" t="s">
        <v>149</v>
      </c>
      <c r="D2439" s="7" t="n">
        <v>75</v>
      </c>
      <c r="E2439" s="7" t="n">
        <v>87</v>
      </c>
      <c r="F2439" s="3" t="n">
        <f aca="false">COUNTIFS($B$2:$B$2705,B2439,$C$2:$C$2705,C2439)</f>
        <v>1</v>
      </c>
      <c r="G2439" s="3" t="n">
        <f aca="false">MIN(INT((MIN(B2439,2020)-1900)/10)+1,12)</f>
        <v>12</v>
      </c>
      <c r="H2439" s="3" t="n">
        <f aca="false">(MIN(B2439,2020)-1900-10*(G2439-1))/10</f>
        <v>0.7</v>
      </c>
      <c r="I2439" s="20" t="n">
        <f aca="false">EXP(LN(INDEX(Pop_Inputs!$B$2:$N$29,MATCH(C2439,Pop_Inputs!$A$2:$A$29,0),G2439))*(1-H2439)+LN(INDEX(Pop_Inputs!$B$2:$N$29,MATCH(C2439,Pop_Inputs!$A$2:$A$29,0),G2439+1))*H2439)</f>
        <v>596068.410811616</v>
      </c>
      <c r="J2439" s="20" t="n">
        <f aca="false">I2439/F2439</f>
        <v>596068.410811616</v>
      </c>
      <c r="K2439" s="21" t="n">
        <f aca="false">D2439/(D2439+E2439)</f>
        <v>0.462962962962963</v>
      </c>
      <c r="L2439" s="21" t="n">
        <f aca="false">AVERAGEIFS($K$2:$K$2705,$B$2:$B$2705,B2439)</f>
        <v>0.5</v>
      </c>
      <c r="M2439" s="21" t="n">
        <f aca="false">K2439-L2439</f>
        <v>-0.037037037037037</v>
      </c>
      <c r="N2439" s="21" t="n">
        <f aca="false">LN(J2439)</f>
        <v>13.2981107227014</v>
      </c>
      <c r="O2439" s="21" t="n">
        <f aca="false">AVERAGEIFS($N$2:$N$2705,$B$2:$B$2705,B2439)</f>
        <v>13.6606599023007</v>
      </c>
      <c r="P2439" s="21" t="n">
        <f aca="false">N2439-O2439</f>
        <v>-0.362549179599387</v>
      </c>
      <c r="Q2439" s="7" t="n">
        <v>0</v>
      </c>
      <c r="R2439" s="3" t="n">
        <f aca="false">IF(AND(Q2439=1,B2439-_xlfn.MINIFS($B$2:$B$2705,$A$2:$A$2705,A2439)&lt;10),1,0)</f>
        <v>0</v>
      </c>
      <c r="S2439" s="7" t="n">
        <v>0</v>
      </c>
      <c r="T2439" s="3" t="n">
        <f aca="false">_xlfn.MINIFS($B$2:$B$2705,$A$2:$A$2705,A2439)</f>
        <v>1901</v>
      </c>
      <c r="U2439" s="3" t="n">
        <f aca="false">B2439-T2439</f>
        <v>116</v>
      </c>
      <c r="V2439" s="3" t="str">
        <f aca="false">INDEX(Pop_Inputs!$Q$2:$Q$29,MATCH(C2439,Pop_Inputs!$A$2:$A$29,0))</f>
        <v>South</v>
      </c>
      <c r="W2439" s="29" t="n">
        <v>163676616</v>
      </c>
      <c r="X2439" s="3" t="n">
        <f aca="false">IF(W2439="","",LN(W2439))</f>
        <v>18.9134031854671</v>
      </c>
      <c r="Y2439" s="3" t="n">
        <f aca="false">IF(X2439="","",X2439-AVERAGEIFS($X$2:$X$2705,$B$2:$B$2705,B2439))</f>
        <v>0.227853455179769</v>
      </c>
      <c r="Z2439" s="21" t="n">
        <f aca="false">P2439</f>
        <v>-0.362549179599387</v>
      </c>
      <c r="AA2439" s="3" t="n">
        <f aca="false">R2439</f>
        <v>0</v>
      </c>
      <c r="AB2439" s="21" t="n">
        <f aca="false">P2439</f>
        <v>-0.362549179599387</v>
      </c>
      <c r="AC2439" s="3" t="n">
        <f aca="false">Y2439</f>
        <v>0.227853455179769</v>
      </c>
      <c r="AD2439" s="3" t="n">
        <f aca="false">R2439</f>
        <v>0</v>
      </c>
    </row>
    <row r="2440" customFormat="false" ht="15" hidden="false" customHeight="true" outlineLevel="0" collapsed="false">
      <c r="A2440" s="7" t="s">
        <v>64</v>
      </c>
      <c r="B2440" s="7" t="n">
        <v>2017</v>
      </c>
      <c r="C2440" s="7" t="s">
        <v>150</v>
      </c>
      <c r="D2440" s="7" t="n">
        <v>93</v>
      </c>
      <c r="E2440" s="7" t="n">
        <v>69</v>
      </c>
      <c r="F2440" s="3" t="n">
        <f aca="false">COUNTIFS($B$2:$B$2705,B2440,$C$2:$C$2705,C2440)</f>
        <v>1</v>
      </c>
      <c r="G2440" s="3" t="n">
        <f aca="false">MIN(INT((MIN(B2440,2020)-1900)/10)+1,12)</f>
        <v>12</v>
      </c>
      <c r="H2440" s="3" t="n">
        <f aca="false">(MIN(B2440,2020)-1900-10*(G2440-1))/10</f>
        <v>0.7</v>
      </c>
      <c r="I2440" s="20" t="n">
        <f aca="false">EXP(LN(INDEX(Pop_Inputs!$B$2:$N$29,MATCH(C2440,Pop_Inputs!$A$2:$A$29,0),G2440))*(1-H2440)+LN(INDEX(Pop_Inputs!$B$2:$N$29,MATCH(C2440,Pop_Inputs!$A$2:$A$29,0),G2440+1))*H2440)</f>
        <v>657680.275871314</v>
      </c>
      <c r="J2440" s="20" t="n">
        <f aca="false">I2440/F2440</f>
        <v>657680.275871314</v>
      </c>
      <c r="K2440" s="21" t="n">
        <f aca="false">D2440/(D2440+E2440)</f>
        <v>0.574074074074074</v>
      </c>
      <c r="L2440" s="21" t="n">
        <f aca="false">AVERAGEIFS($K$2:$K$2705,$B$2:$B$2705,B2440)</f>
        <v>0.5</v>
      </c>
      <c r="M2440" s="21" t="n">
        <f aca="false">K2440-L2440</f>
        <v>0.0740740740740741</v>
      </c>
      <c r="N2440" s="21" t="n">
        <f aca="false">LN(J2440)</f>
        <v>13.3964741892872</v>
      </c>
      <c r="O2440" s="21" t="n">
        <f aca="false">AVERAGEIFS($N$2:$N$2705,$B$2:$B$2705,B2440)</f>
        <v>13.6606599023007</v>
      </c>
      <c r="P2440" s="21" t="n">
        <f aca="false">N2440-O2440</f>
        <v>-0.264185713013513</v>
      </c>
      <c r="Q2440" s="7" t="n">
        <v>0</v>
      </c>
      <c r="R2440" s="3" t="n">
        <f aca="false">IF(AND(Q2440=1,B2440-_xlfn.MINIFS($B$2:$B$2705,$A$2:$A$2705,A2440)&lt;10),1,0)</f>
        <v>0</v>
      </c>
      <c r="S2440" s="7" t="n">
        <v>0</v>
      </c>
      <c r="T2440" s="3" t="n">
        <f aca="false">_xlfn.MINIFS($B$2:$B$2705,$A$2:$A$2705,A2440)</f>
        <v>1901</v>
      </c>
      <c r="U2440" s="3" t="n">
        <f aca="false">B2440-T2440</f>
        <v>116</v>
      </c>
      <c r="V2440" s="3" t="str">
        <f aca="false">INDEX(Pop_Inputs!$Q$2:$Q$29,MATCH(C2440,Pop_Inputs!$A$2:$A$29,0))</f>
        <v>Northeast</v>
      </c>
      <c r="W2440" s="29" t="n">
        <v>199805178</v>
      </c>
      <c r="X2440" s="3" t="n">
        <f aca="false">IF(W2440="","",LN(W2440))</f>
        <v>19.1128533397588</v>
      </c>
      <c r="Y2440" s="3" t="n">
        <f aca="false">IF(X2440="","",X2440-AVERAGEIFS($X$2:$X$2705,$B$2:$B$2705,B2440))</f>
        <v>0.427303609471533</v>
      </c>
      <c r="Z2440" s="21" t="n">
        <f aca="false">P2440</f>
        <v>-0.264185713013513</v>
      </c>
      <c r="AA2440" s="3" t="n">
        <f aca="false">R2440</f>
        <v>0</v>
      </c>
      <c r="AB2440" s="21" t="n">
        <f aca="false">P2440</f>
        <v>-0.264185713013513</v>
      </c>
      <c r="AC2440" s="3" t="n">
        <f aca="false">Y2440</f>
        <v>0.427303609471533</v>
      </c>
      <c r="AD2440" s="3" t="n">
        <f aca="false">R2440</f>
        <v>0</v>
      </c>
    </row>
    <row r="2441" customFormat="false" ht="15" hidden="false" customHeight="true" outlineLevel="0" collapsed="false">
      <c r="A2441" s="7" t="s">
        <v>56</v>
      </c>
      <c r="B2441" s="7" t="n">
        <v>2017</v>
      </c>
      <c r="C2441" s="7" t="s">
        <v>142</v>
      </c>
      <c r="D2441" s="7" t="n">
        <v>92</v>
      </c>
      <c r="E2441" s="7" t="n">
        <v>70</v>
      </c>
      <c r="F2441" s="3" t="n">
        <f aca="false">COUNTIFS($B$2:$B$2705,B2441,$C$2:$C$2705,C2441)</f>
        <v>2</v>
      </c>
      <c r="G2441" s="3" t="n">
        <f aca="false">MIN(INT((MIN(B2441,2020)-1900)/10)+1,12)</f>
        <v>12</v>
      </c>
      <c r="H2441" s="3" t="n">
        <f aca="false">(MIN(B2441,2020)-1900-10*(G2441-1))/10</f>
        <v>0.7</v>
      </c>
      <c r="I2441" s="20" t="n">
        <f aca="false">EXP(LN(INDEX(Pop_Inputs!$B$2:$N$29,MATCH(C2441,Pop_Inputs!$A$2:$A$29,0),G2441))*(1-H2441)+LN(INDEX(Pop_Inputs!$B$2:$N$29,MATCH(C2441,Pop_Inputs!$A$2:$A$29,0),G2441+1))*H2441)</f>
        <v>2731051.32910099</v>
      </c>
      <c r="J2441" s="20" t="n">
        <f aca="false">I2441/F2441</f>
        <v>1365525.66455049</v>
      </c>
      <c r="K2441" s="21" t="n">
        <f aca="false">D2441/(D2441+E2441)</f>
        <v>0.567901234567901</v>
      </c>
      <c r="L2441" s="21" t="n">
        <f aca="false">AVERAGEIFS($K$2:$K$2705,$B$2:$B$2705,B2441)</f>
        <v>0.5</v>
      </c>
      <c r="M2441" s="21" t="n">
        <f aca="false">K2441-L2441</f>
        <v>0.0679012345679012</v>
      </c>
      <c r="N2441" s="21" t="n">
        <f aca="false">LN(J2441)</f>
        <v>14.1270500147032</v>
      </c>
      <c r="O2441" s="21" t="n">
        <f aca="false">AVERAGEIFS($N$2:$N$2705,$B$2:$B$2705,B2441)</f>
        <v>13.6606599023007</v>
      </c>
      <c r="P2441" s="21" t="n">
        <f aca="false">N2441-O2441</f>
        <v>0.466390112402408</v>
      </c>
      <c r="Q2441" s="7" t="n">
        <v>0</v>
      </c>
      <c r="R2441" s="3" t="n">
        <f aca="false">IF(AND(Q2441=1,B2441-_xlfn.MINIFS($B$2:$B$2705,$A$2:$A$2705,A2441)&lt;10),1,0)</f>
        <v>0</v>
      </c>
      <c r="S2441" s="7" t="n">
        <v>0</v>
      </c>
      <c r="T2441" s="3" t="n">
        <f aca="false">_xlfn.MINIFS($B$2:$B$2705,$A$2:$A$2705,A2441)</f>
        <v>1901</v>
      </c>
      <c r="U2441" s="3" t="n">
        <f aca="false">B2441-T2441</f>
        <v>116</v>
      </c>
      <c r="V2441" s="3" t="str">
        <f aca="false">INDEX(Pop_Inputs!$Q$2:$Q$29,MATCH(C2441,Pop_Inputs!$A$2:$A$29,0))</f>
        <v>Midwest</v>
      </c>
      <c r="W2441" s="29" t="n">
        <v>172189880</v>
      </c>
      <c r="X2441" s="3" t="n">
        <f aca="false">IF(W2441="","",LN(W2441))</f>
        <v>18.9641083793575</v>
      </c>
      <c r="Y2441" s="3" t="n">
        <f aca="false">IF(X2441="","",X2441-AVERAGEIFS($X$2:$X$2705,$B$2:$B$2705,B2441))</f>
        <v>0.278558649070245</v>
      </c>
      <c r="Z2441" s="21" t="n">
        <f aca="false">P2441</f>
        <v>0.466390112402408</v>
      </c>
      <c r="AA2441" s="3" t="n">
        <f aca="false">R2441</f>
        <v>0</v>
      </c>
      <c r="AB2441" s="21" t="n">
        <f aca="false">P2441</f>
        <v>0.466390112402408</v>
      </c>
      <c r="AC2441" s="3" t="n">
        <f aca="false">Y2441</f>
        <v>0.278558649070245</v>
      </c>
      <c r="AD2441" s="3" t="n">
        <f aca="false">R2441</f>
        <v>0</v>
      </c>
    </row>
    <row r="2442" customFormat="false" ht="15" hidden="false" customHeight="true" outlineLevel="0" collapsed="false">
      <c r="A2442" s="7" t="s">
        <v>65</v>
      </c>
      <c r="B2442" s="7" t="n">
        <v>2017</v>
      </c>
      <c r="C2442" s="7" t="s">
        <v>142</v>
      </c>
      <c r="D2442" s="7" t="n">
        <v>67</v>
      </c>
      <c r="E2442" s="7" t="n">
        <v>95</v>
      </c>
      <c r="F2442" s="3" t="n">
        <f aca="false">COUNTIFS($B$2:$B$2705,B2442,$C$2:$C$2705,C2442)</f>
        <v>2</v>
      </c>
      <c r="G2442" s="3" t="n">
        <f aca="false">MIN(INT((MIN(B2442,2020)-1900)/10)+1,12)</f>
        <v>12</v>
      </c>
      <c r="H2442" s="3" t="n">
        <f aca="false">(MIN(B2442,2020)-1900-10*(G2442-1))/10</f>
        <v>0.7</v>
      </c>
      <c r="I2442" s="20" t="n">
        <f aca="false">EXP(LN(INDEX(Pop_Inputs!$B$2:$N$29,MATCH(C2442,Pop_Inputs!$A$2:$A$29,0),G2442))*(1-H2442)+LN(INDEX(Pop_Inputs!$B$2:$N$29,MATCH(C2442,Pop_Inputs!$A$2:$A$29,0),G2442+1))*H2442)</f>
        <v>2731051.32910099</v>
      </c>
      <c r="J2442" s="20" t="n">
        <f aca="false">I2442/F2442</f>
        <v>1365525.66455049</v>
      </c>
      <c r="K2442" s="21" t="n">
        <f aca="false">D2442/(D2442+E2442)</f>
        <v>0.41358024691358</v>
      </c>
      <c r="L2442" s="21" t="n">
        <f aca="false">AVERAGEIFS($K$2:$K$2705,$B$2:$B$2705,B2442)</f>
        <v>0.5</v>
      </c>
      <c r="M2442" s="21" t="n">
        <f aca="false">K2442-L2442</f>
        <v>-0.0864197530864198</v>
      </c>
      <c r="N2442" s="21" t="n">
        <f aca="false">LN(J2442)</f>
        <v>14.1270500147032</v>
      </c>
      <c r="O2442" s="21" t="n">
        <f aca="false">AVERAGEIFS($N$2:$N$2705,$B$2:$B$2705,B2442)</f>
        <v>13.6606599023007</v>
      </c>
      <c r="P2442" s="21" t="n">
        <f aca="false">N2442-O2442</f>
        <v>0.466390112402408</v>
      </c>
      <c r="Q2442" s="7" t="n">
        <v>0</v>
      </c>
      <c r="R2442" s="3" t="n">
        <f aca="false">IF(AND(Q2442=1,B2442-_xlfn.MINIFS($B$2:$B$2705,$A$2:$A$2705,A2442)&lt;10),1,0)</f>
        <v>0</v>
      </c>
      <c r="S2442" s="7" t="n">
        <v>0</v>
      </c>
      <c r="T2442" s="3" t="n">
        <f aca="false">_xlfn.MINIFS($B$2:$B$2705,$A$2:$A$2705,A2442)</f>
        <v>1901</v>
      </c>
      <c r="U2442" s="3" t="n">
        <f aca="false">B2442-T2442</f>
        <v>116</v>
      </c>
      <c r="V2442" s="3" t="str">
        <f aca="false">INDEX(Pop_Inputs!$Q$2:$Q$29,MATCH(C2442,Pop_Inputs!$A$2:$A$29,0))</f>
        <v>Midwest</v>
      </c>
      <c r="W2442" s="29" t="n">
        <v>99096770</v>
      </c>
      <c r="X2442" s="3" t="n">
        <f aca="false">IF(W2442="","",LN(W2442))</f>
        <v>18.411607405429</v>
      </c>
      <c r="Y2442" s="3" t="n">
        <f aca="false">IF(X2442="","",X2442-AVERAGEIFS($X$2:$X$2705,$B$2:$B$2705,B2442))</f>
        <v>-0.273942324858318</v>
      </c>
      <c r="Z2442" s="21" t="n">
        <f aca="false">P2442</f>
        <v>0.466390112402408</v>
      </c>
      <c r="AA2442" s="3" t="n">
        <f aca="false">R2442</f>
        <v>0</v>
      </c>
      <c r="AB2442" s="21" t="n">
        <f aca="false">P2442</f>
        <v>0.466390112402408</v>
      </c>
      <c r="AC2442" s="3" t="n">
        <f aca="false">Y2442</f>
        <v>-0.273942324858318</v>
      </c>
      <c r="AD2442" s="3" t="n">
        <f aca="false">R2442</f>
        <v>0</v>
      </c>
    </row>
    <row r="2443" customFormat="false" ht="15" hidden="false" customHeight="true" outlineLevel="0" collapsed="false">
      <c r="A2443" s="7" t="s">
        <v>57</v>
      </c>
      <c r="B2443" s="7" t="n">
        <v>2017</v>
      </c>
      <c r="C2443" s="7" t="s">
        <v>143</v>
      </c>
      <c r="D2443" s="7" t="n">
        <v>68</v>
      </c>
      <c r="E2443" s="7" t="n">
        <v>94</v>
      </c>
      <c r="F2443" s="3" t="n">
        <f aca="false">COUNTIFS($B$2:$B$2705,B2443,$C$2:$C$2705,C2443)</f>
        <v>1</v>
      </c>
      <c r="G2443" s="3" t="n">
        <f aca="false">MIN(INT((MIN(B2443,2020)-1900)/10)+1,12)</f>
        <v>12</v>
      </c>
      <c r="H2443" s="3" t="n">
        <f aca="false">(MIN(B2443,2020)-1900-10*(G2443-1))/10</f>
        <v>0.7</v>
      </c>
      <c r="I2443" s="20" t="n">
        <f aca="false">EXP(LN(INDEX(Pop_Inputs!$B$2:$N$29,MATCH(C2443,Pop_Inputs!$A$2:$A$29,0),G2443))*(1-H2443)+LN(INDEX(Pop_Inputs!$B$2:$N$29,MATCH(C2443,Pop_Inputs!$A$2:$A$29,0),G2443+1))*H2443)</f>
        <v>305551.612610556</v>
      </c>
      <c r="J2443" s="20" t="n">
        <f aca="false">I2443/F2443</f>
        <v>305551.612610556</v>
      </c>
      <c r="K2443" s="21" t="n">
        <f aca="false">D2443/(D2443+E2443)</f>
        <v>0.419753086419753</v>
      </c>
      <c r="L2443" s="21" t="n">
        <f aca="false">AVERAGEIFS($K$2:$K$2705,$B$2:$B$2705,B2443)</f>
        <v>0.5</v>
      </c>
      <c r="M2443" s="21" t="n">
        <f aca="false">K2443-L2443</f>
        <v>-0.0802469135802469</v>
      </c>
      <c r="N2443" s="21" t="n">
        <f aca="false">LN(J2443)</f>
        <v>12.6298739880396</v>
      </c>
      <c r="O2443" s="21" t="n">
        <f aca="false">AVERAGEIFS($N$2:$N$2705,$B$2:$B$2705,B2443)</f>
        <v>13.6606599023007</v>
      </c>
      <c r="P2443" s="21" t="n">
        <f aca="false">N2443-O2443</f>
        <v>-1.03078591426111</v>
      </c>
      <c r="Q2443" s="7" t="n">
        <v>0</v>
      </c>
      <c r="R2443" s="3" t="n">
        <f aca="false">IF(AND(Q2443=1,B2443-_xlfn.MINIFS($B$2:$B$2705,$A$2:$A$2705,A2443)&lt;10),1,0)</f>
        <v>0</v>
      </c>
      <c r="S2443" s="7" t="n">
        <v>0</v>
      </c>
      <c r="T2443" s="3" t="n">
        <f aca="false">_xlfn.MINIFS($B$2:$B$2705,$A$2:$A$2705,A2443)</f>
        <v>1901</v>
      </c>
      <c r="U2443" s="3" t="n">
        <f aca="false">B2443-T2443</f>
        <v>116</v>
      </c>
      <c r="V2443" s="3" t="str">
        <f aca="false">INDEX(Pop_Inputs!$Q$2:$Q$29,MATCH(C2443,Pop_Inputs!$A$2:$A$29,0))</f>
        <v>Midwest</v>
      </c>
      <c r="W2443" s="29" t="n">
        <v>93768785</v>
      </c>
      <c r="X2443" s="3" t="n">
        <f aca="false">IF(W2443="","",LN(W2443))</f>
        <v>18.3563425760761</v>
      </c>
      <c r="Y2443" s="3" t="n">
        <f aca="false">IF(X2443="","",X2443-AVERAGEIFS($X$2:$X$2705,$B$2:$B$2705,B2443))</f>
        <v>-0.329207154211225</v>
      </c>
      <c r="Z2443" s="21" t="n">
        <f aca="false">P2443</f>
        <v>-1.03078591426111</v>
      </c>
      <c r="AA2443" s="3" t="n">
        <f aca="false">R2443</f>
        <v>0</v>
      </c>
      <c r="AB2443" s="21" t="n">
        <f aca="false">P2443</f>
        <v>-1.03078591426111</v>
      </c>
      <c r="AC2443" s="3" t="n">
        <f aca="false">Y2443</f>
        <v>-0.329207154211225</v>
      </c>
      <c r="AD2443" s="3" t="n">
        <f aca="false">R2443</f>
        <v>0</v>
      </c>
    </row>
    <row r="2444" customFormat="false" ht="15" hidden="false" customHeight="true" outlineLevel="0" collapsed="false">
      <c r="A2444" s="7" t="s">
        <v>66</v>
      </c>
      <c r="B2444" s="7" t="n">
        <v>2017</v>
      </c>
      <c r="C2444" s="7" t="s">
        <v>151</v>
      </c>
      <c r="D2444" s="7" t="n">
        <v>102</v>
      </c>
      <c r="E2444" s="7" t="n">
        <v>60</v>
      </c>
      <c r="F2444" s="3" t="n">
        <f aca="false">COUNTIFS($B$2:$B$2705,B2444,$C$2:$C$2705,C2444)</f>
        <v>1</v>
      </c>
      <c r="G2444" s="3" t="n">
        <f aca="false">MIN(INT((MIN(B2444,2020)-1900)/10)+1,12)</f>
        <v>12</v>
      </c>
      <c r="H2444" s="3" t="n">
        <f aca="false">(MIN(B2444,2020)-1900-10*(G2444-1))/10</f>
        <v>0.7</v>
      </c>
      <c r="I2444" s="20" t="n">
        <f aca="false">EXP(LN(INDEX(Pop_Inputs!$B$2:$N$29,MATCH(C2444,Pop_Inputs!$A$2:$A$29,0),G2444))*(1-H2444)+LN(INDEX(Pop_Inputs!$B$2:$N$29,MATCH(C2444,Pop_Inputs!$A$2:$A$29,0),G2444+1))*H2444)</f>
        <v>379722.210718459</v>
      </c>
      <c r="J2444" s="20" t="n">
        <f aca="false">I2444/F2444</f>
        <v>379722.210718459</v>
      </c>
      <c r="K2444" s="21" t="n">
        <f aca="false">D2444/(D2444+E2444)</f>
        <v>0.62962962962963</v>
      </c>
      <c r="L2444" s="21" t="n">
        <f aca="false">AVERAGEIFS($K$2:$K$2705,$B$2:$B$2705,B2444)</f>
        <v>0.5</v>
      </c>
      <c r="M2444" s="21" t="n">
        <f aca="false">K2444-L2444</f>
        <v>0.12962962962963</v>
      </c>
      <c r="N2444" s="21" t="n">
        <f aca="false">LN(J2444)</f>
        <v>12.8471952399488</v>
      </c>
      <c r="O2444" s="21" t="n">
        <f aca="false">AVERAGEIFS($N$2:$N$2705,$B$2:$B$2705,B2444)</f>
        <v>13.6606599023007</v>
      </c>
      <c r="P2444" s="21" t="n">
        <f aca="false">N2444-O2444</f>
        <v>-0.813464662351935</v>
      </c>
      <c r="Q2444" s="7" t="n">
        <v>0</v>
      </c>
      <c r="R2444" s="3" t="n">
        <f aca="false">IF(AND(Q2444=1,B2444-_xlfn.MINIFS($B$2:$B$2705,$A$2:$A$2705,A2444)&lt;10),1,0)</f>
        <v>0</v>
      </c>
      <c r="S2444" s="7" t="n">
        <v>0</v>
      </c>
      <c r="T2444" s="3" t="n">
        <f aca="false">_xlfn.MINIFS($B$2:$B$2705,$A$2:$A$2705,A2444)</f>
        <v>1901</v>
      </c>
      <c r="U2444" s="3" t="n">
        <f aca="false">B2444-T2444</f>
        <v>116</v>
      </c>
      <c r="V2444" s="3" t="str">
        <f aca="false">INDEX(Pop_Inputs!$Q$2:$Q$29,MATCH(C2444,Pop_Inputs!$A$2:$A$29,0))</f>
        <v>Midwest</v>
      </c>
      <c r="W2444" s="29" t="n">
        <v>124861165</v>
      </c>
      <c r="X2444" s="3" t="n">
        <f aca="false">IF(W2444="","",LN(W2444))</f>
        <v>18.6427129980045</v>
      </c>
      <c r="Y2444" s="3" t="n">
        <f aca="false">IF(X2444="","",X2444-AVERAGEIFS($X$2:$X$2705,$B$2:$B$2705,B2444))</f>
        <v>-0.0428367322828507</v>
      </c>
      <c r="Z2444" s="21" t="n">
        <f aca="false">P2444</f>
        <v>-0.813464662351935</v>
      </c>
      <c r="AA2444" s="3" t="n">
        <f aca="false">R2444</f>
        <v>0</v>
      </c>
      <c r="AB2444" s="21" t="n">
        <f aca="false">P2444</f>
        <v>-0.813464662351935</v>
      </c>
      <c r="AC2444" s="3" t="n">
        <f aca="false">Y2444</f>
        <v>-0.0428367322828507</v>
      </c>
      <c r="AD2444" s="3" t="n">
        <f aca="false">R2444</f>
        <v>0</v>
      </c>
    </row>
    <row r="2445" customFormat="false" ht="15" hidden="false" customHeight="true" outlineLevel="0" collapsed="false">
      <c r="A2445" s="7" t="s">
        <v>82</v>
      </c>
      <c r="B2445" s="7" t="n">
        <v>2017</v>
      </c>
      <c r="C2445" s="7" t="s">
        <v>163</v>
      </c>
      <c r="D2445" s="7" t="n">
        <v>87</v>
      </c>
      <c r="E2445" s="7" t="n">
        <v>75</v>
      </c>
      <c r="F2445" s="3" t="n">
        <f aca="false">COUNTIFS($B$2:$B$2705,B2445,$C$2:$C$2705,C2445)</f>
        <v>1</v>
      </c>
      <c r="G2445" s="3" t="n">
        <f aca="false">MIN(INT((MIN(B2445,2020)-1900)/10)+1,12)</f>
        <v>12</v>
      </c>
      <c r="H2445" s="3" t="n">
        <f aca="false">(MIN(B2445,2020)-1900-10*(G2445-1))/10</f>
        <v>0.7</v>
      </c>
      <c r="I2445" s="20" t="n">
        <f aca="false">EXP(LN(INDEX(Pop_Inputs!$B$2:$N$29,MATCH(C2445,Pop_Inputs!$A$2:$A$29,0),G2445))*(1-H2445)+LN(INDEX(Pop_Inputs!$B$2:$N$29,MATCH(C2445,Pop_Inputs!$A$2:$A$29,0),G2445+1))*H2445)</f>
        <v>678759.269951415</v>
      </c>
      <c r="J2445" s="20" t="n">
        <f aca="false">I2445/F2445</f>
        <v>678759.269951415</v>
      </c>
      <c r="K2445" s="21" t="n">
        <f aca="false">D2445/(D2445+E2445)</f>
        <v>0.537037037037037</v>
      </c>
      <c r="L2445" s="21" t="n">
        <f aca="false">AVERAGEIFS($K$2:$K$2705,$B$2:$B$2705,B2445)</f>
        <v>0.5</v>
      </c>
      <c r="M2445" s="21" t="n">
        <f aca="false">K2445-L2445</f>
        <v>0.0370370370370371</v>
      </c>
      <c r="N2445" s="21" t="n">
        <f aca="false">LN(J2445)</f>
        <v>13.428021807524</v>
      </c>
      <c r="O2445" s="21" t="n">
        <f aca="false">AVERAGEIFS($N$2:$N$2705,$B$2:$B$2705,B2445)</f>
        <v>13.6606599023007</v>
      </c>
      <c r="P2445" s="21" t="n">
        <f aca="false">N2445-O2445</f>
        <v>-0.232638094776744</v>
      </c>
      <c r="Q2445" s="7" t="n">
        <v>1</v>
      </c>
      <c r="R2445" s="3" t="n">
        <f aca="false">IF(AND(Q2445=1,B2445-_xlfn.MINIFS($B$2:$B$2705,$A$2:$A$2705,A2445)&lt;10),1,0)</f>
        <v>0</v>
      </c>
      <c r="S2445" s="7" t="n">
        <v>0</v>
      </c>
      <c r="T2445" s="3" t="n">
        <f aca="false">_xlfn.MINIFS($B$2:$B$2705,$A$2:$A$2705,A2445)</f>
        <v>1993</v>
      </c>
      <c r="U2445" s="3" t="n">
        <f aca="false">B2445-T2445</f>
        <v>24</v>
      </c>
      <c r="V2445" s="3" t="str">
        <f aca="false">INDEX(Pop_Inputs!$Q$2:$Q$29,MATCH(C2445,Pop_Inputs!$A$2:$A$29,0))</f>
        <v>West</v>
      </c>
      <c r="W2445" s="29" t="n">
        <v>130963571</v>
      </c>
      <c r="X2445" s="3" t="n">
        <f aca="false">IF(W2445="","",LN(W2445))</f>
        <v>18.6904297585234</v>
      </c>
      <c r="Y2445" s="3" t="n">
        <f aca="false">IF(X2445="","",X2445-AVERAGEIFS($X$2:$X$2705,$B$2:$B$2705,B2445))</f>
        <v>0.00488002823614409</v>
      </c>
      <c r="Z2445" s="21" t="n">
        <f aca="false">P2445</f>
        <v>-0.232638094776744</v>
      </c>
      <c r="AA2445" s="3" t="n">
        <f aca="false">R2445</f>
        <v>0</v>
      </c>
      <c r="AB2445" s="21" t="n">
        <f aca="false">P2445</f>
        <v>-0.232638094776744</v>
      </c>
      <c r="AC2445" s="3" t="n">
        <f aca="false">Y2445</f>
        <v>0.00488002823614409</v>
      </c>
      <c r="AD2445" s="3" t="n">
        <f aca="false">R2445</f>
        <v>0</v>
      </c>
    </row>
    <row r="2446" customFormat="false" ht="15" hidden="false" customHeight="true" outlineLevel="0" collapsed="false">
      <c r="A2446" s="7" t="s">
        <v>67</v>
      </c>
      <c r="B2446" s="7" t="n">
        <v>2017</v>
      </c>
      <c r="C2446" s="7" t="s">
        <v>152</v>
      </c>
      <c r="D2446" s="7" t="n">
        <v>64</v>
      </c>
      <c r="E2446" s="7" t="n">
        <v>98</v>
      </c>
      <c r="F2446" s="3" t="n">
        <f aca="false">COUNTIFS($B$2:$B$2705,B2446,$C$2:$C$2705,C2446)</f>
        <v>1</v>
      </c>
      <c r="G2446" s="3" t="n">
        <f aca="false">MIN(INT((MIN(B2446,2020)-1900)/10)+1,12)</f>
        <v>12</v>
      </c>
      <c r="H2446" s="3" t="n">
        <f aca="false">(MIN(B2446,2020)-1900-10*(G2446-1))/10</f>
        <v>0.7</v>
      </c>
      <c r="I2446" s="20" t="n">
        <f aca="false">EXP(LN(INDEX(Pop_Inputs!$B$2:$N$29,MATCH(C2446,Pop_Inputs!$A$2:$A$29,0),G2446))*(1-H2446)+LN(INDEX(Pop_Inputs!$B$2:$N$29,MATCH(C2446,Pop_Inputs!$A$2:$A$29,0),G2446+1))*H2446)</f>
        <v>660651.110868076</v>
      </c>
      <c r="J2446" s="20" t="n">
        <f aca="false">I2446/F2446</f>
        <v>660651.110868076</v>
      </c>
      <c r="K2446" s="21" t="n">
        <f aca="false">D2446/(D2446+E2446)</f>
        <v>0.395061728395062</v>
      </c>
      <c r="L2446" s="21" t="n">
        <f aca="false">AVERAGEIFS($K$2:$K$2705,$B$2:$B$2705,B2446)</f>
        <v>0.5</v>
      </c>
      <c r="M2446" s="21" t="n">
        <f aca="false">K2446-L2446</f>
        <v>-0.104938271604938</v>
      </c>
      <c r="N2446" s="21" t="n">
        <f aca="false">LN(J2446)</f>
        <v>13.4009811593184</v>
      </c>
      <c r="O2446" s="21" t="n">
        <f aca="false">AVERAGEIFS($N$2:$N$2705,$B$2:$B$2705,B2446)</f>
        <v>13.6606599023007</v>
      </c>
      <c r="P2446" s="21" t="n">
        <f aca="false">N2446-O2446</f>
        <v>-0.259678742982352</v>
      </c>
      <c r="Q2446" s="7" t="n">
        <v>0</v>
      </c>
      <c r="R2446" s="3" t="n">
        <f aca="false">IF(AND(Q2446=1,B2446-_xlfn.MINIFS($B$2:$B$2705,$A$2:$A$2705,A2446)&lt;10),1,0)</f>
        <v>0</v>
      </c>
      <c r="S2446" s="7" t="n">
        <v>0</v>
      </c>
      <c r="T2446" s="3" t="n">
        <f aca="false">_xlfn.MINIFS($B$2:$B$2705,$A$2:$A$2705,A2446)</f>
        <v>1901</v>
      </c>
      <c r="U2446" s="3" t="n">
        <f aca="false">B2446-T2446</f>
        <v>116</v>
      </c>
      <c r="V2446" s="3" t="str">
        <f aca="false">INDEX(Pop_Inputs!$Q$2:$Q$29,MATCH(C2446,Pop_Inputs!$A$2:$A$29,0))</f>
        <v>Midwest</v>
      </c>
      <c r="W2446" s="29" t="n">
        <v>199750600</v>
      </c>
      <c r="X2446" s="3" t="n">
        <f aca="false">IF(W2446="","",LN(W2446))</f>
        <v>19.1125801463608</v>
      </c>
      <c r="Y2446" s="3" t="n">
        <f aca="false">IF(X2446="","",X2446-AVERAGEIFS($X$2:$X$2705,$B$2:$B$2705,B2446))</f>
        <v>0.427030416073542</v>
      </c>
      <c r="Z2446" s="21" t="n">
        <f aca="false">P2446</f>
        <v>-0.259678742982352</v>
      </c>
      <c r="AA2446" s="3" t="n">
        <f aca="false">R2446</f>
        <v>0</v>
      </c>
      <c r="AB2446" s="21" t="n">
        <f aca="false">P2446</f>
        <v>-0.259678742982352</v>
      </c>
      <c r="AC2446" s="3" t="n">
        <f aca="false">Y2446</f>
        <v>0.427030416073542</v>
      </c>
      <c r="AD2446" s="3" t="n">
        <f aca="false">R2446</f>
        <v>0</v>
      </c>
    </row>
    <row r="2447" customFormat="false" ht="15" hidden="false" customHeight="true" outlineLevel="0" collapsed="false">
      <c r="A2447" s="7" t="s">
        <v>83</v>
      </c>
      <c r="B2447" s="7" t="n">
        <v>2017</v>
      </c>
      <c r="C2447" s="7" t="s">
        <v>164</v>
      </c>
      <c r="D2447" s="7" t="n">
        <v>77</v>
      </c>
      <c r="E2447" s="7" t="n">
        <v>85</v>
      </c>
      <c r="F2447" s="3" t="n">
        <f aca="false">COUNTIFS($B$2:$B$2705,B2447,$C$2:$C$2705,C2447)</f>
        <v>1</v>
      </c>
      <c r="G2447" s="3" t="n">
        <f aca="false">MIN(INT((MIN(B2447,2020)-1900)/10)+1,12)</f>
        <v>12</v>
      </c>
      <c r="H2447" s="3" t="n">
        <f aca="false">(MIN(B2447,2020)-1900-10*(G2447-1))/10</f>
        <v>0.7</v>
      </c>
      <c r="I2447" s="20" t="n">
        <f aca="false">EXP(LN(INDEX(Pop_Inputs!$B$2:$N$29,MATCH(C2447,Pop_Inputs!$A$2:$A$29,0),G2447))*(1-H2447)+LN(INDEX(Pop_Inputs!$B$2:$N$29,MATCH(C2447,Pop_Inputs!$A$2:$A$29,0),G2447+1))*H2447)</f>
        <v>428945.694688501</v>
      </c>
      <c r="J2447" s="20" t="n">
        <f aca="false">I2447/F2447</f>
        <v>428945.694688501</v>
      </c>
      <c r="K2447" s="21" t="n">
        <f aca="false">D2447/(D2447+E2447)</f>
        <v>0.475308641975309</v>
      </c>
      <c r="L2447" s="21" t="n">
        <f aca="false">AVERAGEIFS($K$2:$K$2705,$B$2:$B$2705,B2447)</f>
        <v>0.5</v>
      </c>
      <c r="M2447" s="21" t="n">
        <f aca="false">K2447-L2447</f>
        <v>-0.0246913580246914</v>
      </c>
      <c r="N2447" s="21" t="n">
        <f aca="false">LN(J2447)</f>
        <v>12.9690856040898</v>
      </c>
      <c r="O2447" s="21" t="n">
        <f aca="false">AVERAGEIFS($N$2:$N$2705,$B$2:$B$2705,B2447)</f>
        <v>13.6606599023007</v>
      </c>
      <c r="P2447" s="21" t="n">
        <f aca="false">N2447-O2447</f>
        <v>-0.691574298210945</v>
      </c>
      <c r="Q2447" s="7" t="n">
        <v>1</v>
      </c>
      <c r="R2447" s="3" t="n">
        <f aca="false">IF(AND(Q2447=1,B2447-_xlfn.MINIFS($B$2:$B$2705,$A$2:$A$2705,A2447)&lt;10),1,0)</f>
        <v>0</v>
      </c>
      <c r="S2447" s="7" t="n">
        <v>0</v>
      </c>
      <c r="T2447" s="3" t="n">
        <f aca="false">_xlfn.MINIFS($B$2:$B$2705,$A$2:$A$2705,A2447)</f>
        <v>1993</v>
      </c>
      <c r="U2447" s="3" t="n">
        <f aca="false">B2447-T2447</f>
        <v>24</v>
      </c>
      <c r="V2447" s="3" t="str">
        <f aca="false">INDEX(Pop_Inputs!$Q$2:$Q$29,MATCH(C2447,Pop_Inputs!$A$2:$A$29,0))</f>
        <v>South</v>
      </c>
      <c r="W2447" s="29" t="n">
        <v>111881100</v>
      </c>
      <c r="X2447" s="3" t="n">
        <f aca="false">IF(W2447="","",LN(W2447))</f>
        <v>18.5329472582125</v>
      </c>
      <c r="Y2447" s="3" t="n">
        <f aca="false">IF(X2447="","",X2447-AVERAGEIFS($X$2:$X$2705,$B$2:$B$2705,B2447))</f>
        <v>-0.152602472074783</v>
      </c>
      <c r="Z2447" s="21" t="n">
        <f aca="false">P2447</f>
        <v>-0.691574298210945</v>
      </c>
      <c r="AA2447" s="3" t="n">
        <f aca="false">R2447</f>
        <v>0</v>
      </c>
      <c r="AB2447" s="21" t="n">
        <f aca="false">P2447</f>
        <v>-0.691574298210945</v>
      </c>
      <c r="AC2447" s="3" t="n">
        <f aca="false">Y2447</f>
        <v>-0.152602472074783</v>
      </c>
      <c r="AD2447" s="3" t="n">
        <f aca="false">R2447</f>
        <v>0</v>
      </c>
    </row>
    <row r="2448" customFormat="false" ht="15" hidden="false" customHeight="true" outlineLevel="0" collapsed="false">
      <c r="A2448" s="7" t="s">
        <v>74</v>
      </c>
      <c r="B2448" s="7" t="n">
        <v>2017</v>
      </c>
      <c r="C2448" s="7" t="s">
        <v>156</v>
      </c>
      <c r="D2448" s="7" t="n">
        <v>101</v>
      </c>
      <c r="E2448" s="7" t="n">
        <v>61</v>
      </c>
      <c r="F2448" s="3" t="n">
        <f aca="false">COUNTIFS($B$2:$B$2705,B2448,$C$2:$C$2705,C2448)</f>
        <v>1</v>
      </c>
      <c r="G2448" s="3" t="n">
        <f aca="false">MIN(INT((MIN(B2448,2020)-1900)/10)+1,12)</f>
        <v>12</v>
      </c>
      <c r="H2448" s="3" t="n">
        <f aca="false">(MIN(B2448,2020)-1900-10*(G2448-1))/10</f>
        <v>0.7</v>
      </c>
      <c r="I2448" s="20" t="n">
        <f aca="false">EXP(LN(INDEX(Pop_Inputs!$B$2:$N$29,MATCH(C2448,Pop_Inputs!$A$2:$A$29,0),G2448))*(1-H2448)+LN(INDEX(Pop_Inputs!$B$2:$N$29,MATCH(C2448,Pop_Inputs!$A$2:$A$29,0),G2448+1))*H2448)</f>
        <v>2241021.25119058</v>
      </c>
      <c r="J2448" s="20" t="n">
        <f aca="false">I2448/F2448</f>
        <v>2241021.25119058</v>
      </c>
      <c r="K2448" s="21" t="n">
        <f aca="false">D2448/(D2448+E2448)</f>
        <v>0.623456790123457</v>
      </c>
      <c r="L2448" s="21" t="n">
        <f aca="false">AVERAGEIFS($K$2:$K$2705,$B$2:$B$2705,B2448)</f>
        <v>0.5</v>
      </c>
      <c r="M2448" s="21" t="n">
        <f aca="false">K2448-L2448</f>
        <v>0.123456790123457</v>
      </c>
      <c r="N2448" s="21" t="n">
        <f aca="false">LN(J2448)</f>
        <v>14.6224422356433</v>
      </c>
      <c r="O2448" s="21" t="n">
        <f aca="false">AVERAGEIFS($N$2:$N$2705,$B$2:$B$2705,B2448)</f>
        <v>13.6606599023007</v>
      </c>
      <c r="P2448" s="21" t="n">
        <f aca="false">N2448-O2448</f>
        <v>0.961782333342564</v>
      </c>
      <c r="Q2448" s="7" t="n">
        <v>1</v>
      </c>
      <c r="R2448" s="3" t="n">
        <f aca="false">IF(AND(Q2448=1,B2448-_xlfn.MINIFS($B$2:$B$2705,$A$2:$A$2705,A2448)&lt;10),1,0)</f>
        <v>0</v>
      </c>
      <c r="S2448" s="7" t="n">
        <v>0</v>
      </c>
      <c r="T2448" s="3" t="n">
        <f aca="false">_xlfn.MINIFS($B$2:$B$2705,$A$2:$A$2705,A2448)</f>
        <v>1962</v>
      </c>
      <c r="U2448" s="3" t="n">
        <f aca="false">B2448-T2448</f>
        <v>55</v>
      </c>
      <c r="V2448" s="3" t="str">
        <f aca="false">INDEX(Pop_Inputs!$Q$2:$Q$29,MATCH(C2448,Pop_Inputs!$A$2:$A$29,0))</f>
        <v>South</v>
      </c>
      <c r="W2448" s="29" t="n">
        <v>124343900</v>
      </c>
      <c r="X2448" s="3" t="n">
        <f aca="false">IF(W2448="","",LN(W2448))</f>
        <v>18.638561671924</v>
      </c>
      <c r="Y2448" s="3" t="n">
        <f aca="false">IF(X2448="","",X2448-AVERAGEIFS($X$2:$X$2705,$B$2:$B$2705,B2448))</f>
        <v>-0.0469880583633007</v>
      </c>
      <c r="Z2448" s="21" t="n">
        <f aca="false">P2448</f>
        <v>0.961782333342564</v>
      </c>
      <c r="AA2448" s="3" t="n">
        <f aca="false">R2448</f>
        <v>0</v>
      </c>
      <c r="AB2448" s="21" t="n">
        <f aca="false">P2448</f>
        <v>0.961782333342564</v>
      </c>
      <c r="AC2448" s="3" t="n">
        <f aca="false">Y2448</f>
        <v>-0.0469880583633007</v>
      </c>
      <c r="AD2448" s="3" t="n">
        <f aca="false">R2448</f>
        <v>0</v>
      </c>
    </row>
    <row r="2449" customFormat="false" ht="15" hidden="false" customHeight="true" outlineLevel="0" collapsed="false">
      <c r="A2449" s="7" t="s">
        <v>76</v>
      </c>
      <c r="B2449" s="7" t="n">
        <v>2017</v>
      </c>
      <c r="C2449" s="7" t="s">
        <v>157</v>
      </c>
      <c r="D2449" s="7" t="n">
        <v>80</v>
      </c>
      <c r="E2449" s="7" t="n">
        <v>82</v>
      </c>
      <c r="F2449" s="3" t="n">
        <f aca="false">COUNTIFS($B$2:$B$2705,B2449,$C$2:$C$2705,C2449)</f>
        <v>1</v>
      </c>
      <c r="G2449" s="3" t="n">
        <f aca="false">MIN(INT((MIN(B2449,2020)-1900)/10)+1,12)</f>
        <v>12</v>
      </c>
      <c r="H2449" s="3" t="n">
        <f aca="false">(MIN(B2449,2020)-1900-10*(G2449-1))/10</f>
        <v>0.7</v>
      </c>
      <c r="I2449" s="20" t="n">
        <f aca="false">EXP(LN(INDEX(Pop_Inputs!$B$2:$N$29,MATCH(C2449,Pop_Inputs!$A$2:$A$29,0),G2449))*(1-H2449)+LN(INDEX(Pop_Inputs!$B$2:$N$29,MATCH(C2449,Pop_Inputs!$A$2:$A$29,0),G2449+1))*H2449)</f>
        <v>493089.164970749</v>
      </c>
      <c r="J2449" s="20" t="n">
        <f aca="false">I2449/F2449</f>
        <v>493089.164970749</v>
      </c>
      <c r="K2449" s="21" t="n">
        <f aca="false">D2449/(D2449+E2449)</f>
        <v>0.493827160493827</v>
      </c>
      <c r="L2449" s="21" t="n">
        <f aca="false">AVERAGEIFS($K$2:$K$2705,$B$2:$B$2705,B2449)</f>
        <v>0.5</v>
      </c>
      <c r="M2449" s="21" t="n">
        <f aca="false">K2449-L2449</f>
        <v>-0.00617283950617287</v>
      </c>
      <c r="N2449" s="21" t="n">
        <f aca="false">LN(J2449)</f>
        <v>13.1084452986809</v>
      </c>
      <c r="O2449" s="21" t="n">
        <f aca="false">AVERAGEIFS($N$2:$N$2705,$B$2:$B$2705,B2449)</f>
        <v>13.6606599023007</v>
      </c>
      <c r="P2449" s="21" t="n">
        <f aca="false">N2449-O2449</f>
        <v>-0.55221460361985</v>
      </c>
      <c r="Q2449" s="7" t="n">
        <v>1</v>
      </c>
      <c r="R2449" s="3" t="n">
        <f aca="false">IF(AND(Q2449=1,B2449-_xlfn.MINIFS($B$2:$B$2705,$A$2:$A$2705,A2449)&lt;10),1,0)</f>
        <v>0</v>
      </c>
      <c r="S2449" s="7" t="n">
        <v>0</v>
      </c>
      <c r="T2449" s="3" t="n">
        <f aca="false">_xlfn.MINIFS($B$2:$B$2705,$A$2:$A$2705,A2449)</f>
        <v>1969</v>
      </c>
      <c r="U2449" s="3" t="n">
        <f aca="false">B2449-T2449</f>
        <v>48</v>
      </c>
      <c r="V2449" s="3" t="str">
        <f aca="false">INDEX(Pop_Inputs!$Q$2:$Q$29,MATCH(C2449,Pop_Inputs!$A$2:$A$29,0))</f>
        <v>Midwest</v>
      </c>
      <c r="W2449" s="29" t="n">
        <v>140925250</v>
      </c>
      <c r="X2449" s="3" t="n">
        <f aca="false">IF(W2449="","",LN(W2449))</f>
        <v>18.7637401659236</v>
      </c>
      <c r="Y2449" s="3" t="n">
        <f aca="false">IF(X2449="","",X2449-AVERAGEIFS($X$2:$X$2705,$B$2:$B$2705,B2449))</f>
        <v>0.0781904356362979</v>
      </c>
      <c r="Z2449" s="21" t="n">
        <f aca="false">P2449</f>
        <v>-0.55221460361985</v>
      </c>
      <c r="AA2449" s="3" t="n">
        <f aca="false">R2449</f>
        <v>0</v>
      </c>
      <c r="AB2449" s="21" t="n">
        <f aca="false">P2449</f>
        <v>-0.55221460361985</v>
      </c>
      <c r="AC2449" s="3" t="n">
        <f aca="false">Y2449</f>
        <v>0.0781904356362979</v>
      </c>
      <c r="AD2449" s="3" t="n">
        <f aca="false">R2449</f>
        <v>0</v>
      </c>
    </row>
    <row r="2450" customFormat="false" ht="15" hidden="false" customHeight="true" outlineLevel="0" collapsed="false">
      <c r="A2450" s="7" t="s">
        <v>62</v>
      </c>
      <c r="B2450" s="7" t="n">
        <v>2017</v>
      </c>
      <c r="C2450" s="7" t="s">
        <v>148</v>
      </c>
      <c r="D2450" s="7" t="n">
        <v>104</v>
      </c>
      <c r="E2450" s="7" t="n">
        <v>58</v>
      </c>
      <c r="F2450" s="3" t="n">
        <f aca="false">COUNTIFS($B$2:$B$2705,B2450,$C$2:$C$2705,C2450)</f>
        <v>2</v>
      </c>
      <c r="G2450" s="3" t="n">
        <f aca="false">MIN(INT((MIN(B2450,2020)-1900)/10)+1,12)</f>
        <v>12</v>
      </c>
      <c r="H2450" s="3" t="n">
        <f aca="false">(MIN(B2450,2020)-1900-10*(G2450-1))/10</f>
        <v>0.7</v>
      </c>
      <c r="I2450" s="20" t="n">
        <f aca="false">EXP(LN(INDEX(Pop_Inputs!$B$2:$N$29,MATCH(C2450,Pop_Inputs!$A$2:$A$29,0),G2450))*(1-H2450)+LN(INDEX(Pop_Inputs!$B$2:$N$29,MATCH(C2450,Pop_Inputs!$A$2:$A$29,0),G2450+1))*H2450)</f>
        <v>3866601.10874571</v>
      </c>
      <c r="J2450" s="20" t="n">
        <f aca="false">I2450/F2450</f>
        <v>1933300.55437286</v>
      </c>
      <c r="K2450" s="21" t="n">
        <f aca="false">D2450/(D2450+E2450)</f>
        <v>0.641975308641975</v>
      </c>
      <c r="L2450" s="21" t="n">
        <f aca="false">AVERAGEIFS($K$2:$K$2705,$B$2:$B$2705,B2450)</f>
        <v>0.5</v>
      </c>
      <c r="M2450" s="21" t="n">
        <f aca="false">K2450-L2450</f>
        <v>0.141975308641975</v>
      </c>
      <c r="N2450" s="21" t="n">
        <f aca="false">LN(J2450)</f>
        <v>14.4747392320701</v>
      </c>
      <c r="O2450" s="21" t="n">
        <f aca="false">AVERAGEIFS($N$2:$N$2705,$B$2:$B$2705,B2450)</f>
        <v>13.6606599023007</v>
      </c>
      <c r="P2450" s="21" t="n">
        <f aca="false">N2450-O2450</f>
        <v>0.814079329769328</v>
      </c>
      <c r="Q2450" s="7" t="n">
        <v>0</v>
      </c>
      <c r="R2450" s="3" t="n">
        <f aca="false">IF(AND(Q2450=1,B2450-_xlfn.MINIFS($B$2:$B$2705,$A$2:$A$2705,A2450)&lt;10),1,0)</f>
        <v>0</v>
      </c>
      <c r="S2450" s="7" t="n">
        <v>0</v>
      </c>
      <c r="T2450" s="3" t="n">
        <f aca="false">_xlfn.MINIFS($B$2:$B$2705,$A$2:$A$2705,A2450)</f>
        <v>1901</v>
      </c>
      <c r="U2450" s="3" t="n">
        <f aca="false">B2450-T2450</f>
        <v>116</v>
      </c>
      <c r="V2450" s="3" t="str">
        <f aca="false">INDEX(Pop_Inputs!$Q$2:$Q$29,MATCH(C2450,Pop_Inputs!$A$2:$A$29,0))</f>
        <v>West</v>
      </c>
      <c r="W2450" s="29" t="n">
        <v>242065828</v>
      </c>
      <c r="X2450" s="3" t="n">
        <f aca="false">IF(W2450="","",LN(W2450))</f>
        <v>19.3047202636601</v>
      </c>
      <c r="Y2450" s="3" t="n">
        <f aca="false">IF(X2450="","",X2450-AVERAGEIFS($X$2:$X$2705,$B$2:$B$2705,B2450))</f>
        <v>0.619170533372799</v>
      </c>
      <c r="Z2450" s="21" t="n">
        <f aca="false">P2450</f>
        <v>0.814079329769328</v>
      </c>
      <c r="AA2450" s="3" t="n">
        <f aca="false">R2450</f>
        <v>0</v>
      </c>
      <c r="AB2450" s="21" t="n">
        <f aca="false">P2450</f>
        <v>0.814079329769328</v>
      </c>
      <c r="AC2450" s="3" t="n">
        <f aca="false">Y2450</f>
        <v>0.619170533372799</v>
      </c>
      <c r="AD2450" s="3" t="n">
        <f aca="false">R2450</f>
        <v>0</v>
      </c>
    </row>
    <row r="2451" customFormat="false" ht="15" hidden="false" customHeight="true" outlineLevel="0" collapsed="false">
      <c r="A2451" s="7" t="s">
        <v>77</v>
      </c>
      <c r="B2451" s="7" t="n">
        <v>2017</v>
      </c>
      <c r="C2451" s="7" t="s">
        <v>158</v>
      </c>
      <c r="D2451" s="7" t="n">
        <v>86</v>
      </c>
      <c r="E2451" s="7" t="n">
        <v>76</v>
      </c>
      <c r="F2451" s="3" t="n">
        <f aca="false">COUNTIFS($B$2:$B$2705,B2451,$C$2:$C$2705,C2451)</f>
        <v>1</v>
      </c>
      <c r="G2451" s="3" t="n">
        <f aca="false">MIN(INT((MIN(B2451,2020)-1900)/10)+1,12)</f>
        <v>12</v>
      </c>
      <c r="H2451" s="3" t="n">
        <f aca="false">(MIN(B2451,2020)-1900-10*(G2451-1))/10</f>
        <v>0.7</v>
      </c>
      <c r="I2451" s="20" t="n">
        <f aca="false">EXP(LN(INDEX(Pop_Inputs!$B$2:$N$29,MATCH(C2451,Pop_Inputs!$A$2:$A$29,0),G2451))*(1-H2451)+LN(INDEX(Pop_Inputs!$B$2:$N$29,MATCH(C2451,Pop_Inputs!$A$2:$A$29,0),G2451+1))*H2451)</f>
        <v>582449.838175906</v>
      </c>
      <c r="J2451" s="20" t="n">
        <f aca="false">I2451/F2451</f>
        <v>582449.838175906</v>
      </c>
      <c r="K2451" s="21" t="n">
        <f aca="false">D2451/(D2451+E2451)</f>
        <v>0.530864197530864</v>
      </c>
      <c r="L2451" s="21" t="n">
        <f aca="false">AVERAGEIFS($K$2:$K$2705,$B$2:$B$2705,B2451)</f>
        <v>0.5</v>
      </c>
      <c r="M2451" s="21" t="n">
        <f aca="false">K2451-L2451</f>
        <v>0.0308641975308642</v>
      </c>
      <c r="N2451" s="21" t="n">
        <f aca="false">LN(J2451)</f>
        <v>13.2749983459944</v>
      </c>
      <c r="O2451" s="21" t="n">
        <f aca="false">AVERAGEIFS($N$2:$N$2705,$B$2:$B$2705,B2451)</f>
        <v>13.6606599023007</v>
      </c>
      <c r="P2451" s="21" t="n">
        <f aca="false">N2451-O2451</f>
        <v>-0.385661556306316</v>
      </c>
      <c r="Q2451" s="7" t="n">
        <v>1</v>
      </c>
      <c r="R2451" s="3" t="n">
        <f aca="false">IF(AND(Q2451=1,B2451-_xlfn.MINIFS($B$2:$B$2705,$A$2:$A$2705,A2451)&lt;10),1,0)</f>
        <v>0</v>
      </c>
      <c r="S2451" s="7" t="n">
        <v>0</v>
      </c>
      <c r="T2451" s="3" t="n">
        <f aca="false">_xlfn.MINIFS($B$2:$B$2705,$A$2:$A$2705,A2451)</f>
        <v>1969</v>
      </c>
      <c r="U2451" s="3" t="n">
        <f aca="false">B2451-T2451</f>
        <v>48</v>
      </c>
      <c r="V2451" s="3" t="str">
        <f aca="false">INDEX(Pop_Inputs!$Q$2:$Q$29,MATCH(C2451,Pop_Inputs!$A$2:$A$29,0))</f>
        <v>Midwest</v>
      </c>
      <c r="W2451" s="29" t="n">
        <v>63061300</v>
      </c>
      <c r="X2451" s="3" t="n">
        <f aca="false">IF(W2451="","",LN(W2451))</f>
        <v>17.9596178271557</v>
      </c>
      <c r="Y2451" s="3" t="n">
        <f aca="false">IF(X2451="","",X2451-AVERAGEIFS($X$2:$X$2705,$B$2:$B$2705,B2451))</f>
        <v>-0.725931903131574</v>
      </c>
      <c r="Z2451" s="21" t="n">
        <f aca="false">P2451</f>
        <v>-0.385661556306316</v>
      </c>
      <c r="AA2451" s="3" t="n">
        <f aca="false">R2451</f>
        <v>0</v>
      </c>
      <c r="AB2451" s="21" t="n">
        <f aca="false">P2451</f>
        <v>-0.385661556306316</v>
      </c>
      <c r="AC2451" s="3" t="n">
        <f aca="false">Y2451</f>
        <v>-0.725931903131574</v>
      </c>
      <c r="AD2451" s="3" t="n">
        <f aca="false">R2451</f>
        <v>0</v>
      </c>
    </row>
    <row r="2452" customFormat="false" ht="15" hidden="false" customHeight="true" outlineLevel="0" collapsed="false">
      <c r="A2452" s="7" t="s">
        <v>68</v>
      </c>
      <c r="B2452" s="7" t="n">
        <v>2017</v>
      </c>
      <c r="C2452" s="7" t="s">
        <v>153</v>
      </c>
      <c r="D2452" s="7" t="n">
        <v>85</v>
      </c>
      <c r="E2452" s="7" t="n">
        <v>77</v>
      </c>
      <c r="F2452" s="3" t="n">
        <f aca="false">COUNTIFS($B$2:$B$2705,B2452,$C$2:$C$2705,C2452)</f>
        <v>1</v>
      </c>
      <c r="G2452" s="3" t="n">
        <f aca="false">MIN(INT((MIN(B2452,2020)-1900)/10)+1,12)</f>
        <v>12</v>
      </c>
      <c r="H2452" s="3" t="n">
        <f aca="false">(MIN(B2452,2020)-1900-10*(G2452-1))/10</f>
        <v>0.7</v>
      </c>
      <c r="I2452" s="20" t="n">
        <f aca="false">EXP(LN(INDEX(Pop_Inputs!$B$2:$N$29,MATCH(C2452,Pop_Inputs!$A$2:$A$29,0),G2452))*(1-H2452)+LN(INDEX(Pop_Inputs!$B$2:$N$29,MATCH(C2452,Pop_Inputs!$A$2:$A$29,0),G2452+1))*H2452)</f>
        <v>415156.071140068</v>
      </c>
      <c r="J2452" s="20" t="n">
        <f aca="false">I2452/F2452</f>
        <v>415156.071140068</v>
      </c>
      <c r="K2452" s="21" t="n">
        <f aca="false">D2452/(D2452+E2452)</f>
        <v>0.524691358024691</v>
      </c>
      <c r="L2452" s="21" t="n">
        <f aca="false">AVERAGEIFS($K$2:$K$2705,$B$2:$B$2705,B2452)</f>
        <v>0.5</v>
      </c>
      <c r="M2452" s="21" t="n">
        <f aca="false">K2452-L2452</f>
        <v>0.0246913580246914</v>
      </c>
      <c r="N2452" s="21" t="n">
        <f aca="false">LN(J2452)</f>
        <v>12.9364098035507</v>
      </c>
      <c r="O2452" s="21" t="n">
        <f aca="false">AVERAGEIFS($N$2:$N$2705,$B$2:$B$2705,B2452)</f>
        <v>13.6606599023007</v>
      </c>
      <c r="P2452" s="21" t="n">
        <f aca="false">N2452-O2452</f>
        <v>-0.724250098750098</v>
      </c>
      <c r="Q2452" s="7" t="n">
        <v>0</v>
      </c>
      <c r="R2452" s="3" t="n">
        <f aca="false">IF(AND(Q2452=1,B2452-_xlfn.MINIFS($B$2:$B$2705,$A$2:$A$2705,A2452)&lt;10),1,0)</f>
        <v>0</v>
      </c>
      <c r="S2452" s="7" t="n">
        <v>0</v>
      </c>
      <c r="T2452" s="3" t="n">
        <f aca="false">_xlfn.MINIFS($B$2:$B$2705,$A$2:$A$2705,A2452)</f>
        <v>1901</v>
      </c>
      <c r="U2452" s="3" t="n">
        <f aca="false">B2452-T2452</f>
        <v>116</v>
      </c>
      <c r="V2452" s="3" t="str">
        <f aca="false">INDEX(Pop_Inputs!$Q$2:$Q$29,MATCH(C2452,Pop_Inputs!$A$2:$A$29,0))</f>
        <v>Midwest</v>
      </c>
      <c r="W2452" s="29" t="n">
        <v>108077500</v>
      </c>
      <c r="X2452" s="3" t="n">
        <f aca="false">IF(W2452="","",LN(W2452))</f>
        <v>18.4983591203346</v>
      </c>
      <c r="Y2452" s="3" t="n">
        <f aca="false">IF(X2452="","",X2452-AVERAGEIFS($X$2:$X$2705,$B$2:$B$2705,B2452))</f>
        <v>-0.187190609952673</v>
      </c>
      <c r="Z2452" s="21" t="n">
        <f aca="false">P2452</f>
        <v>-0.724250098750098</v>
      </c>
      <c r="AA2452" s="3" t="n">
        <f aca="false">R2452</f>
        <v>0</v>
      </c>
      <c r="AB2452" s="21" t="n">
        <f aca="false">P2452</f>
        <v>-0.724250098750098</v>
      </c>
      <c r="AC2452" s="3" t="n">
        <f aca="false">Y2452</f>
        <v>-0.187190609952673</v>
      </c>
      <c r="AD2452" s="3" t="n">
        <f aca="false">R2452</f>
        <v>0</v>
      </c>
    </row>
    <row r="2453" customFormat="false" ht="15" hidden="false" customHeight="true" outlineLevel="0" collapsed="false">
      <c r="A2453" s="7" t="s">
        <v>75</v>
      </c>
      <c r="B2453" s="7" t="n">
        <v>2017</v>
      </c>
      <c r="C2453" s="7" t="s">
        <v>154</v>
      </c>
      <c r="D2453" s="7" t="n">
        <v>70</v>
      </c>
      <c r="E2453" s="7" t="n">
        <v>92</v>
      </c>
      <c r="F2453" s="3" t="n">
        <f aca="false">COUNTIFS($B$2:$B$2705,B2453,$C$2:$C$2705,C2453)</f>
        <v>2</v>
      </c>
      <c r="G2453" s="3" t="n">
        <f aca="false">MIN(INT((MIN(B2453,2020)-1900)/10)+1,12)</f>
        <v>12</v>
      </c>
      <c r="H2453" s="3" t="n">
        <f aca="false">(MIN(B2453,2020)-1900-10*(G2453-1))/10</f>
        <v>0.7</v>
      </c>
      <c r="I2453" s="20" t="n">
        <f aca="false">EXP(LN(INDEX(Pop_Inputs!$B$2:$N$29,MATCH(C2453,Pop_Inputs!$A$2:$A$29,0),G2453))*(1-H2453)+LN(INDEX(Pop_Inputs!$B$2:$N$29,MATCH(C2453,Pop_Inputs!$A$2:$A$29,0),G2453+1))*H2453)</f>
        <v>8610552.76649404</v>
      </c>
      <c r="J2453" s="20" t="n">
        <f aca="false">I2453/F2453</f>
        <v>4305276.38324702</v>
      </c>
      <c r="K2453" s="21" t="n">
        <f aca="false">D2453/(D2453+E2453)</f>
        <v>0.432098765432099</v>
      </c>
      <c r="L2453" s="21" t="n">
        <f aca="false">AVERAGEIFS($K$2:$K$2705,$B$2:$B$2705,B2453)</f>
        <v>0.5</v>
      </c>
      <c r="M2453" s="21" t="n">
        <f aca="false">K2453-L2453</f>
        <v>-0.0679012345679013</v>
      </c>
      <c r="N2453" s="21" t="n">
        <f aca="false">LN(J2453)</f>
        <v>15.2753518943052</v>
      </c>
      <c r="O2453" s="21" t="n">
        <f aca="false">AVERAGEIFS($N$2:$N$2705,$B$2:$B$2705,B2453)</f>
        <v>13.6606599023007</v>
      </c>
      <c r="P2453" s="21" t="n">
        <f aca="false">N2453-O2453</f>
        <v>1.61469199200441</v>
      </c>
      <c r="Q2453" s="7" t="n">
        <v>1</v>
      </c>
      <c r="R2453" s="3" t="n">
        <f aca="false">IF(AND(Q2453=1,B2453-_xlfn.MINIFS($B$2:$B$2705,$A$2:$A$2705,A2453)&lt;10),1,0)</f>
        <v>0</v>
      </c>
      <c r="S2453" s="7" t="n">
        <v>0</v>
      </c>
      <c r="T2453" s="3" t="n">
        <f aca="false">_xlfn.MINIFS($B$2:$B$2705,$A$2:$A$2705,A2453)</f>
        <v>1962</v>
      </c>
      <c r="U2453" s="3" t="n">
        <f aca="false">B2453-T2453</f>
        <v>55</v>
      </c>
      <c r="V2453" s="3" t="str">
        <f aca="false">INDEX(Pop_Inputs!$Q$2:$Q$29,MATCH(C2453,Pop_Inputs!$A$2:$A$29,0))</f>
        <v>Northeast</v>
      </c>
      <c r="W2453" s="29" t="n">
        <v>155187460</v>
      </c>
      <c r="X2453" s="3" t="n">
        <f aca="false">IF(W2453="","",LN(W2453))</f>
        <v>18.8601443634799</v>
      </c>
      <c r="Y2453" s="3" t="n">
        <f aca="false">IF(X2453="","",X2453-AVERAGEIFS($X$2:$X$2705,$B$2:$B$2705,B2453))</f>
        <v>0.174594633192608</v>
      </c>
      <c r="Z2453" s="21" t="n">
        <f aca="false">P2453</f>
        <v>1.61469199200441</v>
      </c>
      <c r="AA2453" s="3" t="n">
        <f aca="false">R2453</f>
        <v>0</v>
      </c>
      <c r="AB2453" s="21" t="n">
        <f aca="false">P2453</f>
        <v>1.61469199200441</v>
      </c>
      <c r="AC2453" s="3" t="n">
        <f aca="false">Y2453</f>
        <v>0.174594633192608</v>
      </c>
      <c r="AD2453" s="3" t="n">
        <f aca="false">R2453</f>
        <v>0</v>
      </c>
    </row>
    <row r="2454" customFormat="false" ht="15" hidden="false" customHeight="true" outlineLevel="0" collapsed="false">
      <c r="A2454" s="7" t="s">
        <v>70</v>
      </c>
      <c r="B2454" s="7" t="n">
        <v>2017</v>
      </c>
      <c r="C2454" s="7" t="s">
        <v>154</v>
      </c>
      <c r="D2454" s="7" t="n">
        <v>91</v>
      </c>
      <c r="E2454" s="7" t="n">
        <v>71</v>
      </c>
      <c r="F2454" s="3" t="n">
        <f aca="false">COUNTIFS($B$2:$B$2705,B2454,$C$2:$C$2705,C2454)</f>
        <v>2</v>
      </c>
      <c r="G2454" s="3" t="n">
        <f aca="false">MIN(INT((MIN(B2454,2020)-1900)/10)+1,12)</f>
        <v>12</v>
      </c>
      <c r="H2454" s="3" t="n">
        <f aca="false">(MIN(B2454,2020)-1900-10*(G2454-1))/10</f>
        <v>0.7</v>
      </c>
      <c r="I2454" s="20" t="n">
        <f aca="false">EXP(LN(INDEX(Pop_Inputs!$B$2:$N$29,MATCH(C2454,Pop_Inputs!$A$2:$A$29,0),G2454))*(1-H2454)+LN(INDEX(Pop_Inputs!$B$2:$N$29,MATCH(C2454,Pop_Inputs!$A$2:$A$29,0),G2454+1))*H2454)</f>
        <v>8610552.76649404</v>
      </c>
      <c r="J2454" s="20" t="n">
        <f aca="false">I2454/F2454</f>
        <v>4305276.38324702</v>
      </c>
      <c r="K2454" s="21" t="n">
        <f aca="false">D2454/(D2454+E2454)</f>
        <v>0.561728395061728</v>
      </c>
      <c r="L2454" s="21" t="n">
        <f aca="false">AVERAGEIFS($K$2:$K$2705,$B$2:$B$2705,B2454)</f>
        <v>0.5</v>
      </c>
      <c r="M2454" s="21" t="n">
        <f aca="false">K2454-L2454</f>
        <v>0.0617283950617285</v>
      </c>
      <c r="N2454" s="21" t="n">
        <f aca="false">LN(J2454)</f>
        <v>15.2753518943052</v>
      </c>
      <c r="O2454" s="21" t="n">
        <f aca="false">AVERAGEIFS($N$2:$N$2705,$B$2:$B$2705,B2454)</f>
        <v>13.6606599023007</v>
      </c>
      <c r="P2454" s="21" t="n">
        <f aca="false">N2454-O2454</f>
        <v>1.61469199200441</v>
      </c>
      <c r="Q2454" s="7" t="n">
        <v>0</v>
      </c>
      <c r="R2454" s="3" t="n">
        <f aca="false">IF(AND(Q2454=1,B2454-_xlfn.MINIFS($B$2:$B$2705,$A$2:$A$2705,A2454)&lt;10),1,0)</f>
        <v>0</v>
      </c>
      <c r="S2454" s="7" t="n">
        <v>1</v>
      </c>
      <c r="T2454" s="3" t="n">
        <f aca="false">_xlfn.MINIFS($B$2:$B$2705,$A$2:$A$2705,A2454)</f>
        <v>1903</v>
      </c>
      <c r="U2454" s="3" t="n">
        <f aca="false">B2454-T2454</f>
        <v>114</v>
      </c>
      <c r="V2454" s="3" t="str">
        <f aca="false">INDEX(Pop_Inputs!$Q$2:$Q$29,MATCH(C2454,Pop_Inputs!$A$2:$A$29,0))</f>
        <v>Northeast</v>
      </c>
      <c r="W2454" s="29" t="n">
        <v>201539699</v>
      </c>
      <c r="X2454" s="3" t="n">
        <f aca="false">IF(W2454="","",LN(W2454))</f>
        <v>19.1214969373154</v>
      </c>
      <c r="Y2454" s="3" t="n">
        <f aca="false">IF(X2454="","",X2454-AVERAGEIFS($X$2:$X$2705,$B$2:$B$2705,B2454))</f>
        <v>0.435947207028068</v>
      </c>
      <c r="Z2454" s="21" t="n">
        <f aca="false">P2454</f>
        <v>1.61469199200441</v>
      </c>
      <c r="AA2454" s="3" t="n">
        <f aca="false">R2454</f>
        <v>0</v>
      </c>
      <c r="AB2454" s="21" t="n">
        <f aca="false">P2454</f>
        <v>1.61469199200441</v>
      </c>
      <c r="AC2454" s="3" t="n">
        <f aca="false">Y2454</f>
        <v>0.435947207028068</v>
      </c>
      <c r="AD2454" s="3" t="n">
        <f aca="false">R2454</f>
        <v>0</v>
      </c>
    </row>
    <row r="2455" customFormat="false" ht="15" hidden="false" customHeight="true" outlineLevel="0" collapsed="false">
      <c r="A2455" s="7" t="s">
        <v>69</v>
      </c>
      <c r="B2455" s="7" t="n">
        <v>2017</v>
      </c>
      <c r="C2455" s="7" t="s">
        <v>253</v>
      </c>
      <c r="D2455" s="7" t="n">
        <v>75</v>
      </c>
      <c r="E2455" s="7" t="n">
        <v>87</v>
      </c>
      <c r="F2455" s="3" t="n">
        <f aca="false">COUNTIFS($B$2:$B$2705,B2455,$C$2:$C$2705,C2455)</f>
        <v>1</v>
      </c>
      <c r="G2455" s="3" t="n">
        <f aca="false">MIN(INT((MIN(B2455,2020)-1900)/10)+1,12)</f>
        <v>12</v>
      </c>
      <c r="H2455" s="3" t="n">
        <f aca="false">(MIN(B2455,2020)-1900-10*(G2455-1))/10</f>
        <v>0.7</v>
      </c>
      <c r="I2455" s="20" t="n">
        <f aca="false">EXP(LN(INDEX(Pop_Inputs!$B$2:$N$29,MATCH(C2455,Pop_Inputs!$A$2:$A$29,0),G2455))*(1-H2455)+LN(INDEX(Pop_Inputs!$B$2:$N$29,MATCH(C2455,Pop_Inputs!$A$2:$A$29,0),G2455+1))*H2455)</f>
        <v>425034.231725705</v>
      </c>
      <c r="J2455" s="20" t="n">
        <f aca="false">I2455/F2455</f>
        <v>425034.231725705</v>
      </c>
      <c r="K2455" s="21" t="n">
        <f aca="false">D2455/(D2455+E2455)</f>
        <v>0.462962962962963</v>
      </c>
      <c r="L2455" s="21" t="n">
        <f aca="false">AVERAGEIFS($K$2:$K$2705,$B$2:$B$2705,B2455)</f>
        <v>0.5</v>
      </c>
      <c r="M2455" s="21" t="n">
        <f aca="false">K2455-L2455</f>
        <v>-0.037037037037037</v>
      </c>
      <c r="N2455" s="21" t="n">
        <f aca="false">LN(J2455)</f>
        <v>12.9599249898999</v>
      </c>
      <c r="O2455" s="21" t="n">
        <f aca="false">AVERAGEIFS($N$2:$N$2705,$B$2:$B$2705,B2455)</f>
        <v>13.6606599023007</v>
      </c>
      <c r="P2455" s="21" t="n">
        <f aca="false">N2455-O2455</f>
        <v>-0.700734912400836</v>
      </c>
      <c r="Q2455" s="7" t="n">
        <v>0</v>
      </c>
      <c r="R2455" s="3" t="n">
        <f aca="false">IF(AND(Q2455=1,B2455-_xlfn.MINIFS($B$2:$B$2705,$A$2:$A$2705,A2455)&lt;10),1,0)</f>
        <v>0</v>
      </c>
      <c r="S2455" s="7" t="n">
        <v>0</v>
      </c>
      <c r="T2455" s="3" t="n">
        <f aca="false">_xlfn.MINIFS($B$2:$B$2705,$A$2:$A$2705,A2455)</f>
        <v>1901</v>
      </c>
      <c r="U2455" s="3" t="n">
        <f aca="false">B2455-T2455</f>
        <v>116</v>
      </c>
      <c r="V2455" s="3" t="str">
        <f aca="false">INDEX(Pop_Inputs!$Q$2:$Q$29,MATCH(C2455,Pop_Inputs!$A$2:$A$29,0))</f>
        <v>West</v>
      </c>
      <c r="W2455" s="29" t="n">
        <v>81738333</v>
      </c>
      <c r="X2455" s="3" t="n">
        <f aca="false">IF(W2455="","",LN(W2455))</f>
        <v>18.2190336419605</v>
      </c>
      <c r="Y2455" s="3" t="n">
        <f aca="false">IF(X2455="","",X2455-AVERAGEIFS($X$2:$X$2705,$B$2:$B$2705,B2455))</f>
        <v>-0.466516088326831</v>
      </c>
      <c r="Z2455" s="21" t="n">
        <f aca="false">P2455</f>
        <v>-0.700734912400836</v>
      </c>
      <c r="AA2455" s="3" t="n">
        <f aca="false">R2455</f>
        <v>0</v>
      </c>
      <c r="AB2455" s="21" t="n">
        <f aca="false">P2455</f>
        <v>-0.700734912400836</v>
      </c>
      <c r="AC2455" s="3" t="n">
        <f aca="false">Y2455</f>
        <v>-0.466516088326831</v>
      </c>
      <c r="AD2455" s="3" t="n">
        <f aca="false">R2455</f>
        <v>0</v>
      </c>
    </row>
    <row r="2456" customFormat="false" ht="15" hidden="false" customHeight="true" outlineLevel="0" collapsed="false">
      <c r="A2456" s="7" t="s">
        <v>60</v>
      </c>
      <c r="B2456" s="7" t="n">
        <v>2017</v>
      </c>
      <c r="C2456" s="7" t="s">
        <v>146</v>
      </c>
      <c r="D2456" s="7" t="n">
        <v>66</v>
      </c>
      <c r="E2456" s="7" t="n">
        <v>96</v>
      </c>
      <c r="F2456" s="3" t="n">
        <f aca="false">COUNTIFS($B$2:$B$2705,B2456,$C$2:$C$2705,C2456)</f>
        <v>1</v>
      </c>
      <c r="G2456" s="3" t="n">
        <f aca="false">MIN(INT((MIN(B2456,2020)-1900)/10)+1,12)</f>
        <v>12</v>
      </c>
      <c r="H2456" s="3" t="n">
        <f aca="false">(MIN(B2456,2020)-1900-10*(G2456-1))/10</f>
        <v>0.7</v>
      </c>
      <c r="I2456" s="20" t="n">
        <f aca="false">EXP(LN(INDEX(Pop_Inputs!$B$2:$N$29,MATCH(C2456,Pop_Inputs!$A$2:$A$29,0),G2456))*(1-H2456)+LN(INDEX(Pop_Inputs!$B$2:$N$29,MATCH(C2456,Pop_Inputs!$A$2:$A$29,0),G2456+1))*H2456)</f>
        <v>1580052.25518343</v>
      </c>
      <c r="J2456" s="20" t="n">
        <f aca="false">I2456/F2456</f>
        <v>1580052.25518343</v>
      </c>
      <c r="K2456" s="21" t="n">
        <f aca="false">D2456/(D2456+E2456)</f>
        <v>0.407407407407407</v>
      </c>
      <c r="L2456" s="21" t="n">
        <f aca="false">AVERAGEIFS($K$2:$K$2705,$B$2:$B$2705,B2456)</f>
        <v>0.5</v>
      </c>
      <c r="M2456" s="21" t="n">
        <f aca="false">K2456-L2456</f>
        <v>-0.0925925925925926</v>
      </c>
      <c r="N2456" s="21" t="n">
        <f aca="false">LN(J2456)</f>
        <v>14.2729684773572</v>
      </c>
      <c r="O2456" s="21" t="n">
        <f aca="false">AVERAGEIFS($N$2:$N$2705,$B$2:$B$2705,B2456)</f>
        <v>13.6606599023007</v>
      </c>
      <c r="P2456" s="21" t="n">
        <f aca="false">N2456-O2456</f>
        <v>0.612308575056408</v>
      </c>
      <c r="Q2456" s="7" t="n">
        <v>0</v>
      </c>
      <c r="R2456" s="3" t="n">
        <f aca="false">IF(AND(Q2456=1,B2456-_xlfn.MINIFS($B$2:$B$2705,$A$2:$A$2705,A2456)&lt;10),1,0)</f>
        <v>0</v>
      </c>
      <c r="S2456" s="7" t="n">
        <v>0</v>
      </c>
      <c r="T2456" s="3" t="n">
        <f aca="false">_xlfn.MINIFS($B$2:$B$2705,$A$2:$A$2705,A2456)</f>
        <v>1901</v>
      </c>
      <c r="U2456" s="3" t="n">
        <f aca="false">B2456-T2456</f>
        <v>116</v>
      </c>
      <c r="V2456" s="3" t="str">
        <f aca="false">INDEX(Pop_Inputs!$Q$2:$Q$29,MATCH(C2456,Pop_Inputs!$A$2:$A$29,0))</f>
        <v>Northeast</v>
      </c>
      <c r="W2456" s="29" t="n">
        <v>111378000</v>
      </c>
      <c r="X2456" s="3" t="n">
        <f aca="false">IF(W2456="","",LN(W2456))</f>
        <v>18.5284403794194</v>
      </c>
      <c r="Y2456" s="3" t="n">
        <f aca="false">IF(X2456="","",X2456-AVERAGEIFS($X$2:$X$2705,$B$2:$B$2705,B2456))</f>
        <v>-0.157109350867884</v>
      </c>
      <c r="Z2456" s="21" t="n">
        <f aca="false">P2456</f>
        <v>0.612308575056408</v>
      </c>
      <c r="AA2456" s="3" t="n">
        <f aca="false">R2456</f>
        <v>0</v>
      </c>
      <c r="AB2456" s="21" t="n">
        <f aca="false">P2456</f>
        <v>0.612308575056408</v>
      </c>
      <c r="AC2456" s="3" t="n">
        <f aca="false">Y2456</f>
        <v>-0.157109350867884</v>
      </c>
      <c r="AD2456" s="3" t="n">
        <f aca="false">R2456</f>
        <v>0</v>
      </c>
    </row>
    <row r="2457" customFormat="false" ht="15" hidden="false" customHeight="true" outlineLevel="0" collapsed="false">
      <c r="A2457" s="7" t="s">
        <v>58</v>
      </c>
      <c r="B2457" s="7" t="n">
        <v>2017</v>
      </c>
      <c r="C2457" s="7" t="s">
        <v>144</v>
      </c>
      <c r="D2457" s="7" t="n">
        <v>75</v>
      </c>
      <c r="E2457" s="7" t="n">
        <v>87</v>
      </c>
      <c r="F2457" s="3" t="n">
        <f aca="false">COUNTIFS($B$2:$B$2705,B2457,$C$2:$C$2705,C2457)</f>
        <v>1</v>
      </c>
      <c r="G2457" s="3" t="n">
        <f aca="false">MIN(INT((MIN(B2457,2020)-1900)/10)+1,12)</f>
        <v>12</v>
      </c>
      <c r="H2457" s="3" t="n">
        <f aca="false">(MIN(B2457,2020)-1900-10*(G2457-1))/10</f>
        <v>0.7</v>
      </c>
      <c r="I2457" s="20" t="n">
        <f aca="false">EXP(LN(INDEX(Pop_Inputs!$B$2:$N$29,MATCH(C2457,Pop_Inputs!$A$2:$A$29,0),G2457))*(1-H2457)+LN(INDEX(Pop_Inputs!$B$2:$N$29,MATCH(C2457,Pop_Inputs!$A$2:$A$29,0),G2457+1))*H2457)</f>
        <v>303788.324536985</v>
      </c>
      <c r="J2457" s="20" t="n">
        <f aca="false">I2457/F2457</f>
        <v>303788.324536985</v>
      </c>
      <c r="K2457" s="21" t="n">
        <f aca="false">D2457/(D2457+E2457)</f>
        <v>0.462962962962963</v>
      </c>
      <c r="L2457" s="21" t="n">
        <f aca="false">AVERAGEIFS($K$2:$K$2705,$B$2:$B$2705,B2457)</f>
        <v>0.5</v>
      </c>
      <c r="M2457" s="21" t="n">
        <f aca="false">K2457-L2457</f>
        <v>-0.037037037037037</v>
      </c>
      <c r="N2457" s="21" t="n">
        <f aca="false">LN(J2457)</f>
        <v>12.6240864369931</v>
      </c>
      <c r="O2457" s="21" t="n">
        <f aca="false">AVERAGEIFS($N$2:$N$2705,$B$2:$B$2705,B2457)</f>
        <v>13.6606599023007</v>
      </c>
      <c r="P2457" s="21" t="n">
        <f aca="false">N2457-O2457</f>
        <v>-1.03657346530761</v>
      </c>
      <c r="Q2457" s="7" t="n">
        <v>0</v>
      </c>
      <c r="R2457" s="3" t="n">
        <f aca="false">IF(AND(Q2457=1,B2457-_xlfn.MINIFS($B$2:$B$2705,$A$2:$A$2705,A2457)&lt;10),1,0)</f>
        <v>0</v>
      </c>
      <c r="S2457" s="7" t="n">
        <v>0</v>
      </c>
      <c r="T2457" s="3" t="n">
        <f aca="false">_xlfn.MINIFS($B$2:$B$2705,$A$2:$A$2705,A2457)</f>
        <v>1901</v>
      </c>
      <c r="U2457" s="3" t="n">
        <f aca="false">B2457-T2457</f>
        <v>116</v>
      </c>
      <c r="V2457" s="3" t="str">
        <f aca="false">INDEX(Pop_Inputs!$Q$2:$Q$29,MATCH(C2457,Pop_Inputs!$A$2:$A$29,0))</f>
        <v>Northeast</v>
      </c>
      <c r="W2457" s="29" t="n">
        <v>100575946</v>
      </c>
      <c r="X2457" s="3" t="n">
        <f aca="false">IF(W2457="","",LN(W2457))</f>
        <v>18.4264236816719</v>
      </c>
      <c r="Y2457" s="3" t="n">
        <f aca="false">IF(X2457="","",X2457-AVERAGEIFS($X$2:$X$2705,$B$2:$B$2705,B2457))</f>
        <v>-0.259126048615425</v>
      </c>
      <c r="Z2457" s="21" t="n">
        <f aca="false">P2457</f>
        <v>-1.03657346530761</v>
      </c>
      <c r="AA2457" s="3" t="n">
        <f aca="false">R2457</f>
        <v>0</v>
      </c>
      <c r="AB2457" s="21" t="n">
        <f aca="false">P2457</f>
        <v>-1.03657346530761</v>
      </c>
      <c r="AC2457" s="3" t="n">
        <f aca="false">Y2457</f>
        <v>-0.259126048615425</v>
      </c>
      <c r="AD2457" s="3" t="n">
        <f aca="false">R2457</f>
        <v>0</v>
      </c>
    </row>
    <row r="2458" customFormat="false" ht="15" hidden="false" customHeight="true" outlineLevel="0" collapsed="false">
      <c r="A2458" s="7" t="s">
        <v>78</v>
      </c>
      <c r="B2458" s="7" t="n">
        <v>2017</v>
      </c>
      <c r="C2458" s="7" t="s">
        <v>159</v>
      </c>
      <c r="D2458" s="7" t="n">
        <v>71</v>
      </c>
      <c r="E2458" s="7" t="n">
        <v>91</v>
      </c>
      <c r="F2458" s="3" t="n">
        <f aca="false">COUNTIFS($B$2:$B$2705,B2458,$C$2:$C$2705,C2458)</f>
        <v>1</v>
      </c>
      <c r="G2458" s="3" t="n">
        <f aca="false">MIN(INT((MIN(B2458,2020)-1900)/10)+1,12)</f>
        <v>12</v>
      </c>
      <c r="H2458" s="3" t="n">
        <f aca="false">(MIN(B2458,2020)-1900-10*(G2458-1))/10</f>
        <v>0.7</v>
      </c>
      <c r="I2458" s="20" t="n">
        <f aca="false">EXP(LN(INDEX(Pop_Inputs!$B$2:$N$29,MATCH(C2458,Pop_Inputs!$A$2:$A$29,0),G2458))*(1-H2458)+LN(INDEX(Pop_Inputs!$B$2:$N$29,MATCH(C2458,Pop_Inputs!$A$2:$A$29,0),G2458+1))*H2458)</f>
        <v>1362577.96509049</v>
      </c>
      <c r="J2458" s="20" t="n">
        <f aca="false">I2458/F2458</f>
        <v>1362577.96509049</v>
      </c>
      <c r="K2458" s="21" t="n">
        <f aca="false">D2458/(D2458+E2458)</f>
        <v>0.438271604938272</v>
      </c>
      <c r="L2458" s="21" t="n">
        <f aca="false">AVERAGEIFS($K$2:$K$2705,$B$2:$B$2705,B2458)</f>
        <v>0.5</v>
      </c>
      <c r="M2458" s="21" t="n">
        <f aca="false">K2458-L2458</f>
        <v>-0.0617283950617284</v>
      </c>
      <c r="N2458" s="21" t="n">
        <f aca="false">LN(J2458)</f>
        <v>14.1248890259672</v>
      </c>
      <c r="O2458" s="21" t="n">
        <f aca="false">AVERAGEIFS($N$2:$N$2705,$B$2:$B$2705,B2458)</f>
        <v>13.6606599023007</v>
      </c>
      <c r="P2458" s="21" t="n">
        <f aca="false">N2458-O2458</f>
        <v>0.464229123666433</v>
      </c>
      <c r="Q2458" s="7" t="n">
        <v>1</v>
      </c>
      <c r="R2458" s="3" t="n">
        <f aca="false">IF(AND(Q2458=1,B2458-_xlfn.MINIFS($B$2:$B$2705,$A$2:$A$2705,A2458)&lt;10),1,0)</f>
        <v>0</v>
      </c>
      <c r="S2458" s="7" t="n">
        <v>0</v>
      </c>
      <c r="T2458" s="3" t="n">
        <f aca="false">_xlfn.MINIFS($B$2:$B$2705,$A$2:$A$2705,A2458)</f>
        <v>1969</v>
      </c>
      <c r="U2458" s="3" t="n">
        <f aca="false">B2458-T2458</f>
        <v>48</v>
      </c>
      <c r="V2458" s="3" t="str">
        <f aca="false">INDEX(Pop_Inputs!$Q$2:$Q$29,MATCH(C2458,Pop_Inputs!$A$2:$A$29,0))</f>
        <v>West</v>
      </c>
      <c r="W2458" s="29" t="n">
        <v>71624400</v>
      </c>
      <c r="X2458" s="3" t="n">
        <f aca="false">IF(W2458="","",LN(W2458))</f>
        <v>18.0869463560007</v>
      </c>
      <c r="Y2458" s="3" t="n">
        <f aca="false">IF(X2458="","",X2458-AVERAGEIFS($X$2:$X$2705,$B$2:$B$2705,B2458))</f>
        <v>-0.598603374286558</v>
      </c>
      <c r="Z2458" s="21" t="n">
        <f aca="false">P2458</f>
        <v>0.464229123666433</v>
      </c>
      <c r="AA2458" s="3" t="n">
        <f aca="false">R2458</f>
        <v>0</v>
      </c>
      <c r="AB2458" s="21" t="n">
        <f aca="false">P2458</f>
        <v>0.464229123666433</v>
      </c>
      <c r="AC2458" s="3" t="n">
        <f aca="false">Y2458</f>
        <v>-0.598603374286558</v>
      </c>
      <c r="AD2458" s="3" t="n">
        <f aca="false">R2458</f>
        <v>0</v>
      </c>
    </row>
    <row r="2459" customFormat="false" ht="15" hidden="false" customHeight="true" outlineLevel="0" collapsed="false">
      <c r="A2459" s="7" t="s">
        <v>80</v>
      </c>
      <c r="B2459" s="7" t="n">
        <v>2017</v>
      </c>
      <c r="C2459" s="7" t="s">
        <v>161</v>
      </c>
      <c r="D2459" s="7" t="n">
        <v>78</v>
      </c>
      <c r="E2459" s="7" t="n">
        <v>84</v>
      </c>
      <c r="F2459" s="3" t="n">
        <f aca="false">COUNTIFS($B$2:$B$2705,B2459,$C$2:$C$2705,C2459)</f>
        <v>1</v>
      </c>
      <c r="G2459" s="3" t="n">
        <f aca="false">MIN(INT((MIN(B2459,2020)-1900)/10)+1,12)</f>
        <v>12</v>
      </c>
      <c r="H2459" s="3" t="n">
        <f aca="false">(MIN(B2459,2020)-1900-10*(G2459-1))/10</f>
        <v>0.7</v>
      </c>
      <c r="I2459" s="20" t="n">
        <f aca="false">EXP(LN(INDEX(Pop_Inputs!$B$2:$N$29,MATCH(C2459,Pop_Inputs!$A$2:$A$29,0),G2459))*(1-H2459)+LN(INDEX(Pop_Inputs!$B$2:$N$29,MATCH(C2459,Pop_Inputs!$A$2:$A$29,0),G2459+1))*H2459)</f>
        <v>695898.430984658</v>
      </c>
      <c r="J2459" s="20" t="n">
        <f aca="false">I2459/F2459</f>
        <v>695898.430984658</v>
      </c>
      <c r="K2459" s="21" t="n">
        <f aca="false">D2459/(D2459+E2459)</f>
        <v>0.481481481481481</v>
      </c>
      <c r="L2459" s="21" t="n">
        <f aca="false">AVERAGEIFS($K$2:$K$2705,$B$2:$B$2705,B2459)</f>
        <v>0.5</v>
      </c>
      <c r="M2459" s="21" t="n">
        <f aca="false">K2459-L2459</f>
        <v>-0.0185185185185185</v>
      </c>
      <c r="N2459" s="21" t="n">
        <f aca="false">LN(J2459)</f>
        <v>13.4529589961741</v>
      </c>
      <c r="O2459" s="21" t="n">
        <f aca="false">AVERAGEIFS($N$2:$N$2705,$B$2:$B$2705,B2459)</f>
        <v>13.6606599023007</v>
      </c>
      <c r="P2459" s="21" t="n">
        <f aca="false">N2459-O2459</f>
        <v>-0.207700906126682</v>
      </c>
      <c r="Q2459" s="7" t="n">
        <v>1</v>
      </c>
      <c r="R2459" s="3" t="n">
        <f aca="false">IF(AND(Q2459=1,B2459-_xlfn.MINIFS($B$2:$B$2705,$A$2:$A$2705,A2459)&lt;10),1,0)</f>
        <v>0</v>
      </c>
      <c r="S2459" s="7" t="n">
        <v>0</v>
      </c>
      <c r="T2459" s="3" t="n">
        <f aca="false">_xlfn.MINIFS($B$2:$B$2705,$A$2:$A$2705,A2459)</f>
        <v>1977</v>
      </c>
      <c r="U2459" s="3" t="n">
        <f aca="false">B2459-T2459</f>
        <v>40</v>
      </c>
      <c r="V2459" s="3" t="str">
        <f aca="false">INDEX(Pop_Inputs!$Q$2:$Q$29,MATCH(C2459,Pop_Inputs!$A$2:$A$29,0))</f>
        <v>West</v>
      </c>
      <c r="W2459" s="29" t="n">
        <v>154268842</v>
      </c>
      <c r="X2459" s="3" t="n">
        <f aca="false">IF(W2459="","",LN(W2459))</f>
        <v>18.8542073656399</v>
      </c>
      <c r="Y2459" s="3" t="n">
        <f aca="false">IF(X2459="","",X2459-AVERAGEIFS($X$2:$X$2705,$B$2:$B$2705,B2459))</f>
        <v>0.168657635352563</v>
      </c>
      <c r="Z2459" s="21" t="n">
        <f aca="false">P2459</f>
        <v>-0.207700906126682</v>
      </c>
      <c r="AA2459" s="3" t="n">
        <f aca="false">R2459</f>
        <v>0</v>
      </c>
      <c r="AB2459" s="21" t="n">
        <f aca="false">P2459</f>
        <v>-0.207700906126682</v>
      </c>
      <c r="AC2459" s="3" t="n">
        <f aca="false">Y2459</f>
        <v>0.168657635352563</v>
      </c>
      <c r="AD2459" s="3" t="n">
        <f aca="false">R2459</f>
        <v>0</v>
      </c>
    </row>
    <row r="2460" customFormat="false" ht="15" hidden="false" customHeight="true" outlineLevel="0" collapsed="false">
      <c r="A2460" s="7" t="s">
        <v>61</v>
      </c>
      <c r="B2460" s="7" t="n">
        <v>2017</v>
      </c>
      <c r="C2460" s="7" t="s">
        <v>147</v>
      </c>
      <c r="D2460" s="7" t="n">
        <v>64</v>
      </c>
      <c r="E2460" s="7" t="n">
        <v>98</v>
      </c>
      <c r="F2460" s="3" t="n">
        <f aca="false">COUNTIFS($B$2:$B$2705,B2460,$C$2:$C$2705,C2460)</f>
        <v>1</v>
      </c>
      <c r="G2460" s="3" t="n">
        <f aca="false">MIN(INT((MIN(B2460,2020)-1900)/10)+1,12)</f>
        <v>12</v>
      </c>
      <c r="H2460" s="3" t="n">
        <f aca="false">(MIN(B2460,2020)-1900-10*(G2460-1))/10</f>
        <v>0.7</v>
      </c>
      <c r="I2460" s="20" t="n">
        <f aca="false">EXP(LN(INDEX(Pop_Inputs!$B$2:$N$29,MATCH(C2460,Pop_Inputs!$A$2:$A$29,0),G2460))*(1-H2460)+LN(INDEX(Pop_Inputs!$B$2:$N$29,MATCH(C2460,Pop_Inputs!$A$2:$A$29,0),G2460+1))*H2460)</f>
        <v>852751.754233861</v>
      </c>
      <c r="J2460" s="20" t="n">
        <f aca="false">I2460/F2460</f>
        <v>852751.754233861</v>
      </c>
      <c r="K2460" s="21" t="n">
        <f aca="false">D2460/(D2460+E2460)</f>
        <v>0.395061728395062</v>
      </c>
      <c r="L2460" s="21" t="n">
        <f aca="false">AVERAGEIFS($K$2:$K$2705,$B$2:$B$2705,B2460)</f>
        <v>0.5</v>
      </c>
      <c r="M2460" s="21" t="n">
        <f aca="false">K2460-L2460</f>
        <v>-0.104938271604938</v>
      </c>
      <c r="N2460" s="21" t="n">
        <f aca="false">LN(J2460)</f>
        <v>13.6562237574278</v>
      </c>
      <c r="O2460" s="21" t="n">
        <f aca="false">AVERAGEIFS($N$2:$N$2705,$B$2:$B$2705,B2460)</f>
        <v>13.6606599023007</v>
      </c>
      <c r="P2460" s="21" t="n">
        <f aca="false">N2460-O2460</f>
        <v>-0.004436144872912</v>
      </c>
      <c r="Q2460" s="7" t="n">
        <v>0</v>
      </c>
      <c r="R2460" s="3" t="n">
        <f aca="false">IF(AND(Q2460=1,B2460-_xlfn.MINIFS($B$2:$B$2705,$A$2:$A$2705,A2460)&lt;10),1,0)</f>
        <v>0</v>
      </c>
      <c r="S2460" s="7" t="n">
        <v>0</v>
      </c>
      <c r="T2460" s="3" t="n">
        <f aca="false">_xlfn.MINIFS($B$2:$B$2705,$A$2:$A$2705,A2460)</f>
        <v>1901</v>
      </c>
      <c r="U2460" s="3" t="n">
        <f aca="false">B2460-T2460</f>
        <v>116</v>
      </c>
      <c r="V2460" s="3" t="str">
        <f aca="false">INDEX(Pop_Inputs!$Q$2:$Q$29,MATCH(C2460,Pop_Inputs!$A$2:$A$29,0))</f>
        <v>West</v>
      </c>
      <c r="W2460" s="29" t="n">
        <v>172354611</v>
      </c>
      <c r="X2460" s="3" t="n">
        <f aca="false">IF(W2460="","",LN(W2460))</f>
        <v>18.9650646042681</v>
      </c>
      <c r="Y2460" s="3" t="n">
        <f aca="false">IF(X2460="","",X2460-AVERAGEIFS($X$2:$X$2705,$B$2:$B$2705,B2460))</f>
        <v>0.279514873980844</v>
      </c>
      <c r="Z2460" s="21" t="n">
        <f aca="false">P2460</f>
        <v>-0.004436144872912</v>
      </c>
      <c r="AA2460" s="3" t="n">
        <f aca="false">R2460</f>
        <v>0</v>
      </c>
      <c r="AB2460" s="21" t="n">
        <f aca="false">P2460</f>
        <v>-0.004436144872912</v>
      </c>
      <c r="AC2460" s="3" t="n">
        <f aca="false">Y2460</f>
        <v>0.279514873980844</v>
      </c>
      <c r="AD2460" s="3" t="n">
        <f aca="false">R2460</f>
        <v>0</v>
      </c>
    </row>
    <row r="2461" customFormat="false" ht="15" hidden="false" customHeight="true" outlineLevel="0" collapsed="false">
      <c r="A2461" s="7" t="s">
        <v>59</v>
      </c>
      <c r="B2461" s="7" t="n">
        <v>2017</v>
      </c>
      <c r="C2461" s="7" t="s">
        <v>145</v>
      </c>
      <c r="D2461" s="7" t="n">
        <v>83</v>
      </c>
      <c r="E2461" s="7" t="n">
        <v>79</v>
      </c>
      <c r="F2461" s="3" t="n">
        <f aca="false">COUNTIFS($B$2:$B$2705,B2461,$C$2:$C$2705,C2461)</f>
        <v>1</v>
      </c>
      <c r="G2461" s="3" t="n">
        <f aca="false">MIN(INT((MIN(B2461,2020)-1900)/10)+1,12)</f>
        <v>12</v>
      </c>
      <c r="H2461" s="3" t="n">
        <f aca="false">(MIN(B2461,2020)-1900-10*(G2461-1))/10</f>
        <v>0.7</v>
      </c>
      <c r="I2461" s="20" t="n">
        <f aca="false">EXP(LN(INDEX(Pop_Inputs!$B$2:$N$29,MATCH(C2461,Pop_Inputs!$A$2:$A$29,0),G2461))*(1-H2461)+LN(INDEX(Pop_Inputs!$B$2:$N$29,MATCH(C2461,Pop_Inputs!$A$2:$A$29,0),G2461+1))*H2461)</f>
        <v>306787.024310082</v>
      </c>
      <c r="J2461" s="20" t="n">
        <f aca="false">I2461/F2461</f>
        <v>306787.024310082</v>
      </c>
      <c r="K2461" s="21" t="n">
        <f aca="false">D2461/(D2461+E2461)</f>
        <v>0.512345679012346</v>
      </c>
      <c r="L2461" s="21" t="n">
        <f aca="false">AVERAGEIFS($K$2:$K$2705,$B$2:$B$2705,B2461)</f>
        <v>0.5</v>
      </c>
      <c r="M2461" s="21" t="n">
        <f aca="false">K2461-L2461</f>
        <v>0.0123456790123457</v>
      </c>
      <c r="N2461" s="21" t="n">
        <f aca="false">LN(J2461)</f>
        <v>12.633909053937</v>
      </c>
      <c r="O2461" s="21" t="n">
        <f aca="false">AVERAGEIFS($N$2:$N$2705,$B$2:$B$2705,B2461)</f>
        <v>13.6606599023007</v>
      </c>
      <c r="P2461" s="21" t="n">
        <f aca="false">N2461-O2461</f>
        <v>-1.02675084836371</v>
      </c>
      <c r="Q2461" s="7" t="n">
        <v>0</v>
      </c>
      <c r="R2461" s="3" t="n">
        <f aca="false">IF(AND(Q2461=1,B2461-_xlfn.MINIFS($B$2:$B$2705,$A$2:$A$2705,A2461)&lt;10),1,0)</f>
        <v>0</v>
      </c>
      <c r="S2461" s="7" t="n">
        <v>0</v>
      </c>
      <c r="T2461" s="3" t="n">
        <f aca="false">_xlfn.MINIFS($B$2:$B$2705,$A$2:$A$2705,A2461)</f>
        <v>1901</v>
      </c>
      <c r="U2461" s="3" t="n">
        <f aca="false">B2461-T2461</f>
        <v>116</v>
      </c>
      <c r="V2461" s="3" t="str">
        <f aca="false">INDEX(Pop_Inputs!$Q$2:$Q$29,MATCH(C2461,Pop_Inputs!$A$2:$A$29,0))</f>
        <v>Midwest</v>
      </c>
      <c r="W2461" s="29" t="n">
        <v>151680000</v>
      </c>
      <c r="X2461" s="3" t="n">
        <f aca="false">IF(W2461="","",LN(W2461))</f>
        <v>18.837283596471</v>
      </c>
      <c r="Y2461" s="3" t="n">
        <f aca="false">IF(X2461="","",X2461-AVERAGEIFS($X$2:$X$2705,$B$2:$B$2705,B2461))</f>
        <v>0.151733866183687</v>
      </c>
      <c r="Z2461" s="21" t="n">
        <f aca="false">P2461</f>
        <v>-1.02675084836371</v>
      </c>
      <c r="AA2461" s="3" t="n">
        <f aca="false">R2461</f>
        <v>0</v>
      </c>
      <c r="AB2461" s="21" t="n">
        <f aca="false">P2461</f>
        <v>-1.02675084836371</v>
      </c>
      <c r="AC2461" s="3" t="n">
        <f aca="false">Y2461</f>
        <v>0.151733866183687</v>
      </c>
      <c r="AD2461" s="3" t="n">
        <f aca="false">R2461</f>
        <v>0</v>
      </c>
    </row>
    <row r="2462" customFormat="false" ht="15" hidden="false" customHeight="true" outlineLevel="0" collapsed="false">
      <c r="A2462" s="7" t="s">
        <v>85</v>
      </c>
      <c r="B2462" s="7" t="n">
        <v>2017</v>
      </c>
      <c r="C2462" s="7" t="s">
        <v>166</v>
      </c>
      <c r="D2462" s="7" t="n">
        <v>80</v>
      </c>
      <c r="E2462" s="7" t="n">
        <v>82</v>
      </c>
      <c r="F2462" s="3" t="n">
        <f aca="false">COUNTIFS($B$2:$B$2705,B2462,$C$2:$C$2705,C2462)</f>
        <v>1</v>
      </c>
      <c r="G2462" s="3" t="n">
        <f aca="false">MIN(INT((MIN(B2462,2020)-1900)/10)+1,12)</f>
        <v>12</v>
      </c>
      <c r="H2462" s="3" t="n">
        <f aca="false">(MIN(B2462,2020)-1900-10*(G2462-1))/10</f>
        <v>0.7</v>
      </c>
      <c r="I2462" s="20" t="n">
        <f aca="false">EXP(LN(INDEX(Pop_Inputs!$B$2:$N$29,MATCH(C2462,Pop_Inputs!$A$2:$A$29,0),G2462))*(1-H2462)+LN(INDEX(Pop_Inputs!$B$2:$N$29,MATCH(C2462,Pop_Inputs!$A$2:$A$29,0),G2462+1))*H2462)</f>
        <v>369469.871523117</v>
      </c>
      <c r="J2462" s="20" t="n">
        <f aca="false">I2462/F2462</f>
        <v>369469.871523117</v>
      </c>
      <c r="K2462" s="21" t="n">
        <f aca="false">D2462/(D2462+E2462)</f>
        <v>0.493827160493827</v>
      </c>
      <c r="L2462" s="21" t="n">
        <f aca="false">AVERAGEIFS($K$2:$K$2705,$B$2:$B$2705,B2462)</f>
        <v>0.5</v>
      </c>
      <c r="M2462" s="21" t="n">
        <f aca="false">K2462-L2462</f>
        <v>-0.00617283950617287</v>
      </c>
      <c r="N2462" s="21" t="n">
        <f aca="false">LN(J2462)</f>
        <v>12.8198244775429</v>
      </c>
      <c r="O2462" s="21" t="n">
        <f aca="false">AVERAGEIFS($N$2:$N$2705,$B$2:$B$2705,B2462)</f>
        <v>13.6606599023007</v>
      </c>
      <c r="P2462" s="21" t="n">
        <f aca="false">N2462-O2462</f>
        <v>-0.840835424757866</v>
      </c>
      <c r="Q2462" s="7" t="n">
        <v>1</v>
      </c>
      <c r="R2462" s="3" t="n">
        <f aca="false">IF(AND(Q2462=1,B2462-_xlfn.MINIFS($B$2:$B$2705,$A$2:$A$2705,A2462)&lt;10),1,0)</f>
        <v>0</v>
      </c>
      <c r="S2462" s="7" t="n">
        <v>0</v>
      </c>
      <c r="T2462" s="3" t="n">
        <f aca="false">_xlfn.MINIFS($B$2:$B$2705,$A$2:$A$2705,A2462)</f>
        <v>1998</v>
      </c>
      <c r="U2462" s="3" t="n">
        <f aca="false">B2462-T2462</f>
        <v>19</v>
      </c>
      <c r="V2462" s="3" t="str">
        <f aca="false">INDEX(Pop_Inputs!$Q$2:$Q$29,MATCH(C2462,Pop_Inputs!$A$2:$A$29,0))</f>
        <v>South</v>
      </c>
      <c r="W2462" s="29" t="n">
        <v>69962532</v>
      </c>
      <c r="X2462" s="3" t="n">
        <f aca="false">IF(W2462="","",LN(W2462))</f>
        <v>18.0634703995695</v>
      </c>
      <c r="Y2462" s="3" t="n">
        <f aca="false">IF(X2462="","",X2462-AVERAGEIFS($X$2:$X$2705,$B$2:$B$2705,B2462))</f>
        <v>-0.622079330717764</v>
      </c>
      <c r="Z2462" s="21" t="n">
        <f aca="false">P2462</f>
        <v>-0.840835424757866</v>
      </c>
      <c r="AA2462" s="3" t="n">
        <f aca="false">R2462</f>
        <v>0</v>
      </c>
      <c r="AB2462" s="21" t="n">
        <f aca="false">P2462</f>
        <v>-0.840835424757866</v>
      </c>
      <c r="AC2462" s="3" t="n">
        <f aca="false">Y2462</f>
        <v>-0.622079330717764</v>
      </c>
      <c r="AD2462" s="3" t="n">
        <f aca="false">R2462</f>
        <v>0</v>
      </c>
    </row>
    <row r="2463" customFormat="false" ht="15" hidden="false" customHeight="true" outlineLevel="0" collapsed="false">
      <c r="A2463" s="7" t="s">
        <v>73</v>
      </c>
      <c r="B2463" s="7" t="n">
        <v>2017</v>
      </c>
      <c r="C2463" s="7" t="s">
        <v>155</v>
      </c>
      <c r="D2463" s="7" t="n">
        <v>78</v>
      </c>
      <c r="E2463" s="7" t="n">
        <v>84</v>
      </c>
      <c r="F2463" s="3" t="n">
        <f aca="false">COUNTIFS($B$2:$B$2705,B2463,$C$2:$C$2705,C2463)</f>
        <v>1</v>
      </c>
      <c r="G2463" s="3" t="n">
        <f aca="false">MIN(INT((MIN(B2463,2020)-1900)/10)+1,12)</f>
        <v>12</v>
      </c>
      <c r="H2463" s="3" t="n">
        <f aca="false">(MIN(B2463,2020)-1900-10*(G2463-1))/10</f>
        <v>0.7</v>
      </c>
      <c r="I2463" s="20" t="n">
        <f aca="false">EXP(LN(INDEX(Pop_Inputs!$B$2:$N$29,MATCH(C2463,Pop_Inputs!$A$2:$A$29,0),G2463))*(1-H2463)+LN(INDEX(Pop_Inputs!$B$2:$N$29,MATCH(C2463,Pop_Inputs!$A$2:$A$29,0),G2463+1))*H2463)</f>
        <v>1271451.18742595</v>
      </c>
      <c r="J2463" s="20" t="n">
        <f aca="false">I2463/F2463</f>
        <v>1271451.18742595</v>
      </c>
      <c r="K2463" s="21" t="n">
        <f aca="false">D2463/(D2463+E2463)</f>
        <v>0.481481481481481</v>
      </c>
      <c r="L2463" s="21" t="n">
        <f aca="false">AVERAGEIFS($K$2:$K$2705,$B$2:$B$2705,B2463)</f>
        <v>0.5</v>
      </c>
      <c r="M2463" s="21" t="n">
        <f aca="false">K2463-L2463</f>
        <v>-0.0185185185185185</v>
      </c>
      <c r="N2463" s="21" t="n">
        <f aca="false">LN(J2463)</f>
        <v>14.055669473352</v>
      </c>
      <c r="O2463" s="21" t="n">
        <f aca="false">AVERAGEIFS($N$2:$N$2705,$B$2:$B$2705,B2463)</f>
        <v>13.6606599023007</v>
      </c>
      <c r="P2463" s="21" t="n">
        <f aca="false">N2463-O2463</f>
        <v>0.395009571051213</v>
      </c>
      <c r="Q2463" s="7" t="n">
        <v>1</v>
      </c>
      <c r="R2463" s="3" t="n">
        <f aca="false">IF(AND(Q2463=1,B2463-_xlfn.MINIFS($B$2:$B$2705,$A$2:$A$2705,A2463)&lt;10),1,0)</f>
        <v>0</v>
      </c>
      <c r="S2463" s="7" t="n">
        <v>0</v>
      </c>
      <c r="T2463" s="3" t="n">
        <f aca="false">_xlfn.MINIFS($B$2:$B$2705,$A$2:$A$2705,A2463)</f>
        <v>1961</v>
      </c>
      <c r="U2463" s="3" t="n">
        <f aca="false">B2463-T2463</f>
        <v>56</v>
      </c>
      <c r="V2463" s="3" t="str">
        <f aca="false">INDEX(Pop_Inputs!$Q$2:$Q$29,MATCH(C2463,Pop_Inputs!$A$2:$A$29,0))</f>
        <v>South</v>
      </c>
      <c r="W2463" s="29" t="n">
        <v>175909063</v>
      </c>
      <c r="X2463" s="3" t="n">
        <f aca="false">IF(W2463="","",LN(W2463))</f>
        <v>18.9854777319734</v>
      </c>
      <c r="Y2463" s="3" t="n">
        <f aca="false">IF(X2463="","",X2463-AVERAGEIFS($X$2:$X$2705,$B$2:$B$2705,B2463))</f>
        <v>0.299928001686144</v>
      </c>
      <c r="Z2463" s="21" t="n">
        <f aca="false">P2463</f>
        <v>0.395009571051213</v>
      </c>
      <c r="AA2463" s="3" t="n">
        <f aca="false">R2463</f>
        <v>0</v>
      </c>
      <c r="AB2463" s="21" t="n">
        <f aca="false">P2463</f>
        <v>0.395009571051213</v>
      </c>
      <c r="AC2463" s="3" t="n">
        <f aca="false">Y2463</f>
        <v>0.299928001686144</v>
      </c>
      <c r="AD2463" s="3" t="n">
        <f aca="false">R2463</f>
        <v>0</v>
      </c>
    </row>
    <row r="2464" customFormat="false" ht="15" hidden="false" customHeight="true" outlineLevel="0" collapsed="false">
      <c r="A2464" s="7" t="s">
        <v>81</v>
      </c>
      <c r="B2464" s="7" t="n">
        <v>2017</v>
      </c>
      <c r="C2464" s="7" t="s">
        <v>162</v>
      </c>
      <c r="D2464" s="7" t="n">
        <v>76</v>
      </c>
      <c r="E2464" s="7" t="n">
        <v>86</v>
      </c>
      <c r="F2464" s="3" t="n">
        <f aca="false">COUNTIFS($B$2:$B$2705,B2464,$C$2:$C$2705,C2464)</f>
        <v>1</v>
      </c>
      <c r="G2464" s="3" t="n">
        <f aca="false">MIN(INT((MIN(B2464,2020)-1900)/10)+1,12)</f>
        <v>12</v>
      </c>
      <c r="H2464" s="3" t="n">
        <f aca="false">(MIN(B2464,2020)-1900-10*(G2464-1))/10</f>
        <v>0.7</v>
      </c>
      <c r="I2464" s="20" t="n">
        <f aca="false">EXP(LN(INDEX(Pop_Inputs!$B$2:$N$29,MATCH(C2464,Pop_Inputs!$A$2:$A$29,0),G2464))*(1-H2464)+LN(INDEX(Pop_Inputs!$B$2:$N$29,MATCH(C2464,Pop_Inputs!$A$2:$A$29,0),G2464+1))*H2464)</f>
        <v>2739313.33291642</v>
      </c>
      <c r="J2464" s="20" t="n">
        <f aca="false">I2464/F2464</f>
        <v>2739313.33291642</v>
      </c>
      <c r="K2464" s="21" t="n">
        <f aca="false">D2464/(D2464+E2464)</f>
        <v>0.469135802469136</v>
      </c>
      <c r="L2464" s="21" t="n">
        <f aca="false">AVERAGEIFS($K$2:$K$2705,$B$2:$B$2705,B2464)</f>
        <v>0.5</v>
      </c>
      <c r="M2464" s="21" t="n">
        <f aca="false">K2464-L2464</f>
        <v>-0.0308641975308642</v>
      </c>
      <c r="N2464" s="21" t="n">
        <f aca="false">LN(J2464)</f>
        <v>14.823217838532</v>
      </c>
      <c r="O2464" s="21" t="n">
        <f aca="false">AVERAGEIFS($N$2:$N$2705,$B$2:$B$2705,B2464)</f>
        <v>13.6606599023007</v>
      </c>
      <c r="P2464" s="21" t="n">
        <f aca="false">N2464-O2464</f>
        <v>1.1625579362313</v>
      </c>
      <c r="Q2464" s="7" t="n">
        <v>1</v>
      </c>
      <c r="R2464" s="3" t="n">
        <f aca="false">IF(AND(Q2464=1,B2464-_xlfn.MINIFS($B$2:$B$2705,$A$2:$A$2705,A2464)&lt;10),1,0)</f>
        <v>0</v>
      </c>
      <c r="S2464" s="7" t="n">
        <v>0</v>
      </c>
      <c r="T2464" s="3" t="n">
        <f aca="false">_xlfn.MINIFS($B$2:$B$2705,$A$2:$A$2705,A2464)</f>
        <v>1977</v>
      </c>
      <c r="U2464" s="3" t="n">
        <f aca="false">B2464-T2464</f>
        <v>40</v>
      </c>
      <c r="V2464" s="3" t="str">
        <f aca="false">INDEX(Pop_Inputs!$Q$2:$Q$29,MATCH(C2464,Pop_Inputs!$A$2:$A$29,0))</f>
        <v>Canada</v>
      </c>
      <c r="W2464" s="29" t="n">
        <v>177795368</v>
      </c>
      <c r="X2464" s="3" t="n">
        <f aca="false">IF(W2464="","",LN(W2464))</f>
        <v>18.9961438289612</v>
      </c>
      <c r="Y2464" s="3" t="n">
        <f aca="false">IF(X2464="","",X2464-AVERAGEIFS($X$2:$X$2705,$B$2:$B$2705,B2464))</f>
        <v>0.310594098673896</v>
      </c>
      <c r="Z2464" s="21" t="n">
        <f aca="false">P2464</f>
        <v>1.1625579362313</v>
      </c>
      <c r="AA2464" s="3" t="n">
        <f aca="false">R2464</f>
        <v>0</v>
      </c>
      <c r="AB2464" s="21" t="n">
        <f aca="false">P2464</f>
        <v>1.1625579362313</v>
      </c>
      <c r="AC2464" s="3" t="n">
        <f aca="false">Y2464</f>
        <v>0.310594098673896</v>
      </c>
      <c r="AD2464" s="3" t="n">
        <f aca="false">R2464</f>
        <v>0</v>
      </c>
    </row>
    <row r="2465" customFormat="false" ht="15" hidden="false" customHeight="true" outlineLevel="0" collapsed="false">
      <c r="A2465" s="7" t="s">
        <v>79</v>
      </c>
      <c r="B2465" s="7" t="n">
        <v>2017</v>
      </c>
      <c r="C2465" s="7" t="s">
        <v>160</v>
      </c>
      <c r="D2465" s="7" t="n">
        <v>97</v>
      </c>
      <c r="E2465" s="7" t="n">
        <v>65</v>
      </c>
      <c r="F2465" s="3" t="n">
        <f aca="false">COUNTIFS($B$2:$B$2705,B2465,$C$2:$C$2705,C2465)</f>
        <v>1</v>
      </c>
      <c r="G2465" s="3" t="n">
        <f aca="false">MIN(INT((MIN(B2465,2020)-1900)/10)+1,12)</f>
        <v>12</v>
      </c>
      <c r="H2465" s="3" t="n">
        <f aca="false">(MIN(B2465,2020)-1900-10*(G2465-1))/10</f>
        <v>0.7</v>
      </c>
      <c r="I2465" s="20" t="n">
        <f aca="false">EXP(LN(INDEX(Pop_Inputs!$B$2:$N$29,MATCH(C2465,Pop_Inputs!$A$2:$A$29,0),G2465))*(1-H2465)+LN(INDEX(Pop_Inputs!$B$2:$N$29,MATCH(C2465,Pop_Inputs!$A$2:$A$29,0),G2465+1))*H2465)</f>
        <v>661931.140932909</v>
      </c>
      <c r="J2465" s="20" t="n">
        <f aca="false">I2465/F2465</f>
        <v>661931.140932909</v>
      </c>
      <c r="K2465" s="21" t="n">
        <f aca="false">D2465/(D2465+E2465)</f>
        <v>0.598765432098765</v>
      </c>
      <c r="L2465" s="21" t="n">
        <f aca="false">AVERAGEIFS($K$2:$K$2705,$B$2:$B$2705,B2465)</f>
        <v>0.5</v>
      </c>
      <c r="M2465" s="21" t="n">
        <f aca="false">K2465-L2465</f>
        <v>0.0987654320987654</v>
      </c>
      <c r="N2465" s="21" t="n">
        <f aca="false">LN(J2465)</f>
        <v>13.4029168127914</v>
      </c>
      <c r="O2465" s="21" t="n">
        <f aca="false">AVERAGEIFS($N$2:$N$2705,$B$2:$B$2705,B2465)</f>
        <v>13.6606599023007</v>
      </c>
      <c r="P2465" s="21" t="n">
        <f aca="false">N2465-O2465</f>
        <v>-0.257743089509377</v>
      </c>
      <c r="Q2465" s="7" t="n">
        <v>1</v>
      </c>
      <c r="R2465" s="3" t="n">
        <f aca="false">IF(AND(Q2465=1,B2465-_xlfn.MINIFS($B$2:$B$2705,$A$2:$A$2705,A2465)&lt;10),1,0)</f>
        <v>0</v>
      </c>
      <c r="S2465" s="7" t="n">
        <v>0</v>
      </c>
      <c r="T2465" s="3" t="n">
        <f aca="false">_xlfn.MINIFS($B$2:$B$2705,$A$2:$A$2705,A2465)</f>
        <v>1969</v>
      </c>
      <c r="U2465" s="3" t="n">
        <f aca="false">B2465-T2465</f>
        <v>48</v>
      </c>
      <c r="V2465" s="3" t="str">
        <f aca="false">INDEX(Pop_Inputs!$Q$2:$Q$29,MATCH(C2465,Pop_Inputs!$A$2:$A$29,0))</f>
        <v>South</v>
      </c>
      <c r="W2465" s="29" t="n">
        <v>167846918</v>
      </c>
      <c r="X2465" s="3" t="n">
        <f aca="false">IF(W2465="","",LN(W2465))</f>
        <v>18.9385629195893</v>
      </c>
      <c r="Y2465" s="3" t="n">
        <f aca="false">IF(X2465="","",X2465-AVERAGEIFS($X$2:$X$2705,$B$2:$B$2705,B2465))</f>
        <v>0.253013189302031</v>
      </c>
      <c r="Z2465" s="21" t="n">
        <f aca="false">P2465</f>
        <v>-0.257743089509377</v>
      </c>
      <c r="AA2465" s="3" t="n">
        <f aca="false">R2465</f>
        <v>0</v>
      </c>
      <c r="AB2465" s="21" t="n">
        <f aca="false">P2465</f>
        <v>-0.257743089509377</v>
      </c>
      <c r="AC2465" s="3" t="n">
        <f aca="false">Y2465</f>
        <v>0.253013189302031</v>
      </c>
      <c r="AD2465" s="3" t="n">
        <f aca="false">R2465</f>
        <v>0</v>
      </c>
    </row>
    <row r="2466" customFormat="false" ht="15" hidden="false" customHeight="true" outlineLevel="0" collapsed="false">
      <c r="A2466" s="7" t="s">
        <v>71</v>
      </c>
      <c r="B2466" s="7" t="n">
        <v>2018</v>
      </c>
      <c r="C2466" s="7" t="s">
        <v>148</v>
      </c>
      <c r="D2466" s="7" t="n">
        <v>80</v>
      </c>
      <c r="E2466" s="7" t="n">
        <v>82</v>
      </c>
      <c r="F2466" s="3" t="n">
        <f aca="false">COUNTIFS($B$2:$B$2705,B2466,$C$2:$C$2705,C2466)</f>
        <v>2</v>
      </c>
      <c r="G2466" s="3" t="n">
        <f aca="false">MIN(INT((MIN(B2466,2020)-1900)/10)+1,12)</f>
        <v>12</v>
      </c>
      <c r="H2466" s="3" t="n">
        <f aca="false">(MIN(B2466,2020)-1900-10*(G2466-1))/10</f>
        <v>0.8</v>
      </c>
      <c r="I2466" s="20" t="n">
        <f aca="false">EXP(LN(INDEX(Pop_Inputs!$B$2:$N$29,MATCH(C2466,Pop_Inputs!$A$2:$A$29,0),G2466))*(1-H2466)+LN(INDEX(Pop_Inputs!$B$2:$N$29,MATCH(C2466,Pop_Inputs!$A$2:$A$29,0),G2466+1))*H2466)</f>
        <v>3877286.84751889</v>
      </c>
      <c r="J2466" s="20" t="n">
        <f aca="false">I2466/F2466</f>
        <v>1938643.42375944</v>
      </c>
      <c r="K2466" s="21" t="n">
        <f aca="false">D2466/(D2466+E2466)</f>
        <v>0.493827160493827</v>
      </c>
      <c r="L2466" s="21" t="n">
        <f aca="false">AVERAGEIFS($K$2:$K$2705,$B$2:$B$2705,B2466)</f>
        <v>0.499918959380742</v>
      </c>
      <c r="M2466" s="21" t="n">
        <f aca="false">K2466-L2466</f>
        <v>-0.00609179888691463</v>
      </c>
      <c r="N2466" s="21" t="n">
        <f aca="false">LN(J2466)</f>
        <v>14.4774990203356</v>
      </c>
      <c r="O2466" s="21" t="n">
        <f aca="false">AVERAGEIFS($N$2:$N$2705,$B$2:$B$2705,B2466)</f>
        <v>13.6667804708835</v>
      </c>
      <c r="P2466" s="21" t="n">
        <f aca="false">N2466-O2466</f>
        <v>0.810718549452021</v>
      </c>
      <c r="Q2466" s="7" t="n">
        <v>1</v>
      </c>
      <c r="R2466" s="3" t="n">
        <f aca="false">IF(AND(Q2466=1,B2466-_xlfn.MINIFS($B$2:$B$2705,$A$2:$A$2705,A2466)&lt;10),1,0)</f>
        <v>0</v>
      </c>
      <c r="S2466" s="7" t="n">
        <v>0</v>
      </c>
      <c r="T2466" s="3" t="n">
        <f aca="false">_xlfn.MINIFS($B$2:$B$2705,$A$2:$A$2705,A2466)</f>
        <v>1961</v>
      </c>
      <c r="U2466" s="3" t="n">
        <f aca="false">B2466-T2466</f>
        <v>57</v>
      </c>
      <c r="V2466" s="3" t="str">
        <f aca="false">INDEX(Pop_Inputs!$Q$2:$Q$29,MATCH(C2466,Pop_Inputs!$A$2:$A$29,0))</f>
        <v>West</v>
      </c>
      <c r="W2466" s="29" t="n">
        <v>176748648</v>
      </c>
      <c r="X2466" s="3" t="n">
        <f aca="false">IF(W2466="","",LN(W2466))</f>
        <v>18.9902392134896</v>
      </c>
      <c r="Y2466" s="3" t="n">
        <f aca="false">IF(X2466="","",X2466-AVERAGEIFS($X$2:$X$2705,$B$2:$B$2705,B2466))</f>
        <v>0.184999492120209</v>
      </c>
      <c r="Z2466" s="21" t="n">
        <f aca="false">P2466</f>
        <v>0.810718549452021</v>
      </c>
      <c r="AA2466" s="3" t="n">
        <f aca="false">R2466</f>
        <v>0</v>
      </c>
      <c r="AB2466" s="21" t="n">
        <f aca="false">P2466</f>
        <v>0.810718549452021</v>
      </c>
      <c r="AC2466" s="3" t="n">
        <f aca="false">Y2466</f>
        <v>0.184999492120209</v>
      </c>
      <c r="AD2466" s="3" t="n">
        <f aca="false">R2466</f>
        <v>0</v>
      </c>
    </row>
    <row r="2467" customFormat="false" ht="15" hidden="false" customHeight="true" outlineLevel="0" collapsed="false">
      <c r="A2467" s="7" t="s">
        <v>84</v>
      </c>
      <c r="B2467" s="7" t="n">
        <v>2018</v>
      </c>
      <c r="C2467" s="7" t="s">
        <v>165</v>
      </c>
      <c r="D2467" s="7" t="n">
        <v>82</v>
      </c>
      <c r="E2467" s="7" t="n">
        <v>80</v>
      </c>
      <c r="F2467" s="3" t="n">
        <f aca="false">COUNTIFS($B$2:$B$2705,B2467,$C$2:$C$2705,C2467)</f>
        <v>1</v>
      </c>
      <c r="G2467" s="3" t="n">
        <f aca="false">MIN(INT((MIN(B2467,2020)-1900)/10)+1,12)</f>
        <v>12</v>
      </c>
      <c r="H2467" s="3" t="n">
        <f aca="false">(MIN(B2467,2020)-1900-10*(G2467-1))/10</f>
        <v>0.8</v>
      </c>
      <c r="I2467" s="20" t="n">
        <f aca="false">EXP(LN(INDEX(Pop_Inputs!$B$2:$N$29,MATCH(C2467,Pop_Inputs!$A$2:$A$29,0),G2467))*(1-H2467)+LN(INDEX(Pop_Inputs!$B$2:$N$29,MATCH(C2467,Pop_Inputs!$A$2:$A$29,0),G2467+1))*H2467)</f>
        <v>1574238.09666284</v>
      </c>
      <c r="J2467" s="20" t="n">
        <f aca="false">I2467/F2467</f>
        <v>1574238.09666284</v>
      </c>
      <c r="K2467" s="21" t="n">
        <f aca="false">D2467/(D2467+E2467)</f>
        <v>0.506172839506173</v>
      </c>
      <c r="L2467" s="21" t="n">
        <f aca="false">AVERAGEIFS($K$2:$K$2705,$B$2:$B$2705,B2467)</f>
        <v>0.499918959380742</v>
      </c>
      <c r="M2467" s="21" t="n">
        <f aca="false">K2467-L2467</f>
        <v>0.0062538801254311</v>
      </c>
      <c r="N2467" s="21" t="n">
        <f aca="false">LN(J2467)</f>
        <v>14.2692819650474</v>
      </c>
      <c r="O2467" s="21" t="n">
        <f aca="false">AVERAGEIFS($N$2:$N$2705,$B$2:$B$2705,B2467)</f>
        <v>13.6667804708835</v>
      </c>
      <c r="P2467" s="21" t="n">
        <f aca="false">N2467-O2467</f>
        <v>0.602501494163871</v>
      </c>
      <c r="Q2467" s="7" t="n">
        <v>1</v>
      </c>
      <c r="R2467" s="3" t="n">
        <f aca="false">IF(AND(Q2467=1,B2467-_xlfn.MINIFS($B$2:$B$2705,$A$2:$A$2705,A2467)&lt;10),1,0)</f>
        <v>0</v>
      </c>
      <c r="S2467" s="7" t="n">
        <v>0</v>
      </c>
      <c r="T2467" s="3" t="n">
        <f aca="false">_xlfn.MINIFS($B$2:$B$2705,$A$2:$A$2705,A2467)</f>
        <v>1998</v>
      </c>
      <c r="U2467" s="3" t="n">
        <f aca="false">B2467-T2467</f>
        <v>20</v>
      </c>
      <c r="V2467" s="3" t="str">
        <f aca="false">INDEX(Pop_Inputs!$Q$2:$Q$29,MATCH(C2467,Pop_Inputs!$A$2:$A$29,0))</f>
        <v>West</v>
      </c>
      <c r="W2467" s="29" t="n">
        <v>154962403</v>
      </c>
      <c r="X2467" s="3" t="n">
        <f aca="false">IF(W2467="","",LN(W2467))</f>
        <v>18.8586930841705</v>
      </c>
      <c r="Y2467" s="3" t="n">
        <f aca="false">IF(X2467="","",X2467-AVERAGEIFS($X$2:$X$2705,$B$2:$B$2705,B2467))</f>
        <v>0.0534533628010223</v>
      </c>
      <c r="Z2467" s="21" t="n">
        <f aca="false">P2467</f>
        <v>0.602501494163871</v>
      </c>
      <c r="AA2467" s="3" t="n">
        <f aca="false">R2467</f>
        <v>0</v>
      </c>
      <c r="AB2467" s="21" t="n">
        <f aca="false">P2467</f>
        <v>0.602501494163871</v>
      </c>
      <c r="AC2467" s="3" t="n">
        <f aca="false">Y2467</f>
        <v>0.0534533628010223</v>
      </c>
      <c r="AD2467" s="3" t="n">
        <f aca="false">R2467</f>
        <v>0</v>
      </c>
    </row>
    <row r="2468" customFormat="false" ht="15" hidden="false" customHeight="true" outlineLevel="0" collapsed="false">
      <c r="A2468" s="7" t="s">
        <v>54</v>
      </c>
      <c r="B2468" s="7" t="n">
        <v>2018</v>
      </c>
      <c r="C2468" s="7" t="s">
        <v>141</v>
      </c>
      <c r="D2468" s="7" t="n">
        <v>90</v>
      </c>
      <c r="E2468" s="7" t="n">
        <v>72</v>
      </c>
      <c r="F2468" s="3" t="n">
        <f aca="false">COUNTIFS($B$2:$B$2705,B2468,$C$2:$C$2705,C2468)</f>
        <v>1</v>
      </c>
      <c r="G2468" s="3" t="n">
        <f aca="false">MIN(INT((MIN(B2468,2020)-1900)/10)+1,12)</f>
        <v>12</v>
      </c>
      <c r="H2468" s="3" t="n">
        <f aca="false">(MIN(B2468,2020)-1900-10*(G2468-1))/10</f>
        <v>0.8</v>
      </c>
      <c r="I2468" s="20" t="n">
        <f aca="false">EXP(LN(INDEX(Pop_Inputs!$B$2:$N$29,MATCH(C2468,Pop_Inputs!$A$2:$A$29,0),G2468))*(1-H2468)+LN(INDEX(Pop_Inputs!$B$2:$N$29,MATCH(C2468,Pop_Inputs!$A$2:$A$29,0),G2468+1))*H2468)</f>
        <v>481872.811688519</v>
      </c>
      <c r="J2468" s="20" t="n">
        <f aca="false">I2468/F2468</f>
        <v>481872.811688519</v>
      </c>
      <c r="K2468" s="21" t="n">
        <f aca="false">D2468/(D2468+E2468)</f>
        <v>0.555555555555556</v>
      </c>
      <c r="L2468" s="21" t="n">
        <f aca="false">AVERAGEIFS($K$2:$K$2705,$B$2:$B$2705,B2468)</f>
        <v>0.499918959380742</v>
      </c>
      <c r="M2468" s="21" t="n">
        <f aca="false">K2468-L2468</f>
        <v>0.0556365961748138</v>
      </c>
      <c r="N2468" s="21" t="n">
        <f aca="false">LN(J2468)</f>
        <v>13.0854354820464</v>
      </c>
      <c r="O2468" s="21" t="n">
        <f aca="false">AVERAGEIFS($N$2:$N$2705,$B$2:$B$2705,B2468)</f>
        <v>13.6667804708835</v>
      </c>
      <c r="P2468" s="21" t="n">
        <f aca="false">N2468-O2468</f>
        <v>-0.581344988837136</v>
      </c>
      <c r="Q2468" s="7" t="n">
        <v>0</v>
      </c>
      <c r="R2468" s="3" t="n">
        <f aca="false">IF(AND(Q2468=1,B2468-_xlfn.MINIFS($B$2:$B$2705,$A$2:$A$2705,A2468)&lt;10),1,0)</f>
        <v>0</v>
      </c>
      <c r="S2468" s="7" t="n">
        <v>0</v>
      </c>
      <c r="T2468" s="3" t="n">
        <f aca="false">_xlfn.MINIFS($B$2:$B$2705,$A$2:$A$2705,A2468)</f>
        <v>1901</v>
      </c>
      <c r="U2468" s="3" t="n">
        <f aca="false">B2468-T2468</f>
        <v>117</v>
      </c>
      <c r="V2468" s="3" t="str">
        <f aca="false">INDEX(Pop_Inputs!$Q$2:$Q$29,MATCH(C2468,Pop_Inputs!$A$2:$A$29,0))</f>
        <v>South</v>
      </c>
      <c r="W2468" s="29" t="n">
        <v>136024060</v>
      </c>
      <c r="X2468" s="3" t="n">
        <f aca="false">IF(W2468="","",LN(W2468))</f>
        <v>18.728342339818</v>
      </c>
      <c r="Y2468" s="3" t="n">
        <f aca="false">IF(X2468="","",X2468-AVERAGEIFS($X$2:$X$2705,$B$2:$B$2705,B2468))</f>
        <v>-0.0768973815514364</v>
      </c>
      <c r="Z2468" s="21" t="n">
        <f aca="false">P2468</f>
        <v>-0.581344988837136</v>
      </c>
      <c r="AA2468" s="3" t="n">
        <f aca="false">R2468</f>
        <v>0</v>
      </c>
      <c r="AB2468" s="21" t="n">
        <f aca="false">P2468</f>
        <v>-0.581344988837136</v>
      </c>
      <c r="AC2468" s="3" t="n">
        <f aca="false">Y2468</f>
        <v>-0.0768973815514364</v>
      </c>
      <c r="AD2468" s="3" t="n">
        <f aca="false">R2468</f>
        <v>0</v>
      </c>
    </row>
    <row r="2469" customFormat="false" ht="15" hidden="false" customHeight="true" outlineLevel="0" collapsed="false">
      <c r="A2469" s="7" t="s">
        <v>63</v>
      </c>
      <c r="B2469" s="7" t="n">
        <v>2018</v>
      </c>
      <c r="C2469" s="7" t="s">
        <v>149</v>
      </c>
      <c r="D2469" s="7" t="n">
        <v>47</v>
      </c>
      <c r="E2469" s="7" t="n">
        <v>115</v>
      </c>
      <c r="F2469" s="3" t="n">
        <f aca="false">COUNTIFS($B$2:$B$2705,B2469,$C$2:$C$2705,C2469)</f>
        <v>1</v>
      </c>
      <c r="G2469" s="3" t="n">
        <f aca="false">MIN(INT((MIN(B2469,2020)-1900)/10)+1,12)</f>
        <v>12</v>
      </c>
      <c r="H2469" s="3" t="n">
        <f aca="false">(MIN(B2469,2020)-1900-10*(G2469-1))/10</f>
        <v>0.8</v>
      </c>
      <c r="I2469" s="20" t="n">
        <f aca="false">EXP(LN(INDEX(Pop_Inputs!$B$2:$N$29,MATCH(C2469,Pop_Inputs!$A$2:$A$29,0),G2469))*(1-H2469)+LN(INDEX(Pop_Inputs!$B$2:$N$29,MATCH(C2469,Pop_Inputs!$A$2:$A$29,0),G2469+1))*H2469)</f>
        <v>592594.73652889</v>
      </c>
      <c r="J2469" s="20" t="n">
        <f aca="false">I2469/F2469</f>
        <v>592594.73652889</v>
      </c>
      <c r="K2469" s="21" t="n">
        <f aca="false">D2469/(D2469+E2469)</f>
        <v>0.290123456790123</v>
      </c>
      <c r="L2469" s="21" t="n">
        <f aca="false">AVERAGEIFS($K$2:$K$2705,$B$2:$B$2705,B2469)</f>
        <v>0.499918959380742</v>
      </c>
      <c r="M2469" s="21" t="n">
        <f aca="false">K2469-L2469</f>
        <v>-0.209795502590618</v>
      </c>
      <c r="N2469" s="21" t="n">
        <f aca="false">LN(J2469)</f>
        <v>13.2922660320857</v>
      </c>
      <c r="O2469" s="21" t="n">
        <f aca="false">AVERAGEIFS($N$2:$N$2705,$B$2:$B$2705,B2469)</f>
        <v>13.6667804708835</v>
      </c>
      <c r="P2469" s="21" t="n">
        <f aca="false">N2469-O2469</f>
        <v>-0.374514438797851</v>
      </c>
      <c r="Q2469" s="7" t="n">
        <v>0</v>
      </c>
      <c r="R2469" s="3" t="n">
        <f aca="false">IF(AND(Q2469=1,B2469-_xlfn.MINIFS($B$2:$B$2705,$A$2:$A$2705,A2469)&lt;10),1,0)</f>
        <v>0</v>
      </c>
      <c r="S2469" s="7" t="n">
        <v>0</v>
      </c>
      <c r="T2469" s="3" t="n">
        <f aca="false">_xlfn.MINIFS($B$2:$B$2705,$A$2:$A$2705,A2469)</f>
        <v>1901</v>
      </c>
      <c r="U2469" s="3" t="n">
        <f aca="false">B2469-T2469</f>
        <v>117</v>
      </c>
      <c r="V2469" s="3" t="str">
        <f aca="false">INDEX(Pop_Inputs!$Q$2:$Q$29,MATCH(C2469,Pop_Inputs!$A$2:$A$29,0))</f>
        <v>South</v>
      </c>
      <c r="W2469" s="29" t="n">
        <v>148720053</v>
      </c>
      <c r="X2469" s="3" t="n">
        <f aca="false">IF(W2469="","",LN(W2469))</f>
        <v>18.8175762577518</v>
      </c>
      <c r="Y2469" s="3" t="n">
        <f aca="false">IF(X2469="","",X2469-AVERAGEIFS($X$2:$X$2705,$B$2:$B$2705,B2469))</f>
        <v>0.0123365363823673</v>
      </c>
      <c r="Z2469" s="21" t="n">
        <f aca="false">P2469</f>
        <v>-0.374514438797851</v>
      </c>
      <c r="AA2469" s="3" t="n">
        <f aca="false">R2469</f>
        <v>0</v>
      </c>
      <c r="AB2469" s="21" t="n">
        <f aca="false">P2469</f>
        <v>-0.374514438797851</v>
      </c>
      <c r="AC2469" s="3" t="n">
        <f aca="false">Y2469</f>
        <v>0.0123365363823673</v>
      </c>
      <c r="AD2469" s="3" t="n">
        <f aca="false">R2469</f>
        <v>0</v>
      </c>
    </row>
    <row r="2470" customFormat="false" ht="15" hidden="false" customHeight="true" outlineLevel="0" collapsed="false">
      <c r="A2470" s="7" t="s">
        <v>64</v>
      </c>
      <c r="B2470" s="7" t="n">
        <v>2018</v>
      </c>
      <c r="C2470" s="7" t="s">
        <v>150</v>
      </c>
      <c r="D2470" s="7" t="n">
        <v>108</v>
      </c>
      <c r="E2470" s="7" t="n">
        <v>54</v>
      </c>
      <c r="F2470" s="3" t="n">
        <f aca="false">COUNTIFS($B$2:$B$2705,B2470,$C$2:$C$2705,C2470)</f>
        <v>1</v>
      </c>
      <c r="G2470" s="3" t="n">
        <f aca="false">MIN(INT((MIN(B2470,2020)-1900)/10)+1,12)</f>
        <v>12</v>
      </c>
      <c r="H2470" s="3" t="n">
        <f aca="false">(MIN(B2470,2020)-1900-10*(G2470-1))/10</f>
        <v>0.8</v>
      </c>
      <c r="I2470" s="20" t="n">
        <f aca="false">EXP(LN(INDEX(Pop_Inputs!$B$2:$N$29,MATCH(C2470,Pop_Inputs!$A$2:$A$29,0),G2470))*(1-H2470)+LN(INDEX(Pop_Inputs!$B$2:$N$29,MATCH(C2470,Pop_Inputs!$A$2:$A$29,0),G2470+1))*H2470)</f>
        <v>663615.461167978</v>
      </c>
      <c r="J2470" s="20" t="n">
        <f aca="false">I2470/F2470</f>
        <v>663615.461167978</v>
      </c>
      <c r="K2470" s="21" t="n">
        <f aca="false">D2470/(D2470+E2470)</f>
        <v>0.666666666666667</v>
      </c>
      <c r="L2470" s="21" t="n">
        <f aca="false">AVERAGEIFS($K$2:$K$2705,$B$2:$B$2705,B2470)</f>
        <v>0.499918959380742</v>
      </c>
      <c r="M2470" s="21" t="n">
        <f aca="false">K2470-L2470</f>
        <v>0.166747707285925</v>
      </c>
      <c r="N2470" s="21" t="n">
        <f aca="false">LN(J2470)</f>
        <v>13.405458135954</v>
      </c>
      <c r="O2470" s="21" t="n">
        <f aca="false">AVERAGEIFS($N$2:$N$2705,$B$2:$B$2705,B2470)</f>
        <v>13.6667804708835</v>
      </c>
      <c r="P2470" s="21" t="n">
        <f aca="false">N2470-O2470</f>
        <v>-0.261322334929492</v>
      </c>
      <c r="Q2470" s="7" t="n">
        <v>0</v>
      </c>
      <c r="R2470" s="3" t="n">
        <f aca="false">IF(AND(Q2470=1,B2470-_xlfn.MINIFS($B$2:$B$2705,$A$2:$A$2705,A2470)&lt;10),1,0)</f>
        <v>0</v>
      </c>
      <c r="S2470" s="7" t="n">
        <v>0</v>
      </c>
      <c r="T2470" s="3" t="n">
        <f aca="false">_xlfn.MINIFS($B$2:$B$2705,$A$2:$A$2705,A2470)</f>
        <v>1901</v>
      </c>
      <c r="U2470" s="3" t="n">
        <f aca="false">B2470-T2470</f>
        <v>117</v>
      </c>
      <c r="V2470" s="3" t="str">
        <f aca="false">INDEX(Pop_Inputs!$Q$2:$Q$29,MATCH(C2470,Pop_Inputs!$A$2:$A$29,0))</f>
        <v>Northeast</v>
      </c>
      <c r="W2470" s="29" t="n">
        <v>239481745</v>
      </c>
      <c r="X2470" s="3" t="n">
        <f aca="false">IF(W2470="","",LN(W2470))</f>
        <v>19.2939877506159</v>
      </c>
      <c r="Y2470" s="3" t="n">
        <f aca="false">IF(X2470="","",X2470-AVERAGEIFS($X$2:$X$2705,$B$2:$B$2705,B2470))</f>
        <v>0.488748029246462</v>
      </c>
      <c r="Z2470" s="21" t="n">
        <f aca="false">P2470</f>
        <v>-0.261322334929492</v>
      </c>
      <c r="AA2470" s="3" t="n">
        <f aca="false">R2470</f>
        <v>0</v>
      </c>
      <c r="AB2470" s="21" t="n">
        <f aca="false">P2470</f>
        <v>-0.261322334929492</v>
      </c>
      <c r="AC2470" s="3" t="n">
        <f aca="false">Y2470</f>
        <v>0.488748029246462</v>
      </c>
      <c r="AD2470" s="3" t="n">
        <f aca="false">R2470</f>
        <v>0</v>
      </c>
    </row>
    <row r="2471" customFormat="false" ht="15" hidden="false" customHeight="true" outlineLevel="0" collapsed="false">
      <c r="A2471" s="7" t="s">
        <v>56</v>
      </c>
      <c r="B2471" s="7" t="n">
        <v>2018</v>
      </c>
      <c r="C2471" s="7" t="s">
        <v>142</v>
      </c>
      <c r="D2471" s="7" t="n">
        <v>95</v>
      </c>
      <c r="E2471" s="7" t="n">
        <v>68</v>
      </c>
      <c r="F2471" s="3" t="n">
        <f aca="false">COUNTIFS($B$2:$B$2705,B2471,$C$2:$C$2705,C2471)</f>
        <v>2</v>
      </c>
      <c r="G2471" s="3" t="n">
        <f aca="false">MIN(INT((MIN(B2471,2020)-1900)/10)+1,12)</f>
        <v>12</v>
      </c>
      <c r="H2471" s="3" t="n">
        <f aca="false">(MIN(B2471,2020)-1900-10*(G2471-1))/10</f>
        <v>0.8</v>
      </c>
      <c r="I2471" s="20" t="n">
        <f aca="false">EXP(LN(INDEX(Pop_Inputs!$B$2:$N$29,MATCH(C2471,Pop_Inputs!$A$2:$A$29,0),G2471))*(1-H2471)+LN(INDEX(Pop_Inputs!$B$2:$N$29,MATCH(C2471,Pop_Inputs!$A$2:$A$29,0),G2471+1))*H2471)</f>
        <v>2736154.01296505</v>
      </c>
      <c r="J2471" s="20" t="n">
        <f aca="false">I2471/F2471</f>
        <v>1368077.00648252</v>
      </c>
      <c r="K2471" s="21" t="n">
        <f aca="false">D2471/(D2471+E2471)</f>
        <v>0.582822085889571</v>
      </c>
      <c r="L2471" s="21" t="n">
        <f aca="false">AVERAGEIFS($K$2:$K$2705,$B$2:$B$2705,B2471)</f>
        <v>0.499918959380742</v>
      </c>
      <c r="M2471" s="21" t="n">
        <f aca="false">K2471-L2471</f>
        <v>0.0829031265088288</v>
      </c>
      <c r="N2471" s="21" t="n">
        <f aca="false">LN(J2471)</f>
        <v>14.1289166668687</v>
      </c>
      <c r="O2471" s="21" t="n">
        <f aca="false">AVERAGEIFS($N$2:$N$2705,$B$2:$B$2705,B2471)</f>
        <v>13.6667804708835</v>
      </c>
      <c r="P2471" s="21" t="n">
        <f aca="false">N2471-O2471</f>
        <v>0.462136195985197</v>
      </c>
      <c r="Q2471" s="7" t="n">
        <v>0</v>
      </c>
      <c r="R2471" s="3" t="n">
        <f aca="false">IF(AND(Q2471=1,B2471-_xlfn.MINIFS($B$2:$B$2705,$A$2:$A$2705,A2471)&lt;10),1,0)</f>
        <v>0</v>
      </c>
      <c r="S2471" s="7" t="n">
        <v>0</v>
      </c>
      <c r="T2471" s="3" t="n">
        <f aca="false">_xlfn.MINIFS($B$2:$B$2705,$A$2:$A$2705,A2471)</f>
        <v>1901</v>
      </c>
      <c r="U2471" s="3" t="n">
        <f aca="false">B2471-T2471</f>
        <v>117</v>
      </c>
      <c r="V2471" s="3" t="str">
        <f aca="false">INDEX(Pop_Inputs!$Q$2:$Q$29,MATCH(C2471,Pop_Inputs!$A$2:$A$29,0))</f>
        <v>Midwest</v>
      </c>
      <c r="W2471" s="29" t="n">
        <v>193316649</v>
      </c>
      <c r="X2471" s="3" t="n">
        <f aca="false">IF(W2471="","",LN(W2471))</f>
        <v>19.0798400708369</v>
      </c>
      <c r="Y2471" s="3" t="n">
        <f aca="false">IF(X2471="","",X2471-AVERAGEIFS($X$2:$X$2705,$B$2:$B$2705,B2471))</f>
        <v>0.274600349467427</v>
      </c>
      <c r="Z2471" s="21" t="n">
        <f aca="false">P2471</f>
        <v>0.462136195985197</v>
      </c>
      <c r="AA2471" s="3" t="n">
        <f aca="false">R2471</f>
        <v>0</v>
      </c>
      <c r="AB2471" s="21" t="n">
        <f aca="false">P2471</f>
        <v>0.462136195985197</v>
      </c>
      <c r="AC2471" s="3" t="n">
        <f aca="false">Y2471</f>
        <v>0.274600349467427</v>
      </c>
      <c r="AD2471" s="3" t="n">
        <f aca="false">R2471</f>
        <v>0</v>
      </c>
    </row>
    <row r="2472" customFormat="false" ht="15" hidden="false" customHeight="true" outlineLevel="0" collapsed="false">
      <c r="A2472" s="7" t="s">
        <v>65</v>
      </c>
      <c r="B2472" s="7" t="n">
        <v>2018</v>
      </c>
      <c r="C2472" s="7" t="s">
        <v>142</v>
      </c>
      <c r="D2472" s="7" t="n">
        <v>62</v>
      </c>
      <c r="E2472" s="7" t="n">
        <v>100</v>
      </c>
      <c r="F2472" s="3" t="n">
        <f aca="false">COUNTIFS($B$2:$B$2705,B2472,$C$2:$C$2705,C2472)</f>
        <v>2</v>
      </c>
      <c r="G2472" s="3" t="n">
        <f aca="false">MIN(INT((MIN(B2472,2020)-1900)/10)+1,12)</f>
        <v>12</v>
      </c>
      <c r="H2472" s="3" t="n">
        <f aca="false">(MIN(B2472,2020)-1900-10*(G2472-1))/10</f>
        <v>0.8</v>
      </c>
      <c r="I2472" s="20" t="n">
        <f aca="false">EXP(LN(INDEX(Pop_Inputs!$B$2:$N$29,MATCH(C2472,Pop_Inputs!$A$2:$A$29,0),G2472))*(1-H2472)+LN(INDEX(Pop_Inputs!$B$2:$N$29,MATCH(C2472,Pop_Inputs!$A$2:$A$29,0),G2472+1))*H2472)</f>
        <v>2736154.01296505</v>
      </c>
      <c r="J2472" s="20" t="n">
        <f aca="false">I2472/F2472</f>
        <v>1368077.00648252</v>
      </c>
      <c r="K2472" s="21" t="n">
        <f aca="false">D2472/(D2472+E2472)</f>
        <v>0.382716049382716</v>
      </c>
      <c r="L2472" s="21" t="n">
        <f aca="false">AVERAGEIFS($K$2:$K$2705,$B$2:$B$2705,B2472)</f>
        <v>0.499918959380742</v>
      </c>
      <c r="M2472" s="21" t="n">
        <f aca="false">K2472-L2472</f>
        <v>-0.117202909998026</v>
      </c>
      <c r="N2472" s="21" t="n">
        <f aca="false">LN(J2472)</f>
        <v>14.1289166668687</v>
      </c>
      <c r="O2472" s="21" t="n">
        <f aca="false">AVERAGEIFS($N$2:$N$2705,$B$2:$B$2705,B2472)</f>
        <v>13.6667804708835</v>
      </c>
      <c r="P2472" s="21" t="n">
        <f aca="false">N2472-O2472</f>
        <v>0.462136195985197</v>
      </c>
      <c r="Q2472" s="7" t="n">
        <v>0</v>
      </c>
      <c r="R2472" s="3" t="n">
        <f aca="false">IF(AND(Q2472=1,B2472-_xlfn.MINIFS($B$2:$B$2705,$A$2:$A$2705,A2472)&lt;10),1,0)</f>
        <v>0</v>
      </c>
      <c r="S2472" s="7" t="n">
        <v>0</v>
      </c>
      <c r="T2472" s="3" t="n">
        <f aca="false">_xlfn.MINIFS($B$2:$B$2705,$A$2:$A$2705,A2472)</f>
        <v>1901</v>
      </c>
      <c r="U2472" s="3" t="n">
        <f aca="false">B2472-T2472</f>
        <v>117</v>
      </c>
      <c r="V2472" s="3" t="str">
        <f aca="false">INDEX(Pop_Inputs!$Q$2:$Q$29,MATCH(C2472,Pop_Inputs!$A$2:$A$29,0))</f>
        <v>Midwest</v>
      </c>
      <c r="W2472" s="29" t="n">
        <v>82889649</v>
      </c>
      <c r="X2472" s="3" t="n">
        <f aca="false">IF(W2472="","",LN(W2472))</f>
        <v>18.2330207510311</v>
      </c>
      <c r="Y2472" s="3" t="n">
        <f aca="false">IF(X2472="","",X2472-AVERAGEIFS($X$2:$X$2705,$B$2:$B$2705,B2472))</f>
        <v>-0.572218970338373</v>
      </c>
      <c r="Z2472" s="21" t="n">
        <f aca="false">P2472</f>
        <v>0.462136195985197</v>
      </c>
      <c r="AA2472" s="3" t="n">
        <f aca="false">R2472</f>
        <v>0</v>
      </c>
      <c r="AB2472" s="21" t="n">
        <f aca="false">P2472</f>
        <v>0.462136195985197</v>
      </c>
      <c r="AC2472" s="3" t="n">
        <f aca="false">Y2472</f>
        <v>-0.572218970338373</v>
      </c>
      <c r="AD2472" s="3" t="n">
        <f aca="false">R2472</f>
        <v>0</v>
      </c>
    </row>
    <row r="2473" customFormat="false" ht="15" hidden="false" customHeight="true" outlineLevel="0" collapsed="false">
      <c r="A2473" s="7" t="s">
        <v>57</v>
      </c>
      <c r="B2473" s="7" t="n">
        <v>2018</v>
      </c>
      <c r="C2473" s="7" t="s">
        <v>143</v>
      </c>
      <c r="D2473" s="7" t="n">
        <v>67</v>
      </c>
      <c r="E2473" s="7" t="n">
        <v>95</v>
      </c>
      <c r="F2473" s="3" t="n">
        <f aca="false">COUNTIFS($B$2:$B$2705,B2473,$C$2:$C$2705,C2473)</f>
        <v>1</v>
      </c>
      <c r="G2473" s="3" t="n">
        <f aca="false">MIN(INT((MIN(B2473,2020)-1900)/10)+1,12)</f>
        <v>12</v>
      </c>
      <c r="H2473" s="3" t="n">
        <f aca="false">(MIN(B2473,2020)-1900-10*(G2473-1))/10</f>
        <v>0.8</v>
      </c>
      <c r="I2473" s="20" t="n">
        <f aca="false">EXP(LN(INDEX(Pop_Inputs!$B$2:$N$29,MATCH(C2473,Pop_Inputs!$A$2:$A$29,0),G2473))*(1-H2473)+LN(INDEX(Pop_Inputs!$B$2:$N$29,MATCH(C2473,Pop_Inputs!$A$2:$A$29,0),G2473+1))*H2473)</f>
        <v>306801.62099595</v>
      </c>
      <c r="J2473" s="20" t="n">
        <f aca="false">I2473/F2473</f>
        <v>306801.62099595</v>
      </c>
      <c r="K2473" s="21" t="n">
        <f aca="false">D2473/(D2473+E2473)</f>
        <v>0.41358024691358</v>
      </c>
      <c r="L2473" s="21" t="n">
        <f aca="false">AVERAGEIFS($K$2:$K$2705,$B$2:$B$2705,B2473)</f>
        <v>0.499918959380742</v>
      </c>
      <c r="M2473" s="21" t="n">
        <f aca="false">K2473-L2473</f>
        <v>-0.0863387124671615</v>
      </c>
      <c r="N2473" s="21" t="n">
        <f aca="false">LN(J2473)</f>
        <v>12.6339566320204</v>
      </c>
      <c r="O2473" s="21" t="n">
        <f aca="false">AVERAGEIFS($N$2:$N$2705,$B$2:$B$2705,B2473)</f>
        <v>13.6667804708835</v>
      </c>
      <c r="P2473" s="21" t="n">
        <f aca="false">N2473-O2473</f>
        <v>-1.0328238388631</v>
      </c>
      <c r="Q2473" s="7" t="n">
        <v>0</v>
      </c>
      <c r="R2473" s="3" t="n">
        <f aca="false">IF(AND(Q2473=1,B2473-_xlfn.MINIFS($B$2:$B$2705,$A$2:$A$2705,A2473)&lt;10),1,0)</f>
        <v>0</v>
      </c>
      <c r="S2473" s="7" t="n">
        <v>0</v>
      </c>
      <c r="T2473" s="3" t="n">
        <f aca="false">_xlfn.MINIFS($B$2:$B$2705,$A$2:$A$2705,A2473)</f>
        <v>1901</v>
      </c>
      <c r="U2473" s="3" t="n">
        <f aca="false">B2473-T2473</f>
        <v>117</v>
      </c>
      <c r="V2473" s="3" t="str">
        <f aca="false">INDEX(Pop_Inputs!$Q$2:$Q$29,MATCH(C2473,Pop_Inputs!$A$2:$A$29,0))</f>
        <v>Midwest</v>
      </c>
      <c r="W2473" s="29" t="n">
        <v>111594229</v>
      </c>
      <c r="X2473" s="3" t="n">
        <f aca="false">IF(W2473="","",LN(W2473))</f>
        <v>18.5303798951049</v>
      </c>
      <c r="Y2473" s="3" t="n">
        <f aca="false">IF(X2473="","",X2473-AVERAGEIFS($X$2:$X$2705,$B$2:$B$2705,B2473))</f>
        <v>-0.274859826264564</v>
      </c>
      <c r="Z2473" s="21" t="n">
        <f aca="false">P2473</f>
        <v>-1.0328238388631</v>
      </c>
      <c r="AA2473" s="3" t="n">
        <f aca="false">R2473</f>
        <v>0</v>
      </c>
      <c r="AB2473" s="21" t="n">
        <f aca="false">P2473</f>
        <v>-1.0328238388631</v>
      </c>
      <c r="AC2473" s="3" t="n">
        <f aca="false">Y2473</f>
        <v>-0.274859826264564</v>
      </c>
      <c r="AD2473" s="3" t="n">
        <f aca="false">R2473</f>
        <v>0</v>
      </c>
    </row>
    <row r="2474" customFormat="false" ht="15" hidden="false" customHeight="true" outlineLevel="0" collapsed="false">
      <c r="A2474" s="7" t="s">
        <v>66</v>
      </c>
      <c r="B2474" s="7" t="n">
        <v>2018</v>
      </c>
      <c r="C2474" s="7" t="s">
        <v>151</v>
      </c>
      <c r="D2474" s="7" t="n">
        <v>91</v>
      </c>
      <c r="E2474" s="7" t="n">
        <v>71</v>
      </c>
      <c r="F2474" s="3" t="n">
        <f aca="false">COUNTIFS($B$2:$B$2705,B2474,$C$2:$C$2705,C2474)</f>
        <v>1</v>
      </c>
      <c r="G2474" s="3" t="n">
        <f aca="false">MIN(INT((MIN(B2474,2020)-1900)/10)+1,12)</f>
        <v>12</v>
      </c>
      <c r="H2474" s="3" t="n">
        <f aca="false">(MIN(B2474,2020)-1900-10*(G2474-1))/10</f>
        <v>0.8</v>
      </c>
      <c r="I2474" s="20" t="n">
        <f aca="false">EXP(LN(INDEX(Pop_Inputs!$B$2:$N$29,MATCH(C2474,Pop_Inputs!$A$2:$A$29,0),G2474))*(1-H2474)+LN(INDEX(Pop_Inputs!$B$2:$N$29,MATCH(C2474,Pop_Inputs!$A$2:$A$29,0),G2474+1))*H2474)</f>
        <v>377341.242320337</v>
      </c>
      <c r="J2474" s="20" t="n">
        <f aca="false">I2474/F2474</f>
        <v>377341.242320337</v>
      </c>
      <c r="K2474" s="21" t="n">
        <f aca="false">D2474/(D2474+E2474)</f>
        <v>0.561728395061728</v>
      </c>
      <c r="L2474" s="21" t="n">
        <f aca="false">AVERAGEIFS($K$2:$K$2705,$B$2:$B$2705,B2474)</f>
        <v>0.499918959380742</v>
      </c>
      <c r="M2474" s="21" t="n">
        <f aca="false">K2474-L2474</f>
        <v>0.0618094356809867</v>
      </c>
      <c r="N2474" s="21" t="n">
        <f aca="false">LN(J2474)</f>
        <v>12.8409052090704</v>
      </c>
      <c r="O2474" s="21" t="n">
        <f aca="false">AVERAGEIFS($N$2:$N$2705,$B$2:$B$2705,B2474)</f>
        <v>13.6667804708835</v>
      </c>
      <c r="P2474" s="21" t="n">
        <f aca="false">N2474-O2474</f>
        <v>-0.825875261813135</v>
      </c>
      <c r="Q2474" s="7" t="n">
        <v>0</v>
      </c>
      <c r="R2474" s="3" t="n">
        <f aca="false">IF(AND(Q2474=1,B2474-_xlfn.MINIFS($B$2:$B$2705,$A$2:$A$2705,A2474)&lt;10),1,0)</f>
        <v>0</v>
      </c>
      <c r="S2474" s="7" t="n">
        <v>0</v>
      </c>
      <c r="T2474" s="3" t="n">
        <f aca="false">_xlfn.MINIFS($B$2:$B$2705,$A$2:$A$2705,A2474)</f>
        <v>1901</v>
      </c>
      <c r="U2474" s="3" t="n">
        <f aca="false">B2474-T2474</f>
        <v>117</v>
      </c>
      <c r="V2474" s="3" t="str">
        <f aca="false">INDEX(Pop_Inputs!$Q$2:$Q$29,MATCH(C2474,Pop_Inputs!$A$2:$A$29,0))</f>
        <v>Midwest</v>
      </c>
      <c r="W2474" s="29" t="n">
        <v>150825627</v>
      </c>
      <c r="X2474" s="3" t="n">
        <f aca="false">IF(W2474="","",LN(W2474))</f>
        <v>18.8316349394182</v>
      </c>
      <c r="Y2474" s="3" t="n">
        <f aca="false">IF(X2474="","",X2474-AVERAGEIFS($X$2:$X$2705,$B$2:$B$2705,B2474))</f>
        <v>0.0263952180487834</v>
      </c>
      <c r="Z2474" s="21" t="n">
        <f aca="false">P2474</f>
        <v>-0.825875261813135</v>
      </c>
      <c r="AA2474" s="3" t="n">
        <f aca="false">R2474</f>
        <v>0</v>
      </c>
      <c r="AB2474" s="21" t="n">
        <f aca="false">P2474</f>
        <v>-0.825875261813135</v>
      </c>
      <c r="AC2474" s="3" t="n">
        <f aca="false">Y2474</f>
        <v>0.0263952180487834</v>
      </c>
      <c r="AD2474" s="3" t="n">
        <f aca="false">R2474</f>
        <v>0</v>
      </c>
    </row>
    <row r="2475" customFormat="false" ht="15" hidden="false" customHeight="true" outlineLevel="0" collapsed="false">
      <c r="A2475" s="7" t="s">
        <v>82</v>
      </c>
      <c r="B2475" s="7" t="n">
        <v>2018</v>
      </c>
      <c r="C2475" s="7" t="s">
        <v>163</v>
      </c>
      <c r="D2475" s="7" t="n">
        <v>91</v>
      </c>
      <c r="E2475" s="7" t="n">
        <v>72</v>
      </c>
      <c r="F2475" s="3" t="n">
        <f aca="false">COUNTIFS($B$2:$B$2705,B2475,$C$2:$C$2705,C2475)</f>
        <v>1</v>
      </c>
      <c r="G2475" s="3" t="n">
        <f aca="false">MIN(INT((MIN(B2475,2020)-1900)/10)+1,12)</f>
        <v>12</v>
      </c>
      <c r="H2475" s="3" t="n">
        <f aca="false">(MIN(B2475,2020)-1900-10*(G2475-1))/10</f>
        <v>0.8</v>
      </c>
      <c r="I2475" s="20" t="n">
        <f aca="false">EXP(LN(INDEX(Pop_Inputs!$B$2:$N$29,MATCH(C2475,Pop_Inputs!$A$2:$A$29,0),G2475))*(1-H2475)+LN(INDEX(Pop_Inputs!$B$2:$N$29,MATCH(C2475,Pop_Inputs!$A$2:$A$29,0),G2475+1))*H2475)</f>
        <v>690798.702337755</v>
      </c>
      <c r="J2475" s="20" t="n">
        <f aca="false">I2475/F2475</f>
        <v>690798.702337755</v>
      </c>
      <c r="K2475" s="21" t="n">
        <f aca="false">D2475/(D2475+E2475)</f>
        <v>0.558282208588957</v>
      </c>
      <c r="L2475" s="21" t="n">
        <f aca="false">AVERAGEIFS($K$2:$K$2705,$B$2:$B$2705,B2475)</f>
        <v>0.499918959380742</v>
      </c>
      <c r="M2475" s="21" t="n">
        <f aca="false">K2475-L2475</f>
        <v>0.0583632492082153</v>
      </c>
      <c r="N2475" s="21" t="n">
        <f aca="false">LN(J2475)</f>
        <v>13.4456037467609</v>
      </c>
      <c r="O2475" s="21" t="n">
        <f aca="false">AVERAGEIFS($N$2:$N$2705,$B$2:$B$2705,B2475)</f>
        <v>13.6667804708835</v>
      </c>
      <c r="P2475" s="21" t="n">
        <f aca="false">N2475-O2475</f>
        <v>-0.221176724122596</v>
      </c>
      <c r="Q2475" s="7" t="n">
        <v>1</v>
      </c>
      <c r="R2475" s="3" t="n">
        <f aca="false">IF(AND(Q2475=1,B2475-_xlfn.MINIFS($B$2:$B$2705,$A$2:$A$2705,A2475)&lt;10),1,0)</f>
        <v>0</v>
      </c>
      <c r="S2475" s="7" t="n">
        <v>0</v>
      </c>
      <c r="T2475" s="3" t="n">
        <f aca="false">_xlfn.MINIFS($B$2:$B$2705,$A$2:$A$2705,A2475)</f>
        <v>1993</v>
      </c>
      <c r="U2475" s="3" t="n">
        <f aca="false">B2475-T2475</f>
        <v>25</v>
      </c>
      <c r="V2475" s="3" t="str">
        <f aca="false">INDEX(Pop_Inputs!$Q$2:$Q$29,MATCH(C2475,Pop_Inputs!$A$2:$A$29,0))</f>
        <v>West</v>
      </c>
      <c r="W2475" s="29" t="n">
        <v>151189998</v>
      </c>
      <c r="X2475" s="3" t="n">
        <f aca="false">IF(W2475="","",LN(W2475))</f>
        <v>18.834047868728</v>
      </c>
      <c r="Y2475" s="3" t="n">
        <f aca="false">IF(X2475="","",X2475-AVERAGEIFS($X$2:$X$2705,$B$2:$B$2705,B2475))</f>
        <v>0.0288081473585677</v>
      </c>
      <c r="Z2475" s="21" t="n">
        <f aca="false">P2475</f>
        <v>-0.221176724122596</v>
      </c>
      <c r="AA2475" s="3" t="n">
        <f aca="false">R2475</f>
        <v>0</v>
      </c>
      <c r="AB2475" s="21" t="n">
        <f aca="false">P2475</f>
        <v>-0.221176724122596</v>
      </c>
      <c r="AC2475" s="3" t="n">
        <f aca="false">Y2475</f>
        <v>0.0288081473585677</v>
      </c>
      <c r="AD2475" s="3" t="n">
        <f aca="false">R2475</f>
        <v>0</v>
      </c>
    </row>
    <row r="2476" customFormat="false" ht="15" hidden="false" customHeight="true" outlineLevel="0" collapsed="false">
      <c r="A2476" s="7" t="s">
        <v>67</v>
      </c>
      <c r="B2476" s="7" t="n">
        <v>2018</v>
      </c>
      <c r="C2476" s="7" t="s">
        <v>152</v>
      </c>
      <c r="D2476" s="7" t="n">
        <v>64</v>
      </c>
      <c r="E2476" s="7" t="n">
        <v>98</v>
      </c>
      <c r="F2476" s="3" t="n">
        <f aca="false">COUNTIFS($B$2:$B$2705,B2476,$C$2:$C$2705,C2476)</f>
        <v>1</v>
      </c>
      <c r="G2476" s="3" t="n">
        <f aca="false">MIN(INT((MIN(B2476,2020)-1900)/10)+1,12)</f>
        <v>12</v>
      </c>
      <c r="H2476" s="3" t="n">
        <f aca="false">(MIN(B2476,2020)-1900-10*(G2476-1))/10</f>
        <v>0.8</v>
      </c>
      <c r="I2476" s="20" t="n">
        <f aca="false">EXP(LN(INDEX(Pop_Inputs!$B$2:$N$29,MATCH(C2476,Pop_Inputs!$A$2:$A$29,0),G2476))*(1-H2476)+LN(INDEX(Pop_Inputs!$B$2:$N$29,MATCH(C2476,Pop_Inputs!$A$2:$A$29,0),G2476+1))*H2476)</f>
        <v>653391.595453421</v>
      </c>
      <c r="J2476" s="20" t="n">
        <f aca="false">I2476/F2476</f>
        <v>653391.595453421</v>
      </c>
      <c r="K2476" s="21" t="n">
        <f aca="false">D2476/(D2476+E2476)</f>
        <v>0.395061728395062</v>
      </c>
      <c r="L2476" s="21" t="n">
        <f aca="false">AVERAGEIFS($K$2:$K$2705,$B$2:$B$2705,B2476)</f>
        <v>0.499918959380742</v>
      </c>
      <c r="M2476" s="21" t="n">
        <f aca="false">K2476-L2476</f>
        <v>-0.10485723098568</v>
      </c>
      <c r="N2476" s="21" t="n">
        <f aca="false">LN(J2476)</f>
        <v>13.389931915277</v>
      </c>
      <c r="O2476" s="21" t="n">
        <f aca="false">AVERAGEIFS($N$2:$N$2705,$B$2:$B$2705,B2476)</f>
        <v>13.6667804708835</v>
      </c>
      <c r="P2476" s="21" t="n">
        <f aca="false">N2476-O2476</f>
        <v>-0.276848555606531</v>
      </c>
      <c r="Q2476" s="7" t="n">
        <v>0</v>
      </c>
      <c r="R2476" s="3" t="n">
        <f aca="false">IF(AND(Q2476=1,B2476-_xlfn.MINIFS($B$2:$B$2705,$A$2:$A$2705,A2476)&lt;10),1,0)</f>
        <v>0</v>
      </c>
      <c r="S2476" s="7" t="n">
        <v>0</v>
      </c>
      <c r="T2476" s="3" t="n">
        <f aca="false">_xlfn.MINIFS($B$2:$B$2705,$A$2:$A$2705,A2476)</f>
        <v>1901</v>
      </c>
      <c r="U2476" s="3" t="n">
        <f aca="false">B2476-T2476</f>
        <v>117</v>
      </c>
      <c r="V2476" s="3" t="str">
        <f aca="false">INDEX(Pop_Inputs!$Q$2:$Q$29,MATCH(C2476,Pop_Inputs!$A$2:$A$29,0))</f>
        <v>Midwest</v>
      </c>
      <c r="W2476" s="29" t="n">
        <v>135349421</v>
      </c>
      <c r="X2476" s="3" t="n">
        <f aca="false">IF(W2476="","",LN(W2476))</f>
        <v>18.7233702962171</v>
      </c>
      <c r="Y2476" s="3" t="n">
        <f aca="false">IF(X2476="","",X2476-AVERAGEIFS($X$2:$X$2705,$B$2:$B$2705,B2476))</f>
        <v>-0.0818694251522949</v>
      </c>
      <c r="Z2476" s="21" t="n">
        <f aca="false">P2476</f>
        <v>-0.276848555606531</v>
      </c>
      <c r="AA2476" s="3" t="n">
        <f aca="false">R2476</f>
        <v>0</v>
      </c>
      <c r="AB2476" s="21" t="n">
        <f aca="false">P2476</f>
        <v>-0.276848555606531</v>
      </c>
      <c r="AC2476" s="3" t="n">
        <f aca="false">Y2476</f>
        <v>-0.0818694251522949</v>
      </c>
      <c r="AD2476" s="3" t="n">
        <f aca="false">R2476</f>
        <v>0</v>
      </c>
    </row>
    <row r="2477" customFormat="false" ht="15" hidden="false" customHeight="true" outlineLevel="0" collapsed="false">
      <c r="A2477" s="7" t="s">
        <v>83</v>
      </c>
      <c r="B2477" s="7" t="n">
        <v>2018</v>
      </c>
      <c r="C2477" s="7" t="s">
        <v>164</v>
      </c>
      <c r="D2477" s="7" t="n">
        <v>63</v>
      </c>
      <c r="E2477" s="7" t="n">
        <v>98</v>
      </c>
      <c r="F2477" s="3" t="n">
        <f aca="false">COUNTIFS($B$2:$B$2705,B2477,$C$2:$C$2705,C2477)</f>
        <v>1</v>
      </c>
      <c r="G2477" s="3" t="n">
        <f aca="false">MIN(INT((MIN(B2477,2020)-1900)/10)+1,12)</f>
        <v>12</v>
      </c>
      <c r="H2477" s="3" t="n">
        <f aca="false">(MIN(B2477,2020)-1900-10*(G2477-1))/10</f>
        <v>0.8</v>
      </c>
      <c r="I2477" s="20" t="n">
        <f aca="false">EXP(LN(INDEX(Pop_Inputs!$B$2:$N$29,MATCH(C2477,Pop_Inputs!$A$2:$A$29,0),G2477))*(1-H2477)+LN(INDEX(Pop_Inputs!$B$2:$N$29,MATCH(C2477,Pop_Inputs!$A$2:$A$29,0),G2477+1))*H2477)</f>
        <v>433332.447633132</v>
      </c>
      <c r="J2477" s="20" t="n">
        <f aca="false">I2477/F2477</f>
        <v>433332.447633132</v>
      </c>
      <c r="K2477" s="21" t="n">
        <f aca="false">D2477/(D2477+E2477)</f>
        <v>0.391304347826087</v>
      </c>
      <c r="L2477" s="21" t="n">
        <f aca="false">AVERAGEIFS($K$2:$K$2705,$B$2:$B$2705,B2477)</f>
        <v>0.499918959380742</v>
      </c>
      <c r="M2477" s="21" t="n">
        <f aca="false">K2477-L2477</f>
        <v>-0.108614611554655</v>
      </c>
      <c r="N2477" s="21" t="n">
        <f aca="false">LN(J2477)</f>
        <v>12.979260489838</v>
      </c>
      <c r="O2477" s="21" t="n">
        <f aca="false">AVERAGEIFS($N$2:$N$2705,$B$2:$B$2705,B2477)</f>
        <v>13.6667804708835</v>
      </c>
      <c r="P2477" s="21" t="n">
        <f aca="false">N2477-O2477</f>
        <v>-0.68751998104551</v>
      </c>
      <c r="Q2477" s="7" t="n">
        <v>1</v>
      </c>
      <c r="R2477" s="3" t="n">
        <f aca="false">IF(AND(Q2477=1,B2477-_xlfn.MINIFS($B$2:$B$2705,$A$2:$A$2705,A2477)&lt;10),1,0)</f>
        <v>0</v>
      </c>
      <c r="S2477" s="7" t="n">
        <v>0</v>
      </c>
      <c r="T2477" s="3" t="n">
        <f aca="false">_xlfn.MINIFS($B$2:$B$2705,$A$2:$A$2705,A2477)</f>
        <v>1993</v>
      </c>
      <c r="U2477" s="3" t="n">
        <f aca="false">B2477-T2477</f>
        <v>25</v>
      </c>
      <c r="V2477" s="3" t="str">
        <f aca="false">INDEX(Pop_Inputs!$Q$2:$Q$29,MATCH(C2477,Pop_Inputs!$A$2:$A$29,0))</f>
        <v>South</v>
      </c>
      <c r="W2477" s="29" t="n">
        <v>108086007</v>
      </c>
      <c r="X2477" s="3" t="n">
        <f aca="false">IF(W2477="","",LN(W2477))</f>
        <v>18.4984378292723</v>
      </c>
      <c r="Y2477" s="3" t="n">
        <f aca="false">IF(X2477="","",X2477-AVERAGEIFS($X$2:$X$2705,$B$2:$B$2705,B2477))</f>
        <v>-0.306801892097084</v>
      </c>
      <c r="Z2477" s="21" t="n">
        <f aca="false">P2477</f>
        <v>-0.68751998104551</v>
      </c>
      <c r="AA2477" s="3" t="n">
        <f aca="false">R2477</f>
        <v>0</v>
      </c>
      <c r="AB2477" s="21" t="n">
        <f aca="false">P2477</f>
        <v>-0.68751998104551</v>
      </c>
      <c r="AC2477" s="3" t="n">
        <f aca="false">Y2477</f>
        <v>-0.306801892097084</v>
      </c>
      <c r="AD2477" s="3" t="n">
        <f aca="false">R2477</f>
        <v>0</v>
      </c>
    </row>
    <row r="2478" customFormat="false" ht="15" hidden="false" customHeight="true" outlineLevel="0" collapsed="false">
      <c r="A2478" s="7" t="s">
        <v>74</v>
      </c>
      <c r="B2478" s="7" t="n">
        <v>2018</v>
      </c>
      <c r="C2478" s="7" t="s">
        <v>156</v>
      </c>
      <c r="D2478" s="7" t="n">
        <v>103</v>
      </c>
      <c r="E2478" s="7" t="n">
        <v>59</v>
      </c>
      <c r="F2478" s="3" t="n">
        <f aca="false">COUNTIFS($B$2:$B$2705,B2478,$C$2:$C$2705,C2478)</f>
        <v>1</v>
      </c>
      <c r="G2478" s="3" t="n">
        <f aca="false">MIN(INT((MIN(B2478,2020)-1900)/10)+1,12)</f>
        <v>12</v>
      </c>
      <c r="H2478" s="3" t="n">
        <f aca="false">(MIN(B2478,2020)-1900-10*(G2478-1))/10</f>
        <v>0.8</v>
      </c>
      <c r="I2478" s="20" t="n">
        <f aca="false">EXP(LN(INDEX(Pop_Inputs!$B$2:$N$29,MATCH(C2478,Pop_Inputs!$A$2:$A$29,0),G2478))*(1-H2478)+LN(INDEX(Pop_Inputs!$B$2:$N$29,MATCH(C2478,Pop_Inputs!$A$2:$A$29,0),G2478+1))*H2478)</f>
        <v>2262010.30685727</v>
      </c>
      <c r="J2478" s="20" t="n">
        <f aca="false">I2478/F2478</f>
        <v>2262010.30685727</v>
      </c>
      <c r="K2478" s="21" t="n">
        <f aca="false">D2478/(D2478+E2478)</f>
        <v>0.635802469135803</v>
      </c>
      <c r="L2478" s="21" t="n">
        <f aca="false">AVERAGEIFS($K$2:$K$2705,$B$2:$B$2705,B2478)</f>
        <v>0.499918959380742</v>
      </c>
      <c r="M2478" s="21" t="n">
        <f aca="false">K2478-L2478</f>
        <v>0.135883509755061</v>
      </c>
      <c r="N2478" s="21" t="n">
        <f aca="false">LN(J2478)</f>
        <v>14.6317644921718</v>
      </c>
      <c r="O2478" s="21" t="n">
        <f aca="false">AVERAGEIFS($N$2:$N$2705,$B$2:$B$2705,B2478)</f>
        <v>13.6667804708835</v>
      </c>
      <c r="P2478" s="21" t="n">
        <f aca="false">N2478-O2478</f>
        <v>0.964984021288279</v>
      </c>
      <c r="Q2478" s="7" t="n">
        <v>1</v>
      </c>
      <c r="R2478" s="3" t="n">
        <f aca="false">IF(AND(Q2478=1,B2478-_xlfn.MINIFS($B$2:$B$2705,$A$2:$A$2705,A2478)&lt;10),1,0)</f>
        <v>0</v>
      </c>
      <c r="S2478" s="7" t="n">
        <v>0</v>
      </c>
      <c r="T2478" s="3" t="n">
        <f aca="false">_xlfn.MINIFS($B$2:$B$2705,$A$2:$A$2705,A2478)</f>
        <v>1962</v>
      </c>
      <c r="U2478" s="3" t="n">
        <f aca="false">B2478-T2478</f>
        <v>56</v>
      </c>
      <c r="V2478" s="3" t="str">
        <f aca="false">INDEX(Pop_Inputs!$Q$2:$Q$29,MATCH(C2478,Pop_Inputs!$A$2:$A$29,0))</f>
        <v>South</v>
      </c>
      <c r="W2478" s="29" t="n">
        <v>187386304</v>
      </c>
      <c r="X2478" s="3" t="n">
        <f aca="false">IF(W2478="","",LN(W2478))</f>
        <v>19.0486828407862</v>
      </c>
      <c r="Y2478" s="3" t="n">
        <f aca="false">IF(X2478="","",X2478-AVERAGEIFS($X$2:$X$2705,$B$2:$B$2705,B2478))</f>
        <v>0.243443119416746</v>
      </c>
      <c r="Z2478" s="21" t="n">
        <f aca="false">P2478</f>
        <v>0.964984021288279</v>
      </c>
      <c r="AA2478" s="3" t="n">
        <f aca="false">R2478</f>
        <v>0</v>
      </c>
      <c r="AB2478" s="21" t="n">
        <f aca="false">P2478</f>
        <v>0.964984021288279</v>
      </c>
      <c r="AC2478" s="3" t="n">
        <f aca="false">Y2478</f>
        <v>0.243443119416746</v>
      </c>
      <c r="AD2478" s="3" t="n">
        <f aca="false">R2478</f>
        <v>0</v>
      </c>
    </row>
    <row r="2479" customFormat="false" ht="15" hidden="false" customHeight="true" outlineLevel="0" collapsed="false">
      <c r="A2479" s="7" t="s">
        <v>76</v>
      </c>
      <c r="B2479" s="7" t="n">
        <v>2018</v>
      </c>
      <c r="C2479" s="7" t="s">
        <v>157</v>
      </c>
      <c r="D2479" s="7" t="n">
        <v>58</v>
      </c>
      <c r="E2479" s="7" t="n">
        <v>104</v>
      </c>
      <c r="F2479" s="3" t="n">
        <f aca="false">COUNTIFS($B$2:$B$2705,B2479,$C$2:$C$2705,C2479)</f>
        <v>1</v>
      </c>
      <c r="G2479" s="3" t="n">
        <f aca="false">MIN(INT((MIN(B2479,2020)-1900)/10)+1,12)</f>
        <v>12</v>
      </c>
      <c r="H2479" s="3" t="n">
        <f aca="false">(MIN(B2479,2020)-1900-10*(G2479-1))/10</f>
        <v>0.8</v>
      </c>
      <c r="I2479" s="20" t="n">
        <f aca="false">EXP(LN(INDEX(Pop_Inputs!$B$2:$N$29,MATCH(C2479,Pop_Inputs!$A$2:$A$29,0),G2479))*(1-H2479)+LN(INDEX(Pop_Inputs!$B$2:$N$29,MATCH(C2479,Pop_Inputs!$A$2:$A$29,0),G2479+1))*H2479)</f>
        <v>498039.576896237</v>
      </c>
      <c r="J2479" s="20" t="n">
        <f aca="false">I2479/F2479</f>
        <v>498039.576896237</v>
      </c>
      <c r="K2479" s="21" t="n">
        <f aca="false">D2479/(D2479+E2479)</f>
        <v>0.358024691358025</v>
      </c>
      <c r="L2479" s="21" t="n">
        <f aca="false">AVERAGEIFS($K$2:$K$2705,$B$2:$B$2705,B2479)</f>
        <v>0.499918959380742</v>
      </c>
      <c r="M2479" s="21" t="n">
        <f aca="false">K2479-L2479</f>
        <v>-0.141894268022717</v>
      </c>
      <c r="N2479" s="21" t="n">
        <f aca="false">LN(J2479)</f>
        <v>13.1184348245283</v>
      </c>
      <c r="O2479" s="21" t="n">
        <f aca="false">AVERAGEIFS($N$2:$N$2705,$B$2:$B$2705,B2479)</f>
        <v>13.6667804708835</v>
      </c>
      <c r="P2479" s="21" t="n">
        <f aca="false">N2479-O2479</f>
        <v>-0.54834564635526</v>
      </c>
      <c r="Q2479" s="7" t="n">
        <v>1</v>
      </c>
      <c r="R2479" s="3" t="n">
        <f aca="false">IF(AND(Q2479=1,B2479-_xlfn.MINIFS($B$2:$B$2705,$A$2:$A$2705,A2479)&lt;10),1,0)</f>
        <v>0</v>
      </c>
      <c r="S2479" s="7" t="n">
        <v>0</v>
      </c>
      <c r="T2479" s="3" t="n">
        <f aca="false">_xlfn.MINIFS($B$2:$B$2705,$A$2:$A$2705,A2479)</f>
        <v>1969</v>
      </c>
      <c r="U2479" s="3" t="n">
        <f aca="false">B2479-T2479</f>
        <v>49</v>
      </c>
      <c r="V2479" s="3" t="str">
        <f aca="false">INDEX(Pop_Inputs!$Q$2:$Q$29,MATCH(C2479,Pop_Inputs!$A$2:$A$29,0))</f>
        <v>Midwest</v>
      </c>
      <c r="W2479" s="29" t="n">
        <v>132026511</v>
      </c>
      <c r="X2479" s="3" t="n">
        <f aca="false">IF(W2479="","",LN(W2479))</f>
        <v>18.6985133012939</v>
      </c>
      <c r="Y2479" s="3" t="n">
        <f aca="false">IF(X2479="","",X2479-AVERAGEIFS($X$2:$X$2705,$B$2:$B$2705,B2479))</f>
        <v>-0.106726420075528</v>
      </c>
      <c r="Z2479" s="21" t="n">
        <f aca="false">P2479</f>
        <v>-0.54834564635526</v>
      </c>
      <c r="AA2479" s="3" t="n">
        <f aca="false">R2479</f>
        <v>0</v>
      </c>
      <c r="AB2479" s="21" t="n">
        <f aca="false">P2479</f>
        <v>-0.54834564635526</v>
      </c>
      <c r="AC2479" s="3" t="n">
        <f aca="false">Y2479</f>
        <v>-0.106726420075528</v>
      </c>
      <c r="AD2479" s="3" t="n">
        <f aca="false">R2479</f>
        <v>0</v>
      </c>
    </row>
    <row r="2480" customFormat="false" ht="15" hidden="false" customHeight="true" outlineLevel="0" collapsed="false">
      <c r="A2480" s="7" t="s">
        <v>62</v>
      </c>
      <c r="B2480" s="7" t="n">
        <v>2018</v>
      </c>
      <c r="C2480" s="7" t="s">
        <v>148</v>
      </c>
      <c r="D2480" s="7" t="n">
        <v>92</v>
      </c>
      <c r="E2480" s="7" t="n">
        <v>71</v>
      </c>
      <c r="F2480" s="3" t="n">
        <f aca="false">COUNTIFS($B$2:$B$2705,B2480,$C$2:$C$2705,C2480)</f>
        <v>2</v>
      </c>
      <c r="G2480" s="3" t="n">
        <f aca="false">MIN(INT((MIN(B2480,2020)-1900)/10)+1,12)</f>
        <v>12</v>
      </c>
      <c r="H2480" s="3" t="n">
        <f aca="false">(MIN(B2480,2020)-1900-10*(G2480-1))/10</f>
        <v>0.8</v>
      </c>
      <c r="I2480" s="20" t="n">
        <f aca="false">EXP(LN(INDEX(Pop_Inputs!$B$2:$N$29,MATCH(C2480,Pop_Inputs!$A$2:$A$29,0),G2480))*(1-H2480)+LN(INDEX(Pop_Inputs!$B$2:$N$29,MATCH(C2480,Pop_Inputs!$A$2:$A$29,0),G2480+1))*H2480)</f>
        <v>3877286.84751889</v>
      </c>
      <c r="J2480" s="20" t="n">
        <f aca="false">I2480/F2480</f>
        <v>1938643.42375944</v>
      </c>
      <c r="K2480" s="21" t="n">
        <f aca="false">D2480/(D2480+E2480)</f>
        <v>0.56441717791411</v>
      </c>
      <c r="L2480" s="21" t="n">
        <f aca="false">AVERAGEIFS($K$2:$K$2705,$B$2:$B$2705,B2480)</f>
        <v>0.499918959380742</v>
      </c>
      <c r="M2480" s="21" t="n">
        <f aca="false">K2480-L2480</f>
        <v>0.0644982185333686</v>
      </c>
      <c r="N2480" s="21" t="n">
        <f aca="false">LN(J2480)</f>
        <v>14.4774990203356</v>
      </c>
      <c r="O2480" s="21" t="n">
        <f aca="false">AVERAGEIFS($N$2:$N$2705,$B$2:$B$2705,B2480)</f>
        <v>13.6667804708835</v>
      </c>
      <c r="P2480" s="21" t="n">
        <f aca="false">N2480-O2480</f>
        <v>0.810718549452021</v>
      </c>
      <c r="Q2480" s="7" t="n">
        <v>0</v>
      </c>
      <c r="R2480" s="3" t="n">
        <f aca="false">IF(AND(Q2480=1,B2480-_xlfn.MINIFS($B$2:$B$2705,$A$2:$A$2705,A2480)&lt;10),1,0)</f>
        <v>0</v>
      </c>
      <c r="S2480" s="7" t="n">
        <v>0</v>
      </c>
      <c r="T2480" s="3" t="n">
        <f aca="false">_xlfn.MINIFS($B$2:$B$2705,$A$2:$A$2705,A2480)</f>
        <v>1901</v>
      </c>
      <c r="U2480" s="3" t="n">
        <f aca="false">B2480-T2480</f>
        <v>117</v>
      </c>
      <c r="V2480" s="3" t="str">
        <f aca="false">INDEX(Pop_Inputs!$Q$2:$Q$29,MATCH(C2480,Pop_Inputs!$A$2:$A$29,0))</f>
        <v>West</v>
      </c>
      <c r="W2480" s="29" t="n">
        <v>195039730</v>
      </c>
      <c r="X2480" s="3" t="n">
        <f aca="false">IF(W2480="","",LN(W2480))</f>
        <v>19.0887138393649</v>
      </c>
      <c r="Y2480" s="3" t="n">
        <f aca="false">IF(X2480="","",X2480-AVERAGEIFS($X$2:$X$2705,$B$2:$B$2705,B2480))</f>
        <v>0.283474117995429</v>
      </c>
      <c r="Z2480" s="21" t="n">
        <f aca="false">P2480</f>
        <v>0.810718549452021</v>
      </c>
      <c r="AA2480" s="3" t="n">
        <f aca="false">R2480</f>
        <v>0</v>
      </c>
      <c r="AB2480" s="21" t="n">
        <f aca="false">P2480</f>
        <v>0.810718549452021</v>
      </c>
      <c r="AC2480" s="3" t="n">
        <f aca="false">Y2480</f>
        <v>0.283474117995429</v>
      </c>
      <c r="AD2480" s="3" t="n">
        <f aca="false">R2480</f>
        <v>0</v>
      </c>
    </row>
    <row r="2481" customFormat="false" ht="15" hidden="false" customHeight="true" outlineLevel="0" collapsed="false">
      <c r="A2481" s="7" t="s">
        <v>77</v>
      </c>
      <c r="B2481" s="7" t="n">
        <v>2018</v>
      </c>
      <c r="C2481" s="7" t="s">
        <v>158</v>
      </c>
      <c r="D2481" s="7" t="n">
        <v>96</v>
      </c>
      <c r="E2481" s="7" t="n">
        <v>67</v>
      </c>
      <c r="F2481" s="3" t="n">
        <f aca="false">COUNTIFS($B$2:$B$2705,B2481,$C$2:$C$2705,C2481)</f>
        <v>1</v>
      </c>
      <c r="G2481" s="3" t="n">
        <f aca="false">MIN(INT((MIN(B2481,2020)-1900)/10)+1,12)</f>
        <v>12</v>
      </c>
      <c r="H2481" s="3" t="n">
        <f aca="false">(MIN(B2481,2020)-1900-10*(G2481-1))/10</f>
        <v>0.8</v>
      </c>
      <c r="I2481" s="20" t="n">
        <f aca="false">EXP(LN(INDEX(Pop_Inputs!$B$2:$N$29,MATCH(C2481,Pop_Inputs!$A$2:$A$29,0),G2481))*(1-H2481)+LN(INDEX(Pop_Inputs!$B$2:$N$29,MATCH(C2481,Pop_Inputs!$A$2:$A$29,0),G2481+1))*H2481)</f>
        <v>580701.985630016</v>
      </c>
      <c r="J2481" s="20" t="n">
        <f aca="false">I2481/F2481</f>
        <v>580701.985630016</v>
      </c>
      <c r="K2481" s="21" t="n">
        <f aca="false">D2481/(D2481+E2481)</f>
        <v>0.588957055214724</v>
      </c>
      <c r="L2481" s="21" t="n">
        <f aca="false">AVERAGEIFS($K$2:$K$2705,$B$2:$B$2705,B2481)</f>
        <v>0.499918959380742</v>
      </c>
      <c r="M2481" s="21" t="n">
        <f aca="false">K2481-L2481</f>
        <v>0.0890380958339822</v>
      </c>
      <c r="N2481" s="21" t="n">
        <f aca="false">LN(J2481)</f>
        <v>13.2719929707275</v>
      </c>
      <c r="O2481" s="21" t="n">
        <f aca="false">AVERAGEIFS($N$2:$N$2705,$B$2:$B$2705,B2481)</f>
        <v>13.6667804708835</v>
      </c>
      <c r="P2481" s="21" t="n">
        <f aca="false">N2481-O2481</f>
        <v>-0.394787500156042</v>
      </c>
      <c r="Q2481" s="7" t="n">
        <v>1</v>
      </c>
      <c r="R2481" s="3" t="n">
        <f aca="false">IF(AND(Q2481=1,B2481-_xlfn.MINIFS($B$2:$B$2705,$A$2:$A$2705,A2481)&lt;10),1,0)</f>
        <v>0</v>
      </c>
      <c r="S2481" s="7" t="n">
        <v>0</v>
      </c>
      <c r="T2481" s="3" t="n">
        <f aca="false">_xlfn.MINIFS($B$2:$B$2705,$A$2:$A$2705,A2481)</f>
        <v>1969</v>
      </c>
      <c r="U2481" s="3" t="n">
        <f aca="false">B2481-T2481</f>
        <v>49</v>
      </c>
      <c r="V2481" s="3" t="str">
        <f aca="false">INDEX(Pop_Inputs!$Q$2:$Q$29,MATCH(C2481,Pop_Inputs!$A$2:$A$29,0))</f>
        <v>Midwest</v>
      </c>
      <c r="W2481" s="29" t="n">
        <v>121053771</v>
      </c>
      <c r="X2481" s="3" t="n">
        <f aca="false">IF(W2481="","",LN(W2481))</f>
        <v>18.6117453932795</v>
      </c>
      <c r="Y2481" s="3" t="n">
        <f aca="false">IF(X2481="","",X2481-AVERAGEIFS($X$2:$X$2705,$B$2:$B$2705,B2481))</f>
        <v>-0.193494328089958</v>
      </c>
      <c r="Z2481" s="21" t="n">
        <f aca="false">P2481</f>
        <v>-0.394787500156042</v>
      </c>
      <c r="AA2481" s="3" t="n">
        <f aca="false">R2481</f>
        <v>0</v>
      </c>
      <c r="AB2481" s="21" t="n">
        <f aca="false">P2481</f>
        <v>-0.394787500156042</v>
      </c>
      <c r="AC2481" s="3" t="n">
        <f aca="false">Y2481</f>
        <v>-0.193494328089958</v>
      </c>
      <c r="AD2481" s="3" t="n">
        <f aca="false">R2481</f>
        <v>0</v>
      </c>
    </row>
    <row r="2482" customFormat="false" ht="15" hidden="false" customHeight="true" outlineLevel="0" collapsed="false">
      <c r="A2482" s="7" t="s">
        <v>68</v>
      </c>
      <c r="B2482" s="7" t="n">
        <v>2018</v>
      </c>
      <c r="C2482" s="7" t="s">
        <v>153</v>
      </c>
      <c r="D2482" s="7" t="n">
        <v>78</v>
      </c>
      <c r="E2482" s="7" t="n">
        <v>84</v>
      </c>
      <c r="F2482" s="3" t="n">
        <f aca="false">COUNTIFS($B$2:$B$2705,B2482,$C$2:$C$2705,C2482)</f>
        <v>1</v>
      </c>
      <c r="G2482" s="3" t="n">
        <f aca="false">MIN(INT((MIN(B2482,2020)-1900)/10)+1,12)</f>
        <v>12</v>
      </c>
      <c r="H2482" s="3" t="n">
        <f aca="false">(MIN(B2482,2020)-1900-10*(G2482-1))/10</f>
        <v>0.8</v>
      </c>
      <c r="I2482" s="20" t="n">
        <f aca="false">EXP(LN(INDEX(Pop_Inputs!$B$2:$N$29,MATCH(C2482,Pop_Inputs!$A$2:$A$29,0),G2482))*(1-H2482)+LN(INDEX(Pop_Inputs!$B$2:$N$29,MATCH(C2482,Pop_Inputs!$A$2:$A$29,0),G2482+1))*H2482)</f>
        <v>420031.240975456</v>
      </c>
      <c r="J2482" s="20" t="n">
        <f aca="false">I2482/F2482</f>
        <v>420031.240975456</v>
      </c>
      <c r="K2482" s="21" t="n">
        <f aca="false">D2482/(D2482+E2482)</f>
        <v>0.481481481481481</v>
      </c>
      <c r="L2482" s="21" t="n">
        <f aca="false">AVERAGEIFS($K$2:$K$2705,$B$2:$B$2705,B2482)</f>
        <v>0.499918959380742</v>
      </c>
      <c r="M2482" s="21" t="n">
        <f aca="false">K2482-L2482</f>
        <v>-0.0184374778992603</v>
      </c>
      <c r="N2482" s="21" t="n">
        <f aca="false">LN(J2482)</f>
        <v>12.9480843707681</v>
      </c>
      <c r="O2482" s="21" t="n">
        <f aca="false">AVERAGEIFS($N$2:$N$2705,$B$2:$B$2705,B2482)</f>
        <v>13.6667804708835</v>
      </c>
      <c r="P2482" s="21" t="n">
        <f aca="false">N2482-O2482</f>
        <v>-0.718696100115388</v>
      </c>
      <c r="Q2482" s="7" t="n">
        <v>0</v>
      </c>
      <c r="R2482" s="3" t="n">
        <f aca="false">IF(AND(Q2482=1,B2482-_xlfn.MINIFS($B$2:$B$2705,$A$2:$A$2705,A2482)&lt;10),1,0)</f>
        <v>0</v>
      </c>
      <c r="S2482" s="7" t="n">
        <v>0</v>
      </c>
      <c r="T2482" s="3" t="n">
        <f aca="false">_xlfn.MINIFS($B$2:$B$2705,$A$2:$A$2705,A2482)</f>
        <v>1901</v>
      </c>
      <c r="U2482" s="3" t="n">
        <f aca="false">B2482-T2482</f>
        <v>117</v>
      </c>
      <c r="V2482" s="3" t="str">
        <f aca="false">INDEX(Pop_Inputs!$Q$2:$Q$29,MATCH(C2482,Pop_Inputs!$A$2:$A$29,0))</f>
        <v>Midwest</v>
      </c>
      <c r="W2482" s="29" t="n">
        <v>143820218</v>
      </c>
      <c r="X2482" s="3" t="n">
        <f aca="false">IF(W2482="","",LN(W2482))</f>
        <v>18.7840745914211</v>
      </c>
      <c r="Y2482" s="3" t="n">
        <f aca="false">IF(X2482="","",X2482-AVERAGEIFS($X$2:$X$2705,$B$2:$B$2705,B2482))</f>
        <v>-0.0211651299483364</v>
      </c>
      <c r="Z2482" s="21" t="n">
        <f aca="false">P2482</f>
        <v>-0.718696100115388</v>
      </c>
      <c r="AA2482" s="3" t="n">
        <f aca="false">R2482</f>
        <v>0</v>
      </c>
      <c r="AB2482" s="21" t="n">
        <f aca="false">P2482</f>
        <v>-0.718696100115388</v>
      </c>
      <c r="AC2482" s="3" t="n">
        <f aca="false">Y2482</f>
        <v>-0.0211651299483364</v>
      </c>
      <c r="AD2482" s="3" t="n">
        <f aca="false">R2482</f>
        <v>0</v>
      </c>
    </row>
    <row r="2483" customFormat="false" ht="15" hidden="false" customHeight="true" outlineLevel="0" collapsed="false">
      <c r="A2483" s="7" t="s">
        <v>75</v>
      </c>
      <c r="B2483" s="7" t="n">
        <v>2018</v>
      </c>
      <c r="C2483" s="7" t="s">
        <v>154</v>
      </c>
      <c r="D2483" s="7" t="n">
        <v>77</v>
      </c>
      <c r="E2483" s="7" t="n">
        <v>85</v>
      </c>
      <c r="F2483" s="3" t="n">
        <f aca="false">COUNTIFS($B$2:$B$2705,B2483,$C$2:$C$2705,C2483)</f>
        <v>2</v>
      </c>
      <c r="G2483" s="3" t="n">
        <f aca="false">MIN(INT((MIN(B2483,2020)-1900)/10)+1,12)</f>
        <v>12</v>
      </c>
      <c r="H2483" s="3" t="n">
        <f aca="false">(MIN(B2483,2020)-1900-10*(G2483-1))/10</f>
        <v>0.8</v>
      </c>
      <c r="I2483" s="20" t="n">
        <f aca="false">EXP(LN(INDEX(Pop_Inputs!$B$2:$N$29,MATCH(C2483,Pop_Inputs!$A$2:$A$29,0),G2483))*(1-H2483)+LN(INDEX(Pop_Inputs!$B$2:$N$29,MATCH(C2483,Pop_Inputs!$A$2:$A$29,0),G2483+1))*H2483)</f>
        <v>8674620.62403993</v>
      </c>
      <c r="J2483" s="20" t="n">
        <f aca="false">I2483/F2483</f>
        <v>4337310.31201997</v>
      </c>
      <c r="K2483" s="21" t="n">
        <f aca="false">D2483/(D2483+E2483)</f>
        <v>0.475308641975309</v>
      </c>
      <c r="L2483" s="21" t="n">
        <f aca="false">AVERAGEIFS($K$2:$K$2705,$B$2:$B$2705,B2483)</f>
        <v>0.499918959380742</v>
      </c>
      <c r="M2483" s="21" t="n">
        <f aca="false">K2483-L2483</f>
        <v>-0.0246103174054331</v>
      </c>
      <c r="N2483" s="21" t="n">
        <f aca="false">LN(J2483)</f>
        <v>15.2827649701818</v>
      </c>
      <c r="O2483" s="21" t="n">
        <f aca="false">AVERAGEIFS($N$2:$N$2705,$B$2:$B$2705,B2483)</f>
        <v>13.6667804708835</v>
      </c>
      <c r="P2483" s="21" t="n">
        <f aca="false">N2483-O2483</f>
        <v>1.6159844992983</v>
      </c>
      <c r="Q2483" s="7" t="n">
        <v>1</v>
      </c>
      <c r="R2483" s="3" t="n">
        <f aca="false">IF(AND(Q2483=1,B2483-_xlfn.MINIFS($B$2:$B$2705,$A$2:$A$2705,A2483)&lt;10),1,0)</f>
        <v>0</v>
      </c>
      <c r="S2483" s="7" t="n">
        <v>0</v>
      </c>
      <c r="T2483" s="3" t="n">
        <f aca="false">_xlfn.MINIFS($B$2:$B$2705,$A$2:$A$2705,A2483)</f>
        <v>1962</v>
      </c>
      <c r="U2483" s="3" t="n">
        <f aca="false">B2483-T2483</f>
        <v>56</v>
      </c>
      <c r="V2483" s="3" t="str">
        <f aca="false">INDEX(Pop_Inputs!$Q$2:$Q$29,MATCH(C2483,Pop_Inputs!$A$2:$A$29,0))</f>
        <v>Northeast</v>
      </c>
      <c r="W2483" s="29" t="n">
        <v>160308323</v>
      </c>
      <c r="X2483" s="3" t="n">
        <f aca="false">IF(W2483="","",LN(W2483))</f>
        <v>18.8926095376293</v>
      </c>
      <c r="Y2483" s="3" t="n">
        <f aca="false">IF(X2483="","",X2483-AVERAGEIFS($X$2:$X$2705,$B$2:$B$2705,B2483))</f>
        <v>0.0873698162598622</v>
      </c>
      <c r="Z2483" s="21" t="n">
        <f aca="false">P2483</f>
        <v>1.6159844992983</v>
      </c>
      <c r="AA2483" s="3" t="n">
        <f aca="false">R2483</f>
        <v>0</v>
      </c>
      <c r="AB2483" s="21" t="n">
        <f aca="false">P2483</f>
        <v>1.6159844992983</v>
      </c>
      <c r="AC2483" s="3" t="n">
        <f aca="false">Y2483</f>
        <v>0.0873698162598622</v>
      </c>
      <c r="AD2483" s="3" t="n">
        <f aca="false">R2483</f>
        <v>0</v>
      </c>
    </row>
    <row r="2484" customFormat="false" ht="15" hidden="false" customHeight="true" outlineLevel="0" collapsed="false">
      <c r="A2484" s="7" t="s">
        <v>70</v>
      </c>
      <c r="B2484" s="7" t="n">
        <v>2018</v>
      </c>
      <c r="C2484" s="7" t="s">
        <v>154</v>
      </c>
      <c r="D2484" s="7" t="n">
        <v>100</v>
      </c>
      <c r="E2484" s="7" t="n">
        <v>62</v>
      </c>
      <c r="F2484" s="3" t="n">
        <f aca="false">COUNTIFS($B$2:$B$2705,B2484,$C$2:$C$2705,C2484)</f>
        <v>2</v>
      </c>
      <c r="G2484" s="3" t="n">
        <f aca="false">MIN(INT((MIN(B2484,2020)-1900)/10)+1,12)</f>
        <v>12</v>
      </c>
      <c r="H2484" s="3" t="n">
        <f aca="false">(MIN(B2484,2020)-1900-10*(G2484-1))/10</f>
        <v>0.8</v>
      </c>
      <c r="I2484" s="20" t="n">
        <f aca="false">EXP(LN(INDEX(Pop_Inputs!$B$2:$N$29,MATCH(C2484,Pop_Inputs!$A$2:$A$29,0),G2484))*(1-H2484)+LN(INDEX(Pop_Inputs!$B$2:$N$29,MATCH(C2484,Pop_Inputs!$A$2:$A$29,0),G2484+1))*H2484)</f>
        <v>8674620.62403993</v>
      </c>
      <c r="J2484" s="20" t="n">
        <f aca="false">I2484/F2484</f>
        <v>4337310.31201997</v>
      </c>
      <c r="K2484" s="21" t="n">
        <f aca="false">D2484/(D2484+E2484)</f>
        <v>0.617283950617284</v>
      </c>
      <c r="L2484" s="21" t="n">
        <f aca="false">AVERAGEIFS($K$2:$K$2705,$B$2:$B$2705,B2484)</f>
        <v>0.499918959380742</v>
      </c>
      <c r="M2484" s="21" t="n">
        <f aca="false">K2484-L2484</f>
        <v>0.117364991236542</v>
      </c>
      <c r="N2484" s="21" t="n">
        <f aca="false">LN(J2484)</f>
        <v>15.2827649701818</v>
      </c>
      <c r="O2484" s="21" t="n">
        <f aca="false">AVERAGEIFS($N$2:$N$2705,$B$2:$B$2705,B2484)</f>
        <v>13.6667804708835</v>
      </c>
      <c r="P2484" s="21" t="n">
        <f aca="false">N2484-O2484</f>
        <v>1.6159844992983</v>
      </c>
      <c r="Q2484" s="7" t="n">
        <v>0</v>
      </c>
      <c r="R2484" s="3" t="n">
        <f aca="false">IF(AND(Q2484=1,B2484-_xlfn.MINIFS($B$2:$B$2705,$A$2:$A$2705,A2484)&lt;10),1,0)</f>
        <v>0</v>
      </c>
      <c r="S2484" s="7" t="n">
        <v>1</v>
      </c>
      <c r="T2484" s="3" t="n">
        <f aca="false">_xlfn.MINIFS($B$2:$B$2705,$A$2:$A$2705,A2484)</f>
        <v>1903</v>
      </c>
      <c r="U2484" s="3" t="n">
        <f aca="false">B2484-T2484</f>
        <v>115</v>
      </c>
      <c r="V2484" s="3" t="str">
        <f aca="false">INDEX(Pop_Inputs!$Q$2:$Q$29,MATCH(C2484,Pop_Inputs!$A$2:$A$29,0))</f>
        <v>Northeast</v>
      </c>
      <c r="W2484" s="29" t="n">
        <v>192980833</v>
      </c>
      <c r="X2484" s="3" t="n">
        <f aca="false">IF(W2484="","",LN(W2484))</f>
        <v>19.0781014310567</v>
      </c>
      <c r="Y2484" s="3" t="n">
        <f aca="false">IF(X2484="","",X2484-AVERAGEIFS($X$2:$X$2705,$B$2:$B$2705,B2484))</f>
        <v>0.272861709687252</v>
      </c>
      <c r="Z2484" s="21" t="n">
        <f aca="false">P2484</f>
        <v>1.6159844992983</v>
      </c>
      <c r="AA2484" s="3" t="n">
        <f aca="false">R2484</f>
        <v>0</v>
      </c>
      <c r="AB2484" s="21" t="n">
        <f aca="false">P2484</f>
        <v>1.6159844992983</v>
      </c>
      <c r="AC2484" s="3" t="n">
        <f aca="false">Y2484</f>
        <v>0.272861709687252</v>
      </c>
      <c r="AD2484" s="3" t="n">
        <f aca="false">R2484</f>
        <v>0</v>
      </c>
    </row>
    <row r="2485" customFormat="false" ht="15" hidden="false" customHeight="true" outlineLevel="0" collapsed="false">
      <c r="A2485" s="7" t="s">
        <v>69</v>
      </c>
      <c r="B2485" s="7" t="n">
        <v>2018</v>
      </c>
      <c r="C2485" s="7" t="s">
        <v>253</v>
      </c>
      <c r="D2485" s="7" t="n">
        <v>97</v>
      </c>
      <c r="E2485" s="7" t="n">
        <v>65</v>
      </c>
      <c r="F2485" s="3" t="n">
        <f aca="false">COUNTIFS($B$2:$B$2705,B2485,$C$2:$C$2705,C2485)</f>
        <v>1</v>
      </c>
      <c r="G2485" s="3" t="n">
        <f aca="false">MIN(INT((MIN(B2485,2020)-1900)/10)+1,12)</f>
        <v>12</v>
      </c>
      <c r="H2485" s="3" t="n">
        <f aca="false">(MIN(B2485,2020)-1900-10*(G2485-1))/10</f>
        <v>0.8</v>
      </c>
      <c r="I2485" s="20" t="n">
        <f aca="false">EXP(LN(INDEX(Pop_Inputs!$B$2:$N$29,MATCH(C2485,Pop_Inputs!$A$2:$A$29,0),G2485))*(1-H2485)+LN(INDEX(Pop_Inputs!$B$2:$N$29,MATCH(C2485,Pop_Inputs!$A$2:$A$29,0),G2485+1))*H2485)</f>
        <v>430175.709204757</v>
      </c>
      <c r="J2485" s="20" t="n">
        <f aca="false">I2485/F2485</f>
        <v>430175.709204757</v>
      </c>
      <c r="K2485" s="21" t="n">
        <f aca="false">D2485/(D2485+E2485)</f>
        <v>0.598765432098765</v>
      </c>
      <c r="L2485" s="21" t="n">
        <f aca="false">AVERAGEIFS($K$2:$K$2705,$B$2:$B$2705,B2485)</f>
        <v>0.499918959380742</v>
      </c>
      <c r="M2485" s="21" t="n">
        <f aca="false">K2485-L2485</f>
        <v>0.0988464727180237</v>
      </c>
      <c r="N2485" s="21" t="n">
        <f aca="false">LN(J2485)</f>
        <v>12.9719490302624</v>
      </c>
      <c r="O2485" s="21" t="n">
        <f aca="false">AVERAGEIFS($N$2:$N$2705,$B$2:$B$2705,B2485)</f>
        <v>13.6667804708835</v>
      </c>
      <c r="P2485" s="21" t="n">
        <f aca="false">N2485-O2485</f>
        <v>-0.694831440621105</v>
      </c>
      <c r="Q2485" s="7" t="n">
        <v>0</v>
      </c>
      <c r="R2485" s="3" t="n">
        <f aca="false">IF(AND(Q2485=1,B2485-_xlfn.MINIFS($B$2:$B$2705,$A$2:$A$2705,A2485)&lt;10),1,0)</f>
        <v>0</v>
      </c>
      <c r="S2485" s="7" t="n">
        <v>0</v>
      </c>
      <c r="T2485" s="3" t="n">
        <f aca="false">_xlfn.MINIFS($B$2:$B$2705,$A$2:$A$2705,A2485)</f>
        <v>1901</v>
      </c>
      <c r="U2485" s="3" t="n">
        <f aca="false">B2485-T2485</f>
        <v>117</v>
      </c>
      <c r="V2485" s="3" t="str">
        <f aca="false">INDEX(Pop_Inputs!$Q$2:$Q$29,MATCH(C2485,Pop_Inputs!$A$2:$A$29,0))</f>
        <v>West</v>
      </c>
      <c r="W2485" s="29" t="n">
        <v>96478025</v>
      </c>
      <c r="X2485" s="3" t="n">
        <f aca="false">IF(W2485="","",LN(W2485))</f>
        <v>18.3848258201698</v>
      </c>
      <c r="Y2485" s="3" t="n">
        <f aca="false">IF(X2485="","",X2485-AVERAGEIFS($X$2:$X$2705,$B$2:$B$2705,B2485))</f>
        <v>-0.420413901199652</v>
      </c>
      <c r="Z2485" s="21" t="n">
        <f aca="false">P2485</f>
        <v>-0.694831440621105</v>
      </c>
      <c r="AA2485" s="3" t="n">
        <f aca="false">R2485</f>
        <v>0</v>
      </c>
      <c r="AB2485" s="21" t="n">
        <f aca="false">P2485</f>
        <v>-0.694831440621105</v>
      </c>
      <c r="AC2485" s="3" t="n">
        <f aca="false">Y2485</f>
        <v>-0.420413901199652</v>
      </c>
      <c r="AD2485" s="3" t="n">
        <f aca="false">R2485</f>
        <v>0</v>
      </c>
    </row>
    <row r="2486" customFormat="false" ht="15" hidden="false" customHeight="true" outlineLevel="0" collapsed="false">
      <c r="A2486" s="7" t="s">
        <v>60</v>
      </c>
      <c r="B2486" s="7" t="n">
        <v>2018</v>
      </c>
      <c r="C2486" s="7" t="s">
        <v>146</v>
      </c>
      <c r="D2486" s="7" t="n">
        <v>80</v>
      </c>
      <c r="E2486" s="7" t="n">
        <v>82</v>
      </c>
      <c r="F2486" s="3" t="n">
        <f aca="false">COUNTIFS($B$2:$B$2705,B2486,$C$2:$C$2705,C2486)</f>
        <v>1</v>
      </c>
      <c r="G2486" s="3" t="n">
        <f aca="false">MIN(INT((MIN(B2486,2020)-1900)/10)+1,12)</f>
        <v>12</v>
      </c>
      <c r="H2486" s="3" t="n">
        <f aca="false">(MIN(B2486,2020)-1900-10*(G2486-1))/10</f>
        <v>0.8</v>
      </c>
      <c r="I2486" s="20" t="n">
        <f aca="false">EXP(LN(INDEX(Pop_Inputs!$B$2:$N$29,MATCH(C2486,Pop_Inputs!$A$2:$A$29,0),G2486))*(1-H2486)+LN(INDEX(Pop_Inputs!$B$2:$N$29,MATCH(C2486,Pop_Inputs!$A$2:$A$29,0),G2486+1))*H2486)</f>
        <v>1587927.84987589</v>
      </c>
      <c r="J2486" s="20" t="n">
        <f aca="false">I2486/F2486</f>
        <v>1587927.84987589</v>
      </c>
      <c r="K2486" s="21" t="n">
        <f aca="false">D2486/(D2486+E2486)</f>
        <v>0.493827160493827</v>
      </c>
      <c r="L2486" s="21" t="n">
        <f aca="false">AVERAGEIFS($K$2:$K$2705,$B$2:$B$2705,B2486)</f>
        <v>0.499918959380742</v>
      </c>
      <c r="M2486" s="21" t="n">
        <f aca="false">K2486-L2486</f>
        <v>-0.00609179888691463</v>
      </c>
      <c r="N2486" s="21" t="n">
        <f aca="false">LN(J2486)</f>
        <v>14.2779404851701</v>
      </c>
      <c r="O2486" s="21" t="n">
        <f aca="false">AVERAGEIFS($N$2:$N$2705,$B$2:$B$2705,B2486)</f>
        <v>13.6667804708835</v>
      </c>
      <c r="P2486" s="21" t="n">
        <f aca="false">N2486-O2486</f>
        <v>0.611160014286533</v>
      </c>
      <c r="Q2486" s="7" t="n">
        <v>0</v>
      </c>
      <c r="R2486" s="3" t="n">
        <f aca="false">IF(AND(Q2486=1,B2486-_xlfn.MINIFS($B$2:$B$2705,$A$2:$A$2705,A2486)&lt;10),1,0)</f>
        <v>0</v>
      </c>
      <c r="S2486" s="7" t="n">
        <v>0</v>
      </c>
      <c r="T2486" s="3" t="n">
        <f aca="false">_xlfn.MINIFS($B$2:$B$2705,$A$2:$A$2705,A2486)</f>
        <v>1901</v>
      </c>
      <c r="U2486" s="3" t="n">
        <f aca="false">B2486-T2486</f>
        <v>117</v>
      </c>
      <c r="V2486" s="3" t="str">
        <f aca="false">INDEX(Pop_Inputs!$Q$2:$Q$29,MATCH(C2486,Pop_Inputs!$A$2:$A$29,0))</f>
        <v>Northeast</v>
      </c>
      <c r="W2486" s="29" t="n">
        <v>119194540</v>
      </c>
      <c r="X2486" s="3" t="n">
        <f aca="false">IF(W2486="","",LN(W2486))</f>
        <v>18.5962675061773</v>
      </c>
      <c r="Y2486" s="3" t="n">
        <f aca="false">IF(X2486="","",X2486-AVERAGEIFS($X$2:$X$2705,$B$2:$B$2705,B2486))</f>
        <v>-0.20897221519213</v>
      </c>
      <c r="Z2486" s="21" t="n">
        <f aca="false">P2486</f>
        <v>0.611160014286533</v>
      </c>
      <c r="AA2486" s="3" t="n">
        <f aca="false">R2486</f>
        <v>0</v>
      </c>
      <c r="AB2486" s="21" t="n">
        <f aca="false">P2486</f>
        <v>0.611160014286533</v>
      </c>
      <c r="AC2486" s="3" t="n">
        <f aca="false">Y2486</f>
        <v>-0.20897221519213</v>
      </c>
      <c r="AD2486" s="3" t="n">
        <f aca="false">R2486</f>
        <v>0</v>
      </c>
    </row>
    <row r="2487" customFormat="false" ht="15" hidden="false" customHeight="true" outlineLevel="0" collapsed="false">
      <c r="A2487" s="7" t="s">
        <v>58</v>
      </c>
      <c r="B2487" s="7" t="n">
        <v>2018</v>
      </c>
      <c r="C2487" s="7" t="s">
        <v>144</v>
      </c>
      <c r="D2487" s="7" t="n">
        <v>82</v>
      </c>
      <c r="E2487" s="7" t="n">
        <v>79</v>
      </c>
      <c r="F2487" s="3" t="n">
        <f aca="false">COUNTIFS($B$2:$B$2705,B2487,$C$2:$C$2705,C2487)</f>
        <v>1</v>
      </c>
      <c r="G2487" s="3" t="n">
        <f aca="false">MIN(INT((MIN(B2487,2020)-1900)/10)+1,12)</f>
        <v>12</v>
      </c>
      <c r="H2487" s="3" t="n">
        <f aca="false">(MIN(B2487,2020)-1900-10*(G2487-1))/10</f>
        <v>0.8</v>
      </c>
      <c r="I2487" s="20" t="n">
        <f aca="false">EXP(LN(INDEX(Pop_Inputs!$B$2:$N$29,MATCH(C2487,Pop_Inputs!$A$2:$A$29,0),G2487))*(1-H2487)+LN(INDEX(Pop_Inputs!$B$2:$N$29,MATCH(C2487,Pop_Inputs!$A$2:$A$29,0),G2487+1))*H2487)</f>
        <v>303515.63832954</v>
      </c>
      <c r="J2487" s="20" t="n">
        <f aca="false">I2487/F2487</f>
        <v>303515.63832954</v>
      </c>
      <c r="K2487" s="21" t="n">
        <f aca="false">D2487/(D2487+E2487)</f>
        <v>0.509316770186335</v>
      </c>
      <c r="L2487" s="21" t="n">
        <f aca="false">AVERAGEIFS($K$2:$K$2705,$B$2:$B$2705,B2487)</f>
        <v>0.499918959380742</v>
      </c>
      <c r="M2487" s="21" t="n">
        <f aca="false">K2487-L2487</f>
        <v>0.0093978108055936</v>
      </c>
      <c r="N2487" s="21" t="n">
        <f aca="false">LN(J2487)</f>
        <v>12.6231884147755</v>
      </c>
      <c r="O2487" s="21" t="n">
        <f aca="false">AVERAGEIFS($N$2:$N$2705,$B$2:$B$2705,B2487)</f>
        <v>13.6667804708835</v>
      </c>
      <c r="P2487" s="21" t="n">
        <f aca="false">N2487-O2487</f>
        <v>-1.04359205610808</v>
      </c>
      <c r="Q2487" s="7" t="n">
        <v>0</v>
      </c>
      <c r="R2487" s="3" t="n">
        <f aca="false">IF(AND(Q2487=1,B2487-_xlfn.MINIFS($B$2:$B$2705,$A$2:$A$2705,A2487)&lt;10),1,0)</f>
        <v>0</v>
      </c>
      <c r="S2487" s="7" t="n">
        <v>0</v>
      </c>
      <c r="T2487" s="3" t="n">
        <f aca="false">_xlfn.MINIFS($B$2:$B$2705,$A$2:$A$2705,A2487)</f>
        <v>1901</v>
      </c>
      <c r="U2487" s="3" t="n">
        <f aca="false">B2487-T2487</f>
        <v>117</v>
      </c>
      <c r="V2487" s="3" t="str">
        <f aca="false">INDEX(Pop_Inputs!$Q$2:$Q$29,MATCH(C2487,Pop_Inputs!$A$2:$A$29,0))</f>
        <v>Northeast</v>
      </c>
      <c r="W2487" s="29" t="n">
        <v>103837992</v>
      </c>
      <c r="X2487" s="3" t="n">
        <f aca="false">IF(W2487="","",LN(W2487))</f>
        <v>18.4583424732909</v>
      </c>
      <c r="Y2487" s="3" t="n">
        <f aca="false">IF(X2487="","",X2487-AVERAGEIFS($X$2:$X$2705,$B$2:$B$2705,B2487))</f>
        <v>-0.346897248078562</v>
      </c>
      <c r="Z2487" s="21" t="n">
        <f aca="false">P2487</f>
        <v>-1.04359205610808</v>
      </c>
      <c r="AA2487" s="3" t="n">
        <f aca="false">R2487</f>
        <v>0</v>
      </c>
      <c r="AB2487" s="21" t="n">
        <f aca="false">P2487</f>
        <v>-1.04359205610808</v>
      </c>
      <c r="AC2487" s="3" t="n">
        <f aca="false">Y2487</f>
        <v>-0.346897248078562</v>
      </c>
      <c r="AD2487" s="3" t="n">
        <f aca="false">R2487</f>
        <v>0</v>
      </c>
    </row>
    <row r="2488" customFormat="false" ht="15" hidden="false" customHeight="true" outlineLevel="0" collapsed="false">
      <c r="A2488" s="7" t="s">
        <v>78</v>
      </c>
      <c r="B2488" s="7" t="n">
        <v>2018</v>
      </c>
      <c r="C2488" s="7" t="s">
        <v>159</v>
      </c>
      <c r="D2488" s="7" t="n">
        <v>66</v>
      </c>
      <c r="E2488" s="7" t="n">
        <v>96</v>
      </c>
      <c r="F2488" s="3" t="n">
        <f aca="false">COUNTIFS($B$2:$B$2705,B2488,$C$2:$C$2705,C2488)</f>
        <v>1</v>
      </c>
      <c r="G2488" s="3" t="n">
        <f aca="false">MIN(INT((MIN(B2488,2020)-1900)/10)+1,12)</f>
        <v>12</v>
      </c>
      <c r="H2488" s="3" t="n">
        <f aca="false">(MIN(B2488,2020)-1900-10*(G2488-1))/10</f>
        <v>0.8</v>
      </c>
      <c r="I2488" s="20" t="n">
        <f aca="false">EXP(LN(INDEX(Pop_Inputs!$B$2:$N$29,MATCH(C2488,Pop_Inputs!$A$2:$A$29,0),G2488))*(1-H2488)+LN(INDEX(Pop_Inputs!$B$2:$N$29,MATCH(C2488,Pop_Inputs!$A$2:$A$29,0),G2488+1))*H2488)</f>
        <v>1370648.08558119</v>
      </c>
      <c r="J2488" s="20" t="n">
        <f aca="false">I2488/F2488</f>
        <v>1370648.08558119</v>
      </c>
      <c r="K2488" s="21" t="n">
        <f aca="false">D2488/(D2488+E2488)</f>
        <v>0.407407407407407</v>
      </c>
      <c r="L2488" s="21" t="n">
        <f aca="false">AVERAGEIFS($K$2:$K$2705,$B$2:$B$2705,B2488)</f>
        <v>0.499918959380742</v>
      </c>
      <c r="M2488" s="21" t="n">
        <f aca="false">K2488-L2488</f>
        <v>-0.0925115519733344</v>
      </c>
      <c r="N2488" s="21" t="n">
        <f aca="false">LN(J2488)</f>
        <v>14.1307942411177</v>
      </c>
      <c r="O2488" s="21" t="n">
        <f aca="false">AVERAGEIFS($N$2:$N$2705,$B$2:$B$2705,B2488)</f>
        <v>13.6667804708835</v>
      </c>
      <c r="P2488" s="21" t="n">
        <f aca="false">N2488-O2488</f>
        <v>0.464013770234201</v>
      </c>
      <c r="Q2488" s="7" t="n">
        <v>1</v>
      </c>
      <c r="R2488" s="3" t="n">
        <f aca="false">IF(AND(Q2488=1,B2488-_xlfn.MINIFS($B$2:$B$2705,$A$2:$A$2705,A2488)&lt;10),1,0)</f>
        <v>0</v>
      </c>
      <c r="S2488" s="7" t="n">
        <v>0</v>
      </c>
      <c r="T2488" s="3" t="n">
        <f aca="false">_xlfn.MINIFS($B$2:$B$2705,$A$2:$A$2705,A2488)</f>
        <v>1969</v>
      </c>
      <c r="U2488" s="3" t="n">
        <f aca="false">B2488-T2488</f>
        <v>49</v>
      </c>
      <c r="V2488" s="3" t="str">
        <f aca="false">INDEX(Pop_Inputs!$Q$2:$Q$29,MATCH(C2488,Pop_Inputs!$A$2:$A$29,0))</f>
        <v>West</v>
      </c>
      <c r="W2488" s="29" t="n">
        <v>130216502</v>
      </c>
      <c r="X2488" s="3" t="n">
        <f aca="false">IF(W2488="","",LN(W2488))</f>
        <v>18.6847090231791</v>
      </c>
      <c r="Y2488" s="3" t="n">
        <f aca="false">IF(X2488="","",X2488-AVERAGEIFS($X$2:$X$2705,$B$2:$B$2705,B2488))</f>
        <v>-0.120530698190379</v>
      </c>
      <c r="Z2488" s="21" t="n">
        <f aca="false">P2488</f>
        <v>0.464013770234201</v>
      </c>
      <c r="AA2488" s="3" t="n">
        <f aca="false">R2488</f>
        <v>0</v>
      </c>
      <c r="AB2488" s="21" t="n">
        <f aca="false">P2488</f>
        <v>0.464013770234201</v>
      </c>
      <c r="AC2488" s="3" t="n">
        <f aca="false">Y2488</f>
        <v>-0.120530698190379</v>
      </c>
      <c r="AD2488" s="3" t="n">
        <f aca="false">R2488</f>
        <v>0</v>
      </c>
    </row>
    <row r="2489" customFormat="false" ht="15" hidden="false" customHeight="true" outlineLevel="0" collapsed="false">
      <c r="A2489" s="7" t="s">
        <v>80</v>
      </c>
      <c r="B2489" s="7" t="n">
        <v>2018</v>
      </c>
      <c r="C2489" s="7" t="s">
        <v>161</v>
      </c>
      <c r="D2489" s="7" t="n">
        <v>89</v>
      </c>
      <c r="E2489" s="7" t="n">
        <v>73</v>
      </c>
      <c r="F2489" s="3" t="n">
        <f aca="false">COUNTIFS($B$2:$B$2705,B2489,$C$2:$C$2705,C2489)</f>
        <v>1</v>
      </c>
      <c r="G2489" s="3" t="n">
        <f aca="false">MIN(INT((MIN(B2489,2020)-1900)/10)+1,12)</f>
        <v>12</v>
      </c>
      <c r="H2489" s="3" t="n">
        <f aca="false">(MIN(B2489,2020)-1900-10*(G2489-1))/10</f>
        <v>0.8</v>
      </c>
      <c r="I2489" s="20" t="n">
        <f aca="false">EXP(LN(INDEX(Pop_Inputs!$B$2:$N$29,MATCH(C2489,Pop_Inputs!$A$2:$A$29,0),G2489))*(1-H2489)+LN(INDEX(Pop_Inputs!$B$2:$N$29,MATCH(C2489,Pop_Inputs!$A$2:$A$29,0),G2489+1))*H2489)</f>
        <v>709342.55325291</v>
      </c>
      <c r="J2489" s="20" t="n">
        <f aca="false">I2489/F2489</f>
        <v>709342.55325291</v>
      </c>
      <c r="K2489" s="21" t="n">
        <f aca="false">D2489/(D2489+E2489)</f>
        <v>0.549382716049383</v>
      </c>
      <c r="L2489" s="21" t="n">
        <f aca="false">AVERAGEIFS($K$2:$K$2705,$B$2:$B$2705,B2489)</f>
        <v>0.499918959380742</v>
      </c>
      <c r="M2489" s="21" t="n">
        <f aca="false">K2489-L2489</f>
        <v>0.0494637566686409</v>
      </c>
      <c r="N2489" s="21" t="n">
        <f aca="false">LN(J2489)</f>
        <v>13.472093838698</v>
      </c>
      <c r="O2489" s="21" t="n">
        <f aca="false">AVERAGEIFS($N$2:$N$2705,$B$2:$B$2705,B2489)</f>
        <v>13.6667804708835</v>
      </c>
      <c r="P2489" s="21" t="n">
        <f aca="false">N2489-O2489</f>
        <v>-0.194686632185523</v>
      </c>
      <c r="Q2489" s="7" t="n">
        <v>1</v>
      </c>
      <c r="R2489" s="3" t="n">
        <f aca="false">IF(AND(Q2489=1,B2489-_xlfn.MINIFS($B$2:$B$2705,$A$2:$A$2705,A2489)&lt;10),1,0)</f>
        <v>0</v>
      </c>
      <c r="S2489" s="7" t="n">
        <v>0</v>
      </c>
      <c r="T2489" s="3" t="n">
        <f aca="false">_xlfn.MINIFS($B$2:$B$2705,$A$2:$A$2705,A2489)</f>
        <v>1977</v>
      </c>
      <c r="U2489" s="3" t="n">
        <f aca="false">B2489-T2489</f>
        <v>41</v>
      </c>
      <c r="V2489" s="3" t="str">
        <f aca="false">INDEX(Pop_Inputs!$Q$2:$Q$29,MATCH(C2489,Pop_Inputs!$A$2:$A$29,0))</f>
        <v>West</v>
      </c>
      <c r="W2489" s="29" t="n">
        <v>170971290</v>
      </c>
      <c r="X2489" s="3" t="n">
        <f aca="false">IF(W2489="","",LN(W2489))</f>
        <v>18.9570062056342</v>
      </c>
      <c r="Y2489" s="3" t="n">
        <f aca="false">IF(X2489="","",X2489-AVERAGEIFS($X$2:$X$2705,$B$2:$B$2705,B2489))</f>
        <v>0.151766484264765</v>
      </c>
      <c r="Z2489" s="21" t="n">
        <f aca="false">P2489</f>
        <v>-0.194686632185523</v>
      </c>
      <c r="AA2489" s="3" t="n">
        <f aca="false">R2489</f>
        <v>0</v>
      </c>
      <c r="AB2489" s="21" t="n">
        <f aca="false">P2489</f>
        <v>-0.194686632185523</v>
      </c>
      <c r="AC2489" s="3" t="n">
        <f aca="false">Y2489</f>
        <v>0.151766484264765</v>
      </c>
      <c r="AD2489" s="3" t="n">
        <f aca="false">R2489</f>
        <v>0</v>
      </c>
    </row>
    <row r="2490" customFormat="false" ht="15" hidden="false" customHeight="true" outlineLevel="0" collapsed="false">
      <c r="A2490" s="7" t="s">
        <v>61</v>
      </c>
      <c r="B2490" s="7" t="n">
        <v>2018</v>
      </c>
      <c r="C2490" s="7" t="s">
        <v>147</v>
      </c>
      <c r="D2490" s="7" t="n">
        <v>73</v>
      </c>
      <c r="E2490" s="7" t="n">
        <v>89</v>
      </c>
      <c r="F2490" s="3" t="n">
        <f aca="false">COUNTIFS($B$2:$B$2705,B2490,$C$2:$C$2705,C2490)</f>
        <v>1</v>
      </c>
      <c r="G2490" s="3" t="n">
        <f aca="false">MIN(INT((MIN(B2490,2020)-1900)/10)+1,12)</f>
        <v>12</v>
      </c>
      <c r="H2490" s="3" t="n">
        <f aca="false">(MIN(B2490,2020)-1900-10*(G2490-1))/10</f>
        <v>0.8</v>
      </c>
      <c r="I2490" s="20" t="n">
        <f aca="false">EXP(LN(INDEX(Pop_Inputs!$B$2:$N$29,MATCH(C2490,Pop_Inputs!$A$2:$A$29,0),G2490))*(1-H2490)+LN(INDEX(Pop_Inputs!$B$2:$N$29,MATCH(C2490,Pop_Inputs!$A$2:$A$29,0),G2490+1))*H2490)</f>
        <v>859764.999341193</v>
      </c>
      <c r="J2490" s="20" t="n">
        <f aca="false">I2490/F2490</f>
        <v>859764.999341193</v>
      </c>
      <c r="K2490" s="21" t="n">
        <f aca="false">D2490/(D2490+E2490)</f>
        <v>0.450617283950617</v>
      </c>
      <c r="L2490" s="21" t="n">
        <f aca="false">AVERAGEIFS($K$2:$K$2705,$B$2:$B$2705,B2490)</f>
        <v>0.499918959380742</v>
      </c>
      <c r="M2490" s="21" t="n">
        <f aca="false">K2490-L2490</f>
        <v>-0.0493016754301245</v>
      </c>
      <c r="N2490" s="21" t="n">
        <f aca="false">LN(J2490)</f>
        <v>13.6644143743083</v>
      </c>
      <c r="O2490" s="21" t="n">
        <f aca="false">AVERAGEIFS($N$2:$N$2705,$B$2:$B$2705,B2490)</f>
        <v>13.6667804708835</v>
      </c>
      <c r="P2490" s="21" t="n">
        <f aca="false">N2490-O2490</f>
        <v>-0.00236609657523346</v>
      </c>
      <c r="Q2490" s="7" t="n">
        <v>0</v>
      </c>
      <c r="R2490" s="3" t="n">
        <f aca="false">IF(AND(Q2490=1,B2490-_xlfn.MINIFS($B$2:$B$2705,$A$2:$A$2705,A2490)&lt;10),1,0)</f>
        <v>0</v>
      </c>
      <c r="S2490" s="7" t="n">
        <v>0</v>
      </c>
      <c r="T2490" s="3" t="n">
        <f aca="false">_xlfn.MINIFS($B$2:$B$2705,$A$2:$A$2705,A2490)</f>
        <v>1901</v>
      </c>
      <c r="U2490" s="3" t="n">
        <f aca="false">B2490-T2490</f>
        <v>117</v>
      </c>
      <c r="V2490" s="3" t="str">
        <f aca="false">INDEX(Pop_Inputs!$Q$2:$Q$29,MATCH(C2490,Pop_Inputs!$A$2:$A$29,0))</f>
        <v>West</v>
      </c>
      <c r="W2490" s="29" t="n">
        <v>195716953</v>
      </c>
      <c r="X2490" s="3" t="n">
        <f aca="false">IF(W2490="","",LN(W2490))</f>
        <v>19.0921800561054</v>
      </c>
      <c r="Y2490" s="3" t="n">
        <f aca="false">IF(X2490="","",X2490-AVERAGEIFS($X$2:$X$2705,$B$2:$B$2705,B2490))</f>
        <v>0.286940334735988</v>
      </c>
      <c r="Z2490" s="21" t="n">
        <f aca="false">P2490</f>
        <v>-0.00236609657523346</v>
      </c>
      <c r="AA2490" s="3" t="n">
        <f aca="false">R2490</f>
        <v>0</v>
      </c>
      <c r="AB2490" s="21" t="n">
        <f aca="false">P2490</f>
        <v>-0.00236609657523346</v>
      </c>
      <c r="AC2490" s="3" t="n">
        <f aca="false">Y2490</f>
        <v>0.286940334735988</v>
      </c>
      <c r="AD2490" s="3" t="n">
        <f aca="false">R2490</f>
        <v>0</v>
      </c>
    </row>
    <row r="2491" customFormat="false" ht="15" hidden="false" customHeight="true" outlineLevel="0" collapsed="false">
      <c r="A2491" s="7" t="s">
        <v>59</v>
      </c>
      <c r="B2491" s="7" t="n">
        <v>2018</v>
      </c>
      <c r="C2491" s="7" t="s">
        <v>145</v>
      </c>
      <c r="D2491" s="7" t="n">
        <v>88</v>
      </c>
      <c r="E2491" s="7" t="n">
        <v>74</v>
      </c>
      <c r="F2491" s="3" t="n">
        <f aca="false">COUNTIFS($B$2:$B$2705,B2491,$C$2:$C$2705,C2491)</f>
        <v>1</v>
      </c>
      <c r="G2491" s="3" t="n">
        <f aca="false">MIN(INT((MIN(B2491,2020)-1900)/10)+1,12)</f>
        <v>12</v>
      </c>
      <c r="H2491" s="3" t="n">
        <f aca="false">(MIN(B2491,2020)-1900-10*(G2491-1))/10</f>
        <v>0.8</v>
      </c>
      <c r="I2491" s="20" t="n">
        <f aca="false">EXP(LN(INDEX(Pop_Inputs!$B$2:$N$29,MATCH(C2491,Pop_Inputs!$A$2:$A$29,0),G2491))*(1-H2491)+LN(INDEX(Pop_Inputs!$B$2:$N$29,MATCH(C2491,Pop_Inputs!$A$2:$A$29,0),G2491+1))*H2491)</f>
        <v>305040.76183205</v>
      </c>
      <c r="J2491" s="20" t="n">
        <f aca="false">I2491/F2491</f>
        <v>305040.76183205</v>
      </c>
      <c r="K2491" s="21" t="n">
        <f aca="false">D2491/(D2491+E2491)</f>
        <v>0.54320987654321</v>
      </c>
      <c r="L2491" s="21" t="n">
        <f aca="false">AVERAGEIFS($K$2:$K$2705,$B$2:$B$2705,B2491)</f>
        <v>0.499918959380742</v>
      </c>
      <c r="M2491" s="21" t="n">
        <f aca="false">K2491-L2491</f>
        <v>0.0432909171624681</v>
      </c>
      <c r="N2491" s="21" t="n">
        <f aca="false">LN(J2491)</f>
        <v>12.6282006920108</v>
      </c>
      <c r="O2491" s="21" t="n">
        <f aca="false">AVERAGEIFS($N$2:$N$2705,$B$2:$B$2705,B2491)</f>
        <v>13.6667804708835</v>
      </c>
      <c r="P2491" s="21" t="n">
        <f aca="false">N2491-O2491</f>
        <v>-1.03857977887275</v>
      </c>
      <c r="Q2491" s="7" t="n">
        <v>0</v>
      </c>
      <c r="R2491" s="3" t="n">
        <f aca="false">IF(AND(Q2491=1,B2491-_xlfn.MINIFS($B$2:$B$2705,$A$2:$A$2705,A2491)&lt;10),1,0)</f>
        <v>0</v>
      </c>
      <c r="S2491" s="7" t="n">
        <v>0</v>
      </c>
      <c r="T2491" s="3" t="n">
        <f aca="false">_xlfn.MINIFS($B$2:$B$2705,$A$2:$A$2705,A2491)</f>
        <v>1901</v>
      </c>
      <c r="U2491" s="3" t="n">
        <f aca="false">B2491-T2491</f>
        <v>117</v>
      </c>
      <c r="V2491" s="3" t="str">
        <f aca="false">INDEX(Pop_Inputs!$Q$2:$Q$29,MATCH(C2491,Pop_Inputs!$A$2:$A$29,0))</f>
        <v>Midwest</v>
      </c>
      <c r="W2491" s="29" t="n">
        <v>175703458</v>
      </c>
      <c r="X2491" s="3" t="n">
        <f aca="false">IF(W2491="","",LN(W2491))</f>
        <v>18.9843082342386</v>
      </c>
      <c r="Y2491" s="3" t="n">
        <f aca="false">IF(X2491="","",X2491-AVERAGEIFS($X$2:$X$2705,$B$2:$B$2705,B2491))</f>
        <v>0.179068512869122</v>
      </c>
      <c r="Z2491" s="21" t="n">
        <f aca="false">P2491</f>
        <v>-1.03857977887275</v>
      </c>
      <c r="AA2491" s="3" t="n">
        <f aca="false">R2491</f>
        <v>0</v>
      </c>
      <c r="AB2491" s="21" t="n">
        <f aca="false">P2491</f>
        <v>-1.03857977887275</v>
      </c>
      <c r="AC2491" s="3" t="n">
        <f aca="false">Y2491</f>
        <v>0.179068512869122</v>
      </c>
      <c r="AD2491" s="3" t="n">
        <f aca="false">R2491</f>
        <v>0</v>
      </c>
    </row>
    <row r="2492" customFormat="false" ht="15" hidden="false" customHeight="true" outlineLevel="0" collapsed="false">
      <c r="A2492" s="7" t="s">
        <v>85</v>
      </c>
      <c r="B2492" s="7" t="n">
        <v>2018</v>
      </c>
      <c r="C2492" s="7" t="s">
        <v>166</v>
      </c>
      <c r="D2492" s="7" t="n">
        <v>90</v>
      </c>
      <c r="E2492" s="7" t="n">
        <v>72</v>
      </c>
      <c r="F2492" s="3" t="n">
        <f aca="false">COUNTIFS($B$2:$B$2705,B2492,$C$2:$C$2705,C2492)</f>
        <v>1</v>
      </c>
      <c r="G2492" s="3" t="n">
        <f aca="false">MIN(INT((MIN(B2492,2020)-1900)/10)+1,12)</f>
        <v>12</v>
      </c>
      <c r="H2492" s="3" t="n">
        <f aca="false">(MIN(B2492,2020)-1900-10*(G2492-1))/10</f>
        <v>0.8</v>
      </c>
      <c r="I2492" s="20" t="n">
        <f aca="false">EXP(LN(INDEX(Pop_Inputs!$B$2:$N$29,MATCH(C2492,Pop_Inputs!$A$2:$A$29,0),G2492))*(1-H2492)+LN(INDEX(Pop_Inputs!$B$2:$N$29,MATCH(C2492,Pop_Inputs!$A$2:$A$29,0),G2492+1))*H2492)</f>
        <v>374562.399814125</v>
      </c>
      <c r="J2492" s="20" t="n">
        <f aca="false">I2492/F2492</f>
        <v>374562.399814125</v>
      </c>
      <c r="K2492" s="21" t="n">
        <f aca="false">D2492/(D2492+E2492)</f>
        <v>0.555555555555556</v>
      </c>
      <c r="L2492" s="21" t="n">
        <f aca="false">AVERAGEIFS($K$2:$K$2705,$B$2:$B$2705,B2492)</f>
        <v>0.499918959380742</v>
      </c>
      <c r="M2492" s="21" t="n">
        <f aca="false">K2492-L2492</f>
        <v>0.0556365961748138</v>
      </c>
      <c r="N2492" s="21" t="n">
        <f aca="false">LN(J2492)</f>
        <v>12.8335136897261</v>
      </c>
      <c r="O2492" s="21" t="n">
        <f aca="false">AVERAGEIFS($N$2:$N$2705,$B$2:$B$2705,B2492)</f>
        <v>13.6667804708835</v>
      </c>
      <c r="P2492" s="21" t="n">
        <f aca="false">N2492-O2492</f>
        <v>-0.833266781157414</v>
      </c>
      <c r="Q2492" s="7" t="n">
        <v>1</v>
      </c>
      <c r="R2492" s="3" t="n">
        <f aca="false">IF(AND(Q2492=1,B2492-_xlfn.MINIFS($B$2:$B$2705,$A$2:$A$2705,A2492)&lt;10),1,0)</f>
        <v>0</v>
      </c>
      <c r="S2492" s="7" t="n">
        <v>0</v>
      </c>
      <c r="T2492" s="3" t="n">
        <f aca="false">_xlfn.MINIFS($B$2:$B$2705,$A$2:$A$2705,A2492)</f>
        <v>1998</v>
      </c>
      <c r="U2492" s="3" t="n">
        <f aca="false">B2492-T2492</f>
        <v>20</v>
      </c>
      <c r="V2492" s="3" t="str">
        <f aca="false">INDEX(Pop_Inputs!$Q$2:$Q$29,MATCH(C2492,Pop_Inputs!$A$2:$A$29,0))</f>
        <v>South</v>
      </c>
      <c r="W2492" s="29" t="n">
        <v>95568294</v>
      </c>
      <c r="X2492" s="3" t="n">
        <f aca="false">IF(W2492="","",LN(W2492))</f>
        <v>18.375351670293</v>
      </c>
      <c r="Y2492" s="3" t="n">
        <f aca="false">IF(X2492="","",X2492-AVERAGEIFS($X$2:$X$2705,$B$2:$B$2705,B2492))</f>
        <v>-0.429888051076389</v>
      </c>
      <c r="Z2492" s="21" t="n">
        <f aca="false">P2492</f>
        <v>-0.833266781157414</v>
      </c>
      <c r="AA2492" s="3" t="n">
        <f aca="false">R2492</f>
        <v>0</v>
      </c>
      <c r="AB2492" s="21" t="n">
        <f aca="false">P2492</f>
        <v>-0.833266781157414</v>
      </c>
      <c r="AC2492" s="3" t="n">
        <f aca="false">Y2492</f>
        <v>-0.429888051076389</v>
      </c>
      <c r="AD2492" s="3" t="n">
        <f aca="false">R2492</f>
        <v>0</v>
      </c>
    </row>
    <row r="2493" customFormat="false" ht="15" hidden="false" customHeight="true" outlineLevel="0" collapsed="false">
      <c r="A2493" s="7" t="s">
        <v>73</v>
      </c>
      <c r="B2493" s="7" t="n">
        <v>2018</v>
      </c>
      <c r="C2493" s="7" t="s">
        <v>155</v>
      </c>
      <c r="D2493" s="7" t="n">
        <v>67</v>
      </c>
      <c r="E2493" s="7" t="n">
        <v>95</v>
      </c>
      <c r="F2493" s="3" t="n">
        <f aca="false">COUNTIFS($B$2:$B$2705,B2493,$C$2:$C$2705,C2493)</f>
        <v>1</v>
      </c>
      <c r="G2493" s="3" t="n">
        <f aca="false">MIN(INT((MIN(B2493,2020)-1900)/10)+1,12)</f>
        <v>12</v>
      </c>
      <c r="H2493" s="3" t="n">
        <f aca="false">(MIN(B2493,2020)-1900-10*(G2493-1))/10</f>
        <v>0.8</v>
      </c>
      <c r="I2493" s="20" t="n">
        <f aca="false">EXP(LN(INDEX(Pop_Inputs!$B$2:$N$29,MATCH(C2493,Pop_Inputs!$A$2:$A$29,0),G2493))*(1-H2493)+LN(INDEX(Pop_Inputs!$B$2:$N$29,MATCH(C2493,Pop_Inputs!$A$2:$A$29,0),G2493+1))*H2493)</f>
        <v>1282333.71415076</v>
      </c>
      <c r="J2493" s="20" t="n">
        <f aca="false">I2493/F2493</f>
        <v>1282333.71415076</v>
      </c>
      <c r="K2493" s="21" t="n">
        <f aca="false">D2493/(D2493+E2493)</f>
        <v>0.41358024691358</v>
      </c>
      <c r="L2493" s="21" t="n">
        <f aca="false">AVERAGEIFS($K$2:$K$2705,$B$2:$B$2705,B2493)</f>
        <v>0.499918959380742</v>
      </c>
      <c r="M2493" s="21" t="n">
        <f aca="false">K2493-L2493</f>
        <v>-0.0863387124671615</v>
      </c>
      <c r="N2493" s="21" t="n">
        <f aca="false">LN(J2493)</f>
        <v>14.0641921900385</v>
      </c>
      <c r="O2493" s="21" t="n">
        <f aca="false">AVERAGEIFS($N$2:$N$2705,$B$2:$B$2705,B2493)</f>
        <v>13.6667804708835</v>
      </c>
      <c r="P2493" s="21" t="n">
        <f aca="false">N2493-O2493</f>
        <v>0.397411719155</v>
      </c>
      <c r="Q2493" s="7" t="n">
        <v>1</v>
      </c>
      <c r="R2493" s="3" t="n">
        <f aca="false">IF(AND(Q2493=1,B2493-_xlfn.MINIFS($B$2:$B$2705,$A$2:$A$2705,A2493)&lt;10),1,0)</f>
        <v>0</v>
      </c>
      <c r="S2493" s="7" t="n">
        <v>0</v>
      </c>
      <c r="T2493" s="3" t="n">
        <f aca="false">_xlfn.MINIFS($B$2:$B$2705,$A$2:$A$2705,A2493)</f>
        <v>1961</v>
      </c>
      <c r="U2493" s="3" t="n">
        <f aca="false">B2493-T2493</f>
        <v>57</v>
      </c>
      <c r="V2493" s="3" t="str">
        <f aca="false">INDEX(Pop_Inputs!$Q$2:$Q$29,MATCH(C2493,Pop_Inputs!$A$2:$A$29,0))</f>
        <v>South</v>
      </c>
      <c r="W2493" s="29" t="n">
        <v>166342492</v>
      </c>
      <c r="X2493" s="3" t="n">
        <f aca="false">IF(W2493="","",LN(W2493))</f>
        <v>18.9295594256561</v>
      </c>
      <c r="Y2493" s="3" t="n">
        <f aca="false">IF(X2493="","",X2493-AVERAGEIFS($X$2:$X$2705,$B$2:$B$2705,B2493))</f>
        <v>0.124319704286641</v>
      </c>
      <c r="Z2493" s="21" t="n">
        <f aca="false">P2493</f>
        <v>0.397411719155</v>
      </c>
      <c r="AA2493" s="3" t="n">
        <f aca="false">R2493</f>
        <v>0</v>
      </c>
      <c r="AB2493" s="21" t="n">
        <f aca="false">P2493</f>
        <v>0.397411719155</v>
      </c>
      <c r="AC2493" s="3" t="n">
        <f aca="false">Y2493</f>
        <v>0.124319704286641</v>
      </c>
      <c r="AD2493" s="3" t="n">
        <f aca="false">R2493</f>
        <v>0</v>
      </c>
    </row>
    <row r="2494" customFormat="false" ht="15" hidden="false" customHeight="true" outlineLevel="0" collapsed="false">
      <c r="A2494" s="7" t="s">
        <v>81</v>
      </c>
      <c r="B2494" s="7" t="n">
        <v>2018</v>
      </c>
      <c r="C2494" s="7" t="s">
        <v>162</v>
      </c>
      <c r="D2494" s="7" t="n">
        <v>73</v>
      </c>
      <c r="E2494" s="7" t="n">
        <v>89</v>
      </c>
      <c r="F2494" s="3" t="n">
        <f aca="false">COUNTIFS($B$2:$B$2705,B2494,$C$2:$C$2705,C2494)</f>
        <v>1</v>
      </c>
      <c r="G2494" s="3" t="n">
        <f aca="false">MIN(INT((MIN(B2494,2020)-1900)/10)+1,12)</f>
        <v>12</v>
      </c>
      <c r="H2494" s="3" t="n">
        <f aca="false">(MIN(B2494,2020)-1900-10*(G2494-1))/10</f>
        <v>0.8</v>
      </c>
      <c r="I2494" s="20" t="n">
        <f aca="false">EXP(LN(INDEX(Pop_Inputs!$B$2:$N$29,MATCH(C2494,Pop_Inputs!$A$2:$A$29,0),G2494))*(1-H2494)+LN(INDEX(Pop_Inputs!$B$2:$N$29,MATCH(C2494,Pop_Inputs!$A$2:$A$29,0),G2494+1))*H2494)</f>
        <v>2757539.35284663</v>
      </c>
      <c r="J2494" s="20" t="n">
        <f aca="false">I2494/F2494</f>
        <v>2757539.35284663</v>
      </c>
      <c r="K2494" s="21" t="n">
        <f aca="false">D2494/(D2494+E2494)</f>
        <v>0.450617283950617</v>
      </c>
      <c r="L2494" s="21" t="n">
        <f aca="false">AVERAGEIFS($K$2:$K$2705,$B$2:$B$2705,B2494)</f>
        <v>0.499918959380742</v>
      </c>
      <c r="M2494" s="21" t="n">
        <f aca="false">K2494-L2494</f>
        <v>-0.0493016754301245</v>
      </c>
      <c r="N2494" s="21" t="n">
        <f aca="false">LN(J2494)</f>
        <v>14.8298493012125</v>
      </c>
      <c r="O2494" s="21" t="n">
        <f aca="false">AVERAGEIFS($N$2:$N$2705,$B$2:$B$2705,B2494)</f>
        <v>13.6667804708835</v>
      </c>
      <c r="P2494" s="21" t="n">
        <f aca="false">N2494-O2494</f>
        <v>1.16306883032901</v>
      </c>
      <c r="Q2494" s="7" t="n">
        <v>1</v>
      </c>
      <c r="R2494" s="3" t="n">
        <f aca="false">IF(AND(Q2494=1,B2494-_xlfn.MINIFS($B$2:$B$2705,$A$2:$A$2705,A2494)&lt;10),1,0)</f>
        <v>0</v>
      </c>
      <c r="S2494" s="7" t="n">
        <v>0</v>
      </c>
      <c r="T2494" s="3" t="n">
        <f aca="false">_xlfn.MINIFS($B$2:$B$2705,$A$2:$A$2705,A2494)</f>
        <v>1977</v>
      </c>
      <c r="U2494" s="3" t="n">
        <f aca="false">B2494-T2494</f>
        <v>41</v>
      </c>
      <c r="V2494" s="3" t="str">
        <f aca="false">INDEX(Pop_Inputs!$Q$2:$Q$29,MATCH(C2494,Pop_Inputs!$A$2:$A$29,0))</f>
        <v>Canada</v>
      </c>
      <c r="W2494" s="29" t="n">
        <v>167138865</v>
      </c>
      <c r="X2494" s="3" t="n">
        <f aca="false">IF(W2494="","",LN(W2494))</f>
        <v>18.9343355518001</v>
      </c>
      <c r="Y2494" s="3" t="n">
        <f aca="false">IF(X2494="","",X2494-AVERAGEIFS($X$2:$X$2705,$B$2:$B$2705,B2494))</f>
        <v>0.129095830430707</v>
      </c>
      <c r="Z2494" s="21" t="n">
        <f aca="false">P2494</f>
        <v>1.16306883032901</v>
      </c>
      <c r="AA2494" s="3" t="n">
        <f aca="false">R2494</f>
        <v>0</v>
      </c>
      <c r="AB2494" s="21" t="n">
        <f aca="false">P2494</f>
        <v>1.16306883032901</v>
      </c>
      <c r="AC2494" s="3" t="n">
        <f aca="false">Y2494</f>
        <v>0.129095830430707</v>
      </c>
      <c r="AD2494" s="3" t="n">
        <f aca="false">R2494</f>
        <v>0</v>
      </c>
    </row>
    <row r="2495" customFormat="false" ht="15" hidden="false" customHeight="true" outlineLevel="0" collapsed="false">
      <c r="A2495" s="7" t="s">
        <v>79</v>
      </c>
      <c r="B2495" s="7" t="n">
        <v>2018</v>
      </c>
      <c r="C2495" s="7" t="s">
        <v>160</v>
      </c>
      <c r="D2495" s="7" t="n">
        <v>82</v>
      </c>
      <c r="E2495" s="7" t="n">
        <v>80</v>
      </c>
      <c r="F2495" s="3" t="n">
        <f aca="false">COUNTIFS($B$2:$B$2705,B2495,$C$2:$C$2705,C2495)</f>
        <v>1</v>
      </c>
      <c r="G2495" s="3" t="n">
        <f aca="false">MIN(INT((MIN(B2495,2020)-1900)/10)+1,12)</f>
        <v>12</v>
      </c>
      <c r="H2495" s="3" t="n">
        <f aca="false">(MIN(B2495,2020)-1900-10*(G2495-1))/10</f>
        <v>0.8</v>
      </c>
      <c r="I2495" s="20" t="n">
        <f aca="false">EXP(LN(INDEX(Pop_Inputs!$B$2:$N$29,MATCH(C2495,Pop_Inputs!$A$2:$A$29,0),G2495))*(1-H2495)+LN(INDEX(Pop_Inputs!$B$2:$N$29,MATCH(C2495,Pop_Inputs!$A$2:$A$29,0),G2495+1))*H2495)</f>
        <v>671010.650306495</v>
      </c>
      <c r="J2495" s="20" t="n">
        <f aca="false">I2495/F2495</f>
        <v>671010.650306495</v>
      </c>
      <c r="K2495" s="21" t="n">
        <f aca="false">D2495/(D2495+E2495)</f>
        <v>0.506172839506173</v>
      </c>
      <c r="L2495" s="21" t="n">
        <f aca="false">AVERAGEIFS($K$2:$K$2705,$B$2:$B$2705,B2495)</f>
        <v>0.499918959380742</v>
      </c>
      <c r="M2495" s="21" t="n">
        <f aca="false">K2495-L2495</f>
        <v>0.0062538801254311</v>
      </c>
      <c r="N2495" s="21" t="n">
        <f aca="false">LN(J2495)</f>
        <v>13.4165402881177</v>
      </c>
      <c r="O2495" s="21" t="n">
        <f aca="false">AVERAGEIFS($N$2:$N$2705,$B$2:$B$2705,B2495)</f>
        <v>13.6667804708835</v>
      </c>
      <c r="P2495" s="21" t="n">
        <f aca="false">N2495-O2495</f>
        <v>-0.25024018276582</v>
      </c>
      <c r="Q2495" s="7" t="n">
        <v>1</v>
      </c>
      <c r="R2495" s="3" t="n">
        <f aca="false">IF(AND(Q2495=1,B2495-_xlfn.MINIFS($B$2:$B$2705,$A$2:$A$2705,A2495)&lt;10),1,0)</f>
        <v>0</v>
      </c>
      <c r="S2495" s="7" t="n">
        <v>0</v>
      </c>
      <c r="T2495" s="3" t="n">
        <f aca="false">_xlfn.MINIFS($B$2:$B$2705,$A$2:$A$2705,A2495)</f>
        <v>1969</v>
      </c>
      <c r="U2495" s="3" t="n">
        <f aca="false">B2495-T2495</f>
        <v>49</v>
      </c>
      <c r="V2495" s="3" t="str">
        <f aca="false">INDEX(Pop_Inputs!$Q$2:$Q$29,MATCH(C2495,Pop_Inputs!$A$2:$A$29,0))</f>
        <v>South</v>
      </c>
      <c r="W2495" s="29" t="n">
        <v>204953656</v>
      </c>
      <c r="X2495" s="3" t="n">
        <f aca="false">IF(W2495="","",LN(W2495))</f>
        <v>19.1382944432527</v>
      </c>
      <c r="Y2495" s="3" t="n">
        <f aca="false">IF(X2495="","",X2495-AVERAGEIFS($X$2:$X$2705,$B$2:$B$2705,B2495))</f>
        <v>0.333054721883283</v>
      </c>
      <c r="Z2495" s="21" t="n">
        <f aca="false">P2495</f>
        <v>-0.25024018276582</v>
      </c>
      <c r="AA2495" s="3" t="n">
        <f aca="false">R2495</f>
        <v>0</v>
      </c>
      <c r="AB2495" s="21" t="n">
        <f aca="false">P2495</f>
        <v>-0.25024018276582</v>
      </c>
      <c r="AC2495" s="3" t="n">
        <f aca="false">Y2495</f>
        <v>0.333054721883283</v>
      </c>
      <c r="AD2495" s="3" t="n">
        <f aca="false">R2495</f>
        <v>0</v>
      </c>
    </row>
    <row r="2496" customFormat="false" ht="15" hidden="false" customHeight="true" outlineLevel="0" collapsed="false">
      <c r="A2496" s="7" t="s">
        <v>71</v>
      </c>
      <c r="B2496" s="7" t="n">
        <v>2019</v>
      </c>
      <c r="C2496" s="7" t="s">
        <v>148</v>
      </c>
      <c r="D2496" s="7" t="n">
        <v>72</v>
      </c>
      <c r="E2496" s="7" t="n">
        <v>90</v>
      </c>
      <c r="F2496" s="3" t="n">
        <f aca="false">COUNTIFS($B$2:$B$2705,B2496,$C$2:$C$2705,C2496)</f>
        <v>2</v>
      </c>
      <c r="G2496" s="3" t="n">
        <f aca="false">MIN(INT((MIN(B2496,2020)-1900)/10)+1,12)</f>
        <v>12</v>
      </c>
      <c r="H2496" s="3" t="n">
        <f aca="false">(MIN(B2496,2020)-1900-10*(G2496-1))/10</f>
        <v>0.9</v>
      </c>
      <c r="I2496" s="20" t="n">
        <f aca="false">EXP(LN(INDEX(Pop_Inputs!$B$2:$N$29,MATCH(C2496,Pop_Inputs!$A$2:$A$29,0),G2496))*(1-H2496)+LN(INDEX(Pop_Inputs!$B$2:$N$29,MATCH(C2496,Pop_Inputs!$A$2:$A$29,0),G2496+1))*H2496)</f>
        <v>3888002.11739959</v>
      </c>
      <c r="J2496" s="20" t="n">
        <f aca="false">I2496/F2496</f>
        <v>1944001.0586998</v>
      </c>
      <c r="K2496" s="21" t="n">
        <f aca="false">D2496/(D2496+E2496)</f>
        <v>0.444444444444444</v>
      </c>
      <c r="L2496" s="21" t="n">
        <f aca="false">AVERAGEIFS($K$2:$K$2705,$B$2:$B$2705,B2496)</f>
        <v>0.499946323134729</v>
      </c>
      <c r="M2496" s="21" t="n">
        <f aca="false">K2496-L2496</f>
        <v>-0.0555018786902846</v>
      </c>
      <c r="N2496" s="21" t="n">
        <f aca="false">LN(J2496)</f>
        <v>14.480258808601</v>
      </c>
      <c r="O2496" s="21" t="n">
        <f aca="false">AVERAGEIFS($N$2:$N$2705,$B$2:$B$2705,B2496)</f>
        <v>13.6729010394663</v>
      </c>
      <c r="P2496" s="21" t="n">
        <f aca="false">N2496-O2496</f>
        <v>0.807357769134717</v>
      </c>
      <c r="Q2496" s="7" t="n">
        <v>1</v>
      </c>
      <c r="R2496" s="3" t="n">
        <f aca="false">IF(AND(Q2496=1,B2496-_xlfn.MINIFS($B$2:$B$2705,$A$2:$A$2705,A2496)&lt;10),1,0)</f>
        <v>0</v>
      </c>
      <c r="S2496" s="7" t="n">
        <v>0</v>
      </c>
      <c r="T2496" s="3" t="n">
        <f aca="false">_xlfn.MINIFS($B$2:$B$2705,$A$2:$A$2705,A2496)</f>
        <v>1961</v>
      </c>
      <c r="U2496" s="3" t="n">
        <f aca="false">B2496-T2496</f>
        <v>58</v>
      </c>
      <c r="V2496" s="3" t="str">
        <f aca="false">INDEX(Pop_Inputs!$Q$2:$Q$29,MATCH(C2496,Pop_Inputs!$A$2:$A$29,0))</f>
        <v>West</v>
      </c>
      <c r="W2496" s="29" t="n">
        <v>159330083</v>
      </c>
      <c r="X2496" s="3" t="n">
        <f aca="false">IF(W2496="","",LN(W2496))</f>
        <v>18.886488601998</v>
      </c>
      <c r="Y2496" s="3" t="n">
        <f aca="false">IF(X2496="","",X2496-AVERAGEIFS($X$2:$X$2705,$B$2:$B$2705,B2496))</f>
        <v>0.236906987098351</v>
      </c>
      <c r="Z2496" s="21" t="n">
        <f aca="false">P2496</f>
        <v>0.807357769134717</v>
      </c>
      <c r="AA2496" s="3" t="n">
        <f aca="false">R2496</f>
        <v>0</v>
      </c>
      <c r="AB2496" s="21" t="n">
        <f aca="false">P2496</f>
        <v>0.807357769134717</v>
      </c>
      <c r="AC2496" s="3" t="n">
        <f aca="false">Y2496</f>
        <v>0.236906987098351</v>
      </c>
      <c r="AD2496" s="3" t="n">
        <f aca="false">R2496</f>
        <v>0</v>
      </c>
    </row>
    <row r="2497" customFormat="false" ht="15" hidden="false" customHeight="true" outlineLevel="0" collapsed="false">
      <c r="A2497" s="7" t="s">
        <v>84</v>
      </c>
      <c r="B2497" s="7" t="n">
        <v>2019</v>
      </c>
      <c r="C2497" s="7" t="s">
        <v>165</v>
      </c>
      <c r="D2497" s="7" t="n">
        <v>85</v>
      </c>
      <c r="E2497" s="7" t="n">
        <v>77</v>
      </c>
      <c r="F2497" s="3" t="n">
        <f aca="false">COUNTIFS($B$2:$B$2705,B2497,$C$2:$C$2705,C2497)</f>
        <v>1</v>
      </c>
      <c r="G2497" s="3" t="n">
        <f aca="false">MIN(INT((MIN(B2497,2020)-1900)/10)+1,12)</f>
        <v>12</v>
      </c>
      <c r="H2497" s="3" t="n">
        <f aca="false">(MIN(B2497,2020)-1900-10*(G2497-1))/10</f>
        <v>0.9</v>
      </c>
      <c r="I2497" s="20" t="n">
        <f aca="false">EXP(LN(INDEX(Pop_Inputs!$B$2:$N$29,MATCH(C2497,Pop_Inputs!$A$2:$A$29,0),G2497))*(1-H2497)+LN(INDEX(Pop_Inputs!$B$2:$N$29,MATCH(C2497,Pop_Inputs!$A$2:$A$29,0),G2497+1))*H2497)</f>
        <v>1591098.26174542</v>
      </c>
      <c r="J2497" s="20" t="n">
        <f aca="false">I2497/F2497</f>
        <v>1591098.26174542</v>
      </c>
      <c r="K2497" s="21" t="n">
        <f aca="false">D2497/(D2497+E2497)</f>
        <v>0.524691358024691</v>
      </c>
      <c r="L2497" s="21" t="n">
        <f aca="false">AVERAGEIFS($K$2:$K$2705,$B$2:$B$2705,B2497)</f>
        <v>0.499946323134729</v>
      </c>
      <c r="M2497" s="21" t="n">
        <f aca="false">K2497-L2497</f>
        <v>0.0247450348899624</v>
      </c>
      <c r="N2497" s="21" t="n">
        <f aca="false">LN(J2497)</f>
        <v>14.2799350664093</v>
      </c>
      <c r="O2497" s="21" t="n">
        <f aca="false">AVERAGEIFS($N$2:$N$2705,$B$2:$B$2705,B2497)</f>
        <v>13.6729010394663</v>
      </c>
      <c r="P2497" s="21" t="n">
        <f aca="false">N2497-O2497</f>
        <v>0.607034026942964</v>
      </c>
      <c r="Q2497" s="7" t="n">
        <v>1</v>
      </c>
      <c r="R2497" s="3" t="n">
        <f aca="false">IF(AND(Q2497=1,B2497-_xlfn.MINIFS($B$2:$B$2705,$A$2:$A$2705,A2497)&lt;10),1,0)</f>
        <v>0</v>
      </c>
      <c r="S2497" s="7" t="n">
        <v>0</v>
      </c>
      <c r="T2497" s="3" t="n">
        <f aca="false">_xlfn.MINIFS($B$2:$B$2705,$A$2:$A$2705,A2497)</f>
        <v>1998</v>
      </c>
      <c r="U2497" s="3" t="n">
        <f aca="false">B2497-T2497</f>
        <v>21</v>
      </c>
      <c r="V2497" s="3" t="str">
        <f aca="false">INDEX(Pop_Inputs!$Q$2:$Q$29,MATCH(C2497,Pop_Inputs!$A$2:$A$29,0))</f>
        <v>West</v>
      </c>
      <c r="W2497" s="29" t="n">
        <v>122858766</v>
      </c>
      <c r="X2497" s="3" t="n">
        <f aca="false">IF(W2497="","",LN(W2497))</f>
        <v>18.6265460096971</v>
      </c>
      <c r="Y2497" s="3" t="n">
        <f aca="false">IF(X2497="","",X2497-AVERAGEIFS($X$2:$X$2705,$B$2:$B$2705,B2497))</f>
        <v>-0.023035605202459</v>
      </c>
      <c r="Z2497" s="21" t="n">
        <f aca="false">P2497</f>
        <v>0.607034026942964</v>
      </c>
      <c r="AA2497" s="3" t="n">
        <f aca="false">R2497</f>
        <v>0</v>
      </c>
      <c r="AB2497" s="21" t="n">
        <f aca="false">P2497</f>
        <v>0.607034026942964</v>
      </c>
      <c r="AC2497" s="3" t="n">
        <f aca="false">Y2497</f>
        <v>-0.023035605202459</v>
      </c>
      <c r="AD2497" s="3" t="n">
        <f aca="false">R2497</f>
        <v>0</v>
      </c>
    </row>
    <row r="2498" customFormat="false" ht="15" hidden="false" customHeight="true" outlineLevel="0" collapsed="false">
      <c r="A2498" s="7" t="s">
        <v>54</v>
      </c>
      <c r="B2498" s="7" t="n">
        <v>2019</v>
      </c>
      <c r="C2498" s="7" t="s">
        <v>141</v>
      </c>
      <c r="D2498" s="7" t="n">
        <v>97</v>
      </c>
      <c r="E2498" s="7" t="n">
        <v>65</v>
      </c>
      <c r="F2498" s="3" t="n">
        <f aca="false">COUNTIFS($B$2:$B$2705,B2498,$C$2:$C$2705,C2498)</f>
        <v>1</v>
      </c>
      <c r="G2498" s="3" t="n">
        <f aca="false">MIN(INT((MIN(B2498,2020)-1900)/10)+1,12)</f>
        <v>12</v>
      </c>
      <c r="H2498" s="3" t="n">
        <f aca="false">(MIN(B2498,2020)-1900-10*(G2498-1))/10</f>
        <v>0.9</v>
      </c>
      <c r="I2498" s="20" t="n">
        <f aca="false">EXP(LN(INDEX(Pop_Inputs!$B$2:$N$29,MATCH(C2498,Pop_Inputs!$A$2:$A$29,0),G2498))*(1-H2498)+LN(INDEX(Pop_Inputs!$B$2:$N$29,MATCH(C2498,Pop_Inputs!$A$2:$A$29,0),G2498+1))*H2498)</f>
        <v>490221.58181912</v>
      </c>
      <c r="J2498" s="20" t="n">
        <f aca="false">I2498/F2498</f>
        <v>490221.58181912</v>
      </c>
      <c r="K2498" s="21" t="n">
        <f aca="false">D2498/(D2498+E2498)</f>
        <v>0.598765432098765</v>
      </c>
      <c r="L2498" s="21" t="n">
        <f aca="false">AVERAGEIFS($K$2:$K$2705,$B$2:$B$2705,B2498)</f>
        <v>0.499946323134729</v>
      </c>
      <c r="M2498" s="21" t="n">
        <f aca="false">K2498-L2498</f>
        <v>0.0988191089640365</v>
      </c>
      <c r="N2498" s="21" t="n">
        <f aca="false">LN(J2498)</f>
        <v>13.1026127756658</v>
      </c>
      <c r="O2498" s="21" t="n">
        <f aca="false">AVERAGEIFS($N$2:$N$2705,$B$2:$B$2705,B2498)</f>
        <v>13.6729010394663</v>
      </c>
      <c r="P2498" s="21" t="n">
        <f aca="false">N2498-O2498</f>
        <v>-0.570288263800517</v>
      </c>
      <c r="Q2498" s="7" t="n">
        <v>0</v>
      </c>
      <c r="R2498" s="3" t="n">
        <f aca="false">IF(AND(Q2498=1,B2498-_xlfn.MINIFS($B$2:$B$2705,$A$2:$A$2705,A2498)&lt;10),1,0)</f>
        <v>0</v>
      </c>
      <c r="S2498" s="7" t="n">
        <v>0</v>
      </c>
      <c r="T2498" s="3" t="n">
        <f aca="false">_xlfn.MINIFS($B$2:$B$2705,$A$2:$A$2705,A2498)</f>
        <v>1901</v>
      </c>
      <c r="U2498" s="3" t="n">
        <f aca="false">B2498-T2498</f>
        <v>118</v>
      </c>
      <c r="V2498" s="3" t="str">
        <f aca="false">INDEX(Pop_Inputs!$Q$2:$Q$29,MATCH(C2498,Pop_Inputs!$A$2:$A$29,0))</f>
        <v>South</v>
      </c>
      <c r="W2498" s="29" t="n">
        <v>114382103</v>
      </c>
      <c r="X2498" s="3" t="n">
        <f aca="false">IF(W2498="","",LN(W2498))</f>
        <v>18.5550551823639</v>
      </c>
      <c r="Y2498" s="3" t="n">
        <f aca="false">IF(X2498="","",X2498-AVERAGEIFS($X$2:$X$2705,$B$2:$B$2705,B2498))</f>
        <v>-0.0945264325357016</v>
      </c>
      <c r="Z2498" s="21" t="n">
        <f aca="false">P2498</f>
        <v>-0.570288263800517</v>
      </c>
      <c r="AA2498" s="3" t="n">
        <f aca="false">R2498</f>
        <v>0</v>
      </c>
      <c r="AB2498" s="21" t="n">
        <f aca="false">P2498</f>
        <v>-0.570288263800517</v>
      </c>
      <c r="AC2498" s="3" t="n">
        <f aca="false">Y2498</f>
        <v>-0.0945264325357016</v>
      </c>
      <c r="AD2498" s="3" t="n">
        <f aca="false">R2498</f>
        <v>0</v>
      </c>
    </row>
    <row r="2499" customFormat="false" ht="15" hidden="false" customHeight="true" outlineLevel="0" collapsed="false">
      <c r="A2499" s="7" t="s">
        <v>63</v>
      </c>
      <c r="B2499" s="7" t="n">
        <v>2019</v>
      </c>
      <c r="C2499" s="7" t="s">
        <v>149</v>
      </c>
      <c r="D2499" s="7" t="n">
        <v>54</v>
      </c>
      <c r="E2499" s="7" t="n">
        <v>108</v>
      </c>
      <c r="F2499" s="3" t="n">
        <f aca="false">COUNTIFS($B$2:$B$2705,B2499,$C$2:$C$2705,C2499)</f>
        <v>1</v>
      </c>
      <c r="G2499" s="3" t="n">
        <f aca="false">MIN(INT((MIN(B2499,2020)-1900)/10)+1,12)</f>
        <v>12</v>
      </c>
      <c r="H2499" s="3" t="n">
        <f aca="false">(MIN(B2499,2020)-1900-10*(G2499-1))/10</f>
        <v>0.9</v>
      </c>
      <c r="I2499" s="20" t="n">
        <f aca="false">EXP(LN(INDEX(Pop_Inputs!$B$2:$N$29,MATCH(C2499,Pop_Inputs!$A$2:$A$29,0),G2499))*(1-H2499)+LN(INDEX(Pop_Inputs!$B$2:$N$29,MATCH(C2499,Pop_Inputs!$A$2:$A$29,0),G2499+1))*H2499)</f>
        <v>589141.305581999</v>
      </c>
      <c r="J2499" s="20" t="n">
        <f aca="false">I2499/F2499</f>
        <v>589141.305581999</v>
      </c>
      <c r="K2499" s="21" t="n">
        <f aca="false">D2499/(D2499+E2499)</f>
        <v>0.333333333333333</v>
      </c>
      <c r="L2499" s="21" t="n">
        <f aca="false">AVERAGEIFS($K$2:$K$2705,$B$2:$B$2705,B2499)</f>
        <v>0.499946323134729</v>
      </c>
      <c r="M2499" s="21" t="n">
        <f aca="false">K2499-L2499</f>
        <v>-0.166612989801396</v>
      </c>
      <c r="N2499" s="21" t="n">
        <f aca="false">LN(J2499)</f>
        <v>13.28642134147</v>
      </c>
      <c r="O2499" s="21" t="n">
        <f aca="false">AVERAGEIFS($N$2:$N$2705,$B$2:$B$2705,B2499)</f>
        <v>13.6729010394663</v>
      </c>
      <c r="P2499" s="21" t="n">
        <f aca="false">N2499-O2499</f>
        <v>-0.386479697996316</v>
      </c>
      <c r="Q2499" s="7" t="n">
        <v>0</v>
      </c>
      <c r="R2499" s="3" t="n">
        <f aca="false">IF(AND(Q2499=1,B2499-_xlfn.MINIFS($B$2:$B$2705,$A$2:$A$2705,A2499)&lt;10),1,0)</f>
        <v>0</v>
      </c>
      <c r="S2499" s="7" t="n">
        <v>0</v>
      </c>
      <c r="T2499" s="3" t="n">
        <f aca="false">_xlfn.MINIFS($B$2:$B$2705,$A$2:$A$2705,A2499)</f>
        <v>1901</v>
      </c>
      <c r="U2499" s="3" t="n">
        <f aca="false">B2499-T2499</f>
        <v>118</v>
      </c>
      <c r="V2499" s="3" t="str">
        <f aca="false">INDEX(Pop_Inputs!$Q$2:$Q$29,MATCH(C2499,Pop_Inputs!$A$2:$A$29,0))</f>
        <v>South</v>
      </c>
      <c r="W2499" s="29" t="n">
        <v>73239882</v>
      </c>
      <c r="X2499" s="3" t="n">
        <f aca="false">IF(W2499="","",LN(W2499))</f>
        <v>18.1092506666278</v>
      </c>
      <c r="Y2499" s="3" t="n">
        <f aca="false">IF(X2499="","",X2499-AVERAGEIFS($X$2:$X$2705,$B$2:$B$2705,B2499))</f>
        <v>-0.540330948271773</v>
      </c>
      <c r="Z2499" s="21" t="n">
        <f aca="false">P2499</f>
        <v>-0.386479697996316</v>
      </c>
      <c r="AA2499" s="3" t="n">
        <f aca="false">R2499</f>
        <v>0</v>
      </c>
      <c r="AB2499" s="21" t="n">
        <f aca="false">P2499</f>
        <v>-0.386479697996316</v>
      </c>
      <c r="AC2499" s="3" t="n">
        <f aca="false">Y2499</f>
        <v>-0.540330948271773</v>
      </c>
      <c r="AD2499" s="3" t="n">
        <f aca="false">R2499</f>
        <v>0</v>
      </c>
    </row>
    <row r="2500" customFormat="false" ht="15" hidden="false" customHeight="true" outlineLevel="0" collapsed="false">
      <c r="A2500" s="7" t="s">
        <v>64</v>
      </c>
      <c r="B2500" s="7" t="n">
        <v>2019</v>
      </c>
      <c r="C2500" s="7" t="s">
        <v>150</v>
      </c>
      <c r="D2500" s="7" t="n">
        <v>84</v>
      </c>
      <c r="E2500" s="7" t="n">
        <v>78</v>
      </c>
      <c r="F2500" s="3" t="n">
        <f aca="false">COUNTIFS($B$2:$B$2705,B2500,$C$2:$C$2705,C2500)</f>
        <v>1</v>
      </c>
      <c r="G2500" s="3" t="n">
        <f aca="false">MIN(INT((MIN(B2500,2020)-1900)/10)+1,12)</f>
        <v>12</v>
      </c>
      <c r="H2500" s="3" t="n">
        <f aca="false">(MIN(B2500,2020)-1900-10*(G2500-1))/10</f>
        <v>0.9</v>
      </c>
      <c r="I2500" s="20" t="n">
        <f aca="false">EXP(LN(INDEX(Pop_Inputs!$B$2:$N$29,MATCH(C2500,Pop_Inputs!$A$2:$A$29,0),G2500))*(1-H2500)+LN(INDEX(Pop_Inputs!$B$2:$N$29,MATCH(C2500,Pop_Inputs!$A$2:$A$29,0),G2500+1))*H2500)</f>
        <v>669604.208089944</v>
      </c>
      <c r="J2500" s="20" t="n">
        <f aca="false">I2500/F2500</f>
        <v>669604.208089944</v>
      </c>
      <c r="K2500" s="21" t="n">
        <f aca="false">D2500/(D2500+E2500)</f>
        <v>0.518518518518519</v>
      </c>
      <c r="L2500" s="21" t="n">
        <f aca="false">AVERAGEIFS($K$2:$K$2705,$B$2:$B$2705,B2500)</f>
        <v>0.499946323134729</v>
      </c>
      <c r="M2500" s="21" t="n">
        <f aca="false">K2500-L2500</f>
        <v>0.0185721953837895</v>
      </c>
      <c r="N2500" s="21" t="n">
        <f aca="false">LN(J2500)</f>
        <v>13.4144420826208</v>
      </c>
      <c r="O2500" s="21" t="n">
        <f aca="false">AVERAGEIFS($N$2:$N$2705,$B$2:$B$2705,B2500)</f>
        <v>13.6729010394663</v>
      </c>
      <c r="P2500" s="21" t="n">
        <f aca="false">N2500-O2500</f>
        <v>-0.258458956845473</v>
      </c>
      <c r="Q2500" s="7" t="n">
        <v>0</v>
      </c>
      <c r="R2500" s="3" t="n">
        <f aca="false">IF(AND(Q2500=1,B2500-_xlfn.MINIFS($B$2:$B$2705,$A$2:$A$2705,A2500)&lt;10),1,0)</f>
        <v>0</v>
      </c>
      <c r="S2500" s="7" t="n">
        <v>0</v>
      </c>
      <c r="T2500" s="3" t="n">
        <f aca="false">_xlfn.MINIFS($B$2:$B$2705,$A$2:$A$2705,A2500)</f>
        <v>1901</v>
      </c>
      <c r="U2500" s="3" t="n">
        <f aca="false">B2500-T2500</f>
        <v>118</v>
      </c>
      <c r="V2500" s="3" t="str">
        <f aca="false">INDEX(Pop_Inputs!$Q$2:$Q$29,MATCH(C2500,Pop_Inputs!$A$2:$A$29,0))</f>
        <v>Northeast</v>
      </c>
      <c r="W2500" s="29" t="n">
        <v>225183602</v>
      </c>
      <c r="X2500" s="3" t="n">
        <f aca="false">IF(W2500="","",LN(W2500))</f>
        <v>19.2324266363033</v>
      </c>
      <c r="Y2500" s="3" t="n">
        <f aca="false">IF(X2500="","",X2500-AVERAGEIFS($X$2:$X$2705,$B$2:$B$2705,B2500))</f>
        <v>0.582845021403731</v>
      </c>
      <c r="Z2500" s="21" t="n">
        <f aca="false">P2500</f>
        <v>-0.258458956845473</v>
      </c>
      <c r="AA2500" s="3" t="n">
        <f aca="false">R2500</f>
        <v>0</v>
      </c>
      <c r="AB2500" s="21" t="n">
        <f aca="false">P2500</f>
        <v>-0.258458956845473</v>
      </c>
      <c r="AC2500" s="3" t="n">
        <f aca="false">Y2500</f>
        <v>0.582845021403731</v>
      </c>
      <c r="AD2500" s="3" t="n">
        <f aca="false">R2500</f>
        <v>0</v>
      </c>
    </row>
    <row r="2501" customFormat="false" ht="15" hidden="false" customHeight="true" outlineLevel="0" collapsed="false">
      <c r="A2501" s="7" t="s">
        <v>56</v>
      </c>
      <c r="B2501" s="7" t="n">
        <v>2019</v>
      </c>
      <c r="C2501" s="7" t="s">
        <v>142</v>
      </c>
      <c r="D2501" s="7" t="n">
        <v>84</v>
      </c>
      <c r="E2501" s="7" t="n">
        <v>78</v>
      </c>
      <c r="F2501" s="3" t="n">
        <f aca="false">COUNTIFS($B$2:$B$2705,B2501,$C$2:$C$2705,C2501)</f>
        <v>2</v>
      </c>
      <c r="G2501" s="3" t="n">
        <f aca="false">MIN(INT((MIN(B2501,2020)-1900)/10)+1,12)</f>
        <v>12</v>
      </c>
      <c r="H2501" s="3" t="n">
        <f aca="false">(MIN(B2501,2020)-1900-10*(G2501-1))/10</f>
        <v>0.9</v>
      </c>
      <c r="I2501" s="20" t="n">
        <f aca="false">EXP(LN(INDEX(Pop_Inputs!$B$2:$N$29,MATCH(C2501,Pop_Inputs!$A$2:$A$29,0),G2501))*(1-H2501)+LN(INDEX(Pop_Inputs!$B$2:$N$29,MATCH(C2501,Pop_Inputs!$A$2:$A$29,0),G2501+1))*H2501)</f>
        <v>2741266.23066039</v>
      </c>
      <c r="J2501" s="20" t="n">
        <f aca="false">I2501/F2501</f>
        <v>1370633.1153302</v>
      </c>
      <c r="K2501" s="21" t="n">
        <f aca="false">D2501/(D2501+E2501)</f>
        <v>0.518518518518519</v>
      </c>
      <c r="L2501" s="21" t="n">
        <f aca="false">AVERAGEIFS($K$2:$K$2705,$B$2:$B$2705,B2501)</f>
        <v>0.499946323134729</v>
      </c>
      <c r="M2501" s="21" t="n">
        <f aca="false">K2501-L2501</f>
        <v>0.0185721953837895</v>
      </c>
      <c r="N2501" s="21" t="n">
        <f aca="false">LN(J2501)</f>
        <v>14.1307833190343</v>
      </c>
      <c r="O2501" s="21" t="n">
        <f aca="false">AVERAGEIFS($N$2:$N$2705,$B$2:$B$2705,B2501)</f>
        <v>13.6729010394663</v>
      </c>
      <c r="P2501" s="21" t="n">
        <f aca="false">N2501-O2501</f>
        <v>0.457882279567988</v>
      </c>
      <c r="Q2501" s="7" t="n">
        <v>0</v>
      </c>
      <c r="R2501" s="3" t="n">
        <f aca="false">IF(AND(Q2501=1,B2501-_xlfn.MINIFS($B$2:$B$2705,$A$2:$A$2705,A2501)&lt;10),1,0)</f>
        <v>0</v>
      </c>
      <c r="S2501" s="7" t="n">
        <v>0</v>
      </c>
      <c r="T2501" s="3" t="n">
        <f aca="false">_xlfn.MINIFS($B$2:$B$2705,$A$2:$A$2705,A2501)</f>
        <v>1901</v>
      </c>
      <c r="U2501" s="3" t="n">
        <f aca="false">B2501-T2501</f>
        <v>118</v>
      </c>
      <c r="V2501" s="3" t="str">
        <f aca="false">INDEX(Pop_Inputs!$Q$2:$Q$29,MATCH(C2501,Pop_Inputs!$A$2:$A$29,0))</f>
        <v>Midwest</v>
      </c>
      <c r="W2501" s="29" t="n">
        <v>212077714</v>
      </c>
      <c r="X2501" s="3" t="n">
        <f aca="false">IF(W2501="","",LN(W2501))</f>
        <v>19.1724633409356</v>
      </c>
      <c r="Y2501" s="3" t="n">
        <f aca="false">IF(X2501="","",X2501-AVERAGEIFS($X$2:$X$2705,$B$2:$B$2705,B2501))</f>
        <v>0.522881726036005</v>
      </c>
      <c r="Z2501" s="21" t="n">
        <f aca="false">P2501</f>
        <v>0.457882279567988</v>
      </c>
      <c r="AA2501" s="3" t="n">
        <f aca="false">R2501</f>
        <v>0</v>
      </c>
      <c r="AB2501" s="21" t="n">
        <f aca="false">P2501</f>
        <v>0.457882279567988</v>
      </c>
      <c r="AC2501" s="3" t="n">
        <f aca="false">Y2501</f>
        <v>0.522881726036005</v>
      </c>
      <c r="AD2501" s="3" t="n">
        <f aca="false">R2501</f>
        <v>0</v>
      </c>
    </row>
    <row r="2502" customFormat="false" ht="15" hidden="false" customHeight="true" outlineLevel="0" collapsed="false">
      <c r="A2502" s="7" t="s">
        <v>65</v>
      </c>
      <c r="B2502" s="7" t="n">
        <v>2019</v>
      </c>
      <c r="C2502" s="7" t="s">
        <v>142</v>
      </c>
      <c r="D2502" s="7" t="n">
        <v>72</v>
      </c>
      <c r="E2502" s="7" t="n">
        <v>89</v>
      </c>
      <c r="F2502" s="3" t="n">
        <f aca="false">COUNTIFS($B$2:$B$2705,B2502,$C$2:$C$2705,C2502)</f>
        <v>2</v>
      </c>
      <c r="G2502" s="3" t="n">
        <f aca="false">MIN(INT((MIN(B2502,2020)-1900)/10)+1,12)</f>
        <v>12</v>
      </c>
      <c r="H2502" s="3" t="n">
        <f aca="false">(MIN(B2502,2020)-1900-10*(G2502-1))/10</f>
        <v>0.9</v>
      </c>
      <c r="I2502" s="20" t="n">
        <f aca="false">EXP(LN(INDEX(Pop_Inputs!$B$2:$N$29,MATCH(C2502,Pop_Inputs!$A$2:$A$29,0),G2502))*(1-H2502)+LN(INDEX(Pop_Inputs!$B$2:$N$29,MATCH(C2502,Pop_Inputs!$A$2:$A$29,0),G2502+1))*H2502)</f>
        <v>2741266.23066039</v>
      </c>
      <c r="J2502" s="20" t="n">
        <f aca="false">I2502/F2502</f>
        <v>1370633.1153302</v>
      </c>
      <c r="K2502" s="21" t="n">
        <f aca="false">D2502/(D2502+E2502)</f>
        <v>0.447204968944099</v>
      </c>
      <c r="L2502" s="21" t="n">
        <f aca="false">AVERAGEIFS($K$2:$K$2705,$B$2:$B$2705,B2502)</f>
        <v>0.499946323134729</v>
      </c>
      <c r="M2502" s="21" t="n">
        <f aca="false">K2502-L2502</f>
        <v>-0.0527413541906296</v>
      </c>
      <c r="N2502" s="21" t="n">
        <f aca="false">LN(J2502)</f>
        <v>14.1307833190343</v>
      </c>
      <c r="O2502" s="21" t="n">
        <f aca="false">AVERAGEIFS($N$2:$N$2705,$B$2:$B$2705,B2502)</f>
        <v>13.6729010394663</v>
      </c>
      <c r="P2502" s="21" t="n">
        <f aca="false">N2502-O2502</f>
        <v>0.457882279567988</v>
      </c>
      <c r="Q2502" s="7" t="n">
        <v>0</v>
      </c>
      <c r="R2502" s="3" t="n">
        <f aca="false">IF(AND(Q2502=1,B2502-_xlfn.MINIFS($B$2:$B$2705,$A$2:$A$2705,A2502)&lt;10),1,0)</f>
        <v>0</v>
      </c>
      <c r="S2502" s="7" t="n">
        <v>0</v>
      </c>
      <c r="T2502" s="3" t="n">
        <f aca="false">_xlfn.MINIFS($B$2:$B$2705,$A$2:$A$2705,A2502)</f>
        <v>1901</v>
      </c>
      <c r="U2502" s="3" t="n">
        <f aca="false">B2502-T2502</f>
        <v>118</v>
      </c>
      <c r="V2502" s="3" t="str">
        <f aca="false">INDEX(Pop_Inputs!$Q$2:$Q$29,MATCH(C2502,Pop_Inputs!$A$2:$A$29,0))</f>
        <v>Midwest</v>
      </c>
      <c r="W2502" s="29" t="n">
        <v>89902001</v>
      </c>
      <c r="X2502" s="3" t="n">
        <f aca="false">IF(W2502="","",LN(W2502))</f>
        <v>18.3142307572587</v>
      </c>
      <c r="Y2502" s="3" t="n">
        <f aca="false">IF(X2502="","",X2502-AVERAGEIFS($X$2:$X$2705,$B$2:$B$2705,B2502))</f>
        <v>-0.33535085764095</v>
      </c>
      <c r="Z2502" s="21" t="n">
        <f aca="false">P2502</f>
        <v>0.457882279567988</v>
      </c>
      <c r="AA2502" s="3" t="n">
        <f aca="false">R2502</f>
        <v>0</v>
      </c>
      <c r="AB2502" s="21" t="n">
        <f aca="false">P2502</f>
        <v>0.457882279567988</v>
      </c>
      <c r="AC2502" s="3" t="n">
        <f aca="false">Y2502</f>
        <v>-0.33535085764095</v>
      </c>
      <c r="AD2502" s="3" t="n">
        <f aca="false">R2502</f>
        <v>0</v>
      </c>
    </row>
    <row r="2503" customFormat="false" ht="15" hidden="false" customHeight="true" outlineLevel="0" collapsed="false">
      <c r="A2503" s="7" t="s">
        <v>57</v>
      </c>
      <c r="B2503" s="7" t="n">
        <v>2019</v>
      </c>
      <c r="C2503" s="7" t="s">
        <v>143</v>
      </c>
      <c r="D2503" s="7" t="n">
        <v>75</v>
      </c>
      <c r="E2503" s="7" t="n">
        <v>87</v>
      </c>
      <c r="F2503" s="3" t="n">
        <f aca="false">COUNTIFS($B$2:$B$2705,B2503,$C$2:$C$2705,C2503)</f>
        <v>1</v>
      </c>
      <c r="G2503" s="3" t="n">
        <f aca="false">MIN(INT((MIN(B2503,2020)-1900)/10)+1,12)</f>
        <v>12</v>
      </c>
      <c r="H2503" s="3" t="n">
        <f aca="false">(MIN(B2503,2020)-1900-10*(G2503-1))/10</f>
        <v>0.9</v>
      </c>
      <c r="I2503" s="20" t="n">
        <f aca="false">EXP(LN(INDEX(Pop_Inputs!$B$2:$N$29,MATCH(C2503,Pop_Inputs!$A$2:$A$29,0),G2503))*(1-H2503)+LN(INDEX(Pop_Inputs!$B$2:$N$29,MATCH(C2503,Pop_Inputs!$A$2:$A$29,0),G2503+1))*H2503)</f>
        <v>308056.743152303</v>
      </c>
      <c r="J2503" s="20" t="n">
        <f aca="false">I2503/F2503</f>
        <v>308056.743152303</v>
      </c>
      <c r="K2503" s="21" t="n">
        <f aca="false">D2503/(D2503+E2503)</f>
        <v>0.462962962962963</v>
      </c>
      <c r="L2503" s="21" t="n">
        <f aca="false">AVERAGEIFS($K$2:$K$2705,$B$2:$B$2705,B2503)</f>
        <v>0.499946323134729</v>
      </c>
      <c r="M2503" s="21" t="n">
        <f aca="false">K2503-L2503</f>
        <v>-0.036983360171766</v>
      </c>
      <c r="N2503" s="21" t="n">
        <f aca="false">LN(J2503)</f>
        <v>12.6380392760012</v>
      </c>
      <c r="O2503" s="21" t="n">
        <f aca="false">AVERAGEIFS($N$2:$N$2705,$B$2:$B$2705,B2503)</f>
        <v>13.6729010394663</v>
      </c>
      <c r="P2503" s="21" t="n">
        <f aca="false">N2503-O2503</f>
        <v>-1.03486176346508</v>
      </c>
      <c r="Q2503" s="7" t="n">
        <v>0</v>
      </c>
      <c r="R2503" s="3" t="n">
        <f aca="false">IF(AND(Q2503=1,B2503-_xlfn.MINIFS($B$2:$B$2705,$A$2:$A$2705,A2503)&lt;10),1,0)</f>
        <v>0</v>
      </c>
      <c r="S2503" s="7" t="n">
        <v>0</v>
      </c>
      <c r="T2503" s="3" t="n">
        <f aca="false">_xlfn.MINIFS($B$2:$B$2705,$A$2:$A$2705,A2503)</f>
        <v>1901</v>
      </c>
      <c r="U2503" s="3" t="n">
        <f aca="false">B2503-T2503</f>
        <v>118</v>
      </c>
      <c r="V2503" s="3" t="str">
        <f aca="false">INDEX(Pop_Inputs!$Q$2:$Q$29,MATCH(C2503,Pop_Inputs!$A$2:$A$29,0))</f>
        <v>Midwest</v>
      </c>
      <c r="W2503" s="29" t="n">
        <v>126423214</v>
      </c>
      <c r="X2503" s="3" t="n">
        <f aca="false">IF(W2503="","",LN(W2503))</f>
        <v>18.6551456778778</v>
      </c>
      <c r="Y2503" s="3" t="n">
        <f aca="false">IF(X2503="","",X2503-AVERAGEIFS($X$2:$X$2705,$B$2:$B$2705,B2503))</f>
        <v>0.00556406297818768</v>
      </c>
      <c r="Z2503" s="21" t="n">
        <f aca="false">P2503</f>
        <v>-1.03486176346508</v>
      </c>
      <c r="AA2503" s="3" t="n">
        <f aca="false">R2503</f>
        <v>0</v>
      </c>
      <c r="AB2503" s="21" t="n">
        <f aca="false">P2503</f>
        <v>-1.03486176346508</v>
      </c>
      <c r="AC2503" s="3" t="n">
        <f aca="false">Y2503</f>
        <v>0.00556406297818768</v>
      </c>
      <c r="AD2503" s="3" t="n">
        <f aca="false">R2503</f>
        <v>0</v>
      </c>
    </row>
    <row r="2504" customFormat="false" ht="15" hidden="false" customHeight="true" outlineLevel="0" collapsed="false">
      <c r="A2504" s="7" t="s">
        <v>66</v>
      </c>
      <c r="B2504" s="7" t="n">
        <v>2019</v>
      </c>
      <c r="C2504" s="7" t="s">
        <v>151</v>
      </c>
      <c r="D2504" s="7" t="n">
        <v>93</v>
      </c>
      <c r="E2504" s="7" t="n">
        <v>69</v>
      </c>
      <c r="F2504" s="3" t="n">
        <f aca="false">COUNTIFS($B$2:$B$2705,B2504,$C$2:$C$2705,C2504)</f>
        <v>1</v>
      </c>
      <c r="G2504" s="3" t="n">
        <f aca="false">MIN(INT((MIN(B2504,2020)-1900)/10)+1,12)</f>
        <v>12</v>
      </c>
      <c r="H2504" s="3" t="n">
        <f aca="false">(MIN(B2504,2020)-1900-10*(G2504-1))/10</f>
        <v>0.9</v>
      </c>
      <c r="I2504" s="20" t="n">
        <f aca="false">EXP(LN(INDEX(Pop_Inputs!$B$2:$N$29,MATCH(C2504,Pop_Inputs!$A$2:$A$29,0),G2504))*(1-H2504)+LN(INDEX(Pop_Inputs!$B$2:$N$29,MATCH(C2504,Pop_Inputs!$A$2:$A$29,0),G2504+1))*H2504)</f>
        <v>374975.203284661</v>
      </c>
      <c r="J2504" s="20" t="n">
        <f aca="false">I2504/F2504</f>
        <v>374975.203284661</v>
      </c>
      <c r="K2504" s="21" t="n">
        <f aca="false">D2504/(D2504+E2504)</f>
        <v>0.574074074074074</v>
      </c>
      <c r="L2504" s="21" t="n">
        <f aca="false">AVERAGEIFS($K$2:$K$2705,$B$2:$B$2705,B2504)</f>
        <v>0.499946323134729</v>
      </c>
      <c r="M2504" s="21" t="n">
        <f aca="false">K2504-L2504</f>
        <v>0.0741277509393451</v>
      </c>
      <c r="N2504" s="21" t="n">
        <f aca="false">LN(J2504)</f>
        <v>12.834615178192</v>
      </c>
      <c r="O2504" s="21" t="n">
        <f aca="false">AVERAGEIFS($N$2:$N$2705,$B$2:$B$2705,B2504)</f>
        <v>13.6729010394663</v>
      </c>
      <c r="P2504" s="21" t="n">
        <f aca="false">N2504-O2504</f>
        <v>-0.838285861274333</v>
      </c>
      <c r="Q2504" s="7" t="n">
        <v>0</v>
      </c>
      <c r="R2504" s="3" t="n">
        <f aca="false">IF(AND(Q2504=1,B2504-_xlfn.MINIFS($B$2:$B$2705,$A$2:$A$2705,A2504)&lt;10),1,0)</f>
        <v>0</v>
      </c>
      <c r="S2504" s="7" t="n">
        <v>0</v>
      </c>
      <c r="T2504" s="3" t="n">
        <f aca="false">_xlfn.MINIFS($B$2:$B$2705,$A$2:$A$2705,A2504)</f>
        <v>1901</v>
      </c>
      <c r="U2504" s="3" t="n">
        <f aca="false">B2504-T2504</f>
        <v>118</v>
      </c>
      <c r="V2504" s="3" t="str">
        <f aca="false">INDEX(Pop_Inputs!$Q$2:$Q$29,MATCH(C2504,Pop_Inputs!$A$2:$A$29,0))</f>
        <v>Midwest</v>
      </c>
      <c r="W2504" s="29" t="n">
        <v>119241701</v>
      </c>
      <c r="X2504" s="3" t="n">
        <f aca="false">IF(W2504="","",LN(W2504))</f>
        <v>18.5966630920196</v>
      </c>
      <c r="Y2504" s="3" t="n">
        <f aca="false">IF(X2504="","",X2504-AVERAGEIFS($X$2:$X$2705,$B$2:$B$2705,B2504))</f>
        <v>-0.0529185228800131</v>
      </c>
      <c r="Z2504" s="21" t="n">
        <f aca="false">P2504</f>
        <v>-0.838285861274333</v>
      </c>
      <c r="AA2504" s="3" t="n">
        <f aca="false">R2504</f>
        <v>0</v>
      </c>
      <c r="AB2504" s="21" t="n">
        <f aca="false">P2504</f>
        <v>-0.838285861274333</v>
      </c>
      <c r="AC2504" s="3" t="n">
        <f aca="false">Y2504</f>
        <v>-0.0529185228800131</v>
      </c>
      <c r="AD2504" s="3" t="n">
        <f aca="false">R2504</f>
        <v>0</v>
      </c>
    </row>
    <row r="2505" customFormat="false" ht="15" hidden="false" customHeight="true" outlineLevel="0" collapsed="false">
      <c r="A2505" s="7" t="s">
        <v>82</v>
      </c>
      <c r="B2505" s="7" t="n">
        <v>2019</v>
      </c>
      <c r="C2505" s="7" t="s">
        <v>163</v>
      </c>
      <c r="D2505" s="7" t="n">
        <v>71</v>
      </c>
      <c r="E2505" s="7" t="n">
        <v>91</v>
      </c>
      <c r="F2505" s="3" t="n">
        <f aca="false">COUNTIFS($B$2:$B$2705,B2505,$C$2:$C$2705,C2505)</f>
        <v>1</v>
      </c>
      <c r="G2505" s="3" t="n">
        <f aca="false">MIN(INT((MIN(B2505,2020)-1900)/10)+1,12)</f>
        <v>12</v>
      </c>
      <c r="H2505" s="3" t="n">
        <f aca="false">(MIN(B2505,2020)-1900-10*(G2505-1))/10</f>
        <v>0.9</v>
      </c>
      <c r="I2505" s="20" t="n">
        <f aca="false">EXP(LN(INDEX(Pop_Inputs!$B$2:$N$29,MATCH(C2505,Pop_Inputs!$A$2:$A$29,0),G2505))*(1-H2505)+LN(INDEX(Pop_Inputs!$B$2:$N$29,MATCH(C2505,Pop_Inputs!$A$2:$A$29,0),G2505+1))*H2505)</f>
        <v>703051.683088886</v>
      </c>
      <c r="J2505" s="20" t="n">
        <f aca="false">I2505/F2505</f>
        <v>703051.683088886</v>
      </c>
      <c r="K2505" s="21" t="n">
        <f aca="false">D2505/(D2505+E2505)</f>
        <v>0.438271604938272</v>
      </c>
      <c r="L2505" s="21" t="n">
        <f aca="false">AVERAGEIFS($K$2:$K$2705,$B$2:$B$2705,B2505)</f>
        <v>0.499946323134729</v>
      </c>
      <c r="M2505" s="21" t="n">
        <f aca="false">K2505-L2505</f>
        <v>-0.0616747181964574</v>
      </c>
      <c r="N2505" s="21" t="n">
        <f aca="false">LN(J2505)</f>
        <v>13.4631856859979</v>
      </c>
      <c r="O2505" s="21" t="n">
        <f aca="false">AVERAGEIFS($N$2:$N$2705,$B$2:$B$2705,B2505)</f>
        <v>13.6729010394663</v>
      </c>
      <c r="P2505" s="21" t="n">
        <f aca="false">N2505-O2505</f>
        <v>-0.209715353468448</v>
      </c>
      <c r="Q2505" s="7" t="n">
        <v>1</v>
      </c>
      <c r="R2505" s="3" t="n">
        <f aca="false">IF(AND(Q2505=1,B2505-_xlfn.MINIFS($B$2:$B$2705,$A$2:$A$2705,A2505)&lt;10),1,0)</f>
        <v>0</v>
      </c>
      <c r="S2505" s="7" t="n">
        <v>0</v>
      </c>
      <c r="T2505" s="3" t="n">
        <f aca="false">_xlfn.MINIFS($B$2:$B$2705,$A$2:$A$2705,A2505)</f>
        <v>1993</v>
      </c>
      <c r="U2505" s="3" t="n">
        <f aca="false">B2505-T2505</f>
        <v>26</v>
      </c>
      <c r="V2505" s="3" t="str">
        <f aca="false">INDEX(Pop_Inputs!$Q$2:$Q$29,MATCH(C2505,Pop_Inputs!$A$2:$A$29,0))</f>
        <v>West</v>
      </c>
      <c r="W2505" s="29" t="n">
        <v>146346833</v>
      </c>
      <c r="X2505" s="3" t="n">
        <f aca="false">IF(W2505="","",LN(W2505))</f>
        <v>18.8014899309637</v>
      </c>
      <c r="Y2505" s="3" t="n">
        <f aca="false">IF(X2505="","",X2505-AVERAGEIFS($X$2:$X$2705,$B$2:$B$2705,B2505))</f>
        <v>0.151908316064077</v>
      </c>
      <c r="Z2505" s="21" t="n">
        <f aca="false">P2505</f>
        <v>-0.209715353468448</v>
      </c>
      <c r="AA2505" s="3" t="n">
        <f aca="false">R2505</f>
        <v>0</v>
      </c>
      <c r="AB2505" s="21" t="n">
        <f aca="false">P2505</f>
        <v>-0.209715353468448</v>
      </c>
      <c r="AC2505" s="3" t="n">
        <f aca="false">Y2505</f>
        <v>0.151908316064077</v>
      </c>
      <c r="AD2505" s="3" t="n">
        <f aca="false">R2505</f>
        <v>0</v>
      </c>
    </row>
    <row r="2506" customFormat="false" ht="15" hidden="false" customHeight="true" outlineLevel="0" collapsed="false">
      <c r="A2506" s="7" t="s">
        <v>67</v>
      </c>
      <c r="B2506" s="7" t="n">
        <v>2019</v>
      </c>
      <c r="C2506" s="7" t="s">
        <v>152</v>
      </c>
      <c r="D2506" s="7" t="n">
        <v>47</v>
      </c>
      <c r="E2506" s="7" t="n">
        <v>114</v>
      </c>
      <c r="F2506" s="3" t="n">
        <f aca="false">COUNTIFS($B$2:$B$2705,B2506,$C$2:$C$2705,C2506)</f>
        <v>1</v>
      </c>
      <c r="G2506" s="3" t="n">
        <f aca="false">MIN(INT((MIN(B2506,2020)-1900)/10)+1,12)</f>
        <v>12</v>
      </c>
      <c r="H2506" s="3" t="n">
        <f aca="false">(MIN(B2506,2020)-1900-10*(G2506-1))/10</f>
        <v>0.9</v>
      </c>
      <c r="I2506" s="20" t="n">
        <f aca="false">EXP(LN(INDEX(Pop_Inputs!$B$2:$N$29,MATCH(C2506,Pop_Inputs!$A$2:$A$29,0),G2506))*(1-H2506)+LN(INDEX(Pop_Inputs!$B$2:$N$29,MATCH(C2506,Pop_Inputs!$A$2:$A$29,0),G2506+1))*H2506)</f>
        <v>646211.850681981</v>
      </c>
      <c r="J2506" s="20" t="n">
        <f aca="false">I2506/F2506</f>
        <v>646211.850681981</v>
      </c>
      <c r="K2506" s="21" t="n">
        <f aca="false">D2506/(D2506+E2506)</f>
        <v>0.291925465838509</v>
      </c>
      <c r="L2506" s="21" t="n">
        <f aca="false">AVERAGEIFS($K$2:$K$2705,$B$2:$B$2705,B2506)</f>
        <v>0.499946323134729</v>
      </c>
      <c r="M2506" s="21" t="n">
        <f aca="false">K2506-L2506</f>
        <v>-0.20802085729622</v>
      </c>
      <c r="N2506" s="21" t="n">
        <f aca="false">LN(J2506)</f>
        <v>13.3788826712356</v>
      </c>
      <c r="O2506" s="21" t="n">
        <f aca="false">AVERAGEIFS($N$2:$N$2705,$B$2:$B$2705,B2506)</f>
        <v>13.6729010394663</v>
      </c>
      <c r="P2506" s="21" t="n">
        <f aca="false">N2506-O2506</f>
        <v>-0.294018368230711</v>
      </c>
      <c r="Q2506" s="7" t="n">
        <v>0</v>
      </c>
      <c r="R2506" s="3" t="n">
        <f aca="false">IF(AND(Q2506=1,B2506-_xlfn.MINIFS($B$2:$B$2705,$A$2:$A$2705,A2506)&lt;10),1,0)</f>
        <v>0</v>
      </c>
      <c r="S2506" s="7" t="n">
        <v>0</v>
      </c>
      <c r="T2506" s="3" t="n">
        <f aca="false">_xlfn.MINIFS($B$2:$B$2705,$A$2:$A$2705,A2506)</f>
        <v>1901</v>
      </c>
      <c r="U2506" s="3" t="n">
        <f aca="false">B2506-T2506</f>
        <v>118</v>
      </c>
      <c r="V2506" s="3" t="str">
        <f aca="false">INDEX(Pop_Inputs!$Q$2:$Q$29,MATCH(C2506,Pop_Inputs!$A$2:$A$29,0))</f>
        <v>Midwest</v>
      </c>
      <c r="W2506" s="29" t="n">
        <v>116478400</v>
      </c>
      <c r="X2506" s="3" t="n">
        <f aca="false">IF(W2506="","",LN(W2506))</f>
        <v>18.5732164060546</v>
      </c>
      <c r="Y2506" s="3" t="n">
        <f aca="false">IF(X2506="","",X2506-AVERAGEIFS($X$2:$X$2705,$B$2:$B$2705,B2506))</f>
        <v>-0.0763652088450364</v>
      </c>
      <c r="Z2506" s="21" t="n">
        <f aca="false">P2506</f>
        <v>-0.294018368230711</v>
      </c>
      <c r="AA2506" s="3" t="n">
        <f aca="false">R2506</f>
        <v>0</v>
      </c>
      <c r="AB2506" s="21" t="n">
        <f aca="false">P2506</f>
        <v>-0.294018368230711</v>
      </c>
      <c r="AC2506" s="3" t="n">
        <f aca="false">Y2506</f>
        <v>-0.0763652088450364</v>
      </c>
      <c r="AD2506" s="3" t="n">
        <f aca="false">R2506</f>
        <v>0</v>
      </c>
    </row>
    <row r="2507" customFormat="false" ht="15" hidden="false" customHeight="true" outlineLevel="0" collapsed="false">
      <c r="A2507" s="7" t="s">
        <v>83</v>
      </c>
      <c r="B2507" s="7" t="n">
        <v>2019</v>
      </c>
      <c r="C2507" s="7" t="s">
        <v>164</v>
      </c>
      <c r="D2507" s="7" t="n">
        <v>57</v>
      </c>
      <c r="E2507" s="7" t="n">
        <v>105</v>
      </c>
      <c r="F2507" s="3" t="n">
        <f aca="false">COUNTIFS($B$2:$B$2705,B2507,$C$2:$C$2705,C2507)</f>
        <v>1</v>
      </c>
      <c r="G2507" s="3" t="n">
        <f aca="false">MIN(INT((MIN(B2507,2020)-1900)/10)+1,12)</f>
        <v>12</v>
      </c>
      <c r="H2507" s="3" t="n">
        <f aca="false">(MIN(B2507,2020)-1900-10*(G2507-1))/10</f>
        <v>0.9</v>
      </c>
      <c r="I2507" s="20" t="n">
        <f aca="false">EXP(LN(INDEX(Pop_Inputs!$B$2:$N$29,MATCH(C2507,Pop_Inputs!$A$2:$A$29,0),G2507))*(1-H2507)+LN(INDEX(Pop_Inputs!$B$2:$N$29,MATCH(C2507,Pop_Inputs!$A$2:$A$29,0),G2507+1))*H2507)</f>
        <v>437764.063136439</v>
      </c>
      <c r="J2507" s="20" t="n">
        <f aca="false">I2507/F2507</f>
        <v>437764.063136439</v>
      </c>
      <c r="K2507" s="21" t="n">
        <f aca="false">D2507/(D2507+E2507)</f>
        <v>0.351851851851852</v>
      </c>
      <c r="L2507" s="21" t="n">
        <f aca="false">AVERAGEIFS($K$2:$K$2705,$B$2:$B$2705,B2507)</f>
        <v>0.499946323134729</v>
      </c>
      <c r="M2507" s="21" t="n">
        <f aca="false">K2507-L2507</f>
        <v>-0.148094471282877</v>
      </c>
      <c r="N2507" s="21" t="n">
        <f aca="false">LN(J2507)</f>
        <v>12.9894353755862</v>
      </c>
      <c r="O2507" s="21" t="n">
        <f aca="false">AVERAGEIFS($N$2:$N$2705,$B$2:$B$2705,B2507)</f>
        <v>13.6729010394663</v>
      </c>
      <c r="P2507" s="21" t="n">
        <f aca="false">N2507-O2507</f>
        <v>-0.683465663880075</v>
      </c>
      <c r="Q2507" s="7" t="n">
        <v>1</v>
      </c>
      <c r="R2507" s="3" t="n">
        <f aca="false">IF(AND(Q2507=1,B2507-_xlfn.MINIFS($B$2:$B$2705,$A$2:$A$2705,A2507)&lt;10),1,0)</f>
        <v>0</v>
      </c>
      <c r="S2507" s="7" t="n">
        <v>0</v>
      </c>
      <c r="T2507" s="3" t="n">
        <f aca="false">_xlfn.MINIFS($B$2:$B$2705,$A$2:$A$2705,A2507)</f>
        <v>1993</v>
      </c>
      <c r="U2507" s="3" t="n">
        <f aca="false">B2507-T2507</f>
        <v>26</v>
      </c>
      <c r="V2507" s="3" t="str">
        <f aca="false">INDEX(Pop_Inputs!$Q$2:$Q$29,MATCH(C2507,Pop_Inputs!$A$2:$A$29,0))</f>
        <v>South</v>
      </c>
      <c r="W2507" s="29" t="n">
        <v>71903332</v>
      </c>
      <c r="X2507" s="3" t="n">
        <f aca="false">IF(W2507="","",LN(W2507))</f>
        <v>18.0908331637594</v>
      </c>
      <c r="Y2507" s="3" t="n">
        <f aca="false">IF(X2507="","",X2507-AVERAGEIFS($X$2:$X$2705,$B$2:$B$2705,B2507))</f>
        <v>-0.558748451140232</v>
      </c>
      <c r="Z2507" s="21" t="n">
        <f aca="false">P2507</f>
        <v>-0.683465663880075</v>
      </c>
      <c r="AA2507" s="3" t="n">
        <f aca="false">R2507</f>
        <v>0</v>
      </c>
      <c r="AB2507" s="21" t="n">
        <f aca="false">P2507</f>
        <v>-0.683465663880075</v>
      </c>
      <c r="AC2507" s="3" t="n">
        <f aca="false">Y2507</f>
        <v>-0.558748451140232</v>
      </c>
      <c r="AD2507" s="3" t="n">
        <f aca="false">R2507</f>
        <v>0</v>
      </c>
    </row>
    <row r="2508" customFormat="false" ht="15" hidden="false" customHeight="true" outlineLevel="0" collapsed="false">
      <c r="A2508" s="7" t="s">
        <v>74</v>
      </c>
      <c r="B2508" s="7" t="n">
        <v>2019</v>
      </c>
      <c r="C2508" s="7" t="s">
        <v>156</v>
      </c>
      <c r="D2508" s="7" t="n">
        <v>107</v>
      </c>
      <c r="E2508" s="7" t="n">
        <v>55</v>
      </c>
      <c r="F2508" s="3" t="n">
        <f aca="false">COUNTIFS($B$2:$B$2705,B2508,$C$2:$C$2705,C2508)</f>
        <v>1</v>
      </c>
      <c r="G2508" s="3" t="n">
        <f aca="false">MIN(INT((MIN(B2508,2020)-1900)/10)+1,12)</f>
        <v>12</v>
      </c>
      <c r="H2508" s="3" t="n">
        <f aca="false">(MIN(B2508,2020)-1900-10*(G2508-1))/10</f>
        <v>0.9</v>
      </c>
      <c r="I2508" s="20" t="n">
        <f aca="false">EXP(LN(INDEX(Pop_Inputs!$B$2:$N$29,MATCH(C2508,Pop_Inputs!$A$2:$A$29,0),G2508))*(1-H2508)+LN(INDEX(Pop_Inputs!$B$2:$N$29,MATCH(C2508,Pop_Inputs!$A$2:$A$29,0),G2508+1))*H2508)</f>
        <v>2283195.94274716</v>
      </c>
      <c r="J2508" s="20" t="n">
        <f aca="false">I2508/F2508</f>
        <v>2283195.94274716</v>
      </c>
      <c r="K2508" s="21" t="n">
        <f aca="false">D2508/(D2508+E2508)</f>
        <v>0.660493827160494</v>
      </c>
      <c r="L2508" s="21" t="n">
        <f aca="false">AVERAGEIFS($K$2:$K$2705,$B$2:$B$2705,B2508)</f>
        <v>0.499946323134729</v>
      </c>
      <c r="M2508" s="21" t="n">
        <f aca="false">K2508-L2508</f>
        <v>0.160547504025765</v>
      </c>
      <c r="N2508" s="21" t="n">
        <f aca="false">LN(J2508)</f>
        <v>14.6410867487003</v>
      </c>
      <c r="O2508" s="21" t="n">
        <f aca="false">AVERAGEIFS($N$2:$N$2705,$B$2:$B$2705,B2508)</f>
        <v>13.6729010394663</v>
      </c>
      <c r="P2508" s="21" t="n">
        <f aca="false">N2508-O2508</f>
        <v>0.968185709233993</v>
      </c>
      <c r="Q2508" s="7" t="n">
        <v>1</v>
      </c>
      <c r="R2508" s="3" t="n">
        <f aca="false">IF(AND(Q2508=1,B2508-_xlfn.MINIFS($B$2:$B$2705,$A$2:$A$2705,A2508)&lt;10),1,0)</f>
        <v>0</v>
      </c>
      <c r="S2508" s="7" t="n">
        <v>0</v>
      </c>
      <c r="T2508" s="3" t="n">
        <f aca="false">_xlfn.MINIFS($B$2:$B$2705,$A$2:$A$2705,A2508)</f>
        <v>1962</v>
      </c>
      <c r="U2508" s="3" t="n">
        <f aca="false">B2508-T2508</f>
        <v>57</v>
      </c>
      <c r="V2508" s="3" t="str">
        <f aca="false">INDEX(Pop_Inputs!$Q$2:$Q$29,MATCH(C2508,Pop_Inputs!$A$2:$A$29,0))</f>
        <v>South</v>
      </c>
      <c r="W2508" s="29" t="n">
        <v>160774666</v>
      </c>
      <c r="X2508" s="3" t="n">
        <f aca="false">IF(W2508="","",LN(W2508))</f>
        <v>18.8955143525456</v>
      </c>
      <c r="Y2508" s="3" t="n">
        <f aca="false">IF(X2508="","",X2508-AVERAGEIFS($X$2:$X$2705,$B$2:$B$2705,B2508))</f>
        <v>0.245932737646026</v>
      </c>
      <c r="Z2508" s="21" t="n">
        <f aca="false">P2508</f>
        <v>0.968185709233993</v>
      </c>
      <c r="AA2508" s="3" t="n">
        <f aca="false">R2508</f>
        <v>0</v>
      </c>
      <c r="AB2508" s="21" t="n">
        <f aca="false">P2508</f>
        <v>0.968185709233993</v>
      </c>
      <c r="AC2508" s="3" t="n">
        <f aca="false">Y2508</f>
        <v>0.245932737646026</v>
      </c>
      <c r="AD2508" s="3" t="n">
        <f aca="false">R2508</f>
        <v>0</v>
      </c>
    </row>
    <row r="2509" customFormat="false" ht="15" hidden="false" customHeight="true" outlineLevel="0" collapsed="false">
      <c r="A2509" s="7" t="s">
        <v>76</v>
      </c>
      <c r="B2509" s="7" t="n">
        <v>2019</v>
      </c>
      <c r="C2509" s="7" t="s">
        <v>157</v>
      </c>
      <c r="D2509" s="7" t="n">
        <v>59</v>
      </c>
      <c r="E2509" s="7" t="n">
        <v>103</v>
      </c>
      <c r="F2509" s="3" t="n">
        <f aca="false">COUNTIFS($B$2:$B$2705,B2509,$C$2:$C$2705,C2509)</f>
        <v>1</v>
      </c>
      <c r="G2509" s="3" t="n">
        <f aca="false">MIN(INT((MIN(B2509,2020)-1900)/10)+1,12)</f>
        <v>12</v>
      </c>
      <c r="H2509" s="3" t="n">
        <f aca="false">(MIN(B2509,2020)-1900-10*(G2509-1))/10</f>
        <v>0.9</v>
      </c>
      <c r="I2509" s="20" t="n">
        <f aca="false">EXP(LN(INDEX(Pop_Inputs!$B$2:$N$29,MATCH(C2509,Pop_Inputs!$A$2:$A$29,0),G2509))*(1-H2509)+LN(INDEX(Pop_Inputs!$B$2:$N$29,MATCH(C2509,Pop_Inputs!$A$2:$A$29,0),G2509+1))*H2509)</f>
        <v>503039.688916499</v>
      </c>
      <c r="J2509" s="20" t="n">
        <f aca="false">I2509/F2509</f>
        <v>503039.688916499</v>
      </c>
      <c r="K2509" s="21" t="n">
        <f aca="false">D2509/(D2509+E2509)</f>
        <v>0.364197530864198</v>
      </c>
      <c r="L2509" s="21" t="n">
        <f aca="false">AVERAGEIFS($K$2:$K$2705,$B$2:$B$2705,B2509)</f>
        <v>0.499946323134729</v>
      </c>
      <c r="M2509" s="21" t="n">
        <f aca="false">K2509-L2509</f>
        <v>-0.135748792270531</v>
      </c>
      <c r="N2509" s="21" t="n">
        <f aca="false">LN(J2509)</f>
        <v>13.1284243503756</v>
      </c>
      <c r="O2509" s="21" t="n">
        <f aca="false">AVERAGEIFS($N$2:$N$2705,$B$2:$B$2705,B2509)</f>
        <v>13.6729010394663</v>
      </c>
      <c r="P2509" s="21" t="n">
        <f aca="false">N2509-O2509</f>
        <v>-0.544476689090672</v>
      </c>
      <c r="Q2509" s="7" t="n">
        <v>1</v>
      </c>
      <c r="R2509" s="3" t="n">
        <f aca="false">IF(AND(Q2509=1,B2509-_xlfn.MINIFS($B$2:$B$2705,$A$2:$A$2705,A2509)&lt;10),1,0)</f>
        <v>0</v>
      </c>
      <c r="S2509" s="7" t="n">
        <v>0</v>
      </c>
      <c r="T2509" s="3" t="n">
        <f aca="false">_xlfn.MINIFS($B$2:$B$2705,$A$2:$A$2705,A2509)</f>
        <v>1969</v>
      </c>
      <c r="U2509" s="3" t="n">
        <f aca="false">B2509-T2509</f>
        <v>50</v>
      </c>
      <c r="V2509" s="3" t="str">
        <f aca="false">INDEX(Pop_Inputs!$Q$2:$Q$29,MATCH(C2509,Pop_Inputs!$A$2:$A$29,0))</f>
        <v>Midwest</v>
      </c>
      <c r="W2509" s="29" t="n">
        <v>100563292</v>
      </c>
      <c r="X2509" s="3" t="n">
        <f aca="false">IF(W2509="","",LN(W2509))</f>
        <v>18.4262978583851</v>
      </c>
      <c r="Y2509" s="3" t="n">
        <f aca="false">IF(X2509="","",X2509-AVERAGEIFS($X$2:$X$2705,$B$2:$B$2705,B2509))</f>
        <v>-0.223283756514551</v>
      </c>
      <c r="Z2509" s="21" t="n">
        <f aca="false">P2509</f>
        <v>-0.544476689090672</v>
      </c>
      <c r="AA2509" s="3" t="n">
        <f aca="false">R2509</f>
        <v>0</v>
      </c>
      <c r="AB2509" s="21" t="n">
        <f aca="false">P2509</f>
        <v>-0.544476689090672</v>
      </c>
      <c r="AC2509" s="3" t="n">
        <f aca="false">Y2509</f>
        <v>-0.223283756514551</v>
      </c>
      <c r="AD2509" s="3" t="n">
        <f aca="false">R2509</f>
        <v>0</v>
      </c>
    </row>
    <row r="2510" customFormat="false" ht="15" hidden="false" customHeight="true" outlineLevel="0" collapsed="false">
      <c r="A2510" s="7" t="s">
        <v>62</v>
      </c>
      <c r="B2510" s="7" t="n">
        <v>2019</v>
      </c>
      <c r="C2510" s="7" t="s">
        <v>148</v>
      </c>
      <c r="D2510" s="7" t="n">
        <v>106</v>
      </c>
      <c r="E2510" s="7" t="n">
        <v>56</v>
      </c>
      <c r="F2510" s="3" t="n">
        <f aca="false">COUNTIFS($B$2:$B$2705,B2510,$C$2:$C$2705,C2510)</f>
        <v>2</v>
      </c>
      <c r="G2510" s="3" t="n">
        <f aca="false">MIN(INT((MIN(B2510,2020)-1900)/10)+1,12)</f>
        <v>12</v>
      </c>
      <c r="H2510" s="3" t="n">
        <f aca="false">(MIN(B2510,2020)-1900-10*(G2510-1))/10</f>
        <v>0.9</v>
      </c>
      <c r="I2510" s="20" t="n">
        <f aca="false">EXP(LN(INDEX(Pop_Inputs!$B$2:$N$29,MATCH(C2510,Pop_Inputs!$A$2:$A$29,0),G2510))*(1-H2510)+LN(INDEX(Pop_Inputs!$B$2:$N$29,MATCH(C2510,Pop_Inputs!$A$2:$A$29,0),G2510+1))*H2510)</f>
        <v>3888002.11739959</v>
      </c>
      <c r="J2510" s="20" t="n">
        <f aca="false">I2510/F2510</f>
        <v>1944001.0586998</v>
      </c>
      <c r="K2510" s="21" t="n">
        <f aca="false">D2510/(D2510+E2510)</f>
        <v>0.654320987654321</v>
      </c>
      <c r="L2510" s="21" t="n">
        <f aca="false">AVERAGEIFS($K$2:$K$2705,$B$2:$B$2705,B2510)</f>
        <v>0.499946323134729</v>
      </c>
      <c r="M2510" s="21" t="n">
        <f aca="false">K2510-L2510</f>
        <v>0.154374664519592</v>
      </c>
      <c r="N2510" s="21" t="n">
        <f aca="false">LN(J2510)</f>
        <v>14.480258808601</v>
      </c>
      <c r="O2510" s="21" t="n">
        <f aca="false">AVERAGEIFS($N$2:$N$2705,$B$2:$B$2705,B2510)</f>
        <v>13.6729010394663</v>
      </c>
      <c r="P2510" s="21" t="n">
        <f aca="false">N2510-O2510</f>
        <v>0.807357769134717</v>
      </c>
      <c r="Q2510" s="7" t="n">
        <v>0</v>
      </c>
      <c r="R2510" s="3" t="n">
        <f aca="false">IF(AND(Q2510=1,B2510-_xlfn.MINIFS($B$2:$B$2705,$A$2:$A$2705,A2510)&lt;10),1,0)</f>
        <v>0</v>
      </c>
      <c r="S2510" s="7" t="n">
        <v>0</v>
      </c>
      <c r="T2510" s="3" t="n">
        <f aca="false">_xlfn.MINIFS($B$2:$B$2705,$A$2:$A$2705,A2510)</f>
        <v>1901</v>
      </c>
      <c r="U2510" s="3" t="n">
        <f aca="false">B2510-T2510</f>
        <v>118</v>
      </c>
      <c r="V2510" s="3" t="str">
        <f aca="false">INDEX(Pop_Inputs!$Q$2:$Q$29,MATCH(C2510,Pop_Inputs!$A$2:$A$29,0))</f>
        <v>West</v>
      </c>
      <c r="W2510" s="29" t="n">
        <v>197701668</v>
      </c>
      <c r="X2510" s="3" t="n">
        <f aca="false">IF(W2510="","",LN(W2510))</f>
        <v>19.1022697251311</v>
      </c>
      <c r="Y2510" s="3" t="n">
        <f aca="false">IF(X2510="","",X2510-AVERAGEIFS($X$2:$X$2705,$B$2:$B$2705,B2510))</f>
        <v>0.452688110231446</v>
      </c>
      <c r="Z2510" s="21" t="n">
        <f aca="false">P2510</f>
        <v>0.807357769134717</v>
      </c>
      <c r="AA2510" s="3" t="n">
        <f aca="false">R2510</f>
        <v>0</v>
      </c>
      <c r="AB2510" s="21" t="n">
        <f aca="false">P2510</f>
        <v>0.807357769134717</v>
      </c>
      <c r="AC2510" s="3" t="n">
        <f aca="false">Y2510</f>
        <v>0.452688110231446</v>
      </c>
      <c r="AD2510" s="3" t="n">
        <f aca="false">R2510</f>
        <v>0</v>
      </c>
    </row>
    <row r="2511" customFormat="false" ht="15" hidden="false" customHeight="true" outlineLevel="0" collapsed="false">
      <c r="A2511" s="7" t="s">
        <v>77</v>
      </c>
      <c r="B2511" s="7" t="n">
        <v>2019</v>
      </c>
      <c r="C2511" s="7" t="s">
        <v>158</v>
      </c>
      <c r="D2511" s="7" t="n">
        <v>89</v>
      </c>
      <c r="E2511" s="7" t="n">
        <v>73</v>
      </c>
      <c r="F2511" s="3" t="n">
        <f aca="false">COUNTIFS($B$2:$B$2705,B2511,$C$2:$C$2705,C2511)</f>
        <v>1</v>
      </c>
      <c r="G2511" s="3" t="n">
        <f aca="false">MIN(INT((MIN(B2511,2020)-1900)/10)+1,12)</f>
        <v>12</v>
      </c>
      <c r="H2511" s="3" t="n">
        <f aca="false">(MIN(B2511,2020)-1900-10*(G2511-1))/10</f>
        <v>0.9</v>
      </c>
      <c r="I2511" s="20" t="n">
        <f aca="false">EXP(LN(INDEX(Pop_Inputs!$B$2:$N$29,MATCH(C2511,Pop_Inputs!$A$2:$A$29,0),G2511))*(1-H2511)+LN(INDEX(Pop_Inputs!$B$2:$N$29,MATCH(C2511,Pop_Inputs!$A$2:$A$29,0),G2511+1))*H2511)</f>
        <v>578959.378151291</v>
      </c>
      <c r="J2511" s="20" t="n">
        <f aca="false">I2511/F2511</f>
        <v>578959.378151291</v>
      </c>
      <c r="K2511" s="21" t="n">
        <f aca="false">D2511/(D2511+E2511)</f>
        <v>0.549382716049383</v>
      </c>
      <c r="L2511" s="21" t="n">
        <f aca="false">AVERAGEIFS($K$2:$K$2705,$B$2:$B$2705,B2511)</f>
        <v>0.499946323134729</v>
      </c>
      <c r="M2511" s="21" t="n">
        <f aca="false">K2511-L2511</f>
        <v>0.0494363929146537</v>
      </c>
      <c r="N2511" s="21" t="n">
        <f aca="false">LN(J2511)</f>
        <v>13.2689875954606</v>
      </c>
      <c r="O2511" s="21" t="n">
        <f aca="false">AVERAGEIFS($N$2:$N$2705,$B$2:$B$2705,B2511)</f>
        <v>13.6729010394663</v>
      </c>
      <c r="P2511" s="21" t="n">
        <f aca="false">N2511-O2511</f>
        <v>-0.403913444005767</v>
      </c>
      <c r="Q2511" s="7" t="n">
        <v>1</v>
      </c>
      <c r="R2511" s="3" t="n">
        <f aca="false">IF(AND(Q2511=1,B2511-_xlfn.MINIFS($B$2:$B$2705,$A$2:$A$2705,A2511)&lt;10),1,0)</f>
        <v>0</v>
      </c>
      <c r="S2511" s="7" t="n">
        <v>0</v>
      </c>
      <c r="T2511" s="3" t="n">
        <f aca="false">_xlfn.MINIFS($B$2:$B$2705,$A$2:$A$2705,A2511)</f>
        <v>1969</v>
      </c>
      <c r="U2511" s="3" t="n">
        <f aca="false">B2511-T2511</f>
        <v>50</v>
      </c>
      <c r="V2511" s="3" t="str">
        <f aca="false">INDEX(Pop_Inputs!$Q$2:$Q$29,MATCH(C2511,Pop_Inputs!$A$2:$A$29,0))</f>
        <v>Midwest</v>
      </c>
      <c r="W2511" s="29" t="n">
        <v>124755400</v>
      </c>
      <c r="X2511" s="3" t="n">
        <f aca="false">IF(W2511="","",LN(W2511))</f>
        <v>18.6418655782322</v>
      </c>
      <c r="Y2511" s="3" t="n">
        <f aca="false">IF(X2511="","",X2511-AVERAGEIFS($X$2:$X$2705,$B$2:$B$2705,B2511))</f>
        <v>-0.00771603666739296</v>
      </c>
      <c r="Z2511" s="21" t="n">
        <f aca="false">P2511</f>
        <v>-0.403913444005767</v>
      </c>
      <c r="AA2511" s="3" t="n">
        <f aca="false">R2511</f>
        <v>0</v>
      </c>
      <c r="AB2511" s="21" t="n">
        <f aca="false">P2511</f>
        <v>-0.403913444005767</v>
      </c>
      <c r="AC2511" s="3" t="n">
        <f aca="false">Y2511</f>
        <v>-0.00771603666739296</v>
      </c>
      <c r="AD2511" s="3" t="n">
        <f aca="false">R2511</f>
        <v>0</v>
      </c>
    </row>
    <row r="2512" customFormat="false" ht="15" hidden="false" customHeight="true" outlineLevel="0" collapsed="false">
      <c r="A2512" s="7" t="s">
        <v>68</v>
      </c>
      <c r="B2512" s="7" t="n">
        <v>2019</v>
      </c>
      <c r="C2512" s="7" t="s">
        <v>153</v>
      </c>
      <c r="D2512" s="7" t="n">
        <v>101</v>
      </c>
      <c r="E2512" s="7" t="n">
        <v>61</v>
      </c>
      <c r="F2512" s="3" t="n">
        <f aca="false">COUNTIFS($B$2:$B$2705,B2512,$C$2:$C$2705,C2512)</f>
        <v>1</v>
      </c>
      <c r="G2512" s="3" t="n">
        <f aca="false">MIN(INT((MIN(B2512,2020)-1900)/10)+1,12)</f>
        <v>12</v>
      </c>
      <c r="H2512" s="3" t="n">
        <f aca="false">(MIN(B2512,2020)-1900-10*(G2512-1))/10</f>
        <v>0.9</v>
      </c>
      <c r="I2512" s="20" t="n">
        <f aca="false">EXP(LN(INDEX(Pop_Inputs!$B$2:$N$29,MATCH(C2512,Pop_Inputs!$A$2:$A$29,0),G2512))*(1-H2512)+LN(INDEX(Pop_Inputs!$B$2:$N$29,MATCH(C2512,Pop_Inputs!$A$2:$A$29,0),G2512+1))*H2512)</f>
        <v>424963.659837358</v>
      </c>
      <c r="J2512" s="20" t="n">
        <f aca="false">I2512/F2512</f>
        <v>424963.659837358</v>
      </c>
      <c r="K2512" s="21" t="n">
        <f aca="false">D2512/(D2512+E2512)</f>
        <v>0.623456790123457</v>
      </c>
      <c r="L2512" s="21" t="n">
        <f aca="false">AVERAGEIFS($K$2:$K$2705,$B$2:$B$2705,B2512)</f>
        <v>0.499946323134729</v>
      </c>
      <c r="M2512" s="21" t="n">
        <f aca="false">K2512-L2512</f>
        <v>0.123510466988728</v>
      </c>
      <c r="N2512" s="21" t="n">
        <f aca="false">LN(J2512)</f>
        <v>12.9597589379856</v>
      </c>
      <c r="O2512" s="21" t="n">
        <f aca="false">AVERAGEIFS($N$2:$N$2705,$B$2:$B$2705,B2512)</f>
        <v>13.6729010394663</v>
      </c>
      <c r="P2512" s="21" t="n">
        <f aca="false">N2512-O2512</f>
        <v>-0.713142101480674</v>
      </c>
      <c r="Q2512" s="7" t="n">
        <v>0</v>
      </c>
      <c r="R2512" s="3" t="n">
        <f aca="false">IF(AND(Q2512=1,B2512-_xlfn.MINIFS($B$2:$B$2705,$A$2:$A$2705,A2512)&lt;10),1,0)</f>
        <v>0</v>
      </c>
      <c r="S2512" s="7" t="n">
        <v>0</v>
      </c>
      <c r="T2512" s="3" t="n">
        <f aca="false">_xlfn.MINIFS($B$2:$B$2705,$A$2:$A$2705,A2512)</f>
        <v>1901</v>
      </c>
      <c r="U2512" s="3" t="n">
        <f aca="false">B2512-T2512</f>
        <v>118</v>
      </c>
      <c r="V2512" s="3" t="str">
        <f aca="false">INDEX(Pop_Inputs!$Q$2:$Q$29,MATCH(C2512,Pop_Inputs!$A$2:$A$29,0))</f>
        <v>Midwest</v>
      </c>
      <c r="W2512" s="29" t="n">
        <v>121276933</v>
      </c>
      <c r="X2512" s="3" t="n">
        <f aca="false">IF(W2512="","",LN(W2512))</f>
        <v>18.6135871909502</v>
      </c>
      <c r="Y2512" s="3" t="n">
        <f aca="false">IF(X2512="","",X2512-AVERAGEIFS($X$2:$X$2705,$B$2:$B$2705,B2512))</f>
        <v>-0.0359944239494219</v>
      </c>
      <c r="Z2512" s="21" t="n">
        <f aca="false">P2512</f>
        <v>-0.713142101480674</v>
      </c>
      <c r="AA2512" s="3" t="n">
        <f aca="false">R2512</f>
        <v>0</v>
      </c>
      <c r="AB2512" s="21" t="n">
        <f aca="false">P2512</f>
        <v>-0.713142101480674</v>
      </c>
      <c r="AC2512" s="3" t="n">
        <f aca="false">Y2512</f>
        <v>-0.0359944239494219</v>
      </c>
      <c r="AD2512" s="3" t="n">
        <f aca="false">R2512</f>
        <v>0</v>
      </c>
    </row>
    <row r="2513" customFormat="false" ht="15" hidden="false" customHeight="true" outlineLevel="0" collapsed="false">
      <c r="A2513" s="7" t="s">
        <v>75</v>
      </c>
      <c r="B2513" s="7" t="n">
        <v>2019</v>
      </c>
      <c r="C2513" s="7" t="s">
        <v>154</v>
      </c>
      <c r="D2513" s="7" t="n">
        <v>86</v>
      </c>
      <c r="E2513" s="7" t="n">
        <v>76</v>
      </c>
      <c r="F2513" s="3" t="n">
        <f aca="false">COUNTIFS($B$2:$B$2705,B2513,$C$2:$C$2705,C2513)</f>
        <v>2</v>
      </c>
      <c r="G2513" s="3" t="n">
        <f aca="false">MIN(INT((MIN(B2513,2020)-1900)/10)+1,12)</f>
        <v>12</v>
      </c>
      <c r="H2513" s="3" t="n">
        <f aca="false">(MIN(B2513,2020)-1900-10*(G2513-1))/10</f>
        <v>0.9</v>
      </c>
      <c r="I2513" s="20" t="n">
        <f aca="false">EXP(LN(INDEX(Pop_Inputs!$B$2:$N$29,MATCH(C2513,Pop_Inputs!$A$2:$A$29,0),G2513))*(1-H2513)+LN(INDEX(Pop_Inputs!$B$2:$N$29,MATCH(C2513,Pop_Inputs!$A$2:$A$29,0),G2513+1))*H2513)</f>
        <v>8739165.18621578</v>
      </c>
      <c r="J2513" s="20" t="n">
        <f aca="false">I2513/F2513</f>
        <v>4369582.59310789</v>
      </c>
      <c r="K2513" s="21" t="n">
        <f aca="false">D2513/(D2513+E2513)</f>
        <v>0.530864197530864</v>
      </c>
      <c r="L2513" s="21" t="n">
        <f aca="false">AVERAGEIFS($K$2:$K$2705,$B$2:$B$2705,B2513)</f>
        <v>0.499946323134729</v>
      </c>
      <c r="M2513" s="21" t="n">
        <f aca="false">K2513-L2513</f>
        <v>0.0309178743961352</v>
      </c>
      <c r="N2513" s="21" t="n">
        <f aca="false">LN(J2513)</f>
        <v>15.2901780460585</v>
      </c>
      <c r="O2513" s="21" t="n">
        <f aca="false">AVERAGEIFS($N$2:$N$2705,$B$2:$B$2705,B2513)</f>
        <v>13.6729010394663</v>
      </c>
      <c r="P2513" s="21" t="n">
        <f aca="false">N2513-O2513</f>
        <v>1.61727700659218</v>
      </c>
      <c r="Q2513" s="7" t="n">
        <v>1</v>
      </c>
      <c r="R2513" s="3" t="n">
        <f aca="false">IF(AND(Q2513=1,B2513-_xlfn.MINIFS($B$2:$B$2705,$A$2:$A$2705,A2513)&lt;10),1,0)</f>
        <v>0</v>
      </c>
      <c r="S2513" s="7" t="n">
        <v>0</v>
      </c>
      <c r="T2513" s="3" t="n">
        <f aca="false">_xlfn.MINIFS($B$2:$B$2705,$A$2:$A$2705,A2513)</f>
        <v>1962</v>
      </c>
      <c r="U2513" s="3" t="n">
        <f aca="false">B2513-T2513</f>
        <v>57</v>
      </c>
      <c r="V2513" s="3" t="str">
        <f aca="false">INDEX(Pop_Inputs!$Q$2:$Q$29,MATCH(C2513,Pop_Inputs!$A$2:$A$29,0))</f>
        <v>Northeast</v>
      </c>
      <c r="W2513" s="29" t="n">
        <v>158390930</v>
      </c>
      <c r="X2513" s="3" t="n">
        <f aca="false">IF(W2513="","",LN(W2513))</f>
        <v>18.8805767756042</v>
      </c>
      <c r="Y2513" s="3" t="n">
        <f aca="false">IF(X2513="","",X2513-AVERAGEIFS($X$2:$X$2705,$B$2:$B$2705,B2513))</f>
        <v>0.230995160704563</v>
      </c>
      <c r="Z2513" s="21" t="n">
        <f aca="false">P2513</f>
        <v>1.61727700659218</v>
      </c>
      <c r="AA2513" s="3" t="n">
        <f aca="false">R2513</f>
        <v>0</v>
      </c>
      <c r="AB2513" s="21" t="n">
        <f aca="false">P2513</f>
        <v>1.61727700659218</v>
      </c>
      <c r="AC2513" s="3" t="n">
        <f aca="false">Y2513</f>
        <v>0.230995160704563</v>
      </c>
      <c r="AD2513" s="3" t="n">
        <f aca="false">R2513</f>
        <v>0</v>
      </c>
    </row>
    <row r="2514" customFormat="false" ht="15" hidden="false" customHeight="true" outlineLevel="0" collapsed="false">
      <c r="A2514" s="7" t="s">
        <v>70</v>
      </c>
      <c r="B2514" s="7" t="n">
        <v>2019</v>
      </c>
      <c r="C2514" s="7" t="s">
        <v>154</v>
      </c>
      <c r="D2514" s="7" t="n">
        <v>103</v>
      </c>
      <c r="E2514" s="7" t="n">
        <v>59</v>
      </c>
      <c r="F2514" s="3" t="n">
        <f aca="false">COUNTIFS($B$2:$B$2705,B2514,$C$2:$C$2705,C2514)</f>
        <v>2</v>
      </c>
      <c r="G2514" s="3" t="n">
        <f aca="false">MIN(INT((MIN(B2514,2020)-1900)/10)+1,12)</f>
        <v>12</v>
      </c>
      <c r="H2514" s="3" t="n">
        <f aca="false">(MIN(B2514,2020)-1900-10*(G2514-1))/10</f>
        <v>0.9</v>
      </c>
      <c r="I2514" s="20" t="n">
        <f aca="false">EXP(LN(INDEX(Pop_Inputs!$B$2:$N$29,MATCH(C2514,Pop_Inputs!$A$2:$A$29,0),G2514))*(1-H2514)+LN(INDEX(Pop_Inputs!$B$2:$N$29,MATCH(C2514,Pop_Inputs!$A$2:$A$29,0),G2514+1))*H2514)</f>
        <v>8739165.18621578</v>
      </c>
      <c r="J2514" s="20" t="n">
        <f aca="false">I2514/F2514</f>
        <v>4369582.59310789</v>
      </c>
      <c r="K2514" s="21" t="n">
        <f aca="false">D2514/(D2514+E2514)</f>
        <v>0.635802469135803</v>
      </c>
      <c r="L2514" s="21" t="n">
        <f aca="false">AVERAGEIFS($K$2:$K$2705,$B$2:$B$2705,B2514)</f>
        <v>0.499946323134729</v>
      </c>
      <c r="M2514" s="21" t="n">
        <f aca="false">K2514-L2514</f>
        <v>0.135856146001074</v>
      </c>
      <c r="N2514" s="21" t="n">
        <f aca="false">LN(J2514)</f>
        <v>15.2901780460585</v>
      </c>
      <c r="O2514" s="21" t="n">
        <f aca="false">AVERAGEIFS($N$2:$N$2705,$B$2:$B$2705,B2514)</f>
        <v>13.6729010394663</v>
      </c>
      <c r="P2514" s="21" t="n">
        <f aca="false">N2514-O2514</f>
        <v>1.61727700659218</v>
      </c>
      <c r="Q2514" s="7" t="n">
        <v>0</v>
      </c>
      <c r="R2514" s="3" t="n">
        <f aca="false">IF(AND(Q2514=1,B2514-_xlfn.MINIFS($B$2:$B$2705,$A$2:$A$2705,A2514)&lt;10),1,0)</f>
        <v>0</v>
      </c>
      <c r="S2514" s="7" t="n">
        <v>1</v>
      </c>
      <c r="T2514" s="3" t="n">
        <f aca="false">_xlfn.MINIFS($B$2:$B$2705,$A$2:$A$2705,A2514)</f>
        <v>1903</v>
      </c>
      <c r="U2514" s="3" t="n">
        <f aca="false">B2514-T2514</f>
        <v>116</v>
      </c>
      <c r="V2514" s="3" t="str">
        <f aca="false">INDEX(Pop_Inputs!$Q$2:$Q$29,MATCH(C2514,Pop_Inputs!$A$2:$A$29,0))</f>
        <v>Northeast</v>
      </c>
      <c r="W2514" s="29" t="n">
        <v>140092857</v>
      </c>
      <c r="X2514" s="3" t="n">
        <f aca="false">IF(W2514="","",LN(W2514))</f>
        <v>18.7578160249968</v>
      </c>
      <c r="Y2514" s="3" t="n">
        <f aca="false">IF(X2514="","",X2514-AVERAGEIFS($X$2:$X$2705,$B$2:$B$2705,B2514))</f>
        <v>0.108234410097143</v>
      </c>
      <c r="Z2514" s="21" t="n">
        <f aca="false">P2514</f>
        <v>1.61727700659218</v>
      </c>
      <c r="AA2514" s="3" t="n">
        <f aca="false">R2514</f>
        <v>0</v>
      </c>
      <c r="AB2514" s="21" t="n">
        <f aca="false">P2514</f>
        <v>1.61727700659218</v>
      </c>
      <c r="AC2514" s="3" t="n">
        <f aca="false">Y2514</f>
        <v>0.108234410097143</v>
      </c>
      <c r="AD2514" s="3" t="n">
        <f aca="false">R2514</f>
        <v>0</v>
      </c>
    </row>
    <row r="2515" customFormat="false" ht="15" hidden="false" customHeight="true" outlineLevel="0" collapsed="false">
      <c r="A2515" s="7" t="s">
        <v>69</v>
      </c>
      <c r="B2515" s="7" t="n">
        <v>2019</v>
      </c>
      <c r="C2515" s="7" t="s">
        <v>253</v>
      </c>
      <c r="D2515" s="7" t="n">
        <v>97</v>
      </c>
      <c r="E2515" s="7" t="n">
        <v>65</v>
      </c>
      <c r="F2515" s="3" t="n">
        <f aca="false">COUNTIFS($B$2:$B$2705,B2515,$C$2:$C$2705,C2515)</f>
        <v>1</v>
      </c>
      <c r="G2515" s="3" t="n">
        <f aca="false">MIN(INT((MIN(B2515,2020)-1900)/10)+1,12)</f>
        <v>12</v>
      </c>
      <c r="H2515" s="3" t="n">
        <f aca="false">(MIN(B2515,2020)-1900-10*(G2515-1))/10</f>
        <v>0.9</v>
      </c>
      <c r="I2515" s="20" t="n">
        <f aca="false">EXP(LN(INDEX(Pop_Inputs!$B$2:$N$29,MATCH(C2515,Pop_Inputs!$A$2:$A$29,0),G2515))*(1-H2515)+LN(INDEX(Pop_Inputs!$B$2:$N$29,MATCH(C2515,Pop_Inputs!$A$2:$A$29,0),G2515+1))*H2515)</f>
        <v>435379.381181791</v>
      </c>
      <c r="J2515" s="20" t="n">
        <f aca="false">I2515/F2515</f>
        <v>435379.381181791</v>
      </c>
      <c r="K2515" s="21" t="n">
        <f aca="false">D2515/(D2515+E2515)</f>
        <v>0.598765432098765</v>
      </c>
      <c r="L2515" s="21" t="n">
        <f aca="false">AVERAGEIFS($K$2:$K$2705,$B$2:$B$2705,B2515)</f>
        <v>0.499946323134729</v>
      </c>
      <c r="M2515" s="21" t="n">
        <f aca="false">K2515-L2515</f>
        <v>0.0988191089640365</v>
      </c>
      <c r="N2515" s="21" t="n">
        <f aca="false">LN(J2515)</f>
        <v>12.9839730706249</v>
      </c>
      <c r="O2515" s="21" t="n">
        <f aca="false">AVERAGEIFS($N$2:$N$2705,$B$2:$B$2705,B2515)</f>
        <v>13.6729010394663</v>
      </c>
      <c r="P2515" s="21" t="n">
        <f aca="false">N2515-O2515</f>
        <v>-0.688927968841375</v>
      </c>
      <c r="Q2515" s="7" t="n">
        <v>0</v>
      </c>
      <c r="R2515" s="3" t="n">
        <f aca="false">IF(AND(Q2515=1,B2515-_xlfn.MINIFS($B$2:$B$2705,$A$2:$A$2705,A2515)&lt;10),1,0)</f>
        <v>0</v>
      </c>
      <c r="S2515" s="7" t="n">
        <v>0</v>
      </c>
      <c r="T2515" s="3" t="n">
        <f aca="false">_xlfn.MINIFS($B$2:$B$2705,$A$2:$A$2705,A2515)</f>
        <v>1901</v>
      </c>
      <c r="U2515" s="3" t="n">
        <f aca="false">B2515-T2515</f>
        <v>118</v>
      </c>
      <c r="V2515" s="3" t="str">
        <f aca="false">INDEX(Pop_Inputs!$Q$2:$Q$29,MATCH(C2515,Pop_Inputs!$A$2:$A$29,0))</f>
        <v>West</v>
      </c>
      <c r="W2515" s="29" t="n">
        <v>102315833</v>
      </c>
      <c r="X2515" s="3" t="n">
        <f aca="false">IF(W2515="","",LN(W2515))</f>
        <v>18.4435749892297</v>
      </c>
      <c r="Y2515" s="3" t="n">
        <f aca="false">IF(X2515="","",X2515-AVERAGEIFS($X$2:$X$2705,$B$2:$B$2705,B2515))</f>
        <v>-0.206006625669957</v>
      </c>
      <c r="Z2515" s="21" t="n">
        <f aca="false">P2515</f>
        <v>-0.688927968841375</v>
      </c>
      <c r="AA2515" s="3" t="n">
        <f aca="false">R2515</f>
        <v>0</v>
      </c>
      <c r="AB2515" s="21" t="n">
        <f aca="false">P2515</f>
        <v>-0.688927968841375</v>
      </c>
      <c r="AC2515" s="3" t="n">
        <f aca="false">Y2515</f>
        <v>-0.206006625669957</v>
      </c>
      <c r="AD2515" s="3" t="n">
        <f aca="false">R2515</f>
        <v>0</v>
      </c>
    </row>
    <row r="2516" customFormat="false" ht="15" hidden="false" customHeight="true" outlineLevel="0" collapsed="false">
      <c r="A2516" s="7" t="s">
        <v>60</v>
      </c>
      <c r="B2516" s="7" t="n">
        <v>2019</v>
      </c>
      <c r="C2516" s="7" t="s">
        <v>146</v>
      </c>
      <c r="D2516" s="7" t="n">
        <v>81</v>
      </c>
      <c r="E2516" s="7" t="n">
        <v>81</v>
      </c>
      <c r="F2516" s="3" t="n">
        <f aca="false">COUNTIFS($B$2:$B$2705,B2516,$C$2:$C$2705,C2516)</f>
        <v>1</v>
      </c>
      <c r="G2516" s="3" t="n">
        <f aca="false">MIN(INT((MIN(B2516,2020)-1900)/10)+1,12)</f>
        <v>12</v>
      </c>
      <c r="H2516" s="3" t="n">
        <f aca="false">(MIN(B2516,2020)-1900-10*(G2516-1))/10</f>
        <v>0.9</v>
      </c>
      <c r="I2516" s="20" t="n">
        <f aca="false">EXP(LN(INDEX(Pop_Inputs!$B$2:$N$29,MATCH(C2516,Pop_Inputs!$A$2:$A$29,0),G2516))*(1-H2516)+LN(INDEX(Pop_Inputs!$B$2:$N$29,MATCH(C2516,Pop_Inputs!$A$2:$A$29,0),G2516+1))*H2516)</f>
        <v>1595842.69959398</v>
      </c>
      <c r="J2516" s="20" t="n">
        <f aca="false">I2516/F2516</f>
        <v>1595842.69959398</v>
      </c>
      <c r="K2516" s="21" t="n">
        <f aca="false">D2516/(D2516+E2516)</f>
        <v>0.5</v>
      </c>
      <c r="L2516" s="21" t="n">
        <f aca="false">AVERAGEIFS($K$2:$K$2705,$B$2:$B$2705,B2516)</f>
        <v>0.499946323134729</v>
      </c>
      <c r="M2516" s="21" t="n">
        <f aca="false">K2516-L2516</f>
        <v>5.3676865271024E-005</v>
      </c>
      <c r="N2516" s="21" t="n">
        <f aca="false">LN(J2516)</f>
        <v>14.282912492983</v>
      </c>
      <c r="O2516" s="21" t="n">
        <f aca="false">AVERAGEIFS($N$2:$N$2705,$B$2:$B$2705,B2516)</f>
        <v>13.6729010394663</v>
      </c>
      <c r="P2516" s="21" t="n">
        <f aca="false">N2516-O2516</f>
        <v>0.610011453516661</v>
      </c>
      <c r="Q2516" s="7" t="n">
        <v>0</v>
      </c>
      <c r="R2516" s="3" t="n">
        <f aca="false">IF(AND(Q2516=1,B2516-_xlfn.MINIFS($B$2:$B$2705,$A$2:$A$2705,A2516)&lt;10),1,0)</f>
        <v>0</v>
      </c>
      <c r="S2516" s="7" t="n">
        <v>0</v>
      </c>
      <c r="T2516" s="3" t="n">
        <f aca="false">_xlfn.MINIFS($B$2:$B$2705,$A$2:$A$2705,A2516)</f>
        <v>1901</v>
      </c>
      <c r="U2516" s="3" t="n">
        <f aca="false">B2516-T2516</f>
        <v>118</v>
      </c>
      <c r="V2516" s="3" t="str">
        <f aca="false">INDEX(Pop_Inputs!$Q$2:$Q$29,MATCH(C2516,Pop_Inputs!$A$2:$A$29,0))</f>
        <v>Northeast</v>
      </c>
      <c r="W2516" s="29" t="n">
        <v>140711962</v>
      </c>
      <c r="X2516" s="3" t="n">
        <f aca="false">IF(W2516="","",LN(W2516))</f>
        <v>18.7622255362391</v>
      </c>
      <c r="Y2516" s="3" t="n">
        <f aca="false">IF(X2516="","",X2516-AVERAGEIFS($X$2:$X$2705,$B$2:$B$2705,B2516))</f>
        <v>0.112643921339508</v>
      </c>
      <c r="Z2516" s="21" t="n">
        <f aca="false">P2516</f>
        <v>0.610011453516661</v>
      </c>
      <c r="AA2516" s="3" t="n">
        <f aca="false">R2516</f>
        <v>0</v>
      </c>
      <c r="AB2516" s="21" t="n">
        <f aca="false">P2516</f>
        <v>0.610011453516661</v>
      </c>
      <c r="AC2516" s="3" t="n">
        <f aca="false">Y2516</f>
        <v>0.112643921339508</v>
      </c>
      <c r="AD2516" s="3" t="n">
        <f aca="false">R2516</f>
        <v>0</v>
      </c>
    </row>
    <row r="2517" customFormat="false" ht="15" hidden="false" customHeight="true" outlineLevel="0" collapsed="false">
      <c r="A2517" s="7" t="s">
        <v>58</v>
      </c>
      <c r="B2517" s="7" t="n">
        <v>2019</v>
      </c>
      <c r="C2517" s="7" t="s">
        <v>144</v>
      </c>
      <c r="D2517" s="7" t="n">
        <v>69</v>
      </c>
      <c r="E2517" s="7" t="n">
        <v>93</v>
      </c>
      <c r="F2517" s="3" t="n">
        <f aca="false">COUNTIFS($B$2:$B$2705,B2517,$C$2:$C$2705,C2517)</f>
        <v>1</v>
      </c>
      <c r="G2517" s="3" t="n">
        <f aca="false">MIN(INT((MIN(B2517,2020)-1900)/10)+1,12)</f>
        <v>12</v>
      </c>
      <c r="H2517" s="3" t="n">
        <f aca="false">(MIN(B2517,2020)-1900-10*(G2517-1))/10</f>
        <v>0.9</v>
      </c>
      <c r="I2517" s="20" t="n">
        <f aca="false">EXP(LN(INDEX(Pop_Inputs!$B$2:$N$29,MATCH(C2517,Pop_Inputs!$A$2:$A$29,0),G2517))*(1-H2517)+LN(INDEX(Pop_Inputs!$B$2:$N$29,MATCH(C2517,Pop_Inputs!$A$2:$A$29,0),G2517+1))*H2517)</f>
        <v>303243.196890448</v>
      </c>
      <c r="J2517" s="20" t="n">
        <f aca="false">I2517/F2517</f>
        <v>303243.196890448</v>
      </c>
      <c r="K2517" s="21" t="n">
        <f aca="false">D2517/(D2517+E2517)</f>
        <v>0.425925925925926</v>
      </c>
      <c r="L2517" s="21" t="n">
        <f aca="false">AVERAGEIFS($K$2:$K$2705,$B$2:$B$2705,B2517)</f>
        <v>0.499946323134729</v>
      </c>
      <c r="M2517" s="21" t="n">
        <f aca="false">K2517-L2517</f>
        <v>-0.0740203972088031</v>
      </c>
      <c r="N2517" s="21" t="n">
        <f aca="false">LN(J2517)</f>
        <v>12.6222903925578</v>
      </c>
      <c r="O2517" s="21" t="n">
        <f aca="false">AVERAGEIFS($N$2:$N$2705,$B$2:$B$2705,B2517)</f>
        <v>13.6729010394663</v>
      </c>
      <c r="P2517" s="21" t="n">
        <f aca="false">N2517-O2517</f>
        <v>-1.05061064690854</v>
      </c>
      <c r="Q2517" s="7" t="n">
        <v>0</v>
      </c>
      <c r="R2517" s="3" t="n">
        <f aca="false">IF(AND(Q2517=1,B2517-_xlfn.MINIFS($B$2:$B$2705,$A$2:$A$2705,A2517)&lt;10),1,0)</f>
        <v>0</v>
      </c>
      <c r="S2517" s="7" t="n">
        <v>0</v>
      </c>
      <c r="T2517" s="3" t="n">
        <f aca="false">_xlfn.MINIFS($B$2:$B$2705,$A$2:$A$2705,A2517)</f>
        <v>1901</v>
      </c>
      <c r="U2517" s="3" t="n">
        <f aca="false">B2517-T2517</f>
        <v>118</v>
      </c>
      <c r="V2517" s="3" t="str">
        <f aca="false">INDEX(Pop_Inputs!$Q$2:$Q$29,MATCH(C2517,Pop_Inputs!$A$2:$A$29,0))</f>
        <v>Northeast</v>
      </c>
      <c r="W2517" s="29" t="n">
        <v>73641002</v>
      </c>
      <c r="X2517" s="3" t="n">
        <f aca="false">IF(W2517="","",LN(W2517))</f>
        <v>18.1147125209721</v>
      </c>
      <c r="Y2517" s="3" t="n">
        <f aca="false">IF(X2517="","",X2517-AVERAGEIFS($X$2:$X$2705,$B$2:$B$2705,B2517))</f>
        <v>-0.534869093927558</v>
      </c>
      <c r="Z2517" s="21" t="n">
        <f aca="false">P2517</f>
        <v>-1.05061064690854</v>
      </c>
      <c r="AA2517" s="3" t="n">
        <f aca="false">R2517</f>
        <v>0</v>
      </c>
      <c r="AB2517" s="21" t="n">
        <f aca="false">P2517</f>
        <v>-1.05061064690854</v>
      </c>
      <c r="AC2517" s="3" t="n">
        <f aca="false">Y2517</f>
        <v>-0.534869093927558</v>
      </c>
      <c r="AD2517" s="3" t="n">
        <f aca="false">R2517</f>
        <v>0</v>
      </c>
    </row>
    <row r="2518" customFormat="false" ht="15" hidden="false" customHeight="true" outlineLevel="0" collapsed="false">
      <c r="A2518" s="7" t="s">
        <v>78</v>
      </c>
      <c r="B2518" s="7" t="n">
        <v>2019</v>
      </c>
      <c r="C2518" s="7" t="s">
        <v>159</v>
      </c>
      <c r="D2518" s="7" t="n">
        <v>70</v>
      </c>
      <c r="E2518" s="7" t="n">
        <v>92</v>
      </c>
      <c r="F2518" s="3" t="n">
        <f aca="false">COUNTIFS($B$2:$B$2705,B2518,$C$2:$C$2705,C2518)</f>
        <v>1</v>
      </c>
      <c r="G2518" s="3" t="n">
        <f aca="false">MIN(INT((MIN(B2518,2020)-1900)/10)+1,12)</f>
        <v>12</v>
      </c>
      <c r="H2518" s="3" t="n">
        <f aca="false">(MIN(B2518,2020)-1900-10*(G2518-1))/10</f>
        <v>0.9</v>
      </c>
      <c r="I2518" s="20" t="n">
        <f aca="false">EXP(LN(INDEX(Pop_Inputs!$B$2:$N$29,MATCH(C2518,Pop_Inputs!$A$2:$A$29,0),G2518))*(1-H2518)+LN(INDEX(Pop_Inputs!$B$2:$N$29,MATCH(C2518,Pop_Inputs!$A$2:$A$29,0),G2518+1))*H2518)</f>
        <v>1378766.00285592</v>
      </c>
      <c r="J2518" s="20" t="n">
        <f aca="false">I2518/F2518</f>
        <v>1378766.00285592</v>
      </c>
      <c r="K2518" s="21" t="n">
        <f aca="false">D2518/(D2518+E2518)</f>
        <v>0.432098765432099</v>
      </c>
      <c r="L2518" s="21" t="n">
        <f aca="false">AVERAGEIFS($K$2:$K$2705,$B$2:$B$2705,B2518)</f>
        <v>0.499946323134729</v>
      </c>
      <c r="M2518" s="21" t="n">
        <f aca="false">K2518-L2518</f>
        <v>-0.0678475577026302</v>
      </c>
      <c r="N2518" s="21" t="n">
        <f aca="false">LN(J2518)</f>
        <v>14.1366994562683</v>
      </c>
      <c r="O2518" s="21" t="n">
        <f aca="false">AVERAGEIFS($N$2:$N$2705,$B$2:$B$2705,B2518)</f>
        <v>13.6729010394663</v>
      </c>
      <c r="P2518" s="21" t="n">
        <f aca="false">N2518-O2518</f>
        <v>0.463798416801971</v>
      </c>
      <c r="Q2518" s="7" t="n">
        <v>1</v>
      </c>
      <c r="R2518" s="3" t="n">
        <f aca="false">IF(AND(Q2518=1,B2518-_xlfn.MINIFS($B$2:$B$2705,$A$2:$A$2705,A2518)&lt;10),1,0)</f>
        <v>0</v>
      </c>
      <c r="S2518" s="7" t="n">
        <v>0</v>
      </c>
      <c r="T2518" s="3" t="n">
        <f aca="false">_xlfn.MINIFS($B$2:$B$2705,$A$2:$A$2705,A2518)</f>
        <v>1969</v>
      </c>
      <c r="U2518" s="3" t="n">
        <f aca="false">B2518-T2518</f>
        <v>50</v>
      </c>
      <c r="V2518" s="3" t="str">
        <f aca="false">INDEX(Pop_Inputs!$Q$2:$Q$29,MATCH(C2518,Pop_Inputs!$A$2:$A$29,0))</f>
        <v>West</v>
      </c>
      <c r="W2518" s="29" t="n">
        <v>100106200</v>
      </c>
      <c r="X2518" s="3" t="n">
        <f aca="false">IF(W2518="","",LN(W2518))</f>
        <v>18.4217421804293</v>
      </c>
      <c r="Y2518" s="3" t="n">
        <f aca="false">IF(X2518="","",X2518-AVERAGEIFS($X$2:$X$2705,$B$2:$B$2705,B2518))</f>
        <v>-0.227839434470301</v>
      </c>
      <c r="Z2518" s="21" t="n">
        <f aca="false">P2518</f>
        <v>0.463798416801971</v>
      </c>
      <c r="AA2518" s="3" t="n">
        <f aca="false">R2518</f>
        <v>0</v>
      </c>
      <c r="AB2518" s="21" t="n">
        <f aca="false">P2518</f>
        <v>0.463798416801971</v>
      </c>
      <c r="AC2518" s="3" t="n">
        <f aca="false">Y2518</f>
        <v>-0.227839434470301</v>
      </c>
      <c r="AD2518" s="3" t="n">
        <f aca="false">R2518</f>
        <v>0</v>
      </c>
    </row>
    <row r="2519" customFormat="false" ht="15" hidden="false" customHeight="true" outlineLevel="0" collapsed="false">
      <c r="A2519" s="7" t="s">
        <v>80</v>
      </c>
      <c r="B2519" s="7" t="n">
        <v>2019</v>
      </c>
      <c r="C2519" s="7" t="s">
        <v>161</v>
      </c>
      <c r="D2519" s="7" t="n">
        <v>68</v>
      </c>
      <c r="E2519" s="7" t="n">
        <v>94</v>
      </c>
      <c r="F2519" s="3" t="n">
        <f aca="false">COUNTIFS($B$2:$B$2705,B2519,$C$2:$C$2705,C2519)</f>
        <v>1</v>
      </c>
      <c r="G2519" s="3" t="n">
        <f aca="false">MIN(INT((MIN(B2519,2020)-1900)/10)+1,12)</f>
        <v>12</v>
      </c>
      <c r="H2519" s="3" t="n">
        <f aca="false">(MIN(B2519,2020)-1900-10*(G2519-1))/10</f>
        <v>0.9</v>
      </c>
      <c r="I2519" s="20" t="n">
        <f aca="false">EXP(LN(INDEX(Pop_Inputs!$B$2:$N$29,MATCH(C2519,Pop_Inputs!$A$2:$A$29,0),G2519))*(1-H2519)+LN(INDEX(Pop_Inputs!$B$2:$N$29,MATCH(C2519,Pop_Inputs!$A$2:$A$29,0),G2519+1))*H2519)</f>
        <v>723046.403687684</v>
      </c>
      <c r="J2519" s="20" t="n">
        <f aca="false">I2519/F2519</f>
        <v>723046.403687684</v>
      </c>
      <c r="K2519" s="21" t="n">
        <f aca="false">D2519/(D2519+E2519)</f>
        <v>0.419753086419753</v>
      </c>
      <c r="L2519" s="21" t="n">
        <f aca="false">AVERAGEIFS($K$2:$K$2705,$B$2:$B$2705,B2519)</f>
        <v>0.499946323134729</v>
      </c>
      <c r="M2519" s="21" t="n">
        <f aca="false">K2519-L2519</f>
        <v>-0.0801932367149759</v>
      </c>
      <c r="N2519" s="21" t="n">
        <f aca="false">LN(J2519)</f>
        <v>13.491228681222</v>
      </c>
      <c r="O2519" s="21" t="n">
        <f aca="false">AVERAGEIFS($N$2:$N$2705,$B$2:$B$2705,B2519)</f>
        <v>13.6729010394663</v>
      </c>
      <c r="P2519" s="21" t="n">
        <f aca="false">N2519-O2519</f>
        <v>-0.181672358244359</v>
      </c>
      <c r="Q2519" s="7" t="n">
        <v>1</v>
      </c>
      <c r="R2519" s="3" t="n">
        <f aca="false">IF(AND(Q2519=1,B2519-_xlfn.MINIFS($B$2:$B$2705,$A$2:$A$2705,A2519)&lt;10),1,0)</f>
        <v>0</v>
      </c>
      <c r="S2519" s="7" t="n">
        <v>0</v>
      </c>
      <c r="T2519" s="3" t="n">
        <f aca="false">_xlfn.MINIFS($B$2:$B$2705,$A$2:$A$2705,A2519)</f>
        <v>1977</v>
      </c>
      <c r="U2519" s="3" t="n">
        <f aca="false">B2519-T2519</f>
        <v>42</v>
      </c>
      <c r="V2519" s="3" t="str">
        <f aca="false">INDEX(Pop_Inputs!$Q$2:$Q$29,MATCH(C2519,Pop_Inputs!$A$2:$A$29,0))</f>
        <v>West</v>
      </c>
      <c r="W2519" s="29" t="n">
        <v>148898474</v>
      </c>
      <c r="X2519" s="3" t="n">
        <f aca="false">IF(W2519="","",LN(W2519))</f>
        <v>18.8187752491128</v>
      </c>
      <c r="Y2519" s="3" t="n">
        <f aca="false">IF(X2519="","",X2519-AVERAGEIFS($X$2:$X$2705,$B$2:$B$2705,B2519))</f>
        <v>0.169193634213197</v>
      </c>
      <c r="Z2519" s="21" t="n">
        <f aca="false">P2519</f>
        <v>-0.181672358244359</v>
      </c>
      <c r="AA2519" s="3" t="n">
        <f aca="false">R2519</f>
        <v>0</v>
      </c>
      <c r="AB2519" s="21" t="n">
        <f aca="false">P2519</f>
        <v>-0.181672358244359</v>
      </c>
      <c r="AC2519" s="3" t="n">
        <f aca="false">Y2519</f>
        <v>0.169193634213197</v>
      </c>
      <c r="AD2519" s="3" t="n">
        <f aca="false">R2519</f>
        <v>0</v>
      </c>
    </row>
    <row r="2520" customFormat="false" ht="15" hidden="false" customHeight="true" outlineLevel="0" collapsed="false">
      <c r="A2520" s="7" t="s">
        <v>61</v>
      </c>
      <c r="B2520" s="7" t="n">
        <v>2019</v>
      </c>
      <c r="C2520" s="7" t="s">
        <v>147</v>
      </c>
      <c r="D2520" s="7" t="n">
        <v>77</v>
      </c>
      <c r="E2520" s="7" t="n">
        <v>85</v>
      </c>
      <c r="F2520" s="3" t="n">
        <f aca="false">COUNTIFS($B$2:$B$2705,B2520,$C$2:$C$2705,C2520)</f>
        <v>1</v>
      </c>
      <c r="G2520" s="3" t="n">
        <f aca="false">MIN(INT((MIN(B2520,2020)-1900)/10)+1,12)</f>
        <v>12</v>
      </c>
      <c r="H2520" s="3" t="n">
        <f aca="false">(MIN(B2520,2020)-1900-10*(G2520-1))/10</f>
        <v>0.9</v>
      </c>
      <c r="I2520" s="20" t="n">
        <f aca="false">EXP(LN(INDEX(Pop_Inputs!$B$2:$N$29,MATCH(C2520,Pop_Inputs!$A$2:$A$29,0),G2520))*(1-H2520)+LN(INDEX(Pop_Inputs!$B$2:$N$29,MATCH(C2520,Pop_Inputs!$A$2:$A$29,0),G2520+1))*H2520)</f>
        <v>866835.923141874</v>
      </c>
      <c r="J2520" s="20" t="n">
        <f aca="false">I2520/F2520</f>
        <v>866835.923141874</v>
      </c>
      <c r="K2520" s="21" t="n">
        <f aca="false">D2520/(D2520+E2520)</f>
        <v>0.475308641975309</v>
      </c>
      <c r="L2520" s="21" t="n">
        <f aca="false">AVERAGEIFS($K$2:$K$2705,$B$2:$B$2705,B2520)</f>
        <v>0.499946323134729</v>
      </c>
      <c r="M2520" s="21" t="n">
        <f aca="false">K2520-L2520</f>
        <v>-0.0246376811594203</v>
      </c>
      <c r="N2520" s="21" t="n">
        <f aca="false">LN(J2520)</f>
        <v>13.6726049911888</v>
      </c>
      <c r="O2520" s="21" t="n">
        <f aca="false">AVERAGEIFS($N$2:$N$2705,$B$2:$B$2705,B2520)</f>
        <v>13.6729010394663</v>
      </c>
      <c r="P2520" s="21" t="n">
        <f aca="false">N2520-O2520</f>
        <v>-0.00029604827755314</v>
      </c>
      <c r="Q2520" s="7" t="n">
        <v>0</v>
      </c>
      <c r="R2520" s="3" t="n">
        <f aca="false">IF(AND(Q2520=1,B2520-_xlfn.MINIFS($B$2:$B$2705,$A$2:$A$2705,A2520)&lt;10),1,0)</f>
        <v>0</v>
      </c>
      <c r="S2520" s="7" t="n">
        <v>0</v>
      </c>
      <c r="T2520" s="3" t="n">
        <f aca="false">_xlfn.MINIFS($B$2:$B$2705,$A$2:$A$2705,A2520)</f>
        <v>1901</v>
      </c>
      <c r="U2520" s="3" t="n">
        <f aca="false">B2520-T2520</f>
        <v>118</v>
      </c>
      <c r="V2520" s="3" t="str">
        <f aca="false">INDEX(Pop_Inputs!$Q$2:$Q$29,MATCH(C2520,Pop_Inputs!$A$2:$A$29,0))</f>
        <v>West</v>
      </c>
      <c r="W2520" s="29" t="n">
        <v>172629652</v>
      </c>
      <c r="X2520" s="3" t="n">
        <f aca="false">IF(W2520="","",LN(W2520))</f>
        <v>18.9666591179186</v>
      </c>
      <c r="Y2520" s="3" t="n">
        <f aca="false">IF(X2520="","",X2520-AVERAGEIFS($X$2:$X$2705,$B$2:$B$2705,B2520))</f>
        <v>0.317077503018997</v>
      </c>
      <c r="Z2520" s="21" t="n">
        <f aca="false">P2520</f>
        <v>-0.00029604827755314</v>
      </c>
      <c r="AA2520" s="3" t="n">
        <f aca="false">R2520</f>
        <v>0</v>
      </c>
      <c r="AB2520" s="21" t="n">
        <f aca="false">P2520</f>
        <v>-0.00029604827755314</v>
      </c>
      <c r="AC2520" s="3" t="n">
        <f aca="false">Y2520</f>
        <v>0.317077503018997</v>
      </c>
      <c r="AD2520" s="3" t="n">
        <f aca="false">R2520</f>
        <v>0</v>
      </c>
    </row>
    <row r="2521" customFormat="false" ht="15" hidden="false" customHeight="true" outlineLevel="0" collapsed="false">
      <c r="A2521" s="7" t="s">
        <v>59</v>
      </c>
      <c r="B2521" s="7" t="n">
        <v>2019</v>
      </c>
      <c r="C2521" s="7" t="s">
        <v>145</v>
      </c>
      <c r="D2521" s="7" t="n">
        <v>91</v>
      </c>
      <c r="E2521" s="7" t="n">
        <v>71</v>
      </c>
      <c r="F2521" s="3" t="n">
        <f aca="false">COUNTIFS($B$2:$B$2705,B2521,$C$2:$C$2705,C2521)</f>
        <v>1</v>
      </c>
      <c r="G2521" s="3" t="n">
        <f aca="false">MIN(INT((MIN(B2521,2020)-1900)/10)+1,12)</f>
        <v>12</v>
      </c>
      <c r="H2521" s="3" t="n">
        <f aca="false">(MIN(B2521,2020)-1900-10*(G2521-1))/10</f>
        <v>0.9</v>
      </c>
      <c r="I2521" s="20" t="n">
        <f aca="false">EXP(LN(INDEX(Pop_Inputs!$B$2:$N$29,MATCH(C2521,Pop_Inputs!$A$2:$A$29,0),G2521))*(1-H2521)+LN(INDEX(Pop_Inputs!$B$2:$N$29,MATCH(C2521,Pop_Inputs!$A$2:$A$29,0),G2521+1))*H2521)</f>
        <v>303304.439254994</v>
      </c>
      <c r="J2521" s="20" t="n">
        <f aca="false">I2521/F2521</f>
        <v>303304.439254994</v>
      </c>
      <c r="K2521" s="21" t="n">
        <f aca="false">D2521/(D2521+E2521)</f>
        <v>0.561728395061728</v>
      </c>
      <c r="L2521" s="21" t="n">
        <f aca="false">AVERAGEIFS($K$2:$K$2705,$B$2:$B$2705,B2521)</f>
        <v>0.499946323134729</v>
      </c>
      <c r="M2521" s="21" t="n">
        <f aca="false">K2521-L2521</f>
        <v>0.0617820719269995</v>
      </c>
      <c r="N2521" s="21" t="n">
        <f aca="false">LN(J2521)</f>
        <v>12.6224923300845</v>
      </c>
      <c r="O2521" s="21" t="n">
        <f aca="false">AVERAGEIFS($N$2:$N$2705,$B$2:$B$2705,B2521)</f>
        <v>13.6729010394663</v>
      </c>
      <c r="P2521" s="21" t="n">
        <f aca="false">N2521-O2521</f>
        <v>-1.05040870938178</v>
      </c>
      <c r="Q2521" s="7" t="n">
        <v>0</v>
      </c>
      <c r="R2521" s="3" t="n">
        <f aca="false">IF(AND(Q2521=1,B2521-_xlfn.MINIFS($B$2:$B$2705,$A$2:$A$2705,A2521)&lt;10),1,0)</f>
        <v>0</v>
      </c>
      <c r="S2521" s="7" t="n">
        <v>0</v>
      </c>
      <c r="T2521" s="3" t="n">
        <f aca="false">_xlfn.MINIFS($B$2:$B$2705,$A$2:$A$2705,A2521)</f>
        <v>1901</v>
      </c>
      <c r="U2521" s="3" t="n">
        <f aca="false">B2521-T2521</f>
        <v>118</v>
      </c>
      <c r="V2521" s="3" t="str">
        <f aca="false">INDEX(Pop_Inputs!$Q$2:$Q$29,MATCH(C2521,Pop_Inputs!$A$2:$A$29,0))</f>
        <v>Midwest</v>
      </c>
      <c r="W2521" s="29" t="n">
        <v>163370266</v>
      </c>
      <c r="X2521" s="3" t="n">
        <f aca="false">IF(W2521="","",LN(W2521))</f>
        <v>18.9115297532073</v>
      </c>
      <c r="Y2521" s="3" t="n">
        <f aca="false">IF(X2521="","",X2521-AVERAGEIFS($X$2:$X$2705,$B$2:$B$2705,B2521))</f>
        <v>0.261948138307673</v>
      </c>
      <c r="Z2521" s="21" t="n">
        <f aca="false">P2521</f>
        <v>-1.05040870938178</v>
      </c>
      <c r="AA2521" s="3" t="n">
        <f aca="false">R2521</f>
        <v>0</v>
      </c>
      <c r="AB2521" s="21" t="n">
        <f aca="false">P2521</f>
        <v>-1.05040870938178</v>
      </c>
      <c r="AC2521" s="3" t="n">
        <f aca="false">Y2521</f>
        <v>0.261948138307673</v>
      </c>
      <c r="AD2521" s="3" t="n">
        <f aca="false">R2521</f>
        <v>0</v>
      </c>
    </row>
    <row r="2522" customFormat="false" ht="15" hidden="false" customHeight="true" outlineLevel="0" collapsed="false">
      <c r="A2522" s="7" t="s">
        <v>85</v>
      </c>
      <c r="B2522" s="7" t="n">
        <v>2019</v>
      </c>
      <c r="C2522" s="7" t="s">
        <v>166</v>
      </c>
      <c r="D2522" s="7" t="n">
        <v>96</v>
      </c>
      <c r="E2522" s="7" t="n">
        <v>66</v>
      </c>
      <c r="F2522" s="3" t="n">
        <f aca="false">COUNTIFS($B$2:$B$2705,B2522,$C$2:$C$2705,C2522)</f>
        <v>1</v>
      </c>
      <c r="G2522" s="3" t="n">
        <f aca="false">MIN(INT((MIN(B2522,2020)-1900)/10)+1,12)</f>
        <v>12</v>
      </c>
      <c r="H2522" s="3" t="n">
        <f aca="false">(MIN(B2522,2020)-1900-10*(G2522-1))/10</f>
        <v>0.9</v>
      </c>
      <c r="I2522" s="20" t="n">
        <f aca="false">EXP(LN(INDEX(Pop_Inputs!$B$2:$N$29,MATCH(C2522,Pop_Inputs!$A$2:$A$29,0),G2522))*(1-H2522)+LN(INDEX(Pop_Inputs!$B$2:$N$29,MATCH(C2522,Pop_Inputs!$A$2:$A$29,0),G2522+1))*H2522)</f>
        <v>379725.1201462</v>
      </c>
      <c r="J2522" s="20" t="n">
        <f aca="false">I2522/F2522</f>
        <v>379725.1201462</v>
      </c>
      <c r="K2522" s="21" t="n">
        <f aca="false">D2522/(D2522+E2522)</f>
        <v>0.592592592592593</v>
      </c>
      <c r="L2522" s="21" t="n">
        <f aca="false">AVERAGEIFS($K$2:$K$2705,$B$2:$B$2705,B2522)</f>
        <v>0.499946323134729</v>
      </c>
      <c r="M2522" s="21" t="n">
        <f aca="false">K2522-L2522</f>
        <v>0.0926462694578636</v>
      </c>
      <c r="N2522" s="21" t="n">
        <f aca="false">LN(J2522)</f>
        <v>12.8472029019094</v>
      </c>
      <c r="O2522" s="21" t="n">
        <f aca="false">AVERAGEIFS($N$2:$N$2705,$B$2:$B$2705,B2522)</f>
        <v>13.6729010394663</v>
      </c>
      <c r="P2522" s="21" t="n">
        <f aca="false">N2522-O2522</f>
        <v>-0.825698137556962</v>
      </c>
      <c r="Q2522" s="7" t="n">
        <v>1</v>
      </c>
      <c r="R2522" s="3" t="n">
        <f aca="false">IF(AND(Q2522=1,B2522-_xlfn.MINIFS($B$2:$B$2705,$A$2:$A$2705,A2522)&lt;10),1,0)</f>
        <v>0</v>
      </c>
      <c r="S2522" s="7" t="n">
        <v>0</v>
      </c>
      <c r="T2522" s="3" t="n">
        <f aca="false">_xlfn.MINIFS($B$2:$B$2705,$A$2:$A$2705,A2522)</f>
        <v>1998</v>
      </c>
      <c r="U2522" s="3" t="n">
        <f aca="false">B2522-T2522</f>
        <v>21</v>
      </c>
      <c r="V2522" s="3" t="str">
        <f aca="false">INDEX(Pop_Inputs!$Q$2:$Q$29,MATCH(C2522,Pop_Inputs!$A$2:$A$29,0))</f>
        <v>South</v>
      </c>
      <c r="W2522" s="29" t="n">
        <v>64901866</v>
      </c>
      <c r="X2522" s="3" t="n">
        <f aca="false">IF(W2522="","",LN(W2522))</f>
        <v>17.988386933187</v>
      </c>
      <c r="Y2522" s="3" t="n">
        <f aca="false">IF(X2522="","",X2522-AVERAGEIFS($X$2:$X$2705,$B$2:$B$2705,B2522))</f>
        <v>-0.661194681712576</v>
      </c>
      <c r="Z2522" s="21" t="n">
        <f aca="false">P2522</f>
        <v>-0.825698137556962</v>
      </c>
      <c r="AA2522" s="3" t="n">
        <f aca="false">R2522</f>
        <v>0</v>
      </c>
      <c r="AB2522" s="21" t="n">
        <f aca="false">P2522</f>
        <v>-0.825698137556962</v>
      </c>
      <c r="AC2522" s="3" t="n">
        <f aca="false">Y2522</f>
        <v>-0.661194681712576</v>
      </c>
      <c r="AD2522" s="3" t="n">
        <f aca="false">R2522</f>
        <v>0</v>
      </c>
    </row>
    <row r="2523" customFormat="false" ht="15" hidden="false" customHeight="true" outlineLevel="0" collapsed="false">
      <c r="A2523" s="7" t="s">
        <v>73</v>
      </c>
      <c r="B2523" s="7" t="n">
        <v>2019</v>
      </c>
      <c r="C2523" s="7" t="s">
        <v>155</v>
      </c>
      <c r="D2523" s="7" t="n">
        <v>78</v>
      </c>
      <c r="E2523" s="7" t="n">
        <v>84</v>
      </c>
      <c r="F2523" s="3" t="n">
        <f aca="false">COUNTIFS($B$2:$B$2705,B2523,$C$2:$C$2705,C2523)</f>
        <v>1</v>
      </c>
      <c r="G2523" s="3" t="n">
        <f aca="false">MIN(INT((MIN(B2523,2020)-1900)/10)+1,12)</f>
        <v>12</v>
      </c>
      <c r="H2523" s="3" t="n">
        <f aca="false">(MIN(B2523,2020)-1900-10*(G2523-1))/10</f>
        <v>0.9</v>
      </c>
      <c r="I2523" s="20" t="n">
        <f aca="false">EXP(LN(INDEX(Pop_Inputs!$B$2:$N$29,MATCH(C2523,Pop_Inputs!$A$2:$A$29,0),G2523))*(1-H2523)+LN(INDEX(Pop_Inputs!$B$2:$N$29,MATCH(C2523,Pop_Inputs!$A$2:$A$29,0),G2523+1))*H2523)</f>
        <v>1293309.38592831</v>
      </c>
      <c r="J2523" s="20" t="n">
        <f aca="false">I2523/F2523</f>
        <v>1293309.38592831</v>
      </c>
      <c r="K2523" s="21" t="n">
        <f aca="false">D2523/(D2523+E2523)</f>
        <v>0.481481481481481</v>
      </c>
      <c r="L2523" s="21" t="n">
        <f aca="false">AVERAGEIFS($K$2:$K$2705,$B$2:$B$2705,B2523)</f>
        <v>0.499946323134729</v>
      </c>
      <c r="M2523" s="21" t="n">
        <f aca="false">K2523-L2523</f>
        <v>-0.0184648416532475</v>
      </c>
      <c r="N2523" s="21" t="n">
        <f aca="false">LN(J2523)</f>
        <v>14.0727149067251</v>
      </c>
      <c r="O2523" s="21" t="n">
        <f aca="false">AVERAGEIFS($N$2:$N$2705,$B$2:$B$2705,B2523)</f>
        <v>13.6729010394663</v>
      </c>
      <c r="P2523" s="21" t="n">
        <f aca="false">N2523-O2523</f>
        <v>0.399813867258789</v>
      </c>
      <c r="Q2523" s="7" t="n">
        <v>1</v>
      </c>
      <c r="R2523" s="3" t="n">
        <f aca="false">IF(AND(Q2523=1,B2523-_xlfn.MINIFS($B$2:$B$2705,$A$2:$A$2705,A2523)&lt;10),1,0)</f>
        <v>0</v>
      </c>
      <c r="S2523" s="7" t="n">
        <v>0</v>
      </c>
      <c r="T2523" s="3" t="n">
        <f aca="false">_xlfn.MINIFS($B$2:$B$2705,$A$2:$A$2705,A2523)</f>
        <v>1961</v>
      </c>
      <c r="U2523" s="3" t="n">
        <f aca="false">B2523-T2523</f>
        <v>58</v>
      </c>
      <c r="V2523" s="3" t="str">
        <f aca="false">INDEX(Pop_Inputs!$Q$2:$Q$29,MATCH(C2523,Pop_Inputs!$A$2:$A$29,0))</f>
        <v>South</v>
      </c>
      <c r="W2523" s="29" t="n">
        <v>126575499</v>
      </c>
      <c r="X2523" s="3" t="n">
        <f aca="false">IF(W2523="","",LN(W2523))</f>
        <v>18.6563495181392</v>
      </c>
      <c r="Y2523" s="3" t="n">
        <f aca="false">IF(X2523="","",X2523-AVERAGEIFS($X$2:$X$2705,$B$2:$B$2705,B2523))</f>
        <v>0.00676790323955245</v>
      </c>
      <c r="Z2523" s="21" t="n">
        <f aca="false">P2523</f>
        <v>0.399813867258789</v>
      </c>
      <c r="AA2523" s="3" t="n">
        <f aca="false">R2523</f>
        <v>0</v>
      </c>
      <c r="AB2523" s="21" t="n">
        <f aca="false">P2523</f>
        <v>0.399813867258789</v>
      </c>
      <c r="AC2523" s="3" t="n">
        <f aca="false">Y2523</f>
        <v>0.00676790323955245</v>
      </c>
      <c r="AD2523" s="3" t="n">
        <f aca="false">R2523</f>
        <v>0</v>
      </c>
    </row>
    <row r="2524" customFormat="false" ht="15" hidden="false" customHeight="true" outlineLevel="0" collapsed="false">
      <c r="A2524" s="7" t="s">
        <v>81</v>
      </c>
      <c r="B2524" s="7" t="n">
        <v>2019</v>
      </c>
      <c r="C2524" s="7" t="s">
        <v>162</v>
      </c>
      <c r="D2524" s="7" t="n">
        <v>67</v>
      </c>
      <c r="E2524" s="7" t="n">
        <v>95</v>
      </c>
      <c r="F2524" s="3" t="n">
        <f aca="false">COUNTIFS($B$2:$B$2705,B2524,$C$2:$C$2705,C2524)</f>
        <v>1</v>
      </c>
      <c r="G2524" s="3" t="n">
        <f aca="false">MIN(INT((MIN(B2524,2020)-1900)/10)+1,12)</f>
        <v>12</v>
      </c>
      <c r="H2524" s="3" t="n">
        <f aca="false">(MIN(B2524,2020)-1900-10*(G2524-1))/10</f>
        <v>0.9</v>
      </c>
      <c r="I2524" s="20" t="n">
        <f aca="false">EXP(LN(INDEX(Pop_Inputs!$B$2:$N$29,MATCH(C2524,Pop_Inputs!$A$2:$A$29,0),G2524))*(1-H2524)+LN(INDEX(Pop_Inputs!$B$2:$N$29,MATCH(C2524,Pop_Inputs!$A$2:$A$29,0),G2524+1))*H2524)</f>
        <v>2775886.63959159</v>
      </c>
      <c r="J2524" s="20" t="n">
        <f aca="false">I2524/F2524</f>
        <v>2775886.63959159</v>
      </c>
      <c r="K2524" s="21" t="n">
        <f aca="false">D2524/(D2524+E2524)</f>
        <v>0.41358024691358</v>
      </c>
      <c r="L2524" s="21" t="n">
        <f aca="false">AVERAGEIFS($K$2:$K$2705,$B$2:$B$2705,B2524)</f>
        <v>0.499946323134729</v>
      </c>
      <c r="M2524" s="21" t="n">
        <f aca="false">K2524-L2524</f>
        <v>-0.0863660762211487</v>
      </c>
      <c r="N2524" s="21" t="n">
        <f aca="false">LN(J2524)</f>
        <v>14.836480763893</v>
      </c>
      <c r="O2524" s="21" t="n">
        <f aca="false">AVERAGEIFS($N$2:$N$2705,$B$2:$B$2705,B2524)</f>
        <v>13.6729010394663</v>
      </c>
      <c r="P2524" s="21" t="n">
        <f aca="false">N2524-O2524</f>
        <v>1.16357972442671</v>
      </c>
      <c r="Q2524" s="7" t="n">
        <v>1</v>
      </c>
      <c r="R2524" s="3" t="n">
        <f aca="false">IF(AND(Q2524=1,B2524-_xlfn.MINIFS($B$2:$B$2705,$A$2:$A$2705,A2524)&lt;10),1,0)</f>
        <v>0</v>
      </c>
      <c r="S2524" s="7" t="n">
        <v>0</v>
      </c>
      <c r="T2524" s="3" t="n">
        <f aca="false">_xlfn.MINIFS($B$2:$B$2705,$A$2:$A$2705,A2524)</f>
        <v>1977</v>
      </c>
      <c r="U2524" s="3" t="n">
        <f aca="false">B2524-T2524</f>
        <v>42</v>
      </c>
      <c r="V2524" s="3" t="str">
        <f aca="false">INDEX(Pop_Inputs!$Q$2:$Q$29,MATCH(C2524,Pop_Inputs!$A$2:$A$29,0))</f>
        <v>Canada</v>
      </c>
      <c r="W2524" s="29" t="n">
        <v>116037171</v>
      </c>
      <c r="X2524" s="3" t="n">
        <f aca="false">IF(W2524="","",LN(W2524))</f>
        <v>18.569421137396</v>
      </c>
      <c r="Y2524" s="3" t="n">
        <f aca="false">IF(X2524="","",X2524-AVERAGEIFS($X$2:$X$2705,$B$2:$B$2705,B2524))</f>
        <v>-0.0801604775036147</v>
      </c>
      <c r="Z2524" s="21" t="n">
        <f aca="false">P2524</f>
        <v>1.16357972442671</v>
      </c>
      <c r="AA2524" s="3" t="n">
        <f aca="false">R2524</f>
        <v>0</v>
      </c>
      <c r="AB2524" s="21" t="n">
        <f aca="false">P2524</f>
        <v>1.16357972442671</v>
      </c>
      <c r="AC2524" s="3" t="n">
        <f aca="false">Y2524</f>
        <v>-0.0801604775036147</v>
      </c>
      <c r="AD2524" s="3" t="n">
        <f aca="false">R2524</f>
        <v>0</v>
      </c>
    </row>
    <row r="2525" customFormat="false" ht="15" hidden="false" customHeight="true" outlineLevel="0" collapsed="false">
      <c r="A2525" s="7" t="s">
        <v>79</v>
      </c>
      <c r="B2525" s="7" t="n">
        <v>2019</v>
      </c>
      <c r="C2525" s="7" t="s">
        <v>160</v>
      </c>
      <c r="D2525" s="7" t="n">
        <v>93</v>
      </c>
      <c r="E2525" s="7" t="n">
        <v>69</v>
      </c>
      <c r="F2525" s="3" t="n">
        <f aca="false">COUNTIFS($B$2:$B$2705,B2525,$C$2:$C$2705,C2525)</f>
        <v>1</v>
      </c>
      <c r="G2525" s="3" t="n">
        <f aca="false">MIN(INT((MIN(B2525,2020)-1900)/10)+1,12)</f>
        <v>12</v>
      </c>
      <c r="H2525" s="3" t="n">
        <f aca="false">(MIN(B2525,2020)-1900-10*(G2525-1))/10</f>
        <v>0.9</v>
      </c>
      <c r="I2525" s="20" t="n">
        <f aca="false">EXP(LN(INDEX(Pop_Inputs!$B$2:$N$29,MATCH(C2525,Pop_Inputs!$A$2:$A$29,0),G2525))*(1-H2525)+LN(INDEX(Pop_Inputs!$B$2:$N$29,MATCH(C2525,Pop_Inputs!$A$2:$A$29,0),G2525+1))*H2525)</f>
        <v>680214.700565633</v>
      </c>
      <c r="J2525" s="20" t="n">
        <f aca="false">I2525/F2525</f>
        <v>680214.700565633</v>
      </c>
      <c r="K2525" s="21" t="n">
        <f aca="false">D2525/(D2525+E2525)</f>
        <v>0.574074074074074</v>
      </c>
      <c r="L2525" s="21" t="n">
        <f aca="false">AVERAGEIFS($K$2:$K$2705,$B$2:$B$2705,B2525)</f>
        <v>0.499946323134729</v>
      </c>
      <c r="M2525" s="21" t="n">
        <f aca="false">K2525-L2525</f>
        <v>0.0741277509393451</v>
      </c>
      <c r="N2525" s="21" t="n">
        <f aca="false">LN(J2525)</f>
        <v>13.4301637634441</v>
      </c>
      <c r="O2525" s="21" t="n">
        <f aca="false">AVERAGEIFS($N$2:$N$2705,$B$2:$B$2705,B2525)</f>
        <v>13.6729010394663</v>
      </c>
      <c r="P2525" s="21" t="n">
        <f aca="false">N2525-O2525</f>
        <v>-0.242737276022259</v>
      </c>
      <c r="Q2525" s="7" t="n">
        <v>1</v>
      </c>
      <c r="R2525" s="3" t="n">
        <f aca="false">IF(AND(Q2525=1,B2525-_xlfn.MINIFS($B$2:$B$2705,$A$2:$A$2705,A2525)&lt;10),1,0)</f>
        <v>0</v>
      </c>
      <c r="S2525" s="7" t="n">
        <v>0</v>
      </c>
      <c r="T2525" s="3" t="n">
        <f aca="false">_xlfn.MINIFS($B$2:$B$2705,$A$2:$A$2705,A2525)</f>
        <v>1969</v>
      </c>
      <c r="U2525" s="3" t="n">
        <f aca="false">B2525-T2525</f>
        <v>50</v>
      </c>
      <c r="V2525" s="3" t="str">
        <f aca="false">INDEX(Pop_Inputs!$Q$2:$Q$29,MATCH(C2525,Pop_Inputs!$A$2:$A$29,0))</f>
        <v>South</v>
      </c>
      <c r="W2525" s="29" t="n">
        <v>161874927</v>
      </c>
      <c r="X2525" s="3" t="n">
        <f aca="false">IF(W2525="","",LN(W2525))</f>
        <v>18.9023345394527</v>
      </c>
      <c r="Y2525" s="3" t="n">
        <f aca="false">IF(X2525="","",X2525-AVERAGEIFS($X$2:$X$2705,$B$2:$B$2705,B2525))</f>
        <v>0.252752924553118</v>
      </c>
      <c r="Z2525" s="21" t="n">
        <f aca="false">P2525</f>
        <v>-0.242737276022259</v>
      </c>
      <c r="AA2525" s="3" t="n">
        <f aca="false">R2525</f>
        <v>0</v>
      </c>
      <c r="AB2525" s="21" t="n">
        <f aca="false">P2525</f>
        <v>-0.242737276022259</v>
      </c>
      <c r="AC2525" s="3" t="n">
        <f aca="false">Y2525</f>
        <v>0.252752924553118</v>
      </c>
      <c r="AD2525" s="3" t="n">
        <f aca="false">R2525</f>
        <v>0</v>
      </c>
    </row>
    <row r="2526" customFormat="false" ht="15" hidden="false" customHeight="true" outlineLevel="0" collapsed="false">
      <c r="A2526" s="7" t="s">
        <v>71</v>
      </c>
      <c r="B2526" s="7" t="n">
        <v>2020</v>
      </c>
      <c r="C2526" s="7" t="s">
        <v>148</v>
      </c>
      <c r="D2526" s="7" t="n">
        <v>26</v>
      </c>
      <c r="E2526" s="7" t="n">
        <v>34</v>
      </c>
      <c r="F2526" s="3" t="n">
        <f aca="false">COUNTIFS($B$2:$B$2705,B2526,$C$2:$C$2705,C2526)</f>
        <v>2</v>
      </c>
      <c r="G2526" s="3" t="n">
        <f aca="false">MIN(INT((MIN(B2526,2020)-1900)/10)+1,12)</f>
        <v>12</v>
      </c>
      <c r="H2526" s="3" t="n">
        <f aca="false">(MIN(B2526,2020)-1900-10*(G2526-1))/10</f>
        <v>1</v>
      </c>
      <c r="I2526" s="20" t="n">
        <f aca="false">EXP(LN(INDEX(Pop_Inputs!$B$2:$N$29,MATCH(C2526,Pop_Inputs!$A$2:$A$29,0),G2526))*(1-H2526)+LN(INDEX(Pop_Inputs!$B$2:$N$29,MATCH(C2526,Pop_Inputs!$A$2:$A$29,0),G2526+1))*H2526)</f>
        <v>3898747</v>
      </c>
      <c r="J2526" s="20" t="n">
        <f aca="false">I2526/F2526</f>
        <v>1949373.5</v>
      </c>
      <c r="K2526" s="21" t="n">
        <f aca="false">D2526/(D2526+E2526)</f>
        <v>0.433333333333333</v>
      </c>
      <c r="L2526" s="21" t="n">
        <f aca="false">AVERAGEIFS($K$2:$K$2705,$B$2:$B$2705,B2526)</f>
        <v>0.499904214559387</v>
      </c>
      <c r="M2526" s="21" t="n">
        <f aca="false">K2526-L2526</f>
        <v>-0.0665708812260537</v>
      </c>
      <c r="N2526" s="21" t="n">
        <f aca="false">LN(J2526)</f>
        <v>14.4830185968665</v>
      </c>
      <c r="O2526" s="21" t="n">
        <f aca="false">AVERAGEIFS($N$2:$N$2705,$B$2:$B$2705,B2526)</f>
        <v>13.6790216080491</v>
      </c>
      <c r="P2526" s="21" t="n">
        <f aca="false">N2526-O2526</f>
        <v>0.80399698881741</v>
      </c>
      <c r="Q2526" s="7" t="n">
        <v>1</v>
      </c>
      <c r="R2526" s="3" t="n">
        <f aca="false">IF(AND(Q2526=1,B2526-_xlfn.MINIFS($B$2:$B$2705,$A$2:$A$2705,A2526)&lt;10),1,0)</f>
        <v>0</v>
      </c>
      <c r="S2526" s="7" t="n">
        <v>0</v>
      </c>
      <c r="T2526" s="3" t="n">
        <f aca="false">_xlfn.MINIFS($B$2:$B$2705,$A$2:$A$2705,A2526)</f>
        <v>1961</v>
      </c>
      <c r="U2526" s="3" t="n">
        <f aca="false">B2526-T2526</f>
        <v>59</v>
      </c>
      <c r="V2526" s="3" t="str">
        <f aca="false">INDEX(Pop_Inputs!$Q$2:$Q$29,MATCH(C2526,Pop_Inputs!$A$2:$A$29,0))</f>
        <v>West</v>
      </c>
      <c r="W2526" s="29" t="n">
        <v>69858103</v>
      </c>
      <c r="X2526" s="3" t="n">
        <f aca="false">IF(W2526="","",LN(W2526))</f>
        <v>18.0619766426657</v>
      </c>
      <c r="Y2526" s="3" t="n">
        <f aca="false">IF(X2526="","",X2526-AVERAGEIFS($X$2:$X$2705,$B$2:$B$2705,B2526))</f>
        <v>0.243476353510044</v>
      </c>
      <c r="Z2526" s="21" t="n">
        <f aca="false">P2526</f>
        <v>0.80399698881741</v>
      </c>
      <c r="AA2526" s="3" t="n">
        <f aca="false">R2526</f>
        <v>0</v>
      </c>
      <c r="AB2526" s="21" t="n">
        <f aca="false">P2526</f>
        <v>0.80399698881741</v>
      </c>
      <c r="AC2526" s="3" t="n">
        <f aca="false">Y2526</f>
        <v>0.243476353510044</v>
      </c>
      <c r="AD2526" s="3" t="n">
        <f aca="false">R2526</f>
        <v>0</v>
      </c>
    </row>
    <row r="2527" customFormat="false" ht="15" hidden="false" customHeight="true" outlineLevel="0" collapsed="false">
      <c r="A2527" s="7" t="s">
        <v>84</v>
      </c>
      <c r="B2527" s="7" t="n">
        <v>2020</v>
      </c>
      <c r="C2527" s="7" t="s">
        <v>165</v>
      </c>
      <c r="D2527" s="7" t="n">
        <v>25</v>
      </c>
      <c r="E2527" s="7" t="n">
        <v>35</v>
      </c>
      <c r="F2527" s="3" t="n">
        <f aca="false">COUNTIFS($B$2:$B$2705,B2527,$C$2:$C$2705,C2527)</f>
        <v>1</v>
      </c>
      <c r="G2527" s="3" t="n">
        <f aca="false">MIN(INT((MIN(B2527,2020)-1900)/10)+1,12)</f>
        <v>12</v>
      </c>
      <c r="H2527" s="3" t="n">
        <f aca="false">(MIN(B2527,2020)-1900-10*(G2527-1))/10</f>
        <v>1</v>
      </c>
      <c r="I2527" s="20" t="n">
        <f aca="false">EXP(LN(INDEX(Pop_Inputs!$B$2:$N$29,MATCH(C2527,Pop_Inputs!$A$2:$A$29,0),G2527))*(1-H2527)+LN(INDEX(Pop_Inputs!$B$2:$N$29,MATCH(C2527,Pop_Inputs!$A$2:$A$29,0),G2527+1))*H2527)</f>
        <v>1608139</v>
      </c>
      <c r="J2527" s="20" t="n">
        <f aca="false">I2527/F2527</f>
        <v>1608139</v>
      </c>
      <c r="K2527" s="21" t="n">
        <f aca="false">D2527/(D2527+E2527)</f>
        <v>0.416666666666667</v>
      </c>
      <c r="L2527" s="21" t="n">
        <f aca="false">AVERAGEIFS($K$2:$K$2705,$B$2:$B$2705,B2527)</f>
        <v>0.499904214559387</v>
      </c>
      <c r="M2527" s="21" t="n">
        <f aca="false">K2527-L2527</f>
        <v>-0.0832375478927203</v>
      </c>
      <c r="N2527" s="21" t="n">
        <f aca="false">LN(J2527)</f>
        <v>14.2905881677712</v>
      </c>
      <c r="O2527" s="21" t="n">
        <f aca="false">AVERAGEIFS($N$2:$N$2705,$B$2:$B$2705,B2527)</f>
        <v>13.6790216080491</v>
      </c>
      <c r="P2527" s="21" t="n">
        <f aca="false">N2527-O2527</f>
        <v>0.611566559722055</v>
      </c>
      <c r="Q2527" s="7" t="n">
        <v>1</v>
      </c>
      <c r="R2527" s="3" t="n">
        <f aca="false">IF(AND(Q2527=1,B2527-_xlfn.MINIFS($B$2:$B$2705,$A$2:$A$2705,A2527)&lt;10),1,0)</f>
        <v>0</v>
      </c>
      <c r="S2527" s="7" t="n">
        <v>0</v>
      </c>
      <c r="T2527" s="3" t="n">
        <f aca="false">_xlfn.MINIFS($B$2:$B$2705,$A$2:$A$2705,A2527)</f>
        <v>1998</v>
      </c>
      <c r="U2527" s="3" t="n">
        <f aca="false">B2527-T2527</f>
        <v>22</v>
      </c>
      <c r="V2527" s="3" t="str">
        <f aca="false">INDEX(Pop_Inputs!$Q$2:$Q$29,MATCH(C2527,Pop_Inputs!$A$2:$A$29,0))</f>
        <v>West</v>
      </c>
      <c r="W2527" s="29" t="n">
        <v>40297203</v>
      </c>
      <c r="X2527" s="3" t="n">
        <f aca="false">IF(W2527="","",LN(W2527))</f>
        <v>17.5117926200418</v>
      </c>
      <c r="Y2527" s="3" t="n">
        <f aca="false">IF(X2527="","",X2527-AVERAGEIFS($X$2:$X$2705,$B$2:$B$2705,B2527))</f>
        <v>-0.306707669113806</v>
      </c>
      <c r="Z2527" s="21" t="n">
        <f aca="false">P2527</f>
        <v>0.611566559722055</v>
      </c>
      <c r="AA2527" s="3" t="n">
        <f aca="false">R2527</f>
        <v>0</v>
      </c>
      <c r="AB2527" s="21" t="n">
        <f aca="false">P2527</f>
        <v>0.611566559722055</v>
      </c>
      <c r="AC2527" s="3" t="n">
        <f aca="false">Y2527</f>
        <v>-0.306707669113806</v>
      </c>
      <c r="AD2527" s="3" t="n">
        <f aca="false">R2527</f>
        <v>0</v>
      </c>
    </row>
    <row r="2528" customFormat="false" ht="15" hidden="false" customHeight="true" outlineLevel="0" collapsed="false">
      <c r="A2528" s="7" t="s">
        <v>54</v>
      </c>
      <c r="B2528" s="7" t="n">
        <v>2020</v>
      </c>
      <c r="C2528" s="7" t="s">
        <v>141</v>
      </c>
      <c r="D2528" s="7" t="n">
        <v>35</v>
      </c>
      <c r="E2528" s="7" t="n">
        <v>25</v>
      </c>
      <c r="F2528" s="3" t="n">
        <f aca="false">COUNTIFS($B$2:$B$2705,B2528,$C$2:$C$2705,C2528)</f>
        <v>1</v>
      </c>
      <c r="G2528" s="3" t="n">
        <f aca="false">MIN(INT((MIN(B2528,2020)-1900)/10)+1,12)</f>
        <v>12</v>
      </c>
      <c r="H2528" s="3" t="n">
        <f aca="false">(MIN(B2528,2020)-1900-10*(G2528-1))/10</f>
        <v>1</v>
      </c>
      <c r="I2528" s="20" t="n">
        <f aca="false">EXP(LN(INDEX(Pop_Inputs!$B$2:$N$29,MATCH(C2528,Pop_Inputs!$A$2:$A$29,0),G2528))*(1-H2528)+LN(INDEX(Pop_Inputs!$B$2:$N$29,MATCH(C2528,Pop_Inputs!$A$2:$A$29,0),G2528+1))*H2528)</f>
        <v>498715</v>
      </c>
      <c r="J2528" s="20" t="n">
        <f aca="false">I2528/F2528</f>
        <v>498715</v>
      </c>
      <c r="K2528" s="21" t="n">
        <f aca="false">D2528/(D2528+E2528)</f>
        <v>0.583333333333333</v>
      </c>
      <c r="L2528" s="21" t="n">
        <f aca="false">AVERAGEIFS($K$2:$K$2705,$B$2:$B$2705,B2528)</f>
        <v>0.499904214559387</v>
      </c>
      <c r="M2528" s="21" t="n">
        <f aca="false">K2528-L2528</f>
        <v>0.0834291187739464</v>
      </c>
      <c r="N2528" s="21" t="n">
        <f aca="false">LN(J2528)</f>
        <v>13.1197900692852</v>
      </c>
      <c r="O2528" s="21" t="n">
        <f aca="false">AVERAGEIFS($N$2:$N$2705,$B$2:$B$2705,B2528)</f>
        <v>13.6790216080491</v>
      </c>
      <c r="P2528" s="21" t="n">
        <f aca="false">N2528-O2528</f>
        <v>-0.5592315387639</v>
      </c>
      <c r="Q2528" s="7" t="n">
        <v>0</v>
      </c>
      <c r="R2528" s="3" t="n">
        <f aca="false">IF(AND(Q2528=1,B2528-_xlfn.MINIFS($B$2:$B$2705,$A$2:$A$2705,A2528)&lt;10),1,0)</f>
        <v>0</v>
      </c>
      <c r="S2528" s="7" t="n">
        <v>0</v>
      </c>
      <c r="T2528" s="3" t="n">
        <f aca="false">_xlfn.MINIFS($B$2:$B$2705,$A$2:$A$2705,A2528)</f>
        <v>1901</v>
      </c>
      <c r="U2528" s="3" t="n">
        <f aca="false">B2528-T2528</f>
        <v>119</v>
      </c>
      <c r="V2528" s="3" t="str">
        <f aca="false">INDEX(Pop_Inputs!$Q$2:$Q$29,MATCH(C2528,Pop_Inputs!$A$2:$A$29,0))</f>
        <v>South</v>
      </c>
      <c r="W2528" s="29" t="n">
        <v>62896993</v>
      </c>
      <c r="X2528" s="3" t="n">
        <f aca="false">IF(W2528="","",LN(W2528))</f>
        <v>17.9570089144866</v>
      </c>
      <c r="Y2528" s="3" t="n">
        <f aca="false">IF(X2528="","",X2528-AVERAGEIFS($X$2:$X$2705,$B$2:$B$2705,B2528))</f>
        <v>0.138508625330974</v>
      </c>
      <c r="Z2528" s="21" t="n">
        <f aca="false">P2528</f>
        <v>-0.5592315387639</v>
      </c>
      <c r="AA2528" s="3" t="n">
        <f aca="false">R2528</f>
        <v>0</v>
      </c>
      <c r="AB2528" s="21" t="n">
        <f aca="false">P2528</f>
        <v>-0.5592315387639</v>
      </c>
      <c r="AC2528" s="3" t="n">
        <f aca="false">Y2528</f>
        <v>0.138508625330974</v>
      </c>
      <c r="AD2528" s="3" t="n">
        <f aca="false">R2528</f>
        <v>0</v>
      </c>
    </row>
    <row r="2529" customFormat="false" ht="15" hidden="false" customHeight="true" outlineLevel="0" collapsed="false">
      <c r="A2529" s="7" t="s">
        <v>63</v>
      </c>
      <c r="B2529" s="7" t="n">
        <v>2020</v>
      </c>
      <c r="C2529" s="7" t="s">
        <v>149</v>
      </c>
      <c r="D2529" s="7" t="n">
        <v>25</v>
      </c>
      <c r="E2529" s="7" t="n">
        <v>35</v>
      </c>
      <c r="F2529" s="3" t="n">
        <f aca="false">COUNTIFS($B$2:$B$2705,B2529,$C$2:$C$2705,C2529)</f>
        <v>1</v>
      </c>
      <c r="G2529" s="3" t="n">
        <f aca="false">MIN(INT((MIN(B2529,2020)-1900)/10)+1,12)</f>
        <v>12</v>
      </c>
      <c r="H2529" s="3" t="n">
        <f aca="false">(MIN(B2529,2020)-1900-10*(G2529-1))/10</f>
        <v>1</v>
      </c>
      <c r="I2529" s="20" t="n">
        <f aca="false">EXP(LN(INDEX(Pop_Inputs!$B$2:$N$29,MATCH(C2529,Pop_Inputs!$A$2:$A$29,0),G2529))*(1-H2529)+LN(INDEX(Pop_Inputs!$B$2:$N$29,MATCH(C2529,Pop_Inputs!$A$2:$A$29,0),G2529+1))*H2529)</f>
        <v>585708.000000001</v>
      </c>
      <c r="J2529" s="20" t="n">
        <f aca="false">I2529/F2529</f>
        <v>585708.000000001</v>
      </c>
      <c r="K2529" s="21" t="n">
        <f aca="false">D2529/(D2529+E2529)</f>
        <v>0.416666666666667</v>
      </c>
      <c r="L2529" s="21" t="n">
        <f aca="false">AVERAGEIFS($K$2:$K$2705,$B$2:$B$2705,B2529)</f>
        <v>0.499904214559387</v>
      </c>
      <c r="M2529" s="21" t="n">
        <f aca="false">K2529-L2529</f>
        <v>-0.0832375478927203</v>
      </c>
      <c r="N2529" s="21" t="n">
        <f aca="false">LN(J2529)</f>
        <v>13.2805766508543</v>
      </c>
      <c r="O2529" s="21" t="n">
        <f aca="false">AVERAGEIFS($N$2:$N$2705,$B$2:$B$2705,B2529)</f>
        <v>13.6790216080491</v>
      </c>
      <c r="P2529" s="21" t="n">
        <f aca="false">N2529-O2529</f>
        <v>-0.39844495719478</v>
      </c>
      <c r="Q2529" s="7" t="n">
        <v>0</v>
      </c>
      <c r="R2529" s="3" t="n">
        <f aca="false">IF(AND(Q2529=1,B2529-_xlfn.MINIFS($B$2:$B$2705,$A$2:$A$2705,A2529)&lt;10),1,0)</f>
        <v>0</v>
      </c>
      <c r="S2529" s="7" t="n">
        <v>0</v>
      </c>
      <c r="T2529" s="3" t="n">
        <f aca="false">_xlfn.MINIFS($B$2:$B$2705,$A$2:$A$2705,A2529)</f>
        <v>1901</v>
      </c>
      <c r="U2529" s="3" t="n">
        <f aca="false">B2529-T2529</f>
        <v>119</v>
      </c>
      <c r="V2529" s="3" t="str">
        <f aca="false">INDEX(Pop_Inputs!$Q$2:$Q$29,MATCH(C2529,Pop_Inputs!$A$2:$A$29,0))</f>
        <v>South</v>
      </c>
      <c r="W2529" s="29" t="n">
        <v>23487072</v>
      </c>
      <c r="X2529" s="3" t="n">
        <f aca="false">IF(W2529="","",LN(W2529))</f>
        <v>16.9719607000791</v>
      </c>
      <c r="Y2529" s="3" t="n">
        <f aca="false">IF(X2529="","",X2529-AVERAGEIFS($X$2:$X$2705,$B$2:$B$2705,B2529))</f>
        <v>-0.846539589076542</v>
      </c>
      <c r="Z2529" s="21" t="n">
        <f aca="false">P2529</f>
        <v>-0.39844495719478</v>
      </c>
      <c r="AA2529" s="3" t="n">
        <f aca="false">R2529</f>
        <v>0</v>
      </c>
      <c r="AB2529" s="21" t="n">
        <f aca="false">P2529</f>
        <v>-0.39844495719478</v>
      </c>
      <c r="AC2529" s="3" t="n">
        <f aca="false">Y2529</f>
        <v>-0.846539589076542</v>
      </c>
      <c r="AD2529" s="3" t="n">
        <f aca="false">R2529</f>
        <v>0</v>
      </c>
    </row>
    <row r="2530" customFormat="false" ht="15" hidden="false" customHeight="true" outlineLevel="0" collapsed="false">
      <c r="A2530" s="7" t="s">
        <v>64</v>
      </c>
      <c r="B2530" s="7" t="n">
        <v>2020</v>
      </c>
      <c r="C2530" s="7" t="s">
        <v>150</v>
      </c>
      <c r="D2530" s="7" t="n">
        <v>24</v>
      </c>
      <c r="E2530" s="7" t="n">
        <v>36</v>
      </c>
      <c r="F2530" s="3" t="n">
        <f aca="false">COUNTIFS($B$2:$B$2705,B2530,$C$2:$C$2705,C2530)</f>
        <v>1</v>
      </c>
      <c r="G2530" s="3" t="n">
        <f aca="false">MIN(INT((MIN(B2530,2020)-1900)/10)+1,12)</f>
        <v>12</v>
      </c>
      <c r="H2530" s="3" t="n">
        <f aca="false">(MIN(B2530,2020)-1900-10*(G2530-1))/10</f>
        <v>1</v>
      </c>
      <c r="I2530" s="20" t="n">
        <f aca="false">EXP(LN(INDEX(Pop_Inputs!$B$2:$N$29,MATCH(C2530,Pop_Inputs!$A$2:$A$29,0),G2530))*(1-H2530)+LN(INDEX(Pop_Inputs!$B$2:$N$29,MATCH(C2530,Pop_Inputs!$A$2:$A$29,0),G2530+1))*H2530)</f>
        <v>675647.000000001</v>
      </c>
      <c r="J2530" s="20" t="n">
        <f aca="false">I2530/F2530</f>
        <v>675647.000000001</v>
      </c>
      <c r="K2530" s="21" t="n">
        <f aca="false">D2530/(D2530+E2530)</f>
        <v>0.4</v>
      </c>
      <c r="L2530" s="21" t="n">
        <f aca="false">AVERAGEIFS($K$2:$K$2705,$B$2:$B$2705,B2530)</f>
        <v>0.499904214559387</v>
      </c>
      <c r="M2530" s="21" t="n">
        <f aca="false">K2530-L2530</f>
        <v>-0.099904214559387</v>
      </c>
      <c r="N2530" s="21" t="n">
        <f aca="false">LN(J2530)</f>
        <v>13.4234260292876</v>
      </c>
      <c r="O2530" s="21" t="n">
        <f aca="false">AVERAGEIFS($N$2:$N$2705,$B$2:$B$2705,B2530)</f>
        <v>13.6790216080491</v>
      </c>
      <c r="P2530" s="21" t="n">
        <f aca="false">N2530-O2530</f>
        <v>-0.255595578761453</v>
      </c>
      <c r="Q2530" s="7" t="n">
        <v>0</v>
      </c>
      <c r="R2530" s="3" t="n">
        <f aca="false">IF(AND(Q2530=1,B2530-_xlfn.MINIFS($B$2:$B$2705,$A$2:$A$2705,A2530)&lt;10),1,0)</f>
        <v>0</v>
      </c>
      <c r="S2530" s="7" t="n">
        <v>0</v>
      </c>
      <c r="T2530" s="3" t="n">
        <f aca="false">_xlfn.MINIFS($B$2:$B$2705,$A$2:$A$2705,A2530)</f>
        <v>1901</v>
      </c>
      <c r="U2530" s="3" t="n">
        <f aca="false">B2530-T2530</f>
        <v>119</v>
      </c>
      <c r="V2530" s="3" t="str">
        <f aca="false">INDEX(Pop_Inputs!$Q$2:$Q$29,MATCH(C2530,Pop_Inputs!$A$2:$A$29,0))</f>
        <v>Northeast</v>
      </c>
      <c r="W2530" s="29" t="n">
        <v>64338341</v>
      </c>
      <c r="X2530" s="3" t="n">
        <f aca="false">IF(W2530="","",LN(W2530))</f>
        <v>17.97966629455</v>
      </c>
      <c r="Y2530" s="3" t="n">
        <f aca="false">IF(X2530="","",X2530-AVERAGEIFS($X$2:$X$2705,$B$2:$B$2705,B2530))</f>
        <v>0.161166005394346</v>
      </c>
      <c r="Z2530" s="21" t="n">
        <f aca="false">P2530</f>
        <v>-0.255595578761453</v>
      </c>
      <c r="AA2530" s="3" t="n">
        <f aca="false">R2530</f>
        <v>0</v>
      </c>
      <c r="AB2530" s="21" t="n">
        <f aca="false">P2530</f>
        <v>-0.255595578761453</v>
      </c>
      <c r="AC2530" s="3" t="n">
        <f aca="false">Y2530</f>
        <v>0.161166005394346</v>
      </c>
      <c r="AD2530" s="3" t="n">
        <f aca="false">R2530</f>
        <v>0</v>
      </c>
    </row>
    <row r="2531" customFormat="false" ht="15" hidden="false" customHeight="true" outlineLevel="0" collapsed="false">
      <c r="A2531" s="7" t="s">
        <v>56</v>
      </c>
      <c r="B2531" s="7" t="n">
        <v>2020</v>
      </c>
      <c r="C2531" s="7" t="s">
        <v>142</v>
      </c>
      <c r="D2531" s="7" t="n">
        <v>34</v>
      </c>
      <c r="E2531" s="7" t="n">
        <v>26</v>
      </c>
      <c r="F2531" s="3" t="n">
        <f aca="false">COUNTIFS($B$2:$B$2705,B2531,$C$2:$C$2705,C2531)</f>
        <v>2</v>
      </c>
      <c r="G2531" s="3" t="n">
        <f aca="false">MIN(INT((MIN(B2531,2020)-1900)/10)+1,12)</f>
        <v>12</v>
      </c>
      <c r="H2531" s="3" t="n">
        <f aca="false">(MIN(B2531,2020)-1900-10*(G2531-1))/10</f>
        <v>1</v>
      </c>
      <c r="I2531" s="20" t="n">
        <f aca="false">EXP(LN(INDEX(Pop_Inputs!$B$2:$N$29,MATCH(C2531,Pop_Inputs!$A$2:$A$29,0),G2531))*(1-H2531)+LN(INDEX(Pop_Inputs!$B$2:$N$29,MATCH(C2531,Pop_Inputs!$A$2:$A$29,0),G2531+1))*H2531)</f>
        <v>2746388</v>
      </c>
      <c r="J2531" s="20" t="n">
        <f aca="false">I2531/F2531</f>
        <v>1373194</v>
      </c>
      <c r="K2531" s="21" t="n">
        <f aca="false">D2531/(D2531+E2531)</f>
        <v>0.566666666666667</v>
      </c>
      <c r="L2531" s="21" t="n">
        <f aca="false">AVERAGEIFS($K$2:$K$2705,$B$2:$B$2705,B2531)</f>
        <v>0.499904214559387</v>
      </c>
      <c r="M2531" s="21" t="n">
        <f aca="false">K2531-L2531</f>
        <v>0.0667624521072797</v>
      </c>
      <c r="N2531" s="21" t="n">
        <f aca="false">LN(J2531)</f>
        <v>14.1326499711999</v>
      </c>
      <c r="O2531" s="21" t="n">
        <f aca="false">AVERAGEIFS($N$2:$N$2705,$B$2:$B$2705,B2531)</f>
        <v>13.6790216080491</v>
      </c>
      <c r="P2531" s="21" t="n">
        <f aca="false">N2531-O2531</f>
        <v>0.453628363150779</v>
      </c>
      <c r="Q2531" s="7" t="n">
        <v>0</v>
      </c>
      <c r="R2531" s="3" t="n">
        <f aca="false">IF(AND(Q2531=1,B2531-_xlfn.MINIFS($B$2:$B$2705,$A$2:$A$2705,A2531)&lt;10),1,0)</f>
        <v>0</v>
      </c>
      <c r="S2531" s="7" t="n">
        <v>0</v>
      </c>
      <c r="T2531" s="3" t="n">
        <f aca="false">_xlfn.MINIFS($B$2:$B$2705,$A$2:$A$2705,A2531)</f>
        <v>1901</v>
      </c>
      <c r="U2531" s="3" t="n">
        <f aca="false">B2531-T2531</f>
        <v>119</v>
      </c>
      <c r="V2531" s="3" t="str">
        <f aca="false">INDEX(Pop_Inputs!$Q$2:$Q$29,MATCH(C2531,Pop_Inputs!$A$2:$A$29,0))</f>
        <v>Midwest</v>
      </c>
      <c r="W2531" s="29" t="n">
        <v>80584972</v>
      </c>
      <c r="X2531" s="3" t="n">
        <f aca="false">IF(W2531="","",LN(W2531))</f>
        <v>18.2048227384797</v>
      </c>
      <c r="Y2531" s="3" t="n">
        <f aca="false">IF(X2531="","",X2531-AVERAGEIFS($X$2:$X$2705,$B$2:$B$2705,B2531))</f>
        <v>0.386322449324076</v>
      </c>
      <c r="Z2531" s="21" t="n">
        <f aca="false">P2531</f>
        <v>0.453628363150779</v>
      </c>
      <c r="AA2531" s="3" t="n">
        <f aca="false">R2531</f>
        <v>0</v>
      </c>
      <c r="AB2531" s="21" t="n">
        <f aca="false">P2531</f>
        <v>0.453628363150779</v>
      </c>
      <c r="AC2531" s="3" t="n">
        <f aca="false">Y2531</f>
        <v>0.386322449324076</v>
      </c>
      <c r="AD2531" s="3" t="n">
        <f aca="false">R2531</f>
        <v>0</v>
      </c>
    </row>
    <row r="2532" customFormat="false" ht="15" hidden="false" customHeight="true" outlineLevel="0" collapsed="false">
      <c r="A2532" s="7" t="s">
        <v>65</v>
      </c>
      <c r="B2532" s="7" t="n">
        <v>2020</v>
      </c>
      <c r="C2532" s="7" t="s">
        <v>142</v>
      </c>
      <c r="D2532" s="7" t="n">
        <v>35</v>
      </c>
      <c r="E2532" s="7" t="n">
        <v>25</v>
      </c>
      <c r="F2532" s="3" t="n">
        <f aca="false">COUNTIFS($B$2:$B$2705,B2532,$C$2:$C$2705,C2532)</f>
        <v>2</v>
      </c>
      <c r="G2532" s="3" t="n">
        <f aca="false">MIN(INT((MIN(B2532,2020)-1900)/10)+1,12)</f>
        <v>12</v>
      </c>
      <c r="H2532" s="3" t="n">
        <f aca="false">(MIN(B2532,2020)-1900-10*(G2532-1))/10</f>
        <v>1</v>
      </c>
      <c r="I2532" s="20" t="n">
        <f aca="false">EXP(LN(INDEX(Pop_Inputs!$B$2:$N$29,MATCH(C2532,Pop_Inputs!$A$2:$A$29,0),G2532))*(1-H2532)+LN(INDEX(Pop_Inputs!$B$2:$N$29,MATCH(C2532,Pop_Inputs!$A$2:$A$29,0),G2532+1))*H2532)</f>
        <v>2746388</v>
      </c>
      <c r="J2532" s="20" t="n">
        <f aca="false">I2532/F2532</f>
        <v>1373194</v>
      </c>
      <c r="K2532" s="21" t="n">
        <f aca="false">D2532/(D2532+E2532)</f>
        <v>0.583333333333333</v>
      </c>
      <c r="L2532" s="21" t="n">
        <f aca="false">AVERAGEIFS($K$2:$K$2705,$B$2:$B$2705,B2532)</f>
        <v>0.499904214559387</v>
      </c>
      <c r="M2532" s="21" t="n">
        <f aca="false">K2532-L2532</f>
        <v>0.0834291187739464</v>
      </c>
      <c r="N2532" s="21" t="n">
        <f aca="false">LN(J2532)</f>
        <v>14.1326499711999</v>
      </c>
      <c r="O2532" s="21" t="n">
        <f aca="false">AVERAGEIFS($N$2:$N$2705,$B$2:$B$2705,B2532)</f>
        <v>13.6790216080491</v>
      </c>
      <c r="P2532" s="21" t="n">
        <f aca="false">N2532-O2532</f>
        <v>0.453628363150779</v>
      </c>
      <c r="Q2532" s="7" t="n">
        <v>0</v>
      </c>
      <c r="R2532" s="3" t="n">
        <f aca="false">IF(AND(Q2532=1,B2532-_xlfn.MINIFS($B$2:$B$2705,$A$2:$A$2705,A2532)&lt;10),1,0)</f>
        <v>0</v>
      </c>
      <c r="S2532" s="7" t="n">
        <v>0</v>
      </c>
      <c r="T2532" s="3" t="n">
        <f aca="false">_xlfn.MINIFS($B$2:$B$2705,$A$2:$A$2705,A2532)</f>
        <v>1901</v>
      </c>
      <c r="U2532" s="3" t="n">
        <f aca="false">B2532-T2532</f>
        <v>119</v>
      </c>
      <c r="V2532" s="3" t="str">
        <f aca="false">INDEX(Pop_Inputs!$Q$2:$Q$29,MATCH(C2532,Pop_Inputs!$A$2:$A$29,0))</f>
        <v>Midwest</v>
      </c>
      <c r="W2532" s="29" t="n">
        <v>52591640</v>
      </c>
      <c r="X2532" s="3" t="n">
        <f aca="false">IF(W2532="","",LN(W2532))</f>
        <v>17.7780677297152</v>
      </c>
      <c r="Y2532" s="3" t="n">
        <f aca="false">IF(X2532="","",X2532-AVERAGEIFS($X$2:$X$2705,$B$2:$B$2705,B2532))</f>
        <v>-0.0404325594404575</v>
      </c>
      <c r="Z2532" s="21" t="n">
        <f aca="false">P2532</f>
        <v>0.453628363150779</v>
      </c>
      <c r="AA2532" s="3" t="n">
        <f aca="false">R2532</f>
        <v>0</v>
      </c>
      <c r="AB2532" s="21" t="n">
        <f aca="false">P2532</f>
        <v>0.453628363150779</v>
      </c>
      <c r="AC2532" s="3" t="n">
        <f aca="false">Y2532</f>
        <v>-0.0404325594404575</v>
      </c>
      <c r="AD2532" s="3" t="n">
        <f aca="false">R2532</f>
        <v>0</v>
      </c>
    </row>
    <row r="2533" customFormat="false" ht="15" hidden="false" customHeight="true" outlineLevel="0" collapsed="false">
      <c r="A2533" s="7" t="s">
        <v>57</v>
      </c>
      <c r="B2533" s="7" t="n">
        <v>2020</v>
      </c>
      <c r="C2533" s="7" t="s">
        <v>143</v>
      </c>
      <c r="D2533" s="7" t="n">
        <v>31</v>
      </c>
      <c r="E2533" s="7" t="n">
        <v>29</v>
      </c>
      <c r="F2533" s="3" t="n">
        <f aca="false">COUNTIFS($B$2:$B$2705,B2533,$C$2:$C$2705,C2533)</f>
        <v>1</v>
      </c>
      <c r="G2533" s="3" t="n">
        <f aca="false">MIN(INT((MIN(B2533,2020)-1900)/10)+1,12)</f>
        <v>12</v>
      </c>
      <c r="H2533" s="3" t="n">
        <f aca="false">(MIN(B2533,2020)-1900-10*(G2533-1))/10</f>
        <v>1</v>
      </c>
      <c r="I2533" s="20" t="n">
        <f aca="false">EXP(LN(INDEX(Pop_Inputs!$B$2:$N$29,MATCH(C2533,Pop_Inputs!$A$2:$A$29,0),G2533))*(1-H2533)+LN(INDEX(Pop_Inputs!$B$2:$N$29,MATCH(C2533,Pop_Inputs!$A$2:$A$29,0),G2533+1))*H2533)</f>
        <v>309317</v>
      </c>
      <c r="J2533" s="20" t="n">
        <f aca="false">I2533/F2533</f>
        <v>309317</v>
      </c>
      <c r="K2533" s="21" t="n">
        <f aca="false">D2533/(D2533+E2533)</f>
        <v>0.516666666666667</v>
      </c>
      <c r="L2533" s="21" t="n">
        <f aca="false">AVERAGEIFS($K$2:$K$2705,$B$2:$B$2705,B2533)</f>
        <v>0.499904214559387</v>
      </c>
      <c r="M2533" s="21" t="n">
        <f aca="false">K2533-L2533</f>
        <v>0.0167624521072797</v>
      </c>
      <c r="N2533" s="21" t="n">
        <f aca="false">LN(J2533)</f>
        <v>12.642121919982</v>
      </c>
      <c r="O2533" s="21" t="n">
        <f aca="false">AVERAGEIFS($N$2:$N$2705,$B$2:$B$2705,B2533)</f>
        <v>13.6790216080491</v>
      </c>
      <c r="P2533" s="21" t="n">
        <f aca="false">N2533-O2533</f>
        <v>-1.03689968806707</v>
      </c>
      <c r="Q2533" s="7" t="n">
        <v>0</v>
      </c>
      <c r="R2533" s="3" t="n">
        <f aca="false">IF(AND(Q2533=1,B2533-_xlfn.MINIFS($B$2:$B$2705,$A$2:$A$2705,A2533)&lt;10),1,0)</f>
        <v>0</v>
      </c>
      <c r="S2533" s="7" t="n">
        <v>0</v>
      </c>
      <c r="T2533" s="3" t="n">
        <f aca="false">_xlfn.MINIFS($B$2:$B$2705,$A$2:$A$2705,A2533)</f>
        <v>1901</v>
      </c>
      <c r="U2533" s="3" t="n">
        <f aca="false">B2533-T2533</f>
        <v>119</v>
      </c>
      <c r="V2533" s="3" t="str">
        <f aca="false">INDEX(Pop_Inputs!$Q$2:$Q$29,MATCH(C2533,Pop_Inputs!$A$2:$A$29,0))</f>
        <v>Midwest</v>
      </c>
      <c r="W2533" s="29" t="n">
        <v>57693627</v>
      </c>
      <c r="X2533" s="3" t="n">
        <f aca="false">IF(W2533="","",LN(W2533))</f>
        <v>17.8706572747716</v>
      </c>
      <c r="Y2533" s="3" t="n">
        <f aca="false">IF(X2533="","",X2533-AVERAGEIFS($X$2:$X$2705,$B$2:$B$2705,B2533))</f>
        <v>0.0521569856160085</v>
      </c>
      <c r="Z2533" s="21" t="n">
        <f aca="false">P2533</f>
        <v>-1.03689968806707</v>
      </c>
      <c r="AA2533" s="3" t="n">
        <f aca="false">R2533</f>
        <v>0</v>
      </c>
      <c r="AB2533" s="21" t="n">
        <f aca="false">P2533</f>
        <v>-1.03689968806707</v>
      </c>
      <c r="AC2533" s="3" t="n">
        <f aca="false">Y2533</f>
        <v>0.0521569856160085</v>
      </c>
      <c r="AD2533" s="3" t="n">
        <f aca="false">R2533</f>
        <v>0</v>
      </c>
    </row>
    <row r="2534" customFormat="false" ht="15" hidden="false" customHeight="true" outlineLevel="0" collapsed="false">
      <c r="A2534" s="7" t="s">
        <v>66</v>
      </c>
      <c r="B2534" s="7" t="n">
        <v>2020</v>
      </c>
      <c r="C2534" s="7" t="s">
        <v>151</v>
      </c>
      <c r="D2534" s="7" t="n">
        <v>35</v>
      </c>
      <c r="E2534" s="7" t="n">
        <v>25</v>
      </c>
      <c r="F2534" s="3" t="n">
        <f aca="false">COUNTIFS($B$2:$B$2705,B2534,$C$2:$C$2705,C2534)</f>
        <v>1</v>
      </c>
      <c r="G2534" s="3" t="n">
        <f aca="false">MIN(INT((MIN(B2534,2020)-1900)/10)+1,12)</f>
        <v>12</v>
      </c>
      <c r="H2534" s="3" t="n">
        <f aca="false">(MIN(B2534,2020)-1900-10*(G2534-1))/10</f>
        <v>1</v>
      </c>
      <c r="I2534" s="20" t="n">
        <f aca="false">EXP(LN(INDEX(Pop_Inputs!$B$2:$N$29,MATCH(C2534,Pop_Inputs!$A$2:$A$29,0),G2534))*(1-H2534)+LN(INDEX(Pop_Inputs!$B$2:$N$29,MATCH(C2534,Pop_Inputs!$A$2:$A$29,0),G2534+1))*H2534)</f>
        <v>372624</v>
      </c>
      <c r="J2534" s="20" t="n">
        <f aca="false">I2534/F2534</f>
        <v>372624</v>
      </c>
      <c r="K2534" s="21" t="n">
        <f aca="false">D2534/(D2534+E2534)</f>
        <v>0.583333333333333</v>
      </c>
      <c r="L2534" s="21" t="n">
        <f aca="false">AVERAGEIFS($K$2:$K$2705,$B$2:$B$2705,B2534)</f>
        <v>0.499904214559387</v>
      </c>
      <c r="M2534" s="21" t="n">
        <f aca="false">K2534-L2534</f>
        <v>0.0834291187739464</v>
      </c>
      <c r="N2534" s="21" t="n">
        <f aca="false">LN(J2534)</f>
        <v>12.8283251473136</v>
      </c>
      <c r="O2534" s="21" t="n">
        <f aca="false">AVERAGEIFS($N$2:$N$2705,$B$2:$B$2705,B2534)</f>
        <v>13.6790216080491</v>
      </c>
      <c r="P2534" s="21" t="n">
        <f aca="false">N2534-O2534</f>
        <v>-0.850696460735531</v>
      </c>
      <c r="Q2534" s="7" t="n">
        <v>0</v>
      </c>
      <c r="R2534" s="3" t="n">
        <f aca="false">IF(AND(Q2534=1,B2534-_xlfn.MINIFS($B$2:$B$2705,$A$2:$A$2705,A2534)&lt;10),1,0)</f>
        <v>0</v>
      </c>
      <c r="S2534" s="7" t="n">
        <v>0</v>
      </c>
      <c r="T2534" s="3" t="n">
        <f aca="false">_xlfn.MINIFS($B$2:$B$2705,$A$2:$A$2705,A2534)</f>
        <v>1901</v>
      </c>
      <c r="U2534" s="3" t="n">
        <f aca="false">B2534-T2534</f>
        <v>119</v>
      </c>
      <c r="V2534" s="3" t="str">
        <f aca="false">INDEX(Pop_Inputs!$Q$2:$Q$29,MATCH(C2534,Pop_Inputs!$A$2:$A$29,0))</f>
        <v>Midwest</v>
      </c>
      <c r="W2534" s="29" t="n">
        <v>36441612</v>
      </c>
      <c r="X2534" s="3" t="n">
        <f aca="false">IF(W2534="","",LN(W2534))</f>
        <v>17.4112218664797</v>
      </c>
      <c r="Y2534" s="3" t="n">
        <f aca="false">IF(X2534="","",X2534-AVERAGEIFS($X$2:$X$2705,$B$2:$B$2705,B2534))</f>
        <v>-0.40727842267593</v>
      </c>
      <c r="Z2534" s="21" t="n">
        <f aca="false">P2534</f>
        <v>-0.850696460735531</v>
      </c>
      <c r="AA2534" s="3" t="n">
        <f aca="false">R2534</f>
        <v>0</v>
      </c>
      <c r="AB2534" s="21" t="n">
        <f aca="false">P2534</f>
        <v>-0.850696460735531</v>
      </c>
      <c r="AC2534" s="3" t="n">
        <f aca="false">Y2534</f>
        <v>-0.40727842267593</v>
      </c>
      <c r="AD2534" s="3" t="n">
        <f aca="false">R2534</f>
        <v>0</v>
      </c>
    </row>
    <row r="2535" customFormat="false" ht="15" hidden="false" customHeight="true" outlineLevel="0" collapsed="false">
      <c r="A2535" s="7" t="s">
        <v>82</v>
      </c>
      <c r="B2535" s="7" t="n">
        <v>2020</v>
      </c>
      <c r="C2535" s="7" t="s">
        <v>163</v>
      </c>
      <c r="D2535" s="7" t="n">
        <v>26</v>
      </c>
      <c r="E2535" s="7" t="n">
        <v>34</v>
      </c>
      <c r="F2535" s="3" t="n">
        <f aca="false">COUNTIFS($B$2:$B$2705,B2535,$C$2:$C$2705,C2535)</f>
        <v>1</v>
      </c>
      <c r="G2535" s="3" t="n">
        <f aca="false">MIN(INT((MIN(B2535,2020)-1900)/10)+1,12)</f>
        <v>12</v>
      </c>
      <c r="H2535" s="3" t="n">
        <f aca="false">(MIN(B2535,2020)-1900-10*(G2535-1))/10</f>
        <v>1</v>
      </c>
      <c r="I2535" s="20" t="n">
        <f aca="false">EXP(LN(INDEX(Pop_Inputs!$B$2:$N$29,MATCH(C2535,Pop_Inputs!$A$2:$A$29,0),G2535))*(1-H2535)+LN(INDEX(Pop_Inputs!$B$2:$N$29,MATCH(C2535,Pop_Inputs!$A$2:$A$29,0),G2535+1))*H2535)</f>
        <v>715521.999999999</v>
      </c>
      <c r="J2535" s="20" t="n">
        <f aca="false">I2535/F2535</f>
        <v>715521.999999999</v>
      </c>
      <c r="K2535" s="21" t="n">
        <f aca="false">D2535/(D2535+E2535)</f>
        <v>0.433333333333333</v>
      </c>
      <c r="L2535" s="21" t="n">
        <f aca="false">AVERAGEIFS($K$2:$K$2705,$B$2:$B$2705,B2535)</f>
        <v>0.499904214559387</v>
      </c>
      <c r="M2535" s="21" t="n">
        <f aca="false">K2535-L2535</f>
        <v>-0.0665708812260537</v>
      </c>
      <c r="N2535" s="21" t="n">
        <f aca="false">LN(J2535)</f>
        <v>13.4807676252348</v>
      </c>
      <c r="O2535" s="21" t="n">
        <f aca="false">AVERAGEIFS($N$2:$N$2705,$B$2:$B$2705,B2535)</f>
        <v>13.6790216080491</v>
      </c>
      <c r="P2535" s="21" t="n">
        <f aca="false">N2535-O2535</f>
        <v>-0.1982539828143</v>
      </c>
      <c r="Q2535" s="7" t="n">
        <v>1</v>
      </c>
      <c r="R2535" s="3" t="n">
        <f aca="false">IF(AND(Q2535=1,B2535-_xlfn.MINIFS($B$2:$B$2705,$A$2:$A$2705,A2535)&lt;10),1,0)</f>
        <v>0</v>
      </c>
      <c r="S2535" s="7" t="n">
        <v>0</v>
      </c>
      <c r="T2535" s="3" t="n">
        <f aca="false">_xlfn.MINIFS($B$2:$B$2705,$A$2:$A$2705,A2535)</f>
        <v>1993</v>
      </c>
      <c r="U2535" s="3" t="n">
        <f aca="false">B2535-T2535</f>
        <v>27</v>
      </c>
      <c r="V2535" s="3" t="str">
        <f aca="false">INDEX(Pop_Inputs!$Q$2:$Q$29,MATCH(C2535,Pop_Inputs!$A$2:$A$29,0))</f>
        <v>West</v>
      </c>
      <c r="W2535" s="29" t="n">
        <v>57342920</v>
      </c>
      <c r="X2535" s="3" t="n">
        <f aca="false">IF(W2535="","",LN(W2535))</f>
        <v>17.864559941434</v>
      </c>
      <c r="Y2535" s="3" t="n">
        <f aca="false">IF(X2535="","",X2535-AVERAGEIFS($X$2:$X$2705,$B$2:$B$2705,B2535))</f>
        <v>0.0460596522784122</v>
      </c>
      <c r="Z2535" s="21" t="n">
        <f aca="false">P2535</f>
        <v>-0.1982539828143</v>
      </c>
      <c r="AA2535" s="3" t="n">
        <f aca="false">R2535</f>
        <v>0</v>
      </c>
      <c r="AB2535" s="21" t="n">
        <f aca="false">P2535</f>
        <v>-0.1982539828143</v>
      </c>
      <c r="AC2535" s="3" t="n">
        <f aca="false">Y2535</f>
        <v>0.0460596522784122</v>
      </c>
      <c r="AD2535" s="3" t="n">
        <f aca="false">R2535</f>
        <v>0</v>
      </c>
    </row>
    <row r="2536" customFormat="false" ht="15" hidden="false" customHeight="true" outlineLevel="0" collapsed="false">
      <c r="A2536" s="7" t="s">
        <v>67</v>
      </c>
      <c r="B2536" s="7" t="n">
        <v>2020</v>
      </c>
      <c r="C2536" s="7" t="s">
        <v>152</v>
      </c>
      <c r="D2536" s="7" t="n">
        <v>23</v>
      </c>
      <c r="E2536" s="7" t="n">
        <v>35</v>
      </c>
      <c r="F2536" s="3" t="n">
        <f aca="false">COUNTIFS($B$2:$B$2705,B2536,$C$2:$C$2705,C2536)</f>
        <v>1</v>
      </c>
      <c r="G2536" s="3" t="n">
        <f aca="false">MIN(INT((MIN(B2536,2020)-1900)/10)+1,12)</f>
        <v>12</v>
      </c>
      <c r="H2536" s="3" t="n">
        <f aca="false">(MIN(B2536,2020)-1900-10*(G2536-1))/10</f>
        <v>1</v>
      </c>
      <c r="I2536" s="20" t="n">
        <f aca="false">EXP(LN(INDEX(Pop_Inputs!$B$2:$N$29,MATCH(C2536,Pop_Inputs!$A$2:$A$29,0),G2536))*(1-H2536)+LN(INDEX(Pop_Inputs!$B$2:$N$29,MATCH(C2536,Pop_Inputs!$A$2:$A$29,0),G2536+1))*H2536)</f>
        <v>639111</v>
      </c>
      <c r="J2536" s="20" t="n">
        <f aca="false">I2536/F2536</f>
        <v>639111</v>
      </c>
      <c r="K2536" s="21" t="n">
        <f aca="false">D2536/(D2536+E2536)</f>
        <v>0.396551724137931</v>
      </c>
      <c r="L2536" s="21" t="n">
        <f aca="false">AVERAGEIFS($K$2:$K$2705,$B$2:$B$2705,B2536)</f>
        <v>0.499904214559387</v>
      </c>
      <c r="M2536" s="21" t="n">
        <f aca="false">K2536-L2536</f>
        <v>-0.103352490421456</v>
      </c>
      <c r="N2536" s="21" t="n">
        <f aca="false">LN(J2536)</f>
        <v>13.3678334271942</v>
      </c>
      <c r="O2536" s="21" t="n">
        <f aca="false">AVERAGEIFS($N$2:$N$2705,$B$2:$B$2705,B2536)</f>
        <v>13.6790216080491</v>
      </c>
      <c r="P2536" s="21" t="n">
        <f aca="false">N2536-O2536</f>
        <v>-0.31118818085489</v>
      </c>
      <c r="Q2536" s="7" t="n">
        <v>0</v>
      </c>
      <c r="R2536" s="3" t="n">
        <f aca="false">IF(AND(Q2536=1,B2536-_xlfn.MINIFS($B$2:$B$2705,$A$2:$A$2705,A2536)&lt;10),1,0)</f>
        <v>0</v>
      </c>
      <c r="S2536" s="7" t="n">
        <v>0</v>
      </c>
      <c r="T2536" s="3" t="n">
        <f aca="false">_xlfn.MINIFS($B$2:$B$2705,$A$2:$A$2705,A2536)</f>
        <v>1901</v>
      </c>
      <c r="U2536" s="3" t="n">
        <f aca="false">B2536-T2536</f>
        <v>119</v>
      </c>
      <c r="V2536" s="3" t="str">
        <f aca="false">INDEX(Pop_Inputs!$Q$2:$Q$29,MATCH(C2536,Pop_Inputs!$A$2:$A$29,0))</f>
        <v>Midwest</v>
      </c>
      <c r="W2536" s="29" t="n">
        <v>44920345</v>
      </c>
      <c r="X2536" s="3" t="n">
        <f aca="false">IF(W2536="","",LN(W2536))</f>
        <v>17.6204013681256</v>
      </c>
      <c r="Y2536" s="3" t="n">
        <f aca="false">IF(X2536="","",X2536-AVERAGEIFS($X$2:$X$2705,$B$2:$B$2705,B2536))</f>
        <v>-0.198098921030024</v>
      </c>
      <c r="Z2536" s="21" t="n">
        <f aca="false">P2536</f>
        <v>-0.31118818085489</v>
      </c>
      <c r="AA2536" s="3" t="n">
        <f aca="false">R2536</f>
        <v>0</v>
      </c>
      <c r="AB2536" s="21" t="n">
        <f aca="false">P2536</f>
        <v>-0.31118818085489</v>
      </c>
      <c r="AC2536" s="3" t="n">
        <f aca="false">Y2536</f>
        <v>-0.198098921030024</v>
      </c>
      <c r="AD2536" s="3" t="n">
        <f aca="false">R2536</f>
        <v>0</v>
      </c>
    </row>
    <row r="2537" customFormat="false" ht="15" hidden="false" customHeight="true" outlineLevel="0" collapsed="false">
      <c r="A2537" s="7" t="s">
        <v>83</v>
      </c>
      <c r="B2537" s="7" t="n">
        <v>2020</v>
      </c>
      <c r="C2537" s="7" t="s">
        <v>164</v>
      </c>
      <c r="D2537" s="7" t="n">
        <v>31</v>
      </c>
      <c r="E2537" s="7" t="n">
        <v>29</v>
      </c>
      <c r="F2537" s="3" t="n">
        <f aca="false">COUNTIFS($B$2:$B$2705,B2537,$C$2:$C$2705,C2537)</f>
        <v>1</v>
      </c>
      <c r="G2537" s="3" t="n">
        <f aca="false">MIN(INT((MIN(B2537,2020)-1900)/10)+1,12)</f>
        <v>12</v>
      </c>
      <c r="H2537" s="3" t="n">
        <f aca="false">(MIN(B2537,2020)-1900-10*(G2537-1))/10</f>
        <v>1</v>
      </c>
      <c r="I2537" s="20" t="n">
        <f aca="false">EXP(LN(INDEX(Pop_Inputs!$B$2:$N$29,MATCH(C2537,Pop_Inputs!$A$2:$A$29,0),G2537))*(1-H2537)+LN(INDEX(Pop_Inputs!$B$2:$N$29,MATCH(C2537,Pop_Inputs!$A$2:$A$29,0),G2537+1))*H2537)</f>
        <v>442241</v>
      </c>
      <c r="J2537" s="20" t="n">
        <f aca="false">I2537/F2537</f>
        <v>442241</v>
      </c>
      <c r="K2537" s="21" t="n">
        <f aca="false">D2537/(D2537+E2537)</f>
        <v>0.516666666666667</v>
      </c>
      <c r="L2537" s="21" t="n">
        <f aca="false">AVERAGEIFS($K$2:$K$2705,$B$2:$B$2705,B2537)</f>
        <v>0.499904214559387</v>
      </c>
      <c r="M2537" s="21" t="n">
        <f aca="false">K2537-L2537</f>
        <v>0.0167624521072797</v>
      </c>
      <c r="N2537" s="21" t="n">
        <f aca="false">LN(J2537)</f>
        <v>12.9996102613345</v>
      </c>
      <c r="O2537" s="21" t="n">
        <f aca="false">AVERAGEIFS($N$2:$N$2705,$B$2:$B$2705,B2537)</f>
        <v>13.6790216080491</v>
      </c>
      <c r="P2537" s="21" t="n">
        <f aca="false">N2537-O2537</f>
        <v>-0.679411346714641</v>
      </c>
      <c r="Q2537" s="7" t="n">
        <v>1</v>
      </c>
      <c r="R2537" s="3" t="n">
        <f aca="false">IF(AND(Q2537=1,B2537-_xlfn.MINIFS($B$2:$B$2705,$A$2:$A$2705,A2537)&lt;10),1,0)</f>
        <v>0</v>
      </c>
      <c r="S2537" s="7" t="n">
        <v>0</v>
      </c>
      <c r="T2537" s="3" t="n">
        <f aca="false">_xlfn.MINIFS($B$2:$B$2705,$A$2:$A$2705,A2537)</f>
        <v>1993</v>
      </c>
      <c r="U2537" s="3" t="n">
        <f aca="false">B2537-T2537</f>
        <v>27</v>
      </c>
      <c r="V2537" s="3" t="str">
        <f aca="false">INDEX(Pop_Inputs!$Q$2:$Q$29,MATCH(C2537,Pop_Inputs!$A$2:$A$29,0))</f>
        <v>South</v>
      </c>
      <c r="W2537" s="29" t="n">
        <v>46304592</v>
      </c>
      <c r="X2537" s="3" t="n">
        <f aca="false">IF(W2537="","",LN(W2537))</f>
        <v>17.6507516934042</v>
      </c>
      <c r="Y2537" s="3" t="n">
        <f aca="false">IF(X2537="","",X2537-AVERAGEIFS($X$2:$X$2705,$B$2:$B$2705,B2537))</f>
        <v>-0.167748595751434</v>
      </c>
      <c r="Z2537" s="21" t="n">
        <f aca="false">P2537</f>
        <v>-0.679411346714641</v>
      </c>
      <c r="AA2537" s="3" t="n">
        <f aca="false">R2537</f>
        <v>0</v>
      </c>
      <c r="AB2537" s="21" t="n">
        <f aca="false">P2537</f>
        <v>-0.679411346714641</v>
      </c>
      <c r="AC2537" s="3" t="n">
        <f aca="false">Y2537</f>
        <v>-0.167748595751434</v>
      </c>
      <c r="AD2537" s="3" t="n">
        <f aca="false">R2537</f>
        <v>0</v>
      </c>
    </row>
    <row r="2538" customFormat="false" ht="15" hidden="false" customHeight="true" outlineLevel="0" collapsed="false">
      <c r="A2538" s="7" t="s">
        <v>74</v>
      </c>
      <c r="B2538" s="7" t="n">
        <v>2020</v>
      </c>
      <c r="C2538" s="7" t="s">
        <v>156</v>
      </c>
      <c r="D2538" s="7" t="n">
        <v>29</v>
      </c>
      <c r="E2538" s="7" t="n">
        <v>31</v>
      </c>
      <c r="F2538" s="3" t="n">
        <f aca="false">COUNTIFS($B$2:$B$2705,B2538,$C$2:$C$2705,C2538)</f>
        <v>1</v>
      </c>
      <c r="G2538" s="3" t="n">
        <f aca="false">MIN(INT((MIN(B2538,2020)-1900)/10)+1,12)</f>
        <v>12</v>
      </c>
      <c r="H2538" s="3" t="n">
        <f aca="false">(MIN(B2538,2020)-1900-10*(G2538-1))/10</f>
        <v>1</v>
      </c>
      <c r="I2538" s="20" t="n">
        <f aca="false">EXP(LN(INDEX(Pop_Inputs!$B$2:$N$29,MATCH(C2538,Pop_Inputs!$A$2:$A$29,0),G2538))*(1-H2538)+LN(INDEX(Pop_Inputs!$B$2:$N$29,MATCH(C2538,Pop_Inputs!$A$2:$A$29,0),G2538+1))*H2538)</f>
        <v>2304580</v>
      </c>
      <c r="J2538" s="20" t="n">
        <f aca="false">I2538/F2538</f>
        <v>2304580</v>
      </c>
      <c r="K2538" s="21" t="n">
        <f aca="false">D2538/(D2538+E2538)</f>
        <v>0.483333333333333</v>
      </c>
      <c r="L2538" s="21" t="n">
        <f aca="false">AVERAGEIFS($K$2:$K$2705,$B$2:$B$2705,B2538)</f>
        <v>0.499904214559387</v>
      </c>
      <c r="M2538" s="21" t="n">
        <f aca="false">K2538-L2538</f>
        <v>-0.0165708812260537</v>
      </c>
      <c r="N2538" s="21" t="n">
        <f aca="false">LN(J2538)</f>
        <v>14.6504090052288</v>
      </c>
      <c r="O2538" s="21" t="n">
        <f aca="false">AVERAGEIFS($N$2:$N$2705,$B$2:$B$2705,B2538)</f>
        <v>13.6790216080491</v>
      </c>
      <c r="P2538" s="21" t="n">
        <f aca="false">N2538-O2538</f>
        <v>0.97138739717971</v>
      </c>
      <c r="Q2538" s="7" t="n">
        <v>1</v>
      </c>
      <c r="R2538" s="3" t="n">
        <f aca="false">IF(AND(Q2538=1,B2538-_xlfn.MINIFS($B$2:$B$2705,$A$2:$A$2705,A2538)&lt;10),1,0)</f>
        <v>0</v>
      </c>
      <c r="S2538" s="7" t="n">
        <v>0</v>
      </c>
      <c r="T2538" s="3" t="n">
        <f aca="false">_xlfn.MINIFS($B$2:$B$2705,$A$2:$A$2705,A2538)</f>
        <v>1962</v>
      </c>
      <c r="U2538" s="3" t="n">
        <f aca="false">B2538-T2538</f>
        <v>58</v>
      </c>
      <c r="V2538" s="3" t="str">
        <f aca="false">INDEX(Pop_Inputs!$Q$2:$Q$29,MATCH(C2538,Pop_Inputs!$A$2:$A$29,0))</f>
        <v>South</v>
      </c>
      <c r="W2538" s="29" t="n">
        <v>81422510</v>
      </c>
      <c r="X2538" s="3" t="n">
        <f aca="false">IF(W2538="","",LN(W2538))</f>
        <v>18.2151623283704</v>
      </c>
      <c r="Y2538" s="3" t="n">
        <f aca="false">IF(X2538="","",X2538-AVERAGEIFS($X$2:$X$2705,$B$2:$B$2705,B2538))</f>
        <v>0.39666203921476</v>
      </c>
      <c r="Z2538" s="21" t="n">
        <f aca="false">P2538</f>
        <v>0.97138739717971</v>
      </c>
      <c r="AA2538" s="3" t="n">
        <f aca="false">R2538</f>
        <v>0</v>
      </c>
      <c r="AB2538" s="21" t="n">
        <f aca="false">P2538</f>
        <v>0.97138739717971</v>
      </c>
      <c r="AC2538" s="3" t="n">
        <f aca="false">Y2538</f>
        <v>0.39666203921476</v>
      </c>
      <c r="AD2538" s="3" t="n">
        <f aca="false">R2538</f>
        <v>0</v>
      </c>
    </row>
    <row r="2539" customFormat="false" ht="15" hidden="false" customHeight="true" outlineLevel="0" collapsed="false">
      <c r="A2539" s="7" t="s">
        <v>76</v>
      </c>
      <c r="B2539" s="7" t="n">
        <v>2020</v>
      </c>
      <c r="C2539" s="7" t="s">
        <v>157</v>
      </c>
      <c r="D2539" s="7" t="n">
        <v>26</v>
      </c>
      <c r="E2539" s="7" t="n">
        <v>34</v>
      </c>
      <c r="F2539" s="3" t="n">
        <f aca="false">COUNTIFS($B$2:$B$2705,B2539,$C$2:$C$2705,C2539)</f>
        <v>1</v>
      </c>
      <c r="G2539" s="3" t="n">
        <f aca="false">MIN(INT((MIN(B2539,2020)-1900)/10)+1,12)</f>
        <v>12</v>
      </c>
      <c r="H2539" s="3" t="n">
        <f aca="false">(MIN(B2539,2020)-1900-10*(G2539-1))/10</f>
        <v>1</v>
      </c>
      <c r="I2539" s="20" t="n">
        <f aca="false">EXP(LN(INDEX(Pop_Inputs!$B$2:$N$29,MATCH(C2539,Pop_Inputs!$A$2:$A$29,0),G2539))*(1-H2539)+LN(INDEX(Pop_Inputs!$B$2:$N$29,MATCH(C2539,Pop_Inputs!$A$2:$A$29,0),G2539+1))*H2539)</f>
        <v>508090</v>
      </c>
      <c r="J2539" s="20" t="n">
        <f aca="false">I2539/F2539</f>
        <v>508090</v>
      </c>
      <c r="K2539" s="21" t="n">
        <f aca="false">D2539/(D2539+E2539)</f>
        <v>0.433333333333333</v>
      </c>
      <c r="L2539" s="21" t="n">
        <f aca="false">AVERAGEIFS($K$2:$K$2705,$B$2:$B$2705,B2539)</f>
        <v>0.499904214559387</v>
      </c>
      <c r="M2539" s="21" t="n">
        <f aca="false">K2539-L2539</f>
        <v>-0.0665708812260537</v>
      </c>
      <c r="N2539" s="21" t="n">
        <f aca="false">LN(J2539)</f>
        <v>13.138413876223</v>
      </c>
      <c r="O2539" s="21" t="n">
        <f aca="false">AVERAGEIFS($N$2:$N$2705,$B$2:$B$2705,B2539)</f>
        <v>13.6790216080491</v>
      </c>
      <c r="P2539" s="21" t="n">
        <f aca="false">N2539-O2539</f>
        <v>-0.54060773182608</v>
      </c>
      <c r="Q2539" s="7" t="n">
        <v>1</v>
      </c>
      <c r="R2539" s="3" t="n">
        <f aca="false">IF(AND(Q2539=1,B2539-_xlfn.MINIFS($B$2:$B$2705,$A$2:$A$2705,A2539)&lt;10),1,0)</f>
        <v>0</v>
      </c>
      <c r="S2539" s="7" t="n">
        <v>0</v>
      </c>
      <c r="T2539" s="3" t="n">
        <f aca="false">_xlfn.MINIFS($B$2:$B$2705,$A$2:$A$2705,A2539)</f>
        <v>1969</v>
      </c>
      <c r="U2539" s="3" t="n">
        <f aca="false">B2539-T2539</f>
        <v>51</v>
      </c>
      <c r="V2539" s="3" t="str">
        <f aca="false">INDEX(Pop_Inputs!$Q$2:$Q$29,MATCH(C2539,Pop_Inputs!$A$2:$A$29,0))</f>
        <v>Midwest</v>
      </c>
      <c r="W2539" s="29" t="n">
        <v>39188531</v>
      </c>
      <c r="X2539" s="3" t="n">
        <f aca="false">IF(W2539="","",LN(W2539))</f>
        <v>17.4838946854212</v>
      </c>
      <c r="Y2539" s="3" t="n">
        <f aca="false">IF(X2539="","",X2539-AVERAGEIFS($X$2:$X$2705,$B$2:$B$2705,B2539))</f>
        <v>-0.334605603734399</v>
      </c>
      <c r="Z2539" s="21" t="n">
        <f aca="false">P2539</f>
        <v>-0.54060773182608</v>
      </c>
      <c r="AA2539" s="3" t="n">
        <f aca="false">R2539</f>
        <v>0</v>
      </c>
      <c r="AB2539" s="21" t="n">
        <f aca="false">P2539</f>
        <v>-0.54060773182608</v>
      </c>
      <c r="AC2539" s="3" t="n">
        <f aca="false">Y2539</f>
        <v>-0.334605603734399</v>
      </c>
      <c r="AD2539" s="3" t="n">
        <f aca="false">R2539</f>
        <v>0</v>
      </c>
    </row>
    <row r="2540" customFormat="false" ht="15" hidden="false" customHeight="true" outlineLevel="0" collapsed="false">
      <c r="A2540" s="7" t="s">
        <v>62</v>
      </c>
      <c r="B2540" s="7" t="n">
        <v>2020</v>
      </c>
      <c r="C2540" s="7" t="s">
        <v>148</v>
      </c>
      <c r="D2540" s="7" t="n">
        <v>43</v>
      </c>
      <c r="E2540" s="7" t="n">
        <v>17</v>
      </c>
      <c r="F2540" s="3" t="n">
        <f aca="false">COUNTIFS($B$2:$B$2705,B2540,$C$2:$C$2705,C2540)</f>
        <v>2</v>
      </c>
      <c r="G2540" s="3" t="n">
        <f aca="false">MIN(INT((MIN(B2540,2020)-1900)/10)+1,12)</f>
        <v>12</v>
      </c>
      <c r="H2540" s="3" t="n">
        <f aca="false">(MIN(B2540,2020)-1900-10*(G2540-1))/10</f>
        <v>1</v>
      </c>
      <c r="I2540" s="20" t="n">
        <f aca="false">EXP(LN(INDEX(Pop_Inputs!$B$2:$N$29,MATCH(C2540,Pop_Inputs!$A$2:$A$29,0),G2540))*(1-H2540)+LN(INDEX(Pop_Inputs!$B$2:$N$29,MATCH(C2540,Pop_Inputs!$A$2:$A$29,0),G2540+1))*H2540)</f>
        <v>3898747</v>
      </c>
      <c r="J2540" s="20" t="n">
        <f aca="false">I2540/F2540</f>
        <v>1949373.5</v>
      </c>
      <c r="K2540" s="21" t="n">
        <f aca="false">D2540/(D2540+E2540)</f>
        <v>0.716666666666667</v>
      </c>
      <c r="L2540" s="21" t="n">
        <f aca="false">AVERAGEIFS($K$2:$K$2705,$B$2:$B$2705,B2540)</f>
        <v>0.499904214559387</v>
      </c>
      <c r="M2540" s="21" t="n">
        <f aca="false">K2540-L2540</f>
        <v>0.21676245210728</v>
      </c>
      <c r="N2540" s="21" t="n">
        <f aca="false">LN(J2540)</f>
        <v>14.4830185968665</v>
      </c>
      <c r="O2540" s="21" t="n">
        <f aca="false">AVERAGEIFS($N$2:$N$2705,$B$2:$B$2705,B2540)</f>
        <v>13.6790216080491</v>
      </c>
      <c r="P2540" s="21" t="n">
        <f aca="false">N2540-O2540</f>
        <v>0.80399698881741</v>
      </c>
      <c r="Q2540" s="7" t="n">
        <v>0</v>
      </c>
      <c r="R2540" s="3" t="n">
        <f aca="false">IF(AND(Q2540=1,B2540-_xlfn.MINIFS($B$2:$B$2705,$A$2:$A$2705,A2540)&lt;10),1,0)</f>
        <v>0</v>
      </c>
      <c r="S2540" s="7" t="n">
        <v>0</v>
      </c>
      <c r="T2540" s="3" t="n">
        <f aca="false">_xlfn.MINIFS($B$2:$B$2705,$A$2:$A$2705,A2540)</f>
        <v>1901</v>
      </c>
      <c r="U2540" s="3" t="n">
        <f aca="false">B2540-T2540</f>
        <v>119</v>
      </c>
      <c r="V2540" s="3" t="str">
        <f aca="false">INDEX(Pop_Inputs!$Q$2:$Q$29,MATCH(C2540,Pop_Inputs!$A$2:$A$29,0))</f>
        <v>West</v>
      </c>
      <c r="W2540" s="29" t="n">
        <v>98596239</v>
      </c>
      <c r="X2540" s="3" t="n">
        <f aca="false">IF(W2540="","",LN(W2540))</f>
        <v>18.4065436748291</v>
      </c>
      <c r="Y2540" s="3" t="n">
        <f aca="false">IF(X2540="","",X2540-AVERAGEIFS($X$2:$X$2705,$B$2:$B$2705,B2540))</f>
        <v>0.588043385673519</v>
      </c>
      <c r="Z2540" s="21" t="n">
        <f aca="false">P2540</f>
        <v>0.80399698881741</v>
      </c>
      <c r="AA2540" s="3" t="n">
        <f aca="false">R2540</f>
        <v>0</v>
      </c>
      <c r="AB2540" s="21" t="n">
        <f aca="false">P2540</f>
        <v>0.80399698881741</v>
      </c>
      <c r="AC2540" s="3" t="n">
        <f aca="false">Y2540</f>
        <v>0.588043385673519</v>
      </c>
      <c r="AD2540" s="3" t="n">
        <f aca="false">R2540</f>
        <v>0</v>
      </c>
    </row>
    <row r="2541" customFormat="false" ht="15" hidden="false" customHeight="true" outlineLevel="0" collapsed="false">
      <c r="A2541" s="7" t="s">
        <v>77</v>
      </c>
      <c r="B2541" s="7" t="n">
        <v>2020</v>
      </c>
      <c r="C2541" s="7" t="s">
        <v>158</v>
      </c>
      <c r="D2541" s="7" t="n">
        <v>29</v>
      </c>
      <c r="E2541" s="7" t="n">
        <v>31</v>
      </c>
      <c r="F2541" s="3" t="n">
        <f aca="false">COUNTIFS($B$2:$B$2705,B2541,$C$2:$C$2705,C2541)</f>
        <v>1</v>
      </c>
      <c r="G2541" s="3" t="n">
        <f aca="false">MIN(INT((MIN(B2541,2020)-1900)/10)+1,12)</f>
        <v>12</v>
      </c>
      <c r="H2541" s="3" t="n">
        <f aca="false">(MIN(B2541,2020)-1900-10*(G2541-1))/10</f>
        <v>1</v>
      </c>
      <c r="I2541" s="20" t="n">
        <f aca="false">EXP(LN(INDEX(Pop_Inputs!$B$2:$N$29,MATCH(C2541,Pop_Inputs!$A$2:$A$29,0),G2541))*(1-H2541)+LN(INDEX(Pop_Inputs!$B$2:$N$29,MATCH(C2541,Pop_Inputs!$A$2:$A$29,0),G2541+1))*H2541)</f>
        <v>577222</v>
      </c>
      <c r="J2541" s="20" t="n">
        <f aca="false">I2541/F2541</f>
        <v>577222</v>
      </c>
      <c r="K2541" s="21" t="n">
        <f aca="false">D2541/(D2541+E2541)</f>
        <v>0.483333333333333</v>
      </c>
      <c r="L2541" s="21" t="n">
        <f aca="false">AVERAGEIFS($K$2:$K$2705,$B$2:$B$2705,B2541)</f>
        <v>0.499904214559387</v>
      </c>
      <c r="M2541" s="21" t="n">
        <f aca="false">K2541-L2541</f>
        <v>-0.0165708812260537</v>
      </c>
      <c r="N2541" s="21" t="n">
        <f aca="false">LN(J2541)</f>
        <v>13.2659822201936</v>
      </c>
      <c r="O2541" s="21" t="n">
        <f aca="false">AVERAGEIFS($N$2:$N$2705,$B$2:$B$2705,B2541)</f>
        <v>13.6790216080491</v>
      </c>
      <c r="P2541" s="21" t="n">
        <f aca="false">N2541-O2541</f>
        <v>-0.413039387855493</v>
      </c>
      <c r="Q2541" s="7" t="n">
        <v>1</v>
      </c>
      <c r="R2541" s="3" t="n">
        <f aca="false">IF(AND(Q2541=1,B2541-_xlfn.MINIFS($B$2:$B$2705,$A$2:$A$2705,A2541)&lt;10),1,0)</f>
        <v>0</v>
      </c>
      <c r="S2541" s="7" t="n">
        <v>0</v>
      </c>
      <c r="T2541" s="3" t="n">
        <f aca="false">_xlfn.MINIFS($B$2:$B$2705,$A$2:$A$2705,A2541)</f>
        <v>1969</v>
      </c>
      <c r="U2541" s="3" t="n">
        <f aca="false">B2541-T2541</f>
        <v>51</v>
      </c>
      <c r="V2541" s="3" t="str">
        <f aca="false">INDEX(Pop_Inputs!$Q$2:$Q$29,MATCH(C2541,Pop_Inputs!$A$2:$A$29,0))</f>
        <v>Midwest</v>
      </c>
      <c r="W2541" s="29" t="n">
        <v>41514490</v>
      </c>
      <c r="X2541" s="3" t="n">
        <f aca="false">IF(W2541="","",LN(W2541))</f>
        <v>17.5415530808864</v>
      </c>
      <c r="Y2541" s="3" t="n">
        <f aca="false">IF(X2541="","",X2541-AVERAGEIFS($X$2:$X$2705,$B$2:$B$2705,B2541))</f>
        <v>-0.276947208269174</v>
      </c>
      <c r="Z2541" s="21" t="n">
        <f aca="false">P2541</f>
        <v>-0.413039387855493</v>
      </c>
      <c r="AA2541" s="3" t="n">
        <f aca="false">R2541</f>
        <v>0</v>
      </c>
      <c r="AB2541" s="21" t="n">
        <f aca="false">P2541</f>
        <v>-0.413039387855493</v>
      </c>
      <c r="AC2541" s="3" t="n">
        <f aca="false">Y2541</f>
        <v>-0.276947208269174</v>
      </c>
      <c r="AD2541" s="3" t="n">
        <f aca="false">R2541</f>
        <v>0</v>
      </c>
    </row>
    <row r="2542" customFormat="false" ht="15" hidden="false" customHeight="true" outlineLevel="0" collapsed="false">
      <c r="A2542" s="7" t="s">
        <v>68</v>
      </c>
      <c r="B2542" s="7" t="n">
        <v>2020</v>
      </c>
      <c r="C2542" s="7" t="s">
        <v>153</v>
      </c>
      <c r="D2542" s="7" t="n">
        <v>36</v>
      </c>
      <c r="E2542" s="7" t="n">
        <v>24</v>
      </c>
      <c r="F2542" s="3" t="n">
        <f aca="false">COUNTIFS($B$2:$B$2705,B2542,$C$2:$C$2705,C2542)</f>
        <v>1</v>
      </c>
      <c r="G2542" s="3" t="n">
        <f aca="false">MIN(INT((MIN(B2542,2020)-1900)/10)+1,12)</f>
        <v>12</v>
      </c>
      <c r="H2542" s="3" t="n">
        <f aca="false">(MIN(B2542,2020)-1900-10*(G2542-1))/10</f>
        <v>1</v>
      </c>
      <c r="I2542" s="20" t="n">
        <f aca="false">EXP(LN(INDEX(Pop_Inputs!$B$2:$N$29,MATCH(C2542,Pop_Inputs!$A$2:$A$29,0),G2542))*(1-H2542)+LN(INDEX(Pop_Inputs!$B$2:$N$29,MATCH(C2542,Pop_Inputs!$A$2:$A$29,0),G2542+1))*H2542)</f>
        <v>429954</v>
      </c>
      <c r="J2542" s="20" t="n">
        <f aca="false">I2542/F2542</f>
        <v>429954</v>
      </c>
      <c r="K2542" s="21" t="n">
        <f aca="false">D2542/(D2542+E2542)</f>
        <v>0.6</v>
      </c>
      <c r="L2542" s="21" t="n">
        <f aca="false">AVERAGEIFS($K$2:$K$2705,$B$2:$B$2705,B2542)</f>
        <v>0.499904214559387</v>
      </c>
      <c r="M2542" s="21" t="n">
        <f aca="false">K2542-L2542</f>
        <v>0.100095785440613</v>
      </c>
      <c r="N2542" s="21" t="n">
        <f aca="false">LN(J2542)</f>
        <v>12.9714335052031</v>
      </c>
      <c r="O2542" s="21" t="n">
        <f aca="false">AVERAGEIFS($N$2:$N$2705,$B$2:$B$2705,B2542)</f>
        <v>13.6790216080491</v>
      </c>
      <c r="P2542" s="21" t="n">
        <f aca="false">N2542-O2542</f>
        <v>-0.707588102845962</v>
      </c>
      <c r="Q2542" s="7" t="n">
        <v>0</v>
      </c>
      <c r="R2542" s="3" t="n">
        <f aca="false">IF(AND(Q2542=1,B2542-_xlfn.MINIFS($B$2:$B$2705,$A$2:$A$2705,A2542)&lt;10),1,0)</f>
        <v>0</v>
      </c>
      <c r="S2542" s="7" t="n">
        <v>0</v>
      </c>
      <c r="T2542" s="3" t="n">
        <f aca="false">_xlfn.MINIFS($B$2:$B$2705,$A$2:$A$2705,A2542)</f>
        <v>1901</v>
      </c>
      <c r="U2542" s="3" t="n">
        <f aca="false">B2542-T2542</f>
        <v>119</v>
      </c>
      <c r="V2542" s="3" t="str">
        <f aca="false">INDEX(Pop_Inputs!$Q$2:$Q$29,MATCH(C2542,Pop_Inputs!$A$2:$A$29,0))</f>
        <v>Midwest</v>
      </c>
      <c r="W2542" s="29" t="n">
        <v>52627942</v>
      </c>
      <c r="X2542" s="3" t="n">
        <f aca="false">IF(W2542="","",LN(W2542))</f>
        <v>17.7787577533923</v>
      </c>
      <c r="Y2542" s="3" t="n">
        <f aca="false">IF(X2542="","",X2542-AVERAGEIFS($X$2:$X$2705,$B$2:$B$2705,B2542))</f>
        <v>-0.039742535763299</v>
      </c>
      <c r="Z2542" s="21" t="n">
        <f aca="false">P2542</f>
        <v>-0.707588102845962</v>
      </c>
      <c r="AA2542" s="3" t="n">
        <f aca="false">R2542</f>
        <v>0</v>
      </c>
      <c r="AB2542" s="21" t="n">
        <f aca="false">P2542</f>
        <v>-0.707588102845962</v>
      </c>
      <c r="AC2542" s="3" t="n">
        <f aca="false">Y2542</f>
        <v>-0.039742535763299</v>
      </c>
      <c r="AD2542" s="3" t="n">
        <f aca="false">R2542</f>
        <v>0</v>
      </c>
    </row>
    <row r="2543" customFormat="false" ht="15" hidden="false" customHeight="true" outlineLevel="0" collapsed="false">
      <c r="A2543" s="7" t="s">
        <v>75</v>
      </c>
      <c r="B2543" s="7" t="n">
        <v>2020</v>
      </c>
      <c r="C2543" s="7" t="s">
        <v>154</v>
      </c>
      <c r="D2543" s="7" t="n">
        <v>26</v>
      </c>
      <c r="E2543" s="7" t="n">
        <v>34</v>
      </c>
      <c r="F2543" s="3" t="n">
        <f aca="false">COUNTIFS($B$2:$B$2705,B2543,$C$2:$C$2705,C2543)</f>
        <v>2</v>
      </c>
      <c r="G2543" s="3" t="n">
        <f aca="false">MIN(INT((MIN(B2543,2020)-1900)/10)+1,12)</f>
        <v>12</v>
      </c>
      <c r="H2543" s="3" t="n">
        <f aca="false">(MIN(B2543,2020)-1900-10*(G2543-1))/10</f>
        <v>1</v>
      </c>
      <c r="I2543" s="20" t="n">
        <f aca="false">EXP(LN(INDEX(Pop_Inputs!$B$2:$N$29,MATCH(C2543,Pop_Inputs!$A$2:$A$29,0),G2543))*(1-H2543)+LN(INDEX(Pop_Inputs!$B$2:$N$29,MATCH(C2543,Pop_Inputs!$A$2:$A$29,0),G2543+1))*H2543)</f>
        <v>8804190</v>
      </c>
      <c r="J2543" s="20" t="n">
        <f aca="false">I2543/F2543</f>
        <v>4402095</v>
      </c>
      <c r="K2543" s="21" t="n">
        <f aca="false">D2543/(D2543+E2543)</f>
        <v>0.433333333333333</v>
      </c>
      <c r="L2543" s="21" t="n">
        <f aca="false">AVERAGEIFS($K$2:$K$2705,$B$2:$B$2705,B2543)</f>
        <v>0.499904214559387</v>
      </c>
      <c r="M2543" s="21" t="n">
        <f aca="false">K2543-L2543</f>
        <v>-0.0665708812260537</v>
      </c>
      <c r="N2543" s="21" t="n">
        <f aca="false">LN(J2543)</f>
        <v>15.2975911219352</v>
      </c>
      <c r="O2543" s="21" t="n">
        <f aca="false">AVERAGEIFS($N$2:$N$2705,$B$2:$B$2705,B2543)</f>
        <v>13.6790216080491</v>
      </c>
      <c r="P2543" s="21" t="n">
        <f aca="false">N2543-O2543</f>
        <v>1.61856951388607</v>
      </c>
      <c r="Q2543" s="7" t="n">
        <v>1</v>
      </c>
      <c r="R2543" s="3" t="n">
        <f aca="false">IF(AND(Q2543=1,B2543-_xlfn.MINIFS($B$2:$B$2705,$A$2:$A$2705,A2543)&lt;10),1,0)</f>
        <v>0</v>
      </c>
      <c r="S2543" s="7" t="n">
        <v>0</v>
      </c>
      <c r="T2543" s="3" t="n">
        <f aca="false">_xlfn.MINIFS($B$2:$B$2705,$A$2:$A$2705,A2543)</f>
        <v>1962</v>
      </c>
      <c r="U2543" s="3" t="n">
        <f aca="false">B2543-T2543</f>
        <v>58</v>
      </c>
      <c r="V2543" s="3" t="str">
        <f aca="false">INDEX(Pop_Inputs!$Q$2:$Q$29,MATCH(C2543,Pop_Inputs!$A$2:$A$29,0))</f>
        <v>Northeast</v>
      </c>
      <c r="W2543" s="29" t="n">
        <v>83386464</v>
      </c>
      <c r="X2543" s="3" t="n">
        <f aca="false">IF(W2543="","",LN(W2543))</f>
        <v>18.2389965519983</v>
      </c>
      <c r="Y2543" s="3" t="n">
        <f aca="false">IF(X2543="","",X2543-AVERAGEIFS($X$2:$X$2705,$B$2:$B$2705,B2543))</f>
        <v>0.420496262842665</v>
      </c>
      <c r="Z2543" s="21" t="n">
        <f aca="false">P2543</f>
        <v>1.61856951388607</v>
      </c>
      <c r="AA2543" s="3" t="n">
        <f aca="false">R2543</f>
        <v>0</v>
      </c>
      <c r="AB2543" s="21" t="n">
        <f aca="false">P2543</f>
        <v>1.61856951388607</v>
      </c>
      <c r="AC2543" s="3" t="n">
        <f aca="false">Y2543</f>
        <v>0.420496262842665</v>
      </c>
      <c r="AD2543" s="3" t="n">
        <f aca="false">R2543</f>
        <v>0</v>
      </c>
    </row>
    <row r="2544" customFormat="false" ht="15" hidden="false" customHeight="true" outlineLevel="0" collapsed="false">
      <c r="A2544" s="7" t="s">
        <v>70</v>
      </c>
      <c r="B2544" s="7" t="n">
        <v>2020</v>
      </c>
      <c r="C2544" s="7" t="s">
        <v>154</v>
      </c>
      <c r="D2544" s="7" t="n">
        <v>33</v>
      </c>
      <c r="E2544" s="7" t="n">
        <v>27</v>
      </c>
      <c r="F2544" s="3" t="n">
        <f aca="false">COUNTIFS($B$2:$B$2705,B2544,$C$2:$C$2705,C2544)</f>
        <v>2</v>
      </c>
      <c r="G2544" s="3" t="n">
        <f aca="false">MIN(INT((MIN(B2544,2020)-1900)/10)+1,12)</f>
        <v>12</v>
      </c>
      <c r="H2544" s="3" t="n">
        <f aca="false">(MIN(B2544,2020)-1900-10*(G2544-1))/10</f>
        <v>1</v>
      </c>
      <c r="I2544" s="20" t="n">
        <f aca="false">EXP(LN(INDEX(Pop_Inputs!$B$2:$N$29,MATCH(C2544,Pop_Inputs!$A$2:$A$29,0),G2544))*(1-H2544)+LN(INDEX(Pop_Inputs!$B$2:$N$29,MATCH(C2544,Pop_Inputs!$A$2:$A$29,0),G2544+1))*H2544)</f>
        <v>8804190</v>
      </c>
      <c r="J2544" s="20" t="n">
        <f aca="false">I2544/F2544</f>
        <v>4402095</v>
      </c>
      <c r="K2544" s="21" t="n">
        <f aca="false">D2544/(D2544+E2544)</f>
        <v>0.55</v>
      </c>
      <c r="L2544" s="21" t="n">
        <f aca="false">AVERAGEIFS($K$2:$K$2705,$B$2:$B$2705,B2544)</f>
        <v>0.499904214559387</v>
      </c>
      <c r="M2544" s="21" t="n">
        <f aca="false">K2544-L2544</f>
        <v>0.0500957854406131</v>
      </c>
      <c r="N2544" s="21" t="n">
        <f aca="false">LN(J2544)</f>
        <v>15.2975911219352</v>
      </c>
      <c r="O2544" s="21" t="n">
        <f aca="false">AVERAGEIFS($N$2:$N$2705,$B$2:$B$2705,B2544)</f>
        <v>13.6790216080491</v>
      </c>
      <c r="P2544" s="21" t="n">
        <f aca="false">N2544-O2544</f>
        <v>1.61856951388607</v>
      </c>
      <c r="Q2544" s="7" t="n">
        <v>0</v>
      </c>
      <c r="R2544" s="3" t="n">
        <f aca="false">IF(AND(Q2544=1,B2544-_xlfn.MINIFS($B$2:$B$2705,$A$2:$A$2705,A2544)&lt;10),1,0)</f>
        <v>0</v>
      </c>
      <c r="S2544" s="7" t="n">
        <v>1</v>
      </c>
      <c r="T2544" s="3" t="n">
        <f aca="false">_xlfn.MINIFS($B$2:$B$2705,$A$2:$A$2705,A2544)</f>
        <v>1903</v>
      </c>
      <c r="U2544" s="3" t="n">
        <f aca="false">B2544-T2544</f>
        <v>117</v>
      </c>
      <c r="V2544" s="3" t="str">
        <f aca="false">INDEX(Pop_Inputs!$Q$2:$Q$29,MATCH(C2544,Pop_Inputs!$A$2:$A$29,0))</f>
        <v>Northeast</v>
      </c>
      <c r="W2544" s="29" t="n">
        <v>83561405</v>
      </c>
      <c r="X2544" s="3" t="n">
        <f aca="false">IF(W2544="","",LN(W2544))</f>
        <v>18.2410923087765</v>
      </c>
      <c r="Y2544" s="3" t="n">
        <f aca="false">IF(X2544="","",X2544-AVERAGEIFS($X$2:$X$2705,$B$2:$B$2705,B2544))</f>
        <v>0.422592019620865</v>
      </c>
      <c r="Z2544" s="21" t="n">
        <f aca="false">P2544</f>
        <v>1.61856951388607</v>
      </c>
      <c r="AA2544" s="3" t="n">
        <f aca="false">R2544</f>
        <v>0</v>
      </c>
      <c r="AB2544" s="21" t="n">
        <f aca="false">P2544</f>
        <v>1.61856951388607</v>
      </c>
      <c r="AC2544" s="3" t="n">
        <f aca="false">Y2544</f>
        <v>0.422592019620865</v>
      </c>
      <c r="AD2544" s="3" t="n">
        <f aca="false">R2544</f>
        <v>0</v>
      </c>
    </row>
    <row r="2545" customFormat="false" ht="15" hidden="false" customHeight="true" outlineLevel="0" collapsed="false">
      <c r="A2545" s="7" t="s">
        <v>69</v>
      </c>
      <c r="B2545" s="7" t="n">
        <v>2020</v>
      </c>
      <c r="C2545" s="7" t="s">
        <v>253</v>
      </c>
      <c r="D2545" s="7" t="n">
        <v>36</v>
      </c>
      <c r="E2545" s="7" t="n">
        <v>24</v>
      </c>
      <c r="F2545" s="3" t="n">
        <f aca="false">COUNTIFS($B$2:$B$2705,B2545,$C$2:$C$2705,C2545)</f>
        <v>1</v>
      </c>
      <c r="G2545" s="3" t="n">
        <f aca="false">MIN(INT((MIN(B2545,2020)-1900)/10)+1,12)</f>
        <v>12</v>
      </c>
      <c r="H2545" s="3" t="n">
        <f aca="false">(MIN(B2545,2020)-1900-10*(G2545-1))/10</f>
        <v>1</v>
      </c>
      <c r="I2545" s="20" t="n">
        <f aca="false">EXP(LN(INDEX(Pop_Inputs!$B$2:$N$29,MATCH(C2545,Pop_Inputs!$A$2:$A$29,0),G2545))*(1-H2545)+LN(INDEX(Pop_Inputs!$B$2:$N$29,MATCH(C2545,Pop_Inputs!$A$2:$A$29,0),G2545+1))*H2545)</f>
        <v>440646</v>
      </c>
      <c r="J2545" s="20" t="n">
        <f aca="false">I2545/F2545</f>
        <v>440646</v>
      </c>
      <c r="K2545" s="21" t="n">
        <f aca="false">D2545/(D2545+E2545)</f>
        <v>0.6</v>
      </c>
      <c r="L2545" s="21" t="n">
        <f aca="false">AVERAGEIFS($K$2:$K$2705,$B$2:$B$2705,B2545)</f>
        <v>0.499904214559387</v>
      </c>
      <c r="M2545" s="21" t="n">
        <f aca="false">K2545-L2545</f>
        <v>0.100095785440613</v>
      </c>
      <c r="N2545" s="21" t="n">
        <f aca="false">LN(J2545)</f>
        <v>12.9959971109875</v>
      </c>
      <c r="O2545" s="21" t="n">
        <f aca="false">AVERAGEIFS($N$2:$N$2705,$B$2:$B$2705,B2545)</f>
        <v>13.6790216080491</v>
      </c>
      <c r="P2545" s="21" t="n">
        <f aca="false">N2545-O2545</f>
        <v>-0.683024497061645</v>
      </c>
      <c r="Q2545" s="7" t="n">
        <v>0</v>
      </c>
      <c r="R2545" s="3" t="n">
        <f aca="false">IF(AND(Q2545=1,B2545-_xlfn.MINIFS($B$2:$B$2705,$A$2:$A$2705,A2545)&lt;10),1,0)</f>
        <v>0</v>
      </c>
      <c r="S2545" s="7" t="n">
        <v>0</v>
      </c>
      <c r="T2545" s="3" t="n">
        <f aca="false">_xlfn.MINIFS($B$2:$B$2705,$A$2:$A$2705,A2545)</f>
        <v>1901</v>
      </c>
      <c r="U2545" s="3" t="n">
        <f aca="false">B2545-T2545</f>
        <v>119</v>
      </c>
      <c r="V2545" s="3" t="str">
        <f aca="false">INDEX(Pop_Inputs!$Q$2:$Q$29,MATCH(C2545,Pop_Inputs!$A$2:$A$29,0))</f>
        <v>West</v>
      </c>
      <c r="W2545" s="29" t="n">
        <v>37304214</v>
      </c>
      <c r="X2545" s="3" t="n">
        <f aca="false">IF(W2545="","",LN(W2545))</f>
        <v>17.4346168541041</v>
      </c>
      <c r="Y2545" s="3" t="n">
        <f aca="false">IF(X2545="","",X2545-AVERAGEIFS($X$2:$X$2705,$B$2:$B$2705,B2545))</f>
        <v>-0.383883435051551</v>
      </c>
      <c r="Z2545" s="21" t="n">
        <f aca="false">P2545</f>
        <v>-0.683024497061645</v>
      </c>
      <c r="AA2545" s="3" t="n">
        <f aca="false">R2545</f>
        <v>0</v>
      </c>
      <c r="AB2545" s="21" t="n">
        <f aca="false">P2545</f>
        <v>-0.683024497061645</v>
      </c>
      <c r="AC2545" s="3" t="n">
        <f aca="false">Y2545</f>
        <v>-0.383883435051551</v>
      </c>
      <c r="AD2545" s="3" t="n">
        <f aca="false">R2545</f>
        <v>0</v>
      </c>
    </row>
    <row r="2546" customFormat="false" ht="15" hidden="false" customHeight="true" outlineLevel="0" collapsed="false">
      <c r="A2546" s="7" t="s">
        <v>60</v>
      </c>
      <c r="B2546" s="7" t="n">
        <v>2020</v>
      </c>
      <c r="C2546" s="7" t="s">
        <v>146</v>
      </c>
      <c r="D2546" s="7" t="n">
        <v>28</v>
      </c>
      <c r="E2546" s="7" t="n">
        <v>32</v>
      </c>
      <c r="F2546" s="3" t="n">
        <f aca="false">COUNTIFS($B$2:$B$2705,B2546,$C$2:$C$2705,C2546)</f>
        <v>1</v>
      </c>
      <c r="G2546" s="3" t="n">
        <f aca="false">MIN(INT((MIN(B2546,2020)-1900)/10)+1,12)</f>
        <v>12</v>
      </c>
      <c r="H2546" s="3" t="n">
        <f aca="false">(MIN(B2546,2020)-1900-10*(G2546-1))/10</f>
        <v>1</v>
      </c>
      <c r="I2546" s="20" t="n">
        <f aca="false">EXP(LN(INDEX(Pop_Inputs!$B$2:$N$29,MATCH(C2546,Pop_Inputs!$A$2:$A$29,0),G2546))*(1-H2546)+LN(INDEX(Pop_Inputs!$B$2:$N$29,MATCH(C2546,Pop_Inputs!$A$2:$A$29,0),G2546+1))*H2546)</f>
        <v>1603797</v>
      </c>
      <c r="J2546" s="20" t="n">
        <f aca="false">I2546/F2546</f>
        <v>1603797</v>
      </c>
      <c r="K2546" s="21" t="n">
        <f aca="false">D2546/(D2546+E2546)</f>
        <v>0.466666666666667</v>
      </c>
      <c r="L2546" s="21" t="n">
        <f aca="false">AVERAGEIFS($K$2:$K$2705,$B$2:$B$2705,B2546)</f>
        <v>0.499904214559387</v>
      </c>
      <c r="M2546" s="21" t="n">
        <f aca="false">K2546-L2546</f>
        <v>-0.0332375478927203</v>
      </c>
      <c r="N2546" s="21" t="n">
        <f aca="false">LN(J2546)</f>
        <v>14.2878845007959</v>
      </c>
      <c r="O2546" s="21" t="n">
        <f aca="false">AVERAGEIFS($N$2:$N$2705,$B$2:$B$2705,B2546)</f>
        <v>13.6790216080491</v>
      </c>
      <c r="P2546" s="21" t="n">
        <f aca="false">N2546-O2546</f>
        <v>0.608862892746789</v>
      </c>
      <c r="Q2546" s="7" t="n">
        <v>0</v>
      </c>
      <c r="R2546" s="3" t="n">
        <f aca="false">IF(AND(Q2546=1,B2546-_xlfn.MINIFS($B$2:$B$2705,$A$2:$A$2705,A2546)&lt;10),1,0)</f>
        <v>0</v>
      </c>
      <c r="S2546" s="7" t="n">
        <v>0</v>
      </c>
      <c r="T2546" s="3" t="n">
        <f aca="false">_xlfn.MINIFS($B$2:$B$2705,$A$2:$A$2705,A2546)</f>
        <v>1901</v>
      </c>
      <c r="U2546" s="3" t="n">
        <f aca="false">B2546-T2546</f>
        <v>119</v>
      </c>
      <c r="V2546" s="3" t="str">
        <f aca="false">INDEX(Pop_Inputs!$Q$2:$Q$29,MATCH(C2546,Pop_Inputs!$A$2:$A$29,0))</f>
        <v>Northeast</v>
      </c>
      <c r="W2546" s="29" t="n">
        <v>65073877</v>
      </c>
      <c r="X2546" s="3" t="n">
        <f aca="false">IF(W2546="","",LN(W2546))</f>
        <v>17.9910337516849</v>
      </c>
      <c r="Y2546" s="3" t="n">
        <f aca="false">IF(X2546="","",X2546-AVERAGEIFS($X$2:$X$2705,$B$2:$B$2705,B2546))</f>
        <v>0.172533462529245</v>
      </c>
      <c r="Z2546" s="21" t="n">
        <f aca="false">P2546</f>
        <v>0.608862892746789</v>
      </c>
      <c r="AA2546" s="3" t="n">
        <f aca="false">R2546</f>
        <v>0</v>
      </c>
      <c r="AB2546" s="21" t="n">
        <f aca="false">P2546</f>
        <v>0.608862892746789</v>
      </c>
      <c r="AC2546" s="3" t="n">
        <f aca="false">Y2546</f>
        <v>0.172533462529245</v>
      </c>
      <c r="AD2546" s="3" t="n">
        <f aca="false">R2546</f>
        <v>0</v>
      </c>
    </row>
    <row r="2547" customFormat="false" ht="15" hidden="false" customHeight="true" outlineLevel="0" collapsed="false">
      <c r="A2547" s="7" t="s">
        <v>58</v>
      </c>
      <c r="B2547" s="7" t="n">
        <v>2020</v>
      </c>
      <c r="C2547" s="7" t="s">
        <v>144</v>
      </c>
      <c r="D2547" s="7" t="n">
        <v>19</v>
      </c>
      <c r="E2547" s="7" t="n">
        <v>41</v>
      </c>
      <c r="F2547" s="3" t="n">
        <f aca="false">COUNTIFS($B$2:$B$2705,B2547,$C$2:$C$2705,C2547)</f>
        <v>1</v>
      </c>
      <c r="G2547" s="3" t="n">
        <f aca="false">MIN(INT((MIN(B2547,2020)-1900)/10)+1,12)</f>
        <v>12</v>
      </c>
      <c r="H2547" s="3" t="n">
        <f aca="false">(MIN(B2547,2020)-1900-10*(G2547-1))/10</f>
        <v>1</v>
      </c>
      <c r="I2547" s="20" t="n">
        <f aca="false">EXP(LN(INDEX(Pop_Inputs!$B$2:$N$29,MATCH(C2547,Pop_Inputs!$A$2:$A$29,0),G2547))*(1-H2547)+LN(INDEX(Pop_Inputs!$B$2:$N$29,MATCH(C2547,Pop_Inputs!$A$2:$A$29,0),G2547+1))*H2547)</f>
        <v>302971</v>
      </c>
      <c r="J2547" s="20" t="n">
        <f aca="false">I2547/F2547</f>
        <v>302971</v>
      </c>
      <c r="K2547" s="21" t="n">
        <f aca="false">D2547/(D2547+E2547)</f>
        <v>0.316666666666667</v>
      </c>
      <c r="L2547" s="21" t="n">
        <f aca="false">AVERAGEIFS($K$2:$K$2705,$B$2:$B$2705,B2547)</f>
        <v>0.499904214559387</v>
      </c>
      <c r="M2547" s="21" t="n">
        <f aca="false">K2547-L2547</f>
        <v>-0.18323754789272</v>
      </c>
      <c r="N2547" s="21" t="n">
        <f aca="false">LN(J2547)</f>
        <v>12.6213923703401</v>
      </c>
      <c r="O2547" s="21" t="n">
        <f aca="false">AVERAGEIFS($N$2:$N$2705,$B$2:$B$2705,B2547)</f>
        <v>13.6790216080491</v>
      </c>
      <c r="P2547" s="21" t="n">
        <f aca="false">N2547-O2547</f>
        <v>-1.057629237709</v>
      </c>
      <c r="Q2547" s="7" t="n">
        <v>0</v>
      </c>
      <c r="R2547" s="3" t="n">
        <f aca="false">IF(AND(Q2547=1,B2547-_xlfn.MINIFS($B$2:$B$2705,$A$2:$A$2705,A2547)&lt;10),1,0)</f>
        <v>0</v>
      </c>
      <c r="S2547" s="7" t="n">
        <v>0</v>
      </c>
      <c r="T2547" s="3" t="n">
        <f aca="false">_xlfn.MINIFS($B$2:$B$2705,$A$2:$A$2705,A2547)</f>
        <v>1901</v>
      </c>
      <c r="U2547" s="3" t="n">
        <f aca="false">B2547-T2547</f>
        <v>119</v>
      </c>
      <c r="V2547" s="3" t="str">
        <f aca="false">INDEX(Pop_Inputs!$Q$2:$Q$29,MATCH(C2547,Pop_Inputs!$A$2:$A$29,0))</f>
        <v>Northeast</v>
      </c>
      <c r="W2547" s="29" t="n">
        <v>24056794</v>
      </c>
      <c r="X2547" s="3" t="n">
        <f aca="false">IF(W2547="","",LN(W2547))</f>
        <v>16.9959280094244</v>
      </c>
      <c r="Y2547" s="3" t="n">
        <f aca="false">IF(X2547="","",X2547-AVERAGEIFS($X$2:$X$2705,$B$2:$B$2705,B2547))</f>
        <v>-0.822572279731219</v>
      </c>
      <c r="Z2547" s="21" t="n">
        <f aca="false">P2547</f>
        <v>-1.057629237709</v>
      </c>
      <c r="AA2547" s="3" t="n">
        <f aca="false">R2547</f>
        <v>0</v>
      </c>
      <c r="AB2547" s="21" t="n">
        <f aca="false">P2547</f>
        <v>-1.057629237709</v>
      </c>
      <c r="AC2547" s="3" t="n">
        <f aca="false">Y2547</f>
        <v>-0.822572279731219</v>
      </c>
      <c r="AD2547" s="3" t="n">
        <f aca="false">R2547</f>
        <v>0</v>
      </c>
    </row>
    <row r="2548" customFormat="false" ht="15" hidden="false" customHeight="true" outlineLevel="0" collapsed="false">
      <c r="A2548" s="7" t="s">
        <v>78</v>
      </c>
      <c r="B2548" s="7" t="n">
        <v>2020</v>
      </c>
      <c r="C2548" s="7" t="s">
        <v>159</v>
      </c>
      <c r="D2548" s="7" t="n">
        <v>37</v>
      </c>
      <c r="E2548" s="7" t="n">
        <v>23</v>
      </c>
      <c r="F2548" s="3" t="n">
        <f aca="false">COUNTIFS($B$2:$B$2705,B2548,$C$2:$C$2705,C2548)</f>
        <v>1</v>
      </c>
      <c r="G2548" s="3" t="n">
        <f aca="false">MIN(INT((MIN(B2548,2020)-1900)/10)+1,12)</f>
        <v>12</v>
      </c>
      <c r="H2548" s="3" t="n">
        <f aca="false">(MIN(B2548,2020)-1900-10*(G2548-1))/10</f>
        <v>1</v>
      </c>
      <c r="I2548" s="20" t="n">
        <f aca="false">EXP(LN(INDEX(Pop_Inputs!$B$2:$N$29,MATCH(C2548,Pop_Inputs!$A$2:$A$29,0),G2548))*(1-H2548)+LN(INDEX(Pop_Inputs!$B$2:$N$29,MATCH(C2548,Pop_Inputs!$A$2:$A$29,0),G2548+1))*H2548)</f>
        <v>1386932</v>
      </c>
      <c r="J2548" s="20" t="n">
        <f aca="false">I2548/F2548</f>
        <v>1386932</v>
      </c>
      <c r="K2548" s="21" t="n">
        <f aca="false">D2548/(D2548+E2548)</f>
        <v>0.616666666666667</v>
      </c>
      <c r="L2548" s="21" t="n">
        <f aca="false">AVERAGEIFS($K$2:$K$2705,$B$2:$B$2705,B2548)</f>
        <v>0.499904214559387</v>
      </c>
      <c r="M2548" s="21" t="n">
        <f aca="false">K2548-L2548</f>
        <v>0.11676245210728</v>
      </c>
      <c r="N2548" s="21" t="n">
        <f aca="false">LN(J2548)</f>
        <v>14.1426046714188</v>
      </c>
      <c r="O2548" s="21" t="n">
        <f aca="false">AVERAGEIFS($N$2:$N$2705,$B$2:$B$2705,B2548)</f>
        <v>13.6790216080491</v>
      </c>
      <c r="P2548" s="21" t="n">
        <f aca="false">N2548-O2548</f>
        <v>0.463583063369741</v>
      </c>
      <c r="Q2548" s="7" t="n">
        <v>1</v>
      </c>
      <c r="R2548" s="3" t="n">
        <f aca="false">IF(AND(Q2548=1,B2548-_xlfn.MINIFS($B$2:$B$2705,$A$2:$A$2705,A2548)&lt;10),1,0)</f>
        <v>0</v>
      </c>
      <c r="S2548" s="7" t="n">
        <v>0</v>
      </c>
      <c r="T2548" s="3" t="n">
        <f aca="false">_xlfn.MINIFS($B$2:$B$2705,$A$2:$A$2705,A2548)</f>
        <v>1969</v>
      </c>
      <c r="U2548" s="3" t="n">
        <f aca="false">B2548-T2548</f>
        <v>51</v>
      </c>
      <c r="V2548" s="3" t="str">
        <f aca="false">INDEX(Pop_Inputs!$Q$2:$Q$29,MATCH(C2548,Pop_Inputs!$A$2:$A$29,0))</f>
        <v>West</v>
      </c>
      <c r="W2548" s="29" t="n">
        <v>76324784</v>
      </c>
      <c r="X2548" s="3" t="n">
        <f aca="false">IF(W2548="","",LN(W2548))</f>
        <v>18.1505082665779</v>
      </c>
      <c r="Y2548" s="3" t="n">
        <f aca="false">IF(X2548="","",X2548-AVERAGEIFS($X$2:$X$2705,$B$2:$B$2705,B2548))</f>
        <v>0.332007977422322</v>
      </c>
      <c r="Z2548" s="21" t="n">
        <f aca="false">P2548</f>
        <v>0.463583063369741</v>
      </c>
      <c r="AA2548" s="3" t="n">
        <f aca="false">R2548</f>
        <v>0</v>
      </c>
      <c r="AB2548" s="21" t="n">
        <f aca="false">P2548</f>
        <v>0.463583063369741</v>
      </c>
      <c r="AC2548" s="3" t="n">
        <f aca="false">Y2548</f>
        <v>0.332007977422322</v>
      </c>
      <c r="AD2548" s="3" t="n">
        <f aca="false">R2548</f>
        <v>0</v>
      </c>
    </row>
    <row r="2549" customFormat="false" ht="15" hidden="false" customHeight="true" outlineLevel="0" collapsed="false">
      <c r="A2549" s="7" t="s">
        <v>80</v>
      </c>
      <c r="B2549" s="7" t="n">
        <v>2020</v>
      </c>
      <c r="C2549" s="7" t="s">
        <v>161</v>
      </c>
      <c r="D2549" s="7" t="n">
        <v>27</v>
      </c>
      <c r="E2549" s="7" t="n">
        <v>33</v>
      </c>
      <c r="F2549" s="3" t="n">
        <f aca="false">COUNTIFS($B$2:$B$2705,B2549,$C$2:$C$2705,C2549)</f>
        <v>1</v>
      </c>
      <c r="G2549" s="3" t="n">
        <f aca="false">MIN(INT((MIN(B2549,2020)-1900)/10)+1,12)</f>
        <v>12</v>
      </c>
      <c r="H2549" s="3" t="n">
        <f aca="false">(MIN(B2549,2020)-1900-10*(G2549-1))/10</f>
        <v>1</v>
      </c>
      <c r="I2549" s="20" t="n">
        <f aca="false">EXP(LN(INDEX(Pop_Inputs!$B$2:$N$29,MATCH(C2549,Pop_Inputs!$A$2:$A$29,0),G2549))*(1-H2549)+LN(INDEX(Pop_Inputs!$B$2:$N$29,MATCH(C2549,Pop_Inputs!$A$2:$A$29,0),G2549+1))*H2549)</f>
        <v>737015</v>
      </c>
      <c r="J2549" s="20" t="n">
        <f aca="false">I2549/F2549</f>
        <v>737015</v>
      </c>
      <c r="K2549" s="21" t="n">
        <f aca="false">D2549/(D2549+E2549)</f>
        <v>0.45</v>
      </c>
      <c r="L2549" s="21" t="n">
        <f aca="false">AVERAGEIFS($K$2:$K$2705,$B$2:$B$2705,B2549)</f>
        <v>0.499904214559387</v>
      </c>
      <c r="M2549" s="21" t="n">
        <f aca="false">K2549-L2549</f>
        <v>-0.049904214559387</v>
      </c>
      <c r="N2549" s="21" t="n">
        <f aca="false">LN(J2549)</f>
        <v>13.5103635237459</v>
      </c>
      <c r="O2549" s="21" t="n">
        <f aca="false">AVERAGEIFS($N$2:$N$2705,$B$2:$B$2705,B2549)</f>
        <v>13.6790216080491</v>
      </c>
      <c r="P2549" s="21" t="n">
        <f aca="false">N2549-O2549</f>
        <v>-0.168658084303196</v>
      </c>
      <c r="Q2549" s="7" t="n">
        <v>1</v>
      </c>
      <c r="R2549" s="3" t="n">
        <f aca="false">IF(AND(Q2549=1,B2549-_xlfn.MINIFS($B$2:$B$2705,$A$2:$A$2705,A2549)&lt;10),1,0)</f>
        <v>0</v>
      </c>
      <c r="S2549" s="7" t="n">
        <v>0</v>
      </c>
      <c r="T2549" s="3" t="n">
        <f aca="false">_xlfn.MINIFS($B$2:$B$2705,$A$2:$A$2705,A2549)</f>
        <v>1977</v>
      </c>
      <c r="U2549" s="3" t="n">
        <f aca="false">B2549-T2549</f>
        <v>43</v>
      </c>
      <c r="V2549" s="3" t="str">
        <f aca="false">INDEX(Pop_Inputs!$Q$2:$Q$29,MATCH(C2549,Pop_Inputs!$A$2:$A$29,0))</f>
        <v>West</v>
      </c>
      <c r="W2549" s="29" t="n">
        <v>55213899</v>
      </c>
      <c r="X2549" s="3" t="n">
        <f aca="false">IF(W2549="","",LN(W2549))</f>
        <v>17.8267252730309</v>
      </c>
      <c r="Y2549" s="3" t="n">
        <f aca="false">IF(X2549="","",X2549-AVERAGEIFS($X$2:$X$2705,$B$2:$B$2705,B2549))</f>
        <v>0.00822498387531212</v>
      </c>
      <c r="Z2549" s="21" t="n">
        <f aca="false">P2549</f>
        <v>-0.168658084303196</v>
      </c>
      <c r="AA2549" s="3" t="n">
        <f aca="false">R2549</f>
        <v>0</v>
      </c>
      <c r="AB2549" s="21" t="n">
        <f aca="false">P2549</f>
        <v>-0.168658084303196</v>
      </c>
      <c r="AC2549" s="3" t="n">
        <f aca="false">Y2549</f>
        <v>0.00822498387531212</v>
      </c>
      <c r="AD2549" s="3" t="n">
        <f aca="false">R2549</f>
        <v>0</v>
      </c>
    </row>
    <row r="2550" customFormat="false" ht="15" hidden="false" customHeight="true" outlineLevel="0" collapsed="false">
      <c r="A2550" s="7" t="s">
        <v>61</v>
      </c>
      <c r="B2550" s="7" t="n">
        <v>2020</v>
      </c>
      <c r="C2550" s="7" t="s">
        <v>147</v>
      </c>
      <c r="D2550" s="7" t="n">
        <v>29</v>
      </c>
      <c r="E2550" s="7" t="n">
        <v>31</v>
      </c>
      <c r="F2550" s="3" t="n">
        <f aca="false">COUNTIFS($B$2:$B$2705,B2550,$C$2:$C$2705,C2550)</f>
        <v>1</v>
      </c>
      <c r="G2550" s="3" t="n">
        <f aca="false">MIN(INT((MIN(B2550,2020)-1900)/10)+1,12)</f>
        <v>12</v>
      </c>
      <c r="H2550" s="3" t="n">
        <f aca="false">(MIN(B2550,2020)-1900-10*(G2550-1))/10</f>
        <v>1</v>
      </c>
      <c r="I2550" s="20" t="n">
        <f aca="false">EXP(LN(INDEX(Pop_Inputs!$B$2:$N$29,MATCH(C2550,Pop_Inputs!$A$2:$A$29,0),G2550))*(1-H2550)+LN(INDEX(Pop_Inputs!$B$2:$N$29,MATCH(C2550,Pop_Inputs!$A$2:$A$29,0),G2550+1))*H2550)</f>
        <v>873965</v>
      </c>
      <c r="J2550" s="20" t="n">
        <f aca="false">I2550/F2550</f>
        <v>873965</v>
      </c>
      <c r="K2550" s="21" t="n">
        <f aca="false">D2550/(D2550+E2550)</f>
        <v>0.483333333333333</v>
      </c>
      <c r="L2550" s="21" t="n">
        <f aca="false">AVERAGEIFS($K$2:$K$2705,$B$2:$B$2705,B2550)</f>
        <v>0.499904214559387</v>
      </c>
      <c r="M2550" s="21" t="n">
        <f aca="false">K2550-L2550</f>
        <v>-0.0165708812260537</v>
      </c>
      <c r="N2550" s="21" t="n">
        <f aca="false">LN(J2550)</f>
        <v>13.6807956080692</v>
      </c>
      <c r="O2550" s="21" t="n">
        <f aca="false">AVERAGEIFS($N$2:$N$2705,$B$2:$B$2705,B2550)</f>
        <v>13.6790216080491</v>
      </c>
      <c r="P2550" s="21" t="n">
        <f aca="false">N2550-O2550</f>
        <v>0.00177400002012718</v>
      </c>
      <c r="Q2550" s="7" t="n">
        <v>0</v>
      </c>
      <c r="R2550" s="3" t="n">
        <f aca="false">IF(AND(Q2550=1,B2550-_xlfn.MINIFS($B$2:$B$2705,$A$2:$A$2705,A2550)&lt;10),1,0)</f>
        <v>0</v>
      </c>
      <c r="S2550" s="7" t="n">
        <v>0</v>
      </c>
      <c r="T2550" s="3" t="n">
        <f aca="false">_xlfn.MINIFS($B$2:$B$2705,$A$2:$A$2705,A2550)</f>
        <v>1901</v>
      </c>
      <c r="U2550" s="3" t="n">
        <f aca="false">B2550-T2550</f>
        <v>119</v>
      </c>
      <c r="V2550" s="3" t="str">
        <f aca="false">INDEX(Pop_Inputs!$Q$2:$Q$29,MATCH(C2550,Pop_Inputs!$A$2:$A$29,0))</f>
        <v>West</v>
      </c>
      <c r="W2550" s="29" t="n">
        <v>66710217</v>
      </c>
      <c r="X2550" s="3" t="n">
        <f aca="false">IF(W2550="","",LN(W2550))</f>
        <v>18.015868677566</v>
      </c>
      <c r="Y2550" s="3" t="n">
        <f aca="false">IF(X2550="","",X2550-AVERAGEIFS($X$2:$X$2705,$B$2:$B$2705,B2550))</f>
        <v>0.197368388410418</v>
      </c>
      <c r="Z2550" s="21" t="n">
        <f aca="false">P2550</f>
        <v>0.00177400002012718</v>
      </c>
      <c r="AA2550" s="3" t="n">
        <f aca="false">R2550</f>
        <v>0</v>
      </c>
      <c r="AB2550" s="21" t="n">
        <f aca="false">P2550</f>
        <v>0.00177400002012718</v>
      </c>
      <c r="AC2550" s="3" t="n">
        <f aca="false">Y2550</f>
        <v>0.197368388410418</v>
      </c>
      <c r="AD2550" s="3" t="n">
        <f aca="false">R2550</f>
        <v>0</v>
      </c>
    </row>
    <row r="2551" customFormat="false" ht="15" hidden="false" customHeight="true" outlineLevel="0" collapsed="false">
      <c r="A2551" s="7" t="s">
        <v>59</v>
      </c>
      <c r="B2551" s="7" t="n">
        <v>2020</v>
      </c>
      <c r="C2551" s="7" t="s">
        <v>145</v>
      </c>
      <c r="D2551" s="7" t="n">
        <v>30</v>
      </c>
      <c r="E2551" s="7" t="n">
        <v>28</v>
      </c>
      <c r="F2551" s="3" t="n">
        <f aca="false">COUNTIFS($B$2:$B$2705,B2551,$C$2:$C$2705,C2551)</f>
        <v>1</v>
      </c>
      <c r="G2551" s="3" t="n">
        <f aca="false">MIN(INT((MIN(B2551,2020)-1900)/10)+1,12)</f>
        <v>12</v>
      </c>
      <c r="H2551" s="3" t="n">
        <f aca="false">(MIN(B2551,2020)-1900-10*(G2551-1))/10</f>
        <v>1</v>
      </c>
      <c r="I2551" s="20" t="n">
        <f aca="false">EXP(LN(INDEX(Pop_Inputs!$B$2:$N$29,MATCH(C2551,Pop_Inputs!$A$2:$A$29,0),G2551))*(1-H2551)+LN(INDEX(Pop_Inputs!$B$2:$N$29,MATCH(C2551,Pop_Inputs!$A$2:$A$29,0),G2551+1))*H2551)</f>
        <v>301578</v>
      </c>
      <c r="J2551" s="20" t="n">
        <f aca="false">I2551/F2551</f>
        <v>301578</v>
      </c>
      <c r="K2551" s="21" t="n">
        <f aca="false">D2551/(D2551+E2551)</f>
        <v>0.517241379310345</v>
      </c>
      <c r="L2551" s="21" t="n">
        <f aca="false">AVERAGEIFS($K$2:$K$2705,$B$2:$B$2705,B2551)</f>
        <v>0.499904214559387</v>
      </c>
      <c r="M2551" s="21" t="n">
        <f aca="false">K2551-L2551</f>
        <v>0.0173371647509579</v>
      </c>
      <c r="N2551" s="21" t="n">
        <f aca="false">LN(J2551)</f>
        <v>12.6167839681583</v>
      </c>
      <c r="O2551" s="21" t="n">
        <f aca="false">AVERAGEIFS($N$2:$N$2705,$B$2:$B$2705,B2551)</f>
        <v>13.6790216080491</v>
      </c>
      <c r="P2551" s="21" t="n">
        <f aca="false">N2551-O2551</f>
        <v>-1.06223763989081</v>
      </c>
      <c r="Q2551" s="7" t="n">
        <v>0</v>
      </c>
      <c r="R2551" s="3" t="n">
        <f aca="false">IF(AND(Q2551=1,B2551-_xlfn.MINIFS($B$2:$B$2705,$A$2:$A$2705,A2551)&lt;10),1,0)</f>
        <v>0</v>
      </c>
      <c r="S2551" s="7" t="n">
        <v>0</v>
      </c>
      <c r="T2551" s="3" t="n">
        <f aca="false">_xlfn.MINIFS($B$2:$B$2705,$A$2:$A$2705,A2551)</f>
        <v>1901</v>
      </c>
      <c r="U2551" s="3" t="n">
        <f aca="false">B2551-T2551</f>
        <v>119</v>
      </c>
      <c r="V2551" s="3" t="str">
        <f aca="false">INDEX(Pop_Inputs!$Q$2:$Q$29,MATCH(C2551,Pop_Inputs!$A$2:$A$29,0))</f>
        <v>Midwest</v>
      </c>
      <c r="W2551" s="29" t="n">
        <v>69331172</v>
      </c>
      <c r="X2551" s="3" t="n">
        <f aca="false">IF(W2551="","",LN(W2551))</f>
        <v>18.0544051754347</v>
      </c>
      <c r="Y2551" s="3" t="n">
        <f aca="false">IF(X2551="","",X2551-AVERAGEIFS($X$2:$X$2705,$B$2:$B$2705,B2551))</f>
        <v>0.235904886279055</v>
      </c>
      <c r="Z2551" s="21" t="n">
        <f aca="false">P2551</f>
        <v>-1.06223763989081</v>
      </c>
      <c r="AA2551" s="3" t="n">
        <f aca="false">R2551</f>
        <v>0</v>
      </c>
      <c r="AB2551" s="21" t="n">
        <f aca="false">P2551</f>
        <v>-1.06223763989081</v>
      </c>
      <c r="AC2551" s="3" t="n">
        <f aca="false">Y2551</f>
        <v>0.235904886279055</v>
      </c>
      <c r="AD2551" s="3" t="n">
        <f aca="false">R2551</f>
        <v>0</v>
      </c>
    </row>
    <row r="2552" customFormat="false" ht="15" hidden="false" customHeight="true" outlineLevel="0" collapsed="false">
      <c r="A2552" s="7" t="s">
        <v>85</v>
      </c>
      <c r="B2552" s="7" t="n">
        <v>2020</v>
      </c>
      <c r="C2552" s="7" t="s">
        <v>166</v>
      </c>
      <c r="D2552" s="7" t="n">
        <v>40</v>
      </c>
      <c r="E2552" s="7" t="n">
        <v>20</v>
      </c>
      <c r="F2552" s="3" t="n">
        <f aca="false">COUNTIFS($B$2:$B$2705,B2552,$C$2:$C$2705,C2552)</f>
        <v>1</v>
      </c>
      <c r="G2552" s="3" t="n">
        <f aca="false">MIN(INT((MIN(B2552,2020)-1900)/10)+1,12)</f>
        <v>12</v>
      </c>
      <c r="H2552" s="3" t="n">
        <f aca="false">(MIN(B2552,2020)-1900-10*(G2552-1))/10</f>
        <v>1</v>
      </c>
      <c r="I2552" s="20" t="n">
        <f aca="false">EXP(LN(INDEX(Pop_Inputs!$B$2:$N$29,MATCH(C2552,Pop_Inputs!$A$2:$A$29,0),G2552))*(1-H2552)+LN(INDEX(Pop_Inputs!$B$2:$N$29,MATCH(C2552,Pop_Inputs!$A$2:$A$29,0),G2552+1))*H2552)</f>
        <v>384959</v>
      </c>
      <c r="J2552" s="20" t="n">
        <f aca="false">I2552/F2552</f>
        <v>384959</v>
      </c>
      <c r="K2552" s="21" t="n">
        <f aca="false">D2552/(D2552+E2552)</f>
        <v>0.666666666666667</v>
      </c>
      <c r="L2552" s="21" t="n">
        <f aca="false">AVERAGEIFS($K$2:$K$2705,$B$2:$B$2705,B2552)</f>
        <v>0.499904214559387</v>
      </c>
      <c r="M2552" s="21" t="n">
        <f aca="false">K2552-L2552</f>
        <v>0.16676245210728</v>
      </c>
      <c r="N2552" s="21" t="n">
        <f aca="false">LN(J2552)</f>
        <v>12.8608921140926</v>
      </c>
      <c r="O2552" s="21" t="n">
        <f aca="false">AVERAGEIFS($N$2:$N$2705,$B$2:$B$2705,B2552)</f>
        <v>13.6790216080491</v>
      </c>
      <c r="P2552" s="21" t="n">
        <f aca="false">N2552-O2552</f>
        <v>-0.81812949395651</v>
      </c>
      <c r="Q2552" s="7" t="n">
        <v>1</v>
      </c>
      <c r="R2552" s="3" t="n">
        <f aca="false">IF(AND(Q2552=1,B2552-_xlfn.MINIFS($B$2:$B$2705,$A$2:$A$2705,A2552)&lt;10),1,0)</f>
        <v>0</v>
      </c>
      <c r="S2552" s="7" t="n">
        <v>0</v>
      </c>
      <c r="T2552" s="3" t="n">
        <f aca="false">_xlfn.MINIFS($B$2:$B$2705,$A$2:$A$2705,A2552)</f>
        <v>1998</v>
      </c>
      <c r="U2552" s="3" t="n">
        <f aca="false">B2552-T2552</f>
        <v>22</v>
      </c>
      <c r="V2552" s="3" t="str">
        <f aca="false">INDEX(Pop_Inputs!$Q$2:$Q$29,MATCH(C2552,Pop_Inputs!$A$2:$A$29,0))</f>
        <v>South</v>
      </c>
      <c r="W2552" s="29" t="n">
        <v>29411350</v>
      </c>
      <c r="X2552" s="3" t="n">
        <f aca="false">IF(W2552="","",LN(W2552))</f>
        <v>17.1968912122308</v>
      </c>
      <c r="Y2552" s="3" t="n">
        <f aca="false">IF(X2552="","",X2552-AVERAGEIFS($X$2:$X$2705,$B$2:$B$2705,B2552))</f>
        <v>-0.62160907692477</v>
      </c>
      <c r="Z2552" s="21" t="n">
        <f aca="false">P2552</f>
        <v>-0.81812949395651</v>
      </c>
      <c r="AA2552" s="3" t="n">
        <f aca="false">R2552</f>
        <v>0</v>
      </c>
      <c r="AB2552" s="21" t="n">
        <f aca="false">P2552</f>
        <v>-0.81812949395651</v>
      </c>
      <c r="AC2552" s="3" t="n">
        <f aca="false">Y2552</f>
        <v>-0.62160907692477</v>
      </c>
      <c r="AD2552" s="3" t="n">
        <f aca="false">R2552</f>
        <v>0</v>
      </c>
    </row>
    <row r="2553" customFormat="false" ht="15" hidden="false" customHeight="true" outlineLevel="0" collapsed="false">
      <c r="A2553" s="7" t="s">
        <v>73</v>
      </c>
      <c r="B2553" s="7" t="n">
        <v>2020</v>
      </c>
      <c r="C2553" s="7" t="s">
        <v>155</v>
      </c>
      <c r="D2553" s="7" t="n">
        <v>22</v>
      </c>
      <c r="E2553" s="7" t="n">
        <v>38</v>
      </c>
      <c r="F2553" s="3" t="n">
        <f aca="false">COUNTIFS($B$2:$B$2705,B2553,$C$2:$C$2705,C2553)</f>
        <v>1</v>
      </c>
      <c r="G2553" s="3" t="n">
        <f aca="false">MIN(INT((MIN(B2553,2020)-1900)/10)+1,12)</f>
        <v>12</v>
      </c>
      <c r="H2553" s="3" t="n">
        <f aca="false">(MIN(B2553,2020)-1900-10*(G2553-1))/10</f>
        <v>1</v>
      </c>
      <c r="I2553" s="20" t="n">
        <f aca="false">EXP(LN(INDEX(Pop_Inputs!$B$2:$N$29,MATCH(C2553,Pop_Inputs!$A$2:$A$29,0),G2553))*(1-H2553)+LN(INDEX(Pop_Inputs!$B$2:$N$29,MATCH(C2553,Pop_Inputs!$A$2:$A$29,0),G2553+1))*H2553)</f>
        <v>1304379</v>
      </c>
      <c r="J2553" s="20" t="n">
        <f aca="false">I2553/F2553</f>
        <v>1304379</v>
      </c>
      <c r="K2553" s="21" t="n">
        <f aca="false">D2553/(D2553+E2553)</f>
        <v>0.366666666666667</v>
      </c>
      <c r="L2553" s="21" t="n">
        <f aca="false">AVERAGEIFS($K$2:$K$2705,$B$2:$B$2705,B2553)</f>
        <v>0.499904214559387</v>
      </c>
      <c r="M2553" s="21" t="n">
        <f aca="false">K2553-L2553</f>
        <v>-0.13323754789272</v>
      </c>
      <c r="N2553" s="21" t="n">
        <f aca="false">LN(J2553)</f>
        <v>14.0812376234117</v>
      </c>
      <c r="O2553" s="21" t="n">
        <f aca="false">AVERAGEIFS($N$2:$N$2705,$B$2:$B$2705,B2553)</f>
        <v>13.6790216080491</v>
      </c>
      <c r="P2553" s="21" t="n">
        <f aca="false">N2553-O2553</f>
        <v>0.402216015362578</v>
      </c>
      <c r="Q2553" s="7" t="n">
        <v>1</v>
      </c>
      <c r="R2553" s="3" t="n">
        <f aca="false">IF(AND(Q2553=1,B2553-_xlfn.MINIFS($B$2:$B$2705,$A$2:$A$2705,A2553)&lt;10),1,0)</f>
        <v>0</v>
      </c>
      <c r="S2553" s="7" t="n">
        <v>0</v>
      </c>
      <c r="T2553" s="3" t="n">
        <f aca="false">_xlfn.MINIFS($B$2:$B$2705,$A$2:$A$2705,A2553)</f>
        <v>1961</v>
      </c>
      <c r="U2553" s="3" t="n">
        <f aca="false">B2553-T2553</f>
        <v>59</v>
      </c>
      <c r="V2553" s="3" t="str">
        <f aca="false">INDEX(Pop_Inputs!$Q$2:$Q$29,MATCH(C2553,Pop_Inputs!$A$2:$A$29,0))</f>
        <v>South</v>
      </c>
      <c r="W2553" s="29" t="n">
        <v>75194495</v>
      </c>
      <c r="X2553" s="3" t="n">
        <f aca="false">IF(W2553="","",LN(W2553))</f>
        <v>18.1355885814532</v>
      </c>
      <c r="Y2553" s="3" t="n">
        <f aca="false">IF(X2553="","",X2553-AVERAGEIFS($X$2:$X$2705,$B$2:$B$2705,B2553))</f>
        <v>0.317088292297619</v>
      </c>
      <c r="Z2553" s="21" t="n">
        <f aca="false">P2553</f>
        <v>0.402216015362578</v>
      </c>
      <c r="AA2553" s="3" t="n">
        <f aca="false">R2553</f>
        <v>0</v>
      </c>
      <c r="AB2553" s="21" t="n">
        <f aca="false">P2553</f>
        <v>0.402216015362578</v>
      </c>
      <c r="AC2553" s="3" t="n">
        <f aca="false">Y2553</f>
        <v>0.317088292297619</v>
      </c>
      <c r="AD2553" s="3" t="n">
        <f aca="false">R2553</f>
        <v>0</v>
      </c>
    </row>
    <row r="2554" customFormat="false" ht="15" hidden="false" customHeight="true" outlineLevel="0" collapsed="false">
      <c r="A2554" s="7" t="s">
        <v>81</v>
      </c>
      <c r="B2554" s="7" t="n">
        <v>2020</v>
      </c>
      <c r="C2554" s="7" t="s">
        <v>162</v>
      </c>
      <c r="D2554" s="7" t="n">
        <v>32</v>
      </c>
      <c r="E2554" s="7" t="n">
        <v>28</v>
      </c>
      <c r="F2554" s="3" t="n">
        <f aca="false">COUNTIFS($B$2:$B$2705,B2554,$C$2:$C$2705,C2554)</f>
        <v>1</v>
      </c>
      <c r="G2554" s="3" t="n">
        <f aca="false">MIN(INT((MIN(B2554,2020)-1900)/10)+1,12)</f>
        <v>12</v>
      </c>
      <c r="H2554" s="3" t="n">
        <f aca="false">(MIN(B2554,2020)-1900-10*(G2554-1))/10</f>
        <v>1</v>
      </c>
      <c r="I2554" s="20" t="n">
        <f aca="false">EXP(LN(INDEX(Pop_Inputs!$B$2:$N$29,MATCH(C2554,Pop_Inputs!$A$2:$A$29,0),G2554))*(1-H2554)+LN(INDEX(Pop_Inputs!$B$2:$N$29,MATCH(C2554,Pop_Inputs!$A$2:$A$29,0),G2554+1))*H2554)</f>
        <v>2794356</v>
      </c>
      <c r="J2554" s="20" t="n">
        <f aca="false">I2554/F2554</f>
        <v>2794356</v>
      </c>
      <c r="K2554" s="21" t="n">
        <f aca="false">D2554/(D2554+E2554)</f>
        <v>0.533333333333333</v>
      </c>
      <c r="L2554" s="21" t="n">
        <f aca="false">AVERAGEIFS($K$2:$K$2705,$B$2:$B$2705,B2554)</f>
        <v>0.499904214559387</v>
      </c>
      <c r="M2554" s="21" t="n">
        <f aca="false">K2554-L2554</f>
        <v>0.0334291187739463</v>
      </c>
      <c r="N2554" s="21" t="n">
        <f aca="false">LN(J2554)</f>
        <v>14.8431122265735</v>
      </c>
      <c r="O2554" s="21" t="n">
        <f aca="false">AVERAGEIFS($N$2:$N$2705,$B$2:$B$2705,B2554)</f>
        <v>13.6790216080491</v>
      </c>
      <c r="P2554" s="21" t="n">
        <f aca="false">N2554-O2554</f>
        <v>1.16409061852442</v>
      </c>
      <c r="Q2554" s="7" t="n">
        <v>1</v>
      </c>
      <c r="R2554" s="3" t="n">
        <f aca="false">IF(AND(Q2554=1,B2554-_xlfn.MINIFS($B$2:$B$2705,$A$2:$A$2705,A2554)&lt;10),1,0)</f>
        <v>0</v>
      </c>
      <c r="S2554" s="7" t="n">
        <v>0</v>
      </c>
      <c r="T2554" s="3" t="n">
        <f aca="false">_xlfn.MINIFS($B$2:$B$2705,$A$2:$A$2705,A2554)</f>
        <v>1977</v>
      </c>
      <c r="U2554" s="3" t="n">
        <f aca="false">B2554-T2554</f>
        <v>43</v>
      </c>
      <c r="V2554" s="3" t="str">
        <f aca="false">INDEX(Pop_Inputs!$Q$2:$Q$29,MATCH(C2554,Pop_Inputs!$A$2:$A$29,0))</f>
        <v>Canada</v>
      </c>
      <c r="W2554" s="29" t="n">
        <v>54610530</v>
      </c>
      <c r="X2554" s="3" t="n">
        <f aca="false">IF(W2554="","",LN(W2554))</f>
        <v>17.8157372792634</v>
      </c>
      <c r="Y2554" s="3" t="n">
        <f aca="false">IF(X2554="","",X2554-AVERAGEIFS($X$2:$X$2705,$B$2:$B$2705,B2554))</f>
        <v>-0.00276300989217404</v>
      </c>
      <c r="Z2554" s="21" t="n">
        <f aca="false">P2554</f>
        <v>1.16409061852442</v>
      </c>
      <c r="AA2554" s="3" t="n">
        <f aca="false">R2554</f>
        <v>0</v>
      </c>
      <c r="AB2554" s="21" t="n">
        <f aca="false">P2554</f>
        <v>1.16409061852442</v>
      </c>
      <c r="AC2554" s="3" t="n">
        <f aca="false">Y2554</f>
        <v>-0.00276300989217404</v>
      </c>
      <c r="AD2554" s="3" t="n">
        <f aca="false">R2554</f>
        <v>0</v>
      </c>
    </row>
    <row r="2555" customFormat="false" ht="15" hidden="false" customHeight="true" outlineLevel="0" collapsed="false">
      <c r="A2555" s="7" t="s">
        <v>79</v>
      </c>
      <c r="B2555" s="7" t="n">
        <v>2020</v>
      </c>
      <c r="C2555" s="7" t="s">
        <v>160</v>
      </c>
      <c r="D2555" s="7" t="n">
        <v>26</v>
      </c>
      <c r="E2555" s="7" t="n">
        <v>34</v>
      </c>
      <c r="F2555" s="3" t="n">
        <f aca="false">COUNTIFS($B$2:$B$2705,B2555,$C$2:$C$2705,C2555)</f>
        <v>1</v>
      </c>
      <c r="G2555" s="3" t="n">
        <f aca="false">MIN(INT((MIN(B2555,2020)-1900)/10)+1,12)</f>
        <v>12</v>
      </c>
      <c r="H2555" s="3" t="n">
        <f aca="false">(MIN(B2555,2020)-1900-10*(G2555-1))/10</f>
        <v>1</v>
      </c>
      <c r="I2555" s="20" t="n">
        <f aca="false">EXP(LN(INDEX(Pop_Inputs!$B$2:$N$29,MATCH(C2555,Pop_Inputs!$A$2:$A$29,0),G2555))*(1-H2555)+LN(INDEX(Pop_Inputs!$B$2:$N$29,MATCH(C2555,Pop_Inputs!$A$2:$A$29,0),G2555+1))*H2555)</f>
        <v>689545</v>
      </c>
      <c r="J2555" s="20" t="n">
        <f aca="false">I2555/F2555</f>
        <v>689545</v>
      </c>
      <c r="K2555" s="21" t="n">
        <f aca="false">D2555/(D2555+E2555)</f>
        <v>0.433333333333333</v>
      </c>
      <c r="L2555" s="21" t="n">
        <f aca="false">AVERAGEIFS($K$2:$K$2705,$B$2:$B$2705,B2555)</f>
        <v>0.499904214559387</v>
      </c>
      <c r="M2555" s="21" t="n">
        <f aca="false">K2555-L2555</f>
        <v>-0.0665708812260537</v>
      </c>
      <c r="N2555" s="21" t="n">
        <f aca="false">LN(J2555)</f>
        <v>13.4437872387704</v>
      </c>
      <c r="O2555" s="21" t="n">
        <f aca="false">AVERAGEIFS($N$2:$N$2705,$B$2:$B$2705,B2555)</f>
        <v>13.6790216080491</v>
      </c>
      <c r="P2555" s="21" t="n">
        <f aca="false">N2555-O2555</f>
        <v>-0.2352343692787</v>
      </c>
      <c r="Q2555" s="7" t="n">
        <v>1</v>
      </c>
      <c r="R2555" s="3" t="n">
        <f aca="false">IF(AND(Q2555=1,B2555-_xlfn.MINIFS($B$2:$B$2705,$A$2:$A$2705,A2555)&lt;10),1,0)</f>
        <v>0</v>
      </c>
      <c r="S2555" s="7" t="n">
        <v>0</v>
      </c>
      <c r="T2555" s="3" t="n">
        <f aca="false">_xlfn.MINIFS($B$2:$B$2705,$A$2:$A$2705,A2555)</f>
        <v>1969</v>
      </c>
      <c r="U2555" s="3" t="n">
        <f aca="false">B2555-T2555</f>
        <v>51</v>
      </c>
      <c r="V2555" s="3" t="str">
        <f aca="false">INDEX(Pop_Inputs!$Q$2:$Q$29,MATCH(C2555,Pop_Inputs!$A$2:$A$29,0))</f>
        <v>South</v>
      </c>
      <c r="W2555" s="29" t="n">
        <v>76195840</v>
      </c>
      <c r="X2555" s="3" t="n">
        <f aca="false">IF(W2555="","",LN(W2555))</f>
        <v>18.1488174259908</v>
      </c>
      <c r="Y2555" s="3" t="n">
        <f aca="false">IF(X2555="","",X2555-AVERAGEIFS($X$2:$X$2705,$B$2:$B$2705,B2555))</f>
        <v>0.330317136835145</v>
      </c>
      <c r="Z2555" s="21" t="n">
        <f aca="false">P2555</f>
        <v>-0.2352343692787</v>
      </c>
      <c r="AA2555" s="3" t="n">
        <f aca="false">R2555</f>
        <v>0</v>
      </c>
      <c r="AB2555" s="21" t="n">
        <f aca="false">P2555</f>
        <v>-0.2352343692787</v>
      </c>
      <c r="AC2555" s="3" t="n">
        <f aca="false">Y2555</f>
        <v>0.330317136835145</v>
      </c>
      <c r="AD2555" s="3" t="n">
        <f aca="false">R2555</f>
        <v>0</v>
      </c>
    </row>
    <row r="2556" customFormat="false" ht="15" hidden="false" customHeight="true" outlineLevel="0" collapsed="false">
      <c r="A2556" s="7" t="s">
        <v>71</v>
      </c>
      <c r="B2556" s="7" t="n">
        <v>2021</v>
      </c>
      <c r="C2556" s="7" t="s">
        <v>148</v>
      </c>
      <c r="D2556" s="7" t="n">
        <v>77</v>
      </c>
      <c r="E2556" s="7" t="n">
        <v>85</v>
      </c>
      <c r="F2556" s="3" t="n">
        <f aca="false">COUNTIFS($B$2:$B$2705,B2556,$C$2:$C$2705,C2556)</f>
        <v>2</v>
      </c>
      <c r="G2556" s="3" t="n">
        <f aca="false">MIN(INT((MIN(B2556,2020)-1900)/10)+1,12)</f>
        <v>12</v>
      </c>
      <c r="H2556" s="3" t="n">
        <f aca="false">(MIN(B2556,2020)-1900-10*(G2556-1))/10</f>
        <v>1</v>
      </c>
      <c r="I2556" s="20" t="n">
        <f aca="false">EXP(LN(INDEX(Pop_Inputs!$B$2:$N$29,MATCH(C2556,Pop_Inputs!$A$2:$A$29,0),G2556))*(1-H2556)+LN(INDEX(Pop_Inputs!$B$2:$N$29,MATCH(C2556,Pop_Inputs!$A$2:$A$29,0),G2556+1))*H2556)</f>
        <v>3898747</v>
      </c>
      <c r="J2556" s="20" t="n">
        <f aca="false">I2556/F2556</f>
        <v>1949373.5</v>
      </c>
      <c r="K2556" s="21" t="n">
        <f aca="false">D2556/(D2556+E2556)</f>
        <v>0.475308641975309</v>
      </c>
      <c r="L2556" s="21" t="n">
        <f aca="false">AVERAGEIFS($K$2:$K$2705,$B$2:$B$2705,B2556)</f>
        <v>0.500001278020602</v>
      </c>
      <c r="M2556" s="21" t="n">
        <f aca="false">K2556-L2556</f>
        <v>-0.024692636045293</v>
      </c>
      <c r="N2556" s="21" t="n">
        <f aca="false">LN(J2556)</f>
        <v>14.4830185968665</v>
      </c>
      <c r="O2556" s="21" t="n">
        <f aca="false">AVERAGEIFS($N$2:$N$2705,$B$2:$B$2705,B2556)</f>
        <v>13.6790216080491</v>
      </c>
      <c r="P2556" s="21" t="n">
        <f aca="false">N2556-O2556</f>
        <v>0.80399698881741</v>
      </c>
      <c r="Q2556" s="7" t="n">
        <v>1</v>
      </c>
      <c r="R2556" s="3" t="n">
        <f aca="false">IF(AND(Q2556=1,B2556-_xlfn.MINIFS($B$2:$B$2705,$A$2:$A$2705,A2556)&lt;10),1,0)</f>
        <v>0</v>
      </c>
      <c r="S2556" s="7" t="n">
        <v>0</v>
      </c>
      <c r="T2556" s="3" t="n">
        <f aca="false">_xlfn.MINIFS($B$2:$B$2705,$A$2:$A$2705,A2556)</f>
        <v>1961</v>
      </c>
      <c r="U2556" s="3" t="n">
        <f aca="false">B2556-T2556</f>
        <v>60</v>
      </c>
      <c r="V2556" s="3" t="str">
        <f aca="false">INDEX(Pop_Inputs!$Q$2:$Q$29,MATCH(C2556,Pop_Inputs!$A$2:$A$29,0))</f>
        <v>West</v>
      </c>
      <c r="W2556" s="29" t="n">
        <v>182925936</v>
      </c>
      <c r="X2556" s="3" t="n">
        <f aca="false">IF(W2556="","",LN(W2556))</f>
        <v>19.0245919075724</v>
      </c>
      <c r="Y2556" s="3" t="n">
        <f aca="false">IF(X2556="","",X2556-AVERAGEIFS($X$2:$X$2705,$B$2:$B$2705,B2556))</f>
        <v>0.389300619323357</v>
      </c>
      <c r="Z2556" s="21" t="n">
        <f aca="false">P2556</f>
        <v>0.80399698881741</v>
      </c>
      <c r="AA2556" s="3" t="n">
        <f aca="false">R2556</f>
        <v>0</v>
      </c>
      <c r="AB2556" s="21" t="n">
        <f aca="false">P2556</f>
        <v>0.80399698881741</v>
      </c>
      <c r="AC2556" s="3" t="n">
        <f aca="false">Y2556</f>
        <v>0.389300619323357</v>
      </c>
      <c r="AD2556" s="3" t="n">
        <f aca="false">R2556</f>
        <v>0</v>
      </c>
    </row>
    <row r="2557" customFormat="false" ht="15" hidden="false" customHeight="true" outlineLevel="0" collapsed="false">
      <c r="A2557" s="7" t="s">
        <v>84</v>
      </c>
      <c r="B2557" s="7" t="n">
        <v>2021</v>
      </c>
      <c r="C2557" s="7" t="s">
        <v>165</v>
      </c>
      <c r="D2557" s="7" t="n">
        <v>52</v>
      </c>
      <c r="E2557" s="7" t="n">
        <v>110</v>
      </c>
      <c r="F2557" s="3" t="n">
        <f aca="false">COUNTIFS($B$2:$B$2705,B2557,$C$2:$C$2705,C2557)</f>
        <v>1</v>
      </c>
      <c r="G2557" s="3" t="n">
        <f aca="false">MIN(INT((MIN(B2557,2020)-1900)/10)+1,12)</f>
        <v>12</v>
      </c>
      <c r="H2557" s="3" t="n">
        <f aca="false">(MIN(B2557,2020)-1900-10*(G2557-1))/10</f>
        <v>1</v>
      </c>
      <c r="I2557" s="20" t="n">
        <f aca="false">EXP(LN(INDEX(Pop_Inputs!$B$2:$N$29,MATCH(C2557,Pop_Inputs!$A$2:$A$29,0),G2557))*(1-H2557)+LN(INDEX(Pop_Inputs!$B$2:$N$29,MATCH(C2557,Pop_Inputs!$A$2:$A$29,0),G2557+1))*H2557)</f>
        <v>1608139</v>
      </c>
      <c r="J2557" s="20" t="n">
        <f aca="false">I2557/F2557</f>
        <v>1608139</v>
      </c>
      <c r="K2557" s="21" t="n">
        <f aca="false">D2557/(D2557+E2557)</f>
        <v>0.320987654320988</v>
      </c>
      <c r="L2557" s="21" t="n">
        <f aca="false">AVERAGEIFS($K$2:$K$2705,$B$2:$B$2705,B2557)</f>
        <v>0.500001278020602</v>
      </c>
      <c r="M2557" s="21" t="n">
        <f aca="false">K2557-L2557</f>
        <v>-0.179013623699614</v>
      </c>
      <c r="N2557" s="21" t="n">
        <f aca="false">LN(J2557)</f>
        <v>14.2905881677712</v>
      </c>
      <c r="O2557" s="21" t="n">
        <f aca="false">AVERAGEIFS($N$2:$N$2705,$B$2:$B$2705,B2557)</f>
        <v>13.6790216080491</v>
      </c>
      <c r="P2557" s="21" t="n">
        <f aca="false">N2557-O2557</f>
        <v>0.611566559722055</v>
      </c>
      <c r="Q2557" s="7" t="n">
        <v>1</v>
      </c>
      <c r="R2557" s="3" t="n">
        <f aca="false">IF(AND(Q2557=1,B2557-_xlfn.MINIFS($B$2:$B$2705,$A$2:$A$2705,A2557)&lt;10),1,0)</f>
        <v>0</v>
      </c>
      <c r="S2557" s="7" t="n">
        <v>0</v>
      </c>
      <c r="T2557" s="3" t="n">
        <f aca="false">_xlfn.MINIFS($B$2:$B$2705,$A$2:$A$2705,A2557)</f>
        <v>1998</v>
      </c>
      <c r="U2557" s="3" t="n">
        <f aca="false">B2557-T2557</f>
        <v>23</v>
      </c>
      <c r="V2557" s="3" t="str">
        <f aca="false">INDEX(Pop_Inputs!$Q$2:$Q$29,MATCH(C2557,Pop_Inputs!$A$2:$A$29,0))</f>
        <v>West</v>
      </c>
      <c r="W2557" s="29" t="n">
        <v>99951436</v>
      </c>
      <c r="X2557" s="3" t="n">
        <f aca="false">IF(W2557="","",LN(W2557))</f>
        <v>18.4201949859911</v>
      </c>
      <c r="Y2557" s="3" t="n">
        <f aca="false">IF(X2557="","",X2557-AVERAGEIFS($X$2:$X$2705,$B$2:$B$2705,B2557))</f>
        <v>-0.215096302258022</v>
      </c>
      <c r="Z2557" s="21" t="n">
        <f aca="false">P2557</f>
        <v>0.611566559722055</v>
      </c>
      <c r="AA2557" s="3" t="n">
        <f aca="false">R2557</f>
        <v>0</v>
      </c>
      <c r="AB2557" s="21" t="n">
        <f aca="false">P2557</f>
        <v>0.611566559722055</v>
      </c>
      <c r="AC2557" s="3" t="n">
        <f aca="false">Y2557</f>
        <v>-0.215096302258022</v>
      </c>
      <c r="AD2557" s="3" t="n">
        <f aca="false">R2557</f>
        <v>0</v>
      </c>
    </row>
    <row r="2558" customFormat="false" ht="15" hidden="false" customHeight="true" outlineLevel="0" collapsed="false">
      <c r="A2558" s="7" t="s">
        <v>54</v>
      </c>
      <c r="B2558" s="7" t="n">
        <v>2021</v>
      </c>
      <c r="C2558" s="7" t="s">
        <v>141</v>
      </c>
      <c r="D2558" s="7" t="n">
        <v>88</v>
      </c>
      <c r="E2558" s="7" t="n">
        <v>73</v>
      </c>
      <c r="F2558" s="3" t="n">
        <f aca="false">COUNTIFS($B$2:$B$2705,B2558,$C$2:$C$2705,C2558)</f>
        <v>1</v>
      </c>
      <c r="G2558" s="3" t="n">
        <f aca="false">MIN(INT((MIN(B2558,2020)-1900)/10)+1,12)</f>
        <v>12</v>
      </c>
      <c r="H2558" s="3" t="n">
        <f aca="false">(MIN(B2558,2020)-1900-10*(G2558-1))/10</f>
        <v>1</v>
      </c>
      <c r="I2558" s="20" t="n">
        <f aca="false">EXP(LN(INDEX(Pop_Inputs!$B$2:$N$29,MATCH(C2558,Pop_Inputs!$A$2:$A$29,0),G2558))*(1-H2558)+LN(INDEX(Pop_Inputs!$B$2:$N$29,MATCH(C2558,Pop_Inputs!$A$2:$A$29,0),G2558+1))*H2558)</f>
        <v>498715</v>
      </c>
      <c r="J2558" s="20" t="n">
        <f aca="false">I2558/F2558</f>
        <v>498715</v>
      </c>
      <c r="K2558" s="21" t="n">
        <f aca="false">D2558/(D2558+E2558)</f>
        <v>0.546583850931677</v>
      </c>
      <c r="L2558" s="21" t="n">
        <f aca="false">AVERAGEIFS($K$2:$K$2705,$B$2:$B$2705,B2558)</f>
        <v>0.500001278020602</v>
      </c>
      <c r="M2558" s="21" t="n">
        <f aca="false">K2558-L2558</f>
        <v>0.0465825729110754</v>
      </c>
      <c r="N2558" s="21" t="n">
        <f aca="false">LN(J2558)</f>
        <v>13.1197900692852</v>
      </c>
      <c r="O2558" s="21" t="n">
        <f aca="false">AVERAGEIFS($N$2:$N$2705,$B$2:$B$2705,B2558)</f>
        <v>13.6790216080491</v>
      </c>
      <c r="P2558" s="21" t="n">
        <f aca="false">N2558-O2558</f>
        <v>-0.5592315387639</v>
      </c>
      <c r="Q2558" s="7" t="n">
        <v>0</v>
      </c>
      <c r="R2558" s="3" t="n">
        <f aca="false">IF(AND(Q2558=1,B2558-_xlfn.MINIFS($B$2:$B$2705,$A$2:$A$2705,A2558)&lt;10),1,0)</f>
        <v>0</v>
      </c>
      <c r="S2558" s="7" t="n">
        <v>0</v>
      </c>
      <c r="T2558" s="3" t="n">
        <f aca="false">_xlfn.MINIFS($B$2:$B$2705,$A$2:$A$2705,A2558)</f>
        <v>1901</v>
      </c>
      <c r="U2558" s="3" t="n">
        <f aca="false">B2558-T2558</f>
        <v>120</v>
      </c>
      <c r="V2558" s="3" t="str">
        <f aca="false">INDEX(Pop_Inputs!$Q$2:$Q$29,MATCH(C2558,Pop_Inputs!$A$2:$A$29,0))</f>
        <v>South</v>
      </c>
      <c r="W2558" s="29" t="n">
        <v>148497447</v>
      </c>
      <c r="X2558" s="3" t="n">
        <f aca="false">IF(W2558="","",LN(W2558))</f>
        <v>18.8160783241401</v>
      </c>
      <c r="Y2558" s="3" t="n">
        <f aca="false">IF(X2558="","",X2558-AVERAGEIFS($X$2:$X$2705,$B$2:$B$2705,B2558))</f>
        <v>0.180787035890965</v>
      </c>
      <c r="Z2558" s="21" t="n">
        <f aca="false">P2558</f>
        <v>-0.5592315387639</v>
      </c>
      <c r="AA2558" s="3" t="n">
        <f aca="false">R2558</f>
        <v>0</v>
      </c>
      <c r="AB2558" s="21" t="n">
        <f aca="false">P2558</f>
        <v>-0.5592315387639</v>
      </c>
      <c r="AC2558" s="3" t="n">
        <f aca="false">Y2558</f>
        <v>0.180787035890965</v>
      </c>
      <c r="AD2558" s="3" t="n">
        <f aca="false">R2558</f>
        <v>0</v>
      </c>
    </row>
    <row r="2559" customFormat="false" ht="15" hidden="false" customHeight="true" outlineLevel="0" collapsed="false">
      <c r="A2559" s="7" t="s">
        <v>63</v>
      </c>
      <c r="B2559" s="7" t="n">
        <v>2021</v>
      </c>
      <c r="C2559" s="7" t="s">
        <v>149</v>
      </c>
      <c r="D2559" s="7" t="n">
        <v>52</v>
      </c>
      <c r="E2559" s="7" t="n">
        <v>110</v>
      </c>
      <c r="F2559" s="3" t="n">
        <f aca="false">COUNTIFS($B$2:$B$2705,B2559,$C$2:$C$2705,C2559)</f>
        <v>1</v>
      </c>
      <c r="G2559" s="3" t="n">
        <f aca="false">MIN(INT((MIN(B2559,2020)-1900)/10)+1,12)</f>
        <v>12</v>
      </c>
      <c r="H2559" s="3" t="n">
        <f aca="false">(MIN(B2559,2020)-1900-10*(G2559-1))/10</f>
        <v>1</v>
      </c>
      <c r="I2559" s="20" t="n">
        <f aca="false">EXP(LN(INDEX(Pop_Inputs!$B$2:$N$29,MATCH(C2559,Pop_Inputs!$A$2:$A$29,0),G2559))*(1-H2559)+LN(INDEX(Pop_Inputs!$B$2:$N$29,MATCH(C2559,Pop_Inputs!$A$2:$A$29,0),G2559+1))*H2559)</f>
        <v>585708.000000001</v>
      </c>
      <c r="J2559" s="20" t="n">
        <f aca="false">I2559/F2559</f>
        <v>585708.000000001</v>
      </c>
      <c r="K2559" s="21" t="n">
        <f aca="false">D2559/(D2559+E2559)</f>
        <v>0.320987654320988</v>
      </c>
      <c r="L2559" s="21" t="n">
        <f aca="false">AVERAGEIFS($K$2:$K$2705,$B$2:$B$2705,B2559)</f>
        <v>0.500001278020602</v>
      </c>
      <c r="M2559" s="21" t="n">
        <f aca="false">K2559-L2559</f>
        <v>-0.179013623699614</v>
      </c>
      <c r="N2559" s="21" t="n">
        <f aca="false">LN(J2559)</f>
        <v>13.2805766508543</v>
      </c>
      <c r="O2559" s="21" t="n">
        <f aca="false">AVERAGEIFS($N$2:$N$2705,$B$2:$B$2705,B2559)</f>
        <v>13.6790216080491</v>
      </c>
      <c r="P2559" s="21" t="n">
        <f aca="false">N2559-O2559</f>
        <v>-0.39844495719478</v>
      </c>
      <c r="Q2559" s="7" t="n">
        <v>0</v>
      </c>
      <c r="R2559" s="3" t="n">
        <f aca="false">IF(AND(Q2559=1,B2559-_xlfn.MINIFS($B$2:$B$2705,$A$2:$A$2705,A2559)&lt;10),1,0)</f>
        <v>0</v>
      </c>
      <c r="S2559" s="7" t="n">
        <v>0</v>
      </c>
      <c r="T2559" s="3" t="n">
        <f aca="false">_xlfn.MINIFS($B$2:$B$2705,$A$2:$A$2705,A2559)</f>
        <v>1901</v>
      </c>
      <c r="U2559" s="3" t="n">
        <f aca="false">B2559-T2559</f>
        <v>120</v>
      </c>
      <c r="V2559" s="3" t="str">
        <f aca="false">INDEX(Pop_Inputs!$Q$2:$Q$29,MATCH(C2559,Pop_Inputs!$A$2:$A$29,0))</f>
        <v>South</v>
      </c>
      <c r="W2559" s="29" t="n">
        <v>59054021</v>
      </c>
      <c r="X2559" s="3" t="n">
        <f aca="false">IF(W2559="","",LN(W2559))</f>
        <v>17.8939631931242</v>
      </c>
      <c r="Y2559" s="3" t="n">
        <f aca="false">IF(X2559="","",X2559-AVERAGEIFS($X$2:$X$2705,$B$2:$B$2705,B2559))</f>
        <v>-0.741328095124906</v>
      </c>
      <c r="Z2559" s="21" t="n">
        <f aca="false">P2559</f>
        <v>-0.39844495719478</v>
      </c>
      <c r="AA2559" s="3" t="n">
        <f aca="false">R2559</f>
        <v>0</v>
      </c>
      <c r="AB2559" s="21" t="n">
        <f aca="false">P2559</f>
        <v>-0.39844495719478</v>
      </c>
      <c r="AC2559" s="3" t="n">
        <f aca="false">Y2559</f>
        <v>-0.741328095124906</v>
      </c>
      <c r="AD2559" s="3" t="n">
        <f aca="false">R2559</f>
        <v>0</v>
      </c>
    </row>
    <row r="2560" customFormat="false" ht="15" hidden="false" customHeight="true" outlineLevel="0" collapsed="false">
      <c r="A2560" s="7" t="s">
        <v>64</v>
      </c>
      <c r="B2560" s="7" t="n">
        <v>2021</v>
      </c>
      <c r="C2560" s="7" t="s">
        <v>150</v>
      </c>
      <c r="D2560" s="7" t="n">
        <v>92</v>
      </c>
      <c r="E2560" s="7" t="n">
        <v>70</v>
      </c>
      <c r="F2560" s="3" t="n">
        <f aca="false">COUNTIFS($B$2:$B$2705,B2560,$C$2:$C$2705,C2560)</f>
        <v>1</v>
      </c>
      <c r="G2560" s="3" t="n">
        <f aca="false">MIN(INT((MIN(B2560,2020)-1900)/10)+1,12)</f>
        <v>12</v>
      </c>
      <c r="H2560" s="3" t="n">
        <f aca="false">(MIN(B2560,2020)-1900-10*(G2560-1))/10</f>
        <v>1</v>
      </c>
      <c r="I2560" s="20" t="n">
        <f aca="false">EXP(LN(INDEX(Pop_Inputs!$B$2:$N$29,MATCH(C2560,Pop_Inputs!$A$2:$A$29,0),G2560))*(1-H2560)+LN(INDEX(Pop_Inputs!$B$2:$N$29,MATCH(C2560,Pop_Inputs!$A$2:$A$29,0),G2560+1))*H2560)</f>
        <v>675647.000000001</v>
      </c>
      <c r="J2560" s="20" t="n">
        <f aca="false">I2560/F2560</f>
        <v>675647.000000001</v>
      </c>
      <c r="K2560" s="21" t="n">
        <f aca="false">D2560/(D2560+E2560)</f>
        <v>0.567901234567901</v>
      </c>
      <c r="L2560" s="21" t="n">
        <f aca="false">AVERAGEIFS($K$2:$K$2705,$B$2:$B$2705,B2560)</f>
        <v>0.500001278020602</v>
      </c>
      <c r="M2560" s="21" t="n">
        <f aca="false">K2560-L2560</f>
        <v>0.0678999565472995</v>
      </c>
      <c r="N2560" s="21" t="n">
        <f aca="false">LN(J2560)</f>
        <v>13.4234260292876</v>
      </c>
      <c r="O2560" s="21" t="n">
        <f aca="false">AVERAGEIFS($N$2:$N$2705,$B$2:$B$2705,B2560)</f>
        <v>13.6790216080491</v>
      </c>
      <c r="P2560" s="21" t="n">
        <f aca="false">N2560-O2560</f>
        <v>-0.255595578761453</v>
      </c>
      <c r="Q2560" s="7" t="n">
        <v>0</v>
      </c>
      <c r="R2560" s="3" t="n">
        <f aca="false">IF(AND(Q2560=1,B2560-_xlfn.MINIFS($B$2:$B$2705,$A$2:$A$2705,A2560)&lt;10),1,0)</f>
        <v>0</v>
      </c>
      <c r="S2560" s="7" t="n">
        <v>0</v>
      </c>
      <c r="T2560" s="3" t="n">
        <f aca="false">_xlfn.MINIFS($B$2:$B$2705,$A$2:$A$2705,A2560)</f>
        <v>1901</v>
      </c>
      <c r="U2560" s="3" t="n">
        <f aca="false">B2560-T2560</f>
        <v>120</v>
      </c>
      <c r="V2560" s="3" t="str">
        <f aca="false">INDEX(Pop_Inputs!$Q$2:$Q$29,MATCH(C2560,Pop_Inputs!$A$2:$A$29,0))</f>
        <v>Northeast</v>
      </c>
      <c r="W2560" s="29" t="n">
        <v>187356913</v>
      </c>
      <c r="X2560" s="3" t="n">
        <f aca="false">IF(W2560="","",LN(W2560))</f>
        <v>19.0485259813756</v>
      </c>
      <c r="Y2560" s="3" t="n">
        <f aca="false">IF(X2560="","",X2560-AVERAGEIFS($X$2:$X$2705,$B$2:$B$2705,B2560))</f>
        <v>0.413234693126551</v>
      </c>
      <c r="Z2560" s="21" t="n">
        <f aca="false">P2560</f>
        <v>-0.255595578761453</v>
      </c>
      <c r="AA2560" s="3" t="n">
        <f aca="false">R2560</f>
        <v>0</v>
      </c>
      <c r="AB2560" s="21" t="n">
        <f aca="false">P2560</f>
        <v>-0.255595578761453</v>
      </c>
      <c r="AC2560" s="3" t="n">
        <f aca="false">Y2560</f>
        <v>0.413234693126551</v>
      </c>
      <c r="AD2560" s="3" t="n">
        <f aca="false">R2560</f>
        <v>0</v>
      </c>
    </row>
    <row r="2561" customFormat="false" ht="15" hidden="false" customHeight="true" outlineLevel="0" collapsed="false">
      <c r="A2561" s="7" t="s">
        <v>56</v>
      </c>
      <c r="B2561" s="7" t="n">
        <v>2021</v>
      </c>
      <c r="C2561" s="7" t="s">
        <v>142</v>
      </c>
      <c r="D2561" s="7" t="n">
        <v>71</v>
      </c>
      <c r="E2561" s="7" t="n">
        <v>91</v>
      </c>
      <c r="F2561" s="3" t="n">
        <f aca="false">COUNTIFS($B$2:$B$2705,B2561,$C$2:$C$2705,C2561)</f>
        <v>2</v>
      </c>
      <c r="G2561" s="3" t="n">
        <f aca="false">MIN(INT((MIN(B2561,2020)-1900)/10)+1,12)</f>
        <v>12</v>
      </c>
      <c r="H2561" s="3" t="n">
        <f aca="false">(MIN(B2561,2020)-1900-10*(G2561-1))/10</f>
        <v>1</v>
      </c>
      <c r="I2561" s="20" t="n">
        <f aca="false">EXP(LN(INDEX(Pop_Inputs!$B$2:$N$29,MATCH(C2561,Pop_Inputs!$A$2:$A$29,0),G2561))*(1-H2561)+LN(INDEX(Pop_Inputs!$B$2:$N$29,MATCH(C2561,Pop_Inputs!$A$2:$A$29,0),G2561+1))*H2561)</f>
        <v>2746388</v>
      </c>
      <c r="J2561" s="20" t="n">
        <f aca="false">I2561/F2561</f>
        <v>1373194</v>
      </c>
      <c r="K2561" s="21" t="n">
        <f aca="false">D2561/(D2561+E2561)</f>
        <v>0.438271604938272</v>
      </c>
      <c r="L2561" s="21" t="n">
        <f aca="false">AVERAGEIFS($K$2:$K$2705,$B$2:$B$2705,B2561)</f>
        <v>0.500001278020602</v>
      </c>
      <c r="M2561" s="21" t="n">
        <f aca="false">K2561-L2561</f>
        <v>-0.0617296730823301</v>
      </c>
      <c r="N2561" s="21" t="n">
        <f aca="false">LN(J2561)</f>
        <v>14.1326499711999</v>
      </c>
      <c r="O2561" s="21" t="n">
        <f aca="false">AVERAGEIFS($N$2:$N$2705,$B$2:$B$2705,B2561)</f>
        <v>13.6790216080491</v>
      </c>
      <c r="P2561" s="21" t="n">
        <f aca="false">N2561-O2561</f>
        <v>0.453628363150779</v>
      </c>
      <c r="Q2561" s="7" t="n">
        <v>0</v>
      </c>
      <c r="R2561" s="3" t="n">
        <f aca="false">IF(AND(Q2561=1,B2561-_xlfn.MINIFS($B$2:$B$2705,$A$2:$A$2705,A2561)&lt;10),1,0)</f>
        <v>0</v>
      </c>
      <c r="S2561" s="7" t="n">
        <v>0</v>
      </c>
      <c r="T2561" s="3" t="n">
        <f aca="false">_xlfn.MINIFS($B$2:$B$2705,$A$2:$A$2705,A2561)</f>
        <v>1901</v>
      </c>
      <c r="U2561" s="3" t="n">
        <f aca="false">B2561-T2561</f>
        <v>120</v>
      </c>
      <c r="V2561" s="3" t="str">
        <f aca="false">INDEX(Pop_Inputs!$Q$2:$Q$29,MATCH(C2561,Pop_Inputs!$A$2:$A$29,0))</f>
        <v>Midwest</v>
      </c>
      <c r="W2561" s="29" t="n">
        <v>152189618</v>
      </c>
      <c r="X2561" s="3" t="n">
        <f aca="false">IF(W2561="","",LN(W2561))</f>
        <v>18.8406377881875</v>
      </c>
      <c r="Y2561" s="3" t="n">
        <f aca="false">IF(X2561="","",X2561-AVERAGEIFS($X$2:$X$2705,$B$2:$B$2705,B2561))</f>
        <v>0.205346499938376</v>
      </c>
      <c r="Z2561" s="21" t="n">
        <f aca="false">P2561</f>
        <v>0.453628363150779</v>
      </c>
      <c r="AA2561" s="3" t="n">
        <f aca="false">R2561</f>
        <v>0</v>
      </c>
      <c r="AB2561" s="21" t="n">
        <f aca="false">P2561</f>
        <v>0.453628363150779</v>
      </c>
      <c r="AC2561" s="3" t="n">
        <f aca="false">Y2561</f>
        <v>0.205346499938376</v>
      </c>
      <c r="AD2561" s="3" t="n">
        <f aca="false">R2561</f>
        <v>0</v>
      </c>
    </row>
    <row r="2562" customFormat="false" ht="15" hidden="false" customHeight="true" outlineLevel="0" collapsed="false">
      <c r="A2562" s="7" t="s">
        <v>65</v>
      </c>
      <c r="B2562" s="7" t="n">
        <v>2021</v>
      </c>
      <c r="C2562" s="7" t="s">
        <v>142</v>
      </c>
      <c r="D2562" s="7" t="n">
        <v>93</v>
      </c>
      <c r="E2562" s="7" t="n">
        <v>69</v>
      </c>
      <c r="F2562" s="3" t="n">
        <f aca="false">COUNTIFS($B$2:$B$2705,B2562,$C$2:$C$2705,C2562)</f>
        <v>2</v>
      </c>
      <c r="G2562" s="3" t="n">
        <f aca="false">MIN(INT((MIN(B2562,2020)-1900)/10)+1,12)</f>
        <v>12</v>
      </c>
      <c r="H2562" s="3" t="n">
        <f aca="false">(MIN(B2562,2020)-1900-10*(G2562-1))/10</f>
        <v>1</v>
      </c>
      <c r="I2562" s="20" t="n">
        <f aca="false">EXP(LN(INDEX(Pop_Inputs!$B$2:$N$29,MATCH(C2562,Pop_Inputs!$A$2:$A$29,0),G2562))*(1-H2562)+LN(INDEX(Pop_Inputs!$B$2:$N$29,MATCH(C2562,Pop_Inputs!$A$2:$A$29,0),G2562+1))*H2562)</f>
        <v>2746388</v>
      </c>
      <c r="J2562" s="20" t="n">
        <f aca="false">I2562/F2562</f>
        <v>1373194</v>
      </c>
      <c r="K2562" s="21" t="n">
        <f aca="false">D2562/(D2562+E2562)</f>
        <v>0.574074074074074</v>
      </c>
      <c r="L2562" s="21" t="n">
        <f aca="false">AVERAGEIFS($K$2:$K$2705,$B$2:$B$2705,B2562)</f>
        <v>0.500001278020602</v>
      </c>
      <c r="M2562" s="21" t="n">
        <f aca="false">K2562-L2562</f>
        <v>0.0740727960534724</v>
      </c>
      <c r="N2562" s="21" t="n">
        <f aca="false">LN(J2562)</f>
        <v>14.1326499711999</v>
      </c>
      <c r="O2562" s="21" t="n">
        <f aca="false">AVERAGEIFS($N$2:$N$2705,$B$2:$B$2705,B2562)</f>
        <v>13.6790216080491</v>
      </c>
      <c r="P2562" s="21" t="n">
        <f aca="false">N2562-O2562</f>
        <v>0.453628363150779</v>
      </c>
      <c r="Q2562" s="7" t="n">
        <v>0</v>
      </c>
      <c r="R2562" s="3" t="n">
        <f aca="false">IF(AND(Q2562=1,B2562-_xlfn.MINIFS($B$2:$B$2705,$A$2:$A$2705,A2562)&lt;10),1,0)</f>
        <v>0</v>
      </c>
      <c r="S2562" s="7" t="n">
        <v>0</v>
      </c>
      <c r="T2562" s="3" t="n">
        <f aca="false">_xlfn.MINIFS($B$2:$B$2705,$A$2:$A$2705,A2562)</f>
        <v>1901</v>
      </c>
      <c r="U2562" s="3" t="n">
        <f aca="false">B2562-T2562</f>
        <v>120</v>
      </c>
      <c r="V2562" s="3" t="str">
        <f aca="false">INDEX(Pop_Inputs!$Q$2:$Q$29,MATCH(C2562,Pop_Inputs!$A$2:$A$29,0))</f>
        <v>Midwest</v>
      </c>
      <c r="W2562" s="29" t="n">
        <v>141908402</v>
      </c>
      <c r="X2562" s="3" t="n">
        <f aca="false">IF(W2562="","",LN(W2562))</f>
        <v>18.7706923510892</v>
      </c>
      <c r="Y2562" s="3" t="n">
        <f aca="false">IF(X2562="","",X2562-AVERAGEIFS($X$2:$X$2705,$B$2:$B$2705,B2562))</f>
        <v>0.135401062840067</v>
      </c>
      <c r="Z2562" s="21" t="n">
        <f aca="false">P2562</f>
        <v>0.453628363150779</v>
      </c>
      <c r="AA2562" s="3" t="n">
        <f aca="false">R2562</f>
        <v>0</v>
      </c>
      <c r="AB2562" s="21" t="n">
        <f aca="false">P2562</f>
        <v>0.453628363150779</v>
      </c>
      <c r="AC2562" s="3" t="n">
        <f aca="false">Y2562</f>
        <v>0.135401062840067</v>
      </c>
      <c r="AD2562" s="3" t="n">
        <f aca="false">R2562</f>
        <v>0</v>
      </c>
    </row>
    <row r="2563" customFormat="false" ht="15" hidden="false" customHeight="true" outlineLevel="0" collapsed="false">
      <c r="A2563" s="7" t="s">
        <v>57</v>
      </c>
      <c r="B2563" s="7" t="n">
        <v>2021</v>
      </c>
      <c r="C2563" s="7" t="s">
        <v>143</v>
      </c>
      <c r="D2563" s="7" t="n">
        <v>83</v>
      </c>
      <c r="E2563" s="7" t="n">
        <v>79</v>
      </c>
      <c r="F2563" s="3" t="n">
        <f aca="false">COUNTIFS($B$2:$B$2705,B2563,$C$2:$C$2705,C2563)</f>
        <v>1</v>
      </c>
      <c r="G2563" s="3" t="n">
        <f aca="false">MIN(INT((MIN(B2563,2020)-1900)/10)+1,12)</f>
        <v>12</v>
      </c>
      <c r="H2563" s="3" t="n">
        <f aca="false">(MIN(B2563,2020)-1900-10*(G2563-1))/10</f>
        <v>1</v>
      </c>
      <c r="I2563" s="20" t="n">
        <f aca="false">EXP(LN(INDEX(Pop_Inputs!$B$2:$N$29,MATCH(C2563,Pop_Inputs!$A$2:$A$29,0),G2563))*(1-H2563)+LN(INDEX(Pop_Inputs!$B$2:$N$29,MATCH(C2563,Pop_Inputs!$A$2:$A$29,0),G2563+1))*H2563)</f>
        <v>309317</v>
      </c>
      <c r="J2563" s="20" t="n">
        <f aca="false">I2563/F2563</f>
        <v>309317</v>
      </c>
      <c r="K2563" s="21" t="n">
        <f aca="false">D2563/(D2563+E2563)</f>
        <v>0.512345679012346</v>
      </c>
      <c r="L2563" s="21" t="n">
        <f aca="false">AVERAGEIFS($K$2:$K$2705,$B$2:$B$2705,B2563)</f>
        <v>0.500001278020602</v>
      </c>
      <c r="M2563" s="21" t="n">
        <f aca="false">K2563-L2563</f>
        <v>0.0123444009917441</v>
      </c>
      <c r="N2563" s="21" t="n">
        <f aca="false">LN(J2563)</f>
        <v>12.642121919982</v>
      </c>
      <c r="O2563" s="21" t="n">
        <f aca="false">AVERAGEIFS($N$2:$N$2705,$B$2:$B$2705,B2563)</f>
        <v>13.6790216080491</v>
      </c>
      <c r="P2563" s="21" t="n">
        <f aca="false">N2563-O2563</f>
        <v>-1.03689968806707</v>
      </c>
      <c r="Q2563" s="7" t="n">
        <v>0</v>
      </c>
      <c r="R2563" s="3" t="n">
        <f aca="false">IF(AND(Q2563=1,B2563-_xlfn.MINIFS($B$2:$B$2705,$A$2:$A$2705,A2563)&lt;10),1,0)</f>
        <v>0</v>
      </c>
      <c r="S2563" s="7" t="n">
        <v>0</v>
      </c>
      <c r="T2563" s="3" t="n">
        <f aca="false">_xlfn.MINIFS($B$2:$B$2705,$A$2:$A$2705,A2563)</f>
        <v>1901</v>
      </c>
      <c r="U2563" s="3" t="n">
        <f aca="false">B2563-T2563</f>
        <v>120</v>
      </c>
      <c r="V2563" s="3" t="str">
        <f aca="false">INDEX(Pop_Inputs!$Q$2:$Q$29,MATCH(C2563,Pop_Inputs!$A$2:$A$29,0))</f>
        <v>Midwest</v>
      </c>
      <c r="W2563" s="29" t="n">
        <v>131309602</v>
      </c>
      <c r="X2563" s="3" t="n">
        <f aca="false">IF(W2563="","",LN(W2563))</f>
        <v>18.6930684668352</v>
      </c>
      <c r="Y2563" s="3" t="n">
        <f aca="false">IF(X2563="","",X2563-AVERAGEIFS($X$2:$X$2705,$B$2:$B$2705,B2563))</f>
        <v>0.0577771785861501</v>
      </c>
      <c r="Z2563" s="21" t="n">
        <f aca="false">P2563</f>
        <v>-1.03689968806707</v>
      </c>
      <c r="AA2563" s="3" t="n">
        <f aca="false">R2563</f>
        <v>0</v>
      </c>
      <c r="AB2563" s="21" t="n">
        <f aca="false">P2563</f>
        <v>-1.03689968806707</v>
      </c>
      <c r="AC2563" s="3" t="n">
        <f aca="false">Y2563</f>
        <v>0.0577771785861501</v>
      </c>
      <c r="AD2563" s="3" t="n">
        <f aca="false">R2563</f>
        <v>0</v>
      </c>
    </row>
    <row r="2564" customFormat="false" ht="15" hidden="false" customHeight="true" outlineLevel="0" collapsed="false">
      <c r="A2564" s="7" t="s">
        <v>66</v>
      </c>
      <c r="B2564" s="7" t="n">
        <v>2021</v>
      </c>
      <c r="C2564" s="7" t="s">
        <v>151</v>
      </c>
      <c r="D2564" s="7" t="n">
        <v>80</v>
      </c>
      <c r="E2564" s="7" t="n">
        <v>82</v>
      </c>
      <c r="F2564" s="3" t="n">
        <f aca="false">COUNTIFS($B$2:$B$2705,B2564,$C$2:$C$2705,C2564)</f>
        <v>1</v>
      </c>
      <c r="G2564" s="3" t="n">
        <f aca="false">MIN(INT((MIN(B2564,2020)-1900)/10)+1,12)</f>
        <v>12</v>
      </c>
      <c r="H2564" s="3" t="n">
        <f aca="false">(MIN(B2564,2020)-1900-10*(G2564-1))/10</f>
        <v>1</v>
      </c>
      <c r="I2564" s="20" t="n">
        <f aca="false">EXP(LN(INDEX(Pop_Inputs!$B$2:$N$29,MATCH(C2564,Pop_Inputs!$A$2:$A$29,0),G2564))*(1-H2564)+LN(INDEX(Pop_Inputs!$B$2:$N$29,MATCH(C2564,Pop_Inputs!$A$2:$A$29,0),G2564+1))*H2564)</f>
        <v>372624</v>
      </c>
      <c r="J2564" s="20" t="n">
        <f aca="false">I2564/F2564</f>
        <v>372624</v>
      </c>
      <c r="K2564" s="21" t="n">
        <f aca="false">D2564/(D2564+E2564)</f>
        <v>0.493827160493827</v>
      </c>
      <c r="L2564" s="21" t="n">
        <f aca="false">AVERAGEIFS($K$2:$K$2705,$B$2:$B$2705,B2564)</f>
        <v>0.500001278020602</v>
      </c>
      <c r="M2564" s="21" t="n">
        <f aca="false">K2564-L2564</f>
        <v>-0.00617411752677455</v>
      </c>
      <c r="N2564" s="21" t="n">
        <f aca="false">LN(J2564)</f>
        <v>12.8283251473136</v>
      </c>
      <c r="O2564" s="21" t="n">
        <f aca="false">AVERAGEIFS($N$2:$N$2705,$B$2:$B$2705,B2564)</f>
        <v>13.6790216080491</v>
      </c>
      <c r="P2564" s="21" t="n">
        <f aca="false">N2564-O2564</f>
        <v>-0.850696460735531</v>
      </c>
      <c r="Q2564" s="7" t="n">
        <v>0</v>
      </c>
      <c r="R2564" s="3" t="n">
        <f aca="false">IF(AND(Q2564=1,B2564-_xlfn.MINIFS($B$2:$B$2705,$A$2:$A$2705,A2564)&lt;10),1,0)</f>
        <v>0</v>
      </c>
      <c r="S2564" s="7" t="n">
        <v>0</v>
      </c>
      <c r="T2564" s="3" t="n">
        <f aca="false">_xlfn.MINIFS($B$2:$B$2705,$A$2:$A$2705,A2564)</f>
        <v>1901</v>
      </c>
      <c r="U2564" s="3" t="n">
        <f aca="false">B2564-T2564</f>
        <v>120</v>
      </c>
      <c r="V2564" s="3" t="str">
        <f aca="false">INDEX(Pop_Inputs!$Q$2:$Q$29,MATCH(C2564,Pop_Inputs!$A$2:$A$29,0))</f>
        <v>Midwest</v>
      </c>
      <c r="W2564" s="29" t="n">
        <v>53010498</v>
      </c>
      <c r="X2564" s="3" t="n">
        <f aca="false">IF(W2564="","",LN(W2564))</f>
        <v>17.7860005273737</v>
      </c>
      <c r="Y2564" s="3" t="n">
        <f aca="false">IF(X2564="","",X2564-AVERAGEIFS($X$2:$X$2705,$B$2:$B$2705,B2564))</f>
        <v>-0.849290760875352</v>
      </c>
      <c r="Z2564" s="21" t="n">
        <f aca="false">P2564</f>
        <v>-0.850696460735531</v>
      </c>
      <c r="AA2564" s="3" t="n">
        <f aca="false">R2564</f>
        <v>0</v>
      </c>
      <c r="AB2564" s="21" t="n">
        <f aca="false">P2564</f>
        <v>-0.850696460735531</v>
      </c>
      <c r="AC2564" s="3" t="n">
        <f aca="false">Y2564</f>
        <v>-0.849290760875352</v>
      </c>
      <c r="AD2564" s="3" t="n">
        <f aca="false">R2564</f>
        <v>0</v>
      </c>
    </row>
    <row r="2565" customFormat="false" ht="15" hidden="false" customHeight="true" outlineLevel="0" collapsed="false">
      <c r="A2565" s="7" t="s">
        <v>82</v>
      </c>
      <c r="B2565" s="7" t="n">
        <v>2021</v>
      </c>
      <c r="C2565" s="7" t="s">
        <v>163</v>
      </c>
      <c r="D2565" s="7" t="n">
        <v>74</v>
      </c>
      <c r="E2565" s="7" t="n">
        <v>87</v>
      </c>
      <c r="F2565" s="3" t="n">
        <f aca="false">COUNTIFS($B$2:$B$2705,B2565,$C$2:$C$2705,C2565)</f>
        <v>1</v>
      </c>
      <c r="G2565" s="3" t="n">
        <f aca="false">MIN(INT((MIN(B2565,2020)-1900)/10)+1,12)</f>
        <v>12</v>
      </c>
      <c r="H2565" s="3" t="n">
        <f aca="false">(MIN(B2565,2020)-1900-10*(G2565-1))/10</f>
        <v>1</v>
      </c>
      <c r="I2565" s="20" t="n">
        <f aca="false">EXP(LN(INDEX(Pop_Inputs!$B$2:$N$29,MATCH(C2565,Pop_Inputs!$A$2:$A$29,0),G2565))*(1-H2565)+LN(INDEX(Pop_Inputs!$B$2:$N$29,MATCH(C2565,Pop_Inputs!$A$2:$A$29,0),G2565+1))*H2565)</f>
        <v>715521.999999999</v>
      </c>
      <c r="J2565" s="20" t="n">
        <f aca="false">I2565/F2565</f>
        <v>715521.999999999</v>
      </c>
      <c r="K2565" s="21" t="n">
        <f aca="false">D2565/(D2565+E2565)</f>
        <v>0.459627329192547</v>
      </c>
      <c r="L2565" s="21" t="n">
        <f aca="false">AVERAGEIFS($K$2:$K$2705,$B$2:$B$2705,B2565)</f>
        <v>0.500001278020602</v>
      </c>
      <c r="M2565" s="21" t="n">
        <f aca="false">K2565-L2565</f>
        <v>-0.0403739488280551</v>
      </c>
      <c r="N2565" s="21" t="n">
        <f aca="false">LN(J2565)</f>
        <v>13.4807676252348</v>
      </c>
      <c r="O2565" s="21" t="n">
        <f aca="false">AVERAGEIFS($N$2:$N$2705,$B$2:$B$2705,B2565)</f>
        <v>13.6790216080491</v>
      </c>
      <c r="P2565" s="21" t="n">
        <f aca="false">N2565-O2565</f>
        <v>-0.1982539828143</v>
      </c>
      <c r="Q2565" s="7" t="n">
        <v>1</v>
      </c>
      <c r="R2565" s="3" t="n">
        <f aca="false">IF(AND(Q2565=1,B2565-_xlfn.MINIFS($B$2:$B$2705,$A$2:$A$2705,A2565)&lt;10),1,0)</f>
        <v>0</v>
      </c>
      <c r="S2565" s="7" t="n">
        <v>0</v>
      </c>
      <c r="T2565" s="3" t="n">
        <f aca="false">_xlfn.MINIFS($B$2:$B$2705,$A$2:$A$2705,A2565)</f>
        <v>1993</v>
      </c>
      <c r="U2565" s="3" t="n">
        <f aca="false">B2565-T2565</f>
        <v>28</v>
      </c>
      <c r="V2565" s="3" t="str">
        <f aca="false">INDEX(Pop_Inputs!$Q$2:$Q$29,MATCH(C2565,Pop_Inputs!$A$2:$A$29,0))</f>
        <v>West</v>
      </c>
      <c r="W2565" s="29" t="n">
        <v>119908394</v>
      </c>
      <c r="X2565" s="3" t="n">
        <f aca="false">IF(W2565="","",LN(W2565))</f>
        <v>18.6022386258876</v>
      </c>
      <c r="Y2565" s="3" t="n">
        <f aca="false">IF(X2565="","",X2565-AVERAGEIFS($X$2:$X$2705,$B$2:$B$2705,B2565))</f>
        <v>-0.0330526623615306</v>
      </c>
      <c r="Z2565" s="21" t="n">
        <f aca="false">P2565</f>
        <v>-0.1982539828143</v>
      </c>
      <c r="AA2565" s="3" t="n">
        <f aca="false">R2565</f>
        <v>0</v>
      </c>
      <c r="AB2565" s="21" t="n">
        <f aca="false">P2565</f>
        <v>-0.1982539828143</v>
      </c>
      <c r="AC2565" s="3" t="n">
        <f aca="false">Y2565</f>
        <v>-0.0330526623615306</v>
      </c>
      <c r="AD2565" s="3" t="n">
        <f aca="false">R2565</f>
        <v>0</v>
      </c>
    </row>
    <row r="2566" customFormat="false" ht="15" hidden="false" customHeight="true" outlineLevel="0" collapsed="false">
      <c r="A2566" s="7" t="s">
        <v>67</v>
      </c>
      <c r="B2566" s="7" t="n">
        <v>2021</v>
      </c>
      <c r="C2566" s="7" t="s">
        <v>152</v>
      </c>
      <c r="D2566" s="7" t="n">
        <v>77</v>
      </c>
      <c r="E2566" s="7" t="n">
        <v>85</v>
      </c>
      <c r="F2566" s="3" t="n">
        <f aca="false">COUNTIFS($B$2:$B$2705,B2566,$C$2:$C$2705,C2566)</f>
        <v>1</v>
      </c>
      <c r="G2566" s="3" t="n">
        <f aca="false">MIN(INT((MIN(B2566,2020)-1900)/10)+1,12)</f>
        <v>12</v>
      </c>
      <c r="H2566" s="3" t="n">
        <f aca="false">(MIN(B2566,2020)-1900-10*(G2566-1))/10</f>
        <v>1</v>
      </c>
      <c r="I2566" s="20" t="n">
        <f aca="false">EXP(LN(INDEX(Pop_Inputs!$B$2:$N$29,MATCH(C2566,Pop_Inputs!$A$2:$A$29,0),G2566))*(1-H2566)+LN(INDEX(Pop_Inputs!$B$2:$N$29,MATCH(C2566,Pop_Inputs!$A$2:$A$29,0),G2566+1))*H2566)</f>
        <v>639111</v>
      </c>
      <c r="J2566" s="20" t="n">
        <f aca="false">I2566/F2566</f>
        <v>639111</v>
      </c>
      <c r="K2566" s="21" t="n">
        <f aca="false">D2566/(D2566+E2566)</f>
        <v>0.475308641975309</v>
      </c>
      <c r="L2566" s="21" t="n">
        <f aca="false">AVERAGEIFS($K$2:$K$2705,$B$2:$B$2705,B2566)</f>
        <v>0.500001278020602</v>
      </c>
      <c r="M2566" s="21" t="n">
        <f aca="false">K2566-L2566</f>
        <v>-0.024692636045293</v>
      </c>
      <c r="N2566" s="21" t="n">
        <f aca="false">LN(J2566)</f>
        <v>13.3678334271942</v>
      </c>
      <c r="O2566" s="21" t="n">
        <f aca="false">AVERAGEIFS($N$2:$N$2705,$B$2:$B$2705,B2566)</f>
        <v>13.6790216080491</v>
      </c>
      <c r="P2566" s="21" t="n">
        <f aca="false">N2566-O2566</f>
        <v>-0.31118818085489</v>
      </c>
      <c r="Q2566" s="7" t="n">
        <v>0</v>
      </c>
      <c r="R2566" s="3" t="n">
        <f aca="false">IF(AND(Q2566=1,B2566-_xlfn.MINIFS($B$2:$B$2705,$A$2:$A$2705,A2566)&lt;10),1,0)</f>
        <v>0</v>
      </c>
      <c r="S2566" s="7" t="n">
        <v>0</v>
      </c>
      <c r="T2566" s="3" t="n">
        <f aca="false">_xlfn.MINIFS($B$2:$B$2705,$A$2:$A$2705,A2566)</f>
        <v>1901</v>
      </c>
      <c r="U2566" s="3" t="n">
        <f aca="false">B2566-T2566</f>
        <v>120</v>
      </c>
      <c r="V2566" s="3" t="str">
        <f aca="false">INDEX(Pop_Inputs!$Q$2:$Q$29,MATCH(C2566,Pop_Inputs!$A$2:$A$29,0))</f>
        <v>Midwest</v>
      </c>
      <c r="W2566" s="29" t="n">
        <v>86047409</v>
      </c>
      <c r="X2566" s="3" t="n">
        <f aca="false">IF(W2566="","",LN(W2566))</f>
        <v>18.2704089697676</v>
      </c>
      <c r="Y2566" s="3" t="n">
        <f aca="false">IF(X2566="","",X2566-AVERAGEIFS($X$2:$X$2705,$B$2:$B$2705,B2566))</f>
        <v>-0.364882318481524</v>
      </c>
      <c r="Z2566" s="21" t="n">
        <f aca="false">P2566</f>
        <v>-0.31118818085489</v>
      </c>
      <c r="AA2566" s="3" t="n">
        <f aca="false">R2566</f>
        <v>0</v>
      </c>
      <c r="AB2566" s="21" t="n">
        <f aca="false">P2566</f>
        <v>-0.31118818085489</v>
      </c>
      <c r="AC2566" s="3" t="n">
        <f aca="false">Y2566</f>
        <v>-0.364882318481524</v>
      </c>
      <c r="AD2566" s="3" t="n">
        <f aca="false">R2566</f>
        <v>0</v>
      </c>
    </row>
    <row r="2567" customFormat="false" ht="15" hidden="false" customHeight="true" outlineLevel="0" collapsed="false">
      <c r="A2567" s="7" t="s">
        <v>83</v>
      </c>
      <c r="B2567" s="7" t="n">
        <v>2021</v>
      </c>
      <c r="C2567" s="7" t="s">
        <v>164</v>
      </c>
      <c r="D2567" s="7" t="n">
        <v>67</v>
      </c>
      <c r="E2567" s="7" t="n">
        <v>95</v>
      </c>
      <c r="F2567" s="3" t="n">
        <f aca="false">COUNTIFS($B$2:$B$2705,B2567,$C$2:$C$2705,C2567)</f>
        <v>1</v>
      </c>
      <c r="G2567" s="3" t="n">
        <f aca="false">MIN(INT((MIN(B2567,2020)-1900)/10)+1,12)</f>
        <v>12</v>
      </c>
      <c r="H2567" s="3" t="n">
        <f aca="false">(MIN(B2567,2020)-1900-10*(G2567-1))/10</f>
        <v>1</v>
      </c>
      <c r="I2567" s="20" t="n">
        <f aca="false">EXP(LN(INDEX(Pop_Inputs!$B$2:$N$29,MATCH(C2567,Pop_Inputs!$A$2:$A$29,0),G2567))*(1-H2567)+LN(INDEX(Pop_Inputs!$B$2:$N$29,MATCH(C2567,Pop_Inputs!$A$2:$A$29,0),G2567+1))*H2567)</f>
        <v>442241</v>
      </c>
      <c r="J2567" s="20" t="n">
        <f aca="false">I2567/F2567</f>
        <v>442241</v>
      </c>
      <c r="K2567" s="21" t="n">
        <f aca="false">D2567/(D2567+E2567)</f>
        <v>0.41358024691358</v>
      </c>
      <c r="L2567" s="21" t="n">
        <f aca="false">AVERAGEIFS($K$2:$K$2705,$B$2:$B$2705,B2567)</f>
        <v>0.500001278020602</v>
      </c>
      <c r="M2567" s="21" t="n">
        <f aca="false">K2567-L2567</f>
        <v>-0.0864210311070214</v>
      </c>
      <c r="N2567" s="21" t="n">
        <f aca="false">LN(J2567)</f>
        <v>12.9996102613345</v>
      </c>
      <c r="O2567" s="21" t="n">
        <f aca="false">AVERAGEIFS($N$2:$N$2705,$B$2:$B$2705,B2567)</f>
        <v>13.6790216080491</v>
      </c>
      <c r="P2567" s="21" t="n">
        <f aca="false">N2567-O2567</f>
        <v>-0.679411346714641</v>
      </c>
      <c r="Q2567" s="7" t="n">
        <v>1</v>
      </c>
      <c r="R2567" s="3" t="n">
        <f aca="false">IF(AND(Q2567=1,B2567-_xlfn.MINIFS($B$2:$B$2705,$A$2:$A$2705,A2567)&lt;10),1,0)</f>
        <v>0</v>
      </c>
      <c r="S2567" s="7" t="n">
        <v>0</v>
      </c>
      <c r="T2567" s="3" t="n">
        <f aca="false">_xlfn.MINIFS($B$2:$B$2705,$A$2:$A$2705,A2567)</f>
        <v>1993</v>
      </c>
      <c r="U2567" s="3" t="n">
        <f aca="false">B2567-T2567</f>
        <v>28</v>
      </c>
      <c r="V2567" s="3" t="str">
        <f aca="false">INDEX(Pop_Inputs!$Q$2:$Q$29,MATCH(C2567,Pop_Inputs!$A$2:$A$29,0))</f>
        <v>South</v>
      </c>
      <c r="W2567" s="29" t="n">
        <v>60877424</v>
      </c>
      <c r="X2567" s="3" t="n">
        <f aca="false">IF(W2567="","",LN(W2567))</f>
        <v>17.9243729578761</v>
      </c>
      <c r="Y2567" s="3" t="n">
        <f aca="false">IF(X2567="","",X2567-AVERAGEIFS($X$2:$X$2705,$B$2:$B$2705,B2567))</f>
        <v>-0.71091833037298</v>
      </c>
      <c r="Z2567" s="21" t="n">
        <f aca="false">P2567</f>
        <v>-0.679411346714641</v>
      </c>
      <c r="AA2567" s="3" t="n">
        <f aca="false">R2567</f>
        <v>0</v>
      </c>
      <c r="AB2567" s="21" t="n">
        <f aca="false">P2567</f>
        <v>-0.679411346714641</v>
      </c>
      <c r="AC2567" s="3" t="n">
        <f aca="false">Y2567</f>
        <v>-0.71091833037298</v>
      </c>
      <c r="AD2567" s="3" t="n">
        <f aca="false">R2567</f>
        <v>0</v>
      </c>
    </row>
    <row r="2568" customFormat="false" ht="15" hidden="false" customHeight="true" outlineLevel="0" collapsed="false">
      <c r="A2568" s="7" t="s">
        <v>74</v>
      </c>
      <c r="B2568" s="7" t="n">
        <v>2021</v>
      </c>
      <c r="C2568" s="7" t="s">
        <v>156</v>
      </c>
      <c r="D2568" s="7" t="n">
        <v>95</v>
      </c>
      <c r="E2568" s="7" t="n">
        <v>67</v>
      </c>
      <c r="F2568" s="3" t="n">
        <f aca="false">COUNTIFS($B$2:$B$2705,B2568,$C$2:$C$2705,C2568)</f>
        <v>1</v>
      </c>
      <c r="G2568" s="3" t="n">
        <f aca="false">MIN(INT((MIN(B2568,2020)-1900)/10)+1,12)</f>
        <v>12</v>
      </c>
      <c r="H2568" s="3" t="n">
        <f aca="false">(MIN(B2568,2020)-1900-10*(G2568-1))/10</f>
        <v>1</v>
      </c>
      <c r="I2568" s="20" t="n">
        <f aca="false">EXP(LN(INDEX(Pop_Inputs!$B$2:$N$29,MATCH(C2568,Pop_Inputs!$A$2:$A$29,0),G2568))*(1-H2568)+LN(INDEX(Pop_Inputs!$B$2:$N$29,MATCH(C2568,Pop_Inputs!$A$2:$A$29,0),G2568+1))*H2568)</f>
        <v>2304580</v>
      </c>
      <c r="J2568" s="20" t="n">
        <f aca="false">I2568/F2568</f>
        <v>2304580</v>
      </c>
      <c r="K2568" s="21" t="n">
        <f aca="false">D2568/(D2568+E2568)</f>
        <v>0.58641975308642</v>
      </c>
      <c r="L2568" s="21" t="n">
        <f aca="false">AVERAGEIFS($K$2:$K$2705,$B$2:$B$2705,B2568)</f>
        <v>0.500001278020602</v>
      </c>
      <c r="M2568" s="21" t="n">
        <f aca="false">K2568-L2568</f>
        <v>0.0864184750658181</v>
      </c>
      <c r="N2568" s="21" t="n">
        <f aca="false">LN(J2568)</f>
        <v>14.6504090052288</v>
      </c>
      <c r="O2568" s="21" t="n">
        <f aca="false">AVERAGEIFS($N$2:$N$2705,$B$2:$B$2705,B2568)</f>
        <v>13.6790216080491</v>
      </c>
      <c r="P2568" s="21" t="n">
        <f aca="false">N2568-O2568</f>
        <v>0.97138739717971</v>
      </c>
      <c r="Q2568" s="7" t="n">
        <v>1</v>
      </c>
      <c r="R2568" s="3" t="n">
        <f aca="false">IF(AND(Q2568=1,B2568-_xlfn.MINIFS($B$2:$B$2705,$A$2:$A$2705,A2568)&lt;10),1,0)</f>
        <v>0</v>
      </c>
      <c r="S2568" s="7" t="n">
        <v>0</v>
      </c>
      <c r="T2568" s="3" t="n">
        <f aca="false">_xlfn.MINIFS($B$2:$B$2705,$A$2:$A$2705,A2568)</f>
        <v>1962</v>
      </c>
      <c r="U2568" s="3" t="n">
        <f aca="false">B2568-T2568</f>
        <v>59</v>
      </c>
      <c r="V2568" s="3" t="str">
        <f aca="false">INDEX(Pop_Inputs!$Q$2:$Q$29,MATCH(C2568,Pop_Inputs!$A$2:$A$29,0))</f>
        <v>South</v>
      </c>
      <c r="W2568" s="29" t="n">
        <v>189586134</v>
      </c>
      <c r="X2568" s="3" t="n">
        <f aca="false">IF(W2568="","",LN(W2568))</f>
        <v>19.0603540121995</v>
      </c>
      <c r="Y2568" s="3" t="n">
        <f aca="false">IF(X2568="","",X2568-AVERAGEIFS($X$2:$X$2705,$B$2:$B$2705,B2568))</f>
        <v>0.425062723950372</v>
      </c>
      <c r="Z2568" s="21" t="n">
        <f aca="false">P2568</f>
        <v>0.97138739717971</v>
      </c>
      <c r="AA2568" s="3" t="n">
        <f aca="false">R2568</f>
        <v>0</v>
      </c>
      <c r="AB2568" s="21" t="n">
        <f aca="false">P2568</f>
        <v>0.97138739717971</v>
      </c>
      <c r="AC2568" s="3" t="n">
        <f aca="false">Y2568</f>
        <v>0.425062723950372</v>
      </c>
      <c r="AD2568" s="3" t="n">
        <f aca="false">R2568</f>
        <v>0</v>
      </c>
    </row>
    <row r="2569" customFormat="false" ht="15" hidden="false" customHeight="true" outlineLevel="0" collapsed="false">
      <c r="A2569" s="7" t="s">
        <v>76</v>
      </c>
      <c r="B2569" s="7" t="n">
        <v>2021</v>
      </c>
      <c r="C2569" s="7" t="s">
        <v>157</v>
      </c>
      <c r="D2569" s="7" t="n">
        <v>74</v>
      </c>
      <c r="E2569" s="7" t="n">
        <v>88</v>
      </c>
      <c r="F2569" s="3" t="n">
        <f aca="false">COUNTIFS($B$2:$B$2705,B2569,$C$2:$C$2705,C2569)</f>
        <v>1</v>
      </c>
      <c r="G2569" s="3" t="n">
        <f aca="false">MIN(INT((MIN(B2569,2020)-1900)/10)+1,12)</f>
        <v>12</v>
      </c>
      <c r="H2569" s="3" t="n">
        <f aca="false">(MIN(B2569,2020)-1900-10*(G2569-1))/10</f>
        <v>1</v>
      </c>
      <c r="I2569" s="20" t="n">
        <f aca="false">EXP(LN(INDEX(Pop_Inputs!$B$2:$N$29,MATCH(C2569,Pop_Inputs!$A$2:$A$29,0),G2569))*(1-H2569)+LN(INDEX(Pop_Inputs!$B$2:$N$29,MATCH(C2569,Pop_Inputs!$A$2:$A$29,0),G2569+1))*H2569)</f>
        <v>508090</v>
      </c>
      <c r="J2569" s="20" t="n">
        <f aca="false">I2569/F2569</f>
        <v>508090</v>
      </c>
      <c r="K2569" s="21" t="n">
        <f aca="false">D2569/(D2569+E2569)</f>
        <v>0.45679012345679</v>
      </c>
      <c r="L2569" s="21" t="n">
        <f aca="false">AVERAGEIFS($K$2:$K$2705,$B$2:$B$2705,B2569)</f>
        <v>0.500001278020602</v>
      </c>
      <c r="M2569" s="21" t="n">
        <f aca="false">K2569-L2569</f>
        <v>-0.0432111545638116</v>
      </c>
      <c r="N2569" s="21" t="n">
        <f aca="false">LN(J2569)</f>
        <v>13.138413876223</v>
      </c>
      <c r="O2569" s="21" t="n">
        <f aca="false">AVERAGEIFS($N$2:$N$2705,$B$2:$B$2705,B2569)</f>
        <v>13.6790216080491</v>
      </c>
      <c r="P2569" s="21" t="n">
        <f aca="false">N2569-O2569</f>
        <v>-0.54060773182608</v>
      </c>
      <c r="Q2569" s="7" t="n">
        <v>1</v>
      </c>
      <c r="R2569" s="3" t="n">
        <f aca="false">IF(AND(Q2569=1,B2569-_xlfn.MINIFS($B$2:$B$2705,$A$2:$A$2705,A2569)&lt;10),1,0)</f>
        <v>0</v>
      </c>
      <c r="S2569" s="7" t="n">
        <v>0</v>
      </c>
      <c r="T2569" s="3" t="n">
        <f aca="false">_xlfn.MINIFS($B$2:$B$2705,$A$2:$A$2705,A2569)</f>
        <v>1969</v>
      </c>
      <c r="U2569" s="3" t="n">
        <f aca="false">B2569-T2569</f>
        <v>52</v>
      </c>
      <c r="V2569" s="3" t="str">
        <f aca="false">INDEX(Pop_Inputs!$Q$2:$Q$29,MATCH(C2569,Pop_Inputs!$A$2:$A$29,0))</f>
        <v>Midwest</v>
      </c>
      <c r="W2569" s="29" t="n">
        <v>94475853</v>
      </c>
      <c r="X2569" s="3" t="n">
        <f aca="false">IF(W2569="","",LN(W2569))</f>
        <v>18.3638548360027</v>
      </c>
      <c r="Y2569" s="3" t="n">
        <f aca="false">IF(X2569="","",X2569-AVERAGEIFS($X$2:$X$2705,$B$2:$B$2705,B2569))</f>
        <v>-0.271436452246412</v>
      </c>
      <c r="Z2569" s="21" t="n">
        <f aca="false">P2569</f>
        <v>-0.54060773182608</v>
      </c>
      <c r="AA2569" s="3" t="n">
        <f aca="false">R2569</f>
        <v>0</v>
      </c>
      <c r="AB2569" s="21" t="n">
        <f aca="false">P2569</f>
        <v>-0.54060773182608</v>
      </c>
      <c r="AC2569" s="3" t="n">
        <f aca="false">Y2569</f>
        <v>-0.271436452246412</v>
      </c>
      <c r="AD2569" s="3" t="n">
        <f aca="false">R2569</f>
        <v>0</v>
      </c>
    </row>
    <row r="2570" customFormat="false" ht="15" hidden="false" customHeight="true" outlineLevel="0" collapsed="false">
      <c r="A2570" s="7" t="s">
        <v>62</v>
      </c>
      <c r="B2570" s="7" t="n">
        <v>2021</v>
      </c>
      <c r="C2570" s="7" t="s">
        <v>148</v>
      </c>
      <c r="D2570" s="7" t="n">
        <v>106</v>
      </c>
      <c r="E2570" s="7" t="n">
        <v>56</v>
      </c>
      <c r="F2570" s="3" t="n">
        <f aca="false">COUNTIFS($B$2:$B$2705,B2570,$C$2:$C$2705,C2570)</f>
        <v>2</v>
      </c>
      <c r="G2570" s="3" t="n">
        <f aca="false">MIN(INT((MIN(B2570,2020)-1900)/10)+1,12)</f>
        <v>12</v>
      </c>
      <c r="H2570" s="3" t="n">
        <f aca="false">(MIN(B2570,2020)-1900-10*(G2570-1))/10</f>
        <v>1</v>
      </c>
      <c r="I2570" s="20" t="n">
        <f aca="false">EXP(LN(INDEX(Pop_Inputs!$B$2:$N$29,MATCH(C2570,Pop_Inputs!$A$2:$A$29,0),G2570))*(1-H2570)+LN(INDEX(Pop_Inputs!$B$2:$N$29,MATCH(C2570,Pop_Inputs!$A$2:$A$29,0),G2570+1))*H2570)</f>
        <v>3898747</v>
      </c>
      <c r="J2570" s="20" t="n">
        <f aca="false">I2570/F2570</f>
        <v>1949373.5</v>
      </c>
      <c r="K2570" s="21" t="n">
        <f aca="false">D2570/(D2570+E2570)</f>
        <v>0.654320987654321</v>
      </c>
      <c r="L2570" s="21" t="n">
        <f aca="false">AVERAGEIFS($K$2:$K$2705,$B$2:$B$2705,B2570)</f>
        <v>0.500001278020602</v>
      </c>
      <c r="M2570" s="21" t="n">
        <f aca="false">K2570-L2570</f>
        <v>0.154319709633719</v>
      </c>
      <c r="N2570" s="21" t="n">
        <f aca="false">LN(J2570)</f>
        <v>14.4830185968665</v>
      </c>
      <c r="O2570" s="21" t="n">
        <f aca="false">AVERAGEIFS($N$2:$N$2705,$B$2:$B$2705,B2570)</f>
        <v>13.6790216080491</v>
      </c>
      <c r="P2570" s="21" t="n">
        <f aca="false">N2570-O2570</f>
        <v>0.80399698881741</v>
      </c>
      <c r="Q2570" s="7" t="n">
        <v>0</v>
      </c>
      <c r="R2570" s="3" t="n">
        <f aca="false">IF(AND(Q2570=1,B2570-_xlfn.MINIFS($B$2:$B$2705,$A$2:$A$2705,A2570)&lt;10),1,0)</f>
        <v>0</v>
      </c>
      <c r="S2570" s="7" t="n">
        <v>0</v>
      </c>
      <c r="T2570" s="3" t="n">
        <f aca="false">_xlfn.MINIFS($B$2:$B$2705,$A$2:$A$2705,A2570)</f>
        <v>1901</v>
      </c>
      <c r="U2570" s="3" t="n">
        <f aca="false">B2570-T2570</f>
        <v>120</v>
      </c>
      <c r="V2570" s="3" t="str">
        <f aca="false">INDEX(Pop_Inputs!$Q$2:$Q$29,MATCH(C2570,Pop_Inputs!$A$2:$A$29,0))</f>
        <v>West</v>
      </c>
      <c r="W2570" s="29" t="n">
        <v>262108948</v>
      </c>
      <c r="X2570" s="3" t="n">
        <f aca="false">IF(W2570="","",LN(W2570))</f>
        <v>19.3842708073522</v>
      </c>
      <c r="Y2570" s="3" t="n">
        <f aca="false">IF(X2570="","",X2570-AVERAGEIFS($X$2:$X$2705,$B$2:$B$2705,B2570))</f>
        <v>0.748979519103159</v>
      </c>
      <c r="Z2570" s="21" t="n">
        <f aca="false">P2570</f>
        <v>0.80399698881741</v>
      </c>
      <c r="AA2570" s="3" t="n">
        <f aca="false">R2570</f>
        <v>0</v>
      </c>
      <c r="AB2570" s="21" t="n">
        <f aca="false">P2570</f>
        <v>0.80399698881741</v>
      </c>
      <c r="AC2570" s="3" t="n">
        <f aca="false">Y2570</f>
        <v>0.748979519103159</v>
      </c>
      <c r="AD2570" s="3" t="n">
        <f aca="false">R2570</f>
        <v>0</v>
      </c>
    </row>
    <row r="2571" customFormat="false" ht="15" hidden="false" customHeight="true" outlineLevel="0" collapsed="false">
      <c r="A2571" s="7" t="s">
        <v>77</v>
      </c>
      <c r="B2571" s="7" t="n">
        <v>2021</v>
      </c>
      <c r="C2571" s="7" t="s">
        <v>158</v>
      </c>
      <c r="D2571" s="7" t="n">
        <v>95</v>
      </c>
      <c r="E2571" s="7" t="n">
        <v>67</v>
      </c>
      <c r="F2571" s="3" t="n">
        <f aca="false">COUNTIFS($B$2:$B$2705,B2571,$C$2:$C$2705,C2571)</f>
        <v>1</v>
      </c>
      <c r="G2571" s="3" t="n">
        <f aca="false">MIN(INT((MIN(B2571,2020)-1900)/10)+1,12)</f>
        <v>12</v>
      </c>
      <c r="H2571" s="3" t="n">
        <f aca="false">(MIN(B2571,2020)-1900-10*(G2571-1))/10</f>
        <v>1</v>
      </c>
      <c r="I2571" s="20" t="n">
        <f aca="false">EXP(LN(INDEX(Pop_Inputs!$B$2:$N$29,MATCH(C2571,Pop_Inputs!$A$2:$A$29,0),G2571))*(1-H2571)+LN(INDEX(Pop_Inputs!$B$2:$N$29,MATCH(C2571,Pop_Inputs!$A$2:$A$29,0),G2571+1))*H2571)</f>
        <v>577222</v>
      </c>
      <c r="J2571" s="20" t="n">
        <f aca="false">I2571/F2571</f>
        <v>577222</v>
      </c>
      <c r="K2571" s="21" t="n">
        <f aca="false">D2571/(D2571+E2571)</f>
        <v>0.58641975308642</v>
      </c>
      <c r="L2571" s="21" t="n">
        <f aca="false">AVERAGEIFS($K$2:$K$2705,$B$2:$B$2705,B2571)</f>
        <v>0.500001278020602</v>
      </c>
      <c r="M2571" s="21" t="n">
        <f aca="false">K2571-L2571</f>
        <v>0.0864184750658181</v>
      </c>
      <c r="N2571" s="21" t="n">
        <f aca="false">LN(J2571)</f>
        <v>13.2659822201936</v>
      </c>
      <c r="O2571" s="21" t="n">
        <f aca="false">AVERAGEIFS($N$2:$N$2705,$B$2:$B$2705,B2571)</f>
        <v>13.6790216080491</v>
      </c>
      <c r="P2571" s="21" t="n">
        <f aca="false">N2571-O2571</f>
        <v>-0.413039387855493</v>
      </c>
      <c r="Q2571" s="7" t="n">
        <v>1</v>
      </c>
      <c r="R2571" s="3" t="n">
        <f aca="false">IF(AND(Q2571=1,B2571-_xlfn.MINIFS($B$2:$B$2705,$A$2:$A$2705,A2571)&lt;10),1,0)</f>
        <v>0</v>
      </c>
      <c r="S2571" s="7" t="n">
        <v>0</v>
      </c>
      <c r="T2571" s="3" t="n">
        <f aca="false">_xlfn.MINIFS($B$2:$B$2705,$A$2:$A$2705,A2571)</f>
        <v>1969</v>
      </c>
      <c r="U2571" s="3" t="n">
        <f aca="false">B2571-T2571</f>
        <v>52</v>
      </c>
      <c r="V2571" s="3" t="str">
        <f aca="false">INDEX(Pop_Inputs!$Q$2:$Q$29,MATCH(C2571,Pop_Inputs!$A$2:$A$29,0))</f>
        <v>Midwest</v>
      </c>
      <c r="W2571" s="29" t="n">
        <v>105991594</v>
      </c>
      <c r="X2571" s="3" t="n">
        <f aca="false">IF(W2571="","",LN(W2571))</f>
        <v>18.478870347045</v>
      </c>
      <c r="Y2571" s="3" t="n">
        <f aca="false">IF(X2571="","",X2571-AVERAGEIFS($X$2:$X$2705,$B$2:$B$2705,B2571))</f>
        <v>-0.1564209412041</v>
      </c>
      <c r="Z2571" s="21" t="n">
        <f aca="false">P2571</f>
        <v>-0.413039387855493</v>
      </c>
      <c r="AA2571" s="3" t="n">
        <f aca="false">R2571</f>
        <v>0</v>
      </c>
      <c r="AB2571" s="21" t="n">
        <f aca="false">P2571</f>
        <v>-0.413039387855493</v>
      </c>
      <c r="AC2571" s="3" t="n">
        <f aca="false">Y2571</f>
        <v>-0.1564209412041</v>
      </c>
      <c r="AD2571" s="3" t="n">
        <f aca="false">R2571</f>
        <v>0</v>
      </c>
    </row>
    <row r="2572" customFormat="false" ht="15" hidden="false" customHeight="true" outlineLevel="0" collapsed="false">
      <c r="A2572" s="7" t="s">
        <v>68</v>
      </c>
      <c r="B2572" s="7" t="n">
        <v>2021</v>
      </c>
      <c r="C2572" s="7" t="s">
        <v>153</v>
      </c>
      <c r="D2572" s="7" t="n">
        <v>73</v>
      </c>
      <c r="E2572" s="7" t="n">
        <v>89</v>
      </c>
      <c r="F2572" s="3" t="n">
        <f aca="false">COUNTIFS($B$2:$B$2705,B2572,$C$2:$C$2705,C2572)</f>
        <v>1</v>
      </c>
      <c r="G2572" s="3" t="n">
        <f aca="false">MIN(INT((MIN(B2572,2020)-1900)/10)+1,12)</f>
        <v>12</v>
      </c>
      <c r="H2572" s="3" t="n">
        <f aca="false">(MIN(B2572,2020)-1900-10*(G2572-1))/10</f>
        <v>1</v>
      </c>
      <c r="I2572" s="20" t="n">
        <f aca="false">EXP(LN(INDEX(Pop_Inputs!$B$2:$N$29,MATCH(C2572,Pop_Inputs!$A$2:$A$29,0),G2572))*(1-H2572)+LN(INDEX(Pop_Inputs!$B$2:$N$29,MATCH(C2572,Pop_Inputs!$A$2:$A$29,0),G2572+1))*H2572)</f>
        <v>429954</v>
      </c>
      <c r="J2572" s="20" t="n">
        <f aca="false">I2572/F2572</f>
        <v>429954</v>
      </c>
      <c r="K2572" s="21" t="n">
        <f aca="false">D2572/(D2572+E2572)</f>
        <v>0.450617283950617</v>
      </c>
      <c r="L2572" s="21" t="n">
        <f aca="false">AVERAGEIFS($K$2:$K$2705,$B$2:$B$2705,B2572)</f>
        <v>0.500001278020602</v>
      </c>
      <c r="M2572" s="21" t="n">
        <f aca="false">K2572-L2572</f>
        <v>-0.0493839940699844</v>
      </c>
      <c r="N2572" s="21" t="n">
        <f aca="false">LN(J2572)</f>
        <v>12.9714335052031</v>
      </c>
      <c r="O2572" s="21" t="n">
        <f aca="false">AVERAGEIFS($N$2:$N$2705,$B$2:$B$2705,B2572)</f>
        <v>13.6790216080491</v>
      </c>
      <c r="P2572" s="21" t="n">
        <f aca="false">N2572-O2572</f>
        <v>-0.707588102845962</v>
      </c>
      <c r="Q2572" s="7" t="n">
        <v>0</v>
      </c>
      <c r="R2572" s="3" t="n">
        <f aca="false">IF(AND(Q2572=1,B2572-_xlfn.MINIFS($B$2:$B$2705,$A$2:$A$2705,A2572)&lt;10),1,0)</f>
        <v>0</v>
      </c>
      <c r="S2572" s="7" t="n">
        <v>0</v>
      </c>
      <c r="T2572" s="3" t="n">
        <f aca="false">_xlfn.MINIFS($B$2:$B$2705,$A$2:$A$2705,A2572)</f>
        <v>1901</v>
      </c>
      <c r="U2572" s="3" t="n">
        <f aca="false">B2572-T2572</f>
        <v>120</v>
      </c>
      <c r="V2572" s="3" t="str">
        <f aca="false">INDEX(Pop_Inputs!$Q$2:$Q$29,MATCH(C2572,Pop_Inputs!$A$2:$A$29,0))</f>
        <v>Midwest</v>
      </c>
      <c r="W2572" s="29" t="n">
        <v>125983176</v>
      </c>
      <c r="X2572" s="3" t="n">
        <f aca="false">IF(W2572="","",LN(W2572))</f>
        <v>18.6516589321911</v>
      </c>
      <c r="Y2572" s="3" t="n">
        <f aca="false">IF(X2572="","",X2572-AVERAGEIFS($X$2:$X$2705,$B$2:$B$2705,B2572))</f>
        <v>0.0163676439420435</v>
      </c>
      <c r="Z2572" s="21" t="n">
        <f aca="false">P2572</f>
        <v>-0.707588102845962</v>
      </c>
      <c r="AA2572" s="3" t="n">
        <f aca="false">R2572</f>
        <v>0</v>
      </c>
      <c r="AB2572" s="21" t="n">
        <f aca="false">P2572</f>
        <v>-0.707588102845962</v>
      </c>
      <c r="AC2572" s="3" t="n">
        <f aca="false">Y2572</f>
        <v>0.0163676439420435</v>
      </c>
      <c r="AD2572" s="3" t="n">
        <f aca="false">R2572</f>
        <v>0</v>
      </c>
    </row>
    <row r="2573" customFormat="false" ht="15" hidden="false" customHeight="true" outlineLevel="0" collapsed="false">
      <c r="A2573" s="7" t="s">
        <v>75</v>
      </c>
      <c r="B2573" s="7" t="n">
        <v>2021</v>
      </c>
      <c r="C2573" s="7" t="s">
        <v>154</v>
      </c>
      <c r="D2573" s="7" t="n">
        <v>77</v>
      </c>
      <c r="E2573" s="7" t="n">
        <v>85</v>
      </c>
      <c r="F2573" s="3" t="n">
        <f aca="false">COUNTIFS($B$2:$B$2705,B2573,$C$2:$C$2705,C2573)</f>
        <v>2</v>
      </c>
      <c r="G2573" s="3" t="n">
        <f aca="false">MIN(INT((MIN(B2573,2020)-1900)/10)+1,12)</f>
        <v>12</v>
      </c>
      <c r="H2573" s="3" t="n">
        <f aca="false">(MIN(B2573,2020)-1900-10*(G2573-1))/10</f>
        <v>1</v>
      </c>
      <c r="I2573" s="20" t="n">
        <f aca="false">EXP(LN(INDEX(Pop_Inputs!$B$2:$N$29,MATCH(C2573,Pop_Inputs!$A$2:$A$29,0),G2573))*(1-H2573)+LN(INDEX(Pop_Inputs!$B$2:$N$29,MATCH(C2573,Pop_Inputs!$A$2:$A$29,0),G2573+1))*H2573)</f>
        <v>8804190</v>
      </c>
      <c r="J2573" s="20" t="n">
        <f aca="false">I2573/F2573</f>
        <v>4402095</v>
      </c>
      <c r="K2573" s="21" t="n">
        <f aca="false">D2573/(D2573+E2573)</f>
        <v>0.475308641975309</v>
      </c>
      <c r="L2573" s="21" t="n">
        <f aca="false">AVERAGEIFS($K$2:$K$2705,$B$2:$B$2705,B2573)</f>
        <v>0.500001278020602</v>
      </c>
      <c r="M2573" s="21" t="n">
        <f aca="false">K2573-L2573</f>
        <v>-0.024692636045293</v>
      </c>
      <c r="N2573" s="21" t="n">
        <f aca="false">LN(J2573)</f>
        <v>15.2975911219352</v>
      </c>
      <c r="O2573" s="21" t="n">
        <f aca="false">AVERAGEIFS($N$2:$N$2705,$B$2:$B$2705,B2573)</f>
        <v>13.6790216080491</v>
      </c>
      <c r="P2573" s="21" t="n">
        <f aca="false">N2573-O2573</f>
        <v>1.61856951388607</v>
      </c>
      <c r="Q2573" s="7" t="n">
        <v>1</v>
      </c>
      <c r="R2573" s="3" t="n">
        <f aca="false">IF(AND(Q2573=1,B2573-_xlfn.MINIFS($B$2:$B$2705,$A$2:$A$2705,A2573)&lt;10),1,0)</f>
        <v>0</v>
      </c>
      <c r="S2573" s="7" t="n">
        <v>0</v>
      </c>
      <c r="T2573" s="3" t="n">
        <f aca="false">_xlfn.MINIFS($B$2:$B$2705,$A$2:$A$2705,A2573)</f>
        <v>1962</v>
      </c>
      <c r="U2573" s="3" t="n">
        <f aca="false">B2573-T2573</f>
        <v>59</v>
      </c>
      <c r="V2573" s="3" t="str">
        <f aca="false">INDEX(Pop_Inputs!$Q$2:$Q$29,MATCH(C2573,Pop_Inputs!$A$2:$A$29,0))</f>
        <v>Northeast</v>
      </c>
      <c r="W2573" s="29" t="n">
        <v>198818899</v>
      </c>
      <c r="X2573" s="3" t="n">
        <f aca="false">IF(W2573="","",LN(W2573))</f>
        <v>19.1079049130607</v>
      </c>
      <c r="Y2573" s="3" t="n">
        <f aca="false">IF(X2573="","",X2573-AVERAGEIFS($X$2:$X$2705,$B$2:$B$2705,B2573))</f>
        <v>0.472613624811586</v>
      </c>
      <c r="Z2573" s="21" t="n">
        <f aca="false">P2573</f>
        <v>1.61856951388607</v>
      </c>
      <c r="AA2573" s="3" t="n">
        <f aca="false">R2573</f>
        <v>0</v>
      </c>
      <c r="AB2573" s="21" t="n">
        <f aca="false">P2573</f>
        <v>1.61856951388607</v>
      </c>
      <c r="AC2573" s="3" t="n">
        <f aca="false">Y2573</f>
        <v>0.472613624811586</v>
      </c>
      <c r="AD2573" s="3" t="n">
        <f aca="false">R2573</f>
        <v>0</v>
      </c>
    </row>
    <row r="2574" customFormat="false" ht="15" hidden="false" customHeight="true" outlineLevel="0" collapsed="false">
      <c r="A2574" s="7" t="s">
        <v>70</v>
      </c>
      <c r="B2574" s="7" t="n">
        <v>2021</v>
      </c>
      <c r="C2574" s="7" t="s">
        <v>154</v>
      </c>
      <c r="D2574" s="7" t="n">
        <v>92</v>
      </c>
      <c r="E2574" s="7" t="n">
        <v>70</v>
      </c>
      <c r="F2574" s="3" t="n">
        <f aca="false">COUNTIFS($B$2:$B$2705,B2574,$C$2:$C$2705,C2574)</f>
        <v>2</v>
      </c>
      <c r="G2574" s="3" t="n">
        <f aca="false">MIN(INT((MIN(B2574,2020)-1900)/10)+1,12)</f>
        <v>12</v>
      </c>
      <c r="H2574" s="3" t="n">
        <f aca="false">(MIN(B2574,2020)-1900-10*(G2574-1))/10</f>
        <v>1</v>
      </c>
      <c r="I2574" s="20" t="n">
        <f aca="false">EXP(LN(INDEX(Pop_Inputs!$B$2:$N$29,MATCH(C2574,Pop_Inputs!$A$2:$A$29,0),G2574))*(1-H2574)+LN(INDEX(Pop_Inputs!$B$2:$N$29,MATCH(C2574,Pop_Inputs!$A$2:$A$29,0),G2574+1))*H2574)</f>
        <v>8804190</v>
      </c>
      <c r="J2574" s="20" t="n">
        <f aca="false">I2574/F2574</f>
        <v>4402095</v>
      </c>
      <c r="K2574" s="21" t="n">
        <f aca="false">D2574/(D2574+E2574)</f>
        <v>0.567901234567901</v>
      </c>
      <c r="L2574" s="21" t="n">
        <f aca="false">AVERAGEIFS($K$2:$K$2705,$B$2:$B$2705,B2574)</f>
        <v>0.500001278020602</v>
      </c>
      <c r="M2574" s="21" t="n">
        <f aca="false">K2574-L2574</f>
        <v>0.0678999565472995</v>
      </c>
      <c r="N2574" s="21" t="n">
        <f aca="false">LN(J2574)</f>
        <v>15.2975911219352</v>
      </c>
      <c r="O2574" s="21" t="n">
        <f aca="false">AVERAGEIFS($N$2:$N$2705,$B$2:$B$2705,B2574)</f>
        <v>13.6790216080491</v>
      </c>
      <c r="P2574" s="21" t="n">
        <f aca="false">N2574-O2574</f>
        <v>1.61856951388607</v>
      </c>
      <c r="Q2574" s="7" t="n">
        <v>0</v>
      </c>
      <c r="R2574" s="3" t="n">
        <f aca="false">IF(AND(Q2574=1,B2574-_xlfn.MINIFS($B$2:$B$2705,$A$2:$A$2705,A2574)&lt;10),1,0)</f>
        <v>0</v>
      </c>
      <c r="S2574" s="7" t="n">
        <v>1</v>
      </c>
      <c r="T2574" s="3" t="n">
        <f aca="false">_xlfn.MINIFS($B$2:$B$2705,$A$2:$A$2705,A2574)</f>
        <v>1903</v>
      </c>
      <c r="U2574" s="3" t="n">
        <f aca="false">B2574-T2574</f>
        <v>118</v>
      </c>
      <c r="V2574" s="3" t="str">
        <f aca="false">INDEX(Pop_Inputs!$Q$2:$Q$29,MATCH(C2574,Pop_Inputs!$A$2:$A$29,0))</f>
        <v>Northeast</v>
      </c>
      <c r="W2574" s="29" t="n">
        <v>203628978</v>
      </c>
      <c r="X2574" s="3" t="n">
        <f aca="false">IF(W2574="","",LN(W2574))</f>
        <v>19.1318101606073</v>
      </c>
      <c r="Y2574" s="3" t="n">
        <f aca="false">IF(X2574="","",X2574-AVERAGEIFS($X$2:$X$2705,$B$2:$B$2705,B2574))</f>
        <v>0.496518872358173</v>
      </c>
      <c r="Z2574" s="21" t="n">
        <f aca="false">P2574</f>
        <v>1.61856951388607</v>
      </c>
      <c r="AA2574" s="3" t="n">
        <f aca="false">R2574</f>
        <v>0</v>
      </c>
      <c r="AB2574" s="21" t="n">
        <f aca="false">P2574</f>
        <v>1.61856951388607</v>
      </c>
      <c r="AC2574" s="3" t="n">
        <f aca="false">Y2574</f>
        <v>0.496518872358173</v>
      </c>
      <c r="AD2574" s="3" t="n">
        <f aca="false">R2574</f>
        <v>0</v>
      </c>
    </row>
    <row r="2575" customFormat="false" ht="15" hidden="false" customHeight="true" outlineLevel="0" collapsed="false">
      <c r="A2575" s="7" t="s">
        <v>69</v>
      </c>
      <c r="B2575" s="7" t="n">
        <v>2021</v>
      </c>
      <c r="C2575" s="7" t="s">
        <v>253</v>
      </c>
      <c r="D2575" s="7" t="n">
        <v>86</v>
      </c>
      <c r="E2575" s="7" t="n">
        <v>76</v>
      </c>
      <c r="F2575" s="3" t="n">
        <f aca="false">COUNTIFS($B$2:$B$2705,B2575,$C$2:$C$2705,C2575)</f>
        <v>1</v>
      </c>
      <c r="G2575" s="3" t="n">
        <f aca="false">MIN(INT((MIN(B2575,2020)-1900)/10)+1,12)</f>
        <v>12</v>
      </c>
      <c r="H2575" s="3" t="n">
        <f aca="false">(MIN(B2575,2020)-1900-10*(G2575-1))/10</f>
        <v>1</v>
      </c>
      <c r="I2575" s="20" t="n">
        <f aca="false">EXP(LN(INDEX(Pop_Inputs!$B$2:$N$29,MATCH(C2575,Pop_Inputs!$A$2:$A$29,0),G2575))*(1-H2575)+LN(INDEX(Pop_Inputs!$B$2:$N$29,MATCH(C2575,Pop_Inputs!$A$2:$A$29,0),G2575+1))*H2575)</f>
        <v>440646</v>
      </c>
      <c r="J2575" s="20" t="n">
        <f aca="false">I2575/F2575</f>
        <v>440646</v>
      </c>
      <c r="K2575" s="21" t="n">
        <f aca="false">D2575/(D2575+E2575)</f>
        <v>0.530864197530864</v>
      </c>
      <c r="L2575" s="21" t="n">
        <f aca="false">AVERAGEIFS($K$2:$K$2705,$B$2:$B$2705,B2575)</f>
        <v>0.500001278020602</v>
      </c>
      <c r="M2575" s="21" t="n">
        <f aca="false">K2575-L2575</f>
        <v>0.0308629195102625</v>
      </c>
      <c r="N2575" s="21" t="n">
        <f aca="false">LN(J2575)</f>
        <v>12.9959971109875</v>
      </c>
      <c r="O2575" s="21" t="n">
        <f aca="false">AVERAGEIFS($N$2:$N$2705,$B$2:$B$2705,B2575)</f>
        <v>13.6790216080491</v>
      </c>
      <c r="P2575" s="21" t="n">
        <f aca="false">N2575-O2575</f>
        <v>-0.683024497061645</v>
      </c>
      <c r="Q2575" s="7" t="n">
        <v>0</v>
      </c>
      <c r="R2575" s="3" t="n">
        <f aca="false">IF(AND(Q2575=1,B2575-_xlfn.MINIFS($B$2:$B$2705,$A$2:$A$2705,A2575)&lt;10),1,0)</f>
        <v>0</v>
      </c>
      <c r="S2575" s="7" t="n">
        <v>0</v>
      </c>
      <c r="T2575" s="3" t="n">
        <f aca="false">_xlfn.MINIFS($B$2:$B$2705,$A$2:$A$2705,A2575)</f>
        <v>1901</v>
      </c>
      <c r="U2575" s="3" t="n">
        <f aca="false">B2575-T2575</f>
        <v>120</v>
      </c>
      <c r="V2575" s="3" t="str">
        <f aca="false">INDEX(Pop_Inputs!$Q$2:$Q$29,MATCH(C2575,Pop_Inputs!$A$2:$A$29,0))</f>
        <v>West</v>
      </c>
      <c r="W2575" s="29" t="n">
        <v>90402244</v>
      </c>
      <c r="X2575" s="3" t="n">
        <f aca="false">IF(W2575="","",LN(W2575))</f>
        <v>18.3197796480632</v>
      </c>
      <c r="Y2575" s="3" t="n">
        <f aca="false">IF(X2575="","",X2575-AVERAGEIFS($X$2:$X$2705,$B$2:$B$2705,B2575))</f>
        <v>-0.315511640185921</v>
      </c>
      <c r="Z2575" s="21" t="n">
        <f aca="false">P2575</f>
        <v>-0.683024497061645</v>
      </c>
      <c r="AA2575" s="3" t="n">
        <f aca="false">R2575</f>
        <v>0</v>
      </c>
      <c r="AB2575" s="21" t="n">
        <f aca="false">P2575</f>
        <v>-0.683024497061645</v>
      </c>
      <c r="AC2575" s="3" t="n">
        <f aca="false">Y2575</f>
        <v>-0.315511640185921</v>
      </c>
      <c r="AD2575" s="3" t="n">
        <f aca="false">R2575</f>
        <v>0</v>
      </c>
    </row>
    <row r="2576" customFormat="false" ht="15" hidden="false" customHeight="true" outlineLevel="0" collapsed="false">
      <c r="A2576" s="7" t="s">
        <v>60</v>
      </c>
      <c r="B2576" s="7" t="n">
        <v>2021</v>
      </c>
      <c r="C2576" s="7" t="s">
        <v>146</v>
      </c>
      <c r="D2576" s="7" t="n">
        <v>82</v>
      </c>
      <c r="E2576" s="7" t="n">
        <v>80</v>
      </c>
      <c r="F2576" s="3" t="n">
        <f aca="false">COUNTIFS($B$2:$B$2705,B2576,$C$2:$C$2705,C2576)</f>
        <v>1</v>
      </c>
      <c r="G2576" s="3" t="n">
        <f aca="false">MIN(INT((MIN(B2576,2020)-1900)/10)+1,12)</f>
        <v>12</v>
      </c>
      <c r="H2576" s="3" t="n">
        <f aca="false">(MIN(B2576,2020)-1900-10*(G2576-1))/10</f>
        <v>1</v>
      </c>
      <c r="I2576" s="20" t="n">
        <f aca="false">EXP(LN(INDEX(Pop_Inputs!$B$2:$N$29,MATCH(C2576,Pop_Inputs!$A$2:$A$29,0),G2576))*(1-H2576)+LN(INDEX(Pop_Inputs!$B$2:$N$29,MATCH(C2576,Pop_Inputs!$A$2:$A$29,0),G2576+1))*H2576)</f>
        <v>1603797</v>
      </c>
      <c r="J2576" s="20" t="n">
        <f aca="false">I2576/F2576</f>
        <v>1603797</v>
      </c>
      <c r="K2576" s="21" t="n">
        <f aca="false">D2576/(D2576+E2576)</f>
        <v>0.506172839506173</v>
      </c>
      <c r="L2576" s="21" t="n">
        <f aca="false">AVERAGEIFS($K$2:$K$2705,$B$2:$B$2705,B2576)</f>
        <v>0.500001278020602</v>
      </c>
      <c r="M2576" s="21" t="n">
        <f aca="false">K2576-L2576</f>
        <v>0.00617156148557119</v>
      </c>
      <c r="N2576" s="21" t="n">
        <f aca="false">LN(J2576)</f>
        <v>14.2878845007959</v>
      </c>
      <c r="O2576" s="21" t="n">
        <f aca="false">AVERAGEIFS($N$2:$N$2705,$B$2:$B$2705,B2576)</f>
        <v>13.6790216080491</v>
      </c>
      <c r="P2576" s="21" t="n">
        <f aca="false">N2576-O2576</f>
        <v>0.608862892746789</v>
      </c>
      <c r="Q2576" s="7" t="n">
        <v>0</v>
      </c>
      <c r="R2576" s="3" t="n">
        <f aca="false">IF(AND(Q2576=1,B2576-_xlfn.MINIFS($B$2:$B$2705,$A$2:$A$2705,A2576)&lt;10),1,0)</f>
        <v>0</v>
      </c>
      <c r="S2576" s="7" t="n">
        <v>0</v>
      </c>
      <c r="T2576" s="3" t="n">
        <f aca="false">_xlfn.MINIFS($B$2:$B$2705,$A$2:$A$2705,A2576)</f>
        <v>1901</v>
      </c>
      <c r="U2576" s="3" t="n">
        <f aca="false">B2576-T2576</f>
        <v>120</v>
      </c>
      <c r="V2576" s="3" t="str">
        <f aca="false">INDEX(Pop_Inputs!$Q$2:$Q$29,MATCH(C2576,Pop_Inputs!$A$2:$A$29,0))</f>
        <v>Northeast</v>
      </c>
      <c r="W2576" s="29" t="n">
        <v>192366818</v>
      </c>
      <c r="X2576" s="3" t="n">
        <f aca="false">IF(W2576="","",LN(W2576))</f>
        <v>19.0749146177049</v>
      </c>
      <c r="Y2576" s="3" t="n">
        <f aca="false">IF(X2576="","",X2576-AVERAGEIFS($X$2:$X$2705,$B$2:$B$2705,B2576))</f>
        <v>0.439623329455767</v>
      </c>
      <c r="Z2576" s="21" t="n">
        <f aca="false">P2576</f>
        <v>0.608862892746789</v>
      </c>
      <c r="AA2576" s="3" t="n">
        <f aca="false">R2576</f>
        <v>0</v>
      </c>
      <c r="AB2576" s="21" t="n">
        <f aca="false">P2576</f>
        <v>0.608862892746789</v>
      </c>
      <c r="AC2576" s="3" t="n">
        <f aca="false">Y2576</f>
        <v>0.439623329455767</v>
      </c>
      <c r="AD2576" s="3" t="n">
        <f aca="false">R2576</f>
        <v>0</v>
      </c>
    </row>
    <row r="2577" customFormat="false" ht="15" hidden="false" customHeight="true" outlineLevel="0" collapsed="false">
      <c r="A2577" s="7" t="s">
        <v>58</v>
      </c>
      <c r="B2577" s="7" t="n">
        <v>2021</v>
      </c>
      <c r="C2577" s="7" t="s">
        <v>144</v>
      </c>
      <c r="D2577" s="7" t="n">
        <v>61</v>
      </c>
      <c r="E2577" s="7" t="n">
        <v>101</v>
      </c>
      <c r="F2577" s="3" t="n">
        <f aca="false">COUNTIFS($B$2:$B$2705,B2577,$C$2:$C$2705,C2577)</f>
        <v>1</v>
      </c>
      <c r="G2577" s="3" t="n">
        <f aca="false">MIN(INT((MIN(B2577,2020)-1900)/10)+1,12)</f>
        <v>12</v>
      </c>
      <c r="H2577" s="3" t="n">
        <f aca="false">(MIN(B2577,2020)-1900-10*(G2577-1))/10</f>
        <v>1</v>
      </c>
      <c r="I2577" s="20" t="n">
        <f aca="false">EXP(LN(INDEX(Pop_Inputs!$B$2:$N$29,MATCH(C2577,Pop_Inputs!$A$2:$A$29,0),G2577))*(1-H2577)+LN(INDEX(Pop_Inputs!$B$2:$N$29,MATCH(C2577,Pop_Inputs!$A$2:$A$29,0),G2577+1))*H2577)</f>
        <v>302971</v>
      </c>
      <c r="J2577" s="20" t="n">
        <f aca="false">I2577/F2577</f>
        <v>302971</v>
      </c>
      <c r="K2577" s="21" t="n">
        <f aca="false">D2577/(D2577+E2577)</f>
        <v>0.376543209876543</v>
      </c>
      <c r="L2577" s="21" t="n">
        <f aca="false">AVERAGEIFS($K$2:$K$2705,$B$2:$B$2705,B2577)</f>
        <v>0.500001278020602</v>
      </c>
      <c r="M2577" s="21" t="n">
        <f aca="false">K2577-L2577</f>
        <v>-0.123458068144058</v>
      </c>
      <c r="N2577" s="21" t="n">
        <f aca="false">LN(J2577)</f>
        <v>12.6213923703401</v>
      </c>
      <c r="O2577" s="21" t="n">
        <f aca="false">AVERAGEIFS($N$2:$N$2705,$B$2:$B$2705,B2577)</f>
        <v>13.6790216080491</v>
      </c>
      <c r="P2577" s="21" t="n">
        <f aca="false">N2577-O2577</f>
        <v>-1.057629237709</v>
      </c>
      <c r="Q2577" s="7" t="n">
        <v>0</v>
      </c>
      <c r="R2577" s="3" t="n">
        <f aca="false">IF(AND(Q2577=1,B2577-_xlfn.MINIFS($B$2:$B$2705,$A$2:$A$2705,A2577)&lt;10),1,0)</f>
        <v>0</v>
      </c>
      <c r="S2577" s="7" t="n">
        <v>0</v>
      </c>
      <c r="T2577" s="3" t="n">
        <f aca="false">_xlfn.MINIFS($B$2:$B$2705,$A$2:$A$2705,A2577)</f>
        <v>1901</v>
      </c>
      <c r="U2577" s="3" t="n">
        <f aca="false">B2577-T2577</f>
        <v>120</v>
      </c>
      <c r="V2577" s="3" t="str">
        <f aca="false">INDEX(Pop_Inputs!$Q$2:$Q$29,MATCH(C2577,Pop_Inputs!$A$2:$A$29,0))</f>
        <v>Northeast</v>
      </c>
      <c r="W2577" s="29" t="n">
        <v>50337389</v>
      </c>
      <c r="X2577" s="3" t="n">
        <f aca="false">IF(W2577="","",LN(W2577))</f>
        <v>17.7342586790239</v>
      </c>
      <c r="Y2577" s="3" t="n">
        <f aca="false">IF(X2577="","",X2577-AVERAGEIFS($X$2:$X$2705,$B$2:$B$2705,B2577))</f>
        <v>-0.901032609225144</v>
      </c>
      <c r="Z2577" s="21" t="n">
        <f aca="false">P2577</f>
        <v>-1.057629237709</v>
      </c>
      <c r="AA2577" s="3" t="n">
        <f aca="false">R2577</f>
        <v>0</v>
      </c>
      <c r="AB2577" s="21" t="n">
        <f aca="false">P2577</f>
        <v>-1.057629237709</v>
      </c>
      <c r="AC2577" s="3" t="n">
        <f aca="false">Y2577</f>
        <v>-0.901032609225144</v>
      </c>
      <c r="AD2577" s="3" t="n">
        <f aca="false">R2577</f>
        <v>0</v>
      </c>
    </row>
    <row r="2578" customFormat="false" ht="15" hidden="false" customHeight="true" outlineLevel="0" collapsed="false">
      <c r="A2578" s="7" t="s">
        <v>78</v>
      </c>
      <c r="B2578" s="7" t="n">
        <v>2021</v>
      </c>
      <c r="C2578" s="7" t="s">
        <v>159</v>
      </c>
      <c r="D2578" s="7" t="n">
        <v>79</v>
      </c>
      <c r="E2578" s="7" t="n">
        <v>83</v>
      </c>
      <c r="F2578" s="3" t="n">
        <f aca="false">COUNTIFS($B$2:$B$2705,B2578,$C$2:$C$2705,C2578)</f>
        <v>1</v>
      </c>
      <c r="G2578" s="3" t="n">
        <f aca="false">MIN(INT((MIN(B2578,2020)-1900)/10)+1,12)</f>
        <v>12</v>
      </c>
      <c r="H2578" s="3" t="n">
        <f aca="false">(MIN(B2578,2020)-1900-10*(G2578-1))/10</f>
        <v>1</v>
      </c>
      <c r="I2578" s="20" t="n">
        <f aca="false">EXP(LN(INDEX(Pop_Inputs!$B$2:$N$29,MATCH(C2578,Pop_Inputs!$A$2:$A$29,0),G2578))*(1-H2578)+LN(INDEX(Pop_Inputs!$B$2:$N$29,MATCH(C2578,Pop_Inputs!$A$2:$A$29,0),G2578+1))*H2578)</f>
        <v>1386932</v>
      </c>
      <c r="J2578" s="20" t="n">
        <f aca="false">I2578/F2578</f>
        <v>1386932</v>
      </c>
      <c r="K2578" s="21" t="n">
        <f aca="false">D2578/(D2578+E2578)</f>
        <v>0.487654320987654</v>
      </c>
      <c r="L2578" s="21" t="n">
        <f aca="false">AVERAGEIFS($K$2:$K$2705,$B$2:$B$2705,B2578)</f>
        <v>0.500001278020602</v>
      </c>
      <c r="M2578" s="21" t="n">
        <f aca="false">K2578-L2578</f>
        <v>-0.0123469570329474</v>
      </c>
      <c r="N2578" s="21" t="n">
        <f aca="false">LN(J2578)</f>
        <v>14.1426046714188</v>
      </c>
      <c r="O2578" s="21" t="n">
        <f aca="false">AVERAGEIFS($N$2:$N$2705,$B$2:$B$2705,B2578)</f>
        <v>13.6790216080491</v>
      </c>
      <c r="P2578" s="21" t="n">
        <f aca="false">N2578-O2578</f>
        <v>0.463583063369741</v>
      </c>
      <c r="Q2578" s="7" t="n">
        <v>1</v>
      </c>
      <c r="R2578" s="3" t="n">
        <f aca="false">IF(AND(Q2578=1,B2578-_xlfn.MINIFS($B$2:$B$2705,$A$2:$A$2705,A2578)&lt;10),1,0)</f>
        <v>0</v>
      </c>
      <c r="S2578" s="7" t="n">
        <v>0</v>
      </c>
      <c r="T2578" s="3" t="n">
        <f aca="false">_xlfn.MINIFS($B$2:$B$2705,$A$2:$A$2705,A2578)</f>
        <v>1969</v>
      </c>
      <c r="U2578" s="3" t="n">
        <f aca="false">B2578-T2578</f>
        <v>52</v>
      </c>
      <c r="V2578" s="3" t="str">
        <f aca="false">INDEX(Pop_Inputs!$Q$2:$Q$29,MATCH(C2578,Pop_Inputs!$A$2:$A$29,0))</f>
        <v>West</v>
      </c>
      <c r="W2578" s="29" t="n">
        <v>184125634</v>
      </c>
      <c r="X2578" s="3" t="n">
        <f aca="false">IF(W2578="","",LN(W2578))</f>
        <v>19.0311288760541</v>
      </c>
      <c r="Y2578" s="3" t="n">
        <f aca="false">IF(X2578="","",X2578-AVERAGEIFS($X$2:$X$2705,$B$2:$B$2705,B2578))</f>
        <v>0.395837587805019</v>
      </c>
      <c r="Z2578" s="21" t="n">
        <f aca="false">P2578</f>
        <v>0.463583063369741</v>
      </c>
      <c r="AA2578" s="3" t="n">
        <f aca="false">R2578</f>
        <v>0</v>
      </c>
      <c r="AB2578" s="21" t="n">
        <f aca="false">P2578</f>
        <v>0.463583063369741</v>
      </c>
      <c r="AC2578" s="3" t="n">
        <f aca="false">Y2578</f>
        <v>0.395837587805019</v>
      </c>
      <c r="AD2578" s="3" t="n">
        <f aca="false">R2578</f>
        <v>0</v>
      </c>
    </row>
    <row r="2579" customFormat="false" ht="15" hidden="false" customHeight="true" outlineLevel="0" collapsed="false">
      <c r="A2579" s="7" t="s">
        <v>80</v>
      </c>
      <c r="B2579" s="7" t="n">
        <v>2021</v>
      </c>
      <c r="C2579" s="7" t="s">
        <v>161</v>
      </c>
      <c r="D2579" s="7" t="n">
        <v>90</v>
      </c>
      <c r="E2579" s="7" t="n">
        <v>72</v>
      </c>
      <c r="F2579" s="3" t="n">
        <f aca="false">COUNTIFS($B$2:$B$2705,B2579,$C$2:$C$2705,C2579)</f>
        <v>1</v>
      </c>
      <c r="G2579" s="3" t="n">
        <f aca="false">MIN(INT((MIN(B2579,2020)-1900)/10)+1,12)</f>
        <v>12</v>
      </c>
      <c r="H2579" s="3" t="n">
        <f aca="false">(MIN(B2579,2020)-1900-10*(G2579-1))/10</f>
        <v>1</v>
      </c>
      <c r="I2579" s="20" t="n">
        <f aca="false">EXP(LN(INDEX(Pop_Inputs!$B$2:$N$29,MATCH(C2579,Pop_Inputs!$A$2:$A$29,0),G2579))*(1-H2579)+LN(INDEX(Pop_Inputs!$B$2:$N$29,MATCH(C2579,Pop_Inputs!$A$2:$A$29,0),G2579+1))*H2579)</f>
        <v>737015</v>
      </c>
      <c r="J2579" s="20" t="n">
        <f aca="false">I2579/F2579</f>
        <v>737015</v>
      </c>
      <c r="K2579" s="21" t="n">
        <f aca="false">D2579/(D2579+E2579)</f>
        <v>0.555555555555556</v>
      </c>
      <c r="L2579" s="21" t="n">
        <f aca="false">AVERAGEIFS($K$2:$K$2705,$B$2:$B$2705,B2579)</f>
        <v>0.500001278020602</v>
      </c>
      <c r="M2579" s="21" t="n">
        <f aca="false">K2579-L2579</f>
        <v>0.0555542775349539</v>
      </c>
      <c r="N2579" s="21" t="n">
        <f aca="false">LN(J2579)</f>
        <v>13.5103635237459</v>
      </c>
      <c r="O2579" s="21" t="n">
        <f aca="false">AVERAGEIFS($N$2:$N$2705,$B$2:$B$2705,B2579)</f>
        <v>13.6790216080491</v>
      </c>
      <c r="P2579" s="21" t="n">
        <f aca="false">N2579-O2579</f>
        <v>-0.168658084303196</v>
      </c>
      <c r="Q2579" s="7" t="n">
        <v>1</v>
      </c>
      <c r="R2579" s="3" t="n">
        <f aca="false">IF(AND(Q2579=1,B2579-_xlfn.MINIFS($B$2:$B$2705,$A$2:$A$2705,A2579)&lt;10),1,0)</f>
        <v>0</v>
      </c>
      <c r="S2579" s="7" t="n">
        <v>0</v>
      </c>
      <c r="T2579" s="3" t="n">
        <f aca="false">_xlfn.MINIFS($B$2:$B$2705,$A$2:$A$2705,A2579)</f>
        <v>1977</v>
      </c>
      <c r="U2579" s="3" t="n">
        <f aca="false">B2579-T2579</f>
        <v>44</v>
      </c>
      <c r="V2579" s="3" t="str">
        <f aca="false">INDEX(Pop_Inputs!$Q$2:$Q$29,MATCH(C2579,Pop_Inputs!$A$2:$A$29,0))</f>
        <v>West</v>
      </c>
      <c r="W2579" s="29" t="n">
        <v>93650276</v>
      </c>
      <c r="X2579" s="3" t="n">
        <f aca="false">IF(W2579="","",LN(W2579))</f>
        <v>18.3550779339937</v>
      </c>
      <c r="Y2579" s="3" t="n">
        <f aca="false">IF(X2579="","",X2579-AVERAGEIFS($X$2:$X$2705,$B$2:$B$2705,B2579))</f>
        <v>-0.280213354255441</v>
      </c>
      <c r="Z2579" s="21" t="n">
        <f aca="false">P2579</f>
        <v>-0.168658084303196</v>
      </c>
      <c r="AA2579" s="3" t="n">
        <f aca="false">R2579</f>
        <v>0</v>
      </c>
      <c r="AB2579" s="21" t="n">
        <f aca="false">P2579</f>
        <v>-0.168658084303196</v>
      </c>
      <c r="AC2579" s="3" t="n">
        <f aca="false">Y2579</f>
        <v>-0.280213354255441</v>
      </c>
      <c r="AD2579" s="3" t="n">
        <f aca="false">R2579</f>
        <v>0</v>
      </c>
    </row>
    <row r="2580" customFormat="false" ht="15" hidden="false" customHeight="true" outlineLevel="0" collapsed="false">
      <c r="A2580" s="7" t="s">
        <v>61</v>
      </c>
      <c r="B2580" s="7" t="n">
        <v>2021</v>
      </c>
      <c r="C2580" s="7" t="s">
        <v>147</v>
      </c>
      <c r="D2580" s="7" t="n">
        <v>107</v>
      </c>
      <c r="E2580" s="7" t="n">
        <v>55</v>
      </c>
      <c r="F2580" s="3" t="n">
        <f aca="false">COUNTIFS($B$2:$B$2705,B2580,$C$2:$C$2705,C2580)</f>
        <v>1</v>
      </c>
      <c r="G2580" s="3" t="n">
        <f aca="false">MIN(INT((MIN(B2580,2020)-1900)/10)+1,12)</f>
        <v>12</v>
      </c>
      <c r="H2580" s="3" t="n">
        <f aca="false">(MIN(B2580,2020)-1900-10*(G2580-1))/10</f>
        <v>1</v>
      </c>
      <c r="I2580" s="20" t="n">
        <f aca="false">EXP(LN(INDEX(Pop_Inputs!$B$2:$N$29,MATCH(C2580,Pop_Inputs!$A$2:$A$29,0),G2580))*(1-H2580)+LN(INDEX(Pop_Inputs!$B$2:$N$29,MATCH(C2580,Pop_Inputs!$A$2:$A$29,0),G2580+1))*H2580)</f>
        <v>873965</v>
      </c>
      <c r="J2580" s="20" t="n">
        <f aca="false">I2580/F2580</f>
        <v>873965</v>
      </c>
      <c r="K2580" s="21" t="n">
        <f aca="false">D2580/(D2580+E2580)</f>
        <v>0.660493827160494</v>
      </c>
      <c r="L2580" s="21" t="n">
        <f aca="false">AVERAGEIFS($K$2:$K$2705,$B$2:$B$2705,B2580)</f>
        <v>0.500001278020602</v>
      </c>
      <c r="M2580" s="21" t="n">
        <f aca="false">K2580-L2580</f>
        <v>0.160492549139892</v>
      </c>
      <c r="N2580" s="21" t="n">
        <f aca="false">LN(J2580)</f>
        <v>13.6807956080692</v>
      </c>
      <c r="O2580" s="21" t="n">
        <f aca="false">AVERAGEIFS($N$2:$N$2705,$B$2:$B$2705,B2580)</f>
        <v>13.6790216080491</v>
      </c>
      <c r="P2580" s="21" t="n">
        <f aca="false">N2580-O2580</f>
        <v>0.00177400002012718</v>
      </c>
      <c r="Q2580" s="7" t="n">
        <v>0</v>
      </c>
      <c r="R2580" s="3" t="n">
        <f aca="false">IF(AND(Q2580=1,B2580-_xlfn.MINIFS($B$2:$B$2705,$A$2:$A$2705,A2580)&lt;10),1,0)</f>
        <v>0</v>
      </c>
      <c r="S2580" s="7" t="n">
        <v>0</v>
      </c>
      <c r="T2580" s="3" t="n">
        <f aca="false">_xlfn.MINIFS($B$2:$B$2705,$A$2:$A$2705,A2580)</f>
        <v>1901</v>
      </c>
      <c r="U2580" s="3" t="n">
        <f aca="false">B2580-T2580</f>
        <v>120</v>
      </c>
      <c r="V2580" s="3" t="str">
        <f aca="false">INDEX(Pop_Inputs!$Q$2:$Q$29,MATCH(C2580,Pop_Inputs!$A$2:$A$29,0))</f>
        <v>West</v>
      </c>
      <c r="W2580" s="29" t="n">
        <v>165869140</v>
      </c>
      <c r="X2580" s="3" t="n">
        <f aca="false">IF(W2580="","",LN(W2580))</f>
        <v>18.9267097221855</v>
      </c>
      <c r="Y2580" s="3" t="n">
        <f aca="false">IF(X2580="","",X2580-AVERAGEIFS($X$2:$X$2705,$B$2:$B$2705,B2580))</f>
        <v>0.291418433936432</v>
      </c>
      <c r="Z2580" s="21" t="n">
        <f aca="false">P2580</f>
        <v>0.00177400002012718</v>
      </c>
      <c r="AA2580" s="3" t="n">
        <f aca="false">R2580</f>
        <v>0</v>
      </c>
      <c r="AB2580" s="21" t="n">
        <f aca="false">P2580</f>
        <v>0.00177400002012718</v>
      </c>
      <c r="AC2580" s="3" t="n">
        <f aca="false">Y2580</f>
        <v>0.291418433936432</v>
      </c>
      <c r="AD2580" s="3" t="n">
        <f aca="false">R2580</f>
        <v>0</v>
      </c>
    </row>
    <row r="2581" customFormat="false" ht="15" hidden="false" customHeight="true" outlineLevel="0" collapsed="false">
      <c r="A2581" s="7" t="s">
        <v>59</v>
      </c>
      <c r="B2581" s="7" t="n">
        <v>2021</v>
      </c>
      <c r="C2581" s="7" t="s">
        <v>145</v>
      </c>
      <c r="D2581" s="7" t="n">
        <v>90</v>
      </c>
      <c r="E2581" s="7" t="n">
        <v>72</v>
      </c>
      <c r="F2581" s="3" t="n">
        <f aca="false">COUNTIFS($B$2:$B$2705,B2581,$C$2:$C$2705,C2581)</f>
        <v>1</v>
      </c>
      <c r="G2581" s="3" t="n">
        <f aca="false">MIN(INT((MIN(B2581,2020)-1900)/10)+1,12)</f>
        <v>12</v>
      </c>
      <c r="H2581" s="3" t="n">
        <f aca="false">(MIN(B2581,2020)-1900-10*(G2581-1))/10</f>
        <v>1</v>
      </c>
      <c r="I2581" s="20" t="n">
        <f aca="false">EXP(LN(INDEX(Pop_Inputs!$B$2:$N$29,MATCH(C2581,Pop_Inputs!$A$2:$A$29,0),G2581))*(1-H2581)+LN(INDEX(Pop_Inputs!$B$2:$N$29,MATCH(C2581,Pop_Inputs!$A$2:$A$29,0),G2581+1))*H2581)</f>
        <v>301578</v>
      </c>
      <c r="J2581" s="20" t="n">
        <f aca="false">I2581/F2581</f>
        <v>301578</v>
      </c>
      <c r="K2581" s="21" t="n">
        <f aca="false">D2581/(D2581+E2581)</f>
        <v>0.555555555555556</v>
      </c>
      <c r="L2581" s="21" t="n">
        <f aca="false">AVERAGEIFS($K$2:$K$2705,$B$2:$B$2705,B2581)</f>
        <v>0.500001278020602</v>
      </c>
      <c r="M2581" s="21" t="n">
        <f aca="false">K2581-L2581</f>
        <v>0.0555542775349539</v>
      </c>
      <c r="N2581" s="21" t="n">
        <f aca="false">LN(J2581)</f>
        <v>12.6167839681583</v>
      </c>
      <c r="O2581" s="21" t="n">
        <f aca="false">AVERAGEIFS($N$2:$N$2705,$B$2:$B$2705,B2581)</f>
        <v>13.6790216080491</v>
      </c>
      <c r="P2581" s="21" t="n">
        <f aca="false">N2581-O2581</f>
        <v>-1.06223763989081</v>
      </c>
      <c r="Q2581" s="7" t="n">
        <v>0</v>
      </c>
      <c r="R2581" s="3" t="n">
        <f aca="false">IF(AND(Q2581=1,B2581-_xlfn.MINIFS($B$2:$B$2705,$A$2:$A$2705,A2581)&lt;10),1,0)</f>
        <v>0</v>
      </c>
      <c r="S2581" s="7" t="n">
        <v>0</v>
      </c>
      <c r="T2581" s="3" t="n">
        <f aca="false">_xlfn.MINIFS($B$2:$B$2705,$A$2:$A$2705,A2581)</f>
        <v>1901</v>
      </c>
      <c r="U2581" s="3" t="n">
        <f aca="false">B2581-T2581</f>
        <v>120</v>
      </c>
      <c r="V2581" s="3" t="str">
        <f aca="false">INDEX(Pop_Inputs!$Q$2:$Q$29,MATCH(C2581,Pop_Inputs!$A$2:$A$29,0))</f>
        <v>Midwest</v>
      </c>
      <c r="W2581" s="29" t="n">
        <v>168923070</v>
      </c>
      <c r="X2581" s="3" t="n">
        <f aca="false">IF(W2581="","",LN(W2581))</f>
        <v>18.9449539621486</v>
      </c>
      <c r="Y2581" s="3" t="n">
        <f aca="false">IF(X2581="","",X2581-AVERAGEIFS($X$2:$X$2705,$B$2:$B$2705,B2581))</f>
        <v>0.309662673899464</v>
      </c>
      <c r="Z2581" s="21" t="n">
        <f aca="false">P2581</f>
        <v>-1.06223763989081</v>
      </c>
      <c r="AA2581" s="3" t="n">
        <f aca="false">R2581</f>
        <v>0</v>
      </c>
      <c r="AB2581" s="21" t="n">
        <f aca="false">P2581</f>
        <v>-1.06223763989081</v>
      </c>
      <c r="AC2581" s="3" t="n">
        <f aca="false">Y2581</f>
        <v>0.309662673899464</v>
      </c>
      <c r="AD2581" s="3" t="n">
        <f aca="false">R2581</f>
        <v>0</v>
      </c>
    </row>
    <row r="2582" customFormat="false" ht="15" hidden="false" customHeight="true" outlineLevel="0" collapsed="false">
      <c r="A2582" s="7" t="s">
        <v>85</v>
      </c>
      <c r="B2582" s="7" t="n">
        <v>2021</v>
      </c>
      <c r="C2582" s="7" t="s">
        <v>166</v>
      </c>
      <c r="D2582" s="7" t="n">
        <v>100</v>
      </c>
      <c r="E2582" s="7" t="n">
        <v>62</v>
      </c>
      <c r="F2582" s="3" t="n">
        <f aca="false">COUNTIFS($B$2:$B$2705,B2582,$C$2:$C$2705,C2582)</f>
        <v>1</v>
      </c>
      <c r="G2582" s="3" t="n">
        <f aca="false">MIN(INT((MIN(B2582,2020)-1900)/10)+1,12)</f>
        <v>12</v>
      </c>
      <c r="H2582" s="3" t="n">
        <f aca="false">(MIN(B2582,2020)-1900-10*(G2582-1))/10</f>
        <v>1</v>
      </c>
      <c r="I2582" s="20" t="n">
        <f aca="false">EXP(LN(INDEX(Pop_Inputs!$B$2:$N$29,MATCH(C2582,Pop_Inputs!$A$2:$A$29,0),G2582))*(1-H2582)+LN(INDEX(Pop_Inputs!$B$2:$N$29,MATCH(C2582,Pop_Inputs!$A$2:$A$29,0),G2582+1))*H2582)</f>
        <v>384959</v>
      </c>
      <c r="J2582" s="20" t="n">
        <f aca="false">I2582/F2582</f>
        <v>384959</v>
      </c>
      <c r="K2582" s="21" t="n">
        <f aca="false">D2582/(D2582+E2582)</f>
        <v>0.617283950617284</v>
      </c>
      <c r="L2582" s="21" t="n">
        <f aca="false">AVERAGEIFS($K$2:$K$2705,$B$2:$B$2705,B2582)</f>
        <v>0.500001278020602</v>
      </c>
      <c r="M2582" s="21" t="n">
        <f aca="false">K2582-L2582</f>
        <v>0.117282672596682</v>
      </c>
      <c r="N2582" s="21" t="n">
        <f aca="false">LN(J2582)</f>
        <v>12.8608921140926</v>
      </c>
      <c r="O2582" s="21" t="n">
        <f aca="false">AVERAGEIFS($N$2:$N$2705,$B$2:$B$2705,B2582)</f>
        <v>13.6790216080491</v>
      </c>
      <c r="P2582" s="21" t="n">
        <f aca="false">N2582-O2582</f>
        <v>-0.81812949395651</v>
      </c>
      <c r="Q2582" s="7" t="n">
        <v>1</v>
      </c>
      <c r="R2582" s="3" t="n">
        <f aca="false">IF(AND(Q2582=1,B2582-_xlfn.MINIFS($B$2:$B$2705,$A$2:$A$2705,A2582)&lt;10),1,0)</f>
        <v>0</v>
      </c>
      <c r="S2582" s="7" t="n">
        <v>0</v>
      </c>
      <c r="T2582" s="3" t="n">
        <f aca="false">_xlfn.MINIFS($B$2:$B$2705,$A$2:$A$2705,A2582)</f>
        <v>1998</v>
      </c>
      <c r="U2582" s="3" t="n">
        <f aca="false">B2582-T2582</f>
        <v>23</v>
      </c>
      <c r="V2582" s="3" t="str">
        <f aca="false">INDEX(Pop_Inputs!$Q$2:$Q$29,MATCH(C2582,Pop_Inputs!$A$2:$A$29,0))</f>
        <v>South</v>
      </c>
      <c r="W2582" s="29" t="n">
        <v>76856333</v>
      </c>
      <c r="X2582" s="3" t="n">
        <f aca="false">IF(W2582="","",LN(W2582))</f>
        <v>18.1574484318405</v>
      </c>
      <c r="Y2582" s="3" t="n">
        <f aca="false">IF(X2582="","",X2582-AVERAGEIFS($X$2:$X$2705,$B$2:$B$2705,B2582))</f>
        <v>-0.477842856408582</v>
      </c>
      <c r="Z2582" s="21" t="n">
        <f aca="false">P2582</f>
        <v>-0.81812949395651</v>
      </c>
      <c r="AA2582" s="3" t="n">
        <f aca="false">R2582</f>
        <v>0</v>
      </c>
      <c r="AB2582" s="21" t="n">
        <f aca="false">P2582</f>
        <v>-0.81812949395651</v>
      </c>
      <c r="AC2582" s="3" t="n">
        <f aca="false">Y2582</f>
        <v>-0.477842856408582</v>
      </c>
      <c r="AD2582" s="3" t="n">
        <f aca="false">R2582</f>
        <v>0</v>
      </c>
    </row>
    <row r="2583" customFormat="false" ht="15" hidden="false" customHeight="true" outlineLevel="0" collapsed="false">
      <c r="A2583" s="7" t="s">
        <v>73</v>
      </c>
      <c r="B2583" s="7" t="n">
        <v>2021</v>
      </c>
      <c r="C2583" s="7" t="s">
        <v>155</v>
      </c>
      <c r="D2583" s="7" t="n">
        <v>60</v>
      </c>
      <c r="E2583" s="7" t="n">
        <v>102</v>
      </c>
      <c r="F2583" s="3" t="n">
        <f aca="false">COUNTIFS($B$2:$B$2705,B2583,$C$2:$C$2705,C2583)</f>
        <v>1</v>
      </c>
      <c r="G2583" s="3" t="n">
        <f aca="false">MIN(INT((MIN(B2583,2020)-1900)/10)+1,12)</f>
        <v>12</v>
      </c>
      <c r="H2583" s="3" t="n">
        <f aca="false">(MIN(B2583,2020)-1900-10*(G2583-1))/10</f>
        <v>1</v>
      </c>
      <c r="I2583" s="20" t="n">
        <f aca="false">EXP(LN(INDEX(Pop_Inputs!$B$2:$N$29,MATCH(C2583,Pop_Inputs!$A$2:$A$29,0),G2583))*(1-H2583)+LN(INDEX(Pop_Inputs!$B$2:$N$29,MATCH(C2583,Pop_Inputs!$A$2:$A$29,0),G2583+1))*H2583)</f>
        <v>1304379</v>
      </c>
      <c r="J2583" s="20" t="n">
        <f aca="false">I2583/F2583</f>
        <v>1304379</v>
      </c>
      <c r="K2583" s="21" t="n">
        <f aca="false">D2583/(D2583+E2583)</f>
        <v>0.37037037037037</v>
      </c>
      <c r="L2583" s="21" t="n">
        <f aca="false">AVERAGEIFS($K$2:$K$2705,$B$2:$B$2705,B2583)</f>
        <v>0.500001278020602</v>
      </c>
      <c r="M2583" s="21" t="n">
        <f aca="false">K2583-L2583</f>
        <v>-0.129630907650231</v>
      </c>
      <c r="N2583" s="21" t="n">
        <f aca="false">LN(J2583)</f>
        <v>14.0812376234117</v>
      </c>
      <c r="O2583" s="21" t="n">
        <f aca="false">AVERAGEIFS($N$2:$N$2705,$B$2:$B$2705,B2583)</f>
        <v>13.6790216080491</v>
      </c>
      <c r="P2583" s="21" t="n">
        <f aca="false">N2583-O2583</f>
        <v>0.402216015362578</v>
      </c>
      <c r="Q2583" s="7" t="n">
        <v>1</v>
      </c>
      <c r="R2583" s="3" t="n">
        <f aca="false">IF(AND(Q2583=1,B2583-_xlfn.MINIFS($B$2:$B$2705,$A$2:$A$2705,A2583)&lt;10),1,0)</f>
        <v>0</v>
      </c>
      <c r="S2583" s="7" t="n">
        <v>0</v>
      </c>
      <c r="T2583" s="3" t="n">
        <f aca="false">_xlfn.MINIFS($B$2:$B$2705,$A$2:$A$2705,A2583)</f>
        <v>1961</v>
      </c>
      <c r="U2583" s="3" t="n">
        <f aca="false">B2583-T2583</f>
        <v>60</v>
      </c>
      <c r="V2583" s="3" t="str">
        <f aca="false">INDEX(Pop_Inputs!$Q$2:$Q$29,MATCH(C2583,Pop_Inputs!$A$2:$A$29,0))</f>
        <v>South</v>
      </c>
      <c r="W2583" s="29" t="n">
        <v>104310488</v>
      </c>
      <c r="X2583" s="3" t="n">
        <f aca="false">IF(W2583="","",LN(W2583))</f>
        <v>18.4628824710038</v>
      </c>
      <c r="Y2583" s="3" t="n">
        <f aca="false">IF(X2583="","",X2583-AVERAGEIFS($X$2:$X$2705,$B$2:$B$2705,B2583))</f>
        <v>-0.172408817245305</v>
      </c>
      <c r="Z2583" s="21" t="n">
        <f aca="false">P2583</f>
        <v>0.402216015362578</v>
      </c>
      <c r="AA2583" s="3" t="n">
        <f aca="false">R2583</f>
        <v>0</v>
      </c>
      <c r="AB2583" s="21" t="n">
        <f aca="false">P2583</f>
        <v>0.402216015362578</v>
      </c>
      <c r="AC2583" s="3" t="n">
        <f aca="false">Y2583</f>
        <v>-0.172408817245305</v>
      </c>
      <c r="AD2583" s="3" t="n">
        <f aca="false">R2583</f>
        <v>0</v>
      </c>
    </row>
    <row r="2584" customFormat="false" ht="15" hidden="false" customHeight="true" outlineLevel="0" collapsed="false">
      <c r="A2584" s="7" t="s">
        <v>81</v>
      </c>
      <c r="B2584" s="7" t="n">
        <v>2021</v>
      </c>
      <c r="C2584" s="7" t="s">
        <v>162</v>
      </c>
      <c r="D2584" s="7" t="n">
        <v>91</v>
      </c>
      <c r="E2584" s="7" t="n">
        <v>71</v>
      </c>
      <c r="F2584" s="3" t="n">
        <f aca="false">COUNTIFS($B$2:$B$2705,B2584,$C$2:$C$2705,C2584)</f>
        <v>1</v>
      </c>
      <c r="G2584" s="3" t="n">
        <f aca="false">MIN(INT((MIN(B2584,2020)-1900)/10)+1,12)</f>
        <v>12</v>
      </c>
      <c r="H2584" s="3" t="n">
        <f aca="false">(MIN(B2584,2020)-1900-10*(G2584-1))/10</f>
        <v>1</v>
      </c>
      <c r="I2584" s="20" t="n">
        <f aca="false">EXP(LN(INDEX(Pop_Inputs!$B$2:$N$29,MATCH(C2584,Pop_Inputs!$A$2:$A$29,0),G2584))*(1-H2584)+LN(INDEX(Pop_Inputs!$B$2:$N$29,MATCH(C2584,Pop_Inputs!$A$2:$A$29,0),G2584+1))*H2584)</f>
        <v>2794356</v>
      </c>
      <c r="J2584" s="20" t="n">
        <f aca="false">I2584/F2584</f>
        <v>2794356</v>
      </c>
      <c r="K2584" s="21" t="n">
        <f aca="false">D2584/(D2584+E2584)</f>
        <v>0.561728395061728</v>
      </c>
      <c r="L2584" s="21" t="n">
        <f aca="false">AVERAGEIFS($K$2:$K$2705,$B$2:$B$2705,B2584)</f>
        <v>0.500001278020602</v>
      </c>
      <c r="M2584" s="21" t="n">
        <f aca="false">K2584-L2584</f>
        <v>0.0617271170411268</v>
      </c>
      <c r="N2584" s="21" t="n">
        <f aca="false">LN(J2584)</f>
        <v>14.8431122265735</v>
      </c>
      <c r="O2584" s="21" t="n">
        <f aca="false">AVERAGEIFS($N$2:$N$2705,$B$2:$B$2705,B2584)</f>
        <v>13.6790216080491</v>
      </c>
      <c r="P2584" s="21" t="n">
        <f aca="false">N2584-O2584</f>
        <v>1.16409061852442</v>
      </c>
      <c r="Q2584" s="7" t="n">
        <v>1</v>
      </c>
      <c r="R2584" s="3" t="n">
        <f aca="false">IF(AND(Q2584=1,B2584-_xlfn.MINIFS($B$2:$B$2705,$A$2:$A$2705,A2584)&lt;10),1,0)</f>
        <v>0</v>
      </c>
      <c r="S2584" s="7" t="n">
        <v>0</v>
      </c>
      <c r="T2584" s="3" t="n">
        <f aca="false">_xlfn.MINIFS($B$2:$B$2705,$A$2:$A$2705,A2584)</f>
        <v>1977</v>
      </c>
      <c r="U2584" s="3" t="n">
        <f aca="false">B2584-T2584</f>
        <v>44</v>
      </c>
      <c r="V2584" s="3" t="str">
        <f aca="false">INDEX(Pop_Inputs!$Q$2:$Q$29,MATCH(C2584,Pop_Inputs!$A$2:$A$29,0))</f>
        <v>Canada</v>
      </c>
      <c r="W2584" s="29" t="n">
        <v>152261601</v>
      </c>
      <c r="X2584" s="3" t="n">
        <f aca="false">IF(W2584="","",LN(W2584))</f>
        <v>18.8411106586958</v>
      </c>
      <c r="Y2584" s="3" t="n">
        <f aca="false">IF(X2584="","",X2584-AVERAGEIFS($X$2:$X$2705,$B$2:$B$2705,B2584))</f>
        <v>0.20581937044668</v>
      </c>
      <c r="Z2584" s="21" t="n">
        <f aca="false">P2584</f>
        <v>1.16409061852442</v>
      </c>
      <c r="AA2584" s="3" t="n">
        <f aca="false">R2584</f>
        <v>0</v>
      </c>
      <c r="AB2584" s="21" t="n">
        <f aca="false">P2584</f>
        <v>1.16409061852442</v>
      </c>
      <c r="AC2584" s="3" t="n">
        <f aca="false">Y2584</f>
        <v>0.20581937044668</v>
      </c>
      <c r="AD2584" s="3" t="n">
        <f aca="false">R2584</f>
        <v>0</v>
      </c>
    </row>
    <row r="2585" customFormat="false" ht="15" hidden="false" customHeight="true" outlineLevel="0" collapsed="false">
      <c r="A2585" s="7" t="s">
        <v>79</v>
      </c>
      <c r="B2585" s="7" t="n">
        <v>2021</v>
      </c>
      <c r="C2585" s="7" t="s">
        <v>160</v>
      </c>
      <c r="D2585" s="7" t="n">
        <v>65</v>
      </c>
      <c r="E2585" s="7" t="n">
        <v>97</v>
      </c>
      <c r="F2585" s="3" t="n">
        <f aca="false">COUNTIFS($B$2:$B$2705,B2585,$C$2:$C$2705,C2585)</f>
        <v>1</v>
      </c>
      <c r="G2585" s="3" t="n">
        <f aca="false">MIN(INT((MIN(B2585,2020)-1900)/10)+1,12)</f>
        <v>12</v>
      </c>
      <c r="H2585" s="3" t="n">
        <f aca="false">(MIN(B2585,2020)-1900-10*(G2585-1))/10</f>
        <v>1</v>
      </c>
      <c r="I2585" s="20" t="n">
        <f aca="false">EXP(LN(INDEX(Pop_Inputs!$B$2:$N$29,MATCH(C2585,Pop_Inputs!$A$2:$A$29,0),G2585))*(1-H2585)+LN(INDEX(Pop_Inputs!$B$2:$N$29,MATCH(C2585,Pop_Inputs!$A$2:$A$29,0),G2585+1))*H2585)</f>
        <v>689545</v>
      </c>
      <c r="J2585" s="20" t="n">
        <f aca="false">I2585/F2585</f>
        <v>689545</v>
      </c>
      <c r="K2585" s="21" t="n">
        <f aca="false">D2585/(D2585+E2585)</f>
        <v>0.401234567901235</v>
      </c>
      <c r="L2585" s="21" t="n">
        <f aca="false">AVERAGEIFS($K$2:$K$2705,$B$2:$B$2705,B2585)</f>
        <v>0.500001278020602</v>
      </c>
      <c r="M2585" s="21" t="n">
        <f aca="false">K2585-L2585</f>
        <v>-0.0987667101193671</v>
      </c>
      <c r="N2585" s="21" t="n">
        <f aca="false">LN(J2585)</f>
        <v>13.4437872387704</v>
      </c>
      <c r="O2585" s="21" t="n">
        <f aca="false">AVERAGEIFS($N$2:$N$2705,$B$2:$B$2705,B2585)</f>
        <v>13.6790216080491</v>
      </c>
      <c r="P2585" s="21" t="n">
        <f aca="false">N2585-O2585</f>
        <v>-0.2352343692787</v>
      </c>
      <c r="Q2585" s="7" t="n">
        <v>1</v>
      </c>
      <c r="R2585" s="3" t="n">
        <f aca="false">IF(AND(Q2585=1,B2585-_xlfn.MINIFS($B$2:$B$2705,$A$2:$A$2705,A2585)&lt;10),1,0)</f>
        <v>0</v>
      </c>
      <c r="S2585" s="7" t="n">
        <v>0</v>
      </c>
      <c r="T2585" s="3" t="n">
        <f aca="false">_xlfn.MINIFS($B$2:$B$2705,$A$2:$A$2705,A2585)</f>
        <v>1969</v>
      </c>
      <c r="U2585" s="3" t="n">
        <f aca="false">B2585-T2585</f>
        <v>52</v>
      </c>
      <c r="V2585" s="3" t="str">
        <f aca="false">INDEX(Pop_Inputs!$Q$2:$Q$29,MATCH(C2585,Pop_Inputs!$A$2:$A$29,0))</f>
        <v>South</v>
      </c>
      <c r="W2585" s="29" t="n">
        <v>168252361</v>
      </c>
      <c r="X2585" s="3" t="n">
        <f aca="false">IF(W2585="","",LN(W2585))</f>
        <v>18.9409755590801</v>
      </c>
      <c r="Y2585" s="3" t="n">
        <f aca="false">IF(X2585="","",X2585-AVERAGEIFS($X$2:$X$2705,$B$2:$B$2705,B2585))</f>
        <v>0.305684270831016</v>
      </c>
      <c r="Z2585" s="21" t="n">
        <f aca="false">P2585</f>
        <v>-0.2352343692787</v>
      </c>
      <c r="AA2585" s="3" t="n">
        <f aca="false">R2585</f>
        <v>0</v>
      </c>
      <c r="AB2585" s="21" t="n">
        <f aca="false">P2585</f>
        <v>-0.2352343692787</v>
      </c>
      <c r="AC2585" s="3" t="n">
        <f aca="false">Y2585</f>
        <v>0.305684270831016</v>
      </c>
      <c r="AD2585" s="3" t="n">
        <f aca="false">R2585</f>
        <v>0</v>
      </c>
    </row>
    <row r="2586" customFormat="false" ht="15" hidden="false" customHeight="true" outlineLevel="0" collapsed="false">
      <c r="A2586" s="7" t="s">
        <v>71</v>
      </c>
      <c r="B2586" s="7" t="n">
        <v>2022</v>
      </c>
      <c r="C2586" s="7" t="s">
        <v>148</v>
      </c>
      <c r="D2586" s="7" t="n">
        <v>73</v>
      </c>
      <c r="E2586" s="7" t="n">
        <v>89</v>
      </c>
      <c r="F2586" s="3" t="n">
        <f aca="false">COUNTIFS($B$2:$B$2705,B2586,$C$2:$C$2705,C2586)</f>
        <v>2</v>
      </c>
      <c r="G2586" s="3" t="n">
        <f aca="false">MIN(INT((MIN(B2586,2020)-1900)/10)+1,12)</f>
        <v>12</v>
      </c>
      <c r="H2586" s="3" t="n">
        <f aca="false">(MIN(B2586,2020)-1900-10*(G2586-1))/10</f>
        <v>1</v>
      </c>
      <c r="I2586" s="20" t="n">
        <f aca="false">EXP(LN(INDEX(Pop_Inputs!$B$2:$N$29,MATCH(C2586,Pop_Inputs!$A$2:$A$29,0),G2586))*(1-H2586)+LN(INDEX(Pop_Inputs!$B$2:$N$29,MATCH(C2586,Pop_Inputs!$A$2:$A$29,0),G2586+1))*H2586)</f>
        <v>3898747</v>
      </c>
      <c r="J2586" s="20" t="n">
        <f aca="false">I2586/F2586</f>
        <v>1949373.5</v>
      </c>
      <c r="K2586" s="21" t="n">
        <f aca="false">D2586/(D2586+E2586)</f>
        <v>0.450617283950617</v>
      </c>
      <c r="L2586" s="21" t="n">
        <f aca="false">AVERAGEIFS($K$2:$K$2705,$B$2:$B$2705,B2586)</f>
        <v>0.5</v>
      </c>
      <c r="M2586" s="21" t="n">
        <f aca="false">K2586-L2586</f>
        <v>-0.0493827160493827</v>
      </c>
      <c r="N2586" s="21" t="n">
        <f aca="false">LN(J2586)</f>
        <v>14.4830185968665</v>
      </c>
      <c r="O2586" s="21" t="n">
        <f aca="false">AVERAGEIFS($N$2:$N$2705,$B$2:$B$2705,B2586)</f>
        <v>13.6790216080491</v>
      </c>
      <c r="P2586" s="21" t="n">
        <f aca="false">N2586-O2586</f>
        <v>0.80399698881741</v>
      </c>
      <c r="Q2586" s="7" t="n">
        <v>1</v>
      </c>
      <c r="R2586" s="3" t="n">
        <f aca="false">IF(AND(Q2586=1,B2586-_xlfn.MINIFS($B$2:$B$2705,$A$2:$A$2705,A2586)&lt;10),1,0)</f>
        <v>0</v>
      </c>
      <c r="S2586" s="7" t="n">
        <v>0</v>
      </c>
      <c r="T2586" s="3" t="n">
        <f aca="false">_xlfn.MINIFS($B$2:$B$2705,$A$2:$A$2705,A2586)</f>
        <v>1961</v>
      </c>
      <c r="U2586" s="3" t="n">
        <f aca="false">B2586-T2586</f>
        <v>61</v>
      </c>
      <c r="V2586" s="3" t="str">
        <f aca="false">INDEX(Pop_Inputs!$Q$2:$Q$29,MATCH(C2586,Pop_Inputs!$A$2:$A$29,0))</f>
        <v>West</v>
      </c>
      <c r="W2586" s="29" t="n">
        <v>181888095</v>
      </c>
      <c r="X2586" s="3" t="n">
        <f aca="false">IF(W2586="","",LN(W2586))</f>
        <v>19.0189021932982</v>
      </c>
      <c r="Y2586" s="3" t="n">
        <f aca="false">IF(X2586="","",X2586-AVERAGEIFS($X$2:$X$2705,$B$2:$B$2705,B2586))</f>
        <v>0.309052974448548</v>
      </c>
      <c r="Z2586" s="21" t="n">
        <f aca="false">P2586</f>
        <v>0.80399698881741</v>
      </c>
      <c r="AA2586" s="3" t="n">
        <f aca="false">R2586</f>
        <v>0</v>
      </c>
      <c r="AB2586" s="21" t="n">
        <f aca="false">P2586</f>
        <v>0.80399698881741</v>
      </c>
      <c r="AC2586" s="3" t="n">
        <f aca="false">Y2586</f>
        <v>0.309052974448548</v>
      </c>
      <c r="AD2586" s="3" t="n">
        <f aca="false">R2586</f>
        <v>0</v>
      </c>
    </row>
    <row r="2587" customFormat="false" ht="15" hidden="false" customHeight="true" outlineLevel="0" collapsed="false">
      <c r="A2587" s="7" t="s">
        <v>84</v>
      </c>
      <c r="B2587" s="7" t="n">
        <v>2022</v>
      </c>
      <c r="C2587" s="7" t="s">
        <v>165</v>
      </c>
      <c r="D2587" s="7" t="n">
        <v>74</v>
      </c>
      <c r="E2587" s="7" t="n">
        <v>88</v>
      </c>
      <c r="F2587" s="3" t="n">
        <f aca="false">COUNTIFS($B$2:$B$2705,B2587,$C$2:$C$2705,C2587)</f>
        <v>1</v>
      </c>
      <c r="G2587" s="3" t="n">
        <f aca="false">MIN(INT((MIN(B2587,2020)-1900)/10)+1,12)</f>
        <v>12</v>
      </c>
      <c r="H2587" s="3" t="n">
        <f aca="false">(MIN(B2587,2020)-1900-10*(G2587-1))/10</f>
        <v>1</v>
      </c>
      <c r="I2587" s="20" t="n">
        <f aca="false">EXP(LN(INDEX(Pop_Inputs!$B$2:$N$29,MATCH(C2587,Pop_Inputs!$A$2:$A$29,0),G2587))*(1-H2587)+LN(INDEX(Pop_Inputs!$B$2:$N$29,MATCH(C2587,Pop_Inputs!$A$2:$A$29,0),G2587+1))*H2587)</f>
        <v>1608139</v>
      </c>
      <c r="J2587" s="20" t="n">
        <f aca="false">I2587/F2587</f>
        <v>1608139</v>
      </c>
      <c r="K2587" s="21" t="n">
        <f aca="false">D2587/(D2587+E2587)</f>
        <v>0.45679012345679</v>
      </c>
      <c r="L2587" s="21" t="n">
        <f aca="false">AVERAGEIFS($K$2:$K$2705,$B$2:$B$2705,B2587)</f>
        <v>0.5</v>
      </c>
      <c r="M2587" s="21" t="n">
        <f aca="false">K2587-L2587</f>
        <v>-0.0432098765432099</v>
      </c>
      <c r="N2587" s="21" t="n">
        <f aca="false">LN(J2587)</f>
        <v>14.2905881677712</v>
      </c>
      <c r="O2587" s="21" t="n">
        <f aca="false">AVERAGEIFS($N$2:$N$2705,$B$2:$B$2705,B2587)</f>
        <v>13.6790216080491</v>
      </c>
      <c r="P2587" s="21" t="n">
        <f aca="false">N2587-O2587</f>
        <v>0.611566559722055</v>
      </c>
      <c r="Q2587" s="7" t="n">
        <v>1</v>
      </c>
      <c r="R2587" s="3" t="n">
        <f aca="false">IF(AND(Q2587=1,B2587-_xlfn.MINIFS($B$2:$B$2705,$A$2:$A$2705,A2587)&lt;10),1,0)</f>
        <v>0</v>
      </c>
      <c r="S2587" s="7" t="n">
        <v>0</v>
      </c>
      <c r="T2587" s="3" t="n">
        <f aca="false">_xlfn.MINIFS($B$2:$B$2705,$A$2:$A$2705,A2587)</f>
        <v>1998</v>
      </c>
      <c r="U2587" s="3" t="n">
        <f aca="false">B2587-T2587</f>
        <v>24</v>
      </c>
      <c r="V2587" s="3" t="str">
        <f aca="false">INDEX(Pop_Inputs!$Q$2:$Q$29,MATCH(C2587,Pop_Inputs!$A$2:$A$29,0))</f>
        <v>West</v>
      </c>
      <c r="W2587" s="29" t="n">
        <v>93254795</v>
      </c>
      <c r="X2587" s="3" t="n">
        <f aca="false">IF(W2587="","",LN(W2587))</f>
        <v>18.3508460360777</v>
      </c>
      <c r="Y2587" s="3" t="n">
        <f aca="false">IF(X2587="","",X2587-AVERAGEIFS($X$2:$X$2705,$B$2:$B$2705,B2587))</f>
        <v>-0.359003182771893</v>
      </c>
      <c r="Z2587" s="21" t="n">
        <f aca="false">P2587</f>
        <v>0.611566559722055</v>
      </c>
      <c r="AA2587" s="3" t="n">
        <f aca="false">R2587</f>
        <v>0</v>
      </c>
      <c r="AB2587" s="21" t="n">
        <f aca="false">P2587</f>
        <v>0.611566559722055</v>
      </c>
      <c r="AC2587" s="3" t="n">
        <f aca="false">Y2587</f>
        <v>-0.359003182771893</v>
      </c>
      <c r="AD2587" s="3" t="n">
        <f aca="false">R2587</f>
        <v>0</v>
      </c>
    </row>
    <row r="2588" customFormat="false" ht="15" hidden="false" customHeight="true" outlineLevel="0" collapsed="false">
      <c r="A2588" s="7" t="s">
        <v>54</v>
      </c>
      <c r="B2588" s="7" t="n">
        <v>2022</v>
      </c>
      <c r="C2588" s="7" t="s">
        <v>141</v>
      </c>
      <c r="D2588" s="7" t="n">
        <v>101</v>
      </c>
      <c r="E2588" s="7" t="n">
        <v>61</v>
      </c>
      <c r="F2588" s="3" t="n">
        <f aca="false">COUNTIFS($B$2:$B$2705,B2588,$C$2:$C$2705,C2588)</f>
        <v>1</v>
      </c>
      <c r="G2588" s="3" t="n">
        <f aca="false">MIN(INT((MIN(B2588,2020)-1900)/10)+1,12)</f>
        <v>12</v>
      </c>
      <c r="H2588" s="3" t="n">
        <f aca="false">(MIN(B2588,2020)-1900-10*(G2588-1))/10</f>
        <v>1</v>
      </c>
      <c r="I2588" s="20" t="n">
        <f aca="false">EXP(LN(INDEX(Pop_Inputs!$B$2:$N$29,MATCH(C2588,Pop_Inputs!$A$2:$A$29,0),G2588))*(1-H2588)+LN(INDEX(Pop_Inputs!$B$2:$N$29,MATCH(C2588,Pop_Inputs!$A$2:$A$29,0),G2588+1))*H2588)</f>
        <v>498715</v>
      </c>
      <c r="J2588" s="20" t="n">
        <f aca="false">I2588/F2588</f>
        <v>498715</v>
      </c>
      <c r="K2588" s="21" t="n">
        <f aca="false">D2588/(D2588+E2588)</f>
        <v>0.623456790123457</v>
      </c>
      <c r="L2588" s="21" t="n">
        <f aca="false">AVERAGEIFS($K$2:$K$2705,$B$2:$B$2705,B2588)</f>
        <v>0.5</v>
      </c>
      <c r="M2588" s="21" t="n">
        <f aca="false">K2588-L2588</f>
        <v>0.123456790123457</v>
      </c>
      <c r="N2588" s="21" t="n">
        <f aca="false">LN(J2588)</f>
        <v>13.1197900692852</v>
      </c>
      <c r="O2588" s="21" t="n">
        <f aca="false">AVERAGEIFS($N$2:$N$2705,$B$2:$B$2705,B2588)</f>
        <v>13.6790216080491</v>
      </c>
      <c r="P2588" s="21" t="n">
        <f aca="false">N2588-O2588</f>
        <v>-0.5592315387639</v>
      </c>
      <c r="Q2588" s="7" t="n">
        <v>0</v>
      </c>
      <c r="R2588" s="3" t="n">
        <f aca="false">IF(AND(Q2588=1,B2588-_xlfn.MINIFS($B$2:$B$2705,$A$2:$A$2705,A2588)&lt;10),1,0)</f>
        <v>0</v>
      </c>
      <c r="S2588" s="7" t="n">
        <v>0</v>
      </c>
      <c r="T2588" s="3" t="n">
        <f aca="false">_xlfn.MINIFS($B$2:$B$2705,$A$2:$A$2705,A2588)</f>
        <v>1901</v>
      </c>
      <c r="U2588" s="3" t="n">
        <f aca="false">B2588-T2588</f>
        <v>121</v>
      </c>
      <c r="V2588" s="3" t="str">
        <f aca="false">INDEX(Pop_Inputs!$Q$2:$Q$29,MATCH(C2588,Pop_Inputs!$A$2:$A$29,0))</f>
        <v>South</v>
      </c>
      <c r="W2588" s="29" t="n">
        <v>184630000</v>
      </c>
      <c r="X2588" s="3" t="n">
        <f aca="false">IF(W2588="","",LN(W2588))</f>
        <v>19.0338643803719</v>
      </c>
      <c r="Y2588" s="3" t="n">
        <f aca="false">IF(X2588="","",X2588-AVERAGEIFS($X$2:$X$2705,$B$2:$B$2705,B2588))</f>
        <v>0.324015161522318</v>
      </c>
      <c r="Z2588" s="21" t="n">
        <f aca="false">P2588</f>
        <v>-0.5592315387639</v>
      </c>
      <c r="AA2588" s="3" t="n">
        <f aca="false">R2588</f>
        <v>0</v>
      </c>
      <c r="AB2588" s="21" t="n">
        <f aca="false">P2588</f>
        <v>-0.5592315387639</v>
      </c>
      <c r="AC2588" s="3" t="n">
        <f aca="false">Y2588</f>
        <v>0.324015161522318</v>
      </c>
      <c r="AD2588" s="3" t="n">
        <f aca="false">R2588</f>
        <v>0</v>
      </c>
    </row>
    <row r="2589" customFormat="false" ht="15" hidden="false" customHeight="true" outlineLevel="0" collapsed="false">
      <c r="A2589" s="7" t="s">
        <v>63</v>
      </c>
      <c r="B2589" s="7" t="n">
        <v>2022</v>
      </c>
      <c r="C2589" s="7" t="s">
        <v>149</v>
      </c>
      <c r="D2589" s="7" t="n">
        <v>83</v>
      </c>
      <c r="E2589" s="7" t="n">
        <v>79</v>
      </c>
      <c r="F2589" s="3" t="n">
        <f aca="false">COUNTIFS($B$2:$B$2705,B2589,$C$2:$C$2705,C2589)</f>
        <v>1</v>
      </c>
      <c r="G2589" s="3" t="n">
        <f aca="false">MIN(INT((MIN(B2589,2020)-1900)/10)+1,12)</f>
        <v>12</v>
      </c>
      <c r="H2589" s="3" t="n">
        <f aca="false">(MIN(B2589,2020)-1900-10*(G2589-1))/10</f>
        <v>1</v>
      </c>
      <c r="I2589" s="20" t="n">
        <f aca="false">EXP(LN(INDEX(Pop_Inputs!$B$2:$N$29,MATCH(C2589,Pop_Inputs!$A$2:$A$29,0),G2589))*(1-H2589)+LN(INDEX(Pop_Inputs!$B$2:$N$29,MATCH(C2589,Pop_Inputs!$A$2:$A$29,0),G2589+1))*H2589)</f>
        <v>585708.000000001</v>
      </c>
      <c r="J2589" s="20" t="n">
        <f aca="false">I2589/F2589</f>
        <v>585708.000000001</v>
      </c>
      <c r="K2589" s="21" t="n">
        <f aca="false">D2589/(D2589+E2589)</f>
        <v>0.512345679012346</v>
      </c>
      <c r="L2589" s="21" t="n">
        <f aca="false">AVERAGEIFS($K$2:$K$2705,$B$2:$B$2705,B2589)</f>
        <v>0.5</v>
      </c>
      <c r="M2589" s="21" t="n">
        <f aca="false">K2589-L2589</f>
        <v>0.0123456790123457</v>
      </c>
      <c r="N2589" s="21" t="n">
        <f aca="false">LN(J2589)</f>
        <v>13.2805766508543</v>
      </c>
      <c r="O2589" s="21" t="n">
        <f aca="false">AVERAGEIFS($N$2:$N$2705,$B$2:$B$2705,B2589)</f>
        <v>13.6790216080491</v>
      </c>
      <c r="P2589" s="21" t="n">
        <f aca="false">N2589-O2589</f>
        <v>-0.39844495719478</v>
      </c>
      <c r="Q2589" s="7" t="n">
        <v>0</v>
      </c>
      <c r="R2589" s="3" t="n">
        <f aca="false">IF(AND(Q2589=1,B2589-_xlfn.MINIFS($B$2:$B$2705,$A$2:$A$2705,A2589)&lt;10),1,0)</f>
        <v>0</v>
      </c>
      <c r="S2589" s="7" t="n">
        <v>0</v>
      </c>
      <c r="T2589" s="3" t="n">
        <f aca="false">_xlfn.MINIFS($B$2:$B$2705,$A$2:$A$2705,A2589)</f>
        <v>1901</v>
      </c>
      <c r="U2589" s="3" t="n">
        <f aca="false">B2589-T2589</f>
        <v>121</v>
      </c>
      <c r="V2589" s="3" t="str">
        <f aca="false">INDEX(Pop_Inputs!$Q$2:$Q$29,MATCH(C2589,Pop_Inputs!$A$2:$A$29,0))</f>
        <v>South</v>
      </c>
      <c r="W2589" s="29" t="n">
        <v>58083184</v>
      </c>
      <c r="X2589" s="3" t="n">
        <f aca="false">IF(W2589="","",LN(W2589))</f>
        <v>17.8773867479148</v>
      </c>
      <c r="Y2589" s="3" t="n">
        <f aca="false">IF(X2589="","",X2589-AVERAGEIFS($X$2:$X$2705,$B$2:$B$2705,B2589))</f>
        <v>-0.832462470934768</v>
      </c>
      <c r="Z2589" s="21" t="n">
        <f aca="false">P2589</f>
        <v>-0.39844495719478</v>
      </c>
      <c r="AA2589" s="3" t="n">
        <f aca="false">R2589</f>
        <v>0</v>
      </c>
      <c r="AB2589" s="21" t="n">
        <f aca="false">P2589</f>
        <v>-0.39844495719478</v>
      </c>
      <c r="AC2589" s="3" t="n">
        <f aca="false">Y2589</f>
        <v>-0.832462470934768</v>
      </c>
      <c r="AD2589" s="3" t="n">
        <f aca="false">R2589</f>
        <v>0</v>
      </c>
    </row>
    <row r="2590" customFormat="false" ht="15" hidden="false" customHeight="true" outlineLevel="0" collapsed="false">
      <c r="A2590" s="7" t="s">
        <v>64</v>
      </c>
      <c r="B2590" s="7" t="n">
        <v>2022</v>
      </c>
      <c r="C2590" s="7" t="s">
        <v>150</v>
      </c>
      <c r="D2590" s="7" t="n">
        <v>78</v>
      </c>
      <c r="E2590" s="7" t="n">
        <v>84</v>
      </c>
      <c r="F2590" s="3" t="n">
        <f aca="false">COUNTIFS($B$2:$B$2705,B2590,$C$2:$C$2705,C2590)</f>
        <v>1</v>
      </c>
      <c r="G2590" s="3" t="n">
        <f aca="false">MIN(INT((MIN(B2590,2020)-1900)/10)+1,12)</f>
        <v>12</v>
      </c>
      <c r="H2590" s="3" t="n">
        <f aca="false">(MIN(B2590,2020)-1900-10*(G2590-1))/10</f>
        <v>1</v>
      </c>
      <c r="I2590" s="20" t="n">
        <f aca="false">EXP(LN(INDEX(Pop_Inputs!$B$2:$N$29,MATCH(C2590,Pop_Inputs!$A$2:$A$29,0),G2590))*(1-H2590)+LN(INDEX(Pop_Inputs!$B$2:$N$29,MATCH(C2590,Pop_Inputs!$A$2:$A$29,0),G2590+1))*H2590)</f>
        <v>675647.000000001</v>
      </c>
      <c r="J2590" s="20" t="n">
        <f aca="false">I2590/F2590</f>
        <v>675647.000000001</v>
      </c>
      <c r="K2590" s="21" t="n">
        <f aca="false">D2590/(D2590+E2590)</f>
        <v>0.481481481481481</v>
      </c>
      <c r="L2590" s="21" t="n">
        <f aca="false">AVERAGEIFS($K$2:$K$2705,$B$2:$B$2705,B2590)</f>
        <v>0.5</v>
      </c>
      <c r="M2590" s="21" t="n">
        <f aca="false">K2590-L2590</f>
        <v>-0.0185185185185185</v>
      </c>
      <c r="N2590" s="21" t="n">
        <f aca="false">LN(J2590)</f>
        <v>13.4234260292876</v>
      </c>
      <c r="O2590" s="21" t="n">
        <f aca="false">AVERAGEIFS($N$2:$N$2705,$B$2:$B$2705,B2590)</f>
        <v>13.6790216080491</v>
      </c>
      <c r="P2590" s="21" t="n">
        <f aca="false">N2590-O2590</f>
        <v>-0.255595578761453</v>
      </c>
      <c r="Q2590" s="7" t="n">
        <v>0</v>
      </c>
      <c r="R2590" s="3" t="n">
        <f aca="false">IF(AND(Q2590=1,B2590-_xlfn.MINIFS($B$2:$B$2705,$A$2:$A$2705,A2590)&lt;10),1,0)</f>
        <v>0</v>
      </c>
      <c r="S2590" s="7" t="n">
        <v>0</v>
      </c>
      <c r="T2590" s="3" t="n">
        <f aca="false">_xlfn.MINIFS($B$2:$B$2705,$A$2:$A$2705,A2590)</f>
        <v>1901</v>
      </c>
      <c r="U2590" s="3" t="n">
        <f aca="false">B2590-T2590</f>
        <v>121</v>
      </c>
      <c r="V2590" s="3" t="str">
        <f aca="false">INDEX(Pop_Inputs!$Q$2:$Q$29,MATCH(C2590,Pop_Inputs!$A$2:$A$29,0))</f>
        <v>Northeast</v>
      </c>
      <c r="W2590" s="29" t="n">
        <v>211865559</v>
      </c>
      <c r="X2590" s="3" t="n">
        <f aca="false">IF(W2590="","",LN(W2590))</f>
        <v>19.1714624758142</v>
      </c>
      <c r="Y2590" s="3" t="n">
        <f aca="false">IF(X2590="","",X2590-AVERAGEIFS($X$2:$X$2705,$B$2:$B$2705,B2590))</f>
        <v>0.461613256964551</v>
      </c>
      <c r="Z2590" s="21" t="n">
        <f aca="false">P2590</f>
        <v>-0.255595578761453</v>
      </c>
      <c r="AA2590" s="3" t="n">
        <f aca="false">R2590</f>
        <v>0</v>
      </c>
      <c r="AB2590" s="21" t="n">
        <f aca="false">P2590</f>
        <v>-0.255595578761453</v>
      </c>
      <c r="AC2590" s="3" t="n">
        <f aca="false">Y2590</f>
        <v>0.461613256964551</v>
      </c>
      <c r="AD2590" s="3" t="n">
        <f aca="false">R2590</f>
        <v>0</v>
      </c>
    </row>
    <row r="2591" customFormat="false" ht="15" hidden="false" customHeight="true" outlineLevel="0" collapsed="false">
      <c r="A2591" s="7" t="s">
        <v>56</v>
      </c>
      <c r="B2591" s="7" t="n">
        <v>2022</v>
      </c>
      <c r="C2591" s="7" t="s">
        <v>142</v>
      </c>
      <c r="D2591" s="7" t="n">
        <v>74</v>
      </c>
      <c r="E2591" s="7" t="n">
        <v>88</v>
      </c>
      <c r="F2591" s="3" t="n">
        <f aca="false">COUNTIFS($B$2:$B$2705,B2591,$C$2:$C$2705,C2591)</f>
        <v>2</v>
      </c>
      <c r="G2591" s="3" t="n">
        <f aca="false">MIN(INT((MIN(B2591,2020)-1900)/10)+1,12)</f>
        <v>12</v>
      </c>
      <c r="H2591" s="3" t="n">
        <f aca="false">(MIN(B2591,2020)-1900-10*(G2591-1))/10</f>
        <v>1</v>
      </c>
      <c r="I2591" s="20" t="n">
        <f aca="false">EXP(LN(INDEX(Pop_Inputs!$B$2:$N$29,MATCH(C2591,Pop_Inputs!$A$2:$A$29,0),G2591))*(1-H2591)+LN(INDEX(Pop_Inputs!$B$2:$N$29,MATCH(C2591,Pop_Inputs!$A$2:$A$29,0),G2591+1))*H2591)</f>
        <v>2746388</v>
      </c>
      <c r="J2591" s="20" t="n">
        <f aca="false">I2591/F2591</f>
        <v>1373194</v>
      </c>
      <c r="K2591" s="21" t="n">
        <f aca="false">D2591/(D2591+E2591)</f>
        <v>0.45679012345679</v>
      </c>
      <c r="L2591" s="21" t="n">
        <f aca="false">AVERAGEIFS($K$2:$K$2705,$B$2:$B$2705,B2591)</f>
        <v>0.5</v>
      </c>
      <c r="M2591" s="21" t="n">
        <f aca="false">K2591-L2591</f>
        <v>-0.0432098765432099</v>
      </c>
      <c r="N2591" s="21" t="n">
        <f aca="false">LN(J2591)</f>
        <v>14.1326499711999</v>
      </c>
      <c r="O2591" s="21" t="n">
        <f aca="false">AVERAGEIFS($N$2:$N$2705,$B$2:$B$2705,B2591)</f>
        <v>13.6790216080491</v>
      </c>
      <c r="P2591" s="21" t="n">
        <f aca="false">N2591-O2591</f>
        <v>0.453628363150779</v>
      </c>
      <c r="Q2591" s="7" t="n">
        <v>0</v>
      </c>
      <c r="R2591" s="3" t="n">
        <f aca="false">IF(AND(Q2591=1,B2591-_xlfn.MINIFS($B$2:$B$2705,$A$2:$A$2705,A2591)&lt;10),1,0)</f>
        <v>0</v>
      </c>
      <c r="S2591" s="7" t="n">
        <v>0</v>
      </c>
      <c r="T2591" s="3" t="n">
        <f aca="false">_xlfn.MINIFS($B$2:$B$2705,$A$2:$A$2705,A2591)</f>
        <v>1901</v>
      </c>
      <c r="U2591" s="3" t="n">
        <f aca="false">B2591-T2591</f>
        <v>121</v>
      </c>
      <c r="V2591" s="3" t="str">
        <f aca="false">INDEX(Pop_Inputs!$Q$2:$Q$29,MATCH(C2591,Pop_Inputs!$A$2:$A$29,0))</f>
        <v>Midwest</v>
      </c>
      <c r="W2591" s="29" t="n">
        <v>146203500</v>
      </c>
      <c r="X2591" s="3" t="n">
        <f aca="false">IF(W2591="","",LN(W2591))</f>
        <v>18.8005100448019</v>
      </c>
      <c r="Y2591" s="3" t="n">
        <f aca="false">IF(X2591="","",X2591-AVERAGEIFS($X$2:$X$2705,$B$2:$B$2705,B2591))</f>
        <v>0.0906608259522734</v>
      </c>
      <c r="Z2591" s="21" t="n">
        <f aca="false">P2591</f>
        <v>0.453628363150779</v>
      </c>
      <c r="AA2591" s="3" t="n">
        <f aca="false">R2591</f>
        <v>0</v>
      </c>
      <c r="AB2591" s="21" t="n">
        <f aca="false">P2591</f>
        <v>0.453628363150779</v>
      </c>
      <c r="AC2591" s="3" t="n">
        <f aca="false">Y2591</f>
        <v>0.0906608259522734</v>
      </c>
      <c r="AD2591" s="3" t="n">
        <f aca="false">R2591</f>
        <v>0</v>
      </c>
    </row>
    <row r="2592" customFormat="false" ht="15" hidden="false" customHeight="true" outlineLevel="0" collapsed="false">
      <c r="A2592" s="7" t="s">
        <v>65</v>
      </c>
      <c r="B2592" s="7" t="n">
        <v>2022</v>
      </c>
      <c r="C2592" s="7" t="s">
        <v>142</v>
      </c>
      <c r="D2592" s="7" t="n">
        <v>81</v>
      </c>
      <c r="E2592" s="7" t="n">
        <v>81</v>
      </c>
      <c r="F2592" s="3" t="n">
        <f aca="false">COUNTIFS($B$2:$B$2705,B2592,$C$2:$C$2705,C2592)</f>
        <v>2</v>
      </c>
      <c r="G2592" s="3" t="n">
        <f aca="false">MIN(INT((MIN(B2592,2020)-1900)/10)+1,12)</f>
        <v>12</v>
      </c>
      <c r="H2592" s="3" t="n">
        <f aca="false">(MIN(B2592,2020)-1900-10*(G2592-1))/10</f>
        <v>1</v>
      </c>
      <c r="I2592" s="20" t="n">
        <f aca="false">EXP(LN(INDEX(Pop_Inputs!$B$2:$N$29,MATCH(C2592,Pop_Inputs!$A$2:$A$29,0),G2592))*(1-H2592)+LN(INDEX(Pop_Inputs!$B$2:$N$29,MATCH(C2592,Pop_Inputs!$A$2:$A$29,0),G2592+1))*H2592)</f>
        <v>2746388</v>
      </c>
      <c r="J2592" s="20" t="n">
        <f aca="false">I2592/F2592</f>
        <v>1373194</v>
      </c>
      <c r="K2592" s="21" t="n">
        <f aca="false">D2592/(D2592+E2592)</f>
        <v>0.5</v>
      </c>
      <c r="L2592" s="21" t="n">
        <f aca="false">AVERAGEIFS($K$2:$K$2705,$B$2:$B$2705,B2592)</f>
        <v>0.5</v>
      </c>
      <c r="M2592" s="21" t="n">
        <f aca="false">K2592-L2592</f>
        <v>0</v>
      </c>
      <c r="N2592" s="21" t="n">
        <f aca="false">LN(J2592)</f>
        <v>14.1326499711999</v>
      </c>
      <c r="O2592" s="21" t="n">
        <f aca="false">AVERAGEIFS($N$2:$N$2705,$B$2:$B$2705,B2592)</f>
        <v>13.6790216080491</v>
      </c>
      <c r="P2592" s="21" t="n">
        <f aca="false">N2592-O2592</f>
        <v>0.453628363150779</v>
      </c>
      <c r="Q2592" s="7" t="n">
        <v>0</v>
      </c>
      <c r="R2592" s="3" t="n">
        <f aca="false">IF(AND(Q2592=1,B2592-_xlfn.MINIFS($B$2:$B$2705,$A$2:$A$2705,A2592)&lt;10),1,0)</f>
        <v>0</v>
      </c>
      <c r="S2592" s="7" t="n">
        <v>0</v>
      </c>
      <c r="T2592" s="3" t="n">
        <f aca="false">_xlfn.MINIFS($B$2:$B$2705,$A$2:$A$2705,A2592)</f>
        <v>1901</v>
      </c>
      <c r="U2592" s="3" t="n">
        <f aca="false">B2592-T2592</f>
        <v>121</v>
      </c>
      <c r="V2592" s="3" t="str">
        <f aca="false">INDEX(Pop_Inputs!$Q$2:$Q$29,MATCH(C2592,Pop_Inputs!$A$2:$A$29,0))</f>
        <v>Midwest</v>
      </c>
      <c r="W2592" s="29" t="n">
        <v>190370219</v>
      </c>
      <c r="X2592" s="3" t="n">
        <f aca="false">IF(W2592="","",LN(W2592))</f>
        <v>19.0644812552727</v>
      </c>
      <c r="Y2592" s="3" t="n">
        <f aca="false">IF(X2592="","",X2592-AVERAGEIFS($X$2:$X$2705,$B$2:$B$2705,B2592))</f>
        <v>0.354632036423045</v>
      </c>
      <c r="Z2592" s="21" t="n">
        <f aca="false">P2592</f>
        <v>0.453628363150779</v>
      </c>
      <c r="AA2592" s="3" t="n">
        <f aca="false">R2592</f>
        <v>0</v>
      </c>
      <c r="AB2592" s="21" t="n">
        <f aca="false">P2592</f>
        <v>0.453628363150779</v>
      </c>
      <c r="AC2592" s="3" t="n">
        <f aca="false">Y2592</f>
        <v>0.354632036423045</v>
      </c>
      <c r="AD2592" s="3" t="n">
        <f aca="false">R2592</f>
        <v>0</v>
      </c>
    </row>
    <row r="2593" customFormat="false" ht="15" hidden="false" customHeight="true" outlineLevel="0" collapsed="false">
      <c r="A2593" s="7" t="s">
        <v>57</v>
      </c>
      <c r="B2593" s="7" t="n">
        <v>2022</v>
      </c>
      <c r="C2593" s="7" t="s">
        <v>143</v>
      </c>
      <c r="D2593" s="7" t="n">
        <v>62</v>
      </c>
      <c r="E2593" s="7" t="n">
        <v>100</v>
      </c>
      <c r="F2593" s="3" t="n">
        <f aca="false">COUNTIFS($B$2:$B$2705,B2593,$C$2:$C$2705,C2593)</f>
        <v>1</v>
      </c>
      <c r="G2593" s="3" t="n">
        <f aca="false">MIN(INT((MIN(B2593,2020)-1900)/10)+1,12)</f>
        <v>12</v>
      </c>
      <c r="H2593" s="3" t="n">
        <f aca="false">(MIN(B2593,2020)-1900-10*(G2593-1))/10</f>
        <v>1</v>
      </c>
      <c r="I2593" s="20" t="n">
        <f aca="false">EXP(LN(INDEX(Pop_Inputs!$B$2:$N$29,MATCH(C2593,Pop_Inputs!$A$2:$A$29,0),G2593))*(1-H2593)+LN(INDEX(Pop_Inputs!$B$2:$N$29,MATCH(C2593,Pop_Inputs!$A$2:$A$29,0),G2593+1))*H2593)</f>
        <v>309317</v>
      </c>
      <c r="J2593" s="20" t="n">
        <f aca="false">I2593/F2593</f>
        <v>309317</v>
      </c>
      <c r="K2593" s="21" t="n">
        <f aca="false">D2593/(D2593+E2593)</f>
        <v>0.382716049382716</v>
      </c>
      <c r="L2593" s="21" t="n">
        <f aca="false">AVERAGEIFS($K$2:$K$2705,$B$2:$B$2705,B2593)</f>
        <v>0.5</v>
      </c>
      <c r="M2593" s="21" t="n">
        <f aca="false">K2593-L2593</f>
        <v>-0.117283950617284</v>
      </c>
      <c r="N2593" s="21" t="n">
        <f aca="false">LN(J2593)</f>
        <v>12.642121919982</v>
      </c>
      <c r="O2593" s="21" t="n">
        <f aca="false">AVERAGEIFS($N$2:$N$2705,$B$2:$B$2705,B2593)</f>
        <v>13.6790216080491</v>
      </c>
      <c r="P2593" s="21" t="n">
        <f aca="false">N2593-O2593</f>
        <v>-1.03689968806707</v>
      </c>
      <c r="Q2593" s="7" t="n">
        <v>0</v>
      </c>
      <c r="R2593" s="3" t="n">
        <f aca="false">IF(AND(Q2593=1,B2593-_xlfn.MINIFS($B$2:$B$2705,$A$2:$A$2705,A2593)&lt;10),1,0)</f>
        <v>0</v>
      </c>
      <c r="S2593" s="7" t="n">
        <v>0</v>
      </c>
      <c r="T2593" s="3" t="n">
        <f aca="false">_xlfn.MINIFS($B$2:$B$2705,$A$2:$A$2705,A2593)</f>
        <v>1901</v>
      </c>
      <c r="U2593" s="3" t="n">
        <f aca="false">B2593-T2593</f>
        <v>121</v>
      </c>
      <c r="V2593" s="3" t="str">
        <f aca="false">INDEX(Pop_Inputs!$Q$2:$Q$29,MATCH(C2593,Pop_Inputs!$A$2:$A$29,0))</f>
        <v>Midwest</v>
      </c>
      <c r="W2593" s="29" t="n">
        <v>113018214</v>
      </c>
      <c r="X2593" s="3" t="n">
        <f aca="false">IF(W2593="","",LN(W2593))</f>
        <v>18.5430595495283</v>
      </c>
      <c r="Y2593" s="3" t="n">
        <f aca="false">IF(X2593="","",X2593-AVERAGEIFS($X$2:$X$2705,$B$2:$B$2705,B2593))</f>
        <v>-0.166789669321329</v>
      </c>
      <c r="Z2593" s="21" t="n">
        <f aca="false">P2593</f>
        <v>-1.03689968806707</v>
      </c>
      <c r="AA2593" s="3" t="n">
        <f aca="false">R2593</f>
        <v>0</v>
      </c>
      <c r="AB2593" s="21" t="n">
        <f aca="false">P2593</f>
        <v>-1.03689968806707</v>
      </c>
      <c r="AC2593" s="3" t="n">
        <f aca="false">Y2593</f>
        <v>-0.166789669321329</v>
      </c>
      <c r="AD2593" s="3" t="n">
        <f aca="false">R2593</f>
        <v>0</v>
      </c>
    </row>
    <row r="2594" customFormat="false" ht="15" hidden="false" customHeight="true" outlineLevel="0" collapsed="false">
      <c r="A2594" s="7" t="s">
        <v>66</v>
      </c>
      <c r="B2594" s="7" t="n">
        <v>2022</v>
      </c>
      <c r="C2594" s="7" t="s">
        <v>151</v>
      </c>
      <c r="D2594" s="7" t="n">
        <v>92</v>
      </c>
      <c r="E2594" s="7" t="n">
        <v>70</v>
      </c>
      <c r="F2594" s="3" t="n">
        <f aca="false">COUNTIFS($B$2:$B$2705,B2594,$C$2:$C$2705,C2594)</f>
        <v>1</v>
      </c>
      <c r="G2594" s="3" t="n">
        <f aca="false">MIN(INT((MIN(B2594,2020)-1900)/10)+1,12)</f>
        <v>12</v>
      </c>
      <c r="H2594" s="3" t="n">
        <f aca="false">(MIN(B2594,2020)-1900-10*(G2594-1))/10</f>
        <v>1</v>
      </c>
      <c r="I2594" s="20" t="n">
        <f aca="false">EXP(LN(INDEX(Pop_Inputs!$B$2:$N$29,MATCH(C2594,Pop_Inputs!$A$2:$A$29,0),G2594))*(1-H2594)+LN(INDEX(Pop_Inputs!$B$2:$N$29,MATCH(C2594,Pop_Inputs!$A$2:$A$29,0),G2594+1))*H2594)</f>
        <v>372624</v>
      </c>
      <c r="J2594" s="20" t="n">
        <f aca="false">I2594/F2594</f>
        <v>372624</v>
      </c>
      <c r="K2594" s="21" t="n">
        <f aca="false">D2594/(D2594+E2594)</f>
        <v>0.567901234567901</v>
      </c>
      <c r="L2594" s="21" t="n">
        <f aca="false">AVERAGEIFS($K$2:$K$2705,$B$2:$B$2705,B2594)</f>
        <v>0.5</v>
      </c>
      <c r="M2594" s="21" t="n">
        <f aca="false">K2594-L2594</f>
        <v>0.0679012345679012</v>
      </c>
      <c r="N2594" s="21" t="n">
        <f aca="false">LN(J2594)</f>
        <v>12.8283251473136</v>
      </c>
      <c r="O2594" s="21" t="n">
        <f aca="false">AVERAGEIFS($N$2:$N$2705,$B$2:$B$2705,B2594)</f>
        <v>13.6790216080491</v>
      </c>
      <c r="P2594" s="21" t="n">
        <f aca="false">N2594-O2594</f>
        <v>-0.850696460735531</v>
      </c>
      <c r="Q2594" s="7" t="n">
        <v>0</v>
      </c>
      <c r="R2594" s="3" t="n">
        <f aca="false">IF(AND(Q2594=1,B2594-_xlfn.MINIFS($B$2:$B$2705,$A$2:$A$2705,A2594)&lt;10),1,0)</f>
        <v>0</v>
      </c>
      <c r="S2594" s="7" t="n">
        <v>0</v>
      </c>
      <c r="T2594" s="3" t="n">
        <f aca="false">_xlfn.MINIFS($B$2:$B$2705,$A$2:$A$2705,A2594)</f>
        <v>1901</v>
      </c>
      <c r="U2594" s="3" t="n">
        <f aca="false">B2594-T2594</f>
        <v>121</v>
      </c>
      <c r="V2594" s="3" t="str">
        <f aca="false">INDEX(Pop_Inputs!$Q$2:$Q$29,MATCH(C2594,Pop_Inputs!$A$2:$A$29,0))</f>
        <v>Midwest</v>
      </c>
      <c r="W2594" s="29" t="n">
        <v>60388900</v>
      </c>
      <c r="X2594" s="3" t="n">
        <f aca="false">IF(W2594="","",LN(W2594))</f>
        <v>17.9163158711819</v>
      </c>
      <c r="Y2594" s="3" t="n">
        <f aca="false">IF(X2594="","",X2594-AVERAGEIFS($X$2:$X$2705,$B$2:$B$2705,B2594))</f>
        <v>-0.793533347667665</v>
      </c>
      <c r="Z2594" s="21" t="n">
        <f aca="false">P2594</f>
        <v>-0.850696460735531</v>
      </c>
      <c r="AA2594" s="3" t="n">
        <f aca="false">R2594</f>
        <v>0</v>
      </c>
      <c r="AB2594" s="21" t="n">
        <f aca="false">P2594</f>
        <v>-0.850696460735531</v>
      </c>
      <c r="AC2594" s="3" t="n">
        <f aca="false">Y2594</f>
        <v>-0.793533347667665</v>
      </c>
      <c r="AD2594" s="3" t="n">
        <f aca="false">R2594</f>
        <v>0</v>
      </c>
    </row>
    <row r="2595" customFormat="false" ht="15" hidden="false" customHeight="true" outlineLevel="0" collapsed="false">
      <c r="A2595" s="7" t="s">
        <v>82</v>
      </c>
      <c r="B2595" s="7" t="n">
        <v>2022</v>
      </c>
      <c r="C2595" s="7" t="s">
        <v>163</v>
      </c>
      <c r="D2595" s="7" t="n">
        <v>68</v>
      </c>
      <c r="E2595" s="7" t="n">
        <v>94</v>
      </c>
      <c r="F2595" s="3" t="n">
        <f aca="false">COUNTIFS($B$2:$B$2705,B2595,$C$2:$C$2705,C2595)</f>
        <v>1</v>
      </c>
      <c r="G2595" s="3" t="n">
        <f aca="false">MIN(INT((MIN(B2595,2020)-1900)/10)+1,12)</f>
        <v>12</v>
      </c>
      <c r="H2595" s="3" t="n">
        <f aca="false">(MIN(B2595,2020)-1900-10*(G2595-1))/10</f>
        <v>1</v>
      </c>
      <c r="I2595" s="20" t="n">
        <f aca="false">EXP(LN(INDEX(Pop_Inputs!$B$2:$N$29,MATCH(C2595,Pop_Inputs!$A$2:$A$29,0),G2595))*(1-H2595)+LN(INDEX(Pop_Inputs!$B$2:$N$29,MATCH(C2595,Pop_Inputs!$A$2:$A$29,0),G2595+1))*H2595)</f>
        <v>715521.999999999</v>
      </c>
      <c r="J2595" s="20" t="n">
        <f aca="false">I2595/F2595</f>
        <v>715521.999999999</v>
      </c>
      <c r="K2595" s="21" t="n">
        <f aca="false">D2595/(D2595+E2595)</f>
        <v>0.419753086419753</v>
      </c>
      <c r="L2595" s="21" t="n">
        <f aca="false">AVERAGEIFS($K$2:$K$2705,$B$2:$B$2705,B2595)</f>
        <v>0.5</v>
      </c>
      <c r="M2595" s="21" t="n">
        <f aca="false">K2595-L2595</f>
        <v>-0.0802469135802469</v>
      </c>
      <c r="N2595" s="21" t="n">
        <f aca="false">LN(J2595)</f>
        <v>13.4807676252348</v>
      </c>
      <c r="O2595" s="21" t="n">
        <f aca="false">AVERAGEIFS($N$2:$N$2705,$B$2:$B$2705,B2595)</f>
        <v>13.6790216080491</v>
      </c>
      <c r="P2595" s="21" t="n">
        <f aca="false">N2595-O2595</f>
        <v>-0.1982539828143</v>
      </c>
      <c r="Q2595" s="7" t="n">
        <v>1</v>
      </c>
      <c r="R2595" s="3" t="n">
        <f aca="false">IF(AND(Q2595=1,B2595-_xlfn.MINIFS($B$2:$B$2705,$A$2:$A$2705,A2595)&lt;10),1,0)</f>
        <v>0</v>
      </c>
      <c r="S2595" s="7" t="n">
        <v>0</v>
      </c>
      <c r="T2595" s="3" t="n">
        <f aca="false">_xlfn.MINIFS($B$2:$B$2705,$A$2:$A$2705,A2595)</f>
        <v>1993</v>
      </c>
      <c r="U2595" s="3" t="n">
        <f aca="false">B2595-T2595</f>
        <v>29</v>
      </c>
      <c r="V2595" s="3" t="str">
        <f aca="false">INDEX(Pop_Inputs!$Q$2:$Q$29,MATCH(C2595,Pop_Inputs!$A$2:$A$29,0))</f>
        <v>West</v>
      </c>
      <c r="W2595" s="29" t="n">
        <v>133141000</v>
      </c>
      <c r="X2595" s="3" t="n">
        <f aca="false">IF(W2595="","",LN(W2595))</f>
        <v>18.7069192749994</v>
      </c>
      <c r="Y2595" s="3" t="n">
        <f aca="false">IF(X2595="","",X2595-AVERAGEIFS($X$2:$X$2705,$B$2:$B$2705,B2595))</f>
        <v>-0.00292994385019085</v>
      </c>
      <c r="Z2595" s="21" t="n">
        <f aca="false">P2595</f>
        <v>-0.1982539828143</v>
      </c>
      <c r="AA2595" s="3" t="n">
        <f aca="false">R2595</f>
        <v>0</v>
      </c>
      <c r="AB2595" s="21" t="n">
        <f aca="false">P2595</f>
        <v>-0.1982539828143</v>
      </c>
      <c r="AC2595" s="3" t="n">
        <f aca="false">Y2595</f>
        <v>-0.00292994385019085</v>
      </c>
      <c r="AD2595" s="3" t="n">
        <f aca="false">R2595</f>
        <v>0</v>
      </c>
    </row>
    <row r="2596" customFormat="false" ht="15" hidden="false" customHeight="true" outlineLevel="0" collapsed="false">
      <c r="A2596" s="7" t="s">
        <v>67</v>
      </c>
      <c r="B2596" s="7" t="n">
        <v>2022</v>
      </c>
      <c r="C2596" s="7" t="s">
        <v>152</v>
      </c>
      <c r="D2596" s="7" t="n">
        <v>66</v>
      </c>
      <c r="E2596" s="7" t="n">
        <v>96</v>
      </c>
      <c r="F2596" s="3" t="n">
        <f aca="false">COUNTIFS($B$2:$B$2705,B2596,$C$2:$C$2705,C2596)</f>
        <v>1</v>
      </c>
      <c r="G2596" s="3" t="n">
        <f aca="false">MIN(INT((MIN(B2596,2020)-1900)/10)+1,12)</f>
        <v>12</v>
      </c>
      <c r="H2596" s="3" t="n">
        <f aca="false">(MIN(B2596,2020)-1900-10*(G2596-1))/10</f>
        <v>1</v>
      </c>
      <c r="I2596" s="20" t="n">
        <f aca="false">EXP(LN(INDEX(Pop_Inputs!$B$2:$N$29,MATCH(C2596,Pop_Inputs!$A$2:$A$29,0),G2596))*(1-H2596)+LN(INDEX(Pop_Inputs!$B$2:$N$29,MATCH(C2596,Pop_Inputs!$A$2:$A$29,0),G2596+1))*H2596)</f>
        <v>639111</v>
      </c>
      <c r="J2596" s="20" t="n">
        <f aca="false">I2596/F2596</f>
        <v>639111</v>
      </c>
      <c r="K2596" s="21" t="n">
        <f aca="false">D2596/(D2596+E2596)</f>
        <v>0.407407407407407</v>
      </c>
      <c r="L2596" s="21" t="n">
        <f aca="false">AVERAGEIFS($K$2:$K$2705,$B$2:$B$2705,B2596)</f>
        <v>0.5</v>
      </c>
      <c r="M2596" s="21" t="n">
        <f aca="false">K2596-L2596</f>
        <v>-0.0925925925925926</v>
      </c>
      <c r="N2596" s="21" t="n">
        <f aca="false">LN(J2596)</f>
        <v>13.3678334271942</v>
      </c>
      <c r="O2596" s="21" t="n">
        <f aca="false">AVERAGEIFS($N$2:$N$2705,$B$2:$B$2705,B2596)</f>
        <v>13.6790216080491</v>
      </c>
      <c r="P2596" s="21" t="n">
        <f aca="false">N2596-O2596</f>
        <v>-0.31118818085489</v>
      </c>
      <c r="Q2596" s="7" t="n">
        <v>0</v>
      </c>
      <c r="R2596" s="3" t="n">
        <f aca="false">IF(AND(Q2596=1,B2596-_xlfn.MINIFS($B$2:$B$2705,$A$2:$A$2705,A2596)&lt;10),1,0)</f>
        <v>0</v>
      </c>
      <c r="S2596" s="7" t="n">
        <v>0</v>
      </c>
      <c r="T2596" s="3" t="n">
        <f aca="false">_xlfn.MINIFS($B$2:$B$2705,$A$2:$A$2705,A2596)</f>
        <v>1901</v>
      </c>
      <c r="U2596" s="3" t="n">
        <f aca="false">B2596-T2596</f>
        <v>121</v>
      </c>
      <c r="V2596" s="3" t="str">
        <f aca="false">INDEX(Pop_Inputs!$Q$2:$Q$29,MATCH(C2596,Pop_Inputs!$A$2:$A$29,0))</f>
        <v>Midwest</v>
      </c>
      <c r="W2596" s="29" t="n">
        <v>129543200</v>
      </c>
      <c r="X2596" s="3" t="n">
        <f aca="false">IF(W2596="","",LN(W2596))</f>
        <v>18.6795249742084</v>
      </c>
      <c r="Y2596" s="3" t="n">
        <f aca="false">IF(X2596="","",X2596-AVERAGEIFS($X$2:$X$2705,$B$2:$B$2705,B2596))</f>
        <v>-0.030324244641168</v>
      </c>
      <c r="Z2596" s="21" t="n">
        <f aca="false">P2596</f>
        <v>-0.31118818085489</v>
      </c>
      <c r="AA2596" s="3" t="n">
        <f aca="false">R2596</f>
        <v>0</v>
      </c>
      <c r="AB2596" s="21" t="n">
        <f aca="false">P2596</f>
        <v>-0.31118818085489</v>
      </c>
      <c r="AC2596" s="3" t="n">
        <f aca="false">Y2596</f>
        <v>-0.030324244641168</v>
      </c>
      <c r="AD2596" s="3" t="n">
        <f aca="false">R2596</f>
        <v>0</v>
      </c>
    </row>
    <row r="2597" customFormat="false" ht="15" hidden="false" customHeight="true" outlineLevel="0" collapsed="false">
      <c r="A2597" s="7" t="s">
        <v>83</v>
      </c>
      <c r="B2597" s="7" t="n">
        <v>2022</v>
      </c>
      <c r="C2597" s="7" t="s">
        <v>164</v>
      </c>
      <c r="D2597" s="7" t="n">
        <v>69</v>
      </c>
      <c r="E2597" s="7" t="n">
        <v>93</v>
      </c>
      <c r="F2597" s="3" t="n">
        <f aca="false">COUNTIFS($B$2:$B$2705,B2597,$C$2:$C$2705,C2597)</f>
        <v>1</v>
      </c>
      <c r="G2597" s="3" t="n">
        <f aca="false">MIN(INT((MIN(B2597,2020)-1900)/10)+1,12)</f>
        <v>12</v>
      </c>
      <c r="H2597" s="3" t="n">
        <f aca="false">(MIN(B2597,2020)-1900-10*(G2597-1))/10</f>
        <v>1</v>
      </c>
      <c r="I2597" s="20" t="n">
        <f aca="false">EXP(LN(INDEX(Pop_Inputs!$B$2:$N$29,MATCH(C2597,Pop_Inputs!$A$2:$A$29,0),G2597))*(1-H2597)+LN(INDEX(Pop_Inputs!$B$2:$N$29,MATCH(C2597,Pop_Inputs!$A$2:$A$29,0),G2597+1))*H2597)</f>
        <v>442241</v>
      </c>
      <c r="J2597" s="20" t="n">
        <f aca="false">I2597/F2597</f>
        <v>442241</v>
      </c>
      <c r="K2597" s="21" t="n">
        <f aca="false">D2597/(D2597+E2597)</f>
        <v>0.425925925925926</v>
      </c>
      <c r="L2597" s="21" t="n">
        <f aca="false">AVERAGEIFS($K$2:$K$2705,$B$2:$B$2705,B2597)</f>
        <v>0.5</v>
      </c>
      <c r="M2597" s="21" t="n">
        <f aca="false">K2597-L2597</f>
        <v>-0.0740740740740741</v>
      </c>
      <c r="N2597" s="21" t="n">
        <f aca="false">LN(J2597)</f>
        <v>12.9996102613345</v>
      </c>
      <c r="O2597" s="21" t="n">
        <f aca="false">AVERAGEIFS($N$2:$N$2705,$B$2:$B$2705,B2597)</f>
        <v>13.6790216080491</v>
      </c>
      <c r="P2597" s="21" t="n">
        <f aca="false">N2597-O2597</f>
        <v>-0.679411346714641</v>
      </c>
      <c r="Q2597" s="7" t="n">
        <v>1</v>
      </c>
      <c r="R2597" s="3" t="n">
        <f aca="false">IF(AND(Q2597=1,B2597-_xlfn.MINIFS($B$2:$B$2705,$A$2:$A$2705,A2597)&lt;10),1,0)</f>
        <v>0</v>
      </c>
      <c r="S2597" s="7" t="n">
        <v>0</v>
      </c>
      <c r="T2597" s="3" t="n">
        <f aca="false">_xlfn.MINIFS($B$2:$B$2705,$A$2:$A$2705,A2597)</f>
        <v>1993</v>
      </c>
      <c r="U2597" s="3" t="n">
        <f aca="false">B2597-T2597</f>
        <v>29</v>
      </c>
      <c r="V2597" s="3" t="str">
        <f aca="false">INDEX(Pop_Inputs!$Q$2:$Q$29,MATCH(C2597,Pop_Inputs!$A$2:$A$29,0))</f>
        <v>South</v>
      </c>
      <c r="W2597" s="29" t="n">
        <v>79775000</v>
      </c>
      <c r="X2597" s="3" t="n">
        <f aca="false">IF(W2597="","",LN(W2597))</f>
        <v>18.1947207301286</v>
      </c>
      <c r="Y2597" s="3" t="n">
        <f aca="false">IF(X2597="","",X2597-AVERAGEIFS($X$2:$X$2705,$B$2:$B$2705,B2597))</f>
        <v>-0.515128488721029</v>
      </c>
      <c r="Z2597" s="21" t="n">
        <f aca="false">P2597</f>
        <v>-0.679411346714641</v>
      </c>
      <c r="AA2597" s="3" t="n">
        <f aca="false">R2597</f>
        <v>0</v>
      </c>
      <c r="AB2597" s="21" t="n">
        <f aca="false">P2597</f>
        <v>-0.679411346714641</v>
      </c>
      <c r="AC2597" s="3" t="n">
        <f aca="false">Y2597</f>
        <v>-0.515128488721029</v>
      </c>
      <c r="AD2597" s="3" t="n">
        <f aca="false">R2597</f>
        <v>0</v>
      </c>
    </row>
    <row r="2598" customFormat="false" ht="15" hidden="false" customHeight="true" outlineLevel="0" collapsed="false">
      <c r="A2598" s="7" t="s">
        <v>74</v>
      </c>
      <c r="B2598" s="7" t="n">
        <v>2022</v>
      </c>
      <c r="C2598" s="7" t="s">
        <v>156</v>
      </c>
      <c r="D2598" s="7" t="n">
        <v>106</v>
      </c>
      <c r="E2598" s="7" t="n">
        <v>56</v>
      </c>
      <c r="F2598" s="3" t="n">
        <f aca="false">COUNTIFS($B$2:$B$2705,B2598,$C$2:$C$2705,C2598)</f>
        <v>1</v>
      </c>
      <c r="G2598" s="3" t="n">
        <f aca="false">MIN(INT((MIN(B2598,2020)-1900)/10)+1,12)</f>
        <v>12</v>
      </c>
      <c r="H2598" s="3" t="n">
        <f aca="false">(MIN(B2598,2020)-1900-10*(G2598-1))/10</f>
        <v>1</v>
      </c>
      <c r="I2598" s="20" t="n">
        <f aca="false">EXP(LN(INDEX(Pop_Inputs!$B$2:$N$29,MATCH(C2598,Pop_Inputs!$A$2:$A$29,0),G2598))*(1-H2598)+LN(INDEX(Pop_Inputs!$B$2:$N$29,MATCH(C2598,Pop_Inputs!$A$2:$A$29,0),G2598+1))*H2598)</f>
        <v>2304580</v>
      </c>
      <c r="J2598" s="20" t="n">
        <f aca="false">I2598/F2598</f>
        <v>2304580</v>
      </c>
      <c r="K2598" s="21" t="n">
        <f aca="false">D2598/(D2598+E2598)</f>
        <v>0.654320987654321</v>
      </c>
      <c r="L2598" s="21" t="n">
        <f aca="false">AVERAGEIFS($K$2:$K$2705,$B$2:$B$2705,B2598)</f>
        <v>0.5</v>
      </c>
      <c r="M2598" s="21" t="n">
        <f aca="false">K2598-L2598</f>
        <v>0.154320987654321</v>
      </c>
      <c r="N2598" s="21" t="n">
        <f aca="false">LN(J2598)</f>
        <v>14.6504090052288</v>
      </c>
      <c r="O2598" s="21" t="n">
        <f aca="false">AVERAGEIFS($N$2:$N$2705,$B$2:$B$2705,B2598)</f>
        <v>13.6790216080491</v>
      </c>
      <c r="P2598" s="21" t="n">
        <f aca="false">N2598-O2598</f>
        <v>0.97138739717971</v>
      </c>
      <c r="Q2598" s="7" t="n">
        <v>1</v>
      </c>
      <c r="R2598" s="3" t="n">
        <f aca="false">IF(AND(Q2598=1,B2598-_xlfn.MINIFS($B$2:$B$2705,$A$2:$A$2705,A2598)&lt;10),1,0)</f>
        <v>0</v>
      </c>
      <c r="S2598" s="7" t="n">
        <v>0</v>
      </c>
      <c r="T2598" s="3" t="n">
        <f aca="false">_xlfn.MINIFS($B$2:$B$2705,$A$2:$A$2705,A2598)</f>
        <v>1962</v>
      </c>
      <c r="U2598" s="3" t="n">
        <f aca="false">B2598-T2598</f>
        <v>60</v>
      </c>
      <c r="V2598" s="3" t="str">
        <f aca="false">INDEX(Pop_Inputs!$Q$2:$Q$29,MATCH(C2598,Pop_Inputs!$A$2:$A$29,0))</f>
        <v>South</v>
      </c>
      <c r="W2598" s="29" t="n">
        <v>174356000</v>
      </c>
      <c r="X2598" s="3" t="n">
        <f aca="false">IF(W2598="","",LN(W2598))</f>
        <v>18.9766097440298</v>
      </c>
      <c r="Y2598" s="3" t="n">
        <f aca="false">IF(X2598="","",X2598-AVERAGEIFS($X$2:$X$2705,$B$2:$B$2705,B2598))</f>
        <v>0.266760525180185</v>
      </c>
      <c r="Z2598" s="21" t="n">
        <f aca="false">P2598</f>
        <v>0.97138739717971</v>
      </c>
      <c r="AA2598" s="3" t="n">
        <f aca="false">R2598</f>
        <v>0</v>
      </c>
      <c r="AB2598" s="21" t="n">
        <f aca="false">P2598</f>
        <v>0.97138739717971</v>
      </c>
      <c r="AC2598" s="3" t="n">
        <f aca="false">Y2598</f>
        <v>0.266760525180185</v>
      </c>
      <c r="AD2598" s="3" t="n">
        <f aca="false">R2598</f>
        <v>0</v>
      </c>
    </row>
    <row r="2599" customFormat="false" ht="15" hidden="false" customHeight="true" outlineLevel="0" collapsed="false">
      <c r="A2599" s="7" t="s">
        <v>76</v>
      </c>
      <c r="B2599" s="7" t="n">
        <v>2022</v>
      </c>
      <c r="C2599" s="7" t="s">
        <v>157</v>
      </c>
      <c r="D2599" s="7" t="n">
        <v>65</v>
      </c>
      <c r="E2599" s="7" t="n">
        <v>97</v>
      </c>
      <c r="F2599" s="3" t="n">
        <f aca="false">COUNTIFS($B$2:$B$2705,B2599,$C$2:$C$2705,C2599)</f>
        <v>1</v>
      </c>
      <c r="G2599" s="3" t="n">
        <f aca="false">MIN(INT((MIN(B2599,2020)-1900)/10)+1,12)</f>
        <v>12</v>
      </c>
      <c r="H2599" s="3" t="n">
        <f aca="false">(MIN(B2599,2020)-1900-10*(G2599-1))/10</f>
        <v>1</v>
      </c>
      <c r="I2599" s="20" t="n">
        <f aca="false">EXP(LN(INDEX(Pop_Inputs!$B$2:$N$29,MATCH(C2599,Pop_Inputs!$A$2:$A$29,0),G2599))*(1-H2599)+LN(INDEX(Pop_Inputs!$B$2:$N$29,MATCH(C2599,Pop_Inputs!$A$2:$A$29,0),G2599+1))*H2599)</f>
        <v>508090</v>
      </c>
      <c r="J2599" s="20" t="n">
        <f aca="false">I2599/F2599</f>
        <v>508090</v>
      </c>
      <c r="K2599" s="21" t="n">
        <f aca="false">D2599/(D2599+E2599)</f>
        <v>0.401234567901235</v>
      </c>
      <c r="L2599" s="21" t="n">
        <f aca="false">AVERAGEIFS($K$2:$K$2705,$B$2:$B$2705,B2599)</f>
        <v>0.5</v>
      </c>
      <c r="M2599" s="21" t="n">
        <f aca="false">K2599-L2599</f>
        <v>-0.0987654320987654</v>
      </c>
      <c r="N2599" s="21" t="n">
        <f aca="false">LN(J2599)</f>
        <v>13.138413876223</v>
      </c>
      <c r="O2599" s="21" t="n">
        <f aca="false">AVERAGEIFS($N$2:$N$2705,$B$2:$B$2705,B2599)</f>
        <v>13.6790216080491</v>
      </c>
      <c r="P2599" s="21" t="n">
        <f aca="false">N2599-O2599</f>
        <v>-0.54060773182608</v>
      </c>
      <c r="Q2599" s="7" t="n">
        <v>1</v>
      </c>
      <c r="R2599" s="3" t="n">
        <f aca="false">IF(AND(Q2599=1,B2599-_xlfn.MINIFS($B$2:$B$2705,$A$2:$A$2705,A2599)&lt;10),1,0)</f>
        <v>0</v>
      </c>
      <c r="S2599" s="7" t="n">
        <v>0</v>
      </c>
      <c r="T2599" s="3" t="n">
        <f aca="false">_xlfn.MINIFS($B$2:$B$2705,$A$2:$A$2705,A2599)</f>
        <v>1969</v>
      </c>
      <c r="U2599" s="3" t="n">
        <f aca="false">B2599-T2599</f>
        <v>53</v>
      </c>
      <c r="V2599" s="3" t="str">
        <f aca="false">INDEX(Pop_Inputs!$Q$2:$Q$29,MATCH(C2599,Pop_Inputs!$A$2:$A$29,0))</f>
        <v>Midwest</v>
      </c>
      <c r="W2599" s="29" t="n">
        <v>94932900</v>
      </c>
      <c r="X2599" s="3" t="n">
        <f aca="false">IF(W2599="","",LN(W2599))</f>
        <v>18.3686808842168</v>
      </c>
      <c r="Y2599" s="3" t="n">
        <f aca="false">IF(X2599="","",X2599-AVERAGEIFS($X$2:$X$2705,$B$2:$B$2705,B2599))</f>
        <v>-0.341168334632783</v>
      </c>
      <c r="Z2599" s="21" t="n">
        <f aca="false">P2599</f>
        <v>-0.54060773182608</v>
      </c>
      <c r="AA2599" s="3" t="n">
        <f aca="false">R2599</f>
        <v>0</v>
      </c>
      <c r="AB2599" s="21" t="n">
        <f aca="false">P2599</f>
        <v>-0.54060773182608</v>
      </c>
      <c r="AC2599" s="3" t="n">
        <f aca="false">Y2599</f>
        <v>-0.341168334632783</v>
      </c>
      <c r="AD2599" s="3" t="n">
        <f aca="false">R2599</f>
        <v>0</v>
      </c>
    </row>
    <row r="2600" customFormat="false" ht="15" hidden="false" customHeight="true" outlineLevel="0" collapsed="false">
      <c r="A2600" s="7" t="s">
        <v>62</v>
      </c>
      <c r="B2600" s="7" t="n">
        <v>2022</v>
      </c>
      <c r="C2600" s="7" t="s">
        <v>148</v>
      </c>
      <c r="D2600" s="7" t="n">
        <v>111</v>
      </c>
      <c r="E2600" s="7" t="n">
        <v>51</v>
      </c>
      <c r="F2600" s="3" t="n">
        <f aca="false">COUNTIFS($B$2:$B$2705,B2600,$C$2:$C$2705,C2600)</f>
        <v>2</v>
      </c>
      <c r="G2600" s="3" t="n">
        <f aca="false">MIN(INT((MIN(B2600,2020)-1900)/10)+1,12)</f>
        <v>12</v>
      </c>
      <c r="H2600" s="3" t="n">
        <f aca="false">(MIN(B2600,2020)-1900-10*(G2600-1))/10</f>
        <v>1</v>
      </c>
      <c r="I2600" s="20" t="n">
        <f aca="false">EXP(LN(INDEX(Pop_Inputs!$B$2:$N$29,MATCH(C2600,Pop_Inputs!$A$2:$A$29,0),G2600))*(1-H2600)+LN(INDEX(Pop_Inputs!$B$2:$N$29,MATCH(C2600,Pop_Inputs!$A$2:$A$29,0),G2600+1))*H2600)</f>
        <v>3898747</v>
      </c>
      <c r="J2600" s="20" t="n">
        <f aca="false">I2600/F2600</f>
        <v>1949373.5</v>
      </c>
      <c r="K2600" s="21" t="n">
        <f aca="false">D2600/(D2600+E2600)</f>
        <v>0.685185185185185</v>
      </c>
      <c r="L2600" s="21" t="n">
        <f aca="false">AVERAGEIFS($K$2:$K$2705,$B$2:$B$2705,B2600)</f>
        <v>0.5</v>
      </c>
      <c r="M2600" s="21" t="n">
        <f aca="false">K2600-L2600</f>
        <v>0.185185185185185</v>
      </c>
      <c r="N2600" s="21" t="n">
        <f aca="false">LN(J2600)</f>
        <v>14.4830185968665</v>
      </c>
      <c r="O2600" s="21" t="n">
        <f aca="false">AVERAGEIFS($N$2:$N$2705,$B$2:$B$2705,B2600)</f>
        <v>13.6790216080491</v>
      </c>
      <c r="P2600" s="21" t="n">
        <f aca="false">N2600-O2600</f>
        <v>0.80399698881741</v>
      </c>
      <c r="Q2600" s="7" t="n">
        <v>0</v>
      </c>
      <c r="R2600" s="3" t="n">
        <f aca="false">IF(AND(Q2600=1,B2600-_xlfn.MINIFS($B$2:$B$2705,$A$2:$A$2705,A2600)&lt;10),1,0)</f>
        <v>0</v>
      </c>
      <c r="S2600" s="7" t="n">
        <v>0</v>
      </c>
      <c r="T2600" s="3" t="n">
        <f aca="false">_xlfn.MINIFS($B$2:$B$2705,$A$2:$A$2705,A2600)</f>
        <v>1901</v>
      </c>
      <c r="U2600" s="3" t="n">
        <f aca="false">B2600-T2600</f>
        <v>121</v>
      </c>
      <c r="V2600" s="3" t="str">
        <f aca="false">INDEX(Pop_Inputs!$Q$2:$Q$29,MATCH(C2600,Pop_Inputs!$A$2:$A$29,0))</f>
        <v>West</v>
      </c>
      <c r="W2600" s="29" t="n">
        <v>284730745</v>
      </c>
      <c r="X2600" s="3" t="n">
        <f aca="false">IF(W2600="","",LN(W2600))</f>
        <v>19.4670545372853</v>
      </c>
      <c r="Y2600" s="3" t="n">
        <f aca="false">IF(X2600="","",X2600-AVERAGEIFS($X$2:$X$2705,$B$2:$B$2705,B2600))</f>
        <v>0.757205318435641</v>
      </c>
      <c r="Z2600" s="21" t="n">
        <f aca="false">P2600</f>
        <v>0.80399698881741</v>
      </c>
      <c r="AA2600" s="3" t="n">
        <f aca="false">R2600</f>
        <v>0</v>
      </c>
      <c r="AB2600" s="21" t="n">
        <f aca="false">P2600</f>
        <v>0.80399698881741</v>
      </c>
      <c r="AC2600" s="3" t="n">
        <f aca="false">Y2600</f>
        <v>0.757205318435641</v>
      </c>
      <c r="AD2600" s="3" t="n">
        <f aca="false">R2600</f>
        <v>0</v>
      </c>
    </row>
    <row r="2601" customFormat="false" ht="15" hidden="false" customHeight="true" outlineLevel="0" collapsed="false">
      <c r="A2601" s="7" t="s">
        <v>77</v>
      </c>
      <c r="B2601" s="7" t="n">
        <v>2022</v>
      </c>
      <c r="C2601" s="7" t="s">
        <v>158</v>
      </c>
      <c r="D2601" s="7" t="n">
        <v>86</v>
      </c>
      <c r="E2601" s="7" t="n">
        <v>76</v>
      </c>
      <c r="F2601" s="3" t="n">
        <f aca="false">COUNTIFS($B$2:$B$2705,B2601,$C$2:$C$2705,C2601)</f>
        <v>1</v>
      </c>
      <c r="G2601" s="3" t="n">
        <f aca="false">MIN(INT((MIN(B2601,2020)-1900)/10)+1,12)</f>
        <v>12</v>
      </c>
      <c r="H2601" s="3" t="n">
        <f aca="false">(MIN(B2601,2020)-1900-10*(G2601-1))/10</f>
        <v>1</v>
      </c>
      <c r="I2601" s="20" t="n">
        <f aca="false">EXP(LN(INDEX(Pop_Inputs!$B$2:$N$29,MATCH(C2601,Pop_Inputs!$A$2:$A$29,0),G2601))*(1-H2601)+LN(INDEX(Pop_Inputs!$B$2:$N$29,MATCH(C2601,Pop_Inputs!$A$2:$A$29,0),G2601+1))*H2601)</f>
        <v>577222</v>
      </c>
      <c r="J2601" s="20" t="n">
        <f aca="false">I2601/F2601</f>
        <v>577222</v>
      </c>
      <c r="K2601" s="21" t="n">
        <f aca="false">D2601/(D2601+E2601)</f>
        <v>0.530864197530864</v>
      </c>
      <c r="L2601" s="21" t="n">
        <f aca="false">AVERAGEIFS($K$2:$K$2705,$B$2:$B$2705,B2601)</f>
        <v>0.5</v>
      </c>
      <c r="M2601" s="21" t="n">
        <f aca="false">K2601-L2601</f>
        <v>0.0308641975308642</v>
      </c>
      <c r="N2601" s="21" t="n">
        <f aca="false">LN(J2601)</f>
        <v>13.2659822201936</v>
      </c>
      <c r="O2601" s="21" t="n">
        <f aca="false">AVERAGEIFS($N$2:$N$2705,$B$2:$B$2705,B2601)</f>
        <v>13.6790216080491</v>
      </c>
      <c r="P2601" s="21" t="n">
        <f aca="false">N2601-O2601</f>
        <v>-0.413039387855493</v>
      </c>
      <c r="Q2601" s="7" t="n">
        <v>1</v>
      </c>
      <c r="R2601" s="3" t="n">
        <f aca="false">IF(AND(Q2601=1,B2601-_xlfn.MINIFS($B$2:$B$2705,$A$2:$A$2705,A2601)&lt;10),1,0)</f>
        <v>0</v>
      </c>
      <c r="S2601" s="7" t="n">
        <v>0</v>
      </c>
      <c r="T2601" s="3" t="n">
        <f aca="false">_xlfn.MINIFS($B$2:$B$2705,$A$2:$A$2705,A2601)</f>
        <v>1969</v>
      </c>
      <c r="U2601" s="3" t="n">
        <f aca="false">B2601-T2601</f>
        <v>53</v>
      </c>
      <c r="V2601" s="3" t="str">
        <f aca="false">INDEX(Pop_Inputs!$Q$2:$Q$29,MATCH(C2601,Pop_Inputs!$A$2:$A$29,0))</f>
        <v>Midwest</v>
      </c>
      <c r="W2601" s="29" t="n">
        <v>132189909</v>
      </c>
      <c r="X2601" s="3" t="n">
        <f aca="false">IF(W2601="","",LN(W2601))</f>
        <v>18.6997501511523</v>
      </c>
      <c r="Y2601" s="3" t="n">
        <f aca="false">IF(X2601="","",X2601-AVERAGEIFS($X$2:$X$2705,$B$2:$B$2705,B2601))</f>
        <v>-0.0100990676973183</v>
      </c>
      <c r="Z2601" s="21" t="n">
        <f aca="false">P2601</f>
        <v>-0.413039387855493</v>
      </c>
      <c r="AA2601" s="3" t="n">
        <f aca="false">R2601</f>
        <v>0</v>
      </c>
      <c r="AB2601" s="21" t="n">
        <f aca="false">P2601</f>
        <v>-0.413039387855493</v>
      </c>
      <c r="AC2601" s="3" t="n">
        <f aca="false">Y2601</f>
        <v>-0.0100990676973183</v>
      </c>
      <c r="AD2601" s="3" t="n">
        <f aca="false">R2601</f>
        <v>0</v>
      </c>
    </row>
    <row r="2602" customFormat="false" ht="15" hidden="false" customHeight="true" outlineLevel="0" collapsed="false">
      <c r="A2602" s="7" t="s">
        <v>68</v>
      </c>
      <c r="B2602" s="7" t="n">
        <v>2022</v>
      </c>
      <c r="C2602" s="7" t="s">
        <v>153</v>
      </c>
      <c r="D2602" s="7" t="n">
        <v>78</v>
      </c>
      <c r="E2602" s="7" t="n">
        <v>84</v>
      </c>
      <c r="F2602" s="3" t="n">
        <f aca="false">COUNTIFS($B$2:$B$2705,B2602,$C$2:$C$2705,C2602)</f>
        <v>1</v>
      </c>
      <c r="G2602" s="3" t="n">
        <f aca="false">MIN(INT((MIN(B2602,2020)-1900)/10)+1,12)</f>
        <v>12</v>
      </c>
      <c r="H2602" s="3" t="n">
        <f aca="false">(MIN(B2602,2020)-1900-10*(G2602-1))/10</f>
        <v>1</v>
      </c>
      <c r="I2602" s="20" t="n">
        <f aca="false">EXP(LN(INDEX(Pop_Inputs!$B$2:$N$29,MATCH(C2602,Pop_Inputs!$A$2:$A$29,0),G2602))*(1-H2602)+LN(INDEX(Pop_Inputs!$B$2:$N$29,MATCH(C2602,Pop_Inputs!$A$2:$A$29,0),G2602+1))*H2602)</f>
        <v>429954</v>
      </c>
      <c r="J2602" s="20" t="n">
        <f aca="false">I2602/F2602</f>
        <v>429954</v>
      </c>
      <c r="K2602" s="21" t="n">
        <f aca="false">D2602/(D2602+E2602)</f>
        <v>0.481481481481481</v>
      </c>
      <c r="L2602" s="21" t="n">
        <f aca="false">AVERAGEIFS($K$2:$K$2705,$B$2:$B$2705,B2602)</f>
        <v>0.5</v>
      </c>
      <c r="M2602" s="21" t="n">
        <f aca="false">K2602-L2602</f>
        <v>-0.0185185185185185</v>
      </c>
      <c r="N2602" s="21" t="n">
        <f aca="false">LN(J2602)</f>
        <v>12.9714335052031</v>
      </c>
      <c r="O2602" s="21" t="n">
        <f aca="false">AVERAGEIFS($N$2:$N$2705,$B$2:$B$2705,B2602)</f>
        <v>13.6790216080491</v>
      </c>
      <c r="P2602" s="21" t="n">
        <f aca="false">N2602-O2602</f>
        <v>-0.707588102845962</v>
      </c>
      <c r="Q2602" s="7" t="n">
        <v>0</v>
      </c>
      <c r="R2602" s="3" t="n">
        <f aca="false">IF(AND(Q2602=1,B2602-_xlfn.MINIFS($B$2:$B$2705,$A$2:$A$2705,A2602)&lt;10),1,0)</f>
        <v>0</v>
      </c>
      <c r="S2602" s="7" t="n">
        <v>0</v>
      </c>
      <c r="T2602" s="3" t="n">
        <f aca="false">_xlfn.MINIFS($B$2:$B$2705,$A$2:$A$2705,A2602)</f>
        <v>1901</v>
      </c>
      <c r="U2602" s="3" t="n">
        <f aca="false">B2602-T2602</f>
        <v>121</v>
      </c>
      <c r="V2602" s="3" t="str">
        <f aca="false">INDEX(Pop_Inputs!$Q$2:$Q$29,MATCH(C2602,Pop_Inputs!$A$2:$A$29,0))</f>
        <v>Midwest</v>
      </c>
      <c r="W2602" s="29" t="n">
        <v>136908190</v>
      </c>
      <c r="X2602" s="3" t="n">
        <f aca="false">IF(W2602="","",LN(W2602))</f>
        <v>18.7348211131588</v>
      </c>
      <c r="Y2602" s="3" t="n">
        <f aca="false">IF(X2602="","",X2602-AVERAGEIFS($X$2:$X$2705,$B$2:$B$2705,B2602))</f>
        <v>0.0249718943091963</v>
      </c>
      <c r="Z2602" s="21" t="n">
        <f aca="false">P2602</f>
        <v>-0.707588102845962</v>
      </c>
      <c r="AA2602" s="3" t="n">
        <f aca="false">R2602</f>
        <v>0</v>
      </c>
      <c r="AB2602" s="21" t="n">
        <f aca="false">P2602</f>
        <v>-0.707588102845962</v>
      </c>
      <c r="AC2602" s="3" t="n">
        <f aca="false">Y2602</f>
        <v>0.0249718943091963</v>
      </c>
      <c r="AD2602" s="3" t="n">
        <f aca="false">R2602</f>
        <v>0</v>
      </c>
    </row>
    <row r="2603" customFormat="false" ht="15" hidden="false" customHeight="true" outlineLevel="0" collapsed="false">
      <c r="A2603" s="7" t="s">
        <v>75</v>
      </c>
      <c r="B2603" s="7" t="n">
        <v>2022</v>
      </c>
      <c r="C2603" s="7" t="s">
        <v>154</v>
      </c>
      <c r="D2603" s="7" t="n">
        <v>101</v>
      </c>
      <c r="E2603" s="7" t="n">
        <v>61</v>
      </c>
      <c r="F2603" s="3" t="n">
        <f aca="false">COUNTIFS($B$2:$B$2705,B2603,$C$2:$C$2705,C2603)</f>
        <v>2</v>
      </c>
      <c r="G2603" s="3" t="n">
        <f aca="false">MIN(INT((MIN(B2603,2020)-1900)/10)+1,12)</f>
        <v>12</v>
      </c>
      <c r="H2603" s="3" t="n">
        <f aca="false">(MIN(B2603,2020)-1900-10*(G2603-1))/10</f>
        <v>1</v>
      </c>
      <c r="I2603" s="20" t="n">
        <f aca="false">EXP(LN(INDEX(Pop_Inputs!$B$2:$N$29,MATCH(C2603,Pop_Inputs!$A$2:$A$29,0),G2603))*(1-H2603)+LN(INDEX(Pop_Inputs!$B$2:$N$29,MATCH(C2603,Pop_Inputs!$A$2:$A$29,0),G2603+1))*H2603)</f>
        <v>8804190</v>
      </c>
      <c r="J2603" s="20" t="n">
        <f aca="false">I2603/F2603</f>
        <v>4402095</v>
      </c>
      <c r="K2603" s="21" t="n">
        <f aca="false">D2603/(D2603+E2603)</f>
        <v>0.623456790123457</v>
      </c>
      <c r="L2603" s="21" t="n">
        <f aca="false">AVERAGEIFS($K$2:$K$2705,$B$2:$B$2705,B2603)</f>
        <v>0.5</v>
      </c>
      <c r="M2603" s="21" t="n">
        <f aca="false">K2603-L2603</f>
        <v>0.123456790123457</v>
      </c>
      <c r="N2603" s="21" t="n">
        <f aca="false">LN(J2603)</f>
        <v>15.2975911219352</v>
      </c>
      <c r="O2603" s="21" t="n">
        <f aca="false">AVERAGEIFS($N$2:$N$2705,$B$2:$B$2705,B2603)</f>
        <v>13.6790216080491</v>
      </c>
      <c r="P2603" s="21" t="n">
        <f aca="false">N2603-O2603</f>
        <v>1.61856951388607</v>
      </c>
      <c r="Q2603" s="7" t="n">
        <v>1</v>
      </c>
      <c r="R2603" s="3" t="n">
        <f aca="false">IF(AND(Q2603=1,B2603-_xlfn.MINIFS($B$2:$B$2705,$A$2:$A$2705,A2603)&lt;10),1,0)</f>
        <v>0</v>
      </c>
      <c r="S2603" s="7" t="n">
        <v>0</v>
      </c>
      <c r="T2603" s="3" t="n">
        <f aca="false">_xlfn.MINIFS($B$2:$B$2705,$A$2:$A$2705,A2603)</f>
        <v>1962</v>
      </c>
      <c r="U2603" s="3" t="n">
        <f aca="false">B2603-T2603</f>
        <v>60</v>
      </c>
      <c r="V2603" s="3" t="str">
        <f aca="false">INDEX(Pop_Inputs!$Q$2:$Q$29,MATCH(C2603,Pop_Inputs!$A$2:$A$29,0))</f>
        <v>Northeast</v>
      </c>
      <c r="W2603" s="29" t="n">
        <v>265998338</v>
      </c>
      <c r="X2603" s="3" t="n">
        <f aca="false">IF(W2603="","",LN(W2603))</f>
        <v>19.3990006186062</v>
      </c>
      <c r="Y2603" s="3" t="n">
        <f aca="false">IF(X2603="","",X2603-AVERAGEIFS($X$2:$X$2705,$B$2:$B$2705,B2603))</f>
        <v>0.689151399756543</v>
      </c>
      <c r="Z2603" s="21" t="n">
        <f aca="false">P2603</f>
        <v>1.61856951388607</v>
      </c>
      <c r="AA2603" s="3" t="n">
        <f aca="false">R2603</f>
        <v>0</v>
      </c>
      <c r="AB2603" s="21" t="n">
        <f aca="false">P2603</f>
        <v>1.61856951388607</v>
      </c>
      <c r="AC2603" s="3" t="n">
        <f aca="false">Y2603</f>
        <v>0.689151399756543</v>
      </c>
      <c r="AD2603" s="3" t="n">
        <f aca="false">R2603</f>
        <v>0</v>
      </c>
    </row>
    <row r="2604" customFormat="false" ht="15" hidden="false" customHeight="true" outlineLevel="0" collapsed="false">
      <c r="A2604" s="7" t="s">
        <v>70</v>
      </c>
      <c r="B2604" s="7" t="n">
        <v>2022</v>
      </c>
      <c r="C2604" s="7" t="s">
        <v>154</v>
      </c>
      <c r="D2604" s="7" t="n">
        <v>99</v>
      </c>
      <c r="E2604" s="7" t="n">
        <v>63</v>
      </c>
      <c r="F2604" s="3" t="n">
        <f aca="false">COUNTIFS($B$2:$B$2705,B2604,$C$2:$C$2705,C2604)</f>
        <v>2</v>
      </c>
      <c r="G2604" s="3" t="n">
        <f aca="false">MIN(INT((MIN(B2604,2020)-1900)/10)+1,12)</f>
        <v>12</v>
      </c>
      <c r="H2604" s="3" t="n">
        <f aca="false">(MIN(B2604,2020)-1900-10*(G2604-1))/10</f>
        <v>1</v>
      </c>
      <c r="I2604" s="20" t="n">
        <f aca="false">EXP(LN(INDEX(Pop_Inputs!$B$2:$N$29,MATCH(C2604,Pop_Inputs!$A$2:$A$29,0),G2604))*(1-H2604)+LN(INDEX(Pop_Inputs!$B$2:$N$29,MATCH(C2604,Pop_Inputs!$A$2:$A$29,0),G2604+1))*H2604)</f>
        <v>8804190</v>
      </c>
      <c r="J2604" s="20" t="n">
        <f aca="false">I2604/F2604</f>
        <v>4402095</v>
      </c>
      <c r="K2604" s="21" t="n">
        <f aca="false">D2604/(D2604+E2604)</f>
        <v>0.611111111111111</v>
      </c>
      <c r="L2604" s="21" t="n">
        <f aca="false">AVERAGEIFS($K$2:$K$2705,$B$2:$B$2705,B2604)</f>
        <v>0.5</v>
      </c>
      <c r="M2604" s="21" t="n">
        <f aca="false">K2604-L2604</f>
        <v>0.111111111111111</v>
      </c>
      <c r="N2604" s="21" t="n">
        <f aca="false">LN(J2604)</f>
        <v>15.2975911219352</v>
      </c>
      <c r="O2604" s="21" t="n">
        <f aca="false">AVERAGEIFS($N$2:$N$2705,$B$2:$B$2705,B2604)</f>
        <v>13.6790216080491</v>
      </c>
      <c r="P2604" s="21" t="n">
        <f aca="false">N2604-O2604</f>
        <v>1.61856951388607</v>
      </c>
      <c r="Q2604" s="7" t="n">
        <v>0</v>
      </c>
      <c r="R2604" s="3" t="n">
        <f aca="false">IF(AND(Q2604=1,B2604-_xlfn.MINIFS($B$2:$B$2705,$A$2:$A$2705,A2604)&lt;10),1,0)</f>
        <v>0</v>
      </c>
      <c r="S2604" s="7" t="n">
        <v>1</v>
      </c>
      <c r="T2604" s="3" t="n">
        <f aca="false">_xlfn.MINIFS($B$2:$B$2705,$A$2:$A$2705,A2604)</f>
        <v>1903</v>
      </c>
      <c r="U2604" s="3" t="n">
        <f aca="false">B2604-T2604</f>
        <v>119</v>
      </c>
      <c r="V2604" s="3" t="str">
        <f aca="false">INDEX(Pop_Inputs!$Q$2:$Q$29,MATCH(C2604,Pop_Inputs!$A$2:$A$29,0))</f>
        <v>Northeast</v>
      </c>
      <c r="W2604" s="29" t="n">
        <v>236838214</v>
      </c>
      <c r="X2604" s="3" t="n">
        <f aca="false">IF(W2604="","",LN(W2604))</f>
        <v>19.2828878246435</v>
      </c>
      <c r="Y2604" s="3" t="n">
        <f aca="false">IF(X2604="","",X2604-AVERAGEIFS($X$2:$X$2705,$B$2:$B$2705,B2604))</f>
        <v>0.573038605793887</v>
      </c>
      <c r="Z2604" s="21" t="n">
        <f aca="false">P2604</f>
        <v>1.61856951388607</v>
      </c>
      <c r="AA2604" s="3" t="n">
        <f aca="false">R2604</f>
        <v>0</v>
      </c>
      <c r="AB2604" s="21" t="n">
        <f aca="false">P2604</f>
        <v>1.61856951388607</v>
      </c>
      <c r="AC2604" s="3" t="n">
        <f aca="false">Y2604</f>
        <v>0.573038605793887</v>
      </c>
      <c r="AD2604" s="3" t="n">
        <f aca="false">R2604</f>
        <v>0</v>
      </c>
    </row>
    <row r="2605" customFormat="false" ht="15" hidden="false" customHeight="true" outlineLevel="0" collapsed="false">
      <c r="A2605" s="7" t="s">
        <v>69</v>
      </c>
      <c r="B2605" s="7" t="n">
        <v>2022</v>
      </c>
      <c r="C2605" s="7" t="s">
        <v>253</v>
      </c>
      <c r="D2605" s="7" t="n">
        <v>60</v>
      </c>
      <c r="E2605" s="7" t="n">
        <v>102</v>
      </c>
      <c r="F2605" s="3" t="n">
        <f aca="false">COUNTIFS($B$2:$B$2705,B2605,$C$2:$C$2705,C2605)</f>
        <v>1</v>
      </c>
      <c r="G2605" s="3" t="n">
        <f aca="false">MIN(INT((MIN(B2605,2020)-1900)/10)+1,12)</f>
        <v>12</v>
      </c>
      <c r="H2605" s="3" t="n">
        <f aca="false">(MIN(B2605,2020)-1900-10*(G2605-1))/10</f>
        <v>1</v>
      </c>
      <c r="I2605" s="20" t="n">
        <f aca="false">EXP(LN(INDEX(Pop_Inputs!$B$2:$N$29,MATCH(C2605,Pop_Inputs!$A$2:$A$29,0),G2605))*(1-H2605)+LN(INDEX(Pop_Inputs!$B$2:$N$29,MATCH(C2605,Pop_Inputs!$A$2:$A$29,0),G2605+1))*H2605)</f>
        <v>440646</v>
      </c>
      <c r="J2605" s="20" t="n">
        <f aca="false">I2605/F2605</f>
        <v>440646</v>
      </c>
      <c r="K2605" s="21" t="n">
        <f aca="false">D2605/(D2605+E2605)</f>
        <v>0.37037037037037</v>
      </c>
      <c r="L2605" s="21" t="n">
        <f aca="false">AVERAGEIFS($K$2:$K$2705,$B$2:$B$2705,B2605)</f>
        <v>0.5</v>
      </c>
      <c r="M2605" s="21" t="n">
        <f aca="false">K2605-L2605</f>
        <v>-0.12962962962963</v>
      </c>
      <c r="N2605" s="21" t="n">
        <f aca="false">LN(J2605)</f>
        <v>12.9959971109875</v>
      </c>
      <c r="O2605" s="21" t="n">
        <f aca="false">AVERAGEIFS($N$2:$N$2705,$B$2:$B$2705,B2605)</f>
        <v>13.6790216080491</v>
      </c>
      <c r="P2605" s="21" t="n">
        <f aca="false">N2605-O2605</f>
        <v>-0.683024497061645</v>
      </c>
      <c r="Q2605" s="7" t="n">
        <v>0</v>
      </c>
      <c r="R2605" s="3" t="n">
        <f aca="false">IF(AND(Q2605=1,B2605-_xlfn.MINIFS($B$2:$B$2705,$A$2:$A$2705,A2605)&lt;10),1,0)</f>
        <v>0</v>
      </c>
      <c r="S2605" s="7" t="n">
        <v>0</v>
      </c>
      <c r="T2605" s="3" t="n">
        <f aca="false">_xlfn.MINIFS($B$2:$B$2705,$A$2:$A$2705,A2605)</f>
        <v>1901</v>
      </c>
      <c r="U2605" s="3" t="n">
        <f aca="false">B2605-T2605</f>
        <v>121</v>
      </c>
      <c r="V2605" s="3" t="str">
        <f aca="false">INDEX(Pop_Inputs!$Q$2:$Q$29,MATCH(C2605,Pop_Inputs!$A$2:$A$29,0))</f>
        <v>West</v>
      </c>
      <c r="W2605" s="29" t="n">
        <v>48056154</v>
      </c>
      <c r="X2605" s="3" t="n">
        <f aca="false">IF(W2605="","",LN(W2605))</f>
        <v>17.6878807601016</v>
      </c>
      <c r="Y2605" s="3" t="n">
        <f aca="false">IF(X2605="","",X2605-AVERAGEIFS($X$2:$X$2705,$B$2:$B$2705,B2605))</f>
        <v>-1.02196845874797</v>
      </c>
      <c r="Z2605" s="21" t="n">
        <f aca="false">P2605</f>
        <v>-0.683024497061645</v>
      </c>
      <c r="AA2605" s="3" t="n">
        <f aca="false">R2605</f>
        <v>0</v>
      </c>
      <c r="AB2605" s="21" t="n">
        <f aca="false">P2605</f>
        <v>-0.683024497061645</v>
      </c>
      <c r="AC2605" s="3" t="n">
        <f aca="false">Y2605</f>
        <v>-1.02196845874797</v>
      </c>
      <c r="AD2605" s="3" t="n">
        <f aca="false">R2605</f>
        <v>0</v>
      </c>
    </row>
    <row r="2606" customFormat="false" ht="15" hidden="false" customHeight="true" outlineLevel="0" collapsed="false">
      <c r="A2606" s="7" t="s">
        <v>60</v>
      </c>
      <c r="B2606" s="7" t="n">
        <v>2022</v>
      </c>
      <c r="C2606" s="7" t="s">
        <v>146</v>
      </c>
      <c r="D2606" s="7" t="n">
        <v>87</v>
      </c>
      <c r="E2606" s="7" t="n">
        <v>75</v>
      </c>
      <c r="F2606" s="3" t="n">
        <f aca="false">COUNTIFS($B$2:$B$2705,B2606,$C$2:$C$2705,C2606)</f>
        <v>1</v>
      </c>
      <c r="G2606" s="3" t="n">
        <f aca="false">MIN(INT((MIN(B2606,2020)-1900)/10)+1,12)</f>
        <v>12</v>
      </c>
      <c r="H2606" s="3" t="n">
        <f aca="false">(MIN(B2606,2020)-1900-10*(G2606-1))/10</f>
        <v>1</v>
      </c>
      <c r="I2606" s="20" t="n">
        <f aca="false">EXP(LN(INDEX(Pop_Inputs!$B$2:$N$29,MATCH(C2606,Pop_Inputs!$A$2:$A$29,0),G2606))*(1-H2606)+LN(INDEX(Pop_Inputs!$B$2:$N$29,MATCH(C2606,Pop_Inputs!$A$2:$A$29,0),G2606+1))*H2606)</f>
        <v>1603797</v>
      </c>
      <c r="J2606" s="20" t="n">
        <f aca="false">I2606/F2606</f>
        <v>1603797</v>
      </c>
      <c r="K2606" s="21" t="n">
        <f aca="false">D2606/(D2606+E2606)</f>
        <v>0.537037037037037</v>
      </c>
      <c r="L2606" s="21" t="n">
        <f aca="false">AVERAGEIFS($K$2:$K$2705,$B$2:$B$2705,B2606)</f>
        <v>0.5</v>
      </c>
      <c r="M2606" s="21" t="n">
        <f aca="false">K2606-L2606</f>
        <v>0.0370370370370371</v>
      </c>
      <c r="N2606" s="21" t="n">
        <f aca="false">LN(J2606)</f>
        <v>14.2878845007959</v>
      </c>
      <c r="O2606" s="21" t="n">
        <f aca="false">AVERAGEIFS($N$2:$N$2705,$B$2:$B$2705,B2606)</f>
        <v>13.6790216080491</v>
      </c>
      <c r="P2606" s="21" t="n">
        <f aca="false">N2606-O2606</f>
        <v>0.608862892746789</v>
      </c>
      <c r="Q2606" s="7" t="n">
        <v>0</v>
      </c>
      <c r="R2606" s="3" t="n">
        <f aca="false">IF(AND(Q2606=1,B2606-_xlfn.MINIFS($B$2:$B$2705,$A$2:$A$2705,A2606)&lt;10),1,0)</f>
        <v>0</v>
      </c>
      <c r="S2606" s="7" t="n">
        <v>0</v>
      </c>
      <c r="T2606" s="3" t="n">
        <f aca="false">_xlfn.MINIFS($B$2:$B$2705,$A$2:$A$2705,A2606)</f>
        <v>1901</v>
      </c>
      <c r="U2606" s="3" t="n">
        <f aca="false">B2606-T2606</f>
        <v>121</v>
      </c>
      <c r="V2606" s="3" t="str">
        <f aca="false">INDEX(Pop_Inputs!$Q$2:$Q$29,MATCH(C2606,Pop_Inputs!$A$2:$A$29,0))</f>
        <v>Northeast</v>
      </c>
      <c r="W2606" s="29" t="n">
        <v>224448846</v>
      </c>
      <c r="X2606" s="3" t="n">
        <f aca="false">IF(W2606="","",LN(W2606))</f>
        <v>19.2291583817221</v>
      </c>
      <c r="Y2606" s="3" t="n">
        <f aca="false">IF(X2606="","",X2606-AVERAGEIFS($X$2:$X$2705,$B$2:$B$2705,B2606))</f>
        <v>0.519309162872496</v>
      </c>
      <c r="Z2606" s="21" t="n">
        <f aca="false">P2606</f>
        <v>0.608862892746789</v>
      </c>
      <c r="AA2606" s="3" t="n">
        <f aca="false">R2606</f>
        <v>0</v>
      </c>
      <c r="AB2606" s="21" t="n">
        <f aca="false">P2606</f>
        <v>0.608862892746789</v>
      </c>
      <c r="AC2606" s="3" t="n">
        <f aca="false">Y2606</f>
        <v>0.519309162872496</v>
      </c>
      <c r="AD2606" s="3" t="n">
        <f aca="false">R2606</f>
        <v>0</v>
      </c>
    </row>
    <row r="2607" customFormat="false" ht="15" hidden="false" customHeight="true" outlineLevel="0" collapsed="false">
      <c r="A2607" s="7" t="s">
        <v>58</v>
      </c>
      <c r="B2607" s="7" t="n">
        <v>2022</v>
      </c>
      <c r="C2607" s="7" t="s">
        <v>144</v>
      </c>
      <c r="D2607" s="7" t="n">
        <v>62</v>
      </c>
      <c r="E2607" s="7" t="n">
        <v>100</v>
      </c>
      <c r="F2607" s="3" t="n">
        <f aca="false">COUNTIFS($B$2:$B$2705,B2607,$C$2:$C$2705,C2607)</f>
        <v>1</v>
      </c>
      <c r="G2607" s="3" t="n">
        <f aca="false">MIN(INT((MIN(B2607,2020)-1900)/10)+1,12)</f>
        <v>12</v>
      </c>
      <c r="H2607" s="3" t="n">
        <f aca="false">(MIN(B2607,2020)-1900-10*(G2607-1))/10</f>
        <v>1</v>
      </c>
      <c r="I2607" s="20" t="n">
        <f aca="false">EXP(LN(INDEX(Pop_Inputs!$B$2:$N$29,MATCH(C2607,Pop_Inputs!$A$2:$A$29,0),G2607))*(1-H2607)+LN(INDEX(Pop_Inputs!$B$2:$N$29,MATCH(C2607,Pop_Inputs!$A$2:$A$29,0),G2607+1))*H2607)</f>
        <v>302971</v>
      </c>
      <c r="J2607" s="20" t="n">
        <f aca="false">I2607/F2607</f>
        <v>302971</v>
      </c>
      <c r="K2607" s="21" t="n">
        <f aca="false">D2607/(D2607+E2607)</f>
        <v>0.382716049382716</v>
      </c>
      <c r="L2607" s="21" t="n">
        <f aca="false">AVERAGEIFS($K$2:$K$2705,$B$2:$B$2705,B2607)</f>
        <v>0.5</v>
      </c>
      <c r="M2607" s="21" t="n">
        <f aca="false">K2607-L2607</f>
        <v>-0.117283950617284</v>
      </c>
      <c r="N2607" s="21" t="n">
        <f aca="false">LN(J2607)</f>
        <v>12.6213923703401</v>
      </c>
      <c r="O2607" s="21" t="n">
        <f aca="false">AVERAGEIFS($N$2:$N$2705,$B$2:$B$2705,B2607)</f>
        <v>13.6790216080491</v>
      </c>
      <c r="P2607" s="21" t="n">
        <f aca="false">N2607-O2607</f>
        <v>-1.057629237709</v>
      </c>
      <c r="Q2607" s="7" t="n">
        <v>0</v>
      </c>
      <c r="R2607" s="3" t="n">
        <f aca="false">IF(AND(Q2607=1,B2607-_xlfn.MINIFS($B$2:$B$2705,$A$2:$A$2705,A2607)&lt;10),1,0)</f>
        <v>0</v>
      </c>
      <c r="S2607" s="7" t="n">
        <v>0</v>
      </c>
      <c r="T2607" s="3" t="n">
        <f aca="false">_xlfn.MINIFS($B$2:$B$2705,$A$2:$A$2705,A2607)</f>
        <v>1901</v>
      </c>
      <c r="U2607" s="3" t="n">
        <f aca="false">B2607-T2607</f>
        <v>121</v>
      </c>
      <c r="V2607" s="3" t="str">
        <f aca="false">INDEX(Pop_Inputs!$Q$2:$Q$29,MATCH(C2607,Pop_Inputs!$A$2:$A$29,0))</f>
        <v>Northeast</v>
      </c>
      <c r="W2607" s="29" t="n">
        <v>61661800</v>
      </c>
      <c r="X2607" s="3" t="n">
        <f aca="false">IF(W2607="","",LN(W2607))</f>
        <v>17.9371751723413</v>
      </c>
      <c r="Y2607" s="3" t="n">
        <f aca="false">IF(X2607="","",X2607-AVERAGEIFS($X$2:$X$2705,$B$2:$B$2705,B2607))</f>
        <v>-0.7726740465083</v>
      </c>
      <c r="Z2607" s="21" t="n">
        <f aca="false">P2607</f>
        <v>-1.057629237709</v>
      </c>
      <c r="AA2607" s="3" t="n">
        <f aca="false">R2607</f>
        <v>0</v>
      </c>
      <c r="AB2607" s="21" t="n">
        <f aca="false">P2607</f>
        <v>-1.057629237709</v>
      </c>
      <c r="AC2607" s="3" t="n">
        <f aca="false">Y2607</f>
        <v>-0.7726740465083</v>
      </c>
      <c r="AD2607" s="3" t="n">
        <f aca="false">R2607</f>
        <v>0</v>
      </c>
    </row>
    <row r="2608" customFormat="false" ht="15" hidden="false" customHeight="true" outlineLevel="0" collapsed="false">
      <c r="A2608" s="7" t="s">
        <v>78</v>
      </c>
      <c r="B2608" s="7" t="n">
        <v>2022</v>
      </c>
      <c r="C2608" s="7" t="s">
        <v>159</v>
      </c>
      <c r="D2608" s="7" t="n">
        <v>89</v>
      </c>
      <c r="E2608" s="7" t="n">
        <v>73</v>
      </c>
      <c r="F2608" s="3" t="n">
        <f aca="false">COUNTIFS($B$2:$B$2705,B2608,$C$2:$C$2705,C2608)</f>
        <v>1</v>
      </c>
      <c r="G2608" s="3" t="n">
        <f aca="false">MIN(INT((MIN(B2608,2020)-1900)/10)+1,12)</f>
        <v>12</v>
      </c>
      <c r="H2608" s="3" t="n">
        <f aca="false">(MIN(B2608,2020)-1900-10*(G2608-1))/10</f>
        <v>1</v>
      </c>
      <c r="I2608" s="20" t="n">
        <f aca="false">EXP(LN(INDEX(Pop_Inputs!$B$2:$N$29,MATCH(C2608,Pop_Inputs!$A$2:$A$29,0),G2608))*(1-H2608)+LN(INDEX(Pop_Inputs!$B$2:$N$29,MATCH(C2608,Pop_Inputs!$A$2:$A$29,0),G2608+1))*H2608)</f>
        <v>1386932</v>
      </c>
      <c r="J2608" s="20" t="n">
        <f aca="false">I2608/F2608</f>
        <v>1386932</v>
      </c>
      <c r="K2608" s="21" t="n">
        <f aca="false">D2608/(D2608+E2608)</f>
        <v>0.549382716049383</v>
      </c>
      <c r="L2608" s="21" t="n">
        <f aca="false">AVERAGEIFS($K$2:$K$2705,$B$2:$B$2705,B2608)</f>
        <v>0.5</v>
      </c>
      <c r="M2608" s="21" t="n">
        <f aca="false">K2608-L2608</f>
        <v>0.0493827160493827</v>
      </c>
      <c r="N2608" s="21" t="n">
        <f aca="false">LN(J2608)</f>
        <v>14.1426046714188</v>
      </c>
      <c r="O2608" s="21" t="n">
        <f aca="false">AVERAGEIFS($N$2:$N$2705,$B$2:$B$2705,B2608)</f>
        <v>13.6790216080491</v>
      </c>
      <c r="P2608" s="21" t="n">
        <f aca="false">N2608-O2608</f>
        <v>0.463583063369741</v>
      </c>
      <c r="Q2608" s="7" t="n">
        <v>1</v>
      </c>
      <c r="R2608" s="3" t="n">
        <f aca="false">IF(AND(Q2608=1,B2608-_xlfn.MINIFS($B$2:$B$2705,$A$2:$A$2705,A2608)&lt;10),1,0)</f>
        <v>0</v>
      </c>
      <c r="S2608" s="7" t="n">
        <v>0</v>
      </c>
      <c r="T2608" s="3" t="n">
        <f aca="false">_xlfn.MINIFS($B$2:$B$2705,$A$2:$A$2705,A2608)</f>
        <v>1969</v>
      </c>
      <c r="U2608" s="3" t="n">
        <f aca="false">B2608-T2608</f>
        <v>53</v>
      </c>
      <c r="V2608" s="3" t="str">
        <f aca="false">INDEX(Pop_Inputs!$Q$2:$Q$29,MATCH(C2608,Pop_Inputs!$A$2:$A$29,0))</f>
        <v>West</v>
      </c>
      <c r="W2608" s="29" t="n">
        <v>211968286</v>
      </c>
      <c r="X2608" s="3" t="n">
        <f aca="false">IF(W2608="","",LN(W2608))</f>
        <v>19.1719472271063</v>
      </c>
      <c r="Y2608" s="3" t="n">
        <f aca="false">IF(X2608="","",X2608-AVERAGEIFS($X$2:$X$2705,$B$2:$B$2705,B2608))</f>
        <v>0.462098008256707</v>
      </c>
      <c r="Z2608" s="21" t="n">
        <f aca="false">P2608</f>
        <v>0.463583063369741</v>
      </c>
      <c r="AA2608" s="3" t="n">
        <f aca="false">R2608</f>
        <v>0</v>
      </c>
      <c r="AB2608" s="21" t="n">
        <f aca="false">P2608</f>
        <v>0.463583063369741</v>
      </c>
      <c r="AC2608" s="3" t="n">
        <f aca="false">Y2608</f>
        <v>0.462098008256707</v>
      </c>
      <c r="AD2608" s="3" t="n">
        <f aca="false">R2608</f>
        <v>0</v>
      </c>
    </row>
    <row r="2609" customFormat="false" ht="15" hidden="false" customHeight="true" outlineLevel="0" collapsed="false">
      <c r="A2609" s="7" t="s">
        <v>80</v>
      </c>
      <c r="B2609" s="7" t="n">
        <v>2022</v>
      </c>
      <c r="C2609" s="7" t="s">
        <v>161</v>
      </c>
      <c r="D2609" s="7" t="n">
        <v>90</v>
      </c>
      <c r="E2609" s="7" t="n">
        <v>72</v>
      </c>
      <c r="F2609" s="3" t="n">
        <f aca="false">COUNTIFS($B$2:$B$2705,B2609,$C$2:$C$2705,C2609)</f>
        <v>1</v>
      </c>
      <c r="G2609" s="3" t="n">
        <f aca="false">MIN(INT((MIN(B2609,2020)-1900)/10)+1,12)</f>
        <v>12</v>
      </c>
      <c r="H2609" s="3" t="n">
        <f aca="false">(MIN(B2609,2020)-1900-10*(G2609-1))/10</f>
        <v>1</v>
      </c>
      <c r="I2609" s="20" t="n">
        <f aca="false">EXP(LN(INDEX(Pop_Inputs!$B$2:$N$29,MATCH(C2609,Pop_Inputs!$A$2:$A$29,0),G2609))*(1-H2609)+LN(INDEX(Pop_Inputs!$B$2:$N$29,MATCH(C2609,Pop_Inputs!$A$2:$A$29,0),G2609+1))*H2609)</f>
        <v>737015</v>
      </c>
      <c r="J2609" s="20" t="n">
        <f aca="false">I2609/F2609</f>
        <v>737015</v>
      </c>
      <c r="K2609" s="21" t="n">
        <f aca="false">D2609/(D2609+E2609)</f>
        <v>0.555555555555556</v>
      </c>
      <c r="L2609" s="21" t="n">
        <f aca="false">AVERAGEIFS($K$2:$K$2705,$B$2:$B$2705,B2609)</f>
        <v>0.5</v>
      </c>
      <c r="M2609" s="21" t="n">
        <f aca="false">K2609-L2609</f>
        <v>0.0555555555555556</v>
      </c>
      <c r="N2609" s="21" t="n">
        <f aca="false">LN(J2609)</f>
        <v>13.5103635237459</v>
      </c>
      <c r="O2609" s="21" t="n">
        <f aca="false">AVERAGEIFS($N$2:$N$2705,$B$2:$B$2705,B2609)</f>
        <v>13.6790216080491</v>
      </c>
      <c r="P2609" s="21" t="n">
        <f aca="false">N2609-O2609</f>
        <v>-0.168658084303196</v>
      </c>
      <c r="Q2609" s="7" t="n">
        <v>1</v>
      </c>
      <c r="R2609" s="3" t="n">
        <f aca="false">IF(AND(Q2609=1,B2609-_xlfn.MINIFS($B$2:$B$2705,$A$2:$A$2705,A2609)&lt;10),1,0)</f>
        <v>0</v>
      </c>
      <c r="S2609" s="7" t="n">
        <v>0</v>
      </c>
      <c r="T2609" s="3" t="n">
        <f aca="false">_xlfn.MINIFS($B$2:$B$2705,$A$2:$A$2705,A2609)</f>
        <v>1977</v>
      </c>
      <c r="U2609" s="3" t="n">
        <f aca="false">B2609-T2609</f>
        <v>45</v>
      </c>
      <c r="V2609" s="3" t="str">
        <f aca="false">INDEX(Pop_Inputs!$Q$2:$Q$29,MATCH(C2609,Pop_Inputs!$A$2:$A$29,0))</f>
        <v>West</v>
      </c>
      <c r="W2609" s="29" t="n">
        <v>104635506</v>
      </c>
      <c r="X2609" s="3" t="n">
        <f aca="false">IF(W2609="","",LN(W2609))</f>
        <v>18.4659934975032</v>
      </c>
      <c r="Y2609" s="3" t="n">
        <f aca="false">IF(X2609="","",X2609-AVERAGEIFS($X$2:$X$2705,$B$2:$B$2705,B2609))</f>
        <v>-0.243855721346414</v>
      </c>
      <c r="Z2609" s="21" t="n">
        <f aca="false">P2609</f>
        <v>-0.168658084303196</v>
      </c>
      <c r="AA2609" s="3" t="n">
        <f aca="false">R2609</f>
        <v>0</v>
      </c>
      <c r="AB2609" s="21" t="n">
        <f aca="false">P2609</f>
        <v>-0.168658084303196</v>
      </c>
      <c r="AC2609" s="3" t="n">
        <f aca="false">Y2609</f>
        <v>-0.243855721346414</v>
      </c>
      <c r="AD2609" s="3" t="n">
        <f aca="false">R2609</f>
        <v>0</v>
      </c>
    </row>
    <row r="2610" customFormat="false" ht="15" hidden="false" customHeight="true" outlineLevel="0" collapsed="false">
      <c r="A2610" s="7" t="s">
        <v>61</v>
      </c>
      <c r="B2610" s="7" t="n">
        <v>2022</v>
      </c>
      <c r="C2610" s="7" t="s">
        <v>147</v>
      </c>
      <c r="D2610" s="7" t="n">
        <v>81</v>
      </c>
      <c r="E2610" s="7" t="n">
        <v>81</v>
      </c>
      <c r="F2610" s="3" t="n">
        <f aca="false">COUNTIFS($B$2:$B$2705,B2610,$C$2:$C$2705,C2610)</f>
        <v>1</v>
      </c>
      <c r="G2610" s="3" t="n">
        <f aca="false">MIN(INT((MIN(B2610,2020)-1900)/10)+1,12)</f>
        <v>12</v>
      </c>
      <c r="H2610" s="3" t="n">
        <f aca="false">(MIN(B2610,2020)-1900-10*(G2610-1))/10</f>
        <v>1</v>
      </c>
      <c r="I2610" s="20" t="n">
        <f aca="false">EXP(LN(INDEX(Pop_Inputs!$B$2:$N$29,MATCH(C2610,Pop_Inputs!$A$2:$A$29,0),G2610))*(1-H2610)+LN(INDEX(Pop_Inputs!$B$2:$N$29,MATCH(C2610,Pop_Inputs!$A$2:$A$29,0),G2610+1))*H2610)</f>
        <v>873965</v>
      </c>
      <c r="J2610" s="20" t="n">
        <f aca="false">I2610/F2610</f>
        <v>873965</v>
      </c>
      <c r="K2610" s="21" t="n">
        <f aca="false">D2610/(D2610+E2610)</f>
        <v>0.5</v>
      </c>
      <c r="L2610" s="21" t="n">
        <f aca="false">AVERAGEIFS($K$2:$K$2705,$B$2:$B$2705,B2610)</f>
        <v>0.5</v>
      </c>
      <c r="M2610" s="21" t="n">
        <f aca="false">K2610-L2610</f>
        <v>0</v>
      </c>
      <c r="N2610" s="21" t="n">
        <f aca="false">LN(J2610)</f>
        <v>13.6807956080692</v>
      </c>
      <c r="O2610" s="21" t="n">
        <f aca="false">AVERAGEIFS($N$2:$N$2705,$B$2:$B$2705,B2610)</f>
        <v>13.6790216080491</v>
      </c>
      <c r="P2610" s="21" t="n">
        <f aca="false">N2610-O2610</f>
        <v>0.00177400002012718</v>
      </c>
      <c r="Q2610" s="7" t="n">
        <v>0</v>
      </c>
      <c r="R2610" s="3" t="n">
        <f aca="false">IF(AND(Q2610=1,B2610-_xlfn.MINIFS($B$2:$B$2705,$A$2:$A$2705,A2610)&lt;10),1,0)</f>
        <v>0</v>
      </c>
      <c r="S2610" s="7" t="n">
        <v>0</v>
      </c>
      <c r="T2610" s="3" t="n">
        <f aca="false">_xlfn.MINIFS($B$2:$B$2705,$A$2:$A$2705,A2610)</f>
        <v>1901</v>
      </c>
      <c r="U2610" s="3" t="n">
        <f aca="false">B2610-T2610</f>
        <v>121</v>
      </c>
      <c r="V2610" s="3" t="str">
        <f aca="false">INDEX(Pop_Inputs!$Q$2:$Q$29,MATCH(C2610,Pop_Inputs!$A$2:$A$29,0))</f>
        <v>West</v>
      </c>
      <c r="W2610" s="29" t="n">
        <v>157870187</v>
      </c>
      <c r="X2610" s="3" t="n">
        <f aca="false">IF(W2610="","",LN(W2610))</f>
        <v>18.8772836520261</v>
      </c>
      <c r="Y2610" s="3" t="n">
        <f aca="false">IF(X2610="","",X2610-AVERAGEIFS($X$2:$X$2705,$B$2:$B$2705,B2610))</f>
        <v>0.167434433176506</v>
      </c>
      <c r="Z2610" s="21" t="n">
        <f aca="false">P2610</f>
        <v>0.00177400002012718</v>
      </c>
      <c r="AA2610" s="3" t="n">
        <f aca="false">R2610</f>
        <v>0</v>
      </c>
      <c r="AB2610" s="21" t="n">
        <f aca="false">P2610</f>
        <v>0.00177400002012718</v>
      </c>
      <c r="AC2610" s="3" t="n">
        <f aca="false">Y2610</f>
        <v>0.167434433176506</v>
      </c>
      <c r="AD2610" s="3" t="n">
        <f aca="false">R2610</f>
        <v>0</v>
      </c>
    </row>
    <row r="2611" customFormat="false" ht="15" hidden="false" customHeight="true" outlineLevel="0" collapsed="false">
      <c r="A2611" s="7" t="s">
        <v>59</v>
      </c>
      <c r="B2611" s="7" t="n">
        <v>2022</v>
      </c>
      <c r="C2611" s="7" t="s">
        <v>145</v>
      </c>
      <c r="D2611" s="7" t="n">
        <v>93</v>
      </c>
      <c r="E2611" s="7" t="n">
        <v>69</v>
      </c>
      <c r="F2611" s="3" t="n">
        <f aca="false">COUNTIFS($B$2:$B$2705,B2611,$C$2:$C$2705,C2611)</f>
        <v>1</v>
      </c>
      <c r="G2611" s="3" t="n">
        <f aca="false">MIN(INT((MIN(B2611,2020)-1900)/10)+1,12)</f>
        <v>12</v>
      </c>
      <c r="H2611" s="3" t="n">
        <f aca="false">(MIN(B2611,2020)-1900-10*(G2611-1))/10</f>
        <v>1</v>
      </c>
      <c r="I2611" s="20" t="n">
        <f aca="false">EXP(LN(INDEX(Pop_Inputs!$B$2:$N$29,MATCH(C2611,Pop_Inputs!$A$2:$A$29,0),G2611))*(1-H2611)+LN(INDEX(Pop_Inputs!$B$2:$N$29,MATCH(C2611,Pop_Inputs!$A$2:$A$29,0),G2611+1))*H2611)</f>
        <v>301578</v>
      </c>
      <c r="J2611" s="20" t="n">
        <f aca="false">I2611/F2611</f>
        <v>301578</v>
      </c>
      <c r="K2611" s="21" t="n">
        <f aca="false">D2611/(D2611+E2611)</f>
        <v>0.574074074074074</v>
      </c>
      <c r="L2611" s="21" t="n">
        <f aca="false">AVERAGEIFS($K$2:$K$2705,$B$2:$B$2705,B2611)</f>
        <v>0.5</v>
      </c>
      <c r="M2611" s="21" t="n">
        <f aca="false">K2611-L2611</f>
        <v>0.0740740740740741</v>
      </c>
      <c r="N2611" s="21" t="n">
        <f aca="false">LN(J2611)</f>
        <v>12.6167839681583</v>
      </c>
      <c r="O2611" s="21" t="n">
        <f aca="false">AVERAGEIFS($N$2:$N$2705,$B$2:$B$2705,B2611)</f>
        <v>13.6790216080491</v>
      </c>
      <c r="P2611" s="21" t="n">
        <f aca="false">N2611-O2611</f>
        <v>-1.06223763989081</v>
      </c>
      <c r="Q2611" s="7" t="n">
        <v>0</v>
      </c>
      <c r="R2611" s="3" t="n">
        <f aca="false">IF(AND(Q2611=1,B2611-_xlfn.MINIFS($B$2:$B$2705,$A$2:$A$2705,A2611)&lt;10),1,0)</f>
        <v>0</v>
      </c>
      <c r="S2611" s="7" t="n">
        <v>0</v>
      </c>
      <c r="T2611" s="3" t="n">
        <f aca="false">_xlfn.MINIFS($B$2:$B$2705,$A$2:$A$2705,A2611)</f>
        <v>1901</v>
      </c>
      <c r="U2611" s="3" t="n">
        <f aca="false">B2611-T2611</f>
        <v>121</v>
      </c>
      <c r="V2611" s="3" t="str">
        <f aca="false">INDEX(Pop_Inputs!$Q$2:$Q$29,MATCH(C2611,Pop_Inputs!$A$2:$A$29,0))</f>
        <v>Midwest</v>
      </c>
      <c r="W2611" s="29" t="n">
        <v>158196330</v>
      </c>
      <c r="X2611" s="3" t="n">
        <f aca="false">IF(W2611="","",LN(W2611))</f>
        <v>18.8793474145458</v>
      </c>
      <c r="Y2611" s="3" t="n">
        <f aca="false">IF(X2611="","",X2611-AVERAGEIFS($X$2:$X$2705,$B$2:$B$2705,B2611))</f>
        <v>0.169498195696196</v>
      </c>
      <c r="Z2611" s="21" t="n">
        <f aca="false">P2611</f>
        <v>-1.06223763989081</v>
      </c>
      <c r="AA2611" s="3" t="n">
        <f aca="false">R2611</f>
        <v>0</v>
      </c>
      <c r="AB2611" s="21" t="n">
        <f aca="false">P2611</f>
        <v>-1.06223763989081</v>
      </c>
      <c r="AC2611" s="3" t="n">
        <f aca="false">Y2611</f>
        <v>0.169498195696196</v>
      </c>
      <c r="AD2611" s="3" t="n">
        <f aca="false">R2611</f>
        <v>0</v>
      </c>
    </row>
    <row r="2612" customFormat="false" ht="15" hidden="false" customHeight="true" outlineLevel="0" collapsed="false">
      <c r="A2612" s="7" t="s">
        <v>85</v>
      </c>
      <c r="B2612" s="7" t="n">
        <v>2022</v>
      </c>
      <c r="C2612" s="7" t="s">
        <v>166</v>
      </c>
      <c r="D2612" s="7" t="n">
        <v>86</v>
      </c>
      <c r="E2612" s="7" t="n">
        <v>76</v>
      </c>
      <c r="F2612" s="3" t="n">
        <f aca="false">COUNTIFS($B$2:$B$2705,B2612,$C$2:$C$2705,C2612)</f>
        <v>1</v>
      </c>
      <c r="G2612" s="3" t="n">
        <f aca="false">MIN(INT((MIN(B2612,2020)-1900)/10)+1,12)</f>
        <v>12</v>
      </c>
      <c r="H2612" s="3" t="n">
        <f aca="false">(MIN(B2612,2020)-1900-10*(G2612-1))/10</f>
        <v>1</v>
      </c>
      <c r="I2612" s="20" t="n">
        <f aca="false">EXP(LN(INDEX(Pop_Inputs!$B$2:$N$29,MATCH(C2612,Pop_Inputs!$A$2:$A$29,0),G2612))*(1-H2612)+LN(INDEX(Pop_Inputs!$B$2:$N$29,MATCH(C2612,Pop_Inputs!$A$2:$A$29,0),G2612+1))*H2612)</f>
        <v>384959</v>
      </c>
      <c r="J2612" s="20" t="n">
        <f aca="false">I2612/F2612</f>
        <v>384959</v>
      </c>
      <c r="K2612" s="21" t="n">
        <f aca="false">D2612/(D2612+E2612)</f>
        <v>0.530864197530864</v>
      </c>
      <c r="L2612" s="21" t="n">
        <f aca="false">AVERAGEIFS($K$2:$K$2705,$B$2:$B$2705,B2612)</f>
        <v>0.5</v>
      </c>
      <c r="M2612" s="21" t="n">
        <f aca="false">K2612-L2612</f>
        <v>0.0308641975308642</v>
      </c>
      <c r="N2612" s="21" t="n">
        <f aca="false">LN(J2612)</f>
        <v>12.8608921140926</v>
      </c>
      <c r="O2612" s="21" t="n">
        <f aca="false">AVERAGEIFS($N$2:$N$2705,$B$2:$B$2705,B2612)</f>
        <v>13.6790216080491</v>
      </c>
      <c r="P2612" s="21" t="n">
        <f aca="false">N2612-O2612</f>
        <v>-0.81812949395651</v>
      </c>
      <c r="Q2612" s="7" t="n">
        <v>1</v>
      </c>
      <c r="R2612" s="3" t="n">
        <f aca="false">IF(AND(Q2612=1,B2612-_xlfn.MINIFS($B$2:$B$2705,$A$2:$A$2705,A2612)&lt;10),1,0)</f>
        <v>0</v>
      </c>
      <c r="S2612" s="7" t="n">
        <v>0</v>
      </c>
      <c r="T2612" s="3" t="n">
        <f aca="false">_xlfn.MINIFS($B$2:$B$2705,$A$2:$A$2705,A2612)</f>
        <v>1998</v>
      </c>
      <c r="U2612" s="3" t="n">
        <f aca="false">B2612-T2612</f>
        <v>24</v>
      </c>
      <c r="V2612" s="3" t="str">
        <f aca="false">INDEX(Pop_Inputs!$Q$2:$Q$29,MATCH(C2612,Pop_Inputs!$A$2:$A$29,0))</f>
        <v>South</v>
      </c>
      <c r="W2612" s="29" t="n">
        <v>83918585</v>
      </c>
      <c r="X2612" s="3" t="n">
        <f aca="false">IF(W2612="","",LN(W2612))</f>
        <v>18.2453576606137</v>
      </c>
      <c r="Y2612" s="3" t="n">
        <f aca="false">IF(X2612="","",X2612-AVERAGEIFS($X$2:$X$2705,$B$2:$B$2705,B2612))</f>
        <v>-0.46449155823592</v>
      </c>
      <c r="Z2612" s="21" t="n">
        <f aca="false">P2612</f>
        <v>-0.81812949395651</v>
      </c>
      <c r="AA2612" s="3" t="n">
        <f aca="false">R2612</f>
        <v>0</v>
      </c>
      <c r="AB2612" s="21" t="n">
        <f aca="false">P2612</f>
        <v>-0.81812949395651</v>
      </c>
      <c r="AC2612" s="3" t="n">
        <f aca="false">Y2612</f>
        <v>-0.46449155823592</v>
      </c>
      <c r="AD2612" s="3" t="n">
        <f aca="false">R2612</f>
        <v>0</v>
      </c>
    </row>
    <row r="2613" customFormat="false" ht="15" hidden="false" customHeight="true" outlineLevel="0" collapsed="false">
      <c r="A2613" s="7" t="s">
        <v>73</v>
      </c>
      <c r="B2613" s="7" t="n">
        <v>2022</v>
      </c>
      <c r="C2613" s="7" t="s">
        <v>155</v>
      </c>
      <c r="D2613" s="7" t="n">
        <v>68</v>
      </c>
      <c r="E2613" s="7" t="n">
        <v>94</v>
      </c>
      <c r="F2613" s="3" t="n">
        <f aca="false">COUNTIFS($B$2:$B$2705,B2613,$C$2:$C$2705,C2613)</f>
        <v>1</v>
      </c>
      <c r="G2613" s="3" t="n">
        <f aca="false">MIN(INT((MIN(B2613,2020)-1900)/10)+1,12)</f>
        <v>12</v>
      </c>
      <c r="H2613" s="3" t="n">
        <f aca="false">(MIN(B2613,2020)-1900-10*(G2613-1))/10</f>
        <v>1</v>
      </c>
      <c r="I2613" s="20" t="n">
        <f aca="false">EXP(LN(INDEX(Pop_Inputs!$B$2:$N$29,MATCH(C2613,Pop_Inputs!$A$2:$A$29,0),G2613))*(1-H2613)+LN(INDEX(Pop_Inputs!$B$2:$N$29,MATCH(C2613,Pop_Inputs!$A$2:$A$29,0),G2613+1))*H2613)</f>
        <v>1304379</v>
      </c>
      <c r="J2613" s="20" t="n">
        <f aca="false">I2613/F2613</f>
        <v>1304379</v>
      </c>
      <c r="K2613" s="21" t="n">
        <f aca="false">D2613/(D2613+E2613)</f>
        <v>0.419753086419753</v>
      </c>
      <c r="L2613" s="21" t="n">
        <f aca="false">AVERAGEIFS($K$2:$K$2705,$B$2:$B$2705,B2613)</f>
        <v>0.5</v>
      </c>
      <c r="M2613" s="21" t="n">
        <f aca="false">K2613-L2613</f>
        <v>-0.0802469135802469</v>
      </c>
      <c r="N2613" s="21" t="n">
        <f aca="false">LN(J2613)</f>
        <v>14.0812376234117</v>
      </c>
      <c r="O2613" s="21" t="n">
        <f aca="false">AVERAGEIFS($N$2:$N$2705,$B$2:$B$2705,B2613)</f>
        <v>13.6790216080491</v>
      </c>
      <c r="P2613" s="21" t="n">
        <f aca="false">N2613-O2613</f>
        <v>0.402216015362578</v>
      </c>
      <c r="Q2613" s="7" t="n">
        <v>1</v>
      </c>
      <c r="R2613" s="3" t="n">
        <f aca="false">IF(AND(Q2613=1,B2613-_xlfn.MINIFS($B$2:$B$2705,$A$2:$A$2705,A2613)&lt;10),1,0)</f>
        <v>0</v>
      </c>
      <c r="S2613" s="7" t="n">
        <v>0</v>
      </c>
      <c r="T2613" s="3" t="n">
        <f aca="false">_xlfn.MINIFS($B$2:$B$2705,$A$2:$A$2705,A2613)</f>
        <v>1961</v>
      </c>
      <c r="U2613" s="3" t="n">
        <f aca="false">B2613-T2613</f>
        <v>61</v>
      </c>
      <c r="V2613" s="3" t="str">
        <f aca="false">INDEX(Pop_Inputs!$Q$2:$Q$29,MATCH(C2613,Pop_Inputs!$A$2:$A$29,0))</f>
        <v>South</v>
      </c>
      <c r="W2613" s="29" t="n">
        <v>151477166</v>
      </c>
      <c r="X2613" s="3" t="n">
        <f aca="false">IF(W2613="","",LN(W2613))</f>
        <v>18.8359454520824</v>
      </c>
      <c r="Y2613" s="3" t="n">
        <f aca="false">IF(X2613="","",X2613-AVERAGEIFS($X$2:$X$2705,$B$2:$B$2705,B2613))</f>
        <v>0.126096233232822</v>
      </c>
      <c r="Z2613" s="21" t="n">
        <f aca="false">P2613</f>
        <v>0.402216015362578</v>
      </c>
      <c r="AA2613" s="3" t="n">
        <f aca="false">R2613</f>
        <v>0</v>
      </c>
      <c r="AB2613" s="21" t="n">
        <f aca="false">P2613</f>
        <v>0.402216015362578</v>
      </c>
      <c r="AC2613" s="3" t="n">
        <f aca="false">Y2613</f>
        <v>0.126096233232822</v>
      </c>
      <c r="AD2613" s="3" t="n">
        <f aca="false">R2613</f>
        <v>0</v>
      </c>
    </row>
    <row r="2614" customFormat="false" ht="15" hidden="false" customHeight="true" outlineLevel="0" collapsed="false">
      <c r="A2614" s="7" t="s">
        <v>81</v>
      </c>
      <c r="B2614" s="7" t="n">
        <v>2022</v>
      </c>
      <c r="C2614" s="7" t="s">
        <v>162</v>
      </c>
      <c r="D2614" s="7" t="n">
        <v>92</v>
      </c>
      <c r="E2614" s="7" t="n">
        <v>70</v>
      </c>
      <c r="F2614" s="3" t="n">
        <f aca="false">COUNTIFS($B$2:$B$2705,B2614,$C$2:$C$2705,C2614)</f>
        <v>1</v>
      </c>
      <c r="G2614" s="3" t="n">
        <f aca="false">MIN(INT((MIN(B2614,2020)-1900)/10)+1,12)</f>
        <v>12</v>
      </c>
      <c r="H2614" s="3" t="n">
        <f aca="false">(MIN(B2614,2020)-1900-10*(G2614-1))/10</f>
        <v>1</v>
      </c>
      <c r="I2614" s="20" t="n">
        <f aca="false">EXP(LN(INDEX(Pop_Inputs!$B$2:$N$29,MATCH(C2614,Pop_Inputs!$A$2:$A$29,0),G2614))*(1-H2614)+LN(INDEX(Pop_Inputs!$B$2:$N$29,MATCH(C2614,Pop_Inputs!$A$2:$A$29,0),G2614+1))*H2614)</f>
        <v>2794356</v>
      </c>
      <c r="J2614" s="20" t="n">
        <f aca="false">I2614/F2614</f>
        <v>2794356</v>
      </c>
      <c r="K2614" s="21" t="n">
        <f aca="false">D2614/(D2614+E2614)</f>
        <v>0.567901234567901</v>
      </c>
      <c r="L2614" s="21" t="n">
        <f aca="false">AVERAGEIFS($K$2:$K$2705,$B$2:$B$2705,B2614)</f>
        <v>0.5</v>
      </c>
      <c r="M2614" s="21" t="n">
        <f aca="false">K2614-L2614</f>
        <v>0.0679012345679012</v>
      </c>
      <c r="N2614" s="21" t="n">
        <f aca="false">LN(J2614)</f>
        <v>14.8431122265735</v>
      </c>
      <c r="O2614" s="21" t="n">
        <f aca="false">AVERAGEIFS($N$2:$N$2705,$B$2:$B$2705,B2614)</f>
        <v>13.6790216080491</v>
      </c>
      <c r="P2614" s="21" t="n">
        <f aca="false">N2614-O2614</f>
        <v>1.16409061852442</v>
      </c>
      <c r="Q2614" s="7" t="n">
        <v>1</v>
      </c>
      <c r="R2614" s="3" t="n">
        <f aca="false">IF(AND(Q2614=1,B2614-_xlfn.MINIFS($B$2:$B$2705,$A$2:$A$2705,A2614)&lt;10),1,0)</f>
        <v>0</v>
      </c>
      <c r="S2614" s="7" t="n">
        <v>0</v>
      </c>
      <c r="T2614" s="3" t="n">
        <f aca="false">_xlfn.MINIFS($B$2:$B$2705,$A$2:$A$2705,A2614)</f>
        <v>1977</v>
      </c>
      <c r="U2614" s="3" t="n">
        <f aca="false">B2614-T2614</f>
        <v>45</v>
      </c>
      <c r="V2614" s="3" t="str">
        <f aca="false">INDEX(Pop_Inputs!$Q$2:$Q$29,MATCH(C2614,Pop_Inputs!$A$2:$A$29,0))</f>
        <v>Canada</v>
      </c>
      <c r="W2614" s="29" t="n">
        <v>170740621</v>
      </c>
      <c r="X2614" s="3" t="n">
        <f aca="false">IF(W2614="","",LN(W2614))</f>
        <v>18.9556561266489</v>
      </c>
      <c r="Y2614" s="3" t="n">
        <f aca="false">IF(X2614="","",X2614-AVERAGEIFS($X$2:$X$2705,$B$2:$B$2705,B2614))</f>
        <v>0.245806907799267</v>
      </c>
      <c r="Z2614" s="21" t="n">
        <f aca="false">P2614</f>
        <v>1.16409061852442</v>
      </c>
      <c r="AA2614" s="3" t="n">
        <f aca="false">R2614</f>
        <v>0</v>
      </c>
      <c r="AB2614" s="21" t="n">
        <f aca="false">P2614</f>
        <v>1.16409061852442</v>
      </c>
      <c r="AC2614" s="3" t="n">
        <f aca="false">Y2614</f>
        <v>0.245806907799267</v>
      </c>
      <c r="AD2614" s="3" t="n">
        <f aca="false">R2614</f>
        <v>0</v>
      </c>
    </row>
    <row r="2615" customFormat="false" ht="15" hidden="false" customHeight="true" outlineLevel="0" collapsed="false">
      <c r="A2615" s="7" t="s">
        <v>79</v>
      </c>
      <c r="B2615" s="7" t="n">
        <v>2022</v>
      </c>
      <c r="C2615" s="7" t="s">
        <v>160</v>
      </c>
      <c r="D2615" s="7" t="n">
        <v>55</v>
      </c>
      <c r="E2615" s="7" t="n">
        <v>107</v>
      </c>
      <c r="F2615" s="3" t="n">
        <f aca="false">COUNTIFS($B$2:$B$2705,B2615,$C$2:$C$2705,C2615)</f>
        <v>1</v>
      </c>
      <c r="G2615" s="3" t="n">
        <f aca="false">MIN(INT((MIN(B2615,2020)-1900)/10)+1,12)</f>
        <v>12</v>
      </c>
      <c r="H2615" s="3" t="n">
        <f aca="false">(MIN(B2615,2020)-1900-10*(G2615-1))/10</f>
        <v>1</v>
      </c>
      <c r="I2615" s="20" t="n">
        <f aca="false">EXP(LN(INDEX(Pop_Inputs!$B$2:$N$29,MATCH(C2615,Pop_Inputs!$A$2:$A$29,0),G2615))*(1-H2615)+LN(INDEX(Pop_Inputs!$B$2:$N$29,MATCH(C2615,Pop_Inputs!$A$2:$A$29,0),G2615+1))*H2615)</f>
        <v>689545</v>
      </c>
      <c r="J2615" s="20" t="n">
        <f aca="false">I2615/F2615</f>
        <v>689545</v>
      </c>
      <c r="K2615" s="21" t="n">
        <f aca="false">D2615/(D2615+E2615)</f>
        <v>0.339506172839506</v>
      </c>
      <c r="L2615" s="21" t="n">
        <f aca="false">AVERAGEIFS($K$2:$K$2705,$B$2:$B$2705,B2615)</f>
        <v>0.5</v>
      </c>
      <c r="M2615" s="21" t="n">
        <f aca="false">K2615-L2615</f>
        <v>-0.160493827160494</v>
      </c>
      <c r="N2615" s="21" t="n">
        <f aca="false">LN(J2615)</f>
        <v>13.4437872387704</v>
      </c>
      <c r="O2615" s="21" t="n">
        <f aca="false">AVERAGEIFS($N$2:$N$2705,$B$2:$B$2705,B2615)</f>
        <v>13.6790216080491</v>
      </c>
      <c r="P2615" s="21" t="n">
        <f aca="false">N2615-O2615</f>
        <v>-0.2352343692787</v>
      </c>
      <c r="Q2615" s="7" t="n">
        <v>1</v>
      </c>
      <c r="R2615" s="3" t="n">
        <f aca="false">IF(AND(Q2615=1,B2615-_xlfn.MINIFS($B$2:$B$2705,$A$2:$A$2705,A2615)&lt;10),1,0)</f>
        <v>0</v>
      </c>
      <c r="S2615" s="7" t="n">
        <v>0</v>
      </c>
      <c r="T2615" s="3" t="n">
        <f aca="false">_xlfn.MINIFS($B$2:$B$2705,$A$2:$A$2705,A2615)</f>
        <v>1969</v>
      </c>
      <c r="U2615" s="3" t="n">
        <f aca="false">B2615-T2615</f>
        <v>53</v>
      </c>
      <c r="V2615" s="3" t="str">
        <f aca="false">INDEX(Pop_Inputs!$Q$2:$Q$29,MATCH(C2615,Pop_Inputs!$A$2:$A$29,0))</f>
        <v>South</v>
      </c>
      <c r="W2615" s="29" t="n">
        <v>135290221</v>
      </c>
      <c r="X2615" s="3" t="n">
        <f aca="false">IF(W2615="","",LN(W2615))</f>
        <v>18.7229328141062</v>
      </c>
      <c r="Y2615" s="3" t="n">
        <f aca="false">IF(X2615="","",X2615-AVERAGEIFS($X$2:$X$2705,$B$2:$B$2705,B2615))</f>
        <v>0.0130835952565782</v>
      </c>
      <c r="Z2615" s="21" t="n">
        <f aca="false">P2615</f>
        <v>-0.2352343692787</v>
      </c>
      <c r="AA2615" s="3" t="n">
        <f aca="false">R2615</f>
        <v>0</v>
      </c>
      <c r="AB2615" s="21" t="n">
        <f aca="false">P2615</f>
        <v>-0.2352343692787</v>
      </c>
      <c r="AC2615" s="3" t="n">
        <f aca="false">Y2615</f>
        <v>0.0130835952565782</v>
      </c>
      <c r="AD2615" s="3" t="n">
        <f aca="false">R2615</f>
        <v>0</v>
      </c>
    </row>
    <row r="2616" customFormat="false" ht="15" hidden="false" customHeight="true" outlineLevel="0" collapsed="false">
      <c r="A2616" s="7" t="s">
        <v>71</v>
      </c>
      <c r="B2616" s="7" t="n">
        <v>2023</v>
      </c>
      <c r="C2616" s="7" t="s">
        <v>148</v>
      </c>
      <c r="D2616" s="7" t="n">
        <v>73</v>
      </c>
      <c r="E2616" s="7" t="n">
        <v>89</v>
      </c>
      <c r="F2616" s="3" t="n">
        <f aca="false">COUNTIFS($B$2:$B$2705,B2616,$C$2:$C$2705,C2616)</f>
        <v>2</v>
      </c>
      <c r="G2616" s="3" t="n">
        <f aca="false">MIN(INT((MIN(B2616,2020)-1900)/10)+1,12)</f>
        <v>12</v>
      </c>
      <c r="H2616" s="3" t="n">
        <f aca="false">(MIN(B2616,2020)-1900-10*(G2616-1))/10</f>
        <v>1</v>
      </c>
      <c r="I2616" s="20" t="n">
        <f aca="false">EXP(LN(INDEX(Pop_Inputs!$B$2:$N$29,MATCH(C2616,Pop_Inputs!$A$2:$A$29,0),G2616))*(1-H2616)+LN(INDEX(Pop_Inputs!$B$2:$N$29,MATCH(C2616,Pop_Inputs!$A$2:$A$29,0),G2616+1))*H2616)</f>
        <v>3898747</v>
      </c>
      <c r="J2616" s="20" t="n">
        <f aca="false">I2616/F2616</f>
        <v>1949373.5</v>
      </c>
      <c r="K2616" s="21" t="n">
        <f aca="false">D2616/(D2616+E2616)</f>
        <v>0.450617283950617</v>
      </c>
      <c r="L2616" s="21" t="n">
        <f aca="false">AVERAGEIFS($K$2:$K$2705,$B$2:$B$2705,B2616)</f>
        <v>0.5</v>
      </c>
      <c r="M2616" s="21" t="n">
        <f aca="false">K2616-L2616</f>
        <v>-0.0493827160493827</v>
      </c>
      <c r="N2616" s="21" t="n">
        <f aca="false">LN(J2616)</f>
        <v>14.4830185968665</v>
      </c>
      <c r="O2616" s="21" t="n">
        <f aca="false">AVERAGEIFS($N$2:$N$2705,$B$2:$B$2705,B2616)</f>
        <v>13.6790216080491</v>
      </c>
      <c r="P2616" s="21" t="n">
        <f aca="false">N2616-O2616</f>
        <v>0.80399698881741</v>
      </c>
      <c r="Q2616" s="7" t="n">
        <v>1</v>
      </c>
      <c r="R2616" s="3" t="n">
        <f aca="false">IF(AND(Q2616=1,B2616-_xlfn.MINIFS($B$2:$B$2705,$A$2:$A$2705,A2616)&lt;10),1,0)</f>
        <v>0</v>
      </c>
      <c r="S2616" s="7" t="n">
        <v>0</v>
      </c>
      <c r="T2616" s="3" t="n">
        <f aca="false">_xlfn.MINIFS($B$2:$B$2705,$A$2:$A$2705,A2616)</f>
        <v>1961</v>
      </c>
      <c r="U2616" s="3" t="n">
        <f aca="false">B2616-T2616</f>
        <v>62</v>
      </c>
      <c r="V2616" s="3" t="str">
        <f aca="false">INDEX(Pop_Inputs!$Q$2:$Q$29,MATCH(C2616,Pop_Inputs!$A$2:$A$29,0))</f>
        <v>West</v>
      </c>
      <c r="W2616" s="29" t="n">
        <v>212228095</v>
      </c>
      <c r="X2616" s="3" t="n">
        <f aca="false">IF(W2616="","",LN(W2616))</f>
        <v>19.1731721740607</v>
      </c>
      <c r="Y2616" s="3" t="n">
        <f aca="false">IF(X2616="","",X2616-AVERAGEIFS($X$2:$X$2705,$B$2:$B$2705,B2616))</f>
        <v>0.384576379520031</v>
      </c>
      <c r="Z2616" s="21" t="n">
        <f aca="false">P2616</f>
        <v>0.80399698881741</v>
      </c>
      <c r="AA2616" s="3" t="n">
        <f aca="false">R2616</f>
        <v>0</v>
      </c>
      <c r="AB2616" s="21" t="n">
        <f aca="false">P2616</f>
        <v>0.80399698881741</v>
      </c>
      <c r="AC2616" s="3" t="n">
        <f aca="false">Y2616</f>
        <v>0.384576379520031</v>
      </c>
      <c r="AD2616" s="3" t="n">
        <f aca="false">R2616</f>
        <v>0</v>
      </c>
    </row>
    <row r="2617" customFormat="false" ht="15" hidden="false" customHeight="true" outlineLevel="0" collapsed="false">
      <c r="A2617" s="7" t="s">
        <v>84</v>
      </c>
      <c r="B2617" s="7" t="n">
        <v>2023</v>
      </c>
      <c r="C2617" s="7" t="s">
        <v>165</v>
      </c>
      <c r="D2617" s="7" t="n">
        <v>84</v>
      </c>
      <c r="E2617" s="7" t="n">
        <v>78</v>
      </c>
      <c r="F2617" s="3" t="n">
        <f aca="false">COUNTIFS($B$2:$B$2705,B2617,$C$2:$C$2705,C2617)</f>
        <v>1</v>
      </c>
      <c r="G2617" s="3" t="n">
        <f aca="false">MIN(INT((MIN(B2617,2020)-1900)/10)+1,12)</f>
        <v>12</v>
      </c>
      <c r="H2617" s="3" t="n">
        <f aca="false">(MIN(B2617,2020)-1900-10*(G2617-1))/10</f>
        <v>1</v>
      </c>
      <c r="I2617" s="20" t="n">
        <f aca="false">EXP(LN(INDEX(Pop_Inputs!$B$2:$N$29,MATCH(C2617,Pop_Inputs!$A$2:$A$29,0),G2617))*(1-H2617)+LN(INDEX(Pop_Inputs!$B$2:$N$29,MATCH(C2617,Pop_Inputs!$A$2:$A$29,0),G2617+1))*H2617)</f>
        <v>1608139</v>
      </c>
      <c r="J2617" s="20" t="n">
        <f aca="false">I2617/F2617</f>
        <v>1608139</v>
      </c>
      <c r="K2617" s="21" t="n">
        <f aca="false">D2617/(D2617+E2617)</f>
        <v>0.518518518518519</v>
      </c>
      <c r="L2617" s="21" t="n">
        <f aca="false">AVERAGEIFS($K$2:$K$2705,$B$2:$B$2705,B2617)</f>
        <v>0.5</v>
      </c>
      <c r="M2617" s="21" t="n">
        <f aca="false">K2617-L2617</f>
        <v>0.0185185185185185</v>
      </c>
      <c r="N2617" s="21" t="n">
        <f aca="false">LN(J2617)</f>
        <v>14.2905881677712</v>
      </c>
      <c r="O2617" s="21" t="n">
        <f aca="false">AVERAGEIFS($N$2:$N$2705,$B$2:$B$2705,B2617)</f>
        <v>13.6790216080491</v>
      </c>
      <c r="P2617" s="21" t="n">
        <f aca="false">N2617-O2617</f>
        <v>0.611566559722055</v>
      </c>
      <c r="Q2617" s="7" t="n">
        <v>1</v>
      </c>
      <c r="R2617" s="3" t="n">
        <f aca="false">IF(AND(Q2617=1,B2617-_xlfn.MINIFS($B$2:$B$2705,$A$2:$A$2705,A2617)&lt;10),1,0)</f>
        <v>0</v>
      </c>
      <c r="S2617" s="7" t="n">
        <v>0</v>
      </c>
      <c r="T2617" s="3" t="n">
        <f aca="false">_xlfn.MINIFS($B$2:$B$2705,$A$2:$A$2705,A2617)</f>
        <v>1998</v>
      </c>
      <c r="U2617" s="3" t="n">
        <f aca="false">B2617-T2617</f>
        <v>25</v>
      </c>
      <c r="V2617" s="3" t="str">
        <f aca="false">INDEX(Pop_Inputs!$Q$2:$Q$29,MATCH(C2617,Pop_Inputs!$A$2:$A$29,0))</f>
        <v>West</v>
      </c>
      <c r="W2617" s="29" t="n">
        <v>117251292</v>
      </c>
      <c r="X2617" s="3" t="n">
        <f aca="false">IF(W2617="","",LN(W2617))</f>
        <v>18.5798299844197</v>
      </c>
      <c r="Y2617" s="3" t="n">
        <f aca="false">IF(X2617="","",X2617-AVERAGEIFS($X$2:$X$2705,$B$2:$B$2705,B2617))</f>
        <v>-0.208765810120966</v>
      </c>
      <c r="Z2617" s="21" t="n">
        <f aca="false">P2617</f>
        <v>0.611566559722055</v>
      </c>
      <c r="AA2617" s="3" t="n">
        <f aca="false">R2617</f>
        <v>0</v>
      </c>
      <c r="AB2617" s="21" t="n">
        <f aca="false">P2617</f>
        <v>0.611566559722055</v>
      </c>
      <c r="AC2617" s="3" t="n">
        <f aca="false">Y2617</f>
        <v>-0.208765810120966</v>
      </c>
      <c r="AD2617" s="3" t="n">
        <f aca="false">R2617</f>
        <v>0</v>
      </c>
    </row>
    <row r="2618" customFormat="false" ht="15" hidden="false" customHeight="true" outlineLevel="0" collapsed="false">
      <c r="A2618" s="7" t="s">
        <v>54</v>
      </c>
      <c r="B2618" s="7" t="n">
        <v>2023</v>
      </c>
      <c r="C2618" s="7" t="s">
        <v>141</v>
      </c>
      <c r="D2618" s="7" t="n">
        <v>104</v>
      </c>
      <c r="E2618" s="7" t="n">
        <v>58</v>
      </c>
      <c r="F2618" s="3" t="n">
        <f aca="false">COUNTIFS($B$2:$B$2705,B2618,$C$2:$C$2705,C2618)</f>
        <v>1</v>
      </c>
      <c r="G2618" s="3" t="n">
        <f aca="false">MIN(INT((MIN(B2618,2020)-1900)/10)+1,12)</f>
        <v>12</v>
      </c>
      <c r="H2618" s="3" t="n">
        <f aca="false">(MIN(B2618,2020)-1900-10*(G2618-1))/10</f>
        <v>1</v>
      </c>
      <c r="I2618" s="20" t="n">
        <f aca="false">EXP(LN(INDEX(Pop_Inputs!$B$2:$N$29,MATCH(C2618,Pop_Inputs!$A$2:$A$29,0),G2618))*(1-H2618)+LN(INDEX(Pop_Inputs!$B$2:$N$29,MATCH(C2618,Pop_Inputs!$A$2:$A$29,0),G2618+1))*H2618)</f>
        <v>498715</v>
      </c>
      <c r="J2618" s="20" t="n">
        <f aca="false">I2618/F2618</f>
        <v>498715</v>
      </c>
      <c r="K2618" s="21" t="n">
        <f aca="false">D2618/(D2618+E2618)</f>
        <v>0.641975308641975</v>
      </c>
      <c r="L2618" s="21" t="n">
        <f aca="false">AVERAGEIFS($K$2:$K$2705,$B$2:$B$2705,B2618)</f>
        <v>0.5</v>
      </c>
      <c r="M2618" s="21" t="n">
        <f aca="false">K2618-L2618</f>
        <v>0.141975308641975</v>
      </c>
      <c r="N2618" s="21" t="n">
        <f aca="false">LN(J2618)</f>
        <v>13.1197900692852</v>
      </c>
      <c r="O2618" s="21" t="n">
        <f aca="false">AVERAGEIFS($N$2:$N$2705,$B$2:$B$2705,B2618)</f>
        <v>13.6790216080491</v>
      </c>
      <c r="P2618" s="21" t="n">
        <f aca="false">N2618-O2618</f>
        <v>-0.5592315387639</v>
      </c>
      <c r="Q2618" s="7" t="n">
        <v>0</v>
      </c>
      <c r="R2618" s="3" t="n">
        <f aca="false">IF(AND(Q2618=1,B2618-_xlfn.MINIFS($B$2:$B$2705,$A$2:$A$2705,A2618)&lt;10),1,0)</f>
        <v>0</v>
      </c>
      <c r="S2618" s="7" t="n">
        <v>0</v>
      </c>
      <c r="T2618" s="3" t="n">
        <f aca="false">_xlfn.MINIFS($B$2:$B$2705,$A$2:$A$2705,A2618)</f>
        <v>1901</v>
      </c>
      <c r="U2618" s="3" t="n">
        <f aca="false">B2618-T2618</f>
        <v>122</v>
      </c>
      <c r="V2618" s="3" t="str">
        <f aca="false">INDEX(Pop_Inputs!$Q$2:$Q$29,MATCH(C2618,Pop_Inputs!$A$2:$A$29,0))</f>
        <v>South</v>
      </c>
      <c r="W2618" s="29" t="n">
        <v>197332500</v>
      </c>
      <c r="X2618" s="3" t="n">
        <f aca="false">IF(W2618="","",LN(W2618))</f>
        <v>19.1004006811983</v>
      </c>
      <c r="Y2618" s="3" t="n">
        <f aca="false">IF(X2618="","",X2618-AVERAGEIFS($X$2:$X$2705,$B$2:$B$2705,B2618))</f>
        <v>0.311804886657598</v>
      </c>
      <c r="Z2618" s="21" t="n">
        <f aca="false">P2618</f>
        <v>-0.5592315387639</v>
      </c>
      <c r="AA2618" s="3" t="n">
        <f aca="false">R2618</f>
        <v>0</v>
      </c>
      <c r="AB2618" s="21" t="n">
        <f aca="false">P2618</f>
        <v>-0.5592315387639</v>
      </c>
      <c r="AC2618" s="3" t="n">
        <f aca="false">Y2618</f>
        <v>0.311804886657598</v>
      </c>
      <c r="AD2618" s="3" t="n">
        <f aca="false">R2618</f>
        <v>0</v>
      </c>
    </row>
    <row r="2619" customFormat="false" ht="15" hidden="false" customHeight="true" outlineLevel="0" collapsed="false">
      <c r="A2619" s="7" t="s">
        <v>63</v>
      </c>
      <c r="B2619" s="7" t="n">
        <v>2023</v>
      </c>
      <c r="C2619" s="7" t="s">
        <v>149</v>
      </c>
      <c r="D2619" s="7" t="n">
        <v>101</v>
      </c>
      <c r="E2619" s="7" t="n">
        <v>61</v>
      </c>
      <c r="F2619" s="3" t="n">
        <f aca="false">COUNTIFS($B$2:$B$2705,B2619,$C$2:$C$2705,C2619)</f>
        <v>1</v>
      </c>
      <c r="G2619" s="3" t="n">
        <f aca="false">MIN(INT((MIN(B2619,2020)-1900)/10)+1,12)</f>
        <v>12</v>
      </c>
      <c r="H2619" s="3" t="n">
        <f aca="false">(MIN(B2619,2020)-1900-10*(G2619-1))/10</f>
        <v>1</v>
      </c>
      <c r="I2619" s="20" t="n">
        <f aca="false">EXP(LN(INDEX(Pop_Inputs!$B$2:$N$29,MATCH(C2619,Pop_Inputs!$A$2:$A$29,0),G2619))*(1-H2619)+LN(INDEX(Pop_Inputs!$B$2:$N$29,MATCH(C2619,Pop_Inputs!$A$2:$A$29,0),G2619+1))*H2619)</f>
        <v>585708.000000001</v>
      </c>
      <c r="J2619" s="20" t="n">
        <f aca="false">I2619/F2619</f>
        <v>585708.000000001</v>
      </c>
      <c r="K2619" s="21" t="n">
        <f aca="false">D2619/(D2619+E2619)</f>
        <v>0.623456790123457</v>
      </c>
      <c r="L2619" s="21" t="n">
        <f aca="false">AVERAGEIFS($K$2:$K$2705,$B$2:$B$2705,B2619)</f>
        <v>0.5</v>
      </c>
      <c r="M2619" s="21" t="n">
        <f aca="false">K2619-L2619</f>
        <v>0.123456790123457</v>
      </c>
      <c r="N2619" s="21" t="n">
        <f aca="false">LN(J2619)</f>
        <v>13.2805766508543</v>
      </c>
      <c r="O2619" s="21" t="n">
        <f aca="false">AVERAGEIFS($N$2:$N$2705,$B$2:$B$2705,B2619)</f>
        <v>13.6790216080491</v>
      </c>
      <c r="P2619" s="21" t="n">
        <f aca="false">N2619-O2619</f>
        <v>-0.39844495719478</v>
      </c>
      <c r="Q2619" s="7" t="n">
        <v>0</v>
      </c>
      <c r="R2619" s="3" t="n">
        <f aca="false">IF(AND(Q2619=1,B2619-_xlfn.MINIFS($B$2:$B$2705,$A$2:$A$2705,A2619)&lt;10),1,0)</f>
        <v>0</v>
      </c>
      <c r="S2619" s="7" t="n">
        <v>0</v>
      </c>
      <c r="T2619" s="3" t="n">
        <f aca="false">_xlfn.MINIFS($B$2:$B$2705,$A$2:$A$2705,A2619)</f>
        <v>1901</v>
      </c>
      <c r="U2619" s="3" t="n">
        <f aca="false">B2619-T2619</f>
        <v>122</v>
      </c>
      <c r="V2619" s="3" t="str">
        <f aca="false">INDEX(Pop_Inputs!$Q$2:$Q$29,MATCH(C2619,Pop_Inputs!$A$2:$A$29,0))</f>
        <v>South</v>
      </c>
      <c r="W2619" s="29" t="n">
        <v>60422300</v>
      </c>
      <c r="X2619" s="3" t="n">
        <f aca="false">IF(W2619="","",LN(W2619))</f>
        <v>17.9168688000636</v>
      </c>
      <c r="Y2619" s="3" t="n">
        <f aca="false">IF(X2619="","",X2619-AVERAGEIFS($X$2:$X$2705,$B$2:$B$2705,B2619))</f>
        <v>-0.871726994477132</v>
      </c>
      <c r="Z2619" s="21" t="n">
        <f aca="false">P2619</f>
        <v>-0.39844495719478</v>
      </c>
      <c r="AA2619" s="3" t="n">
        <f aca="false">R2619</f>
        <v>0</v>
      </c>
      <c r="AB2619" s="21" t="n">
        <f aca="false">P2619</f>
        <v>-0.39844495719478</v>
      </c>
      <c r="AC2619" s="3" t="n">
        <f aca="false">Y2619</f>
        <v>-0.871726994477132</v>
      </c>
      <c r="AD2619" s="3" t="n">
        <f aca="false">R2619</f>
        <v>0</v>
      </c>
    </row>
    <row r="2620" customFormat="false" ht="15" hidden="false" customHeight="true" outlineLevel="0" collapsed="false">
      <c r="A2620" s="7" t="s">
        <v>64</v>
      </c>
      <c r="B2620" s="7" t="n">
        <v>2023</v>
      </c>
      <c r="C2620" s="7" t="s">
        <v>150</v>
      </c>
      <c r="D2620" s="7" t="n">
        <v>78</v>
      </c>
      <c r="E2620" s="7" t="n">
        <v>84</v>
      </c>
      <c r="F2620" s="3" t="n">
        <f aca="false">COUNTIFS($B$2:$B$2705,B2620,$C$2:$C$2705,C2620)</f>
        <v>1</v>
      </c>
      <c r="G2620" s="3" t="n">
        <f aca="false">MIN(INT((MIN(B2620,2020)-1900)/10)+1,12)</f>
        <v>12</v>
      </c>
      <c r="H2620" s="3" t="n">
        <f aca="false">(MIN(B2620,2020)-1900-10*(G2620-1))/10</f>
        <v>1</v>
      </c>
      <c r="I2620" s="20" t="n">
        <f aca="false">EXP(LN(INDEX(Pop_Inputs!$B$2:$N$29,MATCH(C2620,Pop_Inputs!$A$2:$A$29,0),G2620))*(1-H2620)+LN(INDEX(Pop_Inputs!$B$2:$N$29,MATCH(C2620,Pop_Inputs!$A$2:$A$29,0),G2620+1))*H2620)</f>
        <v>675647.000000001</v>
      </c>
      <c r="J2620" s="20" t="n">
        <f aca="false">I2620/F2620</f>
        <v>675647.000000001</v>
      </c>
      <c r="K2620" s="21" t="n">
        <f aca="false">D2620/(D2620+E2620)</f>
        <v>0.481481481481481</v>
      </c>
      <c r="L2620" s="21" t="n">
        <f aca="false">AVERAGEIFS($K$2:$K$2705,$B$2:$B$2705,B2620)</f>
        <v>0.5</v>
      </c>
      <c r="M2620" s="21" t="n">
        <f aca="false">K2620-L2620</f>
        <v>-0.0185185185185185</v>
      </c>
      <c r="N2620" s="21" t="n">
        <f aca="false">LN(J2620)</f>
        <v>13.4234260292876</v>
      </c>
      <c r="O2620" s="21" t="n">
        <f aca="false">AVERAGEIFS($N$2:$N$2705,$B$2:$B$2705,B2620)</f>
        <v>13.6790216080491</v>
      </c>
      <c r="P2620" s="21" t="n">
        <f aca="false">N2620-O2620</f>
        <v>-0.255595578761453</v>
      </c>
      <c r="Q2620" s="7" t="n">
        <v>0</v>
      </c>
      <c r="R2620" s="3" t="n">
        <f aca="false">IF(AND(Q2620=1,B2620-_xlfn.MINIFS($B$2:$B$2705,$A$2:$A$2705,A2620)&lt;10),1,0)</f>
        <v>0</v>
      </c>
      <c r="S2620" s="7" t="n">
        <v>0</v>
      </c>
      <c r="T2620" s="3" t="n">
        <f aca="false">_xlfn.MINIFS($B$2:$B$2705,$A$2:$A$2705,A2620)</f>
        <v>1901</v>
      </c>
      <c r="U2620" s="3" t="n">
        <f aca="false">B2620-T2620</f>
        <v>122</v>
      </c>
      <c r="V2620" s="3" t="str">
        <f aca="false">INDEX(Pop_Inputs!$Q$2:$Q$29,MATCH(C2620,Pop_Inputs!$A$2:$A$29,0))</f>
        <v>Northeast</v>
      </c>
      <c r="W2620" s="29" t="n">
        <v>190556279</v>
      </c>
      <c r="X2620" s="3" t="n">
        <f aca="false">IF(W2620="","",LN(W2620))</f>
        <v>19.0654581367223</v>
      </c>
      <c r="Y2620" s="3" t="n">
        <f aca="false">IF(X2620="","",X2620-AVERAGEIFS($X$2:$X$2705,$B$2:$B$2705,B2620))</f>
        <v>0.276862342181662</v>
      </c>
      <c r="Z2620" s="21" t="n">
        <f aca="false">P2620</f>
        <v>-0.255595578761453</v>
      </c>
      <c r="AA2620" s="3" t="n">
        <f aca="false">R2620</f>
        <v>0</v>
      </c>
      <c r="AB2620" s="21" t="n">
        <f aca="false">P2620</f>
        <v>-0.255595578761453</v>
      </c>
      <c r="AC2620" s="3" t="n">
        <f aca="false">Y2620</f>
        <v>0.276862342181662</v>
      </c>
      <c r="AD2620" s="3" t="n">
        <f aca="false">R2620</f>
        <v>0</v>
      </c>
    </row>
    <row r="2621" customFormat="false" ht="15" hidden="false" customHeight="true" outlineLevel="0" collapsed="false">
      <c r="A2621" s="7" t="s">
        <v>56</v>
      </c>
      <c r="B2621" s="7" t="n">
        <v>2023</v>
      </c>
      <c r="C2621" s="7" t="s">
        <v>142</v>
      </c>
      <c r="D2621" s="7" t="n">
        <v>83</v>
      </c>
      <c r="E2621" s="7" t="n">
        <v>79</v>
      </c>
      <c r="F2621" s="3" t="n">
        <f aca="false">COUNTIFS($B$2:$B$2705,B2621,$C$2:$C$2705,C2621)</f>
        <v>2</v>
      </c>
      <c r="G2621" s="3" t="n">
        <f aca="false">MIN(INT((MIN(B2621,2020)-1900)/10)+1,12)</f>
        <v>12</v>
      </c>
      <c r="H2621" s="3" t="n">
        <f aca="false">(MIN(B2621,2020)-1900-10*(G2621-1))/10</f>
        <v>1</v>
      </c>
      <c r="I2621" s="20" t="n">
        <f aca="false">EXP(LN(INDEX(Pop_Inputs!$B$2:$N$29,MATCH(C2621,Pop_Inputs!$A$2:$A$29,0),G2621))*(1-H2621)+LN(INDEX(Pop_Inputs!$B$2:$N$29,MATCH(C2621,Pop_Inputs!$A$2:$A$29,0),G2621+1))*H2621)</f>
        <v>2746388</v>
      </c>
      <c r="J2621" s="20" t="n">
        <f aca="false">I2621/F2621</f>
        <v>1373194</v>
      </c>
      <c r="K2621" s="21" t="n">
        <f aca="false">D2621/(D2621+E2621)</f>
        <v>0.512345679012346</v>
      </c>
      <c r="L2621" s="21" t="n">
        <f aca="false">AVERAGEIFS($K$2:$K$2705,$B$2:$B$2705,B2621)</f>
        <v>0.5</v>
      </c>
      <c r="M2621" s="21" t="n">
        <f aca="false">K2621-L2621</f>
        <v>0.0123456790123457</v>
      </c>
      <c r="N2621" s="21" t="n">
        <f aca="false">LN(J2621)</f>
        <v>14.1326499711999</v>
      </c>
      <c r="O2621" s="21" t="n">
        <f aca="false">AVERAGEIFS($N$2:$N$2705,$B$2:$B$2705,B2621)</f>
        <v>13.6790216080491</v>
      </c>
      <c r="P2621" s="21" t="n">
        <f aca="false">N2621-O2621</f>
        <v>0.453628363150779</v>
      </c>
      <c r="Q2621" s="7" t="n">
        <v>0</v>
      </c>
      <c r="R2621" s="3" t="n">
        <f aca="false">IF(AND(Q2621=1,B2621-_xlfn.MINIFS($B$2:$B$2705,$A$2:$A$2705,A2621)&lt;10),1,0)</f>
        <v>0</v>
      </c>
      <c r="S2621" s="7" t="n">
        <v>0</v>
      </c>
      <c r="T2621" s="3" t="n">
        <f aca="false">_xlfn.MINIFS($B$2:$B$2705,$A$2:$A$2705,A2621)</f>
        <v>1901</v>
      </c>
      <c r="U2621" s="3" t="n">
        <f aca="false">B2621-T2621</f>
        <v>122</v>
      </c>
      <c r="V2621" s="3" t="str">
        <f aca="false">INDEX(Pop_Inputs!$Q$2:$Q$29,MATCH(C2621,Pop_Inputs!$A$2:$A$29,0))</f>
        <v>Midwest</v>
      </c>
      <c r="W2621" s="29" t="n">
        <v>179168250</v>
      </c>
      <c r="X2621" s="3" t="n">
        <f aca="false">IF(W2621="","",LN(W2621))</f>
        <v>19.0038358664682</v>
      </c>
      <c r="Y2621" s="3" t="n">
        <f aca="false">IF(X2621="","",X2621-AVERAGEIFS($X$2:$X$2705,$B$2:$B$2705,B2621))</f>
        <v>0.215240071927553</v>
      </c>
      <c r="Z2621" s="21" t="n">
        <f aca="false">P2621</f>
        <v>0.453628363150779</v>
      </c>
      <c r="AA2621" s="3" t="n">
        <f aca="false">R2621</f>
        <v>0</v>
      </c>
      <c r="AB2621" s="21" t="n">
        <f aca="false">P2621</f>
        <v>0.453628363150779</v>
      </c>
      <c r="AC2621" s="3" t="n">
        <f aca="false">Y2621</f>
        <v>0.215240071927553</v>
      </c>
      <c r="AD2621" s="3" t="n">
        <f aca="false">R2621</f>
        <v>0</v>
      </c>
    </row>
    <row r="2622" customFormat="false" ht="15" hidden="false" customHeight="true" outlineLevel="0" collapsed="false">
      <c r="A2622" s="7" t="s">
        <v>65</v>
      </c>
      <c r="B2622" s="7" t="n">
        <v>2023</v>
      </c>
      <c r="C2622" s="7" t="s">
        <v>142</v>
      </c>
      <c r="D2622" s="7" t="n">
        <v>61</v>
      </c>
      <c r="E2622" s="7" t="n">
        <v>101</v>
      </c>
      <c r="F2622" s="3" t="n">
        <f aca="false">COUNTIFS($B$2:$B$2705,B2622,$C$2:$C$2705,C2622)</f>
        <v>2</v>
      </c>
      <c r="G2622" s="3" t="n">
        <f aca="false">MIN(INT((MIN(B2622,2020)-1900)/10)+1,12)</f>
        <v>12</v>
      </c>
      <c r="H2622" s="3" t="n">
        <f aca="false">(MIN(B2622,2020)-1900-10*(G2622-1))/10</f>
        <v>1</v>
      </c>
      <c r="I2622" s="20" t="n">
        <f aca="false">EXP(LN(INDEX(Pop_Inputs!$B$2:$N$29,MATCH(C2622,Pop_Inputs!$A$2:$A$29,0),G2622))*(1-H2622)+LN(INDEX(Pop_Inputs!$B$2:$N$29,MATCH(C2622,Pop_Inputs!$A$2:$A$29,0),G2622+1))*H2622)</f>
        <v>2746388</v>
      </c>
      <c r="J2622" s="20" t="n">
        <f aca="false">I2622/F2622</f>
        <v>1373194</v>
      </c>
      <c r="K2622" s="21" t="n">
        <f aca="false">D2622/(D2622+E2622)</f>
        <v>0.376543209876543</v>
      </c>
      <c r="L2622" s="21" t="n">
        <f aca="false">AVERAGEIFS($K$2:$K$2705,$B$2:$B$2705,B2622)</f>
        <v>0.5</v>
      </c>
      <c r="M2622" s="21" t="n">
        <f aca="false">K2622-L2622</f>
        <v>-0.123456790123457</v>
      </c>
      <c r="N2622" s="21" t="n">
        <f aca="false">LN(J2622)</f>
        <v>14.1326499711999</v>
      </c>
      <c r="O2622" s="21" t="n">
        <f aca="false">AVERAGEIFS($N$2:$N$2705,$B$2:$B$2705,B2622)</f>
        <v>13.6790216080491</v>
      </c>
      <c r="P2622" s="21" t="n">
        <f aca="false">N2622-O2622</f>
        <v>0.453628363150779</v>
      </c>
      <c r="Q2622" s="7" t="n">
        <v>0</v>
      </c>
      <c r="R2622" s="3" t="n">
        <f aca="false">IF(AND(Q2622=1,B2622-_xlfn.MINIFS($B$2:$B$2705,$A$2:$A$2705,A2622)&lt;10),1,0)</f>
        <v>0</v>
      </c>
      <c r="S2622" s="7" t="n">
        <v>0</v>
      </c>
      <c r="T2622" s="3" t="n">
        <f aca="false">_xlfn.MINIFS($B$2:$B$2705,$A$2:$A$2705,A2622)</f>
        <v>1901</v>
      </c>
      <c r="U2622" s="3" t="n">
        <f aca="false">B2622-T2622</f>
        <v>122</v>
      </c>
      <c r="V2622" s="3" t="str">
        <f aca="false">INDEX(Pop_Inputs!$Q$2:$Q$29,MATCH(C2622,Pop_Inputs!$A$2:$A$29,0))</f>
        <v>Midwest</v>
      </c>
      <c r="W2622" s="29" t="n">
        <v>189158667</v>
      </c>
      <c r="X2622" s="3" t="n">
        <f aca="false">IF(W2622="","",LN(W2622))</f>
        <v>19.0580967287707</v>
      </c>
      <c r="Y2622" s="3" t="n">
        <f aca="false">IF(X2622="","",X2622-AVERAGEIFS($X$2:$X$2705,$B$2:$B$2705,B2622))</f>
        <v>0.269500934230052</v>
      </c>
      <c r="Z2622" s="21" t="n">
        <f aca="false">P2622</f>
        <v>0.453628363150779</v>
      </c>
      <c r="AA2622" s="3" t="n">
        <f aca="false">R2622</f>
        <v>0</v>
      </c>
      <c r="AB2622" s="21" t="n">
        <f aca="false">P2622</f>
        <v>0.453628363150779</v>
      </c>
      <c r="AC2622" s="3" t="n">
        <f aca="false">Y2622</f>
        <v>0.269500934230052</v>
      </c>
      <c r="AD2622" s="3" t="n">
        <f aca="false">R2622</f>
        <v>0</v>
      </c>
    </row>
    <row r="2623" customFormat="false" ht="15" hidden="false" customHeight="true" outlineLevel="0" collapsed="false">
      <c r="A2623" s="7" t="s">
        <v>57</v>
      </c>
      <c r="B2623" s="7" t="n">
        <v>2023</v>
      </c>
      <c r="C2623" s="7" t="s">
        <v>143</v>
      </c>
      <c r="D2623" s="7" t="n">
        <v>82</v>
      </c>
      <c r="E2623" s="7" t="n">
        <v>80</v>
      </c>
      <c r="F2623" s="3" t="n">
        <f aca="false">COUNTIFS($B$2:$B$2705,B2623,$C$2:$C$2705,C2623)</f>
        <v>1</v>
      </c>
      <c r="G2623" s="3" t="n">
        <f aca="false">MIN(INT((MIN(B2623,2020)-1900)/10)+1,12)</f>
        <v>12</v>
      </c>
      <c r="H2623" s="3" t="n">
        <f aca="false">(MIN(B2623,2020)-1900-10*(G2623-1))/10</f>
        <v>1</v>
      </c>
      <c r="I2623" s="20" t="n">
        <f aca="false">EXP(LN(INDEX(Pop_Inputs!$B$2:$N$29,MATCH(C2623,Pop_Inputs!$A$2:$A$29,0),G2623))*(1-H2623)+LN(INDEX(Pop_Inputs!$B$2:$N$29,MATCH(C2623,Pop_Inputs!$A$2:$A$29,0),G2623+1))*H2623)</f>
        <v>309317</v>
      </c>
      <c r="J2623" s="20" t="n">
        <f aca="false">I2623/F2623</f>
        <v>309317</v>
      </c>
      <c r="K2623" s="21" t="n">
        <f aca="false">D2623/(D2623+E2623)</f>
        <v>0.506172839506173</v>
      </c>
      <c r="L2623" s="21" t="n">
        <f aca="false">AVERAGEIFS($K$2:$K$2705,$B$2:$B$2705,B2623)</f>
        <v>0.5</v>
      </c>
      <c r="M2623" s="21" t="n">
        <f aca="false">K2623-L2623</f>
        <v>0.00617283950617287</v>
      </c>
      <c r="N2623" s="21" t="n">
        <f aca="false">LN(J2623)</f>
        <v>12.642121919982</v>
      </c>
      <c r="O2623" s="21" t="n">
        <f aca="false">AVERAGEIFS($N$2:$N$2705,$B$2:$B$2705,B2623)</f>
        <v>13.6790216080491</v>
      </c>
      <c r="P2623" s="21" t="n">
        <f aca="false">N2623-O2623</f>
        <v>-1.03689968806707</v>
      </c>
      <c r="Q2623" s="7" t="n">
        <v>0</v>
      </c>
      <c r="R2623" s="3" t="n">
        <f aca="false">IF(AND(Q2623=1,B2623-_xlfn.MINIFS($B$2:$B$2705,$A$2:$A$2705,A2623)&lt;10),1,0)</f>
        <v>0</v>
      </c>
      <c r="S2623" s="7" t="n">
        <v>0</v>
      </c>
      <c r="T2623" s="3" t="n">
        <f aca="false">_xlfn.MINIFS($B$2:$B$2705,$A$2:$A$2705,A2623)</f>
        <v>1901</v>
      </c>
      <c r="U2623" s="3" t="n">
        <f aca="false">B2623-T2623</f>
        <v>122</v>
      </c>
      <c r="V2623" s="3" t="str">
        <f aca="false">INDEX(Pop_Inputs!$Q$2:$Q$29,MATCH(C2623,Pop_Inputs!$A$2:$A$29,0))</f>
        <v>Midwest</v>
      </c>
      <c r="W2623" s="29" t="n">
        <v>84175714</v>
      </c>
      <c r="X2623" s="3" t="n">
        <f aca="false">IF(W2623="","",LN(W2623))</f>
        <v>18.2484170053039</v>
      </c>
      <c r="Y2623" s="3" t="n">
        <f aca="false">IF(X2623="","",X2623-AVERAGEIFS($X$2:$X$2705,$B$2:$B$2705,B2623))</f>
        <v>-0.540178789236762</v>
      </c>
      <c r="Z2623" s="21" t="n">
        <f aca="false">P2623</f>
        <v>-1.03689968806707</v>
      </c>
      <c r="AA2623" s="3" t="n">
        <f aca="false">R2623</f>
        <v>0</v>
      </c>
      <c r="AB2623" s="21" t="n">
        <f aca="false">P2623</f>
        <v>-1.03689968806707</v>
      </c>
      <c r="AC2623" s="3" t="n">
        <f aca="false">Y2623</f>
        <v>-0.540178789236762</v>
      </c>
      <c r="AD2623" s="3" t="n">
        <f aca="false">R2623</f>
        <v>0</v>
      </c>
    </row>
    <row r="2624" customFormat="false" ht="15" hidden="false" customHeight="true" outlineLevel="0" collapsed="false">
      <c r="A2624" s="7" t="s">
        <v>66</v>
      </c>
      <c r="B2624" s="7" t="n">
        <v>2023</v>
      </c>
      <c r="C2624" s="7" t="s">
        <v>151</v>
      </c>
      <c r="D2624" s="7" t="n">
        <v>76</v>
      </c>
      <c r="E2624" s="7" t="n">
        <v>86</v>
      </c>
      <c r="F2624" s="3" t="n">
        <f aca="false">COUNTIFS($B$2:$B$2705,B2624,$C$2:$C$2705,C2624)</f>
        <v>1</v>
      </c>
      <c r="G2624" s="3" t="n">
        <f aca="false">MIN(INT((MIN(B2624,2020)-1900)/10)+1,12)</f>
        <v>12</v>
      </c>
      <c r="H2624" s="3" t="n">
        <f aca="false">(MIN(B2624,2020)-1900-10*(G2624-1))/10</f>
        <v>1</v>
      </c>
      <c r="I2624" s="20" t="n">
        <f aca="false">EXP(LN(INDEX(Pop_Inputs!$B$2:$N$29,MATCH(C2624,Pop_Inputs!$A$2:$A$29,0),G2624))*(1-H2624)+LN(INDEX(Pop_Inputs!$B$2:$N$29,MATCH(C2624,Pop_Inputs!$A$2:$A$29,0),G2624+1))*H2624)</f>
        <v>372624</v>
      </c>
      <c r="J2624" s="20" t="n">
        <f aca="false">I2624/F2624</f>
        <v>372624</v>
      </c>
      <c r="K2624" s="21" t="n">
        <f aca="false">D2624/(D2624+E2624)</f>
        <v>0.469135802469136</v>
      </c>
      <c r="L2624" s="21" t="n">
        <f aca="false">AVERAGEIFS($K$2:$K$2705,$B$2:$B$2705,B2624)</f>
        <v>0.5</v>
      </c>
      <c r="M2624" s="21" t="n">
        <f aca="false">K2624-L2624</f>
        <v>-0.0308641975308642</v>
      </c>
      <c r="N2624" s="21" t="n">
        <f aca="false">LN(J2624)</f>
        <v>12.8283251473136</v>
      </c>
      <c r="O2624" s="21" t="n">
        <f aca="false">AVERAGEIFS($N$2:$N$2705,$B$2:$B$2705,B2624)</f>
        <v>13.6790216080491</v>
      </c>
      <c r="P2624" s="21" t="n">
        <f aca="false">N2624-O2624</f>
        <v>-0.850696460735531</v>
      </c>
      <c r="Q2624" s="7" t="n">
        <v>0</v>
      </c>
      <c r="R2624" s="3" t="n">
        <f aca="false">IF(AND(Q2624=1,B2624-_xlfn.MINIFS($B$2:$B$2705,$A$2:$A$2705,A2624)&lt;10),1,0)</f>
        <v>0</v>
      </c>
      <c r="S2624" s="7" t="n">
        <v>0</v>
      </c>
      <c r="T2624" s="3" t="n">
        <f aca="false">_xlfn.MINIFS($B$2:$B$2705,$A$2:$A$2705,A2624)</f>
        <v>1901</v>
      </c>
      <c r="U2624" s="3" t="n">
        <f aca="false">B2624-T2624</f>
        <v>122</v>
      </c>
      <c r="V2624" s="3" t="str">
        <f aca="false">INDEX(Pop_Inputs!$Q$2:$Q$29,MATCH(C2624,Pop_Inputs!$A$2:$A$29,0))</f>
        <v>Midwest</v>
      </c>
      <c r="W2624" s="29" t="n">
        <v>89824629</v>
      </c>
      <c r="X2624" s="3" t="n">
        <f aca="false">IF(W2624="","",LN(W2624))</f>
        <v>18.3133697607021</v>
      </c>
      <c r="Y2624" s="3" t="n">
        <f aca="false">IF(X2624="","",X2624-AVERAGEIFS($X$2:$X$2705,$B$2:$B$2705,B2624))</f>
        <v>-0.475226033838627</v>
      </c>
      <c r="Z2624" s="21" t="n">
        <f aca="false">P2624</f>
        <v>-0.850696460735531</v>
      </c>
      <c r="AA2624" s="3" t="n">
        <f aca="false">R2624</f>
        <v>0</v>
      </c>
      <c r="AB2624" s="21" t="n">
        <f aca="false">P2624</f>
        <v>-0.850696460735531</v>
      </c>
      <c r="AC2624" s="3" t="n">
        <f aca="false">Y2624</f>
        <v>-0.475226033838627</v>
      </c>
      <c r="AD2624" s="3" t="n">
        <f aca="false">R2624</f>
        <v>0</v>
      </c>
    </row>
    <row r="2625" customFormat="false" ht="15" hidden="false" customHeight="true" outlineLevel="0" collapsed="false">
      <c r="A2625" s="7" t="s">
        <v>82</v>
      </c>
      <c r="B2625" s="7" t="n">
        <v>2023</v>
      </c>
      <c r="C2625" s="7" t="s">
        <v>163</v>
      </c>
      <c r="D2625" s="7" t="n">
        <v>59</v>
      </c>
      <c r="E2625" s="7" t="n">
        <v>103</v>
      </c>
      <c r="F2625" s="3" t="n">
        <f aca="false">COUNTIFS($B$2:$B$2705,B2625,$C$2:$C$2705,C2625)</f>
        <v>1</v>
      </c>
      <c r="G2625" s="3" t="n">
        <f aca="false">MIN(INT((MIN(B2625,2020)-1900)/10)+1,12)</f>
        <v>12</v>
      </c>
      <c r="H2625" s="3" t="n">
        <f aca="false">(MIN(B2625,2020)-1900-10*(G2625-1))/10</f>
        <v>1</v>
      </c>
      <c r="I2625" s="20" t="n">
        <f aca="false">EXP(LN(INDEX(Pop_Inputs!$B$2:$N$29,MATCH(C2625,Pop_Inputs!$A$2:$A$29,0),G2625))*(1-H2625)+LN(INDEX(Pop_Inputs!$B$2:$N$29,MATCH(C2625,Pop_Inputs!$A$2:$A$29,0),G2625+1))*H2625)</f>
        <v>715521.999999999</v>
      </c>
      <c r="J2625" s="20" t="n">
        <f aca="false">I2625/F2625</f>
        <v>715521.999999999</v>
      </c>
      <c r="K2625" s="21" t="n">
        <f aca="false">D2625/(D2625+E2625)</f>
        <v>0.364197530864198</v>
      </c>
      <c r="L2625" s="21" t="n">
        <f aca="false">AVERAGEIFS($K$2:$K$2705,$B$2:$B$2705,B2625)</f>
        <v>0.5</v>
      </c>
      <c r="M2625" s="21" t="n">
        <f aca="false">K2625-L2625</f>
        <v>-0.135802469135802</v>
      </c>
      <c r="N2625" s="21" t="n">
        <f aca="false">LN(J2625)</f>
        <v>13.4807676252348</v>
      </c>
      <c r="O2625" s="21" t="n">
        <f aca="false">AVERAGEIFS($N$2:$N$2705,$B$2:$B$2705,B2625)</f>
        <v>13.6790216080491</v>
      </c>
      <c r="P2625" s="21" t="n">
        <f aca="false">N2625-O2625</f>
        <v>-0.1982539828143</v>
      </c>
      <c r="Q2625" s="7" t="n">
        <v>1</v>
      </c>
      <c r="R2625" s="3" t="n">
        <f aca="false">IF(AND(Q2625=1,B2625-_xlfn.MINIFS($B$2:$B$2705,$A$2:$A$2705,A2625)&lt;10),1,0)</f>
        <v>0</v>
      </c>
      <c r="S2625" s="7" t="n">
        <v>0</v>
      </c>
      <c r="T2625" s="3" t="n">
        <f aca="false">_xlfn.MINIFS($B$2:$B$2705,$A$2:$A$2705,A2625)</f>
        <v>1993</v>
      </c>
      <c r="U2625" s="3" t="n">
        <f aca="false">B2625-T2625</f>
        <v>30</v>
      </c>
      <c r="V2625" s="3" t="str">
        <f aca="false">INDEX(Pop_Inputs!$Q$2:$Q$29,MATCH(C2625,Pop_Inputs!$A$2:$A$29,0))</f>
        <v>West</v>
      </c>
      <c r="W2625" s="29" t="n">
        <v>176008778</v>
      </c>
      <c r="X2625" s="3" t="n">
        <f aca="false">IF(W2625="","",LN(W2625))</f>
        <v>18.9860444267587</v>
      </c>
      <c r="Y2625" s="3" t="n">
        <f aca="false">IF(X2625="","",X2625-AVERAGEIFS($X$2:$X$2705,$B$2:$B$2705,B2625))</f>
        <v>0.197448632218027</v>
      </c>
      <c r="Z2625" s="21" t="n">
        <f aca="false">P2625</f>
        <v>-0.1982539828143</v>
      </c>
      <c r="AA2625" s="3" t="n">
        <f aca="false">R2625</f>
        <v>0</v>
      </c>
      <c r="AB2625" s="21" t="n">
        <f aca="false">P2625</f>
        <v>-0.1982539828143</v>
      </c>
      <c r="AC2625" s="3" t="n">
        <f aca="false">Y2625</f>
        <v>0.197448632218027</v>
      </c>
      <c r="AD2625" s="3" t="n">
        <f aca="false">R2625</f>
        <v>0</v>
      </c>
    </row>
    <row r="2626" customFormat="false" ht="15" hidden="false" customHeight="true" outlineLevel="0" collapsed="false">
      <c r="A2626" s="7" t="s">
        <v>67</v>
      </c>
      <c r="B2626" s="7" t="n">
        <v>2023</v>
      </c>
      <c r="C2626" s="7" t="s">
        <v>152</v>
      </c>
      <c r="D2626" s="7" t="n">
        <v>78</v>
      </c>
      <c r="E2626" s="7" t="n">
        <v>84</v>
      </c>
      <c r="F2626" s="3" t="n">
        <f aca="false">COUNTIFS($B$2:$B$2705,B2626,$C$2:$C$2705,C2626)</f>
        <v>1</v>
      </c>
      <c r="G2626" s="3" t="n">
        <f aca="false">MIN(INT((MIN(B2626,2020)-1900)/10)+1,12)</f>
        <v>12</v>
      </c>
      <c r="H2626" s="3" t="n">
        <f aca="false">(MIN(B2626,2020)-1900-10*(G2626-1))/10</f>
        <v>1</v>
      </c>
      <c r="I2626" s="20" t="n">
        <f aca="false">EXP(LN(INDEX(Pop_Inputs!$B$2:$N$29,MATCH(C2626,Pop_Inputs!$A$2:$A$29,0),G2626))*(1-H2626)+LN(INDEX(Pop_Inputs!$B$2:$N$29,MATCH(C2626,Pop_Inputs!$A$2:$A$29,0),G2626+1))*H2626)</f>
        <v>639111</v>
      </c>
      <c r="J2626" s="20" t="n">
        <f aca="false">I2626/F2626</f>
        <v>639111</v>
      </c>
      <c r="K2626" s="21" t="n">
        <f aca="false">D2626/(D2626+E2626)</f>
        <v>0.481481481481481</v>
      </c>
      <c r="L2626" s="21" t="n">
        <f aca="false">AVERAGEIFS($K$2:$K$2705,$B$2:$B$2705,B2626)</f>
        <v>0.5</v>
      </c>
      <c r="M2626" s="21" t="n">
        <f aca="false">K2626-L2626</f>
        <v>-0.0185185185185185</v>
      </c>
      <c r="N2626" s="21" t="n">
        <f aca="false">LN(J2626)</f>
        <v>13.3678334271942</v>
      </c>
      <c r="O2626" s="21" t="n">
        <f aca="false">AVERAGEIFS($N$2:$N$2705,$B$2:$B$2705,B2626)</f>
        <v>13.6790216080491</v>
      </c>
      <c r="P2626" s="21" t="n">
        <f aca="false">N2626-O2626</f>
        <v>-0.31118818085489</v>
      </c>
      <c r="Q2626" s="7" t="n">
        <v>0</v>
      </c>
      <c r="R2626" s="3" t="n">
        <f aca="false">IF(AND(Q2626=1,B2626-_xlfn.MINIFS($B$2:$B$2705,$A$2:$A$2705,A2626)&lt;10),1,0)</f>
        <v>0</v>
      </c>
      <c r="S2626" s="7" t="n">
        <v>0</v>
      </c>
      <c r="T2626" s="3" t="n">
        <f aca="false">_xlfn.MINIFS($B$2:$B$2705,$A$2:$A$2705,A2626)</f>
        <v>1901</v>
      </c>
      <c r="U2626" s="3" t="n">
        <f aca="false">B2626-T2626</f>
        <v>122</v>
      </c>
      <c r="V2626" s="3" t="str">
        <f aca="false">INDEX(Pop_Inputs!$Q$2:$Q$29,MATCH(C2626,Pop_Inputs!$A$2:$A$29,0))</f>
        <v>Midwest</v>
      </c>
      <c r="W2626" s="29" t="n">
        <v>123500500</v>
      </c>
      <c r="X2626" s="3" t="n">
        <f aca="false">IF(W2626="","",LN(W2626))</f>
        <v>18.6317557626071</v>
      </c>
      <c r="Y2626" s="3" t="n">
        <f aca="false">IF(X2626="","",X2626-AVERAGEIFS($X$2:$X$2705,$B$2:$B$2705,B2626))</f>
        <v>-0.156840031933577</v>
      </c>
      <c r="Z2626" s="21" t="n">
        <f aca="false">P2626</f>
        <v>-0.31118818085489</v>
      </c>
      <c r="AA2626" s="3" t="n">
        <f aca="false">R2626</f>
        <v>0</v>
      </c>
      <c r="AB2626" s="21" t="n">
        <f aca="false">P2626</f>
        <v>-0.31118818085489</v>
      </c>
      <c r="AC2626" s="3" t="n">
        <f aca="false">Y2626</f>
        <v>-0.156840031933577</v>
      </c>
      <c r="AD2626" s="3" t="n">
        <f aca="false">R2626</f>
        <v>0</v>
      </c>
    </row>
    <row r="2627" customFormat="false" ht="15" hidden="false" customHeight="true" outlineLevel="0" collapsed="false">
      <c r="A2627" s="7" t="s">
        <v>83</v>
      </c>
      <c r="B2627" s="7" t="n">
        <v>2023</v>
      </c>
      <c r="C2627" s="7" t="s">
        <v>164</v>
      </c>
      <c r="D2627" s="7" t="n">
        <v>84</v>
      </c>
      <c r="E2627" s="7" t="n">
        <v>78</v>
      </c>
      <c r="F2627" s="3" t="n">
        <f aca="false">COUNTIFS($B$2:$B$2705,B2627,$C$2:$C$2705,C2627)</f>
        <v>1</v>
      </c>
      <c r="G2627" s="3" t="n">
        <f aca="false">MIN(INT((MIN(B2627,2020)-1900)/10)+1,12)</f>
        <v>12</v>
      </c>
      <c r="H2627" s="3" t="n">
        <f aca="false">(MIN(B2627,2020)-1900-10*(G2627-1))/10</f>
        <v>1</v>
      </c>
      <c r="I2627" s="20" t="n">
        <f aca="false">EXP(LN(INDEX(Pop_Inputs!$B$2:$N$29,MATCH(C2627,Pop_Inputs!$A$2:$A$29,0),G2627))*(1-H2627)+LN(INDEX(Pop_Inputs!$B$2:$N$29,MATCH(C2627,Pop_Inputs!$A$2:$A$29,0),G2627+1))*H2627)</f>
        <v>442241</v>
      </c>
      <c r="J2627" s="20" t="n">
        <f aca="false">I2627/F2627</f>
        <v>442241</v>
      </c>
      <c r="K2627" s="21" t="n">
        <f aca="false">D2627/(D2627+E2627)</f>
        <v>0.518518518518519</v>
      </c>
      <c r="L2627" s="21" t="n">
        <f aca="false">AVERAGEIFS($K$2:$K$2705,$B$2:$B$2705,B2627)</f>
        <v>0.5</v>
      </c>
      <c r="M2627" s="21" t="n">
        <f aca="false">K2627-L2627</f>
        <v>0.0185185185185185</v>
      </c>
      <c r="N2627" s="21" t="n">
        <f aca="false">LN(J2627)</f>
        <v>12.9996102613345</v>
      </c>
      <c r="O2627" s="21" t="n">
        <f aca="false">AVERAGEIFS($N$2:$N$2705,$B$2:$B$2705,B2627)</f>
        <v>13.6790216080491</v>
      </c>
      <c r="P2627" s="21" t="n">
        <f aca="false">N2627-O2627</f>
        <v>-0.679411346714641</v>
      </c>
      <c r="Q2627" s="7" t="n">
        <v>1</v>
      </c>
      <c r="R2627" s="3" t="n">
        <f aca="false">IF(AND(Q2627=1,B2627-_xlfn.MINIFS($B$2:$B$2705,$A$2:$A$2705,A2627)&lt;10),1,0)</f>
        <v>0</v>
      </c>
      <c r="S2627" s="7" t="n">
        <v>0</v>
      </c>
      <c r="T2627" s="3" t="n">
        <f aca="false">_xlfn.MINIFS($B$2:$B$2705,$A$2:$A$2705,A2627)</f>
        <v>1993</v>
      </c>
      <c r="U2627" s="3" t="n">
        <f aca="false">B2627-T2627</f>
        <v>30</v>
      </c>
      <c r="V2627" s="3" t="str">
        <f aca="false">INDEX(Pop_Inputs!$Q$2:$Q$29,MATCH(C2627,Pop_Inputs!$A$2:$A$29,0))</f>
        <v>South</v>
      </c>
      <c r="W2627" s="29" t="n">
        <v>91975000</v>
      </c>
      <c r="X2627" s="3" t="n">
        <f aca="false">IF(W2627="","",LN(W2627))</f>
        <v>18.3370273589551</v>
      </c>
      <c r="Y2627" s="3" t="n">
        <f aca="false">IF(X2627="","",X2627-AVERAGEIFS($X$2:$X$2705,$B$2:$B$2705,B2627))</f>
        <v>-0.451568435585571</v>
      </c>
      <c r="Z2627" s="21" t="n">
        <f aca="false">P2627</f>
        <v>-0.679411346714641</v>
      </c>
      <c r="AA2627" s="3" t="n">
        <f aca="false">R2627</f>
        <v>0</v>
      </c>
      <c r="AB2627" s="21" t="n">
        <f aca="false">P2627</f>
        <v>-0.679411346714641</v>
      </c>
      <c r="AC2627" s="3" t="n">
        <f aca="false">Y2627</f>
        <v>-0.451568435585571</v>
      </c>
      <c r="AD2627" s="3" t="n">
        <f aca="false">R2627</f>
        <v>0</v>
      </c>
    </row>
    <row r="2628" customFormat="false" ht="15" hidden="false" customHeight="true" outlineLevel="0" collapsed="false">
      <c r="A2628" s="7" t="s">
        <v>74</v>
      </c>
      <c r="B2628" s="7" t="n">
        <v>2023</v>
      </c>
      <c r="C2628" s="7" t="s">
        <v>156</v>
      </c>
      <c r="D2628" s="7" t="n">
        <v>90</v>
      </c>
      <c r="E2628" s="7" t="n">
        <v>72</v>
      </c>
      <c r="F2628" s="3" t="n">
        <f aca="false">COUNTIFS($B$2:$B$2705,B2628,$C$2:$C$2705,C2628)</f>
        <v>1</v>
      </c>
      <c r="G2628" s="3" t="n">
        <f aca="false">MIN(INT((MIN(B2628,2020)-1900)/10)+1,12)</f>
        <v>12</v>
      </c>
      <c r="H2628" s="3" t="n">
        <f aca="false">(MIN(B2628,2020)-1900-10*(G2628-1))/10</f>
        <v>1</v>
      </c>
      <c r="I2628" s="20" t="n">
        <f aca="false">EXP(LN(INDEX(Pop_Inputs!$B$2:$N$29,MATCH(C2628,Pop_Inputs!$A$2:$A$29,0),G2628))*(1-H2628)+LN(INDEX(Pop_Inputs!$B$2:$N$29,MATCH(C2628,Pop_Inputs!$A$2:$A$29,0),G2628+1))*H2628)</f>
        <v>2304580</v>
      </c>
      <c r="J2628" s="20" t="n">
        <f aca="false">I2628/F2628</f>
        <v>2304580</v>
      </c>
      <c r="K2628" s="21" t="n">
        <f aca="false">D2628/(D2628+E2628)</f>
        <v>0.555555555555556</v>
      </c>
      <c r="L2628" s="21" t="n">
        <f aca="false">AVERAGEIFS($K$2:$K$2705,$B$2:$B$2705,B2628)</f>
        <v>0.5</v>
      </c>
      <c r="M2628" s="21" t="n">
        <f aca="false">K2628-L2628</f>
        <v>0.0555555555555556</v>
      </c>
      <c r="N2628" s="21" t="n">
        <f aca="false">LN(J2628)</f>
        <v>14.6504090052288</v>
      </c>
      <c r="O2628" s="21" t="n">
        <f aca="false">AVERAGEIFS($N$2:$N$2705,$B$2:$B$2705,B2628)</f>
        <v>13.6790216080491</v>
      </c>
      <c r="P2628" s="21" t="n">
        <f aca="false">N2628-O2628</f>
        <v>0.97138739717971</v>
      </c>
      <c r="Q2628" s="7" t="n">
        <v>1</v>
      </c>
      <c r="R2628" s="3" t="n">
        <f aca="false">IF(AND(Q2628=1,B2628-_xlfn.MINIFS($B$2:$B$2705,$A$2:$A$2705,A2628)&lt;10),1,0)</f>
        <v>0</v>
      </c>
      <c r="S2628" s="7" t="n">
        <v>0</v>
      </c>
      <c r="T2628" s="3" t="n">
        <f aca="false">_xlfn.MINIFS($B$2:$B$2705,$A$2:$A$2705,A2628)</f>
        <v>1962</v>
      </c>
      <c r="U2628" s="3" t="n">
        <f aca="false">B2628-T2628</f>
        <v>61</v>
      </c>
      <c r="V2628" s="3" t="str">
        <f aca="false">INDEX(Pop_Inputs!$Q$2:$Q$29,MATCH(C2628,Pop_Inputs!$A$2:$A$29,0))</f>
        <v>South</v>
      </c>
      <c r="W2628" s="29" t="n">
        <v>192767233</v>
      </c>
      <c r="X2628" s="3" t="n">
        <f aca="false">IF(W2628="","",LN(W2628))</f>
        <v>19.0769939723775</v>
      </c>
      <c r="Y2628" s="3" t="n">
        <f aca="false">IF(X2628="","",X2628-AVERAGEIFS($X$2:$X$2705,$B$2:$B$2705,B2628))</f>
        <v>0.288398177836832</v>
      </c>
      <c r="Z2628" s="21" t="n">
        <f aca="false">P2628</f>
        <v>0.97138739717971</v>
      </c>
      <c r="AA2628" s="3" t="n">
        <f aca="false">R2628</f>
        <v>0</v>
      </c>
      <c r="AB2628" s="21" t="n">
        <f aca="false">P2628</f>
        <v>0.97138739717971</v>
      </c>
      <c r="AC2628" s="3" t="n">
        <f aca="false">Y2628</f>
        <v>0.288398177836832</v>
      </c>
      <c r="AD2628" s="3" t="n">
        <f aca="false">R2628</f>
        <v>0</v>
      </c>
    </row>
    <row r="2629" customFormat="false" ht="15" hidden="false" customHeight="true" outlineLevel="0" collapsed="false">
      <c r="A2629" s="7" t="s">
        <v>76</v>
      </c>
      <c r="B2629" s="7" t="n">
        <v>2023</v>
      </c>
      <c r="C2629" s="7" t="s">
        <v>157</v>
      </c>
      <c r="D2629" s="7" t="n">
        <v>56</v>
      </c>
      <c r="E2629" s="7" t="n">
        <v>106</v>
      </c>
      <c r="F2629" s="3" t="n">
        <f aca="false">COUNTIFS($B$2:$B$2705,B2629,$C$2:$C$2705,C2629)</f>
        <v>1</v>
      </c>
      <c r="G2629" s="3" t="n">
        <f aca="false">MIN(INT((MIN(B2629,2020)-1900)/10)+1,12)</f>
        <v>12</v>
      </c>
      <c r="H2629" s="3" t="n">
        <f aca="false">(MIN(B2629,2020)-1900-10*(G2629-1))/10</f>
        <v>1</v>
      </c>
      <c r="I2629" s="20" t="n">
        <f aca="false">EXP(LN(INDEX(Pop_Inputs!$B$2:$N$29,MATCH(C2629,Pop_Inputs!$A$2:$A$29,0),G2629))*(1-H2629)+LN(INDEX(Pop_Inputs!$B$2:$N$29,MATCH(C2629,Pop_Inputs!$A$2:$A$29,0),G2629+1))*H2629)</f>
        <v>508090</v>
      </c>
      <c r="J2629" s="20" t="n">
        <f aca="false">I2629/F2629</f>
        <v>508090</v>
      </c>
      <c r="K2629" s="21" t="n">
        <f aca="false">D2629/(D2629+E2629)</f>
        <v>0.345679012345679</v>
      </c>
      <c r="L2629" s="21" t="n">
        <f aca="false">AVERAGEIFS($K$2:$K$2705,$B$2:$B$2705,B2629)</f>
        <v>0.5</v>
      </c>
      <c r="M2629" s="21" t="n">
        <f aca="false">K2629-L2629</f>
        <v>-0.154320987654321</v>
      </c>
      <c r="N2629" s="21" t="n">
        <f aca="false">LN(J2629)</f>
        <v>13.138413876223</v>
      </c>
      <c r="O2629" s="21" t="n">
        <f aca="false">AVERAGEIFS($N$2:$N$2705,$B$2:$B$2705,B2629)</f>
        <v>13.6790216080491</v>
      </c>
      <c r="P2629" s="21" t="n">
        <f aca="false">N2629-O2629</f>
        <v>-0.54060773182608</v>
      </c>
      <c r="Q2629" s="7" t="n">
        <v>1</v>
      </c>
      <c r="R2629" s="3" t="n">
        <f aca="false">IF(AND(Q2629=1,B2629-_xlfn.MINIFS($B$2:$B$2705,$A$2:$A$2705,A2629)&lt;10),1,0)</f>
        <v>0</v>
      </c>
      <c r="S2629" s="7" t="n">
        <v>0</v>
      </c>
      <c r="T2629" s="3" t="n">
        <f aca="false">_xlfn.MINIFS($B$2:$B$2705,$A$2:$A$2705,A2629)</f>
        <v>1969</v>
      </c>
      <c r="U2629" s="3" t="n">
        <f aca="false">B2629-T2629</f>
        <v>54</v>
      </c>
      <c r="V2629" s="3" t="str">
        <f aca="false">INDEX(Pop_Inputs!$Q$2:$Q$29,MATCH(C2629,Pop_Inputs!$A$2:$A$29,0))</f>
        <v>Midwest</v>
      </c>
      <c r="W2629" s="29" t="n">
        <v>90118100</v>
      </c>
      <c r="X2629" s="3" t="n">
        <f aca="false">IF(W2629="","",LN(W2629))</f>
        <v>18.3166315903056</v>
      </c>
      <c r="Y2629" s="3" t="n">
        <f aca="false">IF(X2629="","",X2629-AVERAGEIFS($X$2:$X$2705,$B$2:$B$2705,B2629))</f>
        <v>-0.471964204235057</v>
      </c>
      <c r="Z2629" s="21" t="n">
        <f aca="false">P2629</f>
        <v>-0.54060773182608</v>
      </c>
      <c r="AA2629" s="3" t="n">
        <f aca="false">R2629</f>
        <v>0</v>
      </c>
      <c r="AB2629" s="21" t="n">
        <f aca="false">P2629</f>
        <v>-0.54060773182608</v>
      </c>
      <c r="AC2629" s="3" t="n">
        <f aca="false">Y2629</f>
        <v>-0.471964204235057</v>
      </c>
      <c r="AD2629" s="3" t="n">
        <f aca="false">R2629</f>
        <v>0</v>
      </c>
    </row>
    <row r="2630" customFormat="false" ht="15" hidden="false" customHeight="true" outlineLevel="0" collapsed="false">
      <c r="A2630" s="7" t="s">
        <v>62</v>
      </c>
      <c r="B2630" s="7" t="n">
        <v>2023</v>
      </c>
      <c r="C2630" s="7" t="s">
        <v>148</v>
      </c>
      <c r="D2630" s="7" t="n">
        <v>100</v>
      </c>
      <c r="E2630" s="7" t="n">
        <v>62</v>
      </c>
      <c r="F2630" s="3" t="n">
        <f aca="false">COUNTIFS($B$2:$B$2705,B2630,$C$2:$C$2705,C2630)</f>
        <v>2</v>
      </c>
      <c r="G2630" s="3" t="n">
        <f aca="false">MIN(INT((MIN(B2630,2020)-1900)/10)+1,12)</f>
        <v>12</v>
      </c>
      <c r="H2630" s="3" t="n">
        <f aca="false">(MIN(B2630,2020)-1900-10*(G2630-1))/10</f>
        <v>1</v>
      </c>
      <c r="I2630" s="20" t="n">
        <f aca="false">EXP(LN(INDEX(Pop_Inputs!$B$2:$N$29,MATCH(C2630,Pop_Inputs!$A$2:$A$29,0),G2630))*(1-H2630)+LN(INDEX(Pop_Inputs!$B$2:$N$29,MATCH(C2630,Pop_Inputs!$A$2:$A$29,0),G2630+1))*H2630)</f>
        <v>3898747</v>
      </c>
      <c r="J2630" s="20" t="n">
        <f aca="false">I2630/F2630</f>
        <v>1949373.5</v>
      </c>
      <c r="K2630" s="21" t="n">
        <f aca="false">D2630/(D2630+E2630)</f>
        <v>0.617283950617284</v>
      </c>
      <c r="L2630" s="21" t="n">
        <f aca="false">AVERAGEIFS($K$2:$K$2705,$B$2:$B$2705,B2630)</f>
        <v>0.5</v>
      </c>
      <c r="M2630" s="21" t="n">
        <f aca="false">K2630-L2630</f>
        <v>0.117283950617284</v>
      </c>
      <c r="N2630" s="21" t="n">
        <f aca="false">LN(J2630)</f>
        <v>14.4830185968665</v>
      </c>
      <c r="O2630" s="21" t="n">
        <f aca="false">AVERAGEIFS($N$2:$N$2705,$B$2:$B$2705,B2630)</f>
        <v>13.6790216080491</v>
      </c>
      <c r="P2630" s="21" t="n">
        <f aca="false">N2630-O2630</f>
        <v>0.80399698881741</v>
      </c>
      <c r="Q2630" s="7" t="n">
        <v>0</v>
      </c>
      <c r="R2630" s="3" t="n">
        <f aca="false">IF(AND(Q2630=1,B2630-_xlfn.MINIFS($B$2:$B$2705,$A$2:$A$2705,A2630)&lt;10),1,0)</f>
        <v>0</v>
      </c>
      <c r="S2630" s="7" t="n">
        <v>0</v>
      </c>
      <c r="T2630" s="3" t="n">
        <f aca="false">_xlfn.MINIFS($B$2:$B$2705,$A$2:$A$2705,A2630)</f>
        <v>1901</v>
      </c>
      <c r="U2630" s="3" t="n">
        <f aca="false">B2630-T2630</f>
        <v>122</v>
      </c>
      <c r="V2630" s="3" t="str">
        <f aca="false">INDEX(Pop_Inputs!$Q$2:$Q$29,MATCH(C2630,Pop_Inputs!$A$2:$A$29,0))</f>
        <v>West</v>
      </c>
      <c r="W2630" s="29" t="n">
        <v>221759500</v>
      </c>
      <c r="X2630" s="3" t="n">
        <f aca="false">IF(W2630="","",LN(W2630))</f>
        <v>19.2171040192735</v>
      </c>
      <c r="Y2630" s="3" t="n">
        <f aca="false">IF(X2630="","",X2630-AVERAGEIFS($X$2:$X$2705,$B$2:$B$2705,B2630))</f>
        <v>0.428508224732834</v>
      </c>
      <c r="Z2630" s="21" t="n">
        <f aca="false">P2630</f>
        <v>0.80399698881741</v>
      </c>
      <c r="AA2630" s="3" t="n">
        <f aca="false">R2630</f>
        <v>0</v>
      </c>
      <c r="AB2630" s="21" t="n">
        <f aca="false">P2630</f>
        <v>0.80399698881741</v>
      </c>
      <c r="AC2630" s="3" t="n">
        <f aca="false">Y2630</f>
        <v>0.428508224732834</v>
      </c>
      <c r="AD2630" s="3" t="n">
        <f aca="false">R2630</f>
        <v>0</v>
      </c>
    </row>
    <row r="2631" customFormat="false" ht="15" hidden="false" customHeight="true" outlineLevel="0" collapsed="false">
      <c r="A2631" s="7" t="s">
        <v>77</v>
      </c>
      <c r="B2631" s="7" t="n">
        <v>2023</v>
      </c>
      <c r="C2631" s="7" t="s">
        <v>158</v>
      </c>
      <c r="D2631" s="7" t="n">
        <v>92</v>
      </c>
      <c r="E2631" s="7" t="n">
        <v>70</v>
      </c>
      <c r="F2631" s="3" t="n">
        <f aca="false">COUNTIFS($B$2:$B$2705,B2631,$C$2:$C$2705,C2631)</f>
        <v>1</v>
      </c>
      <c r="G2631" s="3" t="n">
        <f aca="false">MIN(INT((MIN(B2631,2020)-1900)/10)+1,12)</f>
        <v>12</v>
      </c>
      <c r="H2631" s="3" t="n">
        <f aca="false">(MIN(B2631,2020)-1900-10*(G2631-1))/10</f>
        <v>1</v>
      </c>
      <c r="I2631" s="20" t="n">
        <f aca="false">EXP(LN(INDEX(Pop_Inputs!$B$2:$N$29,MATCH(C2631,Pop_Inputs!$A$2:$A$29,0),G2631))*(1-H2631)+LN(INDEX(Pop_Inputs!$B$2:$N$29,MATCH(C2631,Pop_Inputs!$A$2:$A$29,0),G2631+1))*H2631)</f>
        <v>577222</v>
      </c>
      <c r="J2631" s="20" t="n">
        <f aca="false">I2631/F2631</f>
        <v>577222</v>
      </c>
      <c r="K2631" s="21" t="n">
        <f aca="false">D2631/(D2631+E2631)</f>
        <v>0.567901234567901</v>
      </c>
      <c r="L2631" s="21" t="n">
        <f aca="false">AVERAGEIFS($K$2:$K$2705,$B$2:$B$2705,B2631)</f>
        <v>0.5</v>
      </c>
      <c r="M2631" s="21" t="n">
        <f aca="false">K2631-L2631</f>
        <v>0.0679012345679012</v>
      </c>
      <c r="N2631" s="21" t="n">
        <f aca="false">LN(J2631)</f>
        <v>13.2659822201936</v>
      </c>
      <c r="O2631" s="21" t="n">
        <f aca="false">AVERAGEIFS($N$2:$N$2705,$B$2:$B$2705,B2631)</f>
        <v>13.6790216080491</v>
      </c>
      <c r="P2631" s="21" t="n">
        <f aca="false">N2631-O2631</f>
        <v>-0.413039387855493</v>
      </c>
      <c r="Q2631" s="7" t="n">
        <v>1</v>
      </c>
      <c r="R2631" s="3" t="n">
        <f aca="false">IF(AND(Q2631=1,B2631-_xlfn.MINIFS($B$2:$B$2705,$A$2:$A$2705,A2631)&lt;10),1,0)</f>
        <v>0</v>
      </c>
      <c r="S2631" s="7" t="n">
        <v>0</v>
      </c>
      <c r="T2631" s="3" t="n">
        <f aca="false">_xlfn.MINIFS($B$2:$B$2705,$A$2:$A$2705,A2631)</f>
        <v>1969</v>
      </c>
      <c r="U2631" s="3" t="n">
        <f aca="false">B2631-T2631</f>
        <v>54</v>
      </c>
      <c r="V2631" s="3" t="str">
        <f aca="false">INDEX(Pop_Inputs!$Q$2:$Q$29,MATCH(C2631,Pop_Inputs!$A$2:$A$29,0))</f>
        <v>Midwest</v>
      </c>
      <c r="W2631" s="29" t="n">
        <v>116351987</v>
      </c>
      <c r="X2631" s="3" t="n">
        <f aca="false">IF(W2631="","",LN(W2631))</f>
        <v>18.5721305253493</v>
      </c>
      <c r="Y2631" s="3" t="n">
        <f aca="false">IF(X2631="","",X2631-AVERAGEIFS($X$2:$X$2705,$B$2:$B$2705,B2631))</f>
        <v>-0.216465269191378</v>
      </c>
      <c r="Z2631" s="21" t="n">
        <f aca="false">P2631</f>
        <v>-0.413039387855493</v>
      </c>
      <c r="AA2631" s="3" t="n">
        <f aca="false">R2631</f>
        <v>0</v>
      </c>
      <c r="AB2631" s="21" t="n">
        <f aca="false">P2631</f>
        <v>-0.413039387855493</v>
      </c>
      <c r="AC2631" s="3" t="n">
        <f aca="false">Y2631</f>
        <v>-0.216465269191378</v>
      </c>
      <c r="AD2631" s="3" t="n">
        <f aca="false">R2631</f>
        <v>0</v>
      </c>
    </row>
    <row r="2632" customFormat="false" ht="15" hidden="false" customHeight="true" outlineLevel="0" collapsed="false">
      <c r="A2632" s="7" t="s">
        <v>68</v>
      </c>
      <c r="B2632" s="7" t="n">
        <v>2023</v>
      </c>
      <c r="C2632" s="7" t="s">
        <v>153</v>
      </c>
      <c r="D2632" s="7" t="n">
        <v>87</v>
      </c>
      <c r="E2632" s="7" t="n">
        <v>75</v>
      </c>
      <c r="F2632" s="3" t="n">
        <f aca="false">COUNTIFS($B$2:$B$2705,B2632,$C$2:$C$2705,C2632)</f>
        <v>1</v>
      </c>
      <c r="G2632" s="3" t="n">
        <f aca="false">MIN(INT((MIN(B2632,2020)-1900)/10)+1,12)</f>
        <v>12</v>
      </c>
      <c r="H2632" s="3" t="n">
        <f aca="false">(MIN(B2632,2020)-1900-10*(G2632-1))/10</f>
        <v>1</v>
      </c>
      <c r="I2632" s="20" t="n">
        <f aca="false">EXP(LN(INDEX(Pop_Inputs!$B$2:$N$29,MATCH(C2632,Pop_Inputs!$A$2:$A$29,0),G2632))*(1-H2632)+LN(INDEX(Pop_Inputs!$B$2:$N$29,MATCH(C2632,Pop_Inputs!$A$2:$A$29,0),G2632+1))*H2632)</f>
        <v>429954</v>
      </c>
      <c r="J2632" s="20" t="n">
        <f aca="false">I2632/F2632</f>
        <v>429954</v>
      </c>
      <c r="K2632" s="21" t="n">
        <f aca="false">D2632/(D2632+E2632)</f>
        <v>0.537037037037037</v>
      </c>
      <c r="L2632" s="21" t="n">
        <f aca="false">AVERAGEIFS($K$2:$K$2705,$B$2:$B$2705,B2632)</f>
        <v>0.5</v>
      </c>
      <c r="M2632" s="21" t="n">
        <f aca="false">K2632-L2632</f>
        <v>0.0370370370370371</v>
      </c>
      <c r="N2632" s="21" t="n">
        <f aca="false">LN(J2632)</f>
        <v>12.9714335052031</v>
      </c>
      <c r="O2632" s="21" t="n">
        <f aca="false">AVERAGEIFS($N$2:$N$2705,$B$2:$B$2705,B2632)</f>
        <v>13.6790216080491</v>
      </c>
      <c r="P2632" s="21" t="n">
        <f aca="false">N2632-O2632</f>
        <v>-0.707588102845962</v>
      </c>
      <c r="Q2632" s="7" t="n">
        <v>0</v>
      </c>
      <c r="R2632" s="3" t="n">
        <f aca="false">IF(AND(Q2632=1,B2632-_xlfn.MINIFS($B$2:$B$2705,$A$2:$A$2705,A2632)&lt;10),1,0)</f>
        <v>0</v>
      </c>
      <c r="S2632" s="7" t="n">
        <v>0</v>
      </c>
      <c r="T2632" s="3" t="n">
        <f aca="false">_xlfn.MINIFS($B$2:$B$2705,$A$2:$A$2705,A2632)</f>
        <v>1901</v>
      </c>
      <c r="U2632" s="3" t="n">
        <f aca="false">B2632-T2632</f>
        <v>122</v>
      </c>
      <c r="V2632" s="3" t="str">
        <f aca="false">INDEX(Pop_Inputs!$Q$2:$Q$29,MATCH(C2632,Pop_Inputs!$A$2:$A$29,0))</f>
        <v>Midwest</v>
      </c>
      <c r="W2632" s="29" t="n">
        <v>156488740</v>
      </c>
      <c r="X2632" s="3" t="n">
        <f aca="false">IF(W2632="","",LN(W2632))</f>
        <v>18.8684946164742</v>
      </c>
      <c r="Y2632" s="3" t="n">
        <f aca="false">IF(X2632="","",X2632-AVERAGEIFS($X$2:$X$2705,$B$2:$B$2705,B2632))</f>
        <v>0.0798988219335648</v>
      </c>
      <c r="Z2632" s="21" t="n">
        <f aca="false">P2632</f>
        <v>-0.707588102845962</v>
      </c>
      <c r="AA2632" s="3" t="n">
        <f aca="false">R2632</f>
        <v>0</v>
      </c>
      <c r="AB2632" s="21" t="n">
        <f aca="false">P2632</f>
        <v>-0.707588102845962</v>
      </c>
      <c r="AC2632" s="3" t="n">
        <f aca="false">Y2632</f>
        <v>0.0798988219335648</v>
      </c>
      <c r="AD2632" s="3" t="n">
        <f aca="false">R2632</f>
        <v>0</v>
      </c>
    </row>
    <row r="2633" customFormat="false" ht="15" hidden="false" customHeight="true" outlineLevel="0" collapsed="false">
      <c r="A2633" s="7" t="s">
        <v>75</v>
      </c>
      <c r="B2633" s="7" t="n">
        <v>2023</v>
      </c>
      <c r="C2633" s="7" t="s">
        <v>154</v>
      </c>
      <c r="D2633" s="7" t="n">
        <v>75</v>
      </c>
      <c r="E2633" s="7" t="n">
        <v>87</v>
      </c>
      <c r="F2633" s="3" t="n">
        <f aca="false">COUNTIFS($B$2:$B$2705,B2633,$C$2:$C$2705,C2633)</f>
        <v>2</v>
      </c>
      <c r="G2633" s="3" t="n">
        <f aca="false">MIN(INT((MIN(B2633,2020)-1900)/10)+1,12)</f>
        <v>12</v>
      </c>
      <c r="H2633" s="3" t="n">
        <f aca="false">(MIN(B2633,2020)-1900-10*(G2633-1))/10</f>
        <v>1</v>
      </c>
      <c r="I2633" s="20" t="n">
        <f aca="false">EXP(LN(INDEX(Pop_Inputs!$B$2:$N$29,MATCH(C2633,Pop_Inputs!$A$2:$A$29,0),G2633))*(1-H2633)+LN(INDEX(Pop_Inputs!$B$2:$N$29,MATCH(C2633,Pop_Inputs!$A$2:$A$29,0),G2633+1))*H2633)</f>
        <v>8804190</v>
      </c>
      <c r="J2633" s="20" t="n">
        <f aca="false">I2633/F2633</f>
        <v>4402095</v>
      </c>
      <c r="K2633" s="21" t="n">
        <f aca="false">D2633/(D2633+E2633)</f>
        <v>0.462962962962963</v>
      </c>
      <c r="L2633" s="21" t="n">
        <f aca="false">AVERAGEIFS($K$2:$K$2705,$B$2:$B$2705,B2633)</f>
        <v>0.5</v>
      </c>
      <c r="M2633" s="21" t="n">
        <f aca="false">K2633-L2633</f>
        <v>-0.037037037037037</v>
      </c>
      <c r="N2633" s="21" t="n">
        <f aca="false">LN(J2633)</f>
        <v>15.2975911219352</v>
      </c>
      <c r="O2633" s="21" t="n">
        <f aca="false">AVERAGEIFS($N$2:$N$2705,$B$2:$B$2705,B2633)</f>
        <v>13.6790216080491</v>
      </c>
      <c r="P2633" s="21" t="n">
        <f aca="false">N2633-O2633</f>
        <v>1.61856951388607</v>
      </c>
      <c r="Q2633" s="7" t="n">
        <v>1</v>
      </c>
      <c r="R2633" s="3" t="n">
        <f aca="false">IF(AND(Q2633=1,B2633-_xlfn.MINIFS($B$2:$B$2705,$A$2:$A$2705,A2633)&lt;10),1,0)</f>
        <v>0</v>
      </c>
      <c r="S2633" s="7" t="n">
        <v>0</v>
      </c>
      <c r="T2633" s="3" t="n">
        <f aca="false">_xlfn.MINIFS($B$2:$B$2705,$A$2:$A$2705,A2633)</f>
        <v>1962</v>
      </c>
      <c r="U2633" s="3" t="n">
        <f aca="false">B2633-T2633</f>
        <v>61</v>
      </c>
      <c r="V2633" s="3" t="str">
        <f aca="false">INDEX(Pop_Inputs!$Q$2:$Q$29,MATCH(C2633,Pop_Inputs!$A$2:$A$29,0))</f>
        <v>Northeast</v>
      </c>
      <c r="W2633" s="29" t="n">
        <v>355436854</v>
      </c>
      <c r="X2633" s="3" t="n">
        <f aca="false">IF(W2633="","",LN(W2633))</f>
        <v>19.6888581655512</v>
      </c>
      <c r="Y2633" s="3" t="n">
        <f aca="false">IF(X2633="","",X2633-AVERAGEIFS($X$2:$X$2705,$B$2:$B$2705,B2633))</f>
        <v>0.900262371010498</v>
      </c>
      <c r="Z2633" s="21" t="n">
        <f aca="false">P2633</f>
        <v>1.61856951388607</v>
      </c>
      <c r="AA2633" s="3" t="n">
        <f aca="false">R2633</f>
        <v>0</v>
      </c>
      <c r="AB2633" s="21" t="n">
        <f aca="false">P2633</f>
        <v>1.61856951388607</v>
      </c>
      <c r="AC2633" s="3" t="n">
        <f aca="false">Y2633</f>
        <v>0.900262371010498</v>
      </c>
      <c r="AD2633" s="3" t="n">
        <f aca="false">R2633</f>
        <v>0</v>
      </c>
    </row>
    <row r="2634" customFormat="false" ht="15" hidden="false" customHeight="true" outlineLevel="0" collapsed="false">
      <c r="A2634" s="7" t="s">
        <v>70</v>
      </c>
      <c r="B2634" s="7" t="n">
        <v>2023</v>
      </c>
      <c r="C2634" s="7" t="s">
        <v>154</v>
      </c>
      <c r="D2634" s="7" t="n">
        <v>82</v>
      </c>
      <c r="E2634" s="7" t="n">
        <v>80</v>
      </c>
      <c r="F2634" s="3" t="n">
        <f aca="false">COUNTIFS($B$2:$B$2705,B2634,$C$2:$C$2705,C2634)</f>
        <v>2</v>
      </c>
      <c r="G2634" s="3" t="n">
        <f aca="false">MIN(INT((MIN(B2634,2020)-1900)/10)+1,12)</f>
        <v>12</v>
      </c>
      <c r="H2634" s="3" t="n">
        <f aca="false">(MIN(B2634,2020)-1900-10*(G2634-1))/10</f>
        <v>1</v>
      </c>
      <c r="I2634" s="20" t="n">
        <f aca="false">EXP(LN(INDEX(Pop_Inputs!$B$2:$N$29,MATCH(C2634,Pop_Inputs!$A$2:$A$29,0),G2634))*(1-H2634)+LN(INDEX(Pop_Inputs!$B$2:$N$29,MATCH(C2634,Pop_Inputs!$A$2:$A$29,0),G2634+1))*H2634)</f>
        <v>8804190</v>
      </c>
      <c r="J2634" s="20" t="n">
        <f aca="false">I2634/F2634</f>
        <v>4402095</v>
      </c>
      <c r="K2634" s="21" t="n">
        <f aca="false">D2634/(D2634+E2634)</f>
        <v>0.506172839506173</v>
      </c>
      <c r="L2634" s="21" t="n">
        <f aca="false">AVERAGEIFS($K$2:$K$2705,$B$2:$B$2705,B2634)</f>
        <v>0.5</v>
      </c>
      <c r="M2634" s="21" t="n">
        <f aca="false">K2634-L2634</f>
        <v>0.00617283950617287</v>
      </c>
      <c r="N2634" s="21" t="n">
        <f aca="false">LN(J2634)</f>
        <v>15.2975911219352</v>
      </c>
      <c r="O2634" s="21" t="n">
        <f aca="false">AVERAGEIFS($N$2:$N$2705,$B$2:$B$2705,B2634)</f>
        <v>13.6790216080491</v>
      </c>
      <c r="P2634" s="21" t="n">
        <f aca="false">N2634-O2634</f>
        <v>1.61856951388607</v>
      </c>
      <c r="Q2634" s="7" t="n">
        <v>0</v>
      </c>
      <c r="R2634" s="3" t="n">
        <f aca="false">IF(AND(Q2634=1,B2634-_xlfn.MINIFS($B$2:$B$2705,$A$2:$A$2705,A2634)&lt;10),1,0)</f>
        <v>0</v>
      </c>
      <c r="S2634" s="7" t="n">
        <v>1</v>
      </c>
      <c r="T2634" s="3" t="n">
        <f aca="false">_xlfn.MINIFS($B$2:$B$2705,$A$2:$A$2705,A2634)</f>
        <v>1903</v>
      </c>
      <c r="U2634" s="3" t="n">
        <f aca="false">B2634-T2634</f>
        <v>120</v>
      </c>
      <c r="V2634" s="3" t="str">
        <f aca="false">INDEX(Pop_Inputs!$Q$2:$Q$29,MATCH(C2634,Pop_Inputs!$A$2:$A$29,0))</f>
        <v>Northeast</v>
      </c>
      <c r="W2634" s="29" t="n">
        <v>275249873</v>
      </c>
      <c r="X2634" s="3" t="n">
        <f aca="false">IF(W2634="","",LN(W2634))</f>
        <v>19.4331898721682</v>
      </c>
      <c r="Y2634" s="3" t="n">
        <f aca="false">IF(X2634="","",X2634-AVERAGEIFS($X$2:$X$2705,$B$2:$B$2705,B2634))</f>
        <v>0.644594077627545</v>
      </c>
      <c r="Z2634" s="21" t="n">
        <f aca="false">P2634</f>
        <v>1.61856951388607</v>
      </c>
      <c r="AA2634" s="3" t="n">
        <f aca="false">R2634</f>
        <v>0</v>
      </c>
      <c r="AB2634" s="21" t="n">
        <f aca="false">P2634</f>
        <v>1.61856951388607</v>
      </c>
      <c r="AC2634" s="3" t="n">
        <f aca="false">Y2634</f>
        <v>0.644594077627545</v>
      </c>
      <c r="AD2634" s="3" t="n">
        <f aca="false">R2634</f>
        <v>0</v>
      </c>
    </row>
    <row r="2635" customFormat="false" ht="15" hidden="false" customHeight="true" outlineLevel="0" collapsed="false">
      <c r="A2635" s="7" t="s">
        <v>69</v>
      </c>
      <c r="B2635" s="7" t="n">
        <v>2023</v>
      </c>
      <c r="C2635" s="7" t="s">
        <v>253</v>
      </c>
      <c r="D2635" s="7" t="n">
        <v>50</v>
      </c>
      <c r="E2635" s="7" t="n">
        <v>112</v>
      </c>
      <c r="F2635" s="3" t="n">
        <f aca="false">COUNTIFS($B$2:$B$2705,B2635,$C$2:$C$2705,C2635)</f>
        <v>1</v>
      </c>
      <c r="G2635" s="3" t="n">
        <f aca="false">MIN(INT((MIN(B2635,2020)-1900)/10)+1,12)</f>
        <v>12</v>
      </c>
      <c r="H2635" s="3" t="n">
        <f aca="false">(MIN(B2635,2020)-1900-10*(G2635-1))/10</f>
        <v>1</v>
      </c>
      <c r="I2635" s="20" t="n">
        <f aca="false">EXP(LN(INDEX(Pop_Inputs!$B$2:$N$29,MATCH(C2635,Pop_Inputs!$A$2:$A$29,0),G2635))*(1-H2635)+LN(INDEX(Pop_Inputs!$B$2:$N$29,MATCH(C2635,Pop_Inputs!$A$2:$A$29,0),G2635+1))*H2635)</f>
        <v>440646</v>
      </c>
      <c r="J2635" s="20" t="n">
        <f aca="false">I2635/F2635</f>
        <v>440646</v>
      </c>
      <c r="K2635" s="21" t="n">
        <f aca="false">D2635/(D2635+E2635)</f>
        <v>0.308641975308642</v>
      </c>
      <c r="L2635" s="21" t="n">
        <f aca="false">AVERAGEIFS($K$2:$K$2705,$B$2:$B$2705,B2635)</f>
        <v>0.5</v>
      </c>
      <c r="M2635" s="21" t="n">
        <f aca="false">K2635-L2635</f>
        <v>-0.191358024691358</v>
      </c>
      <c r="N2635" s="21" t="n">
        <f aca="false">LN(J2635)</f>
        <v>12.9959971109875</v>
      </c>
      <c r="O2635" s="21" t="n">
        <f aca="false">AVERAGEIFS($N$2:$N$2705,$B$2:$B$2705,B2635)</f>
        <v>13.6790216080491</v>
      </c>
      <c r="P2635" s="21" t="n">
        <f aca="false">N2635-O2635</f>
        <v>-0.683024497061645</v>
      </c>
      <c r="Q2635" s="7" t="n">
        <v>0</v>
      </c>
      <c r="R2635" s="3" t="n">
        <f aca="false">IF(AND(Q2635=1,B2635-_xlfn.MINIFS($B$2:$B$2705,$A$2:$A$2705,A2635)&lt;10),1,0)</f>
        <v>0</v>
      </c>
      <c r="S2635" s="7" t="n">
        <v>0</v>
      </c>
      <c r="T2635" s="3" t="n">
        <f aca="false">_xlfn.MINIFS($B$2:$B$2705,$A$2:$A$2705,A2635)</f>
        <v>1901</v>
      </c>
      <c r="U2635" s="3" t="n">
        <f aca="false">B2635-T2635</f>
        <v>122</v>
      </c>
      <c r="V2635" s="3" t="str">
        <f aca="false">INDEX(Pop_Inputs!$Q$2:$Q$29,MATCH(C2635,Pop_Inputs!$A$2:$A$29,0))</f>
        <v>West</v>
      </c>
      <c r="W2635" s="29" t="n">
        <v>57795000</v>
      </c>
      <c r="X2635" s="3" t="n">
        <f aca="false">IF(W2635="","",LN(W2635))</f>
        <v>17.8724128247105</v>
      </c>
      <c r="Y2635" s="3" t="n">
        <f aca="false">IF(X2635="","",X2635-AVERAGEIFS($X$2:$X$2705,$B$2:$B$2705,B2635))</f>
        <v>-0.916182969830178</v>
      </c>
      <c r="Z2635" s="21" t="n">
        <f aca="false">P2635</f>
        <v>-0.683024497061645</v>
      </c>
      <c r="AA2635" s="3" t="n">
        <f aca="false">R2635</f>
        <v>0</v>
      </c>
      <c r="AB2635" s="21" t="n">
        <f aca="false">P2635</f>
        <v>-0.683024497061645</v>
      </c>
      <c r="AC2635" s="3" t="n">
        <f aca="false">Y2635</f>
        <v>-0.916182969830178</v>
      </c>
      <c r="AD2635" s="3" t="n">
        <f aca="false">R2635</f>
        <v>0</v>
      </c>
    </row>
    <row r="2636" customFormat="false" ht="15" hidden="false" customHeight="true" outlineLevel="0" collapsed="false">
      <c r="A2636" s="7" t="s">
        <v>60</v>
      </c>
      <c r="B2636" s="7" t="n">
        <v>2023</v>
      </c>
      <c r="C2636" s="7" t="s">
        <v>146</v>
      </c>
      <c r="D2636" s="7" t="n">
        <v>90</v>
      </c>
      <c r="E2636" s="7" t="n">
        <v>72</v>
      </c>
      <c r="F2636" s="3" t="n">
        <f aca="false">COUNTIFS($B$2:$B$2705,B2636,$C$2:$C$2705,C2636)</f>
        <v>1</v>
      </c>
      <c r="G2636" s="3" t="n">
        <f aca="false">MIN(INT((MIN(B2636,2020)-1900)/10)+1,12)</f>
        <v>12</v>
      </c>
      <c r="H2636" s="3" t="n">
        <f aca="false">(MIN(B2636,2020)-1900-10*(G2636-1))/10</f>
        <v>1</v>
      </c>
      <c r="I2636" s="20" t="n">
        <f aca="false">EXP(LN(INDEX(Pop_Inputs!$B$2:$N$29,MATCH(C2636,Pop_Inputs!$A$2:$A$29,0),G2636))*(1-H2636)+LN(INDEX(Pop_Inputs!$B$2:$N$29,MATCH(C2636,Pop_Inputs!$A$2:$A$29,0),G2636+1))*H2636)</f>
        <v>1603797</v>
      </c>
      <c r="J2636" s="20" t="n">
        <f aca="false">I2636/F2636</f>
        <v>1603797</v>
      </c>
      <c r="K2636" s="21" t="n">
        <f aca="false">D2636/(D2636+E2636)</f>
        <v>0.555555555555556</v>
      </c>
      <c r="L2636" s="21" t="n">
        <f aca="false">AVERAGEIFS($K$2:$K$2705,$B$2:$B$2705,B2636)</f>
        <v>0.5</v>
      </c>
      <c r="M2636" s="21" t="n">
        <f aca="false">K2636-L2636</f>
        <v>0.0555555555555556</v>
      </c>
      <c r="N2636" s="21" t="n">
        <f aca="false">LN(J2636)</f>
        <v>14.2878845007959</v>
      </c>
      <c r="O2636" s="21" t="n">
        <f aca="false">AVERAGEIFS($N$2:$N$2705,$B$2:$B$2705,B2636)</f>
        <v>13.6790216080491</v>
      </c>
      <c r="P2636" s="21" t="n">
        <f aca="false">N2636-O2636</f>
        <v>0.608862892746789</v>
      </c>
      <c r="Q2636" s="7" t="n">
        <v>0</v>
      </c>
      <c r="R2636" s="3" t="n">
        <f aca="false">IF(AND(Q2636=1,B2636-_xlfn.MINIFS($B$2:$B$2705,$A$2:$A$2705,A2636)&lt;10),1,0)</f>
        <v>0</v>
      </c>
      <c r="S2636" s="7" t="n">
        <v>0</v>
      </c>
      <c r="T2636" s="3" t="n">
        <f aca="false">_xlfn.MINIFS($B$2:$B$2705,$A$2:$A$2705,A2636)</f>
        <v>1901</v>
      </c>
      <c r="U2636" s="3" t="n">
        <f aca="false">B2636-T2636</f>
        <v>122</v>
      </c>
      <c r="V2636" s="3" t="str">
        <f aca="false">INDEX(Pop_Inputs!$Q$2:$Q$29,MATCH(C2636,Pop_Inputs!$A$2:$A$29,0))</f>
        <v>Northeast</v>
      </c>
      <c r="W2636" s="29" t="n">
        <v>236260439</v>
      </c>
      <c r="X2636" s="3" t="n">
        <f aca="false">IF(W2636="","",LN(W2636))</f>
        <v>19.2804453096053</v>
      </c>
      <c r="Y2636" s="3" t="n">
        <f aca="false">IF(X2636="","",X2636-AVERAGEIFS($X$2:$X$2705,$B$2:$B$2705,B2636))</f>
        <v>0.491849515064647</v>
      </c>
      <c r="Z2636" s="21" t="n">
        <f aca="false">P2636</f>
        <v>0.608862892746789</v>
      </c>
      <c r="AA2636" s="3" t="n">
        <f aca="false">R2636</f>
        <v>0</v>
      </c>
      <c r="AB2636" s="21" t="n">
        <f aca="false">P2636</f>
        <v>0.608862892746789</v>
      </c>
      <c r="AC2636" s="3" t="n">
        <f aca="false">Y2636</f>
        <v>0.491849515064647</v>
      </c>
      <c r="AD2636" s="3" t="n">
        <f aca="false">R2636</f>
        <v>0</v>
      </c>
    </row>
    <row r="2637" customFormat="false" ht="15" hidden="false" customHeight="true" outlineLevel="0" collapsed="false">
      <c r="A2637" s="7" t="s">
        <v>58</v>
      </c>
      <c r="B2637" s="7" t="n">
        <v>2023</v>
      </c>
      <c r="C2637" s="7" t="s">
        <v>144</v>
      </c>
      <c r="D2637" s="7" t="n">
        <v>76</v>
      </c>
      <c r="E2637" s="7" t="n">
        <v>86</v>
      </c>
      <c r="F2637" s="3" t="n">
        <f aca="false">COUNTIFS($B$2:$B$2705,B2637,$C$2:$C$2705,C2637)</f>
        <v>1</v>
      </c>
      <c r="G2637" s="3" t="n">
        <f aca="false">MIN(INT((MIN(B2637,2020)-1900)/10)+1,12)</f>
        <v>12</v>
      </c>
      <c r="H2637" s="3" t="n">
        <f aca="false">(MIN(B2637,2020)-1900-10*(G2637-1))/10</f>
        <v>1</v>
      </c>
      <c r="I2637" s="20" t="n">
        <f aca="false">EXP(LN(INDEX(Pop_Inputs!$B$2:$N$29,MATCH(C2637,Pop_Inputs!$A$2:$A$29,0),G2637))*(1-H2637)+LN(INDEX(Pop_Inputs!$B$2:$N$29,MATCH(C2637,Pop_Inputs!$A$2:$A$29,0),G2637+1))*H2637)</f>
        <v>302971</v>
      </c>
      <c r="J2637" s="20" t="n">
        <f aca="false">I2637/F2637</f>
        <v>302971</v>
      </c>
      <c r="K2637" s="21" t="n">
        <f aca="false">D2637/(D2637+E2637)</f>
        <v>0.469135802469136</v>
      </c>
      <c r="L2637" s="21" t="n">
        <f aca="false">AVERAGEIFS($K$2:$K$2705,$B$2:$B$2705,B2637)</f>
        <v>0.5</v>
      </c>
      <c r="M2637" s="21" t="n">
        <f aca="false">K2637-L2637</f>
        <v>-0.0308641975308642</v>
      </c>
      <c r="N2637" s="21" t="n">
        <f aca="false">LN(J2637)</f>
        <v>12.6213923703401</v>
      </c>
      <c r="O2637" s="21" t="n">
        <f aca="false">AVERAGEIFS($N$2:$N$2705,$B$2:$B$2705,B2637)</f>
        <v>13.6790216080491</v>
      </c>
      <c r="P2637" s="21" t="n">
        <f aca="false">N2637-O2637</f>
        <v>-1.057629237709</v>
      </c>
      <c r="Q2637" s="7" t="n">
        <v>0</v>
      </c>
      <c r="R2637" s="3" t="n">
        <f aca="false">IF(AND(Q2637=1,B2637-_xlfn.MINIFS($B$2:$B$2705,$A$2:$A$2705,A2637)&lt;10),1,0)</f>
        <v>0</v>
      </c>
      <c r="S2637" s="7" t="n">
        <v>0</v>
      </c>
      <c r="T2637" s="3" t="n">
        <f aca="false">_xlfn.MINIFS($B$2:$B$2705,$A$2:$A$2705,A2637)</f>
        <v>1901</v>
      </c>
      <c r="U2637" s="3" t="n">
        <f aca="false">B2637-T2637</f>
        <v>122</v>
      </c>
      <c r="V2637" s="3" t="str">
        <f aca="false">INDEX(Pop_Inputs!$Q$2:$Q$29,MATCH(C2637,Pop_Inputs!$A$2:$A$29,0))</f>
        <v>Northeast</v>
      </c>
      <c r="W2637" s="29" t="n">
        <v>71652500</v>
      </c>
      <c r="X2637" s="3" t="n">
        <f aca="false">IF(W2637="","",LN(W2637))</f>
        <v>18.0873386034651</v>
      </c>
      <c r="Y2637" s="3" t="n">
        <f aca="false">IF(X2637="","",X2637-AVERAGEIFS($X$2:$X$2705,$B$2:$B$2705,B2637))</f>
        <v>-0.701257191075623</v>
      </c>
      <c r="Z2637" s="21" t="n">
        <f aca="false">P2637</f>
        <v>-1.057629237709</v>
      </c>
      <c r="AA2637" s="3" t="n">
        <f aca="false">R2637</f>
        <v>0</v>
      </c>
      <c r="AB2637" s="21" t="n">
        <f aca="false">P2637</f>
        <v>-1.057629237709</v>
      </c>
      <c r="AC2637" s="3" t="n">
        <f aca="false">Y2637</f>
        <v>-0.701257191075623</v>
      </c>
      <c r="AD2637" s="3" t="n">
        <f aca="false">R2637</f>
        <v>0</v>
      </c>
    </row>
    <row r="2638" customFormat="false" ht="15" hidden="false" customHeight="true" outlineLevel="0" collapsed="false">
      <c r="A2638" s="7" t="s">
        <v>78</v>
      </c>
      <c r="B2638" s="7" t="n">
        <v>2023</v>
      </c>
      <c r="C2638" s="7" t="s">
        <v>159</v>
      </c>
      <c r="D2638" s="7" t="n">
        <v>82</v>
      </c>
      <c r="E2638" s="7" t="n">
        <v>80</v>
      </c>
      <c r="F2638" s="3" t="n">
        <f aca="false">COUNTIFS($B$2:$B$2705,B2638,$C$2:$C$2705,C2638)</f>
        <v>1</v>
      </c>
      <c r="G2638" s="3" t="n">
        <f aca="false">MIN(INT((MIN(B2638,2020)-1900)/10)+1,12)</f>
        <v>12</v>
      </c>
      <c r="H2638" s="3" t="n">
        <f aca="false">(MIN(B2638,2020)-1900-10*(G2638-1))/10</f>
        <v>1</v>
      </c>
      <c r="I2638" s="20" t="n">
        <f aca="false">EXP(LN(INDEX(Pop_Inputs!$B$2:$N$29,MATCH(C2638,Pop_Inputs!$A$2:$A$29,0),G2638))*(1-H2638)+LN(INDEX(Pop_Inputs!$B$2:$N$29,MATCH(C2638,Pop_Inputs!$A$2:$A$29,0),G2638+1))*H2638)</f>
        <v>1386932</v>
      </c>
      <c r="J2638" s="20" t="n">
        <f aca="false">I2638/F2638</f>
        <v>1386932</v>
      </c>
      <c r="K2638" s="21" t="n">
        <f aca="false">D2638/(D2638+E2638)</f>
        <v>0.506172839506173</v>
      </c>
      <c r="L2638" s="21" t="n">
        <f aca="false">AVERAGEIFS($K$2:$K$2705,$B$2:$B$2705,B2638)</f>
        <v>0.5</v>
      </c>
      <c r="M2638" s="21" t="n">
        <f aca="false">K2638-L2638</f>
        <v>0.00617283950617287</v>
      </c>
      <c r="N2638" s="21" t="n">
        <f aca="false">LN(J2638)</f>
        <v>14.1426046714188</v>
      </c>
      <c r="O2638" s="21" t="n">
        <f aca="false">AVERAGEIFS($N$2:$N$2705,$B$2:$B$2705,B2638)</f>
        <v>13.6790216080491</v>
      </c>
      <c r="P2638" s="21" t="n">
        <f aca="false">N2638-O2638</f>
        <v>0.463583063369741</v>
      </c>
      <c r="Q2638" s="7" t="n">
        <v>1</v>
      </c>
      <c r="R2638" s="3" t="n">
        <f aca="false">IF(AND(Q2638=1,B2638-_xlfn.MINIFS($B$2:$B$2705,$A$2:$A$2705,A2638)&lt;10),1,0)</f>
        <v>0</v>
      </c>
      <c r="S2638" s="7" t="n">
        <v>0</v>
      </c>
      <c r="T2638" s="3" t="n">
        <f aca="false">_xlfn.MINIFS($B$2:$B$2705,$A$2:$A$2705,A2638)</f>
        <v>1969</v>
      </c>
      <c r="U2638" s="3" t="n">
        <f aca="false">B2638-T2638</f>
        <v>54</v>
      </c>
      <c r="V2638" s="3" t="str">
        <f aca="false">INDEX(Pop_Inputs!$Q$2:$Q$29,MATCH(C2638,Pop_Inputs!$A$2:$A$29,0))</f>
        <v>West</v>
      </c>
      <c r="W2638" s="29" t="n">
        <v>257610217</v>
      </c>
      <c r="X2638" s="3" t="n">
        <f aca="false">IF(W2638="","",LN(W2638))</f>
        <v>19.366958213675</v>
      </c>
      <c r="Y2638" s="3" t="n">
        <f aca="false">IF(X2638="","",X2638-AVERAGEIFS($X$2:$X$2705,$B$2:$B$2705,B2638))</f>
        <v>0.578362419134344</v>
      </c>
      <c r="Z2638" s="21" t="n">
        <f aca="false">P2638</f>
        <v>0.463583063369741</v>
      </c>
      <c r="AA2638" s="3" t="n">
        <f aca="false">R2638</f>
        <v>0</v>
      </c>
      <c r="AB2638" s="21" t="n">
        <f aca="false">P2638</f>
        <v>0.463583063369741</v>
      </c>
      <c r="AC2638" s="3" t="n">
        <f aca="false">Y2638</f>
        <v>0.578362419134344</v>
      </c>
      <c r="AD2638" s="3" t="n">
        <f aca="false">R2638</f>
        <v>0</v>
      </c>
    </row>
    <row r="2639" customFormat="false" ht="15" hidden="false" customHeight="true" outlineLevel="0" collapsed="false">
      <c r="A2639" s="7" t="s">
        <v>80</v>
      </c>
      <c r="B2639" s="7" t="n">
        <v>2023</v>
      </c>
      <c r="C2639" s="7" t="s">
        <v>161</v>
      </c>
      <c r="D2639" s="7" t="n">
        <v>88</v>
      </c>
      <c r="E2639" s="7" t="n">
        <v>74</v>
      </c>
      <c r="F2639" s="3" t="n">
        <f aca="false">COUNTIFS($B$2:$B$2705,B2639,$C$2:$C$2705,C2639)</f>
        <v>1</v>
      </c>
      <c r="G2639" s="3" t="n">
        <f aca="false">MIN(INT((MIN(B2639,2020)-1900)/10)+1,12)</f>
        <v>12</v>
      </c>
      <c r="H2639" s="3" t="n">
        <f aca="false">(MIN(B2639,2020)-1900-10*(G2639-1))/10</f>
        <v>1</v>
      </c>
      <c r="I2639" s="20" t="n">
        <f aca="false">EXP(LN(INDEX(Pop_Inputs!$B$2:$N$29,MATCH(C2639,Pop_Inputs!$A$2:$A$29,0),G2639))*(1-H2639)+LN(INDEX(Pop_Inputs!$B$2:$N$29,MATCH(C2639,Pop_Inputs!$A$2:$A$29,0),G2639+1))*H2639)</f>
        <v>737015</v>
      </c>
      <c r="J2639" s="20" t="n">
        <f aca="false">I2639/F2639</f>
        <v>737015</v>
      </c>
      <c r="K2639" s="21" t="n">
        <f aca="false">D2639/(D2639+E2639)</f>
        <v>0.54320987654321</v>
      </c>
      <c r="L2639" s="21" t="n">
        <f aca="false">AVERAGEIFS($K$2:$K$2705,$B$2:$B$2705,B2639)</f>
        <v>0.5</v>
      </c>
      <c r="M2639" s="21" t="n">
        <f aca="false">K2639-L2639</f>
        <v>0.0432098765432098</v>
      </c>
      <c r="N2639" s="21" t="n">
        <f aca="false">LN(J2639)</f>
        <v>13.5103635237459</v>
      </c>
      <c r="O2639" s="21" t="n">
        <f aca="false">AVERAGEIFS($N$2:$N$2705,$B$2:$B$2705,B2639)</f>
        <v>13.6790216080491</v>
      </c>
      <c r="P2639" s="21" t="n">
        <f aca="false">N2639-O2639</f>
        <v>-0.168658084303196</v>
      </c>
      <c r="Q2639" s="7" t="n">
        <v>1</v>
      </c>
      <c r="R2639" s="3" t="n">
        <f aca="false">IF(AND(Q2639=1,B2639-_xlfn.MINIFS($B$2:$B$2705,$A$2:$A$2705,A2639)&lt;10),1,0)</f>
        <v>0</v>
      </c>
      <c r="S2639" s="7" t="n">
        <v>0</v>
      </c>
      <c r="T2639" s="3" t="n">
        <f aca="false">_xlfn.MINIFS($B$2:$B$2705,$A$2:$A$2705,A2639)</f>
        <v>1977</v>
      </c>
      <c r="U2639" s="3" t="n">
        <f aca="false">B2639-T2639</f>
        <v>46</v>
      </c>
      <c r="V2639" s="3" t="str">
        <f aca="false">INDEX(Pop_Inputs!$Q$2:$Q$29,MATCH(C2639,Pop_Inputs!$A$2:$A$29,0))</f>
        <v>West</v>
      </c>
      <c r="W2639" s="29" t="n">
        <v>130969948</v>
      </c>
      <c r="X2639" s="3" t="n">
        <f aca="false">IF(W2639="","",LN(W2639))</f>
        <v>18.690478450268</v>
      </c>
      <c r="Y2639" s="3" t="n">
        <f aca="false">IF(X2639="","",X2639-AVERAGEIFS($X$2:$X$2705,$B$2:$B$2705,B2639))</f>
        <v>-0.0981173442726657</v>
      </c>
      <c r="Z2639" s="21" t="n">
        <f aca="false">P2639</f>
        <v>-0.168658084303196</v>
      </c>
      <c r="AA2639" s="3" t="n">
        <f aca="false">R2639</f>
        <v>0</v>
      </c>
      <c r="AB2639" s="21" t="n">
        <f aca="false">P2639</f>
        <v>-0.168658084303196</v>
      </c>
      <c r="AC2639" s="3" t="n">
        <f aca="false">Y2639</f>
        <v>-0.0981173442726657</v>
      </c>
      <c r="AD2639" s="3" t="n">
        <f aca="false">R2639</f>
        <v>0</v>
      </c>
    </row>
    <row r="2640" customFormat="false" ht="15" hidden="false" customHeight="true" outlineLevel="0" collapsed="false">
      <c r="A2640" s="7" t="s">
        <v>61</v>
      </c>
      <c r="B2640" s="7" t="n">
        <v>2023</v>
      </c>
      <c r="C2640" s="7" t="s">
        <v>147</v>
      </c>
      <c r="D2640" s="7" t="n">
        <v>79</v>
      </c>
      <c r="E2640" s="7" t="n">
        <v>83</v>
      </c>
      <c r="F2640" s="3" t="n">
        <f aca="false">COUNTIFS($B$2:$B$2705,B2640,$C$2:$C$2705,C2640)</f>
        <v>1</v>
      </c>
      <c r="G2640" s="3" t="n">
        <f aca="false">MIN(INT((MIN(B2640,2020)-1900)/10)+1,12)</f>
        <v>12</v>
      </c>
      <c r="H2640" s="3" t="n">
        <f aca="false">(MIN(B2640,2020)-1900-10*(G2640-1))/10</f>
        <v>1</v>
      </c>
      <c r="I2640" s="20" t="n">
        <f aca="false">EXP(LN(INDEX(Pop_Inputs!$B$2:$N$29,MATCH(C2640,Pop_Inputs!$A$2:$A$29,0),G2640))*(1-H2640)+LN(INDEX(Pop_Inputs!$B$2:$N$29,MATCH(C2640,Pop_Inputs!$A$2:$A$29,0),G2640+1))*H2640)</f>
        <v>873965</v>
      </c>
      <c r="J2640" s="20" t="n">
        <f aca="false">I2640/F2640</f>
        <v>873965</v>
      </c>
      <c r="K2640" s="21" t="n">
        <f aca="false">D2640/(D2640+E2640)</f>
        <v>0.487654320987654</v>
      </c>
      <c r="L2640" s="21" t="n">
        <f aca="false">AVERAGEIFS($K$2:$K$2705,$B$2:$B$2705,B2640)</f>
        <v>0.5</v>
      </c>
      <c r="M2640" s="21" t="n">
        <f aca="false">K2640-L2640</f>
        <v>-0.0123456790123457</v>
      </c>
      <c r="N2640" s="21" t="n">
        <f aca="false">LN(J2640)</f>
        <v>13.6807956080692</v>
      </c>
      <c r="O2640" s="21" t="n">
        <f aca="false">AVERAGEIFS($N$2:$N$2705,$B$2:$B$2705,B2640)</f>
        <v>13.6790216080491</v>
      </c>
      <c r="P2640" s="21" t="n">
        <f aca="false">N2640-O2640</f>
        <v>0.00177400002012718</v>
      </c>
      <c r="Q2640" s="7" t="n">
        <v>0</v>
      </c>
      <c r="R2640" s="3" t="n">
        <f aca="false">IF(AND(Q2640=1,B2640-_xlfn.MINIFS($B$2:$B$2705,$A$2:$A$2705,A2640)&lt;10),1,0)</f>
        <v>0</v>
      </c>
      <c r="S2640" s="7" t="n">
        <v>0</v>
      </c>
      <c r="T2640" s="3" t="n">
        <f aca="false">_xlfn.MINIFS($B$2:$B$2705,$A$2:$A$2705,A2640)</f>
        <v>1901</v>
      </c>
      <c r="U2640" s="3" t="n">
        <f aca="false">B2640-T2640</f>
        <v>122</v>
      </c>
      <c r="V2640" s="3" t="str">
        <f aca="false">INDEX(Pop_Inputs!$Q$2:$Q$29,MATCH(C2640,Pop_Inputs!$A$2:$A$29,0))</f>
        <v>West</v>
      </c>
      <c r="W2640" s="29" t="n">
        <v>193482500</v>
      </c>
      <c r="X2640" s="3" t="n">
        <f aca="false">IF(W2640="","",LN(W2640))</f>
        <v>19.0806976270677</v>
      </c>
      <c r="Y2640" s="3" t="n">
        <f aca="false">IF(X2640="","",X2640-AVERAGEIFS($X$2:$X$2705,$B$2:$B$2705,B2640))</f>
        <v>0.292101832527063</v>
      </c>
      <c r="Z2640" s="21" t="n">
        <f aca="false">P2640</f>
        <v>0.00177400002012718</v>
      </c>
      <c r="AA2640" s="3" t="n">
        <f aca="false">R2640</f>
        <v>0</v>
      </c>
      <c r="AB2640" s="21" t="n">
        <f aca="false">P2640</f>
        <v>0.00177400002012718</v>
      </c>
      <c r="AC2640" s="3" t="n">
        <f aca="false">Y2640</f>
        <v>0.292101832527063</v>
      </c>
      <c r="AD2640" s="3" t="n">
        <f aca="false">R2640</f>
        <v>0</v>
      </c>
    </row>
    <row r="2641" customFormat="false" ht="15" hidden="false" customHeight="true" outlineLevel="0" collapsed="false">
      <c r="A2641" s="7" t="s">
        <v>59</v>
      </c>
      <c r="B2641" s="7" t="n">
        <v>2023</v>
      </c>
      <c r="C2641" s="7" t="s">
        <v>145</v>
      </c>
      <c r="D2641" s="7" t="n">
        <v>71</v>
      </c>
      <c r="E2641" s="7" t="n">
        <v>91</v>
      </c>
      <c r="F2641" s="3" t="n">
        <f aca="false">COUNTIFS($B$2:$B$2705,B2641,$C$2:$C$2705,C2641)</f>
        <v>1</v>
      </c>
      <c r="G2641" s="3" t="n">
        <f aca="false">MIN(INT((MIN(B2641,2020)-1900)/10)+1,12)</f>
        <v>12</v>
      </c>
      <c r="H2641" s="3" t="n">
        <f aca="false">(MIN(B2641,2020)-1900-10*(G2641-1))/10</f>
        <v>1</v>
      </c>
      <c r="I2641" s="20" t="n">
        <f aca="false">EXP(LN(INDEX(Pop_Inputs!$B$2:$N$29,MATCH(C2641,Pop_Inputs!$A$2:$A$29,0),G2641))*(1-H2641)+LN(INDEX(Pop_Inputs!$B$2:$N$29,MATCH(C2641,Pop_Inputs!$A$2:$A$29,0),G2641+1))*H2641)</f>
        <v>301578</v>
      </c>
      <c r="J2641" s="20" t="n">
        <f aca="false">I2641/F2641</f>
        <v>301578</v>
      </c>
      <c r="K2641" s="21" t="n">
        <f aca="false">D2641/(D2641+E2641)</f>
        <v>0.438271604938272</v>
      </c>
      <c r="L2641" s="21" t="n">
        <f aca="false">AVERAGEIFS($K$2:$K$2705,$B$2:$B$2705,B2641)</f>
        <v>0.5</v>
      </c>
      <c r="M2641" s="21" t="n">
        <f aca="false">K2641-L2641</f>
        <v>-0.0617283950617284</v>
      </c>
      <c r="N2641" s="21" t="n">
        <f aca="false">LN(J2641)</f>
        <v>12.6167839681583</v>
      </c>
      <c r="O2641" s="21" t="n">
        <f aca="false">AVERAGEIFS($N$2:$N$2705,$B$2:$B$2705,B2641)</f>
        <v>13.6790216080491</v>
      </c>
      <c r="P2641" s="21" t="n">
        <f aca="false">N2641-O2641</f>
        <v>-1.06223763989081</v>
      </c>
      <c r="Q2641" s="7" t="n">
        <v>0</v>
      </c>
      <c r="R2641" s="3" t="n">
        <f aca="false">IF(AND(Q2641=1,B2641-_xlfn.MINIFS($B$2:$B$2705,$A$2:$A$2705,A2641)&lt;10),1,0)</f>
        <v>0</v>
      </c>
      <c r="S2641" s="7" t="n">
        <v>0</v>
      </c>
      <c r="T2641" s="3" t="n">
        <f aca="false">_xlfn.MINIFS($B$2:$B$2705,$A$2:$A$2705,A2641)</f>
        <v>1901</v>
      </c>
      <c r="U2641" s="3" t="n">
        <f aca="false">B2641-T2641</f>
        <v>122</v>
      </c>
      <c r="V2641" s="3" t="str">
        <f aca="false">INDEX(Pop_Inputs!$Q$2:$Q$29,MATCH(C2641,Pop_Inputs!$A$2:$A$29,0))</f>
        <v>Midwest</v>
      </c>
      <c r="W2641" s="29" t="n">
        <v>152712308</v>
      </c>
      <c r="X2641" s="3" t="n">
        <f aca="false">IF(W2641="","",LN(W2641))</f>
        <v>18.8440663694292</v>
      </c>
      <c r="Y2641" s="3" t="n">
        <f aca="false">IF(X2641="","",X2641-AVERAGEIFS($X$2:$X$2705,$B$2:$B$2705,B2641))</f>
        <v>0.0554705748885098</v>
      </c>
      <c r="Z2641" s="21" t="n">
        <f aca="false">P2641</f>
        <v>-1.06223763989081</v>
      </c>
      <c r="AA2641" s="3" t="n">
        <f aca="false">R2641</f>
        <v>0</v>
      </c>
      <c r="AB2641" s="21" t="n">
        <f aca="false">P2641</f>
        <v>-1.06223763989081</v>
      </c>
      <c r="AC2641" s="3" t="n">
        <f aca="false">Y2641</f>
        <v>0.0554705748885098</v>
      </c>
      <c r="AD2641" s="3" t="n">
        <f aca="false">R2641</f>
        <v>0</v>
      </c>
    </row>
    <row r="2642" customFormat="false" ht="15" hidden="false" customHeight="true" outlineLevel="0" collapsed="false">
      <c r="A2642" s="7" t="s">
        <v>85</v>
      </c>
      <c r="B2642" s="7" t="n">
        <v>2023</v>
      </c>
      <c r="C2642" s="7" t="s">
        <v>166</v>
      </c>
      <c r="D2642" s="7" t="n">
        <v>99</v>
      </c>
      <c r="E2642" s="7" t="n">
        <v>63</v>
      </c>
      <c r="F2642" s="3" t="n">
        <f aca="false">COUNTIFS($B$2:$B$2705,B2642,$C$2:$C$2705,C2642)</f>
        <v>1</v>
      </c>
      <c r="G2642" s="3" t="n">
        <f aca="false">MIN(INT((MIN(B2642,2020)-1900)/10)+1,12)</f>
        <v>12</v>
      </c>
      <c r="H2642" s="3" t="n">
        <f aca="false">(MIN(B2642,2020)-1900-10*(G2642-1))/10</f>
        <v>1</v>
      </c>
      <c r="I2642" s="20" t="n">
        <f aca="false">EXP(LN(INDEX(Pop_Inputs!$B$2:$N$29,MATCH(C2642,Pop_Inputs!$A$2:$A$29,0),G2642))*(1-H2642)+LN(INDEX(Pop_Inputs!$B$2:$N$29,MATCH(C2642,Pop_Inputs!$A$2:$A$29,0),G2642+1))*H2642)</f>
        <v>384959</v>
      </c>
      <c r="J2642" s="20" t="n">
        <f aca="false">I2642/F2642</f>
        <v>384959</v>
      </c>
      <c r="K2642" s="21" t="n">
        <f aca="false">D2642/(D2642+E2642)</f>
        <v>0.611111111111111</v>
      </c>
      <c r="L2642" s="21" t="n">
        <f aca="false">AVERAGEIFS($K$2:$K$2705,$B$2:$B$2705,B2642)</f>
        <v>0.5</v>
      </c>
      <c r="M2642" s="21" t="n">
        <f aca="false">K2642-L2642</f>
        <v>0.111111111111111</v>
      </c>
      <c r="N2642" s="21" t="n">
        <f aca="false">LN(J2642)</f>
        <v>12.8608921140926</v>
      </c>
      <c r="O2642" s="21" t="n">
        <f aca="false">AVERAGEIFS($N$2:$N$2705,$B$2:$B$2705,B2642)</f>
        <v>13.6790216080491</v>
      </c>
      <c r="P2642" s="21" t="n">
        <f aca="false">N2642-O2642</f>
        <v>-0.81812949395651</v>
      </c>
      <c r="Q2642" s="7" t="n">
        <v>1</v>
      </c>
      <c r="R2642" s="3" t="n">
        <f aca="false">IF(AND(Q2642=1,B2642-_xlfn.MINIFS($B$2:$B$2705,$A$2:$A$2705,A2642)&lt;10),1,0)</f>
        <v>0</v>
      </c>
      <c r="S2642" s="7" t="n">
        <v>0</v>
      </c>
      <c r="T2642" s="3" t="n">
        <f aca="false">_xlfn.MINIFS($B$2:$B$2705,$A$2:$A$2705,A2642)</f>
        <v>1998</v>
      </c>
      <c r="U2642" s="3" t="n">
        <f aca="false">B2642-T2642</f>
        <v>25</v>
      </c>
      <c r="V2642" s="3" t="str">
        <f aca="false">INDEX(Pop_Inputs!$Q$2:$Q$29,MATCH(C2642,Pop_Inputs!$A$2:$A$29,0))</f>
        <v>South</v>
      </c>
      <c r="W2642" s="29" t="n">
        <v>75209811</v>
      </c>
      <c r="X2642" s="3" t="n">
        <f aca="false">IF(W2642="","",LN(W2642))</f>
        <v>18.1357922458357</v>
      </c>
      <c r="Y2642" s="3" t="n">
        <f aca="false">IF(X2642="","",X2642-AVERAGEIFS($X$2:$X$2705,$B$2:$B$2705,B2642))</f>
        <v>-0.652803548704956</v>
      </c>
      <c r="Z2642" s="21" t="n">
        <f aca="false">P2642</f>
        <v>-0.81812949395651</v>
      </c>
      <c r="AA2642" s="3" t="n">
        <f aca="false">R2642</f>
        <v>0</v>
      </c>
      <c r="AB2642" s="21" t="n">
        <f aca="false">P2642</f>
        <v>-0.81812949395651</v>
      </c>
      <c r="AC2642" s="3" t="n">
        <f aca="false">Y2642</f>
        <v>-0.652803548704956</v>
      </c>
      <c r="AD2642" s="3" t="n">
        <f aca="false">R2642</f>
        <v>0</v>
      </c>
    </row>
    <row r="2643" customFormat="false" ht="15" hidden="false" customHeight="true" outlineLevel="0" collapsed="false">
      <c r="A2643" s="7" t="s">
        <v>73</v>
      </c>
      <c r="B2643" s="7" t="n">
        <v>2023</v>
      </c>
      <c r="C2643" s="7" t="s">
        <v>155</v>
      </c>
      <c r="D2643" s="7" t="n">
        <v>90</v>
      </c>
      <c r="E2643" s="7" t="n">
        <v>72</v>
      </c>
      <c r="F2643" s="3" t="n">
        <f aca="false">COUNTIFS($B$2:$B$2705,B2643,$C$2:$C$2705,C2643)</f>
        <v>1</v>
      </c>
      <c r="G2643" s="3" t="n">
        <f aca="false">MIN(INT((MIN(B2643,2020)-1900)/10)+1,12)</f>
        <v>12</v>
      </c>
      <c r="H2643" s="3" t="n">
        <f aca="false">(MIN(B2643,2020)-1900-10*(G2643-1))/10</f>
        <v>1</v>
      </c>
      <c r="I2643" s="20" t="n">
        <f aca="false">EXP(LN(INDEX(Pop_Inputs!$B$2:$N$29,MATCH(C2643,Pop_Inputs!$A$2:$A$29,0),G2643))*(1-H2643)+LN(INDEX(Pop_Inputs!$B$2:$N$29,MATCH(C2643,Pop_Inputs!$A$2:$A$29,0),G2643+1))*H2643)</f>
        <v>1304379</v>
      </c>
      <c r="J2643" s="20" t="n">
        <f aca="false">I2643/F2643</f>
        <v>1304379</v>
      </c>
      <c r="K2643" s="21" t="n">
        <f aca="false">D2643/(D2643+E2643)</f>
        <v>0.555555555555556</v>
      </c>
      <c r="L2643" s="21" t="n">
        <f aca="false">AVERAGEIFS($K$2:$K$2705,$B$2:$B$2705,B2643)</f>
        <v>0.5</v>
      </c>
      <c r="M2643" s="21" t="n">
        <f aca="false">K2643-L2643</f>
        <v>0.0555555555555556</v>
      </c>
      <c r="N2643" s="21" t="n">
        <f aca="false">LN(J2643)</f>
        <v>14.0812376234117</v>
      </c>
      <c r="O2643" s="21" t="n">
        <f aca="false">AVERAGEIFS($N$2:$N$2705,$B$2:$B$2705,B2643)</f>
        <v>13.6790216080491</v>
      </c>
      <c r="P2643" s="21" t="n">
        <f aca="false">N2643-O2643</f>
        <v>0.402216015362578</v>
      </c>
      <c r="Q2643" s="7" t="n">
        <v>1</v>
      </c>
      <c r="R2643" s="3" t="n">
        <f aca="false">IF(AND(Q2643=1,B2643-_xlfn.MINIFS($B$2:$B$2705,$A$2:$A$2705,A2643)&lt;10),1,0)</f>
        <v>0</v>
      </c>
      <c r="S2643" s="7" t="n">
        <v>0</v>
      </c>
      <c r="T2643" s="3" t="n">
        <f aca="false">_xlfn.MINIFS($B$2:$B$2705,$A$2:$A$2705,A2643)</f>
        <v>1961</v>
      </c>
      <c r="U2643" s="3" t="n">
        <f aca="false">B2643-T2643</f>
        <v>62</v>
      </c>
      <c r="V2643" s="3" t="str">
        <f aca="false">INDEX(Pop_Inputs!$Q$2:$Q$29,MATCH(C2643,Pop_Inputs!$A$2:$A$29,0))</f>
        <v>South</v>
      </c>
      <c r="W2643" s="29" t="n">
        <v>199569490</v>
      </c>
      <c r="X2643" s="3" t="n">
        <f aca="false">IF(W2643="","",LN(W2643))</f>
        <v>19.1116730544466</v>
      </c>
      <c r="Y2643" s="3" t="n">
        <f aca="false">IF(X2643="","",X2643-AVERAGEIFS($X$2:$X$2705,$B$2:$B$2705,B2643))</f>
        <v>0.323077259905908</v>
      </c>
      <c r="Z2643" s="21" t="n">
        <f aca="false">P2643</f>
        <v>0.402216015362578</v>
      </c>
      <c r="AA2643" s="3" t="n">
        <f aca="false">R2643</f>
        <v>0</v>
      </c>
      <c r="AB2643" s="21" t="n">
        <f aca="false">P2643</f>
        <v>0.402216015362578</v>
      </c>
      <c r="AC2643" s="3" t="n">
        <f aca="false">Y2643</f>
        <v>0.323077259905908</v>
      </c>
      <c r="AD2643" s="3" t="n">
        <f aca="false">R2643</f>
        <v>0</v>
      </c>
    </row>
    <row r="2644" customFormat="false" ht="15" hidden="false" customHeight="true" outlineLevel="0" collapsed="false">
      <c r="A2644" s="7" t="s">
        <v>81</v>
      </c>
      <c r="B2644" s="7" t="n">
        <v>2023</v>
      </c>
      <c r="C2644" s="7" t="s">
        <v>162</v>
      </c>
      <c r="D2644" s="7" t="n">
        <v>89</v>
      </c>
      <c r="E2644" s="7" t="n">
        <v>73</v>
      </c>
      <c r="F2644" s="3" t="n">
        <f aca="false">COUNTIFS($B$2:$B$2705,B2644,$C$2:$C$2705,C2644)</f>
        <v>1</v>
      </c>
      <c r="G2644" s="3" t="n">
        <f aca="false">MIN(INT((MIN(B2644,2020)-1900)/10)+1,12)</f>
        <v>12</v>
      </c>
      <c r="H2644" s="3" t="n">
        <f aca="false">(MIN(B2644,2020)-1900-10*(G2644-1))/10</f>
        <v>1</v>
      </c>
      <c r="I2644" s="20" t="n">
        <f aca="false">EXP(LN(INDEX(Pop_Inputs!$B$2:$N$29,MATCH(C2644,Pop_Inputs!$A$2:$A$29,0),G2644))*(1-H2644)+LN(INDEX(Pop_Inputs!$B$2:$N$29,MATCH(C2644,Pop_Inputs!$A$2:$A$29,0),G2644+1))*H2644)</f>
        <v>2794356</v>
      </c>
      <c r="J2644" s="20" t="n">
        <f aca="false">I2644/F2644</f>
        <v>2794356</v>
      </c>
      <c r="K2644" s="21" t="n">
        <f aca="false">D2644/(D2644+E2644)</f>
        <v>0.549382716049383</v>
      </c>
      <c r="L2644" s="21" t="n">
        <f aca="false">AVERAGEIFS($K$2:$K$2705,$B$2:$B$2705,B2644)</f>
        <v>0.5</v>
      </c>
      <c r="M2644" s="21" t="n">
        <f aca="false">K2644-L2644</f>
        <v>0.0493827160493827</v>
      </c>
      <c r="N2644" s="21" t="n">
        <f aca="false">LN(J2644)</f>
        <v>14.8431122265735</v>
      </c>
      <c r="O2644" s="21" t="n">
        <f aca="false">AVERAGEIFS($N$2:$N$2705,$B$2:$B$2705,B2644)</f>
        <v>13.6790216080491</v>
      </c>
      <c r="P2644" s="21" t="n">
        <f aca="false">N2644-O2644</f>
        <v>1.16409061852442</v>
      </c>
      <c r="Q2644" s="7" t="n">
        <v>1</v>
      </c>
      <c r="R2644" s="3" t="n">
        <f aca="false">IF(AND(Q2644=1,B2644-_xlfn.MINIFS($B$2:$B$2705,$A$2:$A$2705,A2644)&lt;10),1,0)</f>
        <v>0</v>
      </c>
      <c r="S2644" s="7" t="n">
        <v>0</v>
      </c>
      <c r="T2644" s="3" t="n">
        <f aca="false">_xlfn.MINIFS($B$2:$B$2705,$A$2:$A$2705,A2644)</f>
        <v>1977</v>
      </c>
      <c r="U2644" s="3" t="n">
        <f aca="false">B2644-T2644</f>
        <v>46</v>
      </c>
      <c r="V2644" s="3" t="str">
        <f aca="false">INDEX(Pop_Inputs!$Q$2:$Q$29,MATCH(C2644,Pop_Inputs!$A$2:$A$29,0))</f>
        <v>Canada</v>
      </c>
      <c r="W2644" s="29" t="n">
        <v>210367554</v>
      </c>
      <c r="X2644" s="3" t="n">
        <f aca="false">IF(W2644="","",LN(W2644))</f>
        <v>19.1643668159095</v>
      </c>
      <c r="Y2644" s="3" t="n">
        <f aca="false">IF(X2644="","",X2644-AVERAGEIFS($X$2:$X$2705,$B$2:$B$2705,B2644))</f>
        <v>0.375771021368788</v>
      </c>
      <c r="Z2644" s="21" t="n">
        <f aca="false">P2644</f>
        <v>1.16409061852442</v>
      </c>
      <c r="AA2644" s="3" t="n">
        <f aca="false">R2644</f>
        <v>0</v>
      </c>
      <c r="AB2644" s="21" t="n">
        <f aca="false">P2644</f>
        <v>1.16409061852442</v>
      </c>
      <c r="AC2644" s="3" t="n">
        <f aca="false">Y2644</f>
        <v>0.375771021368788</v>
      </c>
      <c r="AD2644" s="3" t="n">
        <f aca="false">R2644</f>
        <v>0</v>
      </c>
    </row>
    <row r="2645" customFormat="false" ht="15" hidden="false" customHeight="true" outlineLevel="0" collapsed="false">
      <c r="A2645" s="7" t="s">
        <v>79</v>
      </c>
      <c r="B2645" s="7" t="n">
        <v>2023</v>
      </c>
      <c r="C2645" s="7" t="s">
        <v>160</v>
      </c>
      <c r="D2645" s="7" t="n">
        <v>71</v>
      </c>
      <c r="E2645" s="7" t="n">
        <v>91</v>
      </c>
      <c r="F2645" s="3" t="n">
        <f aca="false">COUNTIFS($B$2:$B$2705,B2645,$C$2:$C$2705,C2645)</f>
        <v>1</v>
      </c>
      <c r="G2645" s="3" t="n">
        <f aca="false">MIN(INT((MIN(B2645,2020)-1900)/10)+1,12)</f>
        <v>12</v>
      </c>
      <c r="H2645" s="3" t="n">
        <f aca="false">(MIN(B2645,2020)-1900-10*(G2645-1))/10</f>
        <v>1</v>
      </c>
      <c r="I2645" s="20" t="n">
        <f aca="false">EXP(LN(INDEX(Pop_Inputs!$B$2:$N$29,MATCH(C2645,Pop_Inputs!$A$2:$A$29,0),G2645))*(1-H2645)+LN(INDEX(Pop_Inputs!$B$2:$N$29,MATCH(C2645,Pop_Inputs!$A$2:$A$29,0),G2645+1))*H2645)</f>
        <v>689545</v>
      </c>
      <c r="J2645" s="20" t="n">
        <f aca="false">I2645/F2645</f>
        <v>689545</v>
      </c>
      <c r="K2645" s="21" t="n">
        <f aca="false">D2645/(D2645+E2645)</f>
        <v>0.438271604938272</v>
      </c>
      <c r="L2645" s="21" t="n">
        <f aca="false">AVERAGEIFS($K$2:$K$2705,$B$2:$B$2705,B2645)</f>
        <v>0.5</v>
      </c>
      <c r="M2645" s="21" t="n">
        <f aca="false">K2645-L2645</f>
        <v>-0.0617283950617284</v>
      </c>
      <c r="N2645" s="21" t="n">
        <f aca="false">LN(J2645)</f>
        <v>13.4437872387704</v>
      </c>
      <c r="O2645" s="21" t="n">
        <f aca="false">AVERAGEIFS($N$2:$N$2705,$B$2:$B$2705,B2645)</f>
        <v>13.6790216080491</v>
      </c>
      <c r="P2645" s="21" t="n">
        <f aca="false">N2645-O2645</f>
        <v>-0.2352343692787</v>
      </c>
      <c r="Q2645" s="7" t="n">
        <v>1</v>
      </c>
      <c r="R2645" s="3" t="n">
        <f aca="false">IF(AND(Q2645=1,B2645-_xlfn.MINIFS($B$2:$B$2705,$A$2:$A$2705,A2645)&lt;10),1,0)</f>
        <v>0</v>
      </c>
      <c r="S2645" s="7" t="n">
        <v>0</v>
      </c>
      <c r="T2645" s="3" t="n">
        <f aca="false">_xlfn.MINIFS($B$2:$B$2705,$A$2:$A$2705,A2645)</f>
        <v>1969</v>
      </c>
      <c r="U2645" s="3" t="n">
        <f aca="false">B2645-T2645</f>
        <v>54</v>
      </c>
      <c r="V2645" s="3" t="str">
        <f aca="false">INDEX(Pop_Inputs!$Q$2:$Q$29,MATCH(C2645,Pop_Inputs!$A$2:$A$29,0))</f>
        <v>South</v>
      </c>
      <c r="W2645" s="29" t="n">
        <v>101540153</v>
      </c>
      <c r="X2645" s="3" t="n">
        <f aca="false">IF(W2645="","",LN(W2645))</f>
        <v>18.4359648742777</v>
      </c>
      <c r="Y2645" s="3" t="n">
        <f aca="false">IF(X2645="","",X2645-AVERAGEIFS($X$2:$X$2705,$B$2:$B$2705,B2645))</f>
        <v>-0.352630920262943</v>
      </c>
      <c r="Z2645" s="21" t="n">
        <f aca="false">P2645</f>
        <v>-0.2352343692787</v>
      </c>
      <c r="AA2645" s="3" t="n">
        <f aca="false">R2645</f>
        <v>0</v>
      </c>
      <c r="AB2645" s="21" t="n">
        <f aca="false">P2645</f>
        <v>-0.2352343692787</v>
      </c>
      <c r="AC2645" s="3" t="n">
        <f aca="false">Y2645</f>
        <v>-0.352630920262943</v>
      </c>
      <c r="AD2645" s="3" t="n">
        <f aca="false">R2645</f>
        <v>0</v>
      </c>
    </row>
    <row r="2646" customFormat="false" ht="15" hidden="false" customHeight="true" outlineLevel="0" collapsed="false">
      <c r="A2646" s="7" t="s">
        <v>71</v>
      </c>
      <c r="B2646" s="7" t="n">
        <v>2024</v>
      </c>
      <c r="C2646" s="7" t="s">
        <v>148</v>
      </c>
      <c r="D2646" s="7" t="n">
        <v>63</v>
      </c>
      <c r="E2646" s="7" t="n">
        <v>99</v>
      </c>
      <c r="F2646" s="3" t="n">
        <f aca="false">COUNTIFS($B$2:$B$2705,B2646,$C$2:$C$2705,C2646)</f>
        <v>2</v>
      </c>
      <c r="G2646" s="3" t="n">
        <f aca="false">MIN(INT((MIN(B2646,2020)-1900)/10)+1,12)</f>
        <v>12</v>
      </c>
      <c r="H2646" s="3" t="n">
        <f aca="false">(MIN(B2646,2020)-1900-10*(G2646-1))/10</f>
        <v>1</v>
      </c>
      <c r="I2646" s="20" t="n">
        <f aca="false">EXP(LN(INDEX(Pop_Inputs!$B$2:$N$29,MATCH(C2646,Pop_Inputs!$A$2:$A$29,0),G2646))*(1-H2646)+LN(INDEX(Pop_Inputs!$B$2:$N$29,MATCH(C2646,Pop_Inputs!$A$2:$A$29,0),G2646+1))*H2646)</f>
        <v>3898747</v>
      </c>
      <c r="J2646" s="20" t="n">
        <f aca="false">I2646/F2646</f>
        <v>1949373.5</v>
      </c>
      <c r="K2646" s="21" t="n">
        <f aca="false">D2646/(D2646+E2646)</f>
        <v>0.388888888888889</v>
      </c>
      <c r="L2646" s="21" t="n">
        <f aca="false">AVERAGEIFS($K$2:$K$2705,$B$2:$B$2705,B2646)</f>
        <v>0.500024282391432</v>
      </c>
      <c r="M2646" s="21" t="n">
        <f aca="false">K2646-L2646</f>
        <v>-0.111135393502543</v>
      </c>
      <c r="N2646" s="21" t="n">
        <f aca="false">LN(J2646)</f>
        <v>14.4830185968665</v>
      </c>
      <c r="O2646" s="21" t="n">
        <f aca="false">AVERAGEIFS($N$2:$N$2705,$B$2:$B$2705,B2646)</f>
        <v>13.6790216080491</v>
      </c>
      <c r="P2646" s="21" t="n">
        <f aca="false">N2646-O2646</f>
        <v>0.80399698881741</v>
      </c>
      <c r="Q2646" s="7" t="n">
        <v>1</v>
      </c>
      <c r="R2646" s="3" t="n">
        <f aca="false">IF(AND(Q2646=1,B2646-_xlfn.MINIFS($B$2:$B$2705,$A$2:$A$2705,A2646)&lt;10),1,0)</f>
        <v>0</v>
      </c>
      <c r="S2646" s="7" t="n">
        <v>0</v>
      </c>
      <c r="T2646" s="3" t="n">
        <f aca="false">_xlfn.MINIFS($B$2:$B$2705,$A$2:$A$2705,A2646)</f>
        <v>1961</v>
      </c>
      <c r="U2646" s="3" t="n">
        <f aca="false">B2646-T2646</f>
        <v>63</v>
      </c>
      <c r="V2646" s="3" t="str">
        <f aca="false">INDEX(Pop_Inputs!$Q$2:$Q$29,MATCH(C2646,Pop_Inputs!$A$2:$A$29,0))</f>
        <v>West</v>
      </c>
      <c r="W2646" s="29" t="n">
        <v>178975716</v>
      </c>
      <c r="X2646" s="3" t="n">
        <f aca="false">IF(W2646="","",LN(W2646))</f>
        <v>19.0027606897973</v>
      </c>
      <c r="Y2646" s="3" t="n">
        <f aca="false">IF(X2646="","",X2646-AVERAGEIFS($X$2:$X$2705,$B$2:$B$2705,B2646))</f>
        <v>0.12065511205066</v>
      </c>
      <c r="Z2646" s="21" t="n">
        <f aca="false">P2646</f>
        <v>0.80399698881741</v>
      </c>
      <c r="AA2646" s="3" t="n">
        <f aca="false">R2646</f>
        <v>0</v>
      </c>
      <c r="AB2646" s="21" t="n">
        <f aca="false">P2646</f>
        <v>0.80399698881741</v>
      </c>
      <c r="AC2646" s="3" t="n">
        <f aca="false">Y2646</f>
        <v>0.12065511205066</v>
      </c>
      <c r="AD2646" s="3" t="n">
        <f aca="false">R2646</f>
        <v>0</v>
      </c>
    </row>
    <row r="2647" customFormat="false" ht="15" hidden="false" customHeight="true" outlineLevel="0" collapsed="false">
      <c r="A2647" s="7" t="s">
        <v>84</v>
      </c>
      <c r="B2647" s="7" t="n">
        <v>2024</v>
      </c>
      <c r="C2647" s="7" t="s">
        <v>165</v>
      </c>
      <c r="D2647" s="7" t="n">
        <v>89</v>
      </c>
      <c r="E2647" s="7" t="n">
        <v>73</v>
      </c>
      <c r="F2647" s="3" t="n">
        <f aca="false">COUNTIFS($B$2:$B$2705,B2647,$C$2:$C$2705,C2647)</f>
        <v>1</v>
      </c>
      <c r="G2647" s="3" t="n">
        <f aca="false">MIN(INT((MIN(B2647,2020)-1900)/10)+1,12)</f>
        <v>12</v>
      </c>
      <c r="H2647" s="3" t="n">
        <f aca="false">(MIN(B2647,2020)-1900-10*(G2647-1))/10</f>
        <v>1</v>
      </c>
      <c r="I2647" s="20" t="n">
        <f aca="false">EXP(LN(INDEX(Pop_Inputs!$B$2:$N$29,MATCH(C2647,Pop_Inputs!$A$2:$A$29,0),G2647))*(1-H2647)+LN(INDEX(Pop_Inputs!$B$2:$N$29,MATCH(C2647,Pop_Inputs!$A$2:$A$29,0),G2647+1))*H2647)</f>
        <v>1608139</v>
      </c>
      <c r="J2647" s="20" t="n">
        <f aca="false">I2647/F2647</f>
        <v>1608139</v>
      </c>
      <c r="K2647" s="21" t="n">
        <f aca="false">D2647/(D2647+E2647)</f>
        <v>0.549382716049383</v>
      </c>
      <c r="L2647" s="21" t="n">
        <f aca="false">AVERAGEIFS($K$2:$K$2705,$B$2:$B$2705,B2647)</f>
        <v>0.500024282391432</v>
      </c>
      <c r="M2647" s="21" t="n">
        <f aca="false">K2647-L2647</f>
        <v>0.0493584336579506</v>
      </c>
      <c r="N2647" s="21" t="n">
        <f aca="false">LN(J2647)</f>
        <v>14.2905881677712</v>
      </c>
      <c r="O2647" s="21" t="n">
        <f aca="false">AVERAGEIFS($N$2:$N$2705,$B$2:$B$2705,B2647)</f>
        <v>13.6790216080491</v>
      </c>
      <c r="P2647" s="21" t="n">
        <f aca="false">N2647-O2647</f>
        <v>0.611566559722055</v>
      </c>
      <c r="Q2647" s="7" t="n">
        <v>1</v>
      </c>
      <c r="R2647" s="3" t="n">
        <f aca="false">IF(AND(Q2647=1,B2647-_xlfn.MINIFS($B$2:$B$2705,$A$2:$A$2705,A2647)&lt;10),1,0)</f>
        <v>0</v>
      </c>
      <c r="S2647" s="7" t="n">
        <v>0</v>
      </c>
      <c r="T2647" s="3" t="n">
        <f aca="false">_xlfn.MINIFS($B$2:$B$2705,$A$2:$A$2705,A2647)</f>
        <v>1998</v>
      </c>
      <c r="U2647" s="3" t="n">
        <f aca="false">B2647-T2647</f>
        <v>26</v>
      </c>
      <c r="V2647" s="3" t="str">
        <f aca="false">INDEX(Pop_Inputs!$Q$2:$Q$29,MATCH(C2647,Pop_Inputs!$A$2:$A$29,0))</f>
        <v>West</v>
      </c>
      <c r="W2647" s="29" t="n">
        <v>177136401</v>
      </c>
      <c r="X2647" s="3" t="n">
        <f aca="false">IF(W2647="","",LN(W2647))</f>
        <v>18.9924306208761</v>
      </c>
      <c r="Y2647" s="3" t="n">
        <f aca="false">IF(X2647="","",X2647-AVERAGEIFS($X$2:$X$2705,$B$2:$B$2705,B2647))</f>
        <v>0.110325043129532</v>
      </c>
      <c r="Z2647" s="21" t="n">
        <f aca="false">P2647</f>
        <v>0.611566559722055</v>
      </c>
      <c r="AA2647" s="3" t="n">
        <f aca="false">R2647</f>
        <v>0</v>
      </c>
      <c r="AB2647" s="21" t="n">
        <f aca="false">P2647</f>
        <v>0.611566559722055</v>
      </c>
      <c r="AC2647" s="3" t="n">
        <f aca="false">Y2647</f>
        <v>0.110325043129532</v>
      </c>
      <c r="AD2647" s="3" t="n">
        <f aca="false">R2647</f>
        <v>0</v>
      </c>
    </row>
    <row r="2648" customFormat="false" ht="15" hidden="false" customHeight="true" outlineLevel="0" collapsed="false">
      <c r="A2648" s="7" t="s">
        <v>54</v>
      </c>
      <c r="B2648" s="7" t="n">
        <v>2024</v>
      </c>
      <c r="C2648" s="7" t="s">
        <v>141</v>
      </c>
      <c r="D2648" s="7" t="n">
        <v>89</v>
      </c>
      <c r="E2648" s="7" t="n">
        <v>73</v>
      </c>
      <c r="F2648" s="3" t="n">
        <f aca="false">COUNTIFS($B$2:$B$2705,B2648,$C$2:$C$2705,C2648)</f>
        <v>1</v>
      </c>
      <c r="G2648" s="3" t="n">
        <f aca="false">MIN(INT((MIN(B2648,2020)-1900)/10)+1,12)</f>
        <v>12</v>
      </c>
      <c r="H2648" s="3" t="n">
        <f aca="false">(MIN(B2648,2020)-1900-10*(G2648-1))/10</f>
        <v>1</v>
      </c>
      <c r="I2648" s="20" t="n">
        <f aca="false">EXP(LN(INDEX(Pop_Inputs!$B$2:$N$29,MATCH(C2648,Pop_Inputs!$A$2:$A$29,0),G2648))*(1-H2648)+LN(INDEX(Pop_Inputs!$B$2:$N$29,MATCH(C2648,Pop_Inputs!$A$2:$A$29,0),G2648+1))*H2648)</f>
        <v>498715</v>
      </c>
      <c r="J2648" s="20" t="n">
        <f aca="false">I2648/F2648</f>
        <v>498715</v>
      </c>
      <c r="K2648" s="21" t="n">
        <f aca="false">D2648/(D2648+E2648)</f>
        <v>0.549382716049383</v>
      </c>
      <c r="L2648" s="21" t="n">
        <f aca="false">AVERAGEIFS($K$2:$K$2705,$B$2:$B$2705,B2648)</f>
        <v>0.500024282391432</v>
      </c>
      <c r="M2648" s="21" t="n">
        <f aca="false">K2648-L2648</f>
        <v>0.0493584336579506</v>
      </c>
      <c r="N2648" s="21" t="n">
        <f aca="false">LN(J2648)</f>
        <v>13.1197900692852</v>
      </c>
      <c r="O2648" s="21" t="n">
        <f aca="false">AVERAGEIFS($N$2:$N$2705,$B$2:$B$2705,B2648)</f>
        <v>13.6790216080491</v>
      </c>
      <c r="P2648" s="21" t="n">
        <f aca="false">N2648-O2648</f>
        <v>-0.5592315387639</v>
      </c>
      <c r="Q2648" s="7" t="n">
        <v>0</v>
      </c>
      <c r="R2648" s="3" t="n">
        <f aca="false">IF(AND(Q2648=1,B2648-_xlfn.MINIFS($B$2:$B$2705,$A$2:$A$2705,A2648)&lt;10),1,0)</f>
        <v>0</v>
      </c>
      <c r="S2648" s="7" t="n">
        <v>0</v>
      </c>
      <c r="T2648" s="3" t="n">
        <f aca="false">_xlfn.MINIFS($B$2:$B$2705,$A$2:$A$2705,A2648)</f>
        <v>1901</v>
      </c>
      <c r="U2648" s="3" t="n">
        <f aca="false">B2648-T2648</f>
        <v>123</v>
      </c>
      <c r="V2648" s="3" t="str">
        <f aca="false">INDEX(Pop_Inputs!$Q$2:$Q$29,MATCH(C2648,Pop_Inputs!$A$2:$A$29,0))</f>
        <v>South</v>
      </c>
      <c r="W2648" s="29" t="n">
        <v>233983496</v>
      </c>
      <c r="X2648" s="3" t="n">
        <f aca="false">IF(W2648="","",LN(W2648))</f>
        <v>19.2707611409201</v>
      </c>
      <c r="Y2648" s="3" t="n">
        <f aca="false">IF(X2648="","",X2648-AVERAGEIFS($X$2:$X$2705,$B$2:$B$2705,B2648))</f>
        <v>0.388655563173494</v>
      </c>
      <c r="Z2648" s="21" t="n">
        <f aca="false">P2648</f>
        <v>-0.5592315387639</v>
      </c>
      <c r="AA2648" s="3" t="n">
        <f aca="false">R2648</f>
        <v>0</v>
      </c>
      <c r="AB2648" s="21" t="n">
        <f aca="false">P2648</f>
        <v>-0.5592315387639</v>
      </c>
      <c r="AC2648" s="3" t="n">
        <f aca="false">Y2648</f>
        <v>0.388655563173494</v>
      </c>
      <c r="AD2648" s="3" t="n">
        <f aca="false">R2648</f>
        <v>0</v>
      </c>
    </row>
    <row r="2649" customFormat="false" ht="15" hidden="false" customHeight="true" outlineLevel="0" collapsed="false">
      <c r="A2649" s="7" t="s">
        <v>63</v>
      </c>
      <c r="B2649" s="7" t="n">
        <v>2024</v>
      </c>
      <c r="C2649" s="7" t="s">
        <v>149</v>
      </c>
      <c r="D2649" s="7" t="n">
        <v>91</v>
      </c>
      <c r="E2649" s="7" t="n">
        <v>71</v>
      </c>
      <c r="F2649" s="3" t="n">
        <f aca="false">COUNTIFS($B$2:$B$2705,B2649,$C$2:$C$2705,C2649)</f>
        <v>1</v>
      </c>
      <c r="G2649" s="3" t="n">
        <f aca="false">MIN(INT((MIN(B2649,2020)-1900)/10)+1,12)</f>
        <v>12</v>
      </c>
      <c r="H2649" s="3" t="n">
        <f aca="false">(MIN(B2649,2020)-1900-10*(G2649-1))/10</f>
        <v>1</v>
      </c>
      <c r="I2649" s="20" t="n">
        <f aca="false">EXP(LN(INDEX(Pop_Inputs!$B$2:$N$29,MATCH(C2649,Pop_Inputs!$A$2:$A$29,0),G2649))*(1-H2649)+LN(INDEX(Pop_Inputs!$B$2:$N$29,MATCH(C2649,Pop_Inputs!$A$2:$A$29,0),G2649+1))*H2649)</f>
        <v>585708.000000001</v>
      </c>
      <c r="J2649" s="20" t="n">
        <f aca="false">I2649/F2649</f>
        <v>585708.000000001</v>
      </c>
      <c r="K2649" s="21" t="n">
        <f aca="false">D2649/(D2649+E2649)</f>
        <v>0.561728395061728</v>
      </c>
      <c r="L2649" s="21" t="n">
        <f aca="false">AVERAGEIFS($K$2:$K$2705,$B$2:$B$2705,B2649)</f>
        <v>0.500024282391432</v>
      </c>
      <c r="M2649" s="21" t="n">
        <f aca="false">K2649-L2649</f>
        <v>0.0617041126702963</v>
      </c>
      <c r="N2649" s="21" t="n">
        <f aca="false">LN(J2649)</f>
        <v>13.2805766508543</v>
      </c>
      <c r="O2649" s="21" t="n">
        <f aca="false">AVERAGEIFS($N$2:$N$2705,$B$2:$B$2705,B2649)</f>
        <v>13.6790216080491</v>
      </c>
      <c r="P2649" s="21" t="n">
        <f aca="false">N2649-O2649</f>
        <v>-0.39844495719478</v>
      </c>
      <c r="Q2649" s="7" t="n">
        <v>0</v>
      </c>
      <c r="R2649" s="3" t="n">
        <f aca="false">IF(AND(Q2649=1,B2649-_xlfn.MINIFS($B$2:$B$2705,$A$2:$A$2705,A2649)&lt;10),1,0)</f>
        <v>0</v>
      </c>
      <c r="S2649" s="7" t="n">
        <v>0</v>
      </c>
      <c r="T2649" s="3" t="n">
        <f aca="false">_xlfn.MINIFS($B$2:$B$2705,$A$2:$A$2705,A2649)</f>
        <v>1901</v>
      </c>
      <c r="U2649" s="3" t="n">
        <f aca="false">B2649-T2649</f>
        <v>123</v>
      </c>
      <c r="V2649" s="3" t="str">
        <f aca="false">INDEX(Pop_Inputs!$Q$2:$Q$29,MATCH(C2649,Pop_Inputs!$A$2:$A$29,0))</f>
        <v>South</v>
      </c>
      <c r="W2649" s="29" t="n">
        <v>105416838</v>
      </c>
      <c r="X2649" s="3" t="n">
        <f aca="false">IF(W2649="","",LN(W2649))</f>
        <v>18.473432934633</v>
      </c>
      <c r="Y2649" s="3" t="n">
        <f aca="false">IF(X2649="","",X2649-AVERAGEIFS($X$2:$X$2705,$B$2:$B$2705,B2649))</f>
        <v>-0.408672643113583</v>
      </c>
      <c r="Z2649" s="21" t="n">
        <f aca="false">P2649</f>
        <v>-0.39844495719478</v>
      </c>
      <c r="AA2649" s="3" t="n">
        <f aca="false">R2649</f>
        <v>0</v>
      </c>
      <c r="AB2649" s="21" t="n">
        <f aca="false">P2649</f>
        <v>-0.39844495719478</v>
      </c>
      <c r="AC2649" s="3" t="n">
        <f aca="false">Y2649</f>
        <v>-0.408672643113583</v>
      </c>
      <c r="AD2649" s="3" t="n">
        <f aca="false">R2649</f>
        <v>0</v>
      </c>
    </row>
    <row r="2650" customFormat="false" ht="15" hidden="false" customHeight="true" outlineLevel="0" collapsed="false">
      <c r="A2650" s="7" t="s">
        <v>64</v>
      </c>
      <c r="B2650" s="7" t="n">
        <v>2024</v>
      </c>
      <c r="C2650" s="7" t="s">
        <v>150</v>
      </c>
      <c r="D2650" s="7" t="n">
        <v>81</v>
      </c>
      <c r="E2650" s="7" t="n">
        <v>81</v>
      </c>
      <c r="F2650" s="3" t="n">
        <f aca="false">COUNTIFS($B$2:$B$2705,B2650,$C$2:$C$2705,C2650)</f>
        <v>1</v>
      </c>
      <c r="G2650" s="3" t="n">
        <f aca="false">MIN(INT((MIN(B2650,2020)-1900)/10)+1,12)</f>
        <v>12</v>
      </c>
      <c r="H2650" s="3" t="n">
        <f aca="false">(MIN(B2650,2020)-1900-10*(G2650-1))/10</f>
        <v>1</v>
      </c>
      <c r="I2650" s="20" t="n">
        <f aca="false">EXP(LN(INDEX(Pop_Inputs!$B$2:$N$29,MATCH(C2650,Pop_Inputs!$A$2:$A$29,0),G2650))*(1-H2650)+LN(INDEX(Pop_Inputs!$B$2:$N$29,MATCH(C2650,Pop_Inputs!$A$2:$A$29,0),G2650+1))*H2650)</f>
        <v>675647.000000001</v>
      </c>
      <c r="J2650" s="20" t="n">
        <f aca="false">I2650/F2650</f>
        <v>675647.000000001</v>
      </c>
      <c r="K2650" s="21" t="n">
        <f aca="false">D2650/(D2650+E2650)</f>
        <v>0.5</v>
      </c>
      <c r="L2650" s="21" t="n">
        <f aca="false">AVERAGEIFS($K$2:$K$2705,$B$2:$B$2705,B2650)</f>
        <v>0.500024282391432</v>
      </c>
      <c r="M2650" s="21" t="n">
        <f aca="false">K2650-L2650</f>
        <v>-2.42823914321511E-005</v>
      </c>
      <c r="N2650" s="21" t="n">
        <f aca="false">LN(J2650)</f>
        <v>13.4234260292876</v>
      </c>
      <c r="O2650" s="21" t="n">
        <f aca="false">AVERAGEIFS($N$2:$N$2705,$B$2:$B$2705,B2650)</f>
        <v>13.6790216080491</v>
      </c>
      <c r="P2650" s="21" t="n">
        <f aca="false">N2650-O2650</f>
        <v>-0.255595578761453</v>
      </c>
      <c r="Q2650" s="7" t="n">
        <v>0</v>
      </c>
      <c r="R2650" s="3" t="n">
        <f aca="false">IF(AND(Q2650=1,B2650-_xlfn.MINIFS($B$2:$B$2705,$A$2:$A$2705,A2650)&lt;10),1,0)</f>
        <v>0</v>
      </c>
      <c r="S2650" s="7" t="n">
        <v>0</v>
      </c>
      <c r="T2650" s="3" t="n">
        <f aca="false">_xlfn.MINIFS($B$2:$B$2705,$A$2:$A$2705,A2650)</f>
        <v>1901</v>
      </c>
      <c r="U2650" s="3" t="n">
        <f aca="false">B2650-T2650</f>
        <v>123</v>
      </c>
      <c r="V2650" s="3" t="str">
        <f aca="false">INDEX(Pop_Inputs!$Q$2:$Q$29,MATCH(C2650,Pop_Inputs!$A$2:$A$29,0))</f>
        <v>Northeast</v>
      </c>
      <c r="W2650" s="29" t="n">
        <v>188194381</v>
      </c>
      <c r="X2650" s="3" t="n">
        <f aca="false">IF(W2650="","",LN(W2650))</f>
        <v>19.0529859281342</v>
      </c>
      <c r="Y2650" s="3" t="n">
        <f aca="false">IF(X2650="","",X2650-AVERAGEIFS($X$2:$X$2705,$B$2:$B$2705,B2650))</f>
        <v>0.170880350387638</v>
      </c>
      <c r="Z2650" s="21" t="n">
        <f aca="false">P2650</f>
        <v>-0.255595578761453</v>
      </c>
      <c r="AA2650" s="3" t="n">
        <f aca="false">R2650</f>
        <v>0</v>
      </c>
      <c r="AB2650" s="21" t="n">
        <f aca="false">P2650</f>
        <v>-0.255595578761453</v>
      </c>
      <c r="AC2650" s="3" t="n">
        <f aca="false">Y2650</f>
        <v>0.170880350387638</v>
      </c>
      <c r="AD2650" s="3" t="n">
        <f aca="false">R2650</f>
        <v>0</v>
      </c>
    </row>
    <row r="2651" customFormat="false" ht="15" hidden="false" customHeight="true" outlineLevel="0" collapsed="false">
      <c r="A2651" s="7" t="s">
        <v>56</v>
      </c>
      <c r="B2651" s="7" t="n">
        <v>2024</v>
      </c>
      <c r="C2651" s="7" t="s">
        <v>142</v>
      </c>
      <c r="D2651" s="7" t="n">
        <v>83</v>
      </c>
      <c r="E2651" s="7" t="n">
        <v>79</v>
      </c>
      <c r="F2651" s="3" t="n">
        <f aca="false">COUNTIFS($B$2:$B$2705,B2651,$C$2:$C$2705,C2651)</f>
        <v>2</v>
      </c>
      <c r="G2651" s="3" t="n">
        <f aca="false">MIN(INT((MIN(B2651,2020)-1900)/10)+1,12)</f>
        <v>12</v>
      </c>
      <c r="H2651" s="3" t="n">
        <f aca="false">(MIN(B2651,2020)-1900-10*(G2651-1))/10</f>
        <v>1</v>
      </c>
      <c r="I2651" s="20" t="n">
        <f aca="false">EXP(LN(INDEX(Pop_Inputs!$B$2:$N$29,MATCH(C2651,Pop_Inputs!$A$2:$A$29,0),G2651))*(1-H2651)+LN(INDEX(Pop_Inputs!$B$2:$N$29,MATCH(C2651,Pop_Inputs!$A$2:$A$29,0),G2651+1))*H2651)</f>
        <v>2746388</v>
      </c>
      <c r="J2651" s="20" t="n">
        <f aca="false">I2651/F2651</f>
        <v>1373194</v>
      </c>
      <c r="K2651" s="21" t="n">
        <f aca="false">D2651/(D2651+E2651)</f>
        <v>0.512345679012346</v>
      </c>
      <c r="L2651" s="21" t="n">
        <f aca="false">AVERAGEIFS($K$2:$K$2705,$B$2:$B$2705,B2651)</f>
        <v>0.500024282391432</v>
      </c>
      <c r="M2651" s="21" t="n">
        <f aca="false">K2651-L2651</f>
        <v>0.0123213966209136</v>
      </c>
      <c r="N2651" s="21" t="n">
        <f aca="false">LN(J2651)</f>
        <v>14.1326499711999</v>
      </c>
      <c r="O2651" s="21" t="n">
        <f aca="false">AVERAGEIFS($N$2:$N$2705,$B$2:$B$2705,B2651)</f>
        <v>13.6790216080491</v>
      </c>
      <c r="P2651" s="21" t="n">
        <f aca="false">N2651-O2651</f>
        <v>0.453628363150779</v>
      </c>
      <c r="Q2651" s="7" t="n">
        <v>0</v>
      </c>
      <c r="R2651" s="3" t="n">
        <f aca="false">IF(AND(Q2651=1,B2651-_xlfn.MINIFS($B$2:$B$2705,$A$2:$A$2705,A2651)&lt;10),1,0)</f>
        <v>0</v>
      </c>
      <c r="S2651" s="7" t="n">
        <v>0</v>
      </c>
      <c r="T2651" s="3" t="n">
        <f aca="false">_xlfn.MINIFS($B$2:$B$2705,$A$2:$A$2705,A2651)</f>
        <v>1901</v>
      </c>
      <c r="U2651" s="3" t="n">
        <f aca="false">B2651-T2651</f>
        <v>123</v>
      </c>
      <c r="V2651" s="3" t="str">
        <f aca="false">INDEX(Pop_Inputs!$Q$2:$Q$29,MATCH(C2651,Pop_Inputs!$A$2:$A$29,0))</f>
        <v>Midwest</v>
      </c>
      <c r="W2651" s="29" t="n">
        <v>229724211</v>
      </c>
      <c r="X2651" s="3" t="n">
        <f aca="false">IF(W2651="","",LN(W2651))</f>
        <v>19.252390064804</v>
      </c>
      <c r="Y2651" s="3" t="n">
        <f aca="false">IF(X2651="","",X2651-AVERAGEIFS($X$2:$X$2705,$B$2:$B$2705,B2651))</f>
        <v>0.370284487057425</v>
      </c>
      <c r="Z2651" s="21" t="n">
        <f aca="false">P2651</f>
        <v>0.453628363150779</v>
      </c>
      <c r="AA2651" s="3" t="n">
        <f aca="false">R2651</f>
        <v>0</v>
      </c>
      <c r="AB2651" s="21" t="n">
        <f aca="false">P2651</f>
        <v>0.453628363150779</v>
      </c>
      <c r="AC2651" s="3" t="n">
        <f aca="false">Y2651</f>
        <v>0.370284487057425</v>
      </c>
      <c r="AD2651" s="3" t="n">
        <f aca="false">R2651</f>
        <v>0</v>
      </c>
    </row>
    <row r="2652" customFormat="false" ht="15" hidden="false" customHeight="true" outlineLevel="0" collapsed="false">
      <c r="A2652" s="7" t="s">
        <v>65</v>
      </c>
      <c r="B2652" s="7" t="n">
        <v>2024</v>
      </c>
      <c r="C2652" s="7" t="s">
        <v>142</v>
      </c>
      <c r="D2652" s="7" t="n">
        <v>41</v>
      </c>
      <c r="E2652" s="7" t="n">
        <v>121</v>
      </c>
      <c r="F2652" s="3" t="n">
        <f aca="false">COUNTIFS($B$2:$B$2705,B2652,$C$2:$C$2705,C2652)</f>
        <v>2</v>
      </c>
      <c r="G2652" s="3" t="n">
        <f aca="false">MIN(INT((MIN(B2652,2020)-1900)/10)+1,12)</f>
        <v>12</v>
      </c>
      <c r="H2652" s="3" t="n">
        <f aca="false">(MIN(B2652,2020)-1900-10*(G2652-1))/10</f>
        <v>1</v>
      </c>
      <c r="I2652" s="20" t="n">
        <f aca="false">EXP(LN(INDEX(Pop_Inputs!$B$2:$N$29,MATCH(C2652,Pop_Inputs!$A$2:$A$29,0),G2652))*(1-H2652)+LN(INDEX(Pop_Inputs!$B$2:$N$29,MATCH(C2652,Pop_Inputs!$A$2:$A$29,0),G2652+1))*H2652)</f>
        <v>2746388</v>
      </c>
      <c r="J2652" s="20" t="n">
        <f aca="false">I2652/F2652</f>
        <v>1373194</v>
      </c>
      <c r="K2652" s="21" t="n">
        <f aca="false">D2652/(D2652+E2652)</f>
        <v>0.253086419753086</v>
      </c>
      <c r="L2652" s="21" t="n">
        <f aca="false">AVERAGEIFS($K$2:$K$2705,$B$2:$B$2705,B2652)</f>
        <v>0.500024282391432</v>
      </c>
      <c r="M2652" s="21" t="n">
        <f aca="false">K2652-L2652</f>
        <v>-0.246937862638346</v>
      </c>
      <c r="N2652" s="21" t="n">
        <f aca="false">LN(J2652)</f>
        <v>14.1326499711999</v>
      </c>
      <c r="O2652" s="21" t="n">
        <f aca="false">AVERAGEIFS($N$2:$N$2705,$B$2:$B$2705,B2652)</f>
        <v>13.6790216080491</v>
      </c>
      <c r="P2652" s="21" t="n">
        <f aca="false">N2652-O2652</f>
        <v>0.453628363150779</v>
      </c>
      <c r="Q2652" s="7" t="n">
        <v>0</v>
      </c>
      <c r="R2652" s="3" t="n">
        <f aca="false">IF(AND(Q2652=1,B2652-_xlfn.MINIFS($B$2:$B$2705,$A$2:$A$2705,A2652)&lt;10),1,0)</f>
        <v>0</v>
      </c>
      <c r="S2652" s="7" t="n">
        <v>0</v>
      </c>
      <c r="T2652" s="3" t="n">
        <f aca="false">_xlfn.MINIFS($B$2:$B$2705,$A$2:$A$2705,A2652)</f>
        <v>1901</v>
      </c>
      <c r="U2652" s="3" t="n">
        <f aca="false">B2652-T2652</f>
        <v>123</v>
      </c>
      <c r="V2652" s="3" t="str">
        <f aca="false">INDEX(Pop_Inputs!$Q$2:$Q$29,MATCH(C2652,Pop_Inputs!$A$2:$A$29,0))</f>
        <v>Midwest</v>
      </c>
      <c r="W2652" s="29" t="n">
        <v>153903789</v>
      </c>
      <c r="X2652" s="3" t="n">
        <f aca="false">IF(W2652="","",LN(W2652))</f>
        <v>18.8518382183891</v>
      </c>
      <c r="Y2652" s="3" t="n">
        <f aca="false">IF(X2652="","",X2652-AVERAGEIFS($X$2:$X$2705,$B$2:$B$2705,B2652))</f>
        <v>-0.0302673593575165</v>
      </c>
      <c r="Z2652" s="21" t="n">
        <f aca="false">P2652</f>
        <v>0.453628363150779</v>
      </c>
      <c r="AA2652" s="3" t="n">
        <f aca="false">R2652</f>
        <v>0</v>
      </c>
      <c r="AB2652" s="21" t="n">
        <f aca="false">P2652</f>
        <v>0.453628363150779</v>
      </c>
      <c r="AC2652" s="3" t="n">
        <f aca="false">Y2652</f>
        <v>-0.0302673593575165</v>
      </c>
      <c r="AD2652" s="3" t="n">
        <f aca="false">R2652</f>
        <v>0</v>
      </c>
    </row>
    <row r="2653" customFormat="false" ht="15" hidden="false" customHeight="true" outlineLevel="0" collapsed="false">
      <c r="A2653" s="7" t="s">
        <v>57</v>
      </c>
      <c r="B2653" s="7" t="n">
        <v>2024</v>
      </c>
      <c r="C2653" s="7" t="s">
        <v>143</v>
      </c>
      <c r="D2653" s="7" t="n">
        <v>77</v>
      </c>
      <c r="E2653" s="7" t="n">
        <v>85</v>
      </c>
      <c r="F2653" s="3" t="n">
        <f aca="false">COUNTIFS($B$2:$B$2705,B2653,$C$2:$C$2705,C2653)</f>
        <v>1</v>
      </c>
      <c r="G2653" s="3" t="n">
        <f aca="false">MIN(INT((MIN(B2653,2020)-1900)/10)+1,12)</f>
        <v>12</v>
      </c>
      <c r="H2653" s="3" t="n">
        <f aca="false">(MIN(B2653,2020)-1900-10*(G2653-1))/10</f>
        <v>1</v>
      </c>
      <c r="I2653" s="20" t="n">
        <f aca="false">EXP(LN(INDEX(Pop_Inputs!$B$2:$N$29,MATCH(C2653,Pop_Inputs!$A$2:$A$29,0),G2653))*(1-H2653)+LN(INDEX(Pop_Inputs!$B$2:$N$29,MATCH(C2653,Pop_Inputs!$A$2:$A$29,0),G2653+1))*H2653)</f>
        <v>309317</v>
      </c>
      <c r="J2653" s="20" t="n">
        <f aca="false">I2653/F2653</f>
        <v>309317</v>
      </c>
      <c r="K2653" s="21" t="n">
        <f aca="false">D2653/(D2653+E2653)</f>
        <v>0.475308641975309</v>
      </c>
      <c r="L2653" s="21" t="n">
        <f aca="false">AVERAGEIFS($K$2:$K$2705,$B$2:$B$2705,B2653)</f>
        <v>0.500024282391432</v>
      </c>
      <c r="M2653" s="21" t="n">
        <f aca="false">K2653-L2653</f>
        <v>-0.0247156404161235</v>
      </c>
      <c r="N2653" s="21" t="n">
        <f aca="false">LN(J2653)</f>
        <v>12.642121919982</v>
      </c>
      <c r="O2653" s="21" t="n">
        <f aca="false">AVERAGEIFS($N$2:$N$2705,$B$2:$B$2705,B2653)</f>
        <v>13.6790216080491</v>
      </c>
      <c r="P2653" s="21" t="n">
        <f aca="false">N2653-O2653</f>
        <v>-1.03689968806707</v>
      </c>
      <c r="Q2653" s="7" t="n">
        <v>0</v>
      </c>
      <c r="R2653" s="3" t="n">
        <f aca="false">IF(AND(Q2653=1,B2653-_xlfn.MINIFS($B$2:$B$2705,$A$2:$A$2705,A2653)&lt;10),1,0)</f>
        <v>0</v>
      </c>
      <c r="S2653" s="7" t="n">
        <v>0</v>
      </c>
      <c r="T2653" s="3" t="n">
        <f aca="false">_xlfn.MINIFS($B$2:$B$2705,$A$2:$A$2705,A2653)</f>
        <v>1901</v>
      </c>
      <c r="U2653" s="3" t="n">
        <f aca="false">B2653-T2653</f>
        <v>123</v>
      </c>
      <c r="V2653" s="3" t="str">
        <f aca="false">INDEX(Pop_Inputs!$Q$2:$Q$29,MATCH(C2653,Pop_Inputs!$A$2:$A$29,0))</f>
        <v>Midwest</v>
      </c>
      <c r="W2653" s="29" t="n">
        <v>106970322</v>
      </c>
      <c r="X2653" s="3" t="n">
        <f aca="false">IF(W2653="","",LN(W2653))</f>
        <v>18.4880619894676</v>
      </c>
      <c r="Y2653" s="3" t="n">
        <f aca="false">IF(X2653="","",X2653-AVERAGEIFS($X$2:$X$2705,$B$2:$B$2705,B2653))</f>
        <v>-0.394043588279043</v>
      </c>
      <c r="Z2653" s="21" t="n">
        <f aca="false">P2653</f>
        <v>-1.03689968806707</v>
      </c>
      <c r="AA2653" s="3" t="n">
        <f aca="false">R2653</f>
        <v>0</v>
      </c>
      <c r="AB2653" s="21" t="n">
        <f aca="false">P2653</f>
        <v>-1.03689968806707</v>
      </c>
      <c r="AC2653" s="3" t="n">
        <f aca="false">Y2653</f>
        <v>-0.394043588279043</v>
      </c>
      <c r="AD2653" s="3" t="n">
        <f aca="false">R2653</f>
        <v>0</v>
      </c>
    </row>
    <row r="2654" customFormat="false" ht="15" hidden="false" customHeight="true" outlineLevel="0" collapsed="false">
      <c r="A2654" s="7" t="s">
        <v>66</v>
      </c>
      <c r="B2654" s="7" t="n">
        <v>2024</v>
      </c>
      <c r="C2654" s="7" t="s">
        <v>151</v>
      </c>
      <c r="D2654" s="7" t="n">
        <v>92</v>
      </c>
      <c r="E2654" s="7" t="n">
        <v>69</v>
      </c>
      <c r="F2654" s="3" t="n">
        <f aca="false">COUNTIFS($B$2:$B$2705,B2654,$C$2:$C$2705,C2654)</f>
        <v>1</v>
      </c>
      <c r="G2654" s="3" t="n">
        <f aca="false">MIN(INT((MIN(B2654,2020)-1900)/10)+1,12)</f>
        <v>12</v>
      </c>
      <c r="H2654" s="3" t="n">
        <f aca="false">(MIN(B2654,2020)-1900-10*(G2654-1))/10</f>
        <v>1</v>
      </c>
      <c r="I2654" s="20" t="n">
        <f aca="false">EXP(LN(INDEX(Pop_Inputs!$B$2:$N$29,MATCH(C2654,Pop_Inputs!$A$2:$A$29,0),G2654))*(1-H2654)+LN(INDEX(Pop_Inputs!$B$2:$N$29,MATCH(C2654,Pop_Inputs!$A$2:$A$29,0),G2654+1))*H2654)</f>
        <v>372624</v>
      </c>
      <c r="J2654" s="20" t="n">
        <f aca="false">I2654/F2654</f>
        <v>372624</v>
      </c>
      <c r="K2654" s="21" t="n">
        <f aca="false">D2654/(D2654+E2654)</f>
        <v>0.571428571428571</v>
      </c>
      <c r="L2654" s="21" t="n">
        <f aca="false">AVERAGEIFS($K$2:$K$2705,$B$2:$B$2705,B2654)</f>
        <v>0.500024282391432</v>
      </c>
      <c r="M2654" s="21" t="n">
        <f aca="false">K2654-L2654</f>
        <v>0.0714042890371393</v>
      </c>
      <c r="N2654" s="21" t="n">
        <f aca="false">LN(J2654)</f>
        <v>12.8283251473136</v>
      </c>
      <c r="O2654" s="21" t="n">
        <f aca="false">AVERAGEIFS($N$2:$N$2705,$B$2:$B$2705,B2654)</f>
        <v>13.6790216080491</v>
      </c>
      <c r="P2654" s="21" t="n">
        <f aca="false">N2654-O2654</f>
        <v>-0.850696460735531</v>
      </c>
      <c r="Q2654" s="7" t="n">
        <v>0</v>
      </c>
      <c r="R2654" s="3" t="n">
        <f aca="false">IF(AND(Q2654=1,B2654-_xlfn.MINIFS($B$2:$B$2705,$A$2:$A$2705,A2654)&lt;10),1,0)</f>
        <v>0</v>
      </c>
      <c r="S2654" s="7" t="n">
        <v>0</v>
      </c>
      <c r="T2654" s="3" t="n">
        <f aca="false">_xlfn.MINIFS($B$2:$B$2705,$A$2:$A$2705,A2654)</f>
        <v>1901</v>
      </c>
      <c r="U2654" s="3" t="n">
        <f aca="false">B2654-T2654</f>
        <v>123</v>
      </c>
      <c r="V2654" s="3" t="str">
        <f aca="false">INDEX(Pop_Inputs!$Q$2:$Q$29,MATCH(C2654,Pop_Inputs!$A$2:$A$29,0))</f>
        <v>Midwest</v>
      </c>
      <c r="W2654" s="29" t="n">
        <v>109502409</v>
      </c>
      <c r="X2654" s="3" t="n">
        <f aca="false">IF(W2654="","",LN(W2654))</f>
        <v>18.5114571069788</v>
      </c>
      <c r="Y2654" s="3" t="n">
        <f aca="false">IF(X2654="","",X2654-AVERAGEIFS($X$2:$X$2705,$B$2:$B$2705,B2654))</f>
        <v>-0.370648470767765</v>
      </c>
      <c r="Z2654" s="21" t="n">
        <f aca="false">P2654</f>
        <v>-0.850696460735531</v>
      </c>
      <c r="AA2654" s="3" t="n">
        <f aca="false">R2654</f>
        <v>0</v>
      </c>
      <c r="AB2654" s="21" t="n">
        <f aca="false">P2654</f>
        <v>-0.850696460735531</v>
      </c>
      <c r="AC2654" s="3" t="n">
        <f aca="false">Y2654</f>
        <v>-0.370648470767765</v>
      </c>
      <c r="AD2654" s="3" t="n">
        <f aca="false">R2654</f>
        <v>0</v>
      </c>
    </row>
    <row r="2655" customFormat="false" ht="15" hidden="false" customHeight="true" outlineLevel="0" collapsed="false">
      <c r="A2655" s="7" t="s">
        <v>82</v>
      </c>
      <c r="B2655" s="7" t="n">
        <v>2024</v>
      </c>
      <c r="C2655" s="7" t="s">
        <v>163</v>
      </c>
      <c r="D2655" s="7" t="n">
        <v>61</v>
      </c>
      <c r="E2655" s="7" t="n">
        <v>101</v>
      </c>
      <c r="F2655" s="3" t="n">
        <f aca="false">COUNTIFS($B$2:$B$2705,B2655,$C$2:$C$2705,C2655)</f>
        <v>1</v>
      </c>
      <c r="G2655" s="3" t="n">
        <f aca="false">MIN(INT((MIN(B2655,2020)-1900)/10)+1,12)</f>
        <v>12</v>
      </c>
      <c r="H2655" s="3" t="n">
        <f aca="false">(MIN(B2655,2020)-1900-10*(G2655-1))/10</f>
        <v>1</v>
      </c>
      <c r="I2655" s="20" t="n">
        <f aca="false">EXP(LN(INDEX(Pop_Inputs!$B$2:$N$29,MATCH(C2655,Pop_Inputs!$A$2:$A$29,0),G2655))*(1-H2655)+LN(INDEX(Pop_Inputs!$B$2:$N$29,MATCH(C2655,Pop_Inputs!$A$2:$A$29,0),G2655+1))*H2655)</f>
        <v>715521.999999999</v>
      </c>
      <c r="J2655" s="20" t="n">
        <f aca="false">I2655/F2655</f>
        <v>715521.999999999</v>
      </c>
      <c r="K2655" s="21" t="n">
        <f aca="false">D2655/(D2655+E2655)</f>
        <v>0.376543209876543</v>
      </c>
      <c r="L2655" s="21" t="n">
        <f aca="false">AVERAGEIFS($K$2:$K$2705,$B$2:$B$2705,B2655)</f>
        <v>0.500024282391432</v>
      </c>
      <c r="M2655" s="21" t="n">
        <f aca="false">K2655-L2655</f>
        <v>-0.123481072514889</v>
      </c>
      <c r="N2655" s="21" t="n">
        <f aca="false">LN(J2655)</f>
        <v>13.4807676252348</v>
      </c>
      <c r="O2655" s="21" t="n">
        <f aca="false">AVERAGEIFS($N$2:$N$2705,$B$2:$B$2705,B2655)</f>
        <v>13.6790216080491</v>
      </c>
      <c r="P2655" s="21" t="n">
        <f aca="false">N2655-O2655</f>
        <v>-0.1982539828143</v>
      </c>
      <c r="Q2655" s="7" t="n">
        <v>1</v>
      </c>
      <c r="R2655" s="3" t="n">
        <f aca="false">IF(AND(Q2655=1,B2655-_xlfn.MINIFS($B$2:$B$2705,$A$2:$A$2705,A2655)&lt;10),1,0)</f>
        <v>0</v>
      </c>
      <c r="S2655" s="7" t="n">
        <v>0</v>
      </c>
      <c r="T2655" s="3" t="n">
        <f aca="false">_xlfn.MINIFS($B$2:$B$2705,$A$2:$A$2705,A2655)</f>
        <v>1993</v>
      </c>
      <c r="U2655" s="3" t="n">
        <f aca="false">B2655-T2655</f>
        <v>31</v>
      </c>
      <c r="V2655" s="3" t="str">
        <f aca="false">INDEX(Pop_Inputs!$Q$2:$Q$29,MATCH(C2655,Pop_Inputs!$A$2:$A$29,0))</f>
        <v>West</v>
      </c>
      <c r="W2655" s="29" t="n">
        <v>151284860</v>
      </c>
      <c r="X2655" s="3" t="n">
        <f aca="false">IF(W2655="","",LN(W2655))</f>
        <v>18.8346751076578</v>
      </c>
      <c r="Y2655" s="3" t="n">
        <f aca="false">IF(X2655="","",X2655-AVERAGEIFS($X$2:$X$2705,$B$2:$B$2705,B2655))</f>
        <v>-0.0474304700888162</v>
      </c>
      <c r="Z2655" s="21" t="n">
        <f aca="false">P2655</f>
        <v>-0.1982539828143</v>
      </c>
      <c r="AA2655" s="3" t="n">
        <f aca="false">R2655</f>
        <v>0</v>
      </c>
      <c r="AB2655" s="21" t="n">
        <f aca="false">P2655</f>
        <v>-0.1982539828143</v>
      </c>
      <c r="AC2655" s="3" t="n">
        <f aca="false">Y2655</f>
        <v>-0.0474304700888162</v>
      </c>
      <c r="AD2655" s="3" t="n">
        <f aca="false">R2655</f>
        <v>0</v>
      </c>
    </row>
    <row r="2656" customFormat="false" ht="15" hidden="false" customHeight="true" outlineLevel="0" collapsed="false">
      <c r="A2656" s="7" t="s">
        <v>67</v>
      </c>
      <c r="B2656" s="7" t="n">
        <v>2024</v>
      </c>
      <c r="C2656" s="7" t="s">
        <v>152</v>
      </c>
      <c r="D2656" s="7" t="n">
        <v>86</v>
      </c>
      <c r="E2656" s="7" t="n">
        <v>76</v>
      </c>
      <c r="F2656" s="3" t="n">
        <f aca="false">COUNTIFS($B$2:$B$2705,B2656,$C$2:$C$2705,C2656)</f>
        <v>1</v>
      </c>
      <c r="G2656" s="3" t="n">
        <f aca="false">MIN(INT((MIN(B2656,2020)-1900)/10)+1,12)</f>
        <v>12</v>
      </c>
      <c r="H2656" s="3" t="n">
        <f aca="false">(MIN(B2656,2020)-1900-10*(G2656-1))/10</f>
        <v>1</v>
      </c>
      <c r="I2656" s="20" t="n">
        <f aca="false">EXP(LN(INDEX(Pop_Inputs!$B$2:$N$29,MATCH(C2656,Pop_Inputs!$A$2:$A$29,0),G2656))*(1-H2656)+LN(INDEX(Pop_Inputs!$B$2:$N$29,MATCH(C2656,Pop_Inputs!$A$2:$A$29,0),G2656+1))*H2656)</f>
        <v>639111</v>
      </c>
      <c r="J2656" s="20" t="n">
        <f aca="false">I2656/F2656</f>
        <v>639111</v>
      </c>
      <c r="K2656" s="21" t="n">
        <f aca="false">D2656/(D2656+E2656)</f>
        <v>0.530864197530864</v>
      </c>
      <c r="L2656" s="21" t="n">
        <f aca="false">AVERAGEIFS($K$2:$K$2705,$B$2:$B$2705,B2656)</f>
        <v>0.500024282391432</v>
      </c>
      <c r="M2656" s="21" t="n">
        <f aca="false">K2656-L2656</f>
        <v>0.0308399151394321</v>
      </c>
      <c r="N2656" s="21" t="n">
        <f aca="false">LN(J2656)</f>
        <v>13.3678334271942</v>
      </c>
      <c r="O2656" s="21" t="n">
        <f aca="false">AVERAGEIFS($N$2:$N$2705,$B$2:$B$2705,B2656)</f>
        <v>13.6790216080491</v>
      </c>
      <c r="P2656" s="21" t="n">
        <f aca="false">N2656-O2656</f>
        <v>-0.31118818085489</v>
      </c>
      <c r="Q2656" s="7" t="n">
        <v>0</v>
      </c>
      <c r="R2656" s="3" t="n">
        <f aca="false">IF(AND(Q2656=1,B2656-_xlfn.MINIFS($B$2:$B$2705,$A$2:$A$2705,A2656)&lt;10),1,0)</f>
        <v>0</v>
      </c>
      <c r="S2656" s="7" t="n">
        <v>0</v>
      </c>
      <c r="T2656" s="3" t="n">
        <f aca="false">_xlfn.MINIFS($B$2:$B$2705,$A$2:$A$2705,A2656)</f>
        <v>1901</v>
      </c>
      <c r="U2656" s="3" t="n">
        <f aca="false">B2656-T2656</f>
        <v>123</v>
      </c>
      <c r="V2656" s="3" t="str">
        <f aca="false">INDEX(Pop_Inputs!$Q$2:$Q$29,MATCH(C2656,Pop_Inputs!$A$2:$A$29,0))</f>
        <v>Midwest</v>
      </c>
      <c r="W2656" s="29" t="n">
        <v>101035919</v>
      </c>
      <c r="X2656" s="3" t="n">
        <f aca="false">IF(W2656="","",LN(W2656))</f>
        <v>18.4309866452462</v>
      </c>
      <c r="Y2656" s="3" t="n">
        <f aca="false">IF(X2656="","",X2656-AVERAGEIFS($X$2:$X$2705,$B$2:$B$2705,B2656))</f>
        <v>-0.451118932500364</v>
      </c>
      <c r="Z2656" s="21" t="n">
        <f aca="false">P2656</f>
        <v>-0.31118818085489</v>
      </c>
      <c r="AA2656" s="3" t="n">
        <f aca="false">R2656</f>
        <v>0</v>
      </c>
      <c r="AB2656" s="21" t="n">
        <f aca="false">P2656</f>
        <v>-0.31118818085489</v>
      </c>
      <c r="AC2656" s="3" t="n">
        <f aca="false">Y2656</f>
        <v>-0.451118932500364</v>
      </c>
      <c r="AD2656" s="3" t="n">
        <f aca="false">R2656</f>
        <v>0</v>
      </c>
    </row>
    <row r="2657" customFormat="false" ht="15" hidden="false" customHeight="true" outlineLevel="0" collapsed="false">
      <c r="A2657" s="7" t="s">
        <v>83</v>
      </c>
      <c r="B2657" s="7" t="n">
        <v>2024</v>
      </c>
      <c r="C2657" s="7" t="s">
        <v>164</v>
      </c>
      <c r="D2657" s="7" t="n">
        <v>62</v>
      </c>
      <c r="E2657" s="7" t="n">
        <v>100</v>
      </c>
      <c r="F2657" s="3" t="n">
        <f aca="false">COUNTIFS($B$2:$B$2705,B2657,$C$2:$C$2705,C2657)</f>
        <v>1</v>
      </c>
      <c r="G2657" s="3" t="n">
        <f aca="false">MIN(INT((MIN(B2657,2020)-1900)/10)+1,12)</f>
        <v>12</v>
      </c>
      <c r="H2657" s="3" t="n">
        <f aca="false">(MIN(B2657,2020)-1900-10*(G2657-1))/10</f>
        <v>1</v>
      </c>
      <c r="I2657" s="20" t="n">
        <f aca="false">EXP(LN(INDEX(Pop_Inputs!$B$2:$N$29,MATCH(C2657,Pop_Inputs!$A$2:$A$29,0),G2657))*(1-H2657)+LN(INDEX(Pop_Inputs!$B$2:$N$29,MATCH(C2657,Pop_Inputs!$A$2:$A$29,0),G2657+1))*H2657)</f>
        <v>442241</v>
      </c>
      <c r="J2657" s="20" t="n">
        <f aca="false">I2657/F2657</f>
        <v>442241</v>
      </c>
      <c r="K2657" s="21" t="n">
        <f aca="false">D2657/(D2657+E2657)</f>
        <v>0.382716049382716</v>
      </c>
      <c r="L2657" s="21" t="n">
        <f aca="false">AVERAGEIFS($K$2:$K$2705,$B$2:$B$2705,B2657)</f>
        <v>0.500024282391432</v>
      </c>
      <c r="M2657" s="21" t="n">
        <f aca="false">K2657-L2657</f>
        <v>-0.117308233008716</v>
      </c>
      <c r="N2657" s="21" t="n">
        <f aca="false">LN(J2657)</f>
        <v>12.9996102613345</v>
      </c>
      <c r="O2657" s="21" t="n">
        <f aca="false">AVERAGEIFS($N$2:$N$2705,$B$2:$B$2705,B2657)</f>
        <v>13.6790216080491</v>
      </c>
      <c r="P2657" s="21" t="n">
        <f aca="false">N2657-O2657</f>
        <v>-0.679411346714641</v>
      </c>
      <c r="Q2657" s="7" t="n">
        <v>1</v>
      </c>
      <c r="R2657" s="3" t="n">
        <f aca="false">IF(AND(Q2657=1,B2657-_xlfn.MINIFS($B$2:$B$2705,$A$2:$A$2705,A2657)&lt;10),1,0)</f>
        <v>0</v>
      </c>
      <c r="S2657" s="7" t="n">
        <v>0</v>
      </c>
      <c r="T2657" s="3" t="n">
        <f aca="false">_xlfn.MINIFS($B$2:$B$2705,$A$2:$A$2705,A2657)</f>
        <v>1993</v>
      </c>
      <c r="U2657" s="3" t="n">
        <f aca="false">B2657-T2657</f>
        <v>31</v>
      </c>
      <c r="V2657" s="3" t="str">
        <f aca="false">INDEX(Pop_Inputs!$Q$2:$Q$29,MATCH(C2657,Pop_Inputs!$A$2:$A$29,0))</f>
        <v>South</v>
      </c>
      <c r="W2657" s="29" t="n">
        <v>98142446</v>
      </c>
      <c r="X2657" s="3" t="n">
        <f aca="false">IF(W2657="","",LN(W2657))</f>
        <v>18.401930511894</v>
      </c>
      <c r="Y2657" s="3" t="n">
        <f aca="false">IF(X2657="","",X2657-AVERAGEIFS($X$2:$X$2705,$B$2:$B$2705,B2657))</f>
        <v>-0.480175065852595</v>
      </c>
      <c r="Z2657" s="21" t="n">
        <f aca="false">P2657</f>
        <v>-0.679411346714641</v>
      </c>
      <c r="AA2657" s="3" t="n">
        <f aca="false">R2657</f>
        <v>0</v>
      </c>
      <c r="AB2657" s="21" t="n">
        <f aca="false">P2657</f>
        <v>-0.679411346714641</v>
      </c>
      <c r="AC2657" s="3" t="n">
        <f aca="false">Y2657</f>
        <v>-0.480175065852595</v>
      </c>
      <c r="AD2657" s="3" t="n">
        <f aca="false">R2657</f>
        <v>0</v>
      </c>
    </row>
    <row r="2658" customFormat="false" ht="15" hidden="false" customHeight="true" outlineLevel="0" collapsed="false">
      <c r="A2658" s="7" t="s">
        <v>74</v>
      </c>
      <c r="B2658" s="7" t="n">
        <v>2024</v>
      </c>
      <c r="C2658" s="7" t="s">
        <v>156</v>
      </c>
      <c r="D2658" s="7" t="n">
        <v>88</v>
      </c>
      <c r="E2658" s="7" t="n">
        <v>73</v>
      </c>
      <c r="F2658" s="3" t="n">
        <f aca="false">COUNTIFS($B$2:$B$2705,B2658,$C$2:$C$2705,C2658)</f>
        <v>1</v>
      </c>
      <c r="G2658" s="3" t="n">
        <f aca="false">MIN(INT((MIN(B2658,2020)-1900)/10)+1,12)</f>
        <v>12</v>
      </c>
      <c r="H2658" s="3" t="n">
        <f aca="false">(MIN(B2658,2020)-1900-10*(G2658-1))/10</f>
        <v>1</v>
      </c>
      <c r="I2658" s="20" t="n">
        <f aca="false">EXP(LN(INDEX(Pop_Inputs!$B$2:$N$29,MATCH(C2658,Pop_Inputs!$A$2:$A$29,0),G2658))*(1-H2658)+LN(INDEX(Pop_Inputs!$B$2:$N$29,MATCH(C2658,Pop_Inputs!$A$2:$A$29,0),G2658+1))*H2658)</f>
        <v>2304580</v>
      </c>
      <c r="J2658" s="20" t="n">
        <f aca="false">I2658/F2658</f>
        <v>2304580</v>
      </c>
      <c r="K2658" s="21" t="n">
        <f aca="false">D2658/(D2658+E2658)</f>
        <v>0.546583850931677</v>
      </c>
      <c r="L2658" s="21" t="n">
        <f aca="false">AVERAGEIFS($K$2:$K$2705,$B$2:$B$2705,B2658)</f>
        <v>0.500024282391432</v>
      </c>
      <c r="M2658" s="21" t="n">
        <f aca="false">K2658-L2658</f>
        <v>0.0465595685402449</v>
      </c>
      <c r="N2658" s="21" t="n">
        <f aca="false">LN(J2658)</f>
        <v>14.6504090052288</v>
      </c>
      <c r="O2658" s="21" t="n">
        <f aca="false">AVERAGEIFS($N$2:$N$2705,$B$2:$B$2705,B2658)</f>
        <v>13.6790216080491</v>
      </c>
      <c r="P2658" s="21" t="n">
        <f aca="false">N2658-O2658</f>
        <v>0.97138739717971</v>
      </c>
      <c r="Q2658" s="7" t="n">
        <v>1</v>
      </c>
      <c r="R2658" s="3" t="n">
        <f aca="false">IF(AND(Q2658=1,B2658-_xlfn.MINIFS($B$2:$B$2705,$A$2:$A$2705,A2658)&lt;10),1,0)</f>
        <v>0</v>
      </c>
      <c r="S2658" s="7" t="n">
        <v>0</v>
      </c>
      <c r="T2658" s="3" t="n">
        <f aca="false">_xlfn.MINIFS($B$2:$B$2705,$A$2:$A$2705,A2658)</f>
        <v>1962</v>
      </c>
      <c r="U2658" s="3" t="n">
        <f aca="false">B2658-T2658</f>
        <v>62</v>
      </c>
      <c r="V2658" s="3" t="str">
        <f aca="false">INDEX(Pop_Inputs!$Q$2:$Q$29,MATCH(C2658,Pop_Inputs!$A$2:$A$29,0))</f>
        <v>South</v>
      </c>
      <c r="W2658" s="29" t="n">
        <v>244875028</v>
      </c>
      <c r="X2658" s="3" t="n">
        <f aca="false">IF(W2658="","",LN(W2658))</f>
        <v>19.316258548573</v>
      </c>
      <c r="Y2658" s="3" t="n">
        <f aca="false">IF(X2658="","",X2658-AVERAGEIFS($X$2:$X$2705,$B$2:$B$2705,B2658))</f>
        <v>0.434152970826425</v>
      </c>
      <c r="Z2658" s="21" t="n">
        <f aca="false">P2658</f>
        <v>0.97138739717971</v>
      </c>
      <c r="AA2658" s="3" t="n">
        <f aca="false">R2658</f>
        <v>0</v>
      </c>
      <c r="AB2658" s="21" t="n">
        <f aca="false">P2658</f>
        <v>0.97138739717971</v>
      </c>
      <c r="AC2658" s="3" t="n">
        <f aca="false">Y2658</f>
        <v>0.434152970826425</v>
      </c>
      <c r="AD2658" s="3" t="n">
        <f aca="false">R2658</f>
        <v>0</v>
      </c>
    </row>
    <row r="2659" customFormat="false" ht="15" hidden="false" customHeight="true" outlineLevel="0" collapsed="false">
      <c r="A2659" s="7" t="s">
        <v>76</v>
      </c>
      <c r="B2659" s="7" t="n">
        <v>2024</v>
      </c>
      <c r="C2659" s="7" t="s">
        <v>157</v>
      </c>
      <c r="D2659" s="7" t="n">
        <v>86</v>
      </c>
      <c r="E2659" s="7" t="n">
        <v>76</v>
      </c>
      <c r="F2659" s="3" t="n">
        <f aca="false">COUNTIFS($B$2:$B$2705,B2659,$C$2:$C$2705,C2659)</f>
        <v>1</v>
      </c>
      <c r="G2659" s="3" t="n">
        <f aca="false">MIN(INT((MIN(B2659,2020)-1900)/10)+1,12)</f>
        <v>12</v>
      </c>
      <c r="H2659" s="3" t="n">
        <f aca="false">(MIN(B2659,2020)-1900-10*(G2659-1))/10</f>
        <v>1</v>
      </c>
      <c r="I2659" s="20" t="n">
        <f aca="false">EXP(LN(INDEX(Pop_Inputs!$B$2:$N$29,MATCH(C2659,Pop_Inputs!$A$2:$A$29,0),G2659))*(1-H2659)+LN(INDEX(Pop_Inputs!$B$2:$N$29,MATCH(C2659,Pop_Inputs!$A$2:$A$29,0),G2659+1))*H2659)</f>
        <v>508090</v>
      </c>
      <c r="J2659" s="20" t="n">
        <f aca="false">I2659/F2659</f>
        <v>508090</v>
      </c>
      <c r="K2659" s="21" t="n">
        <f aca="false">D2659/(D2659+E2659)</f>
        <v>0.530864197530864</v>
      </c>
      <c r="L2659" s="21" t="n">
        <f aca="false">AVERAGEIFS($K$2:$K$2705,$B$2:$B$2705,B2659)</f>
        <v>0.500024282391432</v>
      </c>
      <c r="M2659" s="21" t="n">
        <f aca="false">K2659-L2659</f>
        <v>0.0308399151394321</v>
      </c>
      <c r="N2659" s="21" t="n">
        <f aca="false">LN(J2659)</f>
        <v>13.138413876223</v>
      </c>
      <c r="O2659" s="21" t="n">
        <f aca="false">AVERAGEIFS($N$2:$N$2705,$B$2:$B$2705,B2659)</f>
        <v>13.6790216080491</v>
      </c>
      <c r="P2659" s="21" t="n">
        <f aca="false">N2659-O2659</f>
        <v>-0.54060773182608</v>
      </c>
      <c r="Q2659" s="7" t="n">
        <v>1</v>
      </c>
      <c r="R2659" s="3" t="n">
        <f aca="false">IF(AND(Q2659=1,B2659-_xlfn.MINIFS($B$2:$B$2705,$A$2:$A$2705,A2659)&lt;10),1,0)</f>
        <v>0</v>
      </c>
      <c r="S2659" s="7" t="n">
        <v>0</v>
      </c>
      <c r="T2659" s="3" t="n">
        <f aca="false">_xlfn.MINIFS($B$2:$B$2705,$A$2:$A$2705,A2659)</f>
        <v>1969</v>
      </c>
      <c r="U2659" s="3" t="n">
        <f aca="false">B2659-T2659</f>
        <v>55</v>
      </c>
      <c r="V2659" s="3" t="str">
        <f aca="false">INDEX(Pop_Inputs!$Q$2:$Q$29,MATCH(C2659,Pop_Inputs!$A$2:$A$29,0))</f>
        <v>Midwest</v>
      </c>
      <c r="W2659" s="29" t="n">
        <v>121823972</v>
      </c>
      <c r="X2659" s="3" t="n">
        <f aca="false">IF(W2659="","",LN(W2659))</f>
        <v>18.6180877083246</v>
      </c>
      <c r="Y2659" s="3" t="n">
        <f aca="false">IF(X2659="","",X2659-AVERAGEIFS($X$2:$X$2705,$B$2:$B$2705,B2659))</f>
        <v>-0.264017869422034</v>
      </c>
      <c r="Z2659" s="21" t="n">
        <f aca="false">P2659</f>
        <v>-0.54060773182608</v>
      </c>
      <c r="AA2659" s="3" t="n">
        <f aca="false">R2659</f>
        <v>0</v>
      </c>
      <c r="AB2659" s="21" t="n">
        <f aca="false">P2659</f>
        <v>-0.54060773182608</v>
      </c>
      <c r="AC2659" s="3" t="n">
        <f aca="false">Y2659</f>
        <v>-0.264017869422034</v>
      </c>
      <c r="AD2659" s="3" t="n">
        <f aca="false">R2659</f>
        <v>0</v>
      </c>
    </row>
    <row r="2660" customFormat="false" ht="15" hidden="false" customHeight="true" outlineLevel="0" collapsed="false">
      <c r="A2660" s="7" t="s">
        <v>62</v>
      </c>
      <c r="B2660" s="7" t="n">
        <v>2024</v>
      </c>
      <c r="C2660" s="7" t="s">
        <v>148</v>
      </c>
      <c r="D2660" s="7" t="n">
        <v>98</v>
      </c>
      <c r="E2660" s="7" t="n">
        <v>64</v>
      </c>
      <c r="F2660" s="3" t="n">
        <f aca="false">COUNTIFS($B$2:$B$2705,B2660,$C$2:$C$2705,C2660)</f>
        <v>2</v>
      </c>
      <c r="G2660" s="3" t="n">
        <f aca="false">MIN(INT((MIN(B2660,2020)-1900)/10)+1,12)</f>
        <v>12</v>
      </c>
      <c r="H2660" s="3" t="n">
        <f aca="false">(MIN(B2660,2020)-1900-10*(G2660-1))/10</f>
        <v>1</v>
      </c>
      <c r="I2660" s="20" t="n">
        <f aca="false">EXP(LN(INDEX(Pop_Inputs!$B$2:$N$29,MATCH(C2660,Pop_Inputs!$A$2:$A$29,0),G2660))*(1-H2660)+LN(INDEX(Pop_Inputs!$B$2:$N$29,MATCH(C2660,Pop_Inputs!$A$2:$A$29,0),G2660+1))*H2660)</f>
        <v>3898747</v>
      </c>
      <c r="J2660" s="20" t="n">
        <f aca="false">I2660/F2660</f>
        <v>1949373.5</v>
      </c>
      <c r="K2660" s="21" t="n">
        <f aca="false">D2660/(D2660+E2660)</f>
        <v>0.604938271604938</v>
      </c>
      <c r="L2660" s="21" t="n">
        <f aca="false">AVERAGEIFS($K$2:$K$2705,$B$2:$B$2705,B2660)</f>
        <v>0.500024282391432</v>
      </c>
      <c r="M2660" s="21" t="n">
        <f aca="false">K2660-L2660</f>
        <v>0.104913989213506</v>
      </c>
      <c r="N2660" s="21" t="n">
        <f aca="false">LN(J2660)</f>
        <v>14.4830185968665</v>
      </c>
      <c r="O2660" s="21" t="n">
        <f aca="false">AVERAGEIFS($N$2:$N$2705,$B$2:$B$2705,B2660)</f>
        <v>13.6790216080491</v>
      </c>
      <c r="P2660" s="21" t="n">
        <f aca="false">N2660-O2660</f>
        <v>0.80399698881741</v>
      </c>
      <c r="Q2660" s="7" t="n">
        <v>0</v>
      </c>
      <c r="R2660" s="3" t="n">
        <f aca="false">IF(AND(Q2660=1,B2660-_xlfn.MINIFS($B$2:$B$2705,$A$2:$A$2705,A2660)&lt;10),1,0)</f>
        <v>0</v>
      </c>
      <c r="S2660" s="7" t="n">
        <v>0</v>
      </c>
      <c r="T2660" s="3" t="n">
        <f aca="false">_xlfn.MINIFS($B$2:$B$2705,$A$2:$A$2705,A2660)</f>
        <v>1901</v>
      </c>
      <c r="U2660" s="3" t="n">
        <f aca="false">B2660-T2660</f>
        <v>123</v>
      </c>
      <c r="V2660" s="3" t="str">
        <f aca="false">INDEX(Pop_Inputs!$Q$2:$Q$29,MATCH(C2660,Pop_Inputs!$A$2:$A$29,0))</f>
        <v>West</v>
      </c>
      <c r="W2660" s="29" t="n">
        <v>270841245</v>
      </c>
      <c r="X2660" s="3" t="n">
        <f aca="false">IF(W2660="","",LN(W2660))</f>
        <v>19.4170433953811</v>
      </c>
      <c r="Y2660" s="3" t="n">
        <f aca="false">IF(X2660="","",X2660-AVERAGEIFS($X$2:$X$2705,$B$2:$B$2705,B2660))</f>
        <v>0.534937817634479</v>
      </c>
      <c r="Z2660" s="21" t="n">
        <f aca="false">P2660</f>
        <v>0.80399698881741</v>
      </c>
      <c r="AA2660" s="3" t="n">
        <f aca="false">R2660</f>
        <v>0</v>
      </c>
      <c r="AB2660" s="21" t="n">
        <f aca="false">P2660</f>
        <v>0.80399698881741</v>
      </c>
      <c r="AC2660" s="3" t="n">
        <f aca="false">Y2660</f>
        <v>0.534937817634479</v>
      </c>
      <c r="AD2660" s="3" t="n">
        <f aca="false">R2660</f>
        <v>0</v>
      </c>
    </row>
    <row r="2661" customFormat="false" ht="15" hidden="false" customHeight="true" outlineLevel="0" collapsed="false">
      <c r="A2661" s="7" t="s">
        <v>77</v>
      </c>
      <c r="B2661" s="7" t="n">
        <v>2024</v>
      </c>
      <c r="C2661" s="7" t="s">
        <v>158</v>
      </c>
      <c r="D2661" s="7" t="n">
        <v>93</v>
      </c>
      <c r="E2661" s="7" t="n">
        <v>69</v>
      </c>
      <c r="F2661" s="3" t="n">
        <f aca="false">COUNTIFS($B$2:$B$2705,B2661,$C$2:$C$2705,C2661)</f>
        <v>1</v>
      </c>
      <c r="G2661" s="3" t="n">
        <f aca="false">MIN(INT((MIN(B2661,2020)-1900)/10)+1,12)</f>
        <v>12</v>
      </c>
      <c r="H2661" s="3" t="n">
        <f aca="false">(MIN(B2661,2020)-1900-10*(G2661-1))/10</f>
        <v>1</v>
      </c>
      <c r="I2661" s="20" t="n">
        <f aca="false">EXP(LN(INDEX(Pop_Inputs!$B$2:$N$29,MATCH(C2661,Pop_Inputs!$A$2:$A$29,0),G2661))*(1-H2661)+LN(INDEX(Pop_Inputs!$B$2:$N$29,MATCH(C2661,Pop_Inputs!$A$2:$A$29,0),G2661+1))*H2661)</f>
        <v>577222</v>
      </c>
      <c r="J2661" s="20" t="n">
        <f aca="false">I2661/F2661</f>
        <v>577222</v>
      </c>
      <c r="K2661" s="21" t="n">
        <f aca="false">D2661/(D2661+E2661)</f>
        <v>0.574074074074074</v>
      </c>
      <c r="L2661" s="21" t="n">
        <f aca="false">AVERAGEIFS($K$2:$K$2705,$B$2:$B$2705,B2661)</f>
        <v>0.500024282391432</v>
      </c>
      <c r="M2661" s="21" t="n">
        <f aca="false">K2661-L2661</f>
        <v>0.0740497916826419</v>
      </c>
      <c r="N2661" s="21" t="n">
        <f aca="false">LN(J2661)</f>
        <v>13.2659822201936</v>
      </c>
      <c r="O2661" s="21" t="n">
        <f aca="false">AVERAGEIFS($N$2:$N$2705,$B$2:$B$2705,B2661)</f>
        <v>13.6790216080491</v>
      </c>
      <c r="P2661" s="21" t="n">
        <f aca="false">N2661-O2661</f>
        <v>-0.413039387855493</v>
      </c>
      <c r="Q2661" s="7" t="n">
        <v>1</v>
      </c>
      <c r="R2661" s="3" t="n">
        <f aca="false">IF(AND(Q2661=1,B2661-_xlfn.MINIFS($B$2:$B$2705,$A$2:$A$2705,A2661)&lt;10),1,0)</f>
        <v>0</v>
      </c>
      <c r="S2661" s="7" t="n">
        <v>0</v>
      </c>
      <c r="T2661" s="3" t="n">
        <f aca="false">_xlfn.MINIFS($B$2:$B$2705,$A$2:$A$2705,A2661)</f>
        <v>1969</v>
      </c>
      <c r="U2661" s="3" t="n">
        <f aca="false">B2661-T2661</f>
        <v>55</v>
      </c>
      <c r="V2661" s="3" t="str">
        <f aca="false">INDEX(Pop_Inputs!$Q$2:$Q$29,MATCH(C2661,Pop_Inputs!$A$2:$A$29,0))</f>
        <v>Midwest</v>
      </c>
      <c r="W2661" s="29" t="n">
        <v>120338616</v>
      </c>
      <c r="X2661" s="3" t="n">
        <f aca="false">IF(W2661="","",LN(W2661))</f>
        <v>18.6058201269425</v>
      </c>
      <c r="Y2661" s="3" t="n">
        <f aca="false">IF(X2661="","",X2661-AVERAGEIFS($X$2:$X$2705,$B$2:$B$2705,B2661))</f>
        <v>-0.276285450804135</v>
      </c>
      <c r="Z2661" s="21" t="n">
        <f aca="false">P2661</f>
        <v>-0.413039387855493</v>
      </c>
      <c r="AA2661" s="3" t="n">
        <f aca="false">R2661</f>
        <v>0</v>
      </c>
      <c r="AB2661" s="21" t="n">
        <f aca="false">P2661</f>
        <v>-0.413039387855493</v>
      </c>
      <c r="AC2661" s="3" t="n">
        <f aca="false">Y2661</f>
        <v>-0.276285450804135</v>
      </c>
      <c r="AD2661" s="3" t="n">
        <f aca="false">R2661</f>
        <v>0</v>
      </c>
    </row>
    <row r="2662" customFormat="false" ht="15" hidden="false" customHeight="true" outlineLevel="0" collapsed="false">
      <c r="A2662" s="7" t="s">
        <v>68</v>
      </c>
      <c r="B2662" s="7" t="n">
        <v>2024</v>
      </c>
      <c r="C2662" s="7" t="s">
        <v>153</v>
      </c>
      <c r="D2662" s="7" t="n">
        <v>82</v>
      </c>
      <c r="E2662" s="7" t="n">
        <v>80</v>
      </c>
      <c r="F2662" s="3" t="n">
        <f aca="false">COUNTIFS($B$2:$B$2705,B2662,$C$2:$C$2705,C2662)</f>
        <v>1</v>
      </c>
      <c r="G2662" s="3" t="n">
        <f aca="false">MIN(INT((MIN(B2662,2020)-1900)/10)+1,12)</f>
        <v>12</v>
      </c>
      <c r="H2662" s="3" t="n">
        <f aca="false">(MIN(B2662,2020)-1900-10*(G2662-1))/10</f>
        <v>1</v>
      </c>
      <c r="I2662" s="20" t="n">
        <f aca="false">EXP(LN(INDEX(Pop_Inputs!$B$2:$N$29,MATCH(C2662,Pop_Inputs!$A$2:$A$29,0),G2662))*(1-H2662)+LN(INDEX(Pop_Inputs!$B$2:$N$29,MATCH(C2662,Pop_Inputs!$A$2:$A$29,0),G2662+1))*H2662)</f>
        <v>429954</v>
      </c>
      <c r="J2662" s="20" t="n">
        <f aca="false">I2662/F2662</f>
        <v>429954</v>
      </c>
      <c r="K2662" s="21" t="n">
        <f aca="false">D2662/(D2662+E2662)</f>
        <v>0.506172839506173</v>
      </c>
      <c r="L2662" s="21" t="n">
        <f aca="false">AVERAGEIFS($K$2:$K$2705,$B$2:$B$2705,B2662)</f>
        <v>0.500024282391432</v>
      </c>
      <c r="M2662" s="21" t="n">
        <f aca="false">K2662-L2662</f>
        <v>0.00614855711474072</v>
      </c>
      <c r="N2662" s="21" t="n">
        <f aca="false">LN(J2662)</f>
        <v>12.9714335052031</v>
      </c>
      <c r="O2662" s="21" t="n">
        <f aca="false">AVERAGEIFS($N$2:$N$2705,$B$2:$B$2705,B2662)</f>
        <v>13.6790216080491</v>
      </c>
      <c r="P2662" s="21" t="n">
        <f aca="false">N2662-O2662</f>
        <v>-0.707588102845962</v>
      </c>
      <c r="Q2662" s="7" t="n">
        <v>0</v>
      </c>
      <c r="R2662" s="3" t="n">
        <f aca="false">IF(AND(Q2662=1,B2662-_xlfn.MINIFS($B$2:$B$2705,$A$2:$A$2705,A2662)&lt;10),1,0)</f>
        <v>0</v>
      </c>
      <c r="S2662" s="7" t="n">
        <v>0</v>
      </c>
      <c r="T2662" s="3" t="n">
        <f aca="false">_xlfn.MINIFS($B$2:$B$2705,$A$2:$A$2705,A2662)</f>
        <v>1901</v>
      </c>
      <c r="U2662" s="3" t="n">
        <f aca="false">B2662-T2662</f>
        <v>123</v>
      </c>
      <c r="V2662" s="3" t="str">
        <f aca="false">INDEX(Pop_Inputs!$Q$2:$Q$29,MATCH(C2662,Pop_Inputs!$A$2:$A$29,0))</f>
        <v>Midwest</v>
      </c>
      <c r="W2662" s="29" t="n">
        <v>132543419</v>
      </c>
      <c r="X2662" s="3" t="n">
        <f aca="false">IF(W2662="","",LN(W2662))</f>
        <v>18.7024208402778</v>
      </c>
      <c r="Y2662" s="3" t="n">
        <f aca="false">IF(X2662="","",X2662-AVERAGEIFS($X$2:$X$2705,$B$2:$B$2705,B2662))</f>
        <v>-0.17968473746884</v>
      </c>
      <c r="Z2662" s="21" t="n">
        <f aca="false">P2662</f>
        <v>-0.707588102845962</v>
      </c>
      <c r="AA2662" s="3" t="n">
        <f aca="false">R2662</f>
        <v>0</v>
      </c>
      <c r="AB2662" s="21" t="n">
        <f aca="false">P2662</f>
        <v>-0.707588102845962</v>
      </c>
      <c r="AC2662" s="3" t="n">
        <f aca="false">Y2662</f>
        <v>-0.17968473746884</v>
      </c>
      <c r="AD2662" s="3" t="n">
        <f aca="false">R2662</f>
        <v>0</v>
      </c>
    </row>
    <row r="2663" customFormat="false" ht="15" hidden="false" customHeight="true" outlineLevel="0" collapsed="false">
      <c r="A2663" s="7" t="s">
        <v>75</v>
      </c>
      <c r="B2663" s="7" t="n">
        <v>2024</v>
      </c>
      <c r="C2663" s="7" t="s">
        <v>154</v>
      </c>
      <c r="D2663" s="7" t="n">
        <v>89</v>
      </c>
      <c r="E2663" s="7" t="n">
        <v>73</v>
      </c>
      <c r="F2663" s="3" t="n">
        <f aca="false">COUNTIFS($B$2:$B$2705,B2663,$C$2:$C$2705,C2663)</f>
        <v>2</v>
      </c>
      <c r="G2663" s="3" t="n">
        <f aca="false">MIN(INT((MIN(B2663,2020)-1900)/10)+1,12)</f>
        <v>12</v>
      </c>
      <c r="H2663" s="3" t="n">
        <f aca="false">(MIN(B2663,2020)-1900-10*(G2663-1))/10</f>
        <v>1</v>
      </c>
      <c r="I2663" s="20" t="n">
        <f aca="false">EXP(LN(INDEX(Pop_Inputs!$B$2:$N$29,MATCH(C2663,Pop_Inputs!$A$2:$A$29,0),G2663))*(1-H2663)+LN(INDEX(Pop_Inputs!$B$2:$N$29,MATCH(C2663,Pop_Inputs!$A$2:$A$29,0),G2663+1))*H2663)</f>
        <v>8804190</v>
      </c>
      <c r="J2663" s="20" t="n">
        <f aca="false">I2663/F2663</f>
        <v>4402095</v>
      </c>
      <c r="K2663" s="21" t="n">
        <f aca="false">D2663/(D2663+E2663)</f>
        <v>0.549382716049383</v>
      </c>
      <c r="L2663" s="21" t="n">
        <f aca="false">AVERAGEIFS($K$2:$K$2705,$B$2:$B$2705,B2663)</f>
        <v>0.500024282391432</v>
      </c>
      <c r="M2663" s="21" t="n">
        <f aca="false">K2663-L2663</f>
        <v>0.0493584336579506</v>
      </c>
      <c r="N2663" s="21" t="n">
        <f aca="false">LN(J2663)</f>
        <v>15.2975911219352</v>
      </c>
      <c r="O2663" s="21" t="n">
        <f aca="false">AVERAGEIFS($N$2:$N$2705,$B$2:$B$2705,B2663)</f>
        <v>13.6790216080491</v>
      </c>
      <c r="P2663" s="21" t="n">
        <f aca="false">N2663-O2663</f>
        <v>1.61856951388607</v>
      </c>
      <c r="Q2663" s="7" t="n">
        <v>1</v>
      </c>
      <c r="R2663" s="3" t="n">
        <f aca="false">IF(AND(Q2663=1,B2663-_xlfn.MINIFS($B$2:$B$2705,$A$2:$A$2705,A2663)&lt;10),1,0)</f>
        <v>0</v>
      </c>
      <c r="S2663" s="7" t="n">
        <v>0</v>
      </c>
      <c r="T2663" s="3" t="n">
        <f aca="false">_xlfn.MINIFS($B$2:$B$2705,$A$2:$A$2705,A2663)</f>
        <v>1962</v>
      </c>
      <c r="U2663" s="3" t="n">
        <f aca="false">B2663-T2663</f>
        <v>62</v>
      </c>
      <c r="V2663" s="3" t="str">
        <f aca="false">INDEX(Pop_Inputs!$Q$2:$Q$29,MATCH(C2663,Pop_Inputs!$A$2:$A$29,0))</f>
        <v>Northeast</v>
      </c>
      <c r="W2663" s="29" t="n">
        <v>333262507</v>
      </c>
      <c r="X2663" s="3" t="n">
        <f aca="false">IF(W2663="","",LN(W2663))</f>
        <v>19.6244410467014</v>
      </c>
      <c r="Y2663" s="3" t="n">
        <f aca="false">IF(X2663="","",X2663-AVERAGEIFS($X$2:$X$2705,$B$2:$B$2705,B2663))</f>
        <v>0.742335468954842</v>
      </c>
      <c r="Z2663" s="21" t="n">
        <f aca="false">P2663</f>
        <v>1.61856951388607</v>
      </c>
      <c r="AA2663" s="3" t="n">
        <f aca="false">R2663</f>
        <v>0</v>
      </c>
      <c r="AB2663" s="21" t="n">
        <f aca="false">P2663</f>
        <v>1.61856951388607</v>
      </c>
      <c r="AC2663" s="3" t="n">
        <f aca="false">Y2663</f>
        <v>0.742335468954842</v>
      </c>
      <c r="AD2663" s="3" t="n">
        <f aca="false">R2663</f>
        <v>0</v>
      </c>
    </row>
    <row r="2664" customFormat="false" ht="15" hidden="false" customHeight="true" outlineLevel="0" collapsed="false">
      <c r="A2664" s="7" t="s">
        <v>70</v>
      </c>
      <c r="B2664" s="7" t="n">
        <v>2024</v>
      </c>
      <c r="C2664" s="7" t="s">
        <v>154</v>
      </c>
      <c r="D2664" s="7" t="n">
        <v>94</v>
      </c>
      <c r="E2664" s="7" t="n">
        <v>68</v>
      </c>
      <c r="F2664" s="3" t="n">
        <f aca="false">COUNTIFS($B$2:$B$2705,B2664,$C$2:$C$2705,C2664)</f>
        <v>2</v>
      </c>
      <c r="G2664" s="3" t="n">
        <f aca="false">MIN(INT((MIN(B2664,2020)-1900)/10)+1,12)</f>
        <v>12</v>
      </c>
      <c r="H2664" s="3" t="n">
        <f aca="false">(MIN(B2664,2020)-1900-10*(G2664-1))/10</f>
        <v>1</v>
      </c>
      <c r="I2664" s="20" t="n">
        <f aca="false">EXP(LN(INDEX(Pop_Inputs!$B$2:$N$29,MATCH(C2664,Pop_Inputs!$A$2:$A$29,0),G2664))*(1-H2664)+LN(INDEX(Pop_Inputs!$B$2:$N$29,MATCH(C2664,Pop_Inputs!$A$2:$A$29,0),G2664+1))*H2664)</f>
        <v>8804190</v>
      </c>
      <c r="J2664" s="20" t="n">
        <f aca="false">I2664/F2664</f>
        <v>4402095</v>
      </c>
      <c r="K2664" s="21" t="n">
        <f aca="false">D2664/(D2664+E2664)</f>
        <v>0.580246913580247</v>
      </c>
      <c r="L2664" s="21" t="n">
        <f aca="false">AVERAGEIFS($K$2:$K$2705,$B$2:$B$2705,B2664)</f>
        <v>0.500024282391432</v>
      </c>
      <c r="M2664" s="21" t="n">
        <f aca="false">K2664-L2664</f>
        <v>0.0802226311888148</v>
      </c>
      <c r="N2664" s="21" t="n">
        <f aca="false">LN(J2664)</f>
        <v>15.2975911219352</v>
      </c>
      <c r="O2664" s="21" t="n">
        <f aca="false">AVERAGEIFS($N$2:$N$2705,$B$2:$B$2705,B2664)</f>
        <v>13.6790216080491</v>
      </c>
      <c r="P2664" s="21" t="n">
        <f aca="false">N2664-O2664</f>
        <v>1.61856951388607</v>
      </c>
      <c r="Q2664" s="7" t="n">
        <v>0</v>
      </c>
      <c r="R2664" s="3" t="n">
        <f aca="false">IF(AND(Q2664=1,B2664-_xlfn.MINIFS($B$2:$B$2705,$A$2:$A$2705,A2664)&lt;10),1,0)</f>
        <v>0</v>
      </c>
      <c r="S2664" s="7" t="n">
        <v>1</v>
      </c>
      <c r="T2664" s="3" t="n">
        <f aca="false">_xlfn.MINIFS($B$2:$B$2705,$A$2:$A$2705,A2664)</f>
        <v>1903</v>
      </c>
      <c r="U2664" s="3" t="n">
        <f aca="false">B2664-T2664</f>
        <v>121</v>
      </c>
      <c r="V2664" s="3" t="str">
        <f aca="false">INDEX(Pop_Inputs!$Q$2:$Q$29,MATCH(C2664,Pop_Inputs!$A$2:$A$29,0))</f>
        <v>Northeast</v>
      </c>
      <c r="W2664" s="29" t="n">
        <v>310916392</v>
      </c>
      <c r="X2664" s="3" t="n">
        <f aca="false">IF(W2664="","",LN(W2664))</f>
        <v>19.5550345979878</v>
      </c>
      <c r="Y2664" s="3" t="n">
        <f aca="false">IF(X2664="","",X2664-AVERAGEIFS($X$2:$X$2705,$B$2:$B$2705,B2664))</f>
        <v>0.672929020241167</v>
      </c>
      <c r="Z2664" s="21" t="n">
        <f aca="false">P2664</f>
        <v>1.61856951388607</v>
      </c>
      <c r="AA2664" s="3" t="n">
        <f aca="false">R2664</f>
        <v>0</v>
      </c>
      <c r="AB2664" s="21" t="n">
        <f aca="false">P2664</f>
        <v>1.61856951388607</v>
      </c>
      <c r="AC2664" s="3" t="n">
        <f aca="false">Y2664</f>
        <v>0.672929020241167</v>
      </c>
      <c r="AD2664" s="3" t="n">
        <f aca="false">R2664</f>
        <v>0</v>
      </c>
    </row>
    <row r="2665" customFormat="false" ht="15" hidden="false" customHeight="true" outlineLevel="0" collapsed="false">
      <c r="A2665" s="7" t="s">
        <v>69</v>
      </c>
      <c r="B2665" s="7" t="n">
        <v>2024</v>
      </c>
      <c r="C2665" s="7" t="s">
        <v>253</v>
      </c>
      <c r="D2665" s="7" t="n">
        <v>69</v>
      </c>
      <c r="E2665" s="7" t="n">
        <v>93</v>
      </c>
      <c r="F2665" s="3" t="n">
        <f aca="false">COUNTIFS($B$2:$B$2705,B2665,$C$2:$C$2705,C2665)</f>
        <v>1</v>
      </c>
      <c r="G2665" s="3" t="n">
        <f aca="false">MIN(INT((MIN(B2665,2020)-1900)/10)+1,12)</f>
        <v>12</v>
      </c>
      <c r="H2665" s="3" t="n">
        <f aca="false">(MIN(B2665,2020)-1900-10*(G2665-1))/10</f>
        <v>1</v>
      </c>
      <c r="I2665" s="20" t="n">
        <f aca="false">EXP(LN(INDEX(Pop_Inputs!$B$2:$N$29,MATCH(C2665,Pop_Inputs!$A$2:$A$29,0),G2665))*(1-H2665)+LN(INDEX(Pop_Inputs!$B$2:$N$29,MATCH(C2665,Pop_Inputs!$A$2:$A$29,0),G2665+1))*H2665)</f>
        <v>440646</v>
      </c>
      <c r="J2665" s="20" t="n">
        <f aca="false">I2665/F2665</f>
        <v>440646</v>
      </c>
      <c r="K2665" s="21" t="n">
        <f aca="false">D2665/(D2665+E2665)</f>
        <v>0.425925925925926</v>
      </c>
      <c r="L2665" s="21" t="n">
        <f aca="false">AVERAGEIFS($K$2:$K$2705,$B$2:$B$2705,B2665)</f>
        <v>0.500024282391432</v>
      </c>
      <c r="M2665" s="21" t="n">
        <f aca="false">K2665-L2665</f>
        <v>-0.0740983564655062</v>
      </c>
      <c r="N2665" s="21" t="n">
        <f aca="false">LN(J2665)</f>
        <v>12.9959971109875</v>
      </c>
      <c r="O2665" s="21" t="n">
        <f aca="false">AVERAGEIFS($N$2:$N$2705,$B$2:$B$2705,B2665)</f>
        <v>13.6790216080491</v>
      </c>
      <c r="P2665" s="21" t="n">
        <f aca="false">N2665-O2665</f>
        <v>-0.683024497061645</v>
      </c>
      <c r="Q2665" s="7" t="n">
        <v>0</v>
      </c>
      <c r="R2665" s="3" t="n">
        <f aca="false">IF(AND(Q2665=1,B2665-_xlfn.MINIFS($B$2:$B$2705,$A$2:$A$2705,A2665)&lt;10),1,0)</f>
        <v>0</v>
      </c>
      <c r="S2665" s="7" t="n">
        <v>0</v>
      </c>
      <c r="T2665" s="3" t="n">
        <f aca="false">_xlfn.MINIFS($B$2:$B$2705,$A$2:$A$2705,A2665)</f>
        <v>1901</v>
      </c>
      <c r="U2665" s="3" t="n">
        <f aca="false">B2665-T2665</f>
        <v>123</v>
      </c>
      <c r="V2665" s="3" t="str">
        <f aca="false">INDEX(Pop_Inputs!$Q$2:$Q$29,MATCH(C2665,Pop_Inputs!$A$2:$A$29,0))</f>
        <v>West</v>
      </c>
      <c r="W2665" s="29" t="n">
        <v>66467058</v>
      </c>
      <c r="X2665" s="3" t="n">
        <f aca="false">IF(W2665="","",LN(W2665))</f>
        <v>18.0122170144696</v>
      </c>
      <c r="Y2665" s="3" t="n">
        <f aca="false">IF(X2665="","",X2665-AVERAGEIFS($X$2:$X$2705,$B$2:$B$2705,B2665))</f>
        <v>-0.869888563277041</v>
      </c>
      <c r="Z2665" s="21" t="n">
        <f aca="false">P2665</f>
        <v>-0.683024497061645</v>
      </c>
      <c r="AA2665" s="3" t="n">
        <f aca="false">R2665</f>
        <v>0</v>
      </c>
      <c r="AB2665" s="21" t="n">
        <f aca="false">P2665</f>
        <v>-0.683024497061645</v>
      </c>
      <c r="AC2665" s="3" t="n">
        <f aca="false">Y2665</f>
        <v>-0.869888563277041</v>
      </c>
      <c r="AD2665" s="3" t="n">
        <f aca="false">R2665</f>
        <v>0</v>
      </c>
    </row>
    <row r="2666" customFormat="false" ht="15" hidden="false" customHeight="true" outlineLevel="0" collapsed="false">
      <c r="A2666" s="7" t="s">
        <v>60</v>
      </c>
      <c r="B2666" s="7" t="n">
        <v>2024</v>
      </c>
      <c r="C2666" s="7" t="s">
        <v>146</v>
      </c>
      <c r="D2666" s="7" t="n">
        <v>95</v>
      </c>
      <c r="E2666" s="7" t="n">
        <v>67</v>
      </c>
      <c r="F2666" s="3" t="n">
        <f aca="false">COUNTIFS($B$2:$B$2705,B2666,$C$2:$C$2705,C2666)</f>
        <v>1</v>
      </c>
      <c r="G2666" s="3" t="n">
        <f aca="false">MIN(INT((MIN(B2666,2020)-1900)/10)+1,12)</f>
        <v>12</v>
      </c>
      <c r="H2666" s="3" t="n">
        <f aca="false">(MIN(B2666,2020)-1900-10*(G2666-1))/10</f>
        <v>1</v>
      </c>
      <c r="I2666" s="20" t="n">
        <f aca="false">EXP(LN(INDEX(Pop_Inputs!$B$2:$N$29,MATCH(C2666,Pop_Inputs!$A$2:$A$29,0),G2666))*(1-H2666)+LN(INDEX(Pop_Inputs!$B$2:$N$29,MATCH(C2666,Pop_Inputs!$A$2:$A$29,0),G2666+1))*H2666)</f>
        <v>1603797</v>
      </c>
      <c r="J2666" s="20" t="n">
        <f aca="false">I2666/F2666</f>
        <v>1603797</v>
      </c>
      <c r="K2666" s="21" t="n">
        <f aca="false">D2666/(D2666+E2666)</f>
        <v>0.58641975308642</v>
      </c>
      <c r="L2666" s="21" t="n">
        <f aca="false">AVERAGEIFS($K$2:$K$2705,$B$2:$B$2705,B2666)</f>
        <v>0.500024282391432</v>
      </c>
      <c r="M2666" s="21" t="n">
        <f aca="false">K2666-L2666</f>
        <v>0.0863954706949877</v>
      </c>
      <c r="N2666" s="21" t="n">
        <f aca="false">LN(J2666)</f>
        <v>14.2878845007959</v>
      </c>
      <c r="O2666" s="21" t="n">
        <f aca="false">AVERAGEIFS($N$2:$N$2705,$B$2:$B$2705,B2666)</f>
        <v>13.6790216080491</v>
      </c>
      <c r="P2666" s="21" t="n">
        <f aca="false">N2666-O2666</f>
        <v>0.608862892746789</v>
      </c>
      <c r="Q2666" s="7" t="n">
        <v>0</v>
      </c>
      <c r="R2666" s="3" t="n">
        <f aca="false">IF(AND(Q2666=1,B2666-_xlfn.MINIFS($B$2:$B$2705,$A$2:$A$2705,A2666)&lt;10),1,0)</f>
        <v>0</v>
      </c>
      <c r="S2666" s="7" t="n">
        <v>0</v>
      </c>
      <c r="T2666" s="3" t="n">
        <f aca="false">_xlfn.MINIFS($B$2:$B$2705,$A$2:$A$2705,A2666)</f>
        <v>1901</v>
      </c>
      <c r="U2666" s="3" t="n">
        <f aca="false">B2666-T2666</f>
        <v>123</v>
      </c>
      <c r="V2666" s="3" t="str">
        <f aca="false">INDEX(Pop_Inputs!$Q$2:$Q$29,MATCH(C2666,Pop_Inputs!$A$2:$A$29,0))</f>
        <v>Northeast</v>
      </c>
      <c r="W2666" s="29" t="n">
        <v>249094493</v>
      </c>
      <c r="X2666" s="3" t="n">
        <f aca="false">IF(W2666="","",LN(W2666))</f>
        <v>19.3333428724007</v>
      </c>
      <c r="Y2666" s="3" t="n">
        <f aca="false">IF(X2666="","",X2666-AVERAGEIFS($X$2:$X$2705,$B$2:$B$2705,B2666))</f>
        <v>0.451237294654117</v>
      </c>
      <c r="Z2666" s="21" t="n">
        <f aca="false">P2666</f>
        <v>0.608862892746789</v>
      </c>
      <c r="AA2666" s="3" t="n">
        <f aca="false">R2666</f>
        <v>0</v>
      </c>
      <c r="AB2666" s="21" t="n">
        <f aca="false">P2666</f>
        <v>0.608862892746789</v>
      </c>
      <c r="AC2666" s="3" t="n">
        <f aca="false">Y2666</f>
        <v>0.451237294654117</v>
      </c>
      <c r="AD2666" s="3" t="n">
        <f aca="false">R2666</f>
        <v>0</v>
      </c>
    </row>
    <row r="2667" customFormat="false" ht="15" hidden="false" customHeight="true" outlineLevel="0" collapsed="false">
      <c r="A2667" s="7" t="s">
        <v>58</v>
      </c>
      <c r="B2667" s="7" t="n">
        <v>2024</v>
      </c>
      <c r="C2667" s="7" t="s">
        <v>144</v>
      </c>
      <c r="D2667" s="7" t="n">
        <v>76</v>
      </c>
      <c r="E2667" s="7" t="n">
        <v>86</v>
      </c>
      <c r="F2667" s="3" t="n">
        <f aca="false">COUNTIFS($B$2:$B$2705,B2667,$C$2:$C$2705,C2667)</f>
        <v>1</v>
      </c>
      <c r="G2667" s="3" t="n">
        <f aca="false">MIN(INT((MIN(B2667,2020)-1900)/10)+1,12)</f>
        <v>12</v>
      </c>
      <c r="H2667" s="3" t="n">
        <f aca="false">(MIN(B2667,2020)-1900-10*(G2667-1))/10</f>
        <v>1</v>
      </c>
      <c r="I2667" s="20" t="n">
        <f aca="false">EXP(LN(INDEX(Pop_Inputs!$B$2:$N$29,MATCH(C2667,Pop_Inputs!$A$2:$A$29,0),G2667))*(1-H2667)+LN(INDEX(Pop_Inputs!$B$2:$N$29,MATCH(C2667,Pop_Inputs!$A$2:$A$29,0),G2667+1))*H2667)</f>
        <v>302971</v>
      </c>
      <c r="J2667" s="20" t="n">
        <f aca="false">I2667/F2667</f>
        <v>302971</v>
      </c>
      <c r="K2667" s="21" t="n">
        <f aca="false">D2667/(D2667+E2667)</f>
        <v>0.469135802469136</v>
      </c>
      <c r="L2667" s="21" t="n">
        <f aca="false">AVERAGEIFS($K$2:$K$2705,$B$2:$B$2705,B2667)</f>
        <v>0.500024282391432</v>
      </c>
      <c r="M2667" s="21" t="n">
        <f aca="false">K2667-L2667</f>
        <v>-0.0308884799222964</v>
      </c>
      <c r="N2667" s="21" t="n">
        <f aca="false">LN(J2667)</f>
        <v>12.6213923703401</v>
      </c>
      <c r="O2667" s="21" t="n">
        <f aca="false">AVERAGEIFS($N$2:$N$2705,$B$2:$B$2705,B2667)</f>
        <v>13.6790216080491</v>
      </c>
      <c r="P2667" s="21" t="n">
        <f aca="false">N2667-O2667</f>
        <v>-1.057629237709</v>
      </c>
      <c r="Q2667" s="7" t="n">
        <v>0</v>
      </c>
      <c r="R2667" s="3" t="n">
        <f aca="false">IF(AND(Q2667=1,B2667-_xlfn.MINIFS($B$2:$B$2705,$A$2:$A$2705,A2667)&lt;10),1,0)</f>
        <v>0</v>
      </c>
      <c r="S2667" s="7" t="n">
        <v>0</v>
      </c>
      <c r="T2667" s="3" t="n">
        <f aca="false">_xlfn.MINIFS($B$2:$B$2705,$A$2:$A$2705,A2667)</f>
        <v>1901</v>
      </c>
      <c r="U2667" s="3" t="n">
        <f aca="false">B2667-T2667</f>
        <v>123</v>
      </c>
      <c r="V2667" s="3" t="str">
        <f aca="false">INDEX(Pop_Inputs!$Q$2:$Q$29,MATCH(C2667,Pop_Inputs!$A$2:$A$29,0))</f>
        <v>Northeast</v>
      </c>
      <c r="W2667" s="29" t="n">
        <v>87300901</v>
      </c>
      <c r="X2667" s="3" t="n">
        <f aca="false">IF(W2667="","",LN(W2667))</f>
        <v>18.2848713414897</v>
      </c>
      <c r="Y2667" s="3" t="n">
        <f aca="false">IF(X2667="","",X2667-AVERAGEIFS($X$2:$X$2705,$B$2:$B$2705,B2667))</f>
        <v>-0.597234236256924</v>
      </c>
      <c r="Z2667" s="21" t="n">
        <f aca="false">P2667</f>
        <v>-1.057629237709</v>
      </c>
      <c r="AA2667" s="3" t="n">
        <f aca="false">R2667</f>
        <v>0</v>
      </c>
      <c r="AB2667" s="21" t="n">
        <f aca="false">P2667</f>
        <v>-1.057629237709</v>
      </c>
      <c r="AC2667" s="3" t="n">
        <f aca="false">Y2667</f>
        <v>-0.597234236256924</v>
      </c>
      <c r="AD2667" s="3" t="n">
        <f aca="false">R2667</f>
        <v>0</v>
      </c>
    </row>
    <row r="2668" customFormat="false" ht="15" hidden="false" customHeight="true" outlineLevel="0" collapsed="false">
      <c r="A2668" s="7" t="s">
        <v>78</v>
      </c>
      <c r="B2668" s="7" t="n">
        <v>2024</v>
      </c>
      <c r="C2668" s="7" t="s">
        <v>159</v>
      </c>
      <c r="D2668" s="7" t="n">
        <v>93</v>
      </c>
      <c r="E2668" s="7" t="n">
        <v>69</v>
      </c>
      <c r="F2668" s="3" t="n">
        <f aca="false">COUNTIFS($B$2:$B$2705,B2668,$C$2:$C$2705,C2668)</f>
        <v>1</v>
      </c>
      <c r="G2668" s="3" t="n">
        <f aca="false">MIN(INT((MIN(B2668,2020)-1900)/10)+1,12)</f>
        <v>12</v>
      </c>
      <c r="H2668" s="3" t="n">
        <f aca="false">(MIN(B2668,2020)-1900-10*(G2668-1))/10</f>
        <v>1</v>
      </c>
      <c r="I2668" s="20" t="n">
        <f aca="false">EXP(LN(INDEX(Pop_Inputs!$B$2:$N$29,MATCH(C2668,Pop_Inputs!$A$2:$A$29,0),G2668))*(1-H2668)+LN(INDEX(Pop_Inputs!$B$2:$N$29,MATCH(C2668,Pop_Inputs!$A$2:$A$29,0),G2668+1))*H2668)</f>
        <v>1386932</v>
      </c>
      <c r="J2668" s="20" t="n">
        <f aca="false">I2668/F2668</f>
        <v>1386932</v>
      </c>
      <c r="K2668" s="21" t="n">
        <f aca="false">D2668/(D2668+E2668)</f>
        <v>0.574074074074074</v>
      </c>
      <c r="L2668" s="21" t="n">
        <f aca="false">AVERAGEIFS($K$2:$K$2705,$B$2:$B$2705,B2668)</f>
        <v>0.500024282391432</v>
      </c>
      <c r="M2668" s="21" t="n">
        <f aca="false">K2668-L2668</f>
        <v>0.0740497916826419</v>
      </c>
      <c r="N2668" s="21" t="n">
        <f aca="false">LN(J2668)</f>
        <v>14.1426046714188</v>
      </c>
      <c r="O2668" s="21" t="n">
        <f aca="false">AVERAGEIFS($N$2:$N$2705,$B$2:$B$2705,B2668)</f>
        <v>13.6790216080491</v>
      </c>
      <c r="P2668" s="21" t="n">
        <f aca="false">N2668-O2668</f>
        <v>0.463583063369741</v>
      </c>
      <c r="Q2668" s="7" t="n">
        <v>1</v>
      </c>
      <c r="R2668" s="3" t="n">
        <f aca="false">IF(AND(Q2668=1,B2668-_xlfn.MINIFS($B$2:$B$2705,$A$2:$A$2705,A2668)&lt;10),1,0)</f>
        <v>0</v>
      </c>
      <c r="S2668" s="7" t="n">
        <v>0</v>
      </c>
      <c r="T2668" s="3" t="n">
        <f aca="false">_xlfn.MINIFS($B$2:$B$2705,$A$2:$A$2705,A2668)</f>
        <v>1969</v>
      </c>
      <c r="U2668" s="3" t="n">
        <f aca="false">B2668-T2668</f>
        <v>55</v>
      </c>
      <c r="V2668" s="3" t="str">
        <f aca="false">INDEX(Pop_Inputs!$Q$2:$Q$29,MATCH(C2668,Pop_Inputs!$A$2:$A$29,0))</f>
        <v>West</v>
      </c>
      <c r="W2668" s="29" t="n">
        <v>171989899</v>
      </c>
      <c r="X2668" s="3" t="n">
        <f aca="false">IF(W2668="","",LN(W2668))</f>
        <v>18.9629463063091</v>
      </c>
      <c r="Y2668" s="3" t="n">
        <f aca="false">IF(X2668="","",X2668-AVERAGEIFS($X$2:$X$2705,$B$2:$B$2705,B2668))</f>
        <v>0.0808407285624568</v>
      </c>
      <c r="Z2668" s="21" t="n">
        <f aca="false">P2668</f>
        <v>0.463583063369741</v>
      </c>
      <c r="AA2668" s="3" t="n">
        <f aca="false">R2668</f>
        <v>0</v>
      </c>
      <c r="AB2668" s="21" t="n">
        <f aca="false">P2668</f>
        <v>0.463583063369741</v>
      </c>
      <c r="AC2668" s="3" t="n">
        <f aca="false">Y2668</f>
        <v>0.0808407285624568</v>
      </c>
      <c r="AD2668" s="3" t="n">
        <f aca="false">R2668</f>
        <v>0</v>
      </c>
    </row>
    <row r="2669" customFormat="false" ht="15" hidden="false" customHeight="true" outlineLevel="0" collapsed="false">
      <c r="A2669" s="7" t="s">
        <v>80</v>
      </c>
      <c r="B2669" s="7" t="n">
        <v>2024</v>
      </c>
      <c r="C2669" s="7" t="s">
        <v>161</v>
      </c>
      <c r="D2669" s="7" t="n">
        <v>85</v>
      </c>
      <c r="E2669" s="7" t="n">
        <v>77</v>
      </c>
      <c r="F2669" s="3" t="n">
        <f aca="false">COUNTIFS($B$2:$B$2705,B2669,$C$2:$C$2705,C2669)</f>
        <v>1</v>
      </c>
      <c r="G2669" s="3" t="n">
        <f aca="false">MIN(INT((MIN(B2669,2020)-1900)/10)+1,12)</f>
        <v>12</v>
      </c>
      <c r="H2669" s="3" t="n">
        <f aca="false">(MIN(B2669,2020)-1900-10*(G2669-1))/10</f>
        <v>1</v>
      </c>
      <c r="I2669" s="20" t="n">
        <f aca="false">EXP(LN(INDEX(Pop_Inputs!$B$2:$N$29,MATCH(C2669,Pop_Inputs!$A$2:$A$29,0),G2669))*(1-H2669)+LN(INDEX(Pop_Inputs!$B$2:$N$29,MATCH(C2669,Pop_Inputs!$A$2:$A$29,0),G2669+1))*H2669)</f>
        <v>737015</v>
      </c>
      <c r="J2669" s="20" t="n">
        <f aca="false">I2669/F2669</f>
        <v>737015</v>
      </c>
      <c r="K2669" s="21" t="n">
        <f aca="false">D2669/(D2669+E2669)</f>
        <v>0.524691358024691</v>
      </c>
      <c r="L2669" s="21" t="n">
        <f aca="false">AVERAGEIFS($K$2:$K$2705,$B$2:$B$2705,B2669)</f>
        <v>0.500024282391432</v>
      </c>
      <c r="M2669" s="21" t="n">
        <f aca="false">K2669-L2669</f>
        <v>0.0246670756332592</v>
      </c>
      <c r="N2669" s="21" t="n">
        <f aca="false">LN(J2669)</f>
        <v>13.5103635237459</v>
      </c>
      <c r="O2669" s="21" t="n">
        <f aca="false">AVERAGEIFS($N$2:$N$2705,$B$2:$B$2705,B2669)</f>
        <v>13.6790216080491</v>
      </c>
      <c r="P2669" s="21" t="n">
        <f aca="false">N2669-O2669</f>
        <v>-0.168658084303196</v>
      </c>
      <c r="Q2669" s="7" t="n">
        <v>1</v>
      </c>
      <c r="R2669" s="3" t="n">
        <f aca="false">IF(AND(Q2669=1,B2669-_xlfn.MINIFS($B$2:$B$2705,$A$2:$A$2705,A2669)&lt;10),1,0)</f>
        <v>0</v>
      </c>
      <c r="S2669" s="7" t="n">
        <v>0</v>
      </c>
      <c r="T2669" s="3" t="n">
        <f aca="false">_xlfn.MINIFS($B$2:$B$2705,$A$2:$A$2705,A2669)</f>
        <v>1977</v>
      </c>
      <c r="U2669" s="3" t="n">
        <f aca="false">B2669-T2669</f>
        <v>47</v>
      </c>
      <c r="V2669" s="3" t="str">
        <f aca="false">INDEX(Pop_Inputs!$Q$2:$Q$29,MATCH(C2669,Pop_Inputs!$A$2:$A$29,0))</f>
        <v>West</v>
      </c>
      <c r="W2669" s="29" t="n">
        <v>145385974</v>
      </c>
      <c r="X2669" s="3" t="n">
        <f aca="false">IF(W2669="","",LN(W2669))</f>
        <v>18.7949026534863</v>
      </c>
      <c r="Y2669" s="3" t="n">
        <f aca="false">IF(X2669="","",X2669-AVERAGEIFS($X$2:$X$2705,$B$2:$B$2705,B2669))</f>
        <v>-0.0872029242602928</v>
      </c>
      <c r="Z2669" s="21" t="n">
        <f aca="false">P2669</f>
        <v>-0.168658084303196</v>
      </c>
      <c r="AA2669" s="3" t="n">
        <f aca="false">R2669</f>
        <v>0</v>
      </c>
      <c r="AB2669" s="21" t="n">
        <f aca="false">P2669</f>
        <v>-0.168658084303196</v>
      </c>
      <c r="AC2669" s="3" t="n">
        <f aca="false">Y2669</f>
        <v>-0.0872029242602928</v>
      </c>
      <c r="AD2669" s="3" t="n">
        <f aca="false">R2669</f>
        <v>0</v>
      </c>
    </row>
    <row r="2670" customFormat="false" ht="15" hidden="false" customHeight="true" outlineLevel="0" collapsed="false">
      <c r="A2670" s="7" t="s">
        <v>61</v>
      </c>
      <c r="B2670" s="7" t="n">
        <v>2024</v>
      </c>
      <c r="C2670" s="7" t="s">
        <v>147</v>
      </c>
      <c r="D2670" s="7" t="n">
        <v>80</v>
      </c>
      <c r="E2670" s="7" t="n">
        <v>82</v>
      </c>
      <c r="F2670" s="3" t="n">
        <f aca="false">COUNTIFS($B$2:$B$2705,B2670,$C$2:$C$2705,C2670)</f>
        <v>1</v>
      </c>
      <c r="G2670" s="3" t="n">
        <f aca="false">MIN(INT((MIN(B2670,2020)-1900)/10)+1,12)</f>
        <v>12</v>
      </c>
      <c r="H2670" s="3" t="n">
        <f aca="false">(MIN(B2670,2020)-1900-10*(G2670-1))/10</f>
        <v>1</v>
      </c>
      <c r="I2670" s="20" t="n">
        <f aca="false">EXP(LN(INDEX(Pop_Inputs!$B$2:$N$29,MATCH(C2670,Pop_Inputs!$A$2:$A$29,0),G2670))*(1-H2670)+LN(INDEX(Pop_Inputs!$B$2:$N$29,MATCH(C2670,Pop_Inputs!$A$2:$A$29,0),G2670+1))*H2670)</f>
        <v>873965</v>
      </c>
      <c r="J2670" s="20" t="n">
        <f aca="false">I2670/F2670</f>
        <v>873965</v>
      </c>
      <c r="K2670" s="21" t="n">
        <f aca="false">D2670/(D2670+E2670)</f>
        <v>0.493827160493827</v>
      </c>
      <c r="L2670" s="21" t="n">
        <f aca="false">AVERAGEIFS($K$2:$K$2705,$B$2:$B$2705,B2670)</f>
        <v>0.500024282391432</v>
      </c>
      <c r="M2670" s="21" t="n">
        <f aca="false">K2670-L2670</f>
        <v>-0.00619712189760502</v>
      </c>
      <c r="N2670" s="21" t="n">
        <f aca="false">LN(J2670)</f>
        <v>13.6807956080692</v>
      </c>
      <c r="O2670" s="21" t="n">
        <f aca="false">AVERAGEIFS($N$2:$N$2705,$B$2:$B$2705,B2670)</f>
        <v>13.6790216080491</v>
      </c>
      <c r="P2670" s="21" t="n">
        <f aca="false">N2670-O2670</f>
        <v>0.00177400002012718</v>
      </c>
      <c r="Q2670" s="7" t="n">
        <v>0</v>
      </c>
      <c r="R2670" s="3" t="n">
        <f aca="false">IF(AND(Q2670=1,B2670-_xlfn.MINIFS($B$2:$B$2705,$A$2:$A$2705,A2670)&lt;10),1,0)</f>
        <v>0</v>
      </c>
      <c r="S2670" s="7" t="n">
        <v>0</v>
      </c>
      <c r="T2670" s="3" t="n">
        <f aca="false">_xlfn.MINIFS($B$2:$B$2705,$A$2:$A$2705,A2670)</f>
        <v>1901</v>
      </c>
      <c r="U2670" s="3" t="n">
        <f aca="false">B2670-T2670</f>
        <v>123</v>
      </c>
      <c r="V2670" s="3" t="str">
        <f aca="false">INDEX(Pop_Inputs!$Q$2:$Q$29,MATCH(C2670,Pop_Inputs!$A$2:$A$29,0))</f>
        <v>West</v>
      </c>
      <c r="W2670" s="29" t="n">
        <v>210889334</v>
      </c>
      <c r="X2670" s="3" t="n">
        <f aca="false">IF(W2670="","",LN(W2670))</f>
        <v>19.1668440704385</v>
      </c>
      <c r="Y2670" s="3" t="n">
        <f aca="false">IF(X2670="","",X2670-AVERAGEIFS($X$2:$X$2705,$B$2:$B$2705,B2670))</f>
        <v>0.284738492691883</v>
      </c>
      <c r="Z2670" s="21" t="n">
        <f aca="false">P2670</f>
        <v>0.00177400002012718</v>
      </c>
      <c r="AA2670" s="3" t="n">
        <f aca="false">R2670</f>
        <v>0</v>
      </c>
      <c r="AB2670" s="21" t="n">
        <f aca="false">P2670</f>
        <v>0.00177400002012718</v>
      </c>
      <c r="AC2670" s="3" t="n">
        <f aca="false">Y2670</f>
        <v>0.284738492691883</v>
      </c>
      <c r="AD2670" s="3" t="n">
        <f aca="false">R2670</f>
        <v>0</v>
      </c>
    </row>
    <row r="2671" customFormat="false" ht="15" hidden="false" customHeight="true" outlineLevel="0" collapsed="false">
      <c r="A2671" s="7" t="s">
        <v>59</v>
      </c>
      <c r="B2671" s="7" t="n">
        <v>2024</v>
      </c>
      <c r="C2671" s="7" t="s">
        <v>145</v>
      </c>
      <c r="D2671" s="7" t="n">
        <v>83</v>
      </c>
      <c r="E2671" s="7" t="n">
        <v>79</v>
      </c>
      <c r="F2671" s="3" t="n">
        <f aca="false">COUNTIFS($B$2:$B$2705,B2671,$C$2:$C$2705,C2671)</f>
        <v>1</v>
      </c>
      <c r="G2671" s="3" t="n">
        <f aca="false">MIN(INT((MIN(B2671,2020)-1900)/10)+1,12)</f>
        <v>12</v>
      </c>
      <c r="H2671" s="3" t="n">
        <f aca="false">(MIN(B2671,2020)-1900-10*(G2671-1))/10</f>
        <v>1</v>
      </c>
      <c r="I2671" s="20" t="n">
        <f aca="false">EXP(LN(INDEX(Pop_Inputs!$B$2:$N$29,MATCH(C2671,Pop_Inputs!$A$2:$A$29,0),G2671))*(1-H2671)+LN(INDEX(Pop_Inputs!$B$2:$N$29,MATCH(C2671,Pop_Inputs!$A$2:$A$29,0),G2671+1))*H2671)</f>
        <v>301578</v>
      </c>
      <c r="J2671" s="20" t="n">
        <f aca="false">I2671/F2671</f>
        <v>301578</v>
      </c>
      <c r="K2671" s="21" t="n">
        <f aca="false">D2671/(D2671+E2671)</f>
        <v>0.512345679012346</v>
      </c>
      <c r="L2671" s="21" t="n">
        <f aca="false">AVERAGEIFS($K$2:$K$2705,$B$2:$B$2705,B2671)</f>
        <v>0.500024282391432</v>
      </c>
      <c r="M2671" s="21" t="n">
        <f aca="false">K2671-L2671</f>
        <v>0.0123213966209136</v>
      </c>
      <c r="N2671" s="21" t="n">
        <f aca="false">LN(J2671)</f>
        <v>12.6167839681583</v>
      </c>
      <c r="O2671" s="21" t="n">
        <f aca="false">AVERAGEIFS($N$2:$N$2705,$B$2:$B$2705,B2671)</f>
        <v>13.6790216080491</v>
      </c>
      <c r="P2671" s="21" t="n">
        <f aca="false">N2671-O2671</f>
        <v>-1.06223763989081</v>
      </c>
      <c r="Q2671" s="7" t="n">
        <v>0</v>
      </c>
      <c r="R2671" s="3" t="n">
        <f aca="false">IF(AND(Q2671=1,B2671-_xlfn.MINIFS($B$2:$B$2705,$A$2:$A$2705,A2671)&lt;10),1,0)</f>
        <v>0</v>
      </c>
      <c r="S2671" s="7" t="n">
        <v>0</v>
      </c>
      <c r="T2671" s="3" t="n">
        <f aca="false">_xlfn.MINIFS($B$2:$B$2705,$A$2:$A$2705,A2671)</f>
        <v>1901</v>
      </c>
      <c r="U2671" s="3" t="n">
        <f aca="false">B2671-T2671</f>
        <v>123</v>
      </c>
      <c r="V2671" s="3" t="str">
        <f aca="false">INDEX(Pop_Inputs!$Q$2:$Q$29,MATCH(C2671,Pop_Inputs!$A$2:$A$29,0))</f>
        <v>Midwest</v>
      </c>
      <c r="W2671" s="29" t="n">
        <v>178307638</v>
      </c>
      <c r="X2671" s="3" t="n">
        <f aca="false">IF(W2671="","",LN(W2671))</f>
        <v>18.9990209198295</v>
      </c>
      <c r="Y2671" s="3" t="n">
        <f aca="false">IF(X2671="","",X2671-AVERAGEIFS($X$2:$X$2705,$B$2:$B$2705,B2671))</f>
        <v>0.11691534208288</v>
      </c>
      <c r="Z2671" s="21" t="n">
        <f aca="false">P2671</f>
        <v>-1.06223763989081</v>
      </c>
      <c r="AA2671" s="3" t="n">
        <f aca="false">R2671</f>
        <v>0</v>
      </c>
      <c r="AB2671" s="21" t="n">
        <f aca="false">P2671</f>
        <v>-1.06223763989081</v>
      </c>
      <c r="AC2671" s="3" t="n">
        <f aca="false">Y2671</f>
        <v>0.11691534208288</v>
      </c>
      <c r="AD2671" s="3" t="n">
        <f aca="false">R2671</f>
        <v>0</v>
      </c>
    </row>
    <row r="2672" customFormat="false" ht="15" hidden="false" customHeight="true" outlineLevel="0" collapsed="false">
      <c r="A2672" s="7" t="s">
        <v>85</v>
      </c>
      <c r="B2672" s="7" t="n">
        <v>2024</v>
      </c>
      <c r="C2672" s="7" t="s">
        <v>166</v>
      </c>
      <c r="D2672" s="7" t="n">
        <v>80</v>
      </c>
      <c r="E2672" s="7" t="n">
        <v>82</v>
      </c>
      <c r="F2672" s="3" t="n">
        <f aca="false">COUNTIFS($B$2:$B$2705,B2672,$C$2:$C$2705,C2672)</f>
        <v>1</v>
      </c>
      <c r="G2672" s="3" t="n">
        <f aca="false">MIN(INT((MIN(B2672,2020)-1900)/10)+1,12)</f>
        <v>12</v>
      </c>
      <c r="H2672" s="3" t="n">
        <f aca="false">(MIN(B2672,2020)-1900-10*(G2672-1))/10</f>
        <v>1</v>
      </c>
      <c r="I2672" s="20" t="n">
        <f aca="false">EXP(LN(INDEX(Pop_Inputs!$B$2:$N$29,MATCH(C2672,Pop_Inputs!$A$2:$A$29,0),G2672))*(1-H2672)+LN(INDEX(Pop_Inputs!$B$2:$N$29,MATCH(C2672,Pop_Inputs!$A$2:$A$29,0),G2672+1))*H2672)</f>
        <v>384959</v>
      </c>
      <c r="J2672" s="20" t="n">
        <f aca="false">I2672/F2672</f>
        <v>384959</v>
      </c>
      <c r="K2672" s="21" t="n">
        <f aca="false">D2672/(D2672+E2672)</f>
        <v>0.493827160493827</v>
      </c>
      <c r="L2672" s="21" t="n">
        <f aca="false">AVERAGEIFS($K$2:$K$2705,$B$2:$B$2705,B2672)</f>
        <v>0.500024282391432</v>
      </c>
      <c r="M2672" s="21" t="n">
        <f aca="false">K2672-L2672</f>
        <v>-0.00619712189760502</v>
      </c>
      <c r="N2672" s="21" t="n">
        <f aca="false">LN(J2672)</f>
        <v>12.8608921140926</v>
      </c>
      <c r="O2672" s="21" t="n">
        <f aca="false">AVERAGEIFS($N$2:$N$2705,$B$2:$B$2705,B2672)</f>
        <v>13.6790216080491</v>
      </c>
      <c r="P2672" s="21" t="n">
        <f aca="false">N2672-O2672</f>
        <v>-0.81812949395651</v>
      </c>
      <c r="Q2672" s="7" t="n">
        <v>1</v>
      </c>
      <c r="R2672" s="3" t="n">
        <f aca="false">IF(AND(Q2672=1,B2672-_xlfn.MINIFS($B$2:$B$2705,$A$2:$A$2705,A2672)&lt;10),1,0)</f>
        <v>0</v>
      </c>
      <c r="S2672" s="7" t="n">
        <v>0</v>
      </c>
      <c r="T2672" s="3" t="n">
        <f aca="false">_xlfn.MINIFS($B$2:$B$2705,$A$2:$A$2705,A2672)</f>
        <v>1998</v>
      </c>
      <c r="U2672" s="3" t="n">
        <f aca="false">B2672-T2672</f>
        <v>26</v>
      </c>
      <c r="V2672" s="3" t="str">
        <f aca="false">INDEX(Pop_Inputs!$Q$2:$Q$29,MATCH(C2672,Pop_Inputs!$A$2:$A$29,0))</f>
        <v>South</v>
      </c>
      <c r="W2672" s="29" t="n">
        <v>90342690</v>
      </c>
      <c r="X2672" s="3" t="n">
        <f aca="false">IF(W2672="","",LN(W2672))</f>
        <v>18.3191206641477</v>
      </c>
      <c r="Y2672" s="3" t="n">
        <f aca="false">IF(X2672="","",X2672-AVERAGEIFS($X$2:$X$2705,$B$2:$B$2705,B2672))</f>
        <v>-0.562984913598911</v>
      </c>
      <c r="Z2672" s="21" t="n">
        <f aca="false">P2672</f>
        <v>-0.81812949395651</v>
      </c>
      <c r="AA2672" s="3" t="n">
        <f aca="false">R2672</f>
        <v>0</v>
      </c>
      <c r="AB2672" s="21" t="n">
        <f aca="false">P2672</f>
        <v>-0.81812949395651</v>
      </c>
      <c r="AC2672" s="3" t="n">
        <f aca="false">Y2672</f>
        <v>-0.562984913598911</v>
      </c>
      <c r="AD2672" s="3" t="n">
        <f aca="false">R2672</f>
        <v>0</v>
      </c>
    </row>
    <row r="2673" customFormat="false" ht="15" hidden="false" customHeight="true" outlineLevel="0" collapsed="false">
      <c r="A2673" s="7" t="s">
        <v>73</v>
      </c>
      <c r="B2673" s="7" t="n">
        <v>2024</v>
      </c>
      <c r="C2673" s="7" t="s">
        <v>155</v>
      </c>
      <c r="D2673" s="7" t="n">
        <v>78</v>
      </c>
      <c r="E2673" s="7" t="n">
        <v>84</v>
      </c>
      <c r="F2673" s="3" t="n">
        <f aca="false">COUNTIFS($B$2:$B$2705,B2673,$C$2:$C$2705,C2673)</f>
        <v>1</v>
      </c>
      <c r="G2673" s="3" t="n">
        <f aca="false">MIN(INT((MIN(B2673,2020)-1900)/10)+1,12)</f>
        <v>12</v>
      </c>
      <c r="H2673" s="3" t="n">
        <f aca="false">(MIN(B2673,2020)-1900-10*(G2673-1))/10</f>
        <v>1</v>
      </c>
      <c r="I2673" s="20" t="n">
        <f aca="false">EXP(LN(INDEX(Pop_Inputs!$B$2:$N$29,MATCH(C2673,Pop_Inputs!$A$2:$A$29,0),G2673))*(1-H2673)+LN(INDEX(Pop_Inputs!$B$2:$N$29,MATCH(C2673,Pop_Inputs!$A$2:$A$29,0),G2673+1))*H2673)</f>
        <v>1304379</v>
      </c>
      <c r="J2673" s="20" t="n">
        <f aca="false">I2673/F2673</f>
        <v>1304379</v>
      </c>
      <c r="K2673" s="21" t="n">
        <f aca="false">D2673/(D2673+E2673)</f>
        <v>0.481481481481481</v>
      </c>
      <c r="L2673" s="21" t="n">
        <f aca="false">AVERAGEIFS($K$2:$K$2705,$B$2:$B$2705,B2673)</f>
        <v>0.500024282391432</v>
      </c>
      <c r="M2673" s="21" t="n">
        <f aca="false">K2673-L2673</f>
        <v>-0.0185428009099507</v>
      </c>
      <c r="N2673" s="21" t="n">
        <f aca="false">LN(J2673)</f>
        <v>14.0812376234117</v>
      </c>
      <c r="O2673" s="21" t="n">
        <f aca="false">AVERAGEIFS($N$2:$N$2705,$B$2:$B$2705,B2673)</f>
        <v>13.6790216080491</v>
      </c>
      <c r="P2673" s="21" t="n">
        <f aca="false">N2673-O2673</f>
        <v>0.402216015362578</v>
      </c>
      <c r="Q2673" s="7" t="n">
        <v>1</v>
      </c>
      <c r="R2673" s="3" t="n">
        <f aca="false">IF(AND(Q2673=1,B2673-_xlfn.MINIFS($B$2:$B$2705,$A$2:$A$2705,A2673)&lt;10),1,0)</f>
        <v>0</v>
      </c>
      <c r="S2673" s="7" t="n">
        <v>0</v>
      </c>
      <c r="T2673" s="3" t="n">
        <f aca="false">_xlfn.MINIFS($B$2:$B$2705,$A$2:$A$2705,A2673)</f>
        <v>1961</v>
      </c>
      <c r="U2673" s="3" t="n">
        <f aca="false">B2673-T2673</f>
        <v>63</v>
      </c>
      <c r="V2673" s="3" t="str">
        <f aca="false">INDEX(Pop_Inputs!$Q$2:$Q$29,MATCH(C2673,Pop_Inputs!$A$2:$A$29,0))</f>
        <v>South</v>
      </c>
      <c r="W2673" s="29" t="n">
        <v>240847326</v>
      </c>
      <c r="X2673" s="3" t="n">
        <f aca="false">IF(W2673="","",LN(W2673))</f>
        <v>19.299673788633</v>
      </c>
      <c r="Y2673" s="3" t="n">
        <f aca="false">IF(X2673="","",X2673-AVERAGEIFS($X$2:$X$2705,$B$2:$B$2705,B2673))</f>
        <v>0.417568210886415</v>
      </c>
      <c r="Z2673" s="21" t="n">
        <f aca="false">P2673</f>
        <v>0.402216015362578</v>
      </c>
      <c r="AA2673" s="3" t="n">
        <f aca="false">R2673</f>
        <v>0</v>
      </c>
      <c r="AB2673" s="21" t="n">
        <f aca="false">P2673</f>
        <v>0.402216015362578</v>
      </c>
      <c r="AC2673" s="3" t="n">
        <f aca="false">Y2673</f>
        <v>0.417568210886415</v>
      </c>
      <c r="AD2673" s="3" t="n">
        <f aca="false">R2673</f>
        <v>0</v>
      </c>
    </row>
    <row r="2674" customFormat="false" ht="15" hidden="false" customHeight="true" outlineLevel="0" collapsed="false">
      <c r="A2674" s="7" t="s">
        <v>81</v>
      </c>
      <c r="B2674" s="7" t="n">
        <v>2024</v>
      </c>
      <c r="C2674" s="7" t="s">
        <v>162</v>
      </c>
      <c r="D2674" s="7" t="n">
        <v>74</v>
      </c>
      <c r="E2674" s="7" t="n">
        <v>88</v>
      </c>
      <c r="F2674" s="3" t="n">
        <f aca="false">COUNTIFS($B$2:$B$2705,B2674,$C$2:$C$2705,C2674)</f>
        <v>1</v>
      </c>
      <c r="G2674" s="3" t="n">
        <f aca="false">MIN(INT((MIN(B2674,2020)-1900)/10)+1,12)</f>
        <v>12</v>
      </c>
      <c r="H2674" s="3" t="n">
        <f aca="false">(MIN(B2674,2020)-1900-10*(G2674-1))/10</f>
        <v>1</v>
      </c>
      <c r="I2674" s="20" t="n">
        <f aca="false">EXP(LN(INDEX(Pop_Inputs!$B$2:$N$29,MATCH(C2674,Pop_Inputs!$A$2:$A$29,0),G2674))*(1-H2674)+LN(INDEX(Pop_Inputs!$B$2:$N$29,MATCH(C2674,Pop_Inputs!$A$2:$A$29,0),G2674+1))*H2674)</f>
        <v>2794356</v>
      </c>
      <c r="J2674" s="20" t="n">
        <f aca="false">I2674/F2674</f>
        <v>2794356</v>
      </c>
      <c r="K2674" s="21" t="n">
        <f aca="false">D2674/(D2674+E2674)</f>
        <v>0.45679012345679</v>
      </c>
      <c r="L2674" s="21" t="n">
        <f aca="false">AVERAGEIFS($K$2:$K$2705,$B$2:$B$2705,B2674)</f>
        <v>0.500024282391432</v>
      </c>
      <c r="M2674" s="21" t="n">
        <f aca="false">K2674-L2674</f>
        <v>-0.0432341589346421</v>
      </c>
      <c r="N2674" s="21" t="n">
        <f aca="false">LN(J2674)</f>
        <v>14.8431122265735</v>
      </c>
      <c r="O2674" s="21" t="n">
        <f aca="false">AVERAGEIFS($N$2:$N$2705,$B$2:$B$2705,B2674)</f>
        <v>13.6790216080491</v>
      </c>
      <c r="P2674" s="21" t="n">
        <f aca="false">N2674-O2674</f>
        <v>1.16409061852442</v>
      </c>
      <c r="Q2674" s="7" t="n">
        <v>1</v>
      </c>
      <c r="R2674" s="3" t="n">
        <f aca="false">IF(AND(Q2674=1,B2674-_xlfn.MINIFS($B$2:$B$2705,$A$2:$A$2705,A2674)&lt;10),1,0)</f>
        <v>0</v>
      </c>
      <c r="S2674" s="7" t="n">
        <v>0</v>
      </c>
      <c r="T2674" s="3" t="n">
        <f aca="false">_xlfn.MINIFS($B$2:$B$2705,$A$2:$A$2705,A2674)</f>
        <v>1977</v>
      </c>
      <c r="U2674" s="3" t="n">
        <f aca="false">B2674-T2674</f>
        <v>47</v>
      </c>
      <c r="V2674" s="3" t="str">
        <f aca="false">INDEX(Pop_Inputs!$Q$2:$Q$29,MATCH(C2674,Pop_Inputs!$A$2:$A$29,0))</f>
        <v>Canada</v>
      </c>
      <c r="W2674" s="29" t="n">
        <v>218430267</v>
      </c>
      <c r="X2674" s="3" t="n">
        <f aca="false">IF(W2674="","",LN(W2674))</f>
        <v>19.2019773773978</v>
      </c>
      <c r="Y2674" s="3" t="n">
        <f aca="false">IF(X2674="","",X2674-AVERAGEIFS($X$2:$X$2705,$B$2:$B$2705,B2674))</f>
        <v>0.319871799651221</v>
      </c>
      <c r="Z2674" s="21" t="n">
        <f aca="false">P2674</f>
        <v>1.16409061852442</v>
      </c>
      <c r="AA2674" s="3" t="n">
        <f aca="false">R2674</f>
        <v>0</v>
      </c>
      <c r="AB2674" s="21" t="n">
        <f aca="false">P2674</f>
        <v>1.16409061852442</v>
      </c>
      <c r="AC2674" s="3" t="n">
        <f aca="false">Y2674</f>
        <v>0.319871799651221</v>
      </c>
      <c r="AD2674" s="3" t="n">
        <f aca="false">R2674</f>
        <v>0</v>
      </c>
    </row>
    <row r="2675" customFormat="false" ht="15" hidden="false" customHeight="true" outlineLevel="0" collapsed="false">
      <c r="A2675" s="7" t="s">
        <v>79</v>
      </c>
      <c r="B2675" s="7" t="n">
        <v>2024</v>
      </c>
      <c r="C2675" s="7" t="s">
        <v>160</v>
      </c>
      <c r="D2675" s="7" t="n">
        <v>71</v>
      </c>
      <c r="E2675" s="7" t="n">
        <v>91</v>
      </c>
      <c r="F2675" s="3" t="n">
        <f aca="false">COUNTIFS($B$2:$B$2705,B2675,$C$2:$C$2705,C2675)</f>
        <v>1</v>
      </c>
      <c r="G2675" s="3" t="n">
        <f aca="false">MIN(INT((MIN(B2675,2020)-1900)/10)+1,12)</f>
        <v>12</v>
      </c>
      <c r="H2675" s="3" t="n">
        <f aca="false">(MIN(B2675,2020)-1900-10*(G2675-1))/10</f>
        <v>1</v>
      </c>
      <c r="I2675" s="20" t="n">
        <f aca="false">EXP(LN(INDEX(Pop_Inputs!$B$2:$N$29,MATCH(C2675,Pop_Inputs!$A$2:$A$29,0),G2675))*(1-H2675)+LN(INDEX(Pop_Inputs!$B$2:$N$29,MATCH(C2675,Pop_Inputs!$A$2:$A$29,0),G2675+1))*H2675)</f>
        <v>689545</v>
      </c>
      <c r="J2675" s="20" t="n">
        <f aca="false">I2675/F2675</f>
        <v>689545</v>
      </c>
      <c r="K2675" s="21" t="n">
        <f aca="false">D2675/(D2675+E2675)</f>
        <v>0.438271604938272</v>
      </c>
      <c r="L2675" s="21" t="n">
        <f aca="false">AVERAGEIFS($K$2:$K$2705,$B$2:$B$2705,B2675)</f>
        <v>0.500024282391432</v>
      </c>
      <c r="M2675" s="21" t="n">
        <f aca="false">K2675-L2675</f>
        <v>-0.0617526774531605</v>
      </c>
      <c r="N2675" s="21" t="n">
        <f aca="false">LN(J2675)</f>
        <v>13.4437872387704</v>
      </c>
      <c r="O2675" s="21" t="n">
        <f aca="false">AVERAGEIFS($N$2:$N$2705,$B$2:$B$2705,B2675)</f>
        <v>13.6790216080491</v>
      </c>
      <c r="P2675" s="21" t="n">
        <f aca="false">N2675-O2675</f>
        <v>-0.2352343692787</v>
      </c>
      <c r="Q2675" s="7" t="n">
        <v>1</v>
      </c>
      <c r="R2675" s="3" t="n">
        <f aca="false">IF(AND(Q2675=1,B2675-_xlfn.MINIFS($B$2:$B$2705,$A$2:$A$2705,A2675)&lt;10),1,0)</f>
        <v>0</v>
      </c>
      <c r="S2675" s="7" t="n">
        <v>0</v>
      </c>
      <c r="T2675" s="3" t="n">
        <f aca="false">_xlfn.MINIFS($B$2:$B$2705,$A$2:$A$2705,A2675)</f>
        <v>1969</v>
      </c>
      <c r="U2675" s="3" t="n">
        <f aca="false">B2675-T2675</f>
        <v>55</v>
      </c>
      <c r="V2675" s="3" t="str">
        <f aca="false">INDEX(Pop_Inputs!$Q$2:$Q$29,MATCH(C2675,Pop_Inputs!$A$2:$A$29,0))</f>
        <v>South</v>
      </c>
      <c r="W2675" s="29" t="n">
        <v>130310823</v>
      </c>
      <c r="X2675" s="3" t="n">
        <f aca="false">IF(W2675="","",LN(W2675))</f>
        <v>18.6854331008098</v>
      </c>
      <c r="Y2675" s="3" t="n">
        <f aca="false">IF(X2675="","",X2675-AVERAGEIFS($X$2:$X$2705,$B$2:$B$2705,B2675))</f>
        <v>-0.196672476936762</v>
      </c>
      <c r="Z2675" s="21" t="n">
        <f aca="false">P2675</f>
        <v>-0.2352343692787</v>
      </c>
      <c r="AA2675" s="3" t="n">
        <f aca="false">R2675</f>
        <v>0</v>
      </c>
      <c r="AB2675" s="21" t="n">
        <f aca="false">P2675</f>
        <v>-0.2352343692787</v>
      </c>
      <c r="AC2675" s="3" t="n">
        <f aca="false">Y2675</f>
        <v>-0.196672476936762</v>
      </c>
      <c r="AD2675" s="3" t="n">
        <f aca="false">R2675</f>
        <v>0</v>
      </c>
    </row>
    <row r="2676" customFormat="false" ht="15" hidden="false" customHeight="true" outlineLevel="0" collapsed="false">
      <c r="A2676" s="7" t="s">
        <v>71</v>
      </c>
      <c r="B2676" s="7" t="n">
        <v>2025</v>
      </c>
      <c r="C2676" s="7" t="s">
        <v>148</v>
      </c>
      <c r="D2676" s="7" t="n">
        <v>72</v>
      </c>
      <c r="E2676" s="7" t="n">
        <v>90</v>
      </c>
      <c r="F2676" s="3" t="n">
        <f aca="false">COUNTIFS($B$2:$B$2705,B2676,$C$2:$C$2705,C2676)</f>
        <v>2</v>
      </c>
      <c r="G2676" s="3" t="n">
        <f aca="false">MIN(INT((MIN(B2676,2020)-1900)/10)+1,12)</f>
        <v>12</v>
      </c>
      <c r="H2676" s="3" t="n">
        <f aca="false">(MIN(B2676,2020)-1900-10*(G2676-1))/10</f>
        <v>1</v>
      </c>
      <c r="I2676" s="20" t="n">
        <f aca="false">EXP(LN(INDEX(Pop_Inputs!$B$2:$N$29,MATCH(C2676,Pop_Inputs!$A$2:$A$29,0),G2676))*(1-H2676)+LN(INDEX(Pop_Inputs!$B$2:$N$29,MATCH(C2676,Pop_Inputs!$A$2:$A$29,0),G2676+1))*H2676)</f>
        <v>3898747</v>
      </c>
      <c r="J2676" s="20" t="n">
        <f aca="false">I2676/F2676</f>
        <v>1949373.5</v>
      </c>
      <c r="K2676" s="21" t="n">
        <f aca="false">D2676/(D2676+E2676)</f>
        <v>0.444444444444444</v>
      </c>
      <c r="L2676" s="21" t="n">
        <f aca="false">AVERAGEIFS($K$2:$K$2705,$B$2:$B$2705,B2676)</f>
        <v>0.5</v>
      </c>
      <c r="M2676" s="21" t="n">
        <f aca="false">K2676-L2676</f>
        <v>-0.0555555555555556</v>
      </c>
      <c r="N2676" s="21" t="n">
        <f aca="false">LN(J2676)</f>
        <v>14.4830185968665</v>
      </c>
      <c r="O2676" s="21" t="n">
        <f aca="false">AVERAGEIFS($N$2:$N$2705,$B$2:$B$2705,B2676)</f>
        <v>13.6790216080491</v>
      </c>
      <c r="P2676" s="21" t="n">
        <f aca="false">N2676-O2676</f>
        <v>0.80399698881741</v>
      </c>
      <c r="Q2676" s="7" t="n">
        <v>1</v>
      </c>
      <c r="R2676" s="3" t="n">
        <f aca="false">IF(AND(Q2676=1,B2676-_xlfn.MINIFS($B$2:$B$2705,$A$2:$A$2705,A2676)&lt;10),1,0)</f>
        <v>0</v>
      </c>
      <c r="S2676" s="7" t="n">
        <v>0</v>
      </c>
      <c r="T2676" s="3" t="n">
        <f aca="false">_xlfn.MINIFS($B$2:$B$2705,$A$2:$A$2705,A2676)</f>
        <v>1961</v>
      </c>
      <c r="U2676" s="3" t="n">
        <f aca="false">B2676-T2676</f>
        <v>64</v>
      </c>
      <c r="V2676" s="3" t="str">
        <f aca="false">INDEX(Pop_Inputs!$Q$2:$Q$29,MATCH(C2676,Pop_Inputs!$A$2:$A$29,0))</f>
        <v>West</v>
      </c>
      <c r="W2676" s="29" t="n">
        <v>207406579</v>
      </c>
      <c r="X2676" s="3" t="n">
        <f aca="false">IF(W2676="","",LN(W2676))</f>
        <v>19.1501915745681</v>
      </c>
      <c r="Y2676" s="3" t="n">
        <f aca="false">IF(X2676="","",X2676-AVERAGEIFS($X$2:$X$2705,$B$2:$B$2705,B2676))</f>
        <v>0.25065586216671</v>
      </c>
      <c r="Z2676" s="21" t="n">
        <f aca="false">P2676</f>
        <v>0.80399698881741</v>
      </c>
      <c r="AA2676" s="3" t="n">
        <f aca="false">R2676</f>
        <v>0</v>
      </c>
      <c r="AB2676" s="21" t="n">
        <f aca="false">P2676</f>
        <v>0.80399698881741</v>
      </c>
      <c r="AC2676" s="3" t="n">
        <f aca="false">Y2676</f>
        <v>0.25065586216671</v>
      </c>
      <c r="AD2676" s="3" t="n">
        <f aca="false">R2676</f>
        <v>0</v>
      </c>
    </row>
    <row r="2677" customFormat="false" ht="15" hidden="false" customHeight="true" outlineLevel="0" collapsed="false">
      <c r="A2677" s="7" t="s">
        <v>84</v>
      </c>
      <c r="B2677" s="7" t="n">
        <v>2025</v>
      </c>
      <c r="C2677" s="7" t="s">
        <v>165</v>
      </c>
      <c r="D2677" s="7" t="n">
        <v>80</v>
      </c>
      <c r="E2677" s="7" t="n">
        <v>82</v>
      </c>
      <c r="F2677" s="3" t="n">
        <f aca="false">COUNTIFS($B$2:$B$2705,B2677,$C$2:$C$2705,C2677)</f>
        <v>1</v>
      </c>
      <c r="G2677" s="3" t="n">
        <f aca="false">MIN(INT((MIN(B2677,2020)-1900)/10)+1,12)</f>
        <v>12</v>
      </c>
      <c r="H2677" s="3" t="n">
        <f aca="false">(MIN(B2677,2020)-1900-10*(G2677-1))/10</f>
        <v>1</v>
      </c>
      <c r="I2677" s="20" t="n">
        <f aca="false">EXP(LN(INDEX(Pop_Inputs!$B$2:$N$29,MATCH(C2677,Pop_Inputs!$A$2:$A$29,0),G2677))*(1-H2677)+LN(INDEX(Pop_Inputs!$B$2:$N$29,MATCH(C2677,Pop_Inputs!$A$2:$A$29,0),G2677+1))*H2677)</f>
        <v>1608139</v>
      </c>
      <c r="J2677" s="20" t="n">
        <f aca="false">I2677/F2677</f>
        <v>1608139</v>
      </c>
      <c r="K2677" s="21" t="n">
        <f aca="false">D2677/(D2677+E2677)</f>
        <v>0.493827160493827</v>
      </c>
      <c r="L2677" s="21" t="n">
        <f aca="false">AVERAGEIFS($K$2:$K$2705,$B$2:$B$2705,B2677)</f>
        <v>0.5</v>
      </c>
      <c r="M2677" s="21" t="n">
        <f aca="false">K2677-L2677</f>
        <v>-0.00617283950617287</v>
      </c>
      <c r="N2677" s="21" t="n">
        <f aca="false">LN(J2677)</f>
        <v>14.2905881677712</v>
      </c>
      <c r="O2677" s="21" t="n">
        <f aca="false">AVERAGEIFS($N$2:$N$2705,$B$2:$B$2705,B2677)</f>
        <v>13.6790216080491</v>
      </c>
      <c r="P2677" s="21" t="n">
        <f aca="false">N2677-O2677</f>
        <v>0.611566559722055</v>
      </c>
      <c r="Q2677" s="7" t="n">
        <v>1</v>
      </c>
      <c r="R2677" s="3" t="n">
        <f aca="false">IF(AND(Q2677=1,B2677-_xlfn.MINIFS($B$2:$B$2705,$A$2:$A$2705,A2677)&lt;10),1,0)</f>
        <v>0</v>
      </c>
      <c r="S2677" s="7" t="n">
        <v>0</v>
      </c>
      <c r="T2677" s="3" t="n">
        <f aca="false">_xlfn.MINIFS($B$2:$B$2705,$A$2:$A$2705,A2677)</f>
        <v>1998</v>
      </c>
      <c r="U2677" s="3" t="n">
        <f aca="false">B2677-T2677</f>
        <v>27</v>
      </c>
      <c r="V2677" s="3" t="str">
        <f aca="false">INDEX(Pop_Inputs!$Q$2:$Q$29,MATCH(C2677,Pop_Inputs!$A$2:$A$29,0))</f>
        <v>West</v>
      </c>
      <c r="W2677" s="29" t="n">
        <v>185110923</v>
      </c>
      <c r="X2677" s="3" t="n">
        <f aca="false">IF(W2677="","",LN(W2677))</f>
        <v>19.0364657871478</v>
      </c>
      <c r="Y2677" s="3" t="n">
        <f aca="false">IF(X2677="","",X2677-AVERAGEIFS($X$2:$X$2705,$B$2:$B$2705,B2677))</f>
        <v>0.136930074746488</v>
      </c>
      <c r="Z2677" s="21" t="n">
        <f aca="false">P2677</f>
        <v>0.611566559722055</v>
      </c>
      <c r="AA2677" s="3" t="n">
        <f aca="false">R2677</f>
        <v>0</v>
      </c>
      <c r="AB2677" s="21" t="n">
        <f aca="false">P2677</f>
        <v>0.611566559722055</v>
      </c>
      <c r="AC2677" s="3" t="n">
        <f aca="false">Y2677</f>
        <v>0.136930074746488</v>
      </c>
      <c r="AD2677" s="3" t="n">
        <f aca="false">R2677</f>
        <v>0</v>
      </c>
    </row>
    <row r="2678" customFormat="false" ht="15" hidden="false" customHeight="true" outlineLevel="0" collapsed="false">
      <c r="A2678" s="7" t="s">
        <v>54</v>
      </c>
      <c r="B2678" s="7" t="n">
        <v>2025</v>
      </c>
      <c r="C2678" s="7" t="s">
        <v>141</v>
      </c>
      <c r="D2678" s="7" t="n">
        <v>76</v>
      </c>
      <c r="E2678" s="7" t="n">
        <v>86</v>
      </c>
      <c r="F2678" s="3" t="n">
        <f aca="false">COUNTIFS($B$2:$B$2705,B2678,$C$2:$C$2705,C2678)</f>
        <v>1</v>
      </c>
      <c r="G2678" s="3" t="n">
        <f aca="false">MIN(INT((MIN(B2678,2020)-1900)/10)+1,12)</f>
        <v>12</v>
      </c>
      <c r="H2678" s="3" t="n">
        <f aca="false">(MIN(B2678,2020)-1900-10*(G2678-1))/10</f>
        <v>1</v>
      </c>
      <c r="I2678" s="20" t="n">
        <f aca="false">EXP(LN(INDEX(Pop_Inputs!$B$2:$N$29,MATCH(C2678,Pop_Inputs!$A$2:$A$29,0),G2678))*(1-H2678)+LN(INDEX(Pop_Inputs!$B$2:$N$29,MATCH(C2678,Pop_Inputs!$A$2:$A$29,0),G2678+1))*H2678)</f>
        <v>498715</v>
      </c>
      <c r="J2678" s="20" t="n">
        <f aca="false">I2678/F2678</f>
        <v>498715</v>
      </c>
      <c r="K2678" s="21" t="n">
        <f aca="false">D2678/(D2678+E2678)</f>
        <v>0.469135802469136</v>
      </c>
      <c r="L2678" s="21" t="n">
        <f aca="false">AVERAGEIFS($K$2:$K$2705,$B$2:$B$2705,B2678)</f>
        <v>0.5</v>
      </c>
      <c r="M2678" s="21" t="n">
        <f aca="false">K2678-L2678</f>
        <v>-0.0308641975308642</v>
      </c>
      <c r="N2678" s="21" t="n">
        <f aca="false">LN(J2678)</f>
        <v>13.1197900692852</v>
      </c>
      <c r="O2678" s="21" t="n">
        <f aca="false">AVERAGEIFS($N$2:$N$2705,$B$2:$B$2705,B2678)</f>
        <v>13.6790216080491</v>
      </c>
      <c r="P2678" s="21" t="n">
        <f aca="false">N2678-O2678</f>
        <v>-0.5592315387639</v>
      </c>
      <c r="Q2678" s="7" t="n">
        <v>0</v>
      </c>
      <c r="R2678" s="3" t="n">
        <f aca="false">IF(AND(Q2678=1,B2678-_xlfn.MINIFS($B$2:$B$2705,$A$2:$A$2705,A2678)&lt;10),1,0)</f>
        <v>0</v>
      </c>
      <c r="S2678" s="7" t="n">
        <v>0</v>
      </c>
      <c r="T2678" s="3" t="n">
        <f aca="false">_xlfn.MINIFS($B$2:$B$2705,$A$2:$A$2705,A2678)</f>
        <v>1901</v>
      </c>
      <c r="U2678" s="3" t="n">
        <f aca="false">B2678-T2678</f>
        <v>124</v>
      </c>
      <c r="V2678" s="3" t="str">
        <f aca="false">INDEX(Pop_Inputs!$Q$2:$Q$29,MATCH(C2678,Pop_Inputs!$A$2:$A$29,0))</f>
        <v>South</v>
      </c>
      <c r="W2678" s="29" t="n">
        <v>218594102</v>
      </c>
      <c r="X2678" s="3" t="n">
        <f aca="false">IF(W2678="","",LN(W2678))</f>
        <v>19.2027271525559</v>
      </c>
      <c r="Y2678" s="3" t="n">
        <f aca="false">IF(X2678="","",X2678-AVERAGEIFS($X$2:$X$2705,$B$2:$B$2705,B2678))</f>
        <v>0.303191440154542</v>
      </c>
      <c r="Z2678" s="21" t="n">
        <f aca="false">P2678</f>
        <v>-0.5592315387639</v>
      </c>
      <c r="AA2678" s="3" t="n">
        <f aca="false">R2678</f>
        <v>0</v>
      </c>
      <c r="AB2678" s="21" t="n">
        <f aca="false">P2678</f>
        <v>-0.5592315387639</v>
      </c>
      <c r="AC2678" s="3" t="n">
        <f aca="false">Y2678</f>
        <v>0.303191440154542</v>
      </c>
      <c r="AD2678" s="3" t="n">
        <f aca="false">R2678</f>
        <v>0</v>
      </c>
    </row>
    <row r="2679" customFormat="false" ht="15" hidden="false" customHeight="true" outlineLevel="0" collapsed="false">
      <c r="A2679" s="7" t="s">
        <v>63</v>
      </c>
      <c r="B2679" s="7" t="n">
        <v>2025</v>
      </c>
      <c r="C2679" s="7" t="s">
        <v>149</v>
      </c>
      <c r="D2679" s="7" t="n">
        <v>75</v>
      </c>
      <c r="E2679" s="7" t="n">
        <v>87</v>
      </c>
      <c r="F2679" s="3" t="n">
        <f aca="false">COUNTIFS($B$2:$B$2705,B2679,$C$2:$C$2705,C2679)</f>
        <v>1</v>
      </c>
      <c r="G2679" s="3" t="n">
        <f aca="false">MIN(INT((MIN(B2679,2020)-1900)/10)+1,12)</f>
        <v>12</v>
      </c>
      <c r="H2679" s="3" t="n">
        <f aca="false">(MIN(B2679,2020)-1900-10*(G2679-1))/10</f>
        <v>1</v>
      </c>
      <c r="I2679" s="20" t="n">
        <f aca="false">EXP(LN(INDEX(Pop_Inputs!$B$2:$N$29,MATCH(C2679,Pop_Inputs!$A$2:$A$29,0),G2679))*(1-H2679)+LN(INDEX(Pop_Inputs!$B$2:$N$29,MATCH(C2679,Pop_Inputs!$A$2:$A$29,0),G2679+1))*H2679)</f>
        <v>585708.000000001</v>
      </c>
      <c r="J2679" s="20" t="n">
        <f aca="false">I2679/F2679</f>
        <v>585708.000000001</v>
      </c>
      <c r="K2679" s="21" t="n">
        <f aca="false">D2679/(D2679+E2679)</f>
        <v>0.462962962962963</v>
      </c>
      <c r="L2679" s="21" t="n">
        <f aca="false">AVERAGEIFS($K$2:$K$2705,$B$2:$B$2705,B2679)</f>
        <v>0.5</v>
      </c>
      <c r="M2679" s="21" t="n">
        <f aca="false">K2679-L2679</f>
        <v>-0.037037037037037</v>
      </c>
      <c r="N2679" s="21" t="n">
        <f aca="false">LN(J2679)</f>
        <v>13.2805766508543</v>
      </c>
      <c r="O2679" s="21" t="n">
        <f aca="false">AVERAGEIFS($N$2:$N$2705,$B$2:$B$2705,B2679)</f>
        <v>13.6790216080491</v>
      </c>
      <c r="P2679" s="21" t="n">
        <f aca="false">N2679-O2679</f>
        <v>-0.39844495719478</v>
      </c>
      <c r="Q2679" s="7" t="n">
        <v>0</v>
      </c>
      <c r="R2679" s="3" t="n">
        <f aca="false">IF(AND(Q2679=1,B2679-_xlfn.MINIFS($B$2:$B$2705,$A$2:$A$2705,A2679)&lt;10),1,0)</f>
        <v>0</v>
      </c>
      <c r="S2679" s="7" t="n">
        <v>0</v>
      </c>
      <c r="T2679" s="3" t="n">
        <f aca="false">_xlfn.MINIFS($B$2:$B$2705,$A$2:$A$2705,A2679)</f>
        <v>1901</v>
      </c>
      <c r="U2679" s="3" t="n">
        <f aca="false">B2679-T2679</f>
        <v>124</v>
      </c>
      <c r="V2679" s="3" t="str">
        <f aca="false">INDEX(Pop_Inputs!$Q$2:$Q$29,MATCH(C2679,Pop_Inputs!$A$2:$A$29,0))</f>
        <v>South</v>
      </c>
      <c r="W2679" s="29" t="n">
        <v>165575762</v>
      </c>
      <c r="X2679" s="3" t="n">
        <f aca="false">IF(W2679="","",LN(W2679))</f>
        <v>18.9249394244688</v>
      </c>
      <c r="Y2679" s="3" t="n">
        <f aca="false">IF(X2679="","",X2679-AVERAGEIFS($X$2:$X$2705,$B$2:$B$2705,B2679))</f>
        <v>0.0254037120674155</v>
      </c>
      <c r="Z2679" s="21" t="n">
        <f aca="false">P2679</f>
        <v>-0.39844495719478</v>
      </c>
      <c r="AA2679" s="3" t="n">
        <f aca="false">R2679</f>
        <v>0</v>
      </c>
      <c r="AB2679" s="21" t="n">
        <f aca="false">P2679</f>
        <v>-0.39844495719478</v>
      </c>
      <c r="AC2679" s="3" t="n">
        <f aca="false">Y2679</f>
        <v>0.0254037120674155</v>
      </c>
      <c r="AD2679" s="3" t="n">
        <f aca="false">R2679</f>
        <v>0</v>
      </c>
    </row>
    <row r="2680" customFormat="false" ht="15" hidden="false" customHeight="true" outlineLevel="0" collapsed="false">
      <c r="A2680" s="7" t="s">
        <v>64</v>
      </c>
      <c r="B2680" s="7" t="n">
        <v>2025</v>
      </c>
      <c r="C2680" s="7" t="s">
        <v>150</v>
      </c>
      <c r="D2680" s="7" t="n">
        <v>89</v>
      </c>
      <c r="E2680" s="7" t="n">
        <v>73</v>
      </c>
      <c r="F2680" s="3" t="n">
        <f aca="false">COUNTIFS($B$2:$B$2705,B2680,$C$2:$C$2705,C2680)</f>
        <v>1</v>
      </c>
      <c r="G2680" s="3" t="n">
        <f aca="false">MIN(INT((MIN(B2680,2020)-1900)/10)+1,12)</f>
        <v>12</v>
      </c>
      <c r="H2680" s="3" t="n">
        <f aca="false">(MIN(B2680,2020)-1900-10*(G2680-1))/10</f>
        <v>1</v>
      </c>
      <c r="I2680" s="20" t="n">
        <f aca="false">EXP(LN(INDEX(Pop_Inputs!$B$2:$N$29,MATCH(C2680,Pop_Inputs!$A$2:$A$29,0),G2680))*(1-H2680)+LN(INDEX(Pop_Inputs!$B$2:$N$29,MATCH(C2680,Pop_Inputs!$A$2:$A$29,0),G2680+1))*H2680)</f>
        <v>675647.000000001</v>
      </c>
      <c r="J2680" s="20" t="n">
        <f aca="false">I2680/F2680</f>
        <v>675647.000000001</v>
      </c>
      <c r="K2680" s="21" t="n">
        <f aca="false">D2680/(D2680+E2680)</f>
        <v>0.549382716049383</v>
      </c>
      <c r="L2680" s="21" t="n">
        <f aca="false">AVERAGEIFS($K$2:$K$2705,$B$2:$B$2705,B2680)</f>
        <v>0.5</v>
      </c>
      <c r="M2680" s="21" t="n">
        <f aca="false">K2680-L2680</f>
        <v>0.0493827160493827</v>
      </c>
      <c r="N2680" s="21" t="n">
        <f aca="false">LN(J2680)</f>
        <v>13.4234260292876</v>
      </c>
      <c r="O2680" s="21" t="n">
        <f aca="false">AVERAGEIFS($N$2:$N$2705,$B$2:$B$2705,B2680)</f>
        <v>13.6790216080491</v>
      </c>
      <c r="P2680" s="21" t="n">
        <f aca="false">N2680-O2680</f>
        <v>-0.255595578761453</v>
      </c>
      <c r="Q2680" s="7" t="n">
        <v>0</v>
      </c>
      <c r="R2680" s="3" t="n">
        <f aca="false">IF(AND(Q2680=1,B2680-_xlfn.MINIFS($B$2:$B$2705,$A$2:$A$2705,A2680)&lt;10),1,0)</f>
        <v>0</v>
      </c>
      <c r="S2680" s="7" t="n">
        <v>0</v>
      </c>
      <c r="T2680" s="3" t="n">
        <f aca="false">_xlfn.MINIFS($B$2:$B$2705,$A$2:$A$2705,A2680)</f>
        <v>1901</v>
      </c>
      <c r="U2680" s="3" t="n">
        <f aca="false">B2680-T2680</f>
        <v>124</v>
      </c>
      <c r="V2680" s="3" t="str">
        <f aca="false">INDEX(Pop_Inputs!$Q$2:$Q$29,MATCH(C2680,Pop_Inputs!$A$2:$A$29,0))</f>
        <v>Northeast</v>
      </c>
      <c r="W2680" s="29" t="n">
        <v>198195741</v>
      </c>
      <c r="X2680" s="3" t="n">
        <f aca="false">IF(W2680="","",LN(W2680))</f>
        <v>19.1047656912337</v>
      </c>
      <c r="Y2680" s="3" t="n">
        <f aca="false">IF(X2680="","",X2680-AVERAGEIFS($X$2:$X$2705,$B$2:$B$2705,B2680))</f>
        <v>0.205229978832367</v>
      </c>
      <c r="Z2680" s="21" t="n">
        <f aca="false">P2680</f>
        <v>-0.255595578761453</v>
      </c>
      <c r="AA2680" s="3" t="n">
        <f aca="false">R2680</f>
        <v>0</v>
      </c>
      <c r="AB2680" s="21" t="n">
        <f aca="false">P2680</f>
        <v>-0.255595578761453</v>
      </c>
      <c r="AC2680" s="3" t="n">
        <f aca="false">Y2680</f>
        <v>0.205229978832367</v>
      </c>
      <c r="AD2680" s="3" t="n">
        <f aca="false">R2680</f>
        <v>0</v>
      </c>
    </row>
    <row r="2681" customFormat="false" ht="15" hidden="false" customHeight="true" outlineLevel="0" collapsed="false">
      <c r="A2681" s="7" t="s">
        <v>56</v>
      </c>
      <c r="B2681" s="7" t="n">
        <v>2025</v>
      </c>
      <c r="C2681" s="7" t="s">
        <v>142</v>
      </c>
      <c r="D2681" s="7" t="n">
        <v>92</v>
      </c>
      <c r="E2681" s="7" t="n">
        <v>70</v>
      </c>
      <c r="F2681" s="3" t="n">
        <f aca="false">COUNTIFS($B$2:$B$2705,B2681,$C$2:$C$2705,C2681)</f>
        <v>2</v>
      </c>
      <c r="G2681" s="3" t="n">
        <f aca="false">MIN(INT((MIN(B2681,2020)-1900)/10)+1,12)</f>
        <v>12</v>
      </c>
      <c r="H2681" s="3" t="n">
        <f aca="false">(MIN(B2681,2020)-1900-10*(G2681-1))/10</f>
        <v>1</v>
      </c>
      <c r="I2681" s="20" t="n">
        <f aca="false">EXP(LN(INDEX(Pop_Inputs!$B$2:$N$29,MATCH(C2681,Pop_Inputs!$A$2:$A$29,0),G2681))*(1-H2681)+LN(INDEX(Pop_Inputs!$B$2:$N$29,MATCH(C2681,Pop_Inputs!$A$2:$A$29,0),G2681+1))*H2681)</f>
        <v>2746388</v>
      </c>
      <c r="J2681" s="20" t="n">
        <f aca="false">I2681/F2681</f>
        <v>1373194</v>
      </c>
      <c r="K2681" s="21" t="n">
        <f aca="false">D2681/(D2681+E2681)</f>
        <v>0.567901234567901</v>
      </c>
      <c r="L2681" s="21" t="n">
        <f aca="false">AVERAGEIFS($K$2:$K$2705,$B$2:$B$2705,B2681)</f>
        <v>0.5</v>
      </c>
      <c r="M2681" s="21" t="n">
        <f aca="false">K2681-L2681</f>
        <v>0.0679012345679012</v>
      </c>
      <c r="N2681" s="21" t="n">
        <f aca="false">LN(J2681)</f>
        <v>14.1326499711999</v>
      </c>
      <c r="O2681" s="21" t="n">
        <f aca="false">AVERAGEIFS($N$2:$N$2705,$B$2:$B$2705,B2681)</f>
        <v>13.6790216080491</v>
      </c>
      <c r="P2681" s="21" t="n">
        <f aca="false">N2681-O2681</f>
        <v>0.453628363150779</v>
      </c>
      <c r="Q2681" s="7" t="n">
        <v>0</v>
      </c>
      <c r="R2681" s="3" t="n">
        <f aca="false">IF(AND(Q2681=1,B2681-_xlfn.MINIFS($B$2:$B$2705,$A$2:$A$2705,A2681)&lt;10),1,0)</f>
        <v>0</v>
      </c>
      <c r="S2681" s="7" t="n">
        <v>0</v>
      </c>
      <c r="T2681" s="3" t="n">
        <f aca="false">_xlfn.MINIFS($B$2:$B$2705,$A$2:$A$2705,A2681)</f>
        <v>1901</v>
      </c>
      <c r="U2681" s="3" t="n">
        <f aca="false">B2681-T2681</f>
        <v>124</v>
      </c>
      <c r="V2681" s="3" t="str">
        <f aca="false">INDEX(Pop_Inputs!$Q$2:$Q$29,MATCH(C2681,Pop_Inputs!$A$2:$A$29,0))</f>
        <v>Midwest</v>
      </c>
      <c r="W2681" s="29" t="n">
        <v>212035018</v>
      </c>
      <c r="X2681" s="3" t="n">
        <f aca="false">IF(W2681="","",LN(W2681))</f>
        <v>19.172261998241</v>
      </c>
      <c r="Y2681" s="3" t="n">
        <f aca="false">IF(X2681="","",X2681-AVERAGEIFS($X$2:$X$2705,$B$2:$B$2705,B2681))</f>
        <v>0.272726285839624</v>
      </c>
      <c r="Z2681" s="21" t="n">
        <f aca="false">P2681</f>
        <v>0.453628363150779</v>
      </c>
      <c r="AA2681" s="3" t="n">
        <f aca="false">R2681</f>
        <v>0</v>
      </c>
      <c r="AB2681" s="21" t="n">
        <f aca="false">P2681</f>
        <v>0.453628363150779</v>
      </c>
      <c r="AC2681" s="3" t="n">
        <f aca="false">Y2681</f>
        <v>0.272726285839624</v>
      </c>
      <c r="AD2681" s="3" t="n">
        <f aca="false">R2681</f>
        <v>0</v>
      </c>
    </row>
    <row r="2682" customFormat="false" ht="15" hidden="false" customHeight="true" outlineLevel="0" collapsed="false">
      <c r="A2682" s="7" t="s">
        <v>65</v>
      </c>
      <c r="B2682" s="7" t="n">
        <v>2025</v>
      </c>
      <c r="C2682" s="7" t="s">
        <v>142</v>
      </c>
      <c r="D2682" s="7" t="n">
        <v>60</v>
      </c>
      <c r="E2682" s="7" t="n">
        <v>102</v>
      </c>
      <c r="F2682" s="3" t="n">
        <f aca="false">COUNTIFS($B$2:$B$2705,B2682,$C$2:$C$2705,C2682)</f>
        <v>2</v>
      </c>
      <c r="G2682" s="3" t="n">
        <f aca="false">MIN(INT((MIN(B2682,2020)-1900)/10)+1,12)</f>
        <v>12</v>
      </c>
      <c r="H2682" s="3" t="n">
        <f aca="false">(MIN(B2682,2020)-1900-10*(G2682-1))/10</f>
        <v>1</v>
      </c>
      <c r="I2682" s="20" t="n">
        <f aca="false">EXP(LN(INDEX(Pop_Inputs!$B$2:$N$29,MATCH(C2682,Pop_Inputs!$A$2:$A$29,0),G2682))*(1-H2682)+LN(INDEX(Pop_Inputs!$B$2:$N$29,MATCH(C2682,Pop_Inputs!$A$2:$A$29,0),G2682+1))*H2682)</f>
        <v>2746388</v>
      </c>
      <c r="J2682" s="20" t="n">
        <f aca="false">I2682/F2682</f>
        <v>1373194</v>
      </c>
      <c r="K2682" s="21" t="n">
        <f aca="false">D2682/(D2682+E2682)</f>
        <v>0.37037037037037</v>
      </c>
      <c r="L2682" s="21" t="n">
        <f aca="false">AVERAGEIFS($K$2:$K$2705,$B$2:$B$2705,B2682)</f>
        <v>0.5</v>
      </c>
      <c r="M2682" s="21" t="n">
        <f aca="false">K2682-L2682</f>
        <v>-0.12962962962963</v>
      </c>
      <c r="N2682" s="21" t="n">
        <f aca="false">LN(J2682)</f>
        <v>14.1326499711999</v>
      </c>
      <c r="O2682" s="21" t="n">
        <f aca="false">AVERAGEIFS($N$2:$N$2705,$B$2:$B$2705,B2682)</f>
        <v>13.6790216080491</v>
      </c>
      <c r="P2682" s="21" t="n">
        <f aca="false">N2682-O2682</f>
        <v>0.453628363150779</v>
      </c>
      <c r="Q2682" s="7" t="n">
        <v>0</v>
      </c>
      <c r="R2682" s="3" t="n">
        <f aca="false">IF(AND(Q2682=1,B2682-_xlfn.MINIFS($B$2:$B$2705,$A$2:$A$2705,A2682)&lt;10),1,0)</f>
        <v>0</v>
      </c>
      <c r="S2682" s="7" t="n">
        <v>0</v>
      </c>
      <c r="T2682" s="3" t="n">
        <f aca="false">_xlfn.MINIFS($B$2:$B$2705,$A$2:$A$2705,A2682)</f>
        <v>1901</v>
      </c>
      <c r="U2682" s="3" t="n">
        <f aca="false">B2682-T2682</f>
        <v>124</v>
      </c>
      <c r="V2682" s="3" t="str">
        <f aca="false">INDEX(Pop_Inputs!$Q$2:$Q$29,MATCH(C2682,Pop_Inputs!$A$2:$A$29,0))</f>
        <v>Midwest</v>
      </c>
      <c r="W2682" s="29" t="n">
        <v>87847134</v>
      </c>
      <c r="X2682" s="3" t="n">
        <f aca="false">IF(W2682="","",LN(W2682))</f>
        <v>18.2911087482747</v>
      </c>
      <c r="Y2682" s="3" t="n">
        <f aca="false">IF(X2682="","",X2682-AVERAGEIFS($X$2:$X$2705,$B$2:$B$2705,B2682))</f>
        <v>-0.608426964126696</v>
      </c>
      <c r="Z2682" s="21" t="n">
        <f aca="false">P2682</f>
        <v>0.453628363150779</v>
      </c>
      <c r="AA2682" s="3" t="n">
        <f aca="false">R2682</f>
        <v>0</v>
      </c>
      <c r="AB2682" s="21" t="n">
        <f aca="false">P2682</f>
        <v>0.453628363150779</v>
      </c>
      <c r="AC2682" s="3" t="n">
        <f aca="false">Y2682</f>
        <v>-0.608426964126696</v>
      </c>
      <c r="AD2682" s="3" t="n">
        <f aca="false">R2682</f>
        <v>0</v>
      </c>
    </row>
    <row r="2683" customFormat="false" ht="15" hidden="false" customHeight="true" outlineLevel="0" collapsed="false">
      <c r="A2683" s="7" t="s">
        <v>57</v>
      </c>
      <c r="B2683" s="7" t="n">
        <v>2025</v>
      </c>
      <c r="C2683" s="7" t="s">
        <v>143</v>
      </c>
      <c r="D2683" s="7" t="n">
        <v>83</v>
      </c>
      <c r="E2683" s="7" t="n">
        <v>79</v>
      </c>
      <c r="F2683" s="3" t="n">
        <f aca="false">COUNTIFS($B$2:$B$2705,B2683,$C$2:$C$2705,C2683)</f>
        <v>1</v>
      </c>
      <c r="G2683" s="3" t="n">
        <f aca="false">MIN(INT((MIN(B2683,2020)-1900)/10)+1,12)</f>
        <v>12</v>
      </c>
      <c r="H2683" s="3" t="n">
        <f aca="false">(MIN(B2683,2020)-1900-10*(G2683-1))/10</f>
        <v>1</v>
      </c>
      <c r="I2683" s="20" t="n">
        <f aca="false">EXP(LN(INDEX(Pop_Inputs!$B$2:$N$29,MATCH(C2683,Pop_Inputs!$A$2:$A$29,0),G2683))*(1-H2683)+LN(INDEX(Pop_Inputs!$B$2:$N$29,MATCH(C2683,Pop_Inputs!$A$2:$A$29,0),G2683+1))*H2683)</f>
        <v>309317</v>
      </c>
      <c r="J2683" s="20" t="n">
        <f aca="false">I2683/F2683</f>
        <v>309317</v>
      </c>
      <c r="K2683" s="21" t="n">
        <f aca="false">D2683/(D2683+E2683)</f>
        <v>0.512345679012346</v>
      </c>
      <c r="L2683" s="21" t="n">
        <f aca="false">AVERAGEIFS($K$2:$K$2705,$B$2:$B$2705,B2683)</f>
        <v>0.5</v>
      </c>
      <c r="M2683" s="21" t="n">
        <f aca="false">K2683-L2683</f>
        <v>0.0123456790123457</v>
      </c>
      <c r="N2683" s="21" t="n">
        <f aca="false">LN(J2683)</f>
        <v>12.642121919982</v>
      </c>
      <c r="O2683" s="21" t="n">
        <f aca="false">AVERAGEIFS($N$2:$N$2705,$B$2:$B$2705,B2683)</f>
        <v>13.6790216080491</v>
      </c>
      <c r="P2683" s="21" t="n">
        <f aca="false">N2683-O2683</f>
        <v>-1.03689968806707</v>
      </c>
      <c r="Q2683" s="7" t="n">
        <v>0</v>
      </c>
      <c r="R2683" s="3" t="n">
        <f aca="false">IF(AND(Q2683=1,B2683-_xlfn.MINIFS($B$2:$B$2705,$A$2:$A$2705,A2683)&lt;10),1,0)</f>
        <v>0</v>
      </c>
      <c r="S2683" s="7" t="n">
        <v>0</v>
      </c>
      <c r="T2683" s="3" t="n">
        <f aca="false">_xlfn.MINIFS($B$2:$B$2705,$A$2:$A$2705,A2683)</f>
        <v>1901</v>
      </c>
      <c r="U2683" s="3" t="n">
        <f aca="false">B2683-T2683</f>
        <v>124</v>
      </c>
      <c r="V2683" s="3" t="str">
        <f aca="false">INDEX(Pop_Inputs!$Q$2:$Q$29,MATCH(C2683,Pop_Inputs!$A$2:$A$29,0))</f>
        <v>Midwest</v>
      </c>
      <c r="W2683" s="29" t="n">
        <v>121385819</v>
      </c>
      <c r="X2683" s="3" t="n">
        <f aca="false">IF(W2683="","",LN(W2683))</f>
        <v>18.6144846175755</v>
      </c>
      <c r="Y2683" s="3" t="n">
        <f aca="false">IF(X2683="","",X2683-AVERAGEIFS($X$2:$X$2705,$B$2:$B$2705,B2683))</f>
        <v>-0.285051094825864</v>
      </c>
      <c r="Z2683" s="21" t="n">
        <f aca="false">P2683</f>
        <v>-1.03689968806707</v>
      </c>
      <c r="AA2683" s="3" t="n">
        <f aca="false">R2683</f>
        <v>0</v>
      </c>
      <c r="AB2683" s="21" t="n">
        <f aca="false">P2683</f>
        <v>-1.03689968806707</v>
      </c>
      <c r="AC2683" s="3" t="n">
        <f aca="false">Y2683</f>
        <v>-0.285051094825864</v>
      </c>
      <c r="AD2683" s="3" t="n">
        <f aca="false">R2683</f>
        <v>0</v>
      </c>
    </row>
    <row r="2684" customFormat="false" ht="15" hidden="false" customHeight="true" outlineLevel="0" collapsed="false">
      <c r="A2684" s="7" t="s">
        <v>66</v>
      </c>
      <c r="B2684" s="7" t="n">
        <v>2025</v>
      </c>
      <c r="C2684" s="7" t="s">
        <v>151</v>
      </c>
      <c r="D2684" s="7" t="n">
        <v>88</v>
      </c>
      <c r="E2684" s="7" t="n">
        <v>74</v>
      </c>
      <c r="F2684" s="3" t="n">
        <f aca="false">COUNTIFS($B$2:$B$2705,B2684,$C$2:$C$2705,C2684)</f>
        <v>1</v>
      </c>
      <c r="G2684" s="3" t="n">
        <f aca="false">MIN(INT((MIN(B2684,2020)-1900)/10)+1,12)</f>
        <v>12</v>
      </c>
      <c r="H2684" s="3" t="n">
        <f aca="false">(MIN(B2684,2020)-1900-10*(G2684-1))/10</f>
        <v>1</v>
      </c>
      <c r="I2684" s="20" t="n">
        <f aca="false">EXP(LN(INDEX(Pop_Inputs!$B$2:$N$29,MATCH(C2684,Pop_Inputs!$A$2:$A$29,0),G2684))*(1-H2684)+LN(INDEX(Pop_Inputs!$B$2:$N$29,MATCH(C2684,Pop_Inputs!$A$2:$A$29,0),G2684+1))*H2684)</f>
        <v>372624</v>
      </c>
      <c r="J2684" s="20" t="n">
        <f aca="false">I2684/F2684</f>
        <v>372624</v>
      </c>
      <c r="K2684" s="21" t="n">
        <f aca="false">D2684/(D2684+E2684)</f>
        <v>0.54320987654321</v>
      </c>
      <c r="L2684" s="21" t="n">
        <f aca="false">AVERAGEIFS($K$2:$K$2705,$B$2:$B$2705,B2684)</f>
        <v>0.5</v>
      </c>
      <c r="M2684" s="21" t="n">
        <f aca="false">K2684-L2684</f>
        <v>0.0432098765432098</v>
      </c>
      <c r="N2684" s="21" t="n">
        <f aca="false">LN(J2684)</f>
        <v>12.8283251473136</v>
      </c>
      <c r="O2684" s="21" t="n">
        <f aca="false">AVERAGEIFS($N$2:$N$2705,$B$2:$B$2705,B2684)</f>
        <v>13.6790216080491</v>
      </c>
      <c r="P2684" s="21" t="n">
        <f aca="false">N2684-O2684</f>
        <v>-0.850696460735531</v>
      </c>
      <c r="Q2684" s="7" t="n">
        <v>0</v>
      </c>
      <c r="R2684" s="3" t="n">
        <f aca="false">IF(AND(Q2684=1,B2684-_xlfn.MINIFS($B$2:$B$2705,$A$2:$A$2705,A2684)&lt;10),1,0)</f>
        <v>0</v>
      </c>
      <c r="S2684" s="7" t="n">
        <v>0</v>
      </c>
      <c r="T2684" s="3" t="n">
        <f aca="false">_xlfn.MINIFS($B$2:$B$2705,$A$2:$A$2705,A2684)</f>
        <v>1901</v>
      </c>
      <c r="U2684" s="3" t="n">
        <f aca="false">B2684-T2684</f>
        <v>124</v>
      </c>
      <c r="V2684" s="3" t="str">
        <f aca="false">INDEX(Pop_Inputs!$Q$2:$Q$29,MATCH(C2684,Pop_Inputs!$A$2:$A$29,0))</f>
        <v>Midwest</v>
      </c>
      <c r="W2684" s="29" t="n">
        <v>104157260</v>
      </c>
      <c r="X2684" s="3" t="n">
        <f aca="false">IF(W2684="","",LN(W2684))</f>
        <v>18.461412430395</v>
      </c>
      <c r="Y2684" s="3" t="n">
        <f aca="false">IF(X2684="","",X2684-AVERAGEIFS($X$2:$X$2705,$B$2:$B$2705,B2684))</f>
        <v>-0.438123282006387</v>
      </c>
      <c r="Z2684" s="21" t="n">
        <f aca="false">P2684</f>
        <v>-0.850696460735531</v>
      </c>
      <c r="AA2684" s="3" t="n">
        <f aca="false">R2684</f>
        <v>0</v>
      </c>
      <c r="AB2684" s="21" t="n">
        <f aca="false">P2684</f>
        <v>-0.850696460735531</v>
      </c>
      <c r="AC2684" s="3" t="n">
        <f aca="false">Y2684</f>
        <v>-0.438123282006387</v>
      </c>
      <c r="AD2684" s="3" t="n">
        <f aca="false">R2684</f>
        <v>0</v>
      </c>
    </row>
    <row r="2685" customFormat="false" ht="15" hidden="false" customHeight="true" outlineLevel="0" collapsed="false">
      <c r="A2685" s="7" t="s">
        <v>82</v>
      </c>
      <c r="B2685" s="7" t="n">
        <v>2025</v>
      </c>
      <c r="C2685" s="7" t="s">
        <v>163</v>
      </c>
      <c r="D2685" s="7" t="n">
        <v>43</v>
      </c>
      <c r="E2685" s="7" t="n">
        <v>119</v>
      </c>
      <c r="F2685" s="3" t="n">
        <f aca="false">COUNTIFS($B$2:$B$2705,B2685,$C$2:$C$2705,C2685)</f>
        <v>1</v>
      </c>
      <c r="G2685" s="3" t="n">
        <f aca="false">MIN(INT((MIN(B2685,2020)-1900)/10)+1,12)</f>
        <v>12</v>
      </c>
      <c r="H2685" s="3" t="n">
        <f aca="false">(MIN(B2685,2020)-1900-10*(G2685-1))/10</f>
        <v>1</v>
      </c>
      <c r="I2685" s="20" t="n">
        <f aca="false">EXP(LN(INDEX(Pop_Inputs!$B$2:$N$29,MATCH(C2685,Pop_Inputs!$A$2:$A$29,0),G2685))*(1-H2685)+LN(INDEX(Pop_Inputs!$B$2:$N$29,MATCH(C2685,Pop_Inputs!$A$2:$A$29,0),G2685+1))*H2685)</f>
        <v>715521.999999999</v>
      </c>
      <c r="J2685" s="20" t="n">
        <f aca="false">I2685/F2685</f>
        <v>715521.999999999</v>
      </c>
      <c r="K2685" s="21" t="n">
        <f aca="false">D2685/(D2685+E2685)</f>
        <v>0.265432098765432</v>
      </c>
      <c r="L2685" s="21" t="n">
        <f aca="false">AVERAGEIFS($K$2:$K$2705,$B$2:$B$2705,B2685)</f>
        <v>0.5</v>
      </c>
      <c r="M2685" s="21" t="n">
        <f aca="false">K2685-L2685</f>
        <v>-0.234567901234568</v>
      </c>
      <c r="N2685" s="21" t="n">
        <f aca="false">LN(J2685)</f>
        <v>13.4807676252348</v>
      </c>
      <c r="O2685" s="21" t="n">
        <f aca="false">AVERAGEIFS($N$2:$N$2705,$B$2:$B$2705,B2685)</f>
        <v>13.6790216080491</v>
      </c>
      <c r="P2685" s="21" t="n">
        <f aca="false">N2685-O2685</f>
        <v>-0.1982539828143</v>
      </c>
      <c r="Q2685" s="7" t="n">
        <v>1</v>
      </c>
      <c r="R2685" s="3" t="n">
        <f aca="false">IF(AND(Q2685=1,B2685-_xlfn.MINIFS($B$2:$B$2705,$A$2:$A$2705,A2685)&lt;10),1,0)</f>
        <v>0</v>
      </c>
      <c r="S2685" s="7" t="n">
        <v>0</v>
      </c>
      <c r="T2685" s="3" t="n">
        <f aca="false">_xlfn.MINIFS($B$2:$B$2705,$A$2:$A$2705,A2685)</f>
        <v>1993</v>
      </c>
      <c r="U2685" s="3" t="n">
        <f aca="false">B2685-T2685</f>
        <v>32</v>
      </c>
      <c r="V2685" s="3" t="str">
        <f aca="false">INDEX(Pop_Inputs!$Q$2:$Q$29,MATCH(C2685,Pop_Inputs!$A$2:$A$29,0))</f>
        <v>West</v>
      </c>
      <c r="W2685" s="29" t="n">
        <v>128727478</v>
      </c>
      <c r="X2685" s="3" t="n">
        <f aca="false">IF(W2685="","",LN(W2685))</f>
        <v>18.6732081540511</v>
      </c>
      <c r="Y2685" s="3" t="n">
        <f aca="false">IF(X2685="","",X2685-AVERAGEIFS($X$2:$X$2705,$B$2:$B$2705,B2685))</f>
        <v>-0.226327558350292</v>
      </c>
      <c r="Z2685" s="21" t="n">
        <f aca="false">P2685</f>
        <v>-0.1982539828143</v>
      </c>
      <c r="AA2685" s="3" t="n">
        <f aca="false">R2685</f>
        <v>0</v>
      </c>
      <c r="AB2685" s="21" t="n">
        <f aca="false">P2685</f>
        <v>-0.1982539828143</v>
      </c>
      <c r="AC2685" s="3" t="n">
        <f aca="false">Y2685</f>
        <v>-0.226327558350292</v>
      </c>
      <c r="AD2685" s="3" t="n">
        <f aca="false">R2685</f>
        <v>0</v>
      </c>
    </row>
    <row r="2686" customFormat="false" ht="15" hidden="false" customHeight="true" outlineLevel="0" collapsed="false">
      <c r="A2686" s="7" t="s">
        <v>67</v>
      </c>
      <c r="B2686" s="7" t="n">
        <v>2025</v>
      </c>
      <c r="C2686" s="7" t="s">
        <v>152</v>
      </c>
      <c r="D2686" s="7" t="n">
        <v>87</v>
      </c>
      <c r="E2686" s="7" t="n">
        <v>75</v>
      </c>
      <c r="F2686" s="3" t="n">
        <f aca="false">COUNTIFS($B$2:$B$2705,B2686,$C$2:$C$2705,C2686)</f>
        <v>1</v>
      </c>
      <c r="G2686" s="3" t="n">
        <f aca="false">MIN(INT((MIN(B2686,2020)-1900)/10)+1,12)</f>
        <v>12</v>
      </c>
      <c r="H2686" s="3" t="n">
        <f aca="false">(MIN(B2686,2020)-1900-10*(G2686-1))/10</f>
        <v>1</v>
      </c>
      <c r="I2686" s="20" t="n">
        <f aca="false">EXP(LN(INDEX(Pop_Inputs!$B$2:$N$29,MATCH(C2686,Pop_Inputs!$A$2:$A$29,0),G2686))*(1-H2686)+LN(INDEX(Pop_Inputs!$B$2:$N$29,MATCH(C2686,Pop_Inputs!$A$2:$A$29,0),G2686+1))*H2686)</f>
        <v>639111</v>
      </c>
      <c r="J2686" s="20" t="n">
        <f aca="false">I2686/F2686</f>
        <v>639111</v>
      </c>
      <c r="K2686" s="21" t="n">
        <f aca="false">D2686/(D2686+E2686)</f>
        <v>0.537037037037037</v>
      </c>
      <c r="L2686" s="21" t="n">
        <f aca="false">AVERAGEIFS($K$2:$K$2705,$B$2:$B$2705,B2686)</f>
        <v>0.5</v>
      </c>
      <c r="M2686" s="21" t="n">
        <f aca="false">K2686-L2686</f>
        <v>0.0370370370370371</v>
      </c>
      <c r="N2686" s="21" t="n">
        <f aca="false">LN(J2686)</f>
        <v>13.3678334271942</v>
      </c>
      <c r="O2686" s="21" t="n">
        <f aca="false">AVERAGEIFS($N$2:$N$2705,$B$2:$B$2705,B2686)</f>
        <v>13.6790216080491</v>
      </c>
      <c r="P2686" s="21" t="n">
        <f aca="false">N2686-O2686</f>
        <v>-0.31118818085489</v>
      </c>
      <c r="Q2686" s="7" t="n">
        <v>0</v>
      </c>
      <c r="R2686" s="3" t="n">
        <f aca="false">IF(AND(Q2686=1,B2686-_xlfn.MINIFS($B$2:$B$2705,$A$2:$A$2705,A2686)&lt;10),1,0)</f>
        <v>0</v>
      </c>
      <c r="S2686" s="7" t="n">
        <v>0</v>
      </c>
      <c r="T2686" s="3" t="n">
        <f aca="false">_xlfn.MINIFS($B$2:$B$2705,$A$2:$A$2705,A2686)</f>
        <v>1901</v>
      </c>
      <c r="U2686" s="3" t="n">
        <f aca="false">B2686-T2686</f>
        <v>124</v>
      </c>
      <c r="V2686" s="3" t="str">
        <f aca="false">INDEX(Pop_Inputs!$Q$2:$Q$29,MATCH(C2686,Pop_Inputs!$A$2:$A$29,0))</f>
        <v>Midwest</v>
      </c>
      <c r="W2686" s="29" t="n">
        <v>162891087</v>
      </c>
      <c r="X2686" s="3" t="n">
        <f aca="false">IF(W2686="","",LN(W2686))</f>
        <v>18.9085923575266</v>
      </c>
      <c r="Y2686" s="3" t="n">
        <f aca="false">IF(X2686="","",X2686-AVERAGEIFS($X$2:$X$2705,$B$2:$B$2705,B2686))</f>
        <v>0.00905664512522009</v>
      </c>
      <c r="Z2686" s="21" t="n">
        <f aca="false">P2686</f>
        <v>-0.31118818085489</v>
      </c>
      <c r="AA2686" s="3" t="n">
        <f aca="false">R2686</f>
        <v>0</v>
      </c>
      <c r="AB2686" s="21" t="n">
        <f aca="false">P2686</f>
        <v>-0.31118818085489</v>
      </c>
      <c r="AC2686" s="3" t="n">
        <f aca="false">Y2686</f>
        <v>0.00905664512522009</v>
      </c>
      <c r="AD2686" s="3" t="n">
        <f aca="false">R2686</f>
        <v>0</v>
      </c>
    </row>
    <row r="2687" customFormat="false" ht="15" hidden="false" customHeight="true" outlineLevel="0" collapsed="false">
      <c r="A2687" s="7" t="s">
        <v>83</v>
      </c>
      <c r="B2687" s="7" t="n">
        <v>2025</v>
      </c>
      <c r="C2687" s="7" t="s">
        <v>164</v>
      </c>
      <c r="D2687" s="7" t="n">
        <v>79</v>
      </c>
      <c r="E2687" s="7" t="n">
        <v>83</v>
      </c>
      <c r="F2687" s="3" t="n">
        <f aca="false">COUNTIFS($B$2:$B$2705,B2687,$C$2:$C$2705,C2687)</f>
        <v>1</v>
      </c>
      <c r="G2687" s="3" t="n">
        <f aca="false">MIN(INT((MIN(B2687,2020)-1900)/10)+1,12)</f>
        <v>12</v>
      </c>
      <c r="H2687" s="3" t="n">
        <f aca="false">(MIN(B2687,2020)-1900-10*(G2687-1))/10</f>
        <v>1</v>
      </c>
      <c r="I2687" s="20" t="n">
        <f aca="false">EXP(LN(INDEX(Pop_Inputs!$B$2:$N$29,MATCH(C2687,Pop_Inputs!$A$2:$A$29,0),G2687))*(1-H2687)+LN(INDEX(Pop_Inputs!$B$2:$N$29,MATCH(C2687,Pop_Inputs!$A$2:$A$29,0),G2687+1))*H2687)</f>
        <v>442241</v>
      </c>
      <c r="J2687" s="20" t="n">
        <f aca="false">I2687/F2687</f>
        <v>442241</v>
      </c>
      <c r="K2687" s="21" t="n">
        <f aca="false">D2687/(D2687+E2687)</f>
        <v>0.487654320987654</v>
      </c>
      <c r="L2687" s="21" t="n">
        <f aca="false">AVERAGEIFS($K$2:$K$2705,$B$2:$B$2705,B2687)</f>
        <v>0.5</v>
      </c>
      <c r="M2687" s="21" t="n">
        <f aca="false">K2687-L2687</f>
        <v>-0.0123456790123457</v>
      </c>
      <c r="N2687" s="21" t="n">
        <f aca="false">LN(J2687)</f>
        <v>12.9996102613345</v>
      </c>
      <c r="O2687" s="21" t="n">
        <f aca="false">AVERAGEIFS($N$2:$N$2705,$B$2:$B$2705,B2687)</f>
        <v>13.6790216080491</v>
      </c>
      <c r="P2687" s="21" t="n">
        <f aca="false">N2687-O2687</f>
        <v>-0.679411346714641</v>
      </c>
      <c r="Q2687" s="7" t="n">
        <v>1</v>
      </c>
      <c r="R2687" s="3" t="n">
        <f aca="false">IF(AND(Q2687=1,B2687-_xlfn.MINIFS($B$2:$B$2705,$A$2:$A$2705,A2687)&lt;10),1,0)</f>
        <v>0</v>
      </c>
      <c r="S2687" s="7" t="n">
        <v>0</v>
      </c>
      <c r="T2687" s="3" t="n">
        <f aca="false">_xlfn.MINIFS($B$2:$B$2705,$A$2:$A$2705,A2687)</f>
        <v>1993</v>
      </c>
      <c r="U2687" s="3" t="n">
        <f aca="false">B2687-T2687</f>
        <v>32</v>
      </c>
      <c r="V2687" s="3" t="str">
        <f aca="false">INDEX(Pop_Inputs!$Q$2:$Q$29,MATCH(C2687,Pop_Inputs!$A$2:$A$29,0))</f>
        <v>South</v>
      </c>
      <c r="W2687" s="29" t="n">
        <v>68748295</v>
      </c>
      <c r="X2687" s="3" t="n">
        <f aca="false">IF(W2687="","",LN(W2687))</f>
        <v>18.0459624942034</v>
      </c>
      <c r="Y2687" s="3" t="n">
        <f aca="false">IF(X2687="","",X2687-AVERAGEIFS($X$2:$X$2705,$B$2:$B$2705,B2687))</f>
        <v>-0.853573218197926</v>
      </c>
      <c r="Z2687" s="21" t="n">
        <f aca="false">P2687</f>
        <v>-0.679411346714641</v>
      </c>
      <c r="AA2687" s="3" t="n">
        <f aca="false">R2687</f>
        <v>0</v>
      </c>
      <c r="AB2687" s="21" t="n">
        <f aca="false">P2687</f>
        <v>-0.679411346714641</v>
      </c>
      <c r="AC2687" s="3" t="n">
        <f aca="false">Y2687</f>
        <v>-0.853573218197926</v>
      </c>
      <c r="AD2687" s="3" t="n">
        <f aca="false">R2687</f>
        <v>0</v>
      </c>
    </row>
    <row r="2688" customFormat="false" ht="15" hidden="false" customHeight="true" outlineLevel="0" collapsed="false">
      <c r="A2688" s="7" t="s">
        <v>74</v>
      </c>
      <c r="B2688" s="7" t="n">
        <v>2025</v>
      </c>
      <c r="C2688" s="7" t="s">
        <v>156</v>
      </c>
      <c r="D2688" s="7" t="n">
        <v>87</v>
      </c>
      <c r="E2688" s="7" t="n">
        <v>75</v>
      </c>
      <c r="F2688" s="3" t="n">
        <f aca="false">COUNTIFS($B$2:$B$2705,B2688,$C$2:$C$2705,C2688)</f>
        <v>1</v>
      </c>
      <c r="G2688" s="3" t="n">
        <f aca="false">MIN(INT((MIN(B2688,2020)-1900)/10)+1,12)</f>
        <v>12</v>
      </c>
      <c r="H2688" s="3" t="n">
        <f aca="false">(MIN(B2688,2020)-1900-10*(G2688-1))/10</f>
        <v>1</v>
      </c>
      <c r="I2688" s="20" t="n">
        <f aca="false">EXP(LN(INDEX(Pop_Inputs!$B$2:$N$29,MATCH(C2688,Pop_Inputs!$A$2:$A$29,0),G2688))*(1-H2688)+LN(INDEX(Pop_Inputs!$B$2:$N$29,MATCH(C2688,Pop_Inputs!$A$2:$A$29,0),G2688+1))*H2688)</f>
        <v>2304580</v>
      </c>
      <c r="J2688" s="20" t="n">
        <f aca="false">I2688/F2688</f>
        <v>2304580</v>
      </c>
      <c r="K2688" s="21" t="n">
        <f aca="false">D2688/(D2688+E2688)</f>
        <v>0.537037037037037</v>
      </c>
      <c r="L2688" s="21" t="n">
        <f aca="false">AVERAGEIFS($K$2:$K$2705,$B$2:$B$2705,B2688)</f>
        <v>0.5</v>
      </c>
      <c r="M2688" s="21" t="n">
        <f aca="false">K2688-L2688</f>
        <v>0.0370370370370371</v>
      </c>
      <c r="N2688" s="21" t="n">
        <f aca="false">LN(J2688)</f>
        <v>14.6504090052288</v>
      </c>
      <c r="O2688" s="21" t="n">
        <f aca="false">AVERAGEIFS($N$2:$N$2705,$B$2:$B$2705,B2688)</f>
        <v>13.6790216080491</v>
      </c>
      <c r="P2688" s="21" t="n">
        <f aca="false">N2688-O2688</f>
        <v>0.97138739717971</v>
      </c>
      <c r="Q2688" s="7" t="n">
        <v>1</v>
      </c>
      <c r="R2688" s="3" t="n">
        <f aca="false">IF(AND(Q2688=1,B2688-_xlfn.MINIFS($B$2:$B$2705,$A$2:$A$2705,A2688)&lt;10),1,0)</f>
        <v>0</v>
      </c>
      <c r="S2688" s="7" t="n">
        <v>0</v>
      </c>
      <c r="T2688" s="3" t="n">
        <f aca="false">_xlfn.MINIFS($B$2:$B$2705,$A$2:$A$2705,A2688)</f>
        <v>1962</v>
      </c>
      <c r="U2688" s="3" t="n">
        <f aca="false">B2688-T2688</f>
        <v>63</v>
      </c>
      <c r="V2688" s="3" t="str">
        <f aca="false">INDEX(Pop_Inputs!$Q$2:$Q$29,MATCH(C2688,Pop_Inputs!$A$2:$A$29,0))</f>
        <v>South</v>
      </c>
      <c r="W2688" s="29" t="n">
        <v>236422020</v>
      </c>
      <c r="X2688" s="3" t="n">
        <f aca="false">IF(W2688="","",LN(W2688))</f>
        <v>19.2811289863664</v>
      </c>
      <c r="Y2688" s="3" t="n">
        <f aca="false">IF(X2688="","",X2688-AVERAGEIFS($X$2:$X$2705,$B$2:$B$2705,B2688))</f>
        <v>0.381593273965052</v>
      </c>
      <c r="Z2688" s="21" t="n">
        <f aca="false">P2688</f>
        <v>0.97138739717971</v>
      </c>
      <c r="AA2688" s="3" t="n">
        <f aca="false">R2688</f>
        <v>0</v>
      </c>
      <c r="AB2688" s="21" t="n">
        <f aca="false">P2688</f>
        <v>0.97138739717971</v>
      </c>
      <c r="AC2688" s="3" t="n">
        <f aca="false">Y2688</f>
        <v>0.381593273965052</v>
      </c>
      <c r="AD2688" s="3" t="n">
        <f aca="false">R2688</f>
        <v>0</v>
      </c>
    </row>
    <row r="2689" customFormat="false" ht="15" hidden="false" customHeight="true" outlineLevel="0" collapsed="false">
      <c r="A2689" s="7" t="s">
        <v>76</v>
      </c>
      <c r="B2689" s="7" t="n">
        <v>2025</v>
      </c>
      <c r="C2689" s="7" t="s">
        <v>157</v>
      </c>
      <c r="D2689" s="7" t="n">
        <v>82</v>
      </c>
      <c r="E2689" s="7" t="n">
        <v>80</v>
      </c>
      <c r="F2689" s="3" t="n">
        <f aca="false">COUNTIFS($B$2:$B$2705,B2689,$C$2:$C$2705,C2689)</f>
        <v>1</v>
      </c>
      <c r="G2689" s="3" t="n">
        <f aca="false">MIN(INT((MIN(B2689,2020)-1900)/10)+1,12)</f>
        <v>12</v>
      </c>
      <c r="H2689" s="3" t="n">
        <f aca="false">(MIN(B2689,2020)-1900-10*(G2689-1))/10</f>
        <v>1</v>
      </c>
      <c r="I2689" s="20" t="n">
        <f aca="false">EXP(LN(INDEX(Pop_Inputs!$B$2:$N$29,MATCH(C2689,Pop_Inputs!$A$2:$A$29,0),G2689))*(1-H2689)+LN(INDEX(Pop_Inputs!$B$2:$N$29,MATCH(C2689,Pop_Inputs!$A$2:$A$29,0),G2689+1))*H2689)</f>
        <v>508090</v>
      </c>
      <c r="J2689" s="20" t="n">
        <f aca="false">I2689/F2689</f>
        <v>508090</v>
      </c>
      <c r="K2689" s="21" t="n">
        <f aca="false">D2689/(D2689+E2689)</f>
        <v>0.506172839506173</v>
      </c>
      <c r="L2689" s="21" t="n">
        <f aca="false">AVERAGEIFS($K$2:$K$2705,$B$2:$B$2705,B2689)</f>
        <v>0.5</v>
      </c>
      <c r="M2689" s="21" t="n">
        <f aca="false">K2689-L2689</f>
        <v>0.00617283950617287</v>
      </c>
      <c r="N2689" s="21" t="n">
        <f aca="false">LN(J2689)</f>
        <v>13.138413876223</v>
      </c>
      <c r="O2689" s="21" t="n">
        <f aca="false">AVERAGEIFS($N$2:$N$2705,$B$2:$B$2705,B2689)</f>
        <v>13.6790216080491</v>
      </c>
      <c r="P2689" s="21" t="n">
        <f aca="false">N2689-O2689</f>
        <v>-0.54060773182608</v>
      </c>
      <c r="Q2689" s="7" t="n">
        <v>1</v>
      </c>
      <c r="R2689" s="3" t="n">
        <f aca="false">IF(AND(Q2689=1,B2689-_xlfn.MINIFS($B$2:$B$2705,$A$2:$A$2705,A2689)&lt;10),1,0)</f>
        <v>0</v>
      </c>
      <c r="S2689" s="7" t="n">
        <v>0</v>
      </c>
      <c r="T2689" s="3" t="n">
        <f aca="false">_xlfn.MINIFS($B$2:$B$2705,$A$2:$A$2705,A2689)</f>
        <v>1969</v>
      </c>
      <c r="U2689" s="3" t="n">
        <f aca="false">B2689-T2689</f>
        <v>56</v>
      </c>
      <c r="V2689" s="3" t="str">
        <f aca="false">INDEX(Pop_Inputs!$Q$2:$Q$29,MATCH(C2689,Pop_Inputs!$A$2:$A$29,0))</f>
        <v>Midwest</v>
      </c>
      <c r="W2689" s="29" t="n">
        <v>141476898</v>
      </c>
      <c r="X2689" s="3" t="n">
        <f aca="false">IF(W2689="","",LN(W2689))</f>
        <v>18.7676469967007</v>
      </c>
      <c r="Y2689" s="3" t="n">
        <f aca="false">IF(X2689="","",X2689-AVERAGEIFS($X$2:$X$2705,$B$2:$B$2705,B2689))</f>
        <v>-0.13188871570064</v>
      </c>
      <c r="Z2689" s="21" t="n">
        <f aca="false">P2689</f>
        <v>-0.54060773182608</v>
      </c>
      <c r="AA2689" s="3" t="n">
        <f aca="false">R2689</f>
        <v>0</v>
      </c>
      <c r="AB2689" s="21" t="n">
        <f aca="false">P2689</f>
        <v>-0.54060773182608</v>
      </c>
      <c r="AC2689" s="3" t="n">
        <f aca="false">Y2689</f>
        <v>-0.13188871570064</v>
      </c>
      <c r="AD2689" s="3" t="n">
        <f aca="false">R2689</f>
        <v>0</v>
      </c>
    </row>
    <row r="2690" customFormat="false" ht="15" hidden="false" customHeight="true" outlineLevel="0" collapsed="false">
      <c r="A2690" s="7" t="s">
        <v>62</v>
      </c>
      <c r="B2690" s="7" t="n">
        <v>2025</v>
      </c>
      <c r="C2690" s="7" t="s">
        <v>148</v>
      </c>
      <c r="D2690" s="7" t="n">
        <v>93</v>
      </c>
      <c r="E2690" s="7" t="n">
        <v>69</v>
      </c>
      <c r="F2690" s="3" t="n">
        <f aca="false">COUNTIFS($B$2:$B$2705,B2690,$C$2:$C$2705,C2690)</f>
        <v>2</v>
      </c>
      <c r="G2690" s="3" t="n">
        <f aca="false">MIN(INT((MIN(B2690,2020)-1900)/10)+1,12)</f>
        <v>12</v>
      </c>
      <c r="H2690" s="3" t="n">
        <f aca="false">(MIN(B2690,2020)-1900-10*(G2690-1))/10</f>
        <v>1</v>
      </c>
      <c r="I2690" s="20" t="n">
        <f aca="false">EXP(LN(INDEX(Pop_Inputs!$B$2:$N$29,MATCH(C2690,Pop_Inputs!$A$2:$A$29,0),G2690))*(1-H2690)+LN(INDEX(Pop_Inputs!$B$2:$N$29,MATCH(C2690,Pop_Inputs!$A$2:$A$29,0),G2690+1))*H2690)</f>
        <v>3898747</v>
      </c>
      <c r="J2690" s="20" t="n">
        <f aca="false">I2690/F2690</f>
        <v>1949373.5</v>
      </c>
      <c r="K2690" s="21" t="n">
        <f aca="false">D2690/(D2690+E2690)</f>
        <v>0.574074074074074</v>
      </c>
      <c r="L2690" s="21" t="n">
        <f aca="false">AVERAGEIFS($K$2:$K$2705,$B$2:$B$2705,B2690)</f>
        <v>0.5</v>
      </c>
      <c r="M2690" s="21" t="n">
        <f aca="false">K2690-L2690</f>
        <v>0.0740740740740741</v>
      </c>
      <c r="N2690" s="21" t="n">
        <f aca="false">LN(J2690)</f>
        <v>14.4830185968665</v>
      </c>
      <c r="O2690" s="21" t="n">
        <f aca="false">AVERAGEIFS($N$2:$N$2705,$B$2:$B$2705,B2690)</f>
        <v>13.6790216080491</v>
      </c>
      <c r="P2690" s="21" t="n">
        <f aca="false">N2690-O2690</f>
        <v>0.80399698881741</v>
      </c>
      <c r="Q2690" s="7" t="n">
        <v>0</v>
      </c>
      <c r="R2690" s="3" t="n">
        <f aca="false">IF(AND(Q2690=1,B2690-_xlfn.MINIFS($B$2:$B$2705,$A$2:$A$2705,A2690)&lt;10),1,0)</f>
        <v>0</v>
      </c>
      <c r="S2690" s="7" t="n">
        <v>0</v>
      </c>
      <c r="T2690" s="3" t="n">
        <f aca="false">_xlfn.MINIFS($B$2:$B$2705,$A$2:$A$2705,A2690)</f>
        <v>1901</v>
      </c>
      <c r="U2690" s="3" t="n">
        <f aca="false">B2690-T2690</f>
        <v>124</v>
      </c>
      <c r="V2690" s="3" t="str">
        <f aca="false">INDEX(Pop_Inputs!$Q$2:$Q$29,MATCH(C2690,Pop_Inputs!$A$2:$A$29,0))</f>
        <v>West</v>
      </c>
      <c r="W2690" s="29" t="n">
        <v>345260789</v>
      </c>
      <c r="X2690" s="3" t="n">
        <f aca="false">IF(W2690="","",LN(W2690))</f>
        <v>19.6598105995844</v>
      </c>
      <c r="Y2690" s="3" t="n">
        <f aca="false">IF(X2690="","",X2690-AVERAGEIFS($X$2:$X$2705,$B$2:$B$2705,B2690))</f>
        <v>0.760274887183027</v>
      </c>
      <c r="Z2690" s="21" t="n">
        <f aca="false">P2690</f>
        <v>0.80399698881741</v>
      </c>
      <c r="AA2690" s="3" t="n">
        <f aca="false">R2690</f>
        <v>0</v>
      </c>
      <c r="AB2690" s="21" t="n">
        <f aca="false">P2690</f>
        <v>0.80399698881741</v>
      </c>
      <c r="AC2690" s="3" t="n">
        <f aca="false">Y2690</f>
        <v>0.760274887183027</v>
      </c>
      <c r="AD2690" s="3" t="n">
        <f aca="false">R2690</f>
        <v>0</v>
      </c>
    </row>
    <row r="2691" customFormat="false" ht="15" hidden="false" customHeight="true" outlineLevel="0" collapsed="false">
      <c r="A2691" s="7" t="s">
        <v>77</v>
      </c>
      <c r="B2691" s="7" t="n">
        <v>2025</v>
      </c>
      <c r="C2691" s="7" t="s">
        <v>158</v>
      </c>
      <c r="D2691" s="7" t="n">
        <v>97</v>
      </c>
      <c r="E2691" s="7" t="n">
        <v>65</v>
      </c>
      <c r="F2691" s="3" t="n">
        <f aca="false">COUNTIFS($B$2:$B$2705,B2691,$C$2:$C$2705,C2691)</f>
        <v>1</v>
      </c>
      <c r="G2691" s="3" t="n">
        <f aca="false">MIN(INT((MIN(B2691,2020)-1900)/10)+1,12)</f>
        <v>12</v>
      </c>
      <c r="H2691" s="3" t="n">
        <f aca="false">(MIN(B2691,2020)-1900-10*(G2691-1))/10</f>
        <v>1</v>
      </c>
      <c r="I2691" s="20" t="n">
        <f aca="false">EXP(LN(INDEX(Pop_Inputs!$B$2:$N$29,MATCH(C2691,Pop_Inputs!$A$2:$A$29,0),G2691))*(1-H2691)+LN(INDEX(Pop_Inputs!$B$2:$N$29,MATCH(C2691,Pop_Inputs!$A$2:$A$29,0),G2691+1))*H2691)</f>
        <v>577222</v>
      </c>
      <c r="J2691" s="20" t="n">
        <f aca="false">I2691/F2691</f>
        <v>577222</v>
      </c>
      <c r="K2691" s="21" t="n">
        <f aca="false">D2691/(D2691+E2691)</f>
        <v>0.598765432098765</v>
      </c>
      <c r="L2691" s="21" t="n">
        <f aca="false">AVERAGEIFS($K$2:$K$2705,$B$2:$B$2705,B2691)</f>
        <v>0.5</v>
      </c>
      <c r="M2691" s="21" t="n">
        <f aca="false">K2691-L2691</f>
        <v>0.0987654320987654</v>
      </c>
      <c r="N2691" s="21" t="n">
        <f aca="false">LN(J2691)</f>
        <v>13.2659822201936</v>
      </c>
      <c r="O2691" s="21" t="n">
        <f aca="false">AVERAGEIFS($N$2:$N$2705,$B$2:$B$2705,B2691)</f>
        <v>13.6790216080491</v>
      </c>
      <c r="P2691" s="21" t="n">
        <f aca="false">N2691-O2691</f>
        <v>-0.413039387855493</v>
      </c>
      <c r="Q2691" s="7" t="n">
        <v>1</v>
      </c>
      <c r="R2691" s="3" t="n">
        <f aca="false">IF(AND(Q2691=1,B2691-_xlfn.MINIFS($B$2:$B$2705,$A$2:$A$2705,A2691)&lt;10),1,0)</f>
        <v>0</v>
      </c>
      <c r="S2691" s="7" t="n">
        <v>0</v>
      </c>
      <c r="T2691" s="3" t="n">
        <f aca="false">_xlfn.MINIFS($B$2:$B$2705,$A$2:$A$2705,A2691)</f>
        <v>1969</v>
      </c>
      <c r="U2691" s="3" t="n">
        <f aca="false">B2691-T2691</f>
        <v>56</v>
      </c>
      <c r="V2691" s="3" t="str">
        <f aca="false">INDEX(Pop_Inputs!$Q$2:$Q$29,MATCH(C2691,Pop_Inputs!$A$2:$A$29,0))</f>
        <v>Midwest</v>
      </c>
      <c r="W2691" s="29" t="n">
        <v>124894611</v>
      </c>
      <c r="X2691" s="3" t="n">
        <f aca="false">IF(W2691="","",LN(W2691))</f>
        <v>18.6429808276478</v>
      </c>
      <c r="Y2691" s="3" t="n">
        <f aca="false">IF(X2691="","",X2691-AVERAGEIFS($X$2:$X$2705,$B$2:$B$2705,B2691))</f>
        <v>-0.256554884753601</v>
      </c>
      <c r="Z2691" s="21" t="n">
        <f aca="false">P2691</f>
        <v>-0.413039387855493</v>
      </c>
      <c r="AA2691" s="3" t="n">
        <f aca="false">R2691</f>
        <v>0</v>
      </c>
      <c r="AB2691" s="21" t="n">
        <f aca="false">P2691</f>
        <v>-0.413039387855493</v>
      </c>
      <c r="AC2691" s="3" t="n">
        <f aca="false">Y2691</f>
        <v>-0.256554884753601</v>
      </c>
      <c r="AD2691" s="3" t="n">
        <f aca="false">R2691</f>
        <v>0</v>
      </c>
    </row>
    <row r="2692" customFormat="false" ht="15" hidden="false" customHeight="true" outlineLevel="0" collapsed="false">
      <c r="A2692" s="7" t="s">
        <v>68</v>
      </c>
      <c r="B2692" s="7" t="n">
        <v>2025</v>
      </c>
      <c r="C2692" s="7" t="s">
        <v>153</v>
      </c>
      <c r="D2692" s="7" t="n">
        <v>70</v>
      </c>
      <c r="E2692" s="7" t="n">
        <v>92</v>
      </c>
      <c r="F2692" s="3" t="n">
        <f aca="false">COUNTIFS($B$2:$B$2705,B2692,$C$2:$C$2705,C2692)</f>
        <v>1</v>
      </c>
      <c r="G2692" s="3" t="n">
        <f aca="false">MIN(INT((MIN(B2692,2020)-1900)/10)+1,12)</f>
        <v>12</v>
      </c>
      <c r="H2692" s="3" t="n">
        <f aca="false">(MIN(B2692,2020)-1900-10*(G2692-1))/10</f>
        <v>1</v>
      </c>
      <c r="I2692" s="20" t="n">
        <f aca="false">EXP(LN(INDEX(Pop_Inputs!$B$2:$N$29,MATCH(C2692,Pop_Inputs!$A$2:$A$29,0),G2692))*(1-H2692)+LN(INDEX(Pop_Inputs!$B$2:$N$29,MATCH(C2692,Pop_Inputs!$A$2:$A$29,0),G2692+1))*H2692)</f>
        <v>429954</v>
      </c>
      <c r="J2692" s="20" t="n">
        <f aca="false">I2692/F2692</f>
        <v>429954</v>
      </c>
      <c r="K2692" s="21" t="n">
        <f aca="false">D2692/(D2692+E2692)</f>
        <v>0.432098765432099</v>
      </c>
      <c r="L2692" s="21" t="n">
        <f aca="false">AVERAGEIFS($K$2:$K$2705,$B$2:$B$2705,B2692)</f>
        <v>0.5</v>
      </c>
      <c r="M2692" s="21" t="n">
        <f aca="false">K2692-L2692</f>
        <v>-0.0679012345679013</v>
      </c>
      <c r="N2692" s="21" t="n">
        <f aca="false">LN(J2692)</f>
        <v>12.9714335052031</v>
      </c>
      <c r="O2692" s="21" t="n">
        <f aca="false">AVERAGEIFS($N$2:$N$2705,$B$2:$B$2705,B2692)</f>
        <v>13.6790216080491</v>
      </c>
      <c r="P2692" s="21" t="n">
        <f aca="false">N2692-O2692</f>
        <v>-0.707588102845962</v>
      </c>
      <c r="Q2692" s="7" t="n">
        <v>0</v>
      </c>
      <c r="R2692" s="3" t="n">
        <f aca="false">IF(AND(Q2692=1,B2692-_xlfn.MINIFS($B$2:$B$2705,$A$2:$A$2705,A2692)&lt;10),1,0)</f>
        <v>0</v>
      </c>
      <c r="S2692" s="7" t="n">
        <v>0</v>
      </c>
      <c r="T2692" s="3" t="n">
        <f aca="false">_xlfn.MINIFS($B$2:$B$2705,$A$2:$A$2705,A2692)</f>
        <v>1901</v>
      </c>
      <c r="U2692" s="3" t="n">
        <f aca="false">B2692-T2692</f>
        <v>124</v>
      </c>
      <c r="V2692" s="3" t="str">
        <f aca="false">INDEX(Pop_Inputs!$Q$2:$Q$29,MATCH(C2692,Pop_Inputs!$A$2:$A$29,0))</f>
        <v>Midwest</v>
      </c>
      <c r="W2692" s="29" t="n">
        <v>128985983</v>
      </c>
      <c r="X2692" s="3" t="n">
        <f aca="false">IF(W2692="","",LN(W2692))</f>
        <v>18.6752142975074</v>
      </c>
      <c r="Y2692" s="3" t="n">
        <f aca="false">IF(X2692="","",X2692-AVERAGEIFS($X$2:$X$2705,$B$2:$B$2705,B2692))</f>
        <v>-0.224321414893947</v>
      </c>
      <c r="Z2692" s="21" t="n">
        <f aca="false">P2692</f>
        <v>-0.707588102845962</v>
      </c>
      <c r="AA2692" s="3" t="n">
        <f aca="false">R2692</f>
        <v>0</v>
      </c>
      <c r="AB2692" s="21" t="n">
        <f aca="false">P2692</f>
        <v>-0.707588102845962</v>
      </c>
      <c r="AC2692" s="3" t="n">
        <f aca="false">Y2692</f>
        <v>-0.224321414893947</v>
      </c>
      <c r="AD2692" s="3" t="n">
        <f aca="false">R2692</f>
        <v>0</v>
      </c>
    </row>
    <row r="2693" customFormat="false" ht="15" hidden="false" customHeight="true" outlineLevel="0" collapsed="false">
      <c r="A2693" s="7" t="s">
        <v>75</v>
      </c>
      <c r="B2693" s="7" t="n">
        <v>2025</v>
      </c>
      <c r="C2693" s="7" t="s">
        <v>154</v>
      </c>
      <c r="D2693" s="7" t="n">
        <v>83</v>
      </c>
      <c r="E2693" s="7" t="n">
        <v>79</v>
      </c>
      <c r="F2693" s="3" t="n">
        <f aca="false">COUNTIFS($B$2:$B$2705,B2693,$C$2:$C$2705,C2693)</f>
        <v>2</v>
      </c>
      <c r="G2693" s="3" t="n">
        <f aca="false">MIN(INT((MIN(B2693,2020)-1900)/10)+1,12)</f>
        <v>12</v>
      </c>
      <c r="H2693" s="3" t="n">
        <f aca="false">(MIN(B2693,2020)-1900-10*(G2693-1))/10</f>
        <v>1</v>
      </c>
      <c r="I2693" s="20" t="n">
        <f aca="false">EXP(LN(INDEX(Pop_Inputs!$B$2:$N$29,MATCH(C2693,Pop_Inputs!$A$2:$A$29,0),G2693))*(1-H2693)+LN(INDEX(Pop_Inputs!$B$2:$N$29,MATCH(C2693,Pop_Inputs!$A$2:$A$29,0),G2693+1))*H2693)</f>
        <v>8804190</v>
      </c>
      <c r="J2693" s="20" t="n">
        <f aca="false">I2693/F2693</f>
        <v>4402095</v>
      </c>
      <c r="K2693" s="21" t="n">
        <f aca="false">D2693/(D2693+E2693)</f>
        <v>0.512345679012346</v>
      </c>
      <c r="L2693" s="21" t="n">
        <f aca="false">AVERAGEIFS($K$2:$K$2705,$B$2:$B$2705,B2693)</f>
        <v>0.5</v>
      </c>
      <c r="M2693" s="21" t="n">
        <f aca="false">K2693-L2693</f>
        <v>0.0123456790123457</v>
      </c>
      <c r="N2693" s="21" t="n">
        <f aca="false">LN(J2693)</f>
        <v>15.2975911219352</v>
      </c>
      <c r="O2693" s="21" t="n">
        <f aca="false">AVERAGEIFS($N$2:$N$2705,$B$2:$B$2705,B2693)</f>
        <v>13.6790216080491</v>
      </c>
      <c r="P2693" s="21" t="n">
        <f aca="false">N2693-O2693</f>
        <v>1.61856951388607</v>
      </c>
      <c r="Q2693" s="7" t="n">
        <v>1</v>
      </c>
      <c r="R2693" s="3" t="n">
        <f aca="false">IF(AND(Q2693=1,B2693-_xlfn.MINIFS($B$2:$B$2705,$A$2:$A$2705,A2693)&lt;10),1,0)</f>
        <v>0</v>
      </c>
      <c r="S2693" s="7" t="n">
        <v>0</v>
      </c>
      <c r="T2693" s="3" t="n">
        <f aca="false">_xlfn.MINIFS($B$2:$B$2705,$A$2:$A$2705,A2693)</f>
        <v>1962</v>
      </c>
      <c r="U2693" s="3" t="n">
        <f aca="false">B2693-T2693</f>
        <v>63</v>
      </c>
      <c r="V2693" s="3" t="str">
        <f aca="false">INDEX(Pop_Inputs!$Q$2:$Q$29,MATCH(C2693,Pop_Inputs!$A$2:$A$29,0))</f>
        <v>Northeast</v>
      </c>
      <c r="W2693" s="29" t="n">
        <v>342075298</v>
      </c>
      <c r="X2693" s="3" t="n">
        <f aca="false">IF(W2693="","",LN(W2693))</f>
        <v>19.6505414403838</v>
      </c>
      <c r="Y2693" s="3" t="n">
        <f aca="false">IF(X2693="","",X2693-AVERAGEIFS($X$2:$X$2705,$B$2:$B$2705,B2693))</f>
        <v>0.751005727982399</v>
      </c>
      <c r="Z2693" s="21" t="n">
        <f aca="false">P2693</f>
        <v>1.61856951388607</v>
      </c>
      <c r="AA2693" s="3" t="n">
        <f aca="false">R2693</f>
        <v>0</v>
      </c>
      <c r="AB2693" s="21" t="n">
        <f aca="false">P2693</f>
        <v>1.61856951388607</v>
      </c>
      <c r="AC2693" s="3" t="n">
        <f aca="false">Y2693</f>
        <v>0.751005727982399</v>
      </c>
      <c r="AD2693" s="3" t="n">
        <f aca="false">R2693</f>
        <v>0</v>
      </c>
    </row>
    <row r="2694" customFormat="false" ht="15" hidden="false" customHeight="true" outlineLevel="0" collapsed="false">
      <c r="A2694" s="7" t="s">
        <v>70</v>
      </c>
      <c r="B2694" s="7" t="n">
        <v>2025</v>
      </c>
      <c r="C2694" s="7" t="s">
        <v>154</v>
      </c>
      <c r="D2694" s="7" t="n">
        <v>94</v>
      </c>
      <c r="E2694" s="7" t="n">
        <v>68</v>
      </c>
      <c r="F2694" s="3" t="n">
        <f aca="false">COUNTIFS($B$2:$B$2705,B2694,$C$2:$C$2705,C2694)</f>
        <v>2</v>
      </c>
      <c r="G2694" s="3" t="n">
        <f aca="false">MIN(INT((MIN(B2694,2020)-1900)/10)+1,12)</f>
        <v>12</v>
      </c>
      <c r="H2694" s="3" t="n">
        <f aca="false">(MIN(B2694,2020)-1900-10*(G2694-1))/10</f>
        <v>1</v>
      </c>
      <c r="I2694" s="20" t="n">
        <f aca="false">EXP(LN(INDEX(Pop_Inputs!$B$2:$N$29,MATCH(C2694,Pop_Inputs!$A$2:$A$29,0),G2694))*(1-H2694)+LN(INDEX(Pop_Inputs!$B$2:$N$29,MATCH(C2694,Pop_Inputs!$A$2:$A$29,0),G2694+1))*H2694)</f>
        <v>8804190</v>
      </c>
      <c r="J2694" s="20" t="n">
        <f aca="false">I2694/F2694</f>
        <v>4402095</v>
      </c>
      <c r="K2694" s="21" t="n">
        <f aca="false">D2694/(D2694+E2694)</f>
        <v>0.580246913580247</v>
      </c>
      <c r="L2694" s="21" t="n">
        <f aca="false">AVERAGEIFS($K$2:$K$2705,$B$2:$B$2705,B2694)</f>
        <v>0.5</v>
      </c>
      <c r="M2694" s="21" t="n">
        <f aca="false">K2694-L2694</f>
        <v>0.0802469135802469</v>
      </c>
      <c r="N2694" s="21" t="n">
        <f aca="false">LN(J2694)</f>
        <v>15.2975911219352</v>
      </c>
      <c r="O2694" s="21" t="n">
        <f aca="false">AVERAGEIFS($N$2:$N$2705,$B$2:$B$2705,B2694)</f>
        <v>13.6790216080491</v>
      </c>
      <c r="P2694" s="21" t="n">
        <f aca="false">N2694-O2694</f>
        <v>1.61856951388607</v>
      </c>
      <c r="Q2694" s="7" t="n">
        <v>0</v>
      </c>
      <c r="R2694" s="3" t="n">
        <f aca="false">IF(AND(Q2694=1,B2694-_xlfn.MINIFS($B$2:$B$2705,$A$2:$A$2705,A2694)&lt;10),1,0)</f>
        <v>0</v>
      </c>
      <c r="S2694" s="7" t="n">
        <v>1</v>
      </c>
      <c r="T2694" s="3" t="n">
        <f aca="false">_xlfn.MINIFS($B$2:$B$2705,$A$2:$A$2705,A2694)</f>
        <v>1903</v>
      </c>
      <c r="U2694" s="3" t="n">
        <f aca="false">B2694-T2694</f>
        <v>122</v>
      </c>
      <c r="V2694" s="3" t="str">
        <f aca="false">INDEX(Pop_Inputs!$Q$2:$Q$29,MATCH(C2694,Pop_Inputs!$A$2:$A$29,0))</f>
        <v>Northeast</v>
      </c>
      <c r="W2694" s="29" t="n">
        <v>301524971</v>
      </c>
      <c r="X2694" s="3" t="n">
        <f aca="false">IF(W2694="","",LN(W2694))</f>
        <v>19.5243633932558</v>
      </c>
      <c r="Y2694" s="3" t="n">
        <f aca="false">IF(X2694="","",X2694-AVERAGEIFS($X$2:$X$2705,$B$2:$B$2705,B2694))</f>
        <v>0.624827680854459</v>
      </c>
      <c r="Z2694" s="21" t="n">
        <f aca="false">P2694</f>
        <v>1.61856951388607</v>
      </c>
      <c r="AA2694" s="3" t="n">
        <f aca="false">R2694</f>
        <v>0</v>
      </c>
      <c r="AB2694" s="21" t="n">
        <f aca="false">P2694</f>
        <v>1.61856951388607</v>
      </c>
      <c r="AC2694" s="3" t="n">
        <f aca="false">Y2694</f>
        <v>0.624827680854459</v>
      </c>
      <c r="AD2694" s="3" t="n">
        <f aca="false">R2694</f>
        <v>0</v>
      </c>
    </row>
    <row r="2695" customFormat="false" ht="15" hidden="false" customHeight="true" outlineLevel="0" collapsed="false">
      <c r="A2695" s="7" t="s">
        <v>69</v>
      </c>
      <c r="B2695" s="7" t="n">
        <v>2025</v>
      </c>
      <c r="C2695" s="7" t="s">
        <v>253</v>
      </c>
      <c r="D2695" s="7" t="n">
        <v>76</v>
      </c>
      <c r="E2695" s="7" t="n">
        <v>86</v>
      </c>
      <c r="F2695" s="3" t="n">
        <f aca="false">COUNTIFS($B$2:$B$2705,B2695,$C$2:$C$2705,C2695)</f>
        <v>1</v>
      </c>
      <c r="G2695" s="3" t="n">
        <f aca="false">MIN(INT((MIN(B2695,2020)-1900)/10)+1,12)</f>
        <v>12</v>
      </c>
      <c r="H2695" s="3" t="n">
        <f aca="false">(MIN(B2695,2020)-1900-10*(G2695-1))/10</f>
        <v>1</v>
      </c>
      <c r="I2695" s="20" t="n">
        <f aca="false">EXP(LN(INDEX(Pop_Inputs!$B$2:$N$29,MATCH(C2695,Pop_Inputs!$A$2:$A$29,0),G2695))*(1-H2695)+LN(INDEX(Pop_Inputs!$B$2:$N$29,MATCH(C2695,Pop_Inputs!$A$2:$A$29,0),G2695+1))*H2695)</f>
        <v>440646</v>
      </c>
      <c r="J2695" s="20" t="n">
        <f aca="false">I2695/F2695</f>
        <v>440646</v>
      </c>
      <c r="K2695" s="21" t="n">
        <f aca="false">D2695/(D2695+E2695)</f>
        <v>0.469135802469136</v>
      </c>
      <c r="L2695" s="21" t="n">
        <f aca="false">AVERAGEIFS($K$2:$K$2705,$B$2:$B$2705,B2695)</f>
        <v>0.5</v>
      </c>
      <c r="M2695" s="21" t="n">
        <f aca="false">K2695-L2695</f>
        <v>-0.0308641975308642</v>
      </c>
      <c r="N2695" s="21" t="n">
        <f aca="false">LN(J2695)</f>
        <v>12.9959971109875</v>
      </c>
      <c r="O2695" s="21" t="n">
        <f aca="false">AVERAGEIFS($N$2:$N$2705,$B$2:$B$2705,B2695)</f>
        <v>13.6790216080491</v>
      </c>
      <c r="P2695" s="21" t="n">
        <f aca="false">N2695-O2695</f>
        <v>-0.683024497061645</v>
      </c>
      <c r="Q2695" s="7" t="n">
        <v>0</v>
      </c>
      <c r="R2695" s="3" t="n">
        <f aca="false">IF(AND(Q2695=1,B2695-_xlfn.MINIFS($B$2:$B$2705,$A$2:$A$2705,A2695)&lt;10),1,0)</f>
        <v>0</v>
      </c>
      <c r="S2695" s="7" t="n">
        <v>0</v>
      </c>
      <c r="T2695" s="3" t="n">
        <f aca="false">_xlfn.MINIFS($B$2:$B$2705,$A$2:$A$2705,A2695)</f>
        <v>1901</v>
      </c>
      <c r="U2695" s="3" t="n">
        <f aca="false">B2695-T2695</f>
        <v>124</v>
      </c>
      <c r="V2695" s="3" t="str">
        <f aca="false">INDEX(Pop_Inputs!$Q$2:$Q$29,MATCH(C2695,Pop_Inputs!$A$2:$A$29,0))</f>
        <v>West</v>
      </c>
      <c r="W2695" s="29" t="n">
        <v>80981480</v>
      </c>
      <c r="X2695" s="3" t="n">
        <f aca="false">IF(W2695="","",LN(W2695))</f>
        <v>18.2097310445188</v>
      </c>
      <c r="Y2695" s="3" t="n">
        <f aca="false">IF(X2695="","",X2695-AVERAGEIFS($X$2:$X$2705,$B$2:$B$2705,B2695))</f>
        <v>-0.689804667882513</v>
      </c>
      <c r="Z2695" s="21" t="n">
        <f aca="false">P2695</f>
        <v>-0.683024497061645</v>
      </c>
      <c r="AA2695" s="3" t="n">
        <f aca="false">R2695</f>
        <v>0</v>
      </c>
      <c r="AB2695" s="21" t="n">
        <f aca="false">P2695</f>
        <v>-0.683024497061645</v>
      </c>
      <c r="AC2695" s="3" t="n">
        <f aca="false">Y2695</f>
        <v>-0.689804667882513</v>
      </c>
      <c r="AD2695" s="3" t="n">
        <f aca="false">R2695</f>
        <v>0</v>
      </c>
    </row>
    <row r="2696" customFormat="false" ht="15" hidden="false" customHeight="true" outlineLevel="0" collapsed="false">
      <c r="A2696" s="7" t="s">
        <v>60</v>
      </c>
      <c r="B2696" s="7" t="n">
        <v>2025</v>
      </c>
      <c r="C2696" s="7" t="s">
        <v>146</v>
      </c>
      <c r="D2696" s="7" t="n">
        <v>96</v>
      </c>
      <c r="E2696" s="7" t="n">
        <v>66</v>
      </c>
      <c r="F2696" s="3" t="n">
        <f aca="false">COUNTIFS($B$2:$B$2705,B2696,$C$2:$C$2705,C2696)</f>
        <v>1</v>
      </c>
      <c r="G2696" s="3" t="n">
        <f aca="false">MIN(INT((MIN(B2696,2020)-1900)/10)+1,12)</f>
        <v>12</v>
      </c>
      <c r="H2696" s="3" t="n">
        <f aca="false">(MIN(B2696,2020)-1900-10*(G2696-1))/10</f>
        <v>1</v>
      </c>
      <c r="I2696" s="20" t="n">
        <f aca="false">EXP(LN(INDEX(Pop_Inputs!$B$2:$N$29,MATCH(C2696,Pop_Inputs!$A$2:$A$29,0),G2696))*(1-H2696)+LN(INDEX(Pop_Inputs!$B$2:$N$29,MATCH(C2696,Pop_Inputs!$A$2:$A$29,0),G2696+1))*H2696)</f>
        <v>1603797</v>
      </c>
      <c r="J2696" s="20" t="n">
        <f aca="false">I2696/F2696</f>
        <v>1603797</v>
      </c>
      <c r="K2696" s="21" t="n">
        <f aca="false">D2696/(D2696+E2696)</f>
        <v>0.592592592592593</v>
      </c>
      <c r="L2696" s="21" t="n">
        <f aca="false">AVERAGEIFS($K$2:$K$2705,$B$2:$B$2705,B2696)</f>
        <v>0.5</v>
      </c>
      <c r="M2696" s="21" t="n">
        <f aca="false">K2696-L2696</f>
        <v>0.0925925925925926</v>
      </c>
      <c r="N2696" s="21" t="n">
        <f aca="false">LN(J2696)</f>
        <v>14.2878845007959</v>
      </c>
      <c r="O2696" s="21" t="n">
        <f aca="false">AVERAGEIFS($N$2:$N$2705,$B$2:$B$2705,B2696)</f>
        <v>13.6790216080491</v>
      </c>
      <c r="P2696" s="21" t="n">
        <f aca="false">N2696-O2696</f>
        <v>0.608862892746789</v>
      </c>
      <c r="Q2696" s="7" t="n">
        <v>0</v>
      </c>
      <c r="R2696" s="3" t="n">
        <f aca="false">IF(AND(Q2696=1,B2696-_xlfn.MINIFS($B$2:$B$2705,$A$2:$A$2705,A2696)&lt;10),1,0)</f>
        <v>0</v>
      </c>
      <c r="S2696" s="7" t="n">
        <v>0</v>
      </c>
      <c r="T2696" s="3" t="n">
        <f aca="false">_xlfn.MINIFS($B$2:$B$2705,$A$2:$A$2705,A2696)</f>
        <v>1901</v>
      </c>
      <c r="U2696" s="3" t="n">
        <f aca="false">B2696-T2696</f>
        <v>124</v>
      </c>
      <c r="V2696" s="3" t="str">
        <f aca="false">INDEX(Pop_Inputs!$Q$2:$Q$29,MATCH(C2696,Pop_Inputs!$A$2:$A$29,0))</f>
        <v>Northeast</v>
      </c>
      <c r="W2696" s="29" t="n">
        <v>291917801</v>
      </c>
      <c r="X2696" s="3" t="n">
        <f aca="false">IF(W2696="","",LN(W2696))</f>
        <v>19.4919828171784</v>
      </c>
      <c r="Y2696" s="3" t="n">
        <f aca="false">IF(X2696="","",X2696-AVERAGEIFS($X$2:$X$2705,$B$2:$B$2705,B2696))</f>
        <v>0.592447104777016</v>
      </c>
      <c r="Z2696" s="21" t="n">
        <f aca="false">P2696</f>
        <v>0.608862892746789</v>
      </c>
      <c r="AA2696" s="3" t="n">
        <f aca="false">R2696</f>
        <v>0</v>
      </c>
      <c r="AB2696" s="21" t="n">
        <f aca="false">P2696</f>
        <v>0.608862892746789</v>
      </c>
      <c r="AC2696" s="3" t="n">
        <f aca="false">Y2696</f>
        <v>0.592447104777016</v>
      </c>
      <c r="AD2696" s="3" t="n">
        <f aca="false">R2696</f>
        <v>0</v>
      </c>
    </row>
    <row r="2697" customFormat="false" ht="15" hidden="false" customHeight="true" outlineLevel="0" collapsed="false">
      <c r="A2697" s="7" t="s">
        <v>58</v>
      </c>
      <c r="B2697" s="7" t="n">
        <v>2025</v>
      </c>
      <c r="C2697" s="7" t="s">
        <v>144</v>
      </c>
      <c r="D2697" s="7" t="n">
        <v>71</v>
      </c>
      <c r="E2697" s="7" t="n">
        <v>91</v>
      </c>
      <c r="F2697" s="3" t="n">
        <f aca="false">COUNTIFS($B$2:$B$2705,B2697,$C$2:$C$2705,C2697)</f>
        <v>1</v>
      </c>
      <c r="G2697" s="3" t="n">
        <f aca="false">MIN(INT((MIN(B2697,2020)-1900)/10)+1,12)</f>
        <v>12</v>
      </c>
      <c r="H2697" s="3" t="n">
        <f aca="false">(MIN(B2697,2020)-1900-10*(G2697-1))/10</f>
        <v>1</v>
      </c>
      <c r="I2697" s="20" t="n">
        <f aca="false">EXP(LN(INDEX(Pop_Inputs!$B$2:$N$29,MATCH(C2697,Pop_Inputs!$A$2:$A$29,0),G2697))*(1-H2697)+LN(INDEX(Pop_Inputs!$B$2:$N$29,MATCH(C2697,Pop_Inputs!$A$2:$A$29,0),G2697+1))*H2697)</f>
        <v>302971</v>
      </c>
      <c r="J2697" s="20" t="n">
        <f aca="false">I2697/F2697</f>
        <v>302971</v>
      </c>
      <c r="K2697" s="21" t="n">
        <f aca="false">D2697/(D2697+E2697)</f>
        <v>0.438271604938272</v>
      </c>
      <c r="L2697" s="21" t="n">
        <f aca="false">AVERAGEIFS($K$2:$K$2705,$B$2:$B$2705,B2697)</f>
        <v>0.5</v>
      </c>
      <c r="M2697" s="21" t="n">
        <f aca="false">K2697-L2697</f>
        <v>-0.0617283950617284</v>
      </c>
      <c r="N2697" s="21" t="n">
        <f aca="false">LN(J2697)</f>
        <v>12.6213923703401</v>
      </c>
      <c r="O2697" s="21" t="n">
        <f aca="false">AVERAGEIFS($N$2:$N$2705,$B$2:$B$2705,B2697)</f>
        <v>13.6790216080491</v>
      </c>
      <c r="P2697" s="21" t="n">
        <f aca="false">N2697-O2697</f>
        <v>-1.057629237709</v>
      </c>
      <c r="Q2697" s="7" t="n">
        <v>0</v>
      </c>
      <c r="R2697" s="3" t="n">
        <f aca="false">IF(AND(Q2697=1,B2697-_xlfn.MINIFS($B$2:$B$2705,$A$2:$A$2705,A2697)&lt;10),1,0)</f>
        <v>0</v>
      </c>
      <c r="S2697" s="7" t="n">
        <v>0</v>
      </c>
      <c r="T2697" s="3" t="n">
        <f aca="false">_xlfn.MINIFS($B$2:$B$2705,$A$2:$A$2705,A2697)</f>
        <v>1901</v>
      </c>
      <c r="U2697" s="3" t="n">
        <f aca="false">B2697-T2697</f>
        <v>124</v>
      </c>
      <c r="V2697" s="3" t="str">
        <f aca="false">INDEX(Pop_Inputs!$Q$2:$Q$29,MATCH(C2697,Pop_Inputs!$A$2:$A$29,0))</f>
        <v>Northeast</v>
      </c>
      <c r="W2697" s="29" t="n">
        <v>87229698</v>
      </c>
      <c r="X2697" s="3" t="n">
        <f aca="false">IF(W2697="","",LN(W2697))</f>
        <v>18.2840554042918</v>
      </c>
      <c r="Y2697" s="3" t="n">
        <f aca="false">IF(X2697="","",X2697-AVERAGEIFS($X$2:$X$2705,$B$2:$B$2705,B2697))</f>
        <v>-0.615480308109607</v>
      </c>
      <c r="Z2697" s="21" t="n">
        <f aca="false">P2697</f>
        <v>-1.057629237709</v>
      </c>
      <c r="AA2697" s="3" t="n">
        <f aca="false">R2697</f>
        <v>0</v>
      </c>
      <c r="AB2697" s="21" t="n">
        <f aca="false">P2697</f>
        <v>-1.057629237709</v>
      </c>
      <c r="AC2697" s="3" t="n">
        <f aca="false">Y2697</f>
        <v>-0.615480308109607</v>
      </c>
      <c r="AD2697" s="3" t="n">
        <f aca="false">R2697</f>
        <v>0</v>
      </c>
    </row>
    <row r="2698" customFormat="false" ht="15" hidden="false" customHeight="true" outlineLevel="0" collapsed="false">
      <c r="A2698" s="7" t="s">
        <v>78</v>
      </c>
      <c r="B2698" s="7" t="n">
        <v>2025</v>
      </c>
      <c r="C2698" s="7" t="s">
        <v>159</v>
      </c>
      <c r="D2698" s="7" t="n">
        <v>90</v>
      </c>
      <c r="E2698" s="7" t="n">
        <v>72</v>
      </c>
      <c r="F2698" s="3" t="n">
        <f aca="false">COUNTIFS($B$2:$B$2705,B2698,$C$2:$C$2705,C2698)</f>
        <v>1</v>
      </c>
      <c r="G2698" s="3" t="n">
        <f aca="false">MIN(INT((MIN(B2698,2020)-1900)/10)+1,12)</f>
        <v>12</v>
      </c>
      <c r="H2698" s="3" t="n">
        <f aca="false">(MIN(B2698,2020)-1900-10*(G2698-1))/10</f>
        <v>1</v>
      </c>
      <c r="I2698" s="20" t="n">
        <f aca="false">EXP(LN(INDEX(Pop_Inputs!$B$2:$N$29,MATCH(C2698,Pop_Inputs!$A$2:$A$29,0),G2698))*(1-H2698)+LN(INDEX(Pop_Inputs!$B$2:$N$29,MATCH(C2698,Pop_Inputs!$A$2:$A$29,0),G2698+1))*H2698)</f>
        <v>1386932</v>
      </c>
      <c r="J2698" s="20" t="n">
        <f aca="false">I2698/F2698</f>
        <v>1386932</v>
      </c>
      <c r="K2698" s="21" t="n">
        <f aca="false">D2698/(D2698+E2698)</f>
        <v>0.555555555555556</v>
      </c>
      <c r="L2698" s="21" t="n">
        <f aca="false">AVERAGEIFS($K$2:$K$2705,$B$2:$B$2705,B2698)</f>
        <v>0.5</v>
      </c>
      <c r="M2698" s="21" t="n">
        <f aca="false">K2698-L2698</f>
        <v>0.0555555555555556</v>
      </c>
      <c r="N2698" s="21" t="n">
        <f aca="false">LN(J2698)</f>
        <v>14.1426046714188</v>
      </c>
      <c r="O2698" s="21" t="n">
        <f aca="false">AVERAGEIFS($N$2:$N$2705,$B$2:$B$2705,B2698)</f>
        <v>13.6790216080491</v>
      </c>
      <c r="P2698" s="21" t="n">
        <f aca="false">N2698-O2698</f>
        <v>0.463583063369741</v>
      </c>
      <c r="Q2698" s="7" t="n">
        <v>1</v>
      </c>
      <c r="R2698" s="3" t="n">
        <f aca="false">IF(AND(Q2698=1,B2698-_xlfn.MINIFS($B$2:$B$2705,$A$2:$A$2705,A2698)&lt;10),1,0)</f>
        <v>0</v>
      </c>
      <c r="S2698" s="7" t="n">
        <v>0</v>
      </c>
      <c r="T2698" s="3" t="n">
        <f aca="false">_xlfn.MINIFS($B$2:$B$2705,$A$2:$A$2705,A2698)</f>
        <v>1969</v>
      </c>
      <c r="U2698" s="3" t="n">
        <f aca="false">B2698-T2698</f>
        <v>56</v>
      </c>
      <c r="V2698" s="3" t="str">
        <f aca="false">INDEX(Pop_Inputs!$Q$2:$Q$29,MATCH(C2698,Pop_Inputs!$A$2:$A$29,0))</f>
        <v>West</v>
      </c>
      <c r="W2698" s="29" t="n">
        <v>217572711</v>
      </c>
      <c r="X2698" s="3" t="n">
        <f aca="false">IF(W2698="","",LN(W2698))</f>
        <v>19.1980436560743</v>
      </c>
      <c r="Y2698" s="3" t="n">
        <f aca="false">IF(X2698="","",X2698-AVERAGEIFS($X$2:$X$2705,$B$2:$B$2705,B2698))</f>
        <v>0.298507943672984</v>
      </c>
      <c r="Z2698" s="21" t="n">
        <f aca="false">P2698</f>
        <v>0.463583063369741</v>
      </c>
      <c r="AA2698" s="3" t="n">
        <f aca="false">R2698</f>
        <v>0</v>
      </c>
      <c r="AB2698" s="21" t="n">
        <f aca="false">P2698</f>
        <v>0.463583063369741</v>
      </c>
      <c r="AC2698" s="3" t="n">
        <f aca="false">Y2698</f>
        <v>0.298507943672984</v>
      </c>
      <c r="AD2698" s="3" t="n">
        <f aca="false">R2698</f>
        <v>0</v>
      </c>
    </row>
    <row r="2699" customFormat="false" ht="15" hidden="false" customHeight="true" outlineLevel="0" collapsed="false">
      <c r="A2699" s="7" t="s">
        <v>80</v>
      </c>
      <c r="B2699" s="7" t="n">
        <v>2025</v>
      </c>
      <c r="C2699" s="7" t="s">
        <v>161</v>
      </c>
      <c r="D2699" s="7" t="n">
        <v>90</v>
      </c>
      <c r="E2699" s="7" t="n">
        <v>72</v>
      </c>
      <c r="F2699" s="3" t="n">
        <f aca="false">COUNTIFS($B$2:$B$2705,B2699,$C$2:$C$2705,C2699)</f>
        <v>1</v>
      </c>
      <c r="G2699" s="3" t="n">
        <f aca="false">MIN(INT((MIN(B2699,2020)-1900)/10)+1,12)</f>
        <v>12</v>
      </c>
      <c r="H2699" s="3" t="n">
        <f aca="false">(MIN(B2699,2020)-1900-10*(G2699-1))/10</f>
        <v>1</v>
      </c>
      <c r="I2699" s="20" t="n">
        <f aca="false">EXP(LN(INDEX(Pop_Inputs!$B$2:$N$29,MATCH(C2699,Pop_Inputs!$A$2:$A$29,0),G2699))*(1-H2699)+LN(INDEX(Pop_Inputs!$B$2:$N$29,MATCH(C2699,Pop_Inputs!$A$2:$A$29,0),G2699+1))*H2699)</f>
        <v>737015</v>
      </c>
      <c r="J2699" s="20" t="n">
        <f aca="false">I2699/F2699</f>
        <v>737015</v>
      </c>
      <c r="K2699" s="21" t="n">
        <f aca="false">D2699/(D2699+E2699)</f>
        <v>0.555555555555556</v>
      </c>
      <c r="L2699" s="21" t="n">
        <f aca="false">AVERAGEIFS($K$2:$K$2705,$B$2:$B$2705,B2699)</f>
        <v>0.5</v>
      </c>
      <c r="M2699" s="21" t="n">
        <f aca="false">K2699-L2699</f>
        <v>0.0555555555555556</v>
      </c>
      <c r="N2699" s="21" t="n">
        <f aca="false">LN(J2699)</f>
        <v>13.5103635237459</v>
      </c>
      <c r="O2699" s="21" t="n">
        <f aca="false">AVERAGEIFS($N$2:$N$2705,$B$2:$B$2705,B2699)</f>
        <v>13.6790216080491</v>
      </c>
      <c r="P2699" s="21" t="n">
        <f aca="false">N2699-O2699</f>
        <v>-0.168658084303196</v>
      </c>
      <c r="Q2699" s="7" t="n">
        <v>1</v>
      </c>
      <c r="R2699" s="3" t="n">
        <f aca="false">IF(AND(Q2699=1,B2699-_xlfn.MINIFS($B$2:$B$2705,$A$2:$A$2705,A2699)&lt;10),1,0)</f>
        <v>0</v>
      </c>
      <c r="S2699" s="7" t="n">
        <v>0</v>
      </c>
      <c r="T2699" s="3" t="n">
        <f aca="false">_xlfn.MINIFS($B$2:$B$2705,$A$2:$A$2705,A2699)</f>
        <v>1977</v>
      </c>
      <c r="U2699" s="3" t="n">
        <f aca="false">B2699-T2699</f>
        <v>48</v>
      </c>
      <c r="V2699" s="3" t="str">
        <f aca="false">INDEX(Pop_Inputs!$Q$2:$Q$29,MATCH(C2699,Pop_Inputs!$A$2:$A$29,0))</f>
        <v>West</v>
      </c>
      <c r="W2699" s="29" t="n">
        <v>167294695</v>
      </c>
      <c r="X2699" s="3" t="n">
        <f aca="false">IF(W2699="","",LN(W2699))</f>
        <v>18.9352674559504</v>
      </c>
      <c r="Y2699" s="3" t="n">
        <f aca="false">IF(X2699="","",X2699-AVERAGEIFS($X$2:$X$2705,$B$2:$B$2705,B2699))</f>
        <v>0.0357317435490536</v>
      </c>
      <c r="Z2699" s="21" t="n">
        <f aca="false">P2699</f>
        <v>-0.168658084303196</v>
      </c>
      <c r="AA2699" s="3" t="n">
        <f aca="false">R2699</f>
        <v>0</v>
      </c>
      <c r="AB2699" s="21" t="n">
        <f aca="false">P2699</f>
        <v>-0.168658084303196</v>
      </c>
      <c r="AC2699" s="3" t="n">
        <f aca="false">Y2699</f>
        <v>0.0357317435490536</v>
      </c>
      <c r="AD2699" s="3" t="n">
        <f aca="false">R2699</f>
        <v>0</v>
      </c>
    </row>
    <row r="2700" customFormat="false" ht="15" hidden="false" customHeight="true" outlineLevel="0" collapsed="false">
      <c r="A2700" s="7" t="s">
        <v>61</v>
      </c>
      <c r="B2700" s="7" t="n">
        <v>2025</v>
      </c>
      <c r="C2700" s="7" t="s">
        <v>147</v>
      </c>
      <c r="D2700" s="7" t="n">
        <v>81</v>
      </c>
      <c r="E2700" s="7" t="n">
        <v>81</v>
      </c>
      <c r="F2700" s="3" t="n">
        <f aca="false">COUNTIFS($B$2:$B$2705,B2700,$C$2:$C$2705,C2700)</f>
        <v>1</v>
      </c>
      <c r="G2700" s="3" t="n">
        <f aca="false">MIN(INT((MIN(B2700,2020)-1900)/10)+1,12)</f>
        <v>12</v>
      </c>
      <c r="H2700" s="3" t="n">
        <f aca="false">(MIN(B2700,2020)-1900-10*(G2700-1))/10</f>
        <v>1</v>
      </c>
      <c r="I2700" s="20" t="n">
        <f aca="false">EXP(LN(INDEX(Pop_Inputs!$B$2:$N$29,MATCH(C2700,Pop_Inputs!$A$2:$A$29,0),G2700))*(1-H2700)+LN(INDEX(Pop_Inputs!$B$2:$N$29,MATCH(C2700,Pop_Inputs!$A$2:$A$29,0),G2700+1))*H2700)</f>
        <v>873965</v>
      </c>
      <c r="J2700" s="20" t="n">
        <f aca="false">I2700/F2700</f>
        <v>873965</v>
      </c>
      <c r="K2700" s="21" t="n">
        <f aca="false">D2700/(D2700+E2700)</f>
        <v>0.5</v>
      </c>
      <c r="L2700" s="21" t="n">
        <f aca="false">AVERAGEIFS($K$2:$K$2705,$B$2:$B$2705,B2700)</f>
        <v>0.5</v>
      </c>
      <c r="M2700" s="21" t="n">
        <f aca="false">K2700-L2700</f>
        <v>0</v>
      </c>
      <c r="N2700" s="21" t="n">
        <f aca="false">LN(J2700)</f>
        <v>13.6807956080692</v>
      </c>
      <c r="O2700" s="21" t="n">
        <f aca="false">AVERAGEIFS($N$2:$N$2705,$B$2:$B$2705,B2700)</f>
        <v>13.6790216080491</v>
      </c>
      <c r="P2700" s="21" t="n">
        <f aca="false">N2700-O2700</f>
        <v>0.00177400002012718</v>
      </c>
      <c r="Q2700" s="7" t="n">
        <v>0</v>
      </c>
      <c r="R2700" s="3" t="n">
        <f aca="false">IF(AND(Q2700=1,B2700-_xlfn.MINIFS($B$2:$B$2705,$A$2:$A$2705,A2700)&lt;10),1,0)</f>
        <v>0</v>
      </c>
      <c r="S2700" s="7" t="n">
        <v>0</v>
      </c>
      <c r="T2700" s="3" t="n">
        <f aca="false">_xlfn.MINIFS($B$2:$B$2705,$A$2:$A$2705,A2700)</f>
        <v>1901</v>
      </c>
      <c r="U2700" s="3" t="n">
        <f aca="false">B2700-T2700</f>
        <v>124</v>
      </c>
      <c r="V2700" s="3" t="str">
        <f aca="false">INDEX(Pop_Inputs!$Q$2:$Q$29,MATCH(C2700,Pop_Inputs!$A$2:$A$29,0))</f>
        <v>West</v>
      </c>
      <c r="W2700" s="29" t="n">
        <v>182918169</v>
      </c>
      <c r="X2700" s="3" t="n">
        <f aca="false">IF(W2700="","",LN(W2700))</f>
        <v>19.0245494468637</v>
      </c>
      <c r="Y2700" s="3" t="n">
        <f aca="false">IF(X2700="","",X2700-AVERAGEIFS($X$2:$X$2705,$B$2:$B$2705,B2700))</f>
        <v>0.125013734462307</v>
      </c>
      <c r="Z2700" s="21" t="n">
        <f aca="false">P2700</f>
        <v>0.00177400002012718</v>
      </c>
      <c r="AA2700" s="3" t="n">
        <f aca="false">R2700</f>
        <v>0</v>
      </c>
      <c r="AB2700" s="21" t="n">
        <f aca="false">P2700</f>
        <v>0.00177400002012718</v>
      </c>
      <c r="AC2700" s="3" t="n">
        <f aca="false">Y2700</f>
        <v>0.125013734462307</v>
      </c>
      <c r="AD2700" s="3" t="n">
        <f aca="false">R2700</f>
        <v>0</v>
      </c>
    </row>
    <row r="2701" customFormat="false" ht="15" hidden="false" customHeight="true" outlineLevel="0" collapsed="false">
      <c r="A2701" s="7" t="s">
        <v>59</v>
      </c>
      <c r="B2701" s="7" t="n">
        <v>2025</v>
      </c>
      <c r="C2701" s="7" t="s">
        <v>145</v>
      </c>
      <c r="D2701" s="7" t="n">
        <v>78</v>
      </c>
      <c r="E2701" s="7" t="n">
        <v>84</v>
      </c>
      <c r="F2701" s="3" t="n">
        <f aca="false">COUNTIFS($B$2:$B$2705,B2701,$C$2:$C$2705,C2701)</f>
        <v>1</v>
      </c>
      <c r="G2701" s="3" t="n">
        <f aca="false">MIN(INT((MIN(B2701,2020)-1900)/10)+1,12)</f>
        <v>12</v>
      </c>
      <c r="H2701" s="3" t="n">
        <f aca="false">(MIN(B2701,2020)-1900-10*(G2701-1))/10</f>
        <v>1</v>
      </c>
      <c r="I2701" s="20" t="n">
        <f aca="false">EXP(LN(INDEX(Pop_Inputs!$B$2:$N$29,MATCH(C2701,Pop_Inputs!$A$2:$A$29,0),G2701))*(1-H2701)+LN(INDEX(Pop_Inputs!$B$2:$N$29,MATCH(C2701,Pop_Inputs!$A$2:$A$29,0),G2701+1))*H2701)</f>
        <v>301578</v>
      </c>
      <c r="J2701" s="20" t="n">
        <f aca="false">I2701/F2701</f>
        <v>301578</v>
      </c>
      <c r="K2701" s="21" t="n">
        <f aca="false">D2701/(D2701+E2701)</f>
        <v>0.481481481481481</v>
      </c>
      <c r="L2701" s="21" t="n">
        <f aca="false">AVERAGEIFS($K$2:$K$2705,$B$2:$B$2705,B2701)</f>
        <v>0.5</v>
      </c>
      <c r="M2701" s="21" t="n">
        <f aca="false">K2701-L2701</f>
        <v>-0.0185185185185185</v>
      </c>
      <c r="N2701" s="21" t="n">
        <f aca="false">LN(J2701)</f>
        <v>12.6167839681583</v>
      </c>
      <c r="O2701" s="21" t="n">
        <f aca="false">AVERAGEIFS($N$2:$N$2705,$B$2:$B$2705,B2701)</f>
        <v>13.6790216080491</v>
      </c>
      <c r="P2701" s="21" t="n">
        <f aca="false">N2701-O2701</f>
        <v>-1.06223763989081</v>
      </c>
      <c r="Q2701" s="7" t="n">
        <v>0</v>
      </c>
      <c r="R2701" s="3" t="n">
        <f aca="false">IF(AND(Q2701=1,B2701-_xlfn.MINIFS($B$2:$B$2705,$A$2:$A$2705,A2701)&lt;10),1,0)</f>
        <v>0</v>
      </c>
      <c r="S2701" s="7" t="n">
        <v>0</v>
      </c>
      <c r="T2701" s="3" t="n">
        <f aca="false">_xlfn.MINIFS($B$2:$B$2705,$A$2:$A$2705,A2701)</f>
        <v>1901</v>
      </c>
      <c r="U2701" s="3" t="n">
        <f aca="false">B2701-T2701</f>
        <v>124</v>
      </c>
      <c r="V2701" s="3" t="str">
        <f aca="false">INDEX(Pop_Inputs!$Q$2:$Q$29,MATCH(C2701,Pop_Inputs!$A$2:$A$29,0))</f>
        <v>Midwest</v>
      </c>
      <c r="W2701" s="29" t="n">
        <v>139054024</v>
      </c>
      <c r="X2701" s="3" t="n">
        <f aca="false">IF(W2701="","",LN(W2701))</f>
        <v>18.750373077456</v>
      </c>
      <c r="Y2701" s="3" t="n">
        <f aca="false">IF(X2701="","",X2701-AVERAGEIFS($X$2:$X$2705,$B$2:$B$2705,B2701))</f>
        <v>-0.149162634945348</v>
      </c>
      <c r="Z2701" s="21" t="n">
        <f aca="false">P2701</f>
        <v>-1.06223763989081</v>
      </c>
      <c r="AA2701" s="3" t="n">
        <f aca="false">R2701</f>
        <v>0</v>
      </c>
      <c r="AB2701" s="21" t="n">
        <f aca="false">P2701</f>
        <v>-1.06223763989081</v>
      </c>
      <c r="AC2701" s="3" t="n">
        <f aca="false">Y2701</f>
        <v>-0.149162634945348</v>
      </c>
      <c r="AD2701" s="3" t="n">
        <f aca="false">R2701</f>
        <v>0</v>
      </c>
    </row>
    <row r="2702" customFormat="false" ht="15" hidden="false" customHeight="true" outlineLevel="0" collapsed="false">
      <c r="A2702" s="7" t="s">
        <v>85</v>
      </c>
      <c r="B2702" s="7" t="n">
        <v>2025</v>
      </c>
      <c r="C2702" s="7" t="s">
        <v>166</v>
      </c>
      <c r="D2702" s="7" t="n">
        <v>77</v>
      </c>
      <c r="E2702" s="7" t="n">
        <v>85</v>
      </c>
      <c r="F2702" s="3" t="n">
        <f aca="false">COUNTIFS($B$2:$B$2705,B2702,$C$2:$C$2705,C2702)</f>
        <v>1</v>
      </c>
      <c r="G2702" s="3" t="n">
        <f aca="false">MIN(INT((MIN(B2702,2020)-1900)/10)+1,12)</f>
        <v>12</v>
      </c>
      <c r="H2702" s="3" t="n">
        <f aca="false">(MIN(B2702,2020)-1900-10*(G2702-1))/10</f>
        <v>1</v>
      </c>
      <c r="I2702" s="20" t="n">
        <f aca="false">EXP(LN(INDEX(Pop_Inputs!$B$2:$N$29,MATCH(C2702,Pop_Inputs!$A$2:$A$29,0),G2702))*(1-H2702)+LN(INDEX(Pop_Inputs!$B$2:$N$29,MATCH(C2702,Pop_Inputs!$A$2:$A$29,0),G2702+1))*H2702)</f>
        <v>384959</v>
      </c>
      <c r="J2702" s="20" t="n">
        <f aca="false">I2702/F2702</f>
        <v>384959</v>
      </c>
      <c r="K2702" s="21" t="n">
        <f aca="false">D2702/(D2702+E2702)</f>
        <v>0.475308641975309</v>
      </c>
      <c r="L2702" s="21" t="n">
        <f aca="false">AVERAGEIFS($K$2:$K$2705,$B$2:$B$2705,B2702)</f>
        <v>0.5</v>
      </c>
      <c r="M2702" s="21" t="n">
        <f aca="false">K2702-L2702</f>
        <v>-0.0246913580246914</v>
      </c>
      <c r="N2702" s="21" t="n">
        <f aca="false">LN(J2702)</f>
        <v>12.8608921140926</v>
      </c>
      <c r="O2702" s="21" t="n">
        <f aca="false">AVERAGEIFS($N$2:$N$2705,$B$2:$B$2705,B2702)</f>
        <v>13.6790216080491</v>
      </c>
      <c r="P2702" s="21" t="n">
        <f aca="false">N2702-O2702</f>
        <v>-0.81812949395651</v>
      </c>
      <c r="Q2702" s="7" t="n">
        <v>1</v>
      </c>
      <c r="R2702" s="3" t="n">
        <f aca="false">IF(AND(Q2702=1,B2702-_xlfn.MINIFS($B$2:$B$2705,$A$2:$A$2705,A2702)&lt;10),1,0)</f>
        <v>0</v>
      </c>
      <c r="S2702" s="7" t="n">
        <v>0</v>
      </c>
      <c r="T2702" s="3" t="n">
        <f aca="false">_xlfn.MINIFS($B$2:$B$2705,$A$2:$A$2705,A2702)</f>
        <v>1998</v>
      </c>
      <c r="U2702" s="3" t="n">
        <f aca="false">B2702-T2702</f>
        <v>27</v>
      </c>
      <c r="V2702" s="3" t="str">
        <f aca="false">INDEX(Pop_Inputs!$Q$2:$Q$29,MATCH(C2702,Pop_Inputs!$A$2:$A$29,0))</f>
        <v>South</v>
      </c>
      <c r="W2702" s="29" t="n">
        <v>80783818</v>
      </c>
      <c r="X2702" s="3" t="n">
        <f aca="false">IF(W2702="","",LN(W2702))</f>
        <v>18.2072872311569</v>
      </c>
      <c r="Y2702" s="3" t="n">
        <f aca="false">IF(X2702="","",X2702-AVERAGEIFS($X$2:$X$2705,$B$2:$B$2705,B2702))</f>
        <v>-0.69224848124443</v>
      </c>
      <c r="Z2702" s="21" t="n">
        <f aca="false">P2702</f>
        <v>-0.81812949395651</v>
      </c>
      <c r="AA2702" s="3" t="n">
        <f aca="false">R2702</f>
        <v>0</v>
      </c>
      <c r="AB2702" s="21" t="n">
        <f aca="false">P2702</f>
        <v>-0.81812949395651</v>
      </c>
      <c r="AC2702" s="3" t="n">
        <f aca="false">Y2702</f>
        <v>-0.69224848124443</v>
      </c>
      <c r="AD2702" s="3" t="n">
        <f aca="false">R2702</f>
        <v>0</v>
      </c>
    </row>
    <row r="2703" customFormat="false" ht="15" hidden="false" customHeight="true" outlineLevel="0" collapsed="false">
      <c r="A2703" s="7" t="s">
        <v>73</v>
      </c>
      <c r="B2703" s="7" t="n">
        <v>2025</v>
      </c>
      <c r="C2703" s="7" t="s">
        <v>155</v>
      </c>
      <c r="D2703" s="7" t="n">
        <v>81</v>
      </c>
      <c r="E2703" s="7" t="n">
        <v>81</v>
      </c>
      <c r="F2703" s="3" t="n">
        <f aca="false">COUNTIFS($B$2:$B$2705,B2703,$C$2:$C$2705,C2703)</f>
        <v>1</v>
      </c>
      <c r="G2703" s="3" t="n">
        <f aca="false">MIN(INT((MIN(B2703,2020)-1900)/10)+1,12)</f>
        <v>12</v>
      </c>
      <c r="H2703" s="3" t="n">
        <f aca="false">(MIN(B2703,2020)-1900-10*(G2703-1))/10</f>
        <v>1</v>
      </c>
      <c r="I2703" s="20" t="n">
        <f aca="false">EXP(LN(INDEX(Pop_Inputs!$B$2:$N$29,MATCH(C2703,Pop_Inputs!$A$2:$A$29,0),G2703))*(1-H2703)+LN(INDEX(Pop_Inputs!$B$2:$N$29,MATCH(C2703,Pop_Inputs!$A$2:$A$29,0),G2703+1))*H2703)</f>
        <v>1304379</v>
      </c>
      <c r="J2703" s="20" t="n">
        <f aca="false">I2703/F2703</f>
        <v>1304379</v>
      </c>
      <c r="K2703" s="21" t="n">
        <f aca="false">D2703/(D2703+E2703)</f>
        <v>0.5</v>
      </c>
      <c r="L2703" s="21" t="n">
        <f aca="false">AVERAGEIFS($K$2:$K$2705,$B$2:$B$2705,B2703)</f>
        <v>0.5</v>
      </c>
      <c r="M2703" s="21" t="n">
        <f aca="false">K2703-L2703</f>
        <v>0</v>
      </c>
      <c r="N2703" s="21" t="n">
        <f aca="false">LN(J2703)</f>
        <v>14.0812376234117</v>
      </c>
      <c r="O2703" s="21" t="n">
        <f aca="false">AVERAGEIFS($N$2:$N$2705,$B$2:$B$2705,B2703)</f>
        <v>13.6790216080491</v>
      </c>
      <c r="P2703" s="21" t="n">
        <f aca="false">N2703-O2703</f>
        <v>0.402216015362578</v>
      </c>
      <c r="Q2703" s="7" t="n">
        <v>1</v>
      </c>
      <c r="R2703" s="3" t="n">
        <f aca="false">IF(AND(Q2703=1,B2703-_xlfn.MINIFS($B$2:$B$2705,$A$2:$A$2705,A2703)&lt;10),1,0)</f>
        <v>0</v>
      </c>
      <c r="S2703" s="7" t="n">
        <v>0</v>
      </c>
      <c r="T2703" s="3" t="n">
        <f aca="false">_xlfn.MINIFS($B$2:$B$2705,$A$2:$A$2705,A2703)</f>
        <v>1961</v>
      </c>
      <c r="U2703" s="3" t="n">
        <f aca="false">B2703-T2703</f>
        <v>64</v>
      </c>
      <c r="V2703" s="3" t="str">
        <f aca="false">INDEX(Pop_Inputs!$Q$2:$Q$29,MATCH(C2703,Pop_Inputs!$A$2:$A$29,0))</f>
        <v>South</v>
      </c>
      <c r="W2703" s="29" t="n">
        <v>229863693</v>
      </c>
      <c r="X2703" s="3" t="n">
        <f aca="false">IF(W2703="","",LN(W2703))</f>
        <v>19.2529970520771</v>
      </c>
      <c r="Y2703" s="3" t="n">
        <f aca="false">IF(X2703="","",X2703-AVERAGEIFS($X$2:$X$2705,$B$2:$B$2705,B2703))</f>
        <v>0.353461339675697</v>
      </c>
      <c r="Z2703" s="21" t="n">
        <f aca="false">P2703</f>
        <v>0.402216015362578</v>
      </c>
      <c r="AA2703" s="3" t="n">
        <f aca="false">R2703</f>
        <v>0</v>
      </c>
      <c r="AB2703" s="21" t="n">
        <f aca="false">P2703</f>
        <v>0.402216015362578</v>
      </c>
      <c r="AC2703" s="3" t="n">
        <f aca="false">Y2703</f>
        <v>0.353461339675697</v>
      </c>
      <c r="AD2703" s="3" t="n">
        <f aca="false">R2703</f>
        <v>0</v>
      </c>
    </row>
    <row r="2704" customFormat="false" ht="15" hidden="false" customHeight="true" outlineLevel="0" collapsed="false">
      <c r="A2704" s="7" t="s">
        <v>81</v>
      </c>
      <c r="B2704" s="7" t="n">
        <v>2025</v>
      </c>
      <c r="C2704" s="7" t="s">
        <v>162</v>
      </c>
      <c r="D2704" s="7" t="n">
        <v>94</v>
      </c>
      <c r="E2704" s="7" t="n">
        <v>68</v>
      </c>
      <c r="F2704" s="3" t="n">
        <f aca="false">COUNTIFS($B$2:$B$2705,B2704,$C$2:$C$2705,C2704)</f>
        <v>1</v>
      </c>
      <c r="G2704" s="3" t="n">
        <f aca="false">MIN(INT((MIN(B2704,2020)-1900)/10)+1,12)</f>
        <v>12</v>
      </c>
      <c r="H2704" s="3" t="n">
        <f aca="false">(MIN(B2704,2020)-1900-10*(G2704-1))/10</f>
        <v>1</v>
      </c>
      <c r="I2704" s="20" t="n">
        <f aca="false">EXP(LN(INDEX(Pop_Inputs!$B$2:$N$29,MATCH(C2704,Pop_Inputs!$A$2:$A$29,0),G2704))*(1-H2704)+LN(INDEX(Pop_Inputs!$B$2:$N$29,MATCH(C2704,Pop_Inputs!$A$2:$A$29,0),G2704+1))*H2704)</f>
        <v>2794356</v>
      </c>
      <c r="J2704" s="20" t="n">
        <f aca="false">I2704/F2704</f>
        <v>2794356</v>
      </c>
      <c r="K2704" s="21" t="n">
        <f aca="false">D2704/(D2704+E2704)</f>
        <v>0.580246913580247</v>
      </c>
      <c r="L2704" s="21" t="n">
        <f aca="false">AVERAGEIFS($K$2:$K$2705,$B$2:$B$2705,B2704)</f>
        <v>0.5</v>
      </c>
      <c r="M2704" s="21" t="n">
        <f aca="false">K2704-L2704</f>
        <v>0.0802469135802469</v>
      </c>
      <c r="N2704" s="21" t="n">
        <f aca="false">LN(J2704)</f>
        <v>14.8431122265735</v>
      </c>
      <c r="O2704" s="21" t="n">
        <f aca="false">AVERAGEIFS($N$2:$N$2705,$B$2:$B$2705,B2704)</f>
        <v>13.6790216080491</v>
      </c>
      <c r="P2704" s="21" t="n">
        <f aca="false">N2704-O2704</f>
        <v>1.16409061852442</v>
      </c>
      <c r="Q2704" s="7" t="n">
        <v>1</v>
      </c>
      <c r="R2704" s="3" t="n">
        <f aca="false">IF(AND(Q2704=1,B2704-_xlfn.MINIFS($B$2:$B$2705,$A$2:$A$2705,A2704)&lt;10),1,0)</f>
        <v>0</v>
      </c>
      <c r="S2704" s="7" t="n">
        <v>0</v>
      </c>
      <c r="T2704" s="3" t="n">
        <f aca="false">_xlfn.MINIFS($B$2:$B$2705,$A$2:$A$2705,A2704)</f>
        <v>1977</v>
      </c>
      <c r="U2704" s="3" t="n">
        <f aca="false">B2704-T2704</f>
        <v>48</v>
      </c>
      <c r="V2704" s="3" t="str">
        <f aca="false">INDEX(Pop_Inputs!$Q$2:$Q$29,MATCH(C2704,Pop_Inputs!$A$2:$A$29,0))</f>
        <v>Canada</v>
      </c>
      <c r="W2704" s="29" t="n">
        <v>253085735</v>
      </c>
      <c r="X2704" s="3" t="n">
        <f aca="false">IF(W2704="","",LN(W2704))</f>
        <v>19.3492388628049</v>
      </c>
      <c r="Y2704" s="3" t="n">
        <f aca="false">IF(X2704="","",X2704-AVERAGEIFS($X$2:$X$2705,$B$2:$B$2705,B2704))</f>
        <v>0.449703150403561</v>
      </c>
      <c r="Z2704" s="21" t="n">
        <f aca="false">P2704</f>
        <v>1.16409061852442</v>
      </c>
      <c r="AA2704" s="3" t="n">
        <f aca="false">R2704</f>
        <v>0</v>
      </c>
      <c r="AB2704" s="21" t="n">
        <f aca="false">P2704</f>
        <v>1.16409061852442</v>
      </c>
      <c r="AC2704" s="3" t="n">
        <f aca="false">Y2704</f>
        <v>0.449703150403561</v>
      </c>
      <c r="AD2704" s="3" t="n">
        <f aca="false">R2704</f>
        <v>0</v>
      </c>
    </row>
    <row r="2705" customFormat="false" ht="15" hidden="false" customHeight="true" outlineLevel="0" collapsed="false">
      <c r="A2705" s="7" t="s">
        <v>79</v>
      </c>
      <c r="B2705" s="7" t="n">
        <v>2025</v>
      </c>
      <c r="C2705" s="7" t="s">
        <v>160</v>
      </c>
      <c r="D2705" s="7" t="n">
        <v>66</v>
      </c>
      <c r="E2705" s="7" t="n">
        <v>96</v>
      </c>
      <c r="F2705" s="3" t="n">
        <f aca="false">COUNTIFS($B$2:$B$2705,B2705,$C$2:$C$2705,C2705)</f>
        <v>1</v>
      </c>
      <c r="G2705" s="3" t="n">
        <f aca="false">MIN(INT((MIN(B2705,2020)-1900)/10)+1,12)</f>
        <v>12</v>
      </c>
      <c r="H2705" s="3" t="n">
        <f aca="false">(MIN(B2705,2020)-1900-10*(G2705-1))/10</f>
        <v>1</v>
      </c>
      <c r="I2705" s="20" t="n">
        <f aca="false">EXP(LN(INDEX(Pop_Inputs!$B$2:$N$29,MATCH(C2705,Pop_Inputs!$A$2:$A$29,0),G2705))*(1-H2705)+LN(INDEX(Pop_Inputs!$B$2:$N$29,MATCH(C2705,Pop_Inputs!$A$2:$A$29,0),G2705+1))*H2705)</f>
        <v>689545</v>
      </c>
      <c r="J2705" s="20" t="n">
        <f aca="false">I2705/F2705</f>
        <v>689545</v>
      </c>
      <c r="K2705" s="21" t="n">
        <f aca="false">D2705/(D2705+E2705)</f>
        <v>0.407407407407407</v>
      </c>
      <c r="L2705" s="21" t="n">
        <f aca="false">AVERAGEIFS($K$2:$K$2705,$B$2:$B$2705,B2705)</f>
        <v>0.5</v>
      </c>
      <c r="M2705" s="21" t="n">
        <f aca="false">K2705-L2705</f>
        <v>-0.0925925925925926</v>
      </c>
      <c r="N2705" s="21" t="n">
        <f aca="false">LN(J2705)</f>
        <v>13.4437872387704</v>
      </c>
      <c r="O2705" s="21" t="n">
        <f aca="false">AVERAGEIFS($N$2:$N$2705,$B$2:$B$2705,B2705)</f>
        <v>13.6790216080491</v>
      </c>
      <c r="P2705" s="21" t="n">
        <f aca="false">N2705-O2705</f>
        <v>-0.2352343692787</v>
      </c>
      <c r="Q2705" s="7" t="n">
        <v>1</v>
      </c>
      <c r="R2705" s="3" t="n">
        <f aca="false">IF(AND(Q2705=1,B2705-_xlfn.MINIFS($B$2:$B$2705,$A$2:$A$2705,A2705)&lt;10),1,0)</f>
        <v>0</v>
      </c>
      <c r="S2705" s="7" t="n">
        <v>0</v>
      </c>
      <c r="T2705" s="3" t="n">
        <f aca="false">_xlfn.MINIFS($B$2:$B$2705,$A$2:$A$2705,A2705)</f>
        <v>1969</v>
      </c>
      <c r="U2705" s="3" t="n">
        <f aca="false">B2705-T2705</f>
        <v>56</v>
      </c>
      <c r="V2705" s="3" t="str">
        <f aca="false">INDEX(Pop_Inputs!$Q$2:$Q$29,MATCH(C2705,Pop_Inputs!$A$2:$A$29,0))</f>
        <v>South</v>
      </c>
      <c r="W2705" s="29" t="n">
        <v>107686884</v>
      </c>
      <c r="X2705" s="3" t="n">
        <f aca="false">IF(W2705="","",LN(W2705))</f>
        <v>18.4947383519807</v>
      </c>
      <c r="Y2705" s="3" t="n">
        <f aca="false">IF(X2705="","",X2705-AVERAGEIFS($X$2:$X$2705,$B$2:$B$2705,B2705))</f>
        <v>-0.404797360420663</v>
      </c>
      <c r="Z2705" s="21" t="n">
        <f aca="false">P2705</f>
        <v>-0.2352343692787</v>
      </c>
      <c r="AA2705" s="3" t="n">
        <f aca="false">R2705</f>
        <v>0</v>
      </c>
      <c r="AB2705" s="21" t="n">
        <f aca="false">P2705</f>
        <v>-0.2352343692787</v>
      </c>
      <c r="AC2705" s="3" t="n">
        <f aca="false">Y2705</f>
        <v>-0.404797360420663</v>
      </c>
      <c r="AD2705" s="3" t="n">
        <f aca="false">R2705</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4" min="2" style="1" width="12"/>
  </cols>
  <sheetData>
    <row r="1" customFormat="false" ht="45" hidden="false" customHeight="true" outlineLevel="0" collapsed="false">
      <c r="A1" s="4" t="s">
        <v>4</v>
      </c>
      <c r="B1" s="4" t="s">
        <v>335</v>
      </c>
      <c r="C1" s="4" t="s">
        <v>42</v>
      </c>
      <c r="D1" s="4" t="s">
        <v>336</v>
      </c>
      <c r="E1" s="4" t="s">
        <v>89</v>
      </c>
      <c r="F1" s="4" t="s">
        <v>337</v>
      </c>
      <c r="G1" s="4" t="s">
        <v>338</v>
      </c>
      <c r="H1" s="4" t="s">
        <v>339</v>
      </c>
      <c r="I1" s="4" t="s">
        <v>340</v>
      </c>
      <c r="J1" s="4" t="s">
        <v>341</v>
      </c>
      <c r="K1" s="4" t="s">
        <v>342</v>
      </c>
      <c r="L1" s="4" t="s">
        <v>343</v>
      </c>
      <c r="M1" s="4" t="s">
        <v>344</v>
      </c>
      <c r="N1" s="4" t="s">
        <v>345</v>
      </c>
      <c r="O1" s="4" t="s">
        <v>346</v>
      </c>
      <c r="P1" s="4" t="s">
        <v>347</v>
      </c>
      <c r="Q1" s="4" t="s">
        <v>348</v>
      </c>
      <c r="R1" s="4" t="s">
        <v>349</v>
      </c>
      <c r="S1" s="4" t="s">
        <v>350</v>
      </c>
      <c r="T1" s="4" t="s">
        <v>351</v>
      </c>
      <c r="U1" s="4" t="s">
        <v>352</v>
      </c>
      <c r="V1" s="4" t="s">
        <v>353</v>
      </c>
      <c r="W1" s="4" t="s">
        <v>354</v>
      </c>
      <c r="X1" s="4" t="s">
        <v>355</v>
      </c>
    </row>
    <row r="2" customFormat="false" ht="15" hidden="false" customHeight="true" outlineLevel="0" collapsed="false">
      <c r="A2" s="3" t="s">
        <v>356</v>
      </c>
      <c r="B2" s="3" t="s">
        <v>54</v>
      </c>
      <c r="C2" s="3" t="s">
        <v>55</v>
      </c>
      <c r="D2" s="3" t="s">
        <v>55</v>
      </c>
      <c r="E2" s="7" t="n">
        <v>1876</v>
      </c>
      <c r="F2" s="7" t="n">
        <v>11284</v>
      </c>
      <c r="G2" s="7" t="n">
        <v>11103</v>
      </c>
      <c r="H2" s="21" t="n">
        <f aca="false">F2/(F2+G2)</f>
        <v>0.504042524679502</v>
      </c>
      <c r="I2" s="7" t="n">
        <v>4</v>
      </c>
      <c r="J2" s="7" t="n">
        <v>24</v>
      </c>
      <c r="K2" s="7" t="n">
        <v>18</v>
      </c>
      <c r="L2" s="7" t="n">
        <v>31</v>
      </c>
      <c r="M2" s="3" t="n">
        <f aca="false">SUMIFS(Seasons!$D$2:$D$2865,Seasons!$A$2:$A$2865,B2)</f>
        <v>11190</v>
      </c>
      <c r="N2" s="3" t="n">
        <f aca="false">SUMIFS(Seasons!$E$2:$E$2865,Seasons!$A$2:$A$2865,B2)</f>
        <v>11035</v>
      </c>
      <c r="O2" s="3" t="n">
        <f aca="false">F2-M2</f>
        <v>94</v>
      </c>
      <c r="P2" s="3" t="n">
        <f aca="false">G2-N2</f>
        <v>68</v>
      </c>
      <c r="Q2" s="3" t="n">
        <f aca="false">O2+P2</f>
        <v>162</v>
      </c>
      <c r="R2" s="3" t="str">
        <f aca="false">IF(Q2=162,"OK",IF(ABS(Q2-162)&lt;=3,"near","CHECK"))</f>
        <v>OK</v>
      </c>
      <c r="S2" s="3" t="n">
        <f aca="false">SUMIFS(Seasons!$N$2:$N$2865,Seasons!$A$2:$A$2865,B2,Seasons!$B$2:$B$2865,"&gt;=1903")</f>
        <v>4</v>
      </c>
      <c r="T2" s="3" t="n">
        <f aca="false">SUMIFS(Seasons!$M$2:$M$2865,Seasons!$A$2:$A$2865,B2,Seasons!$B$2:$B$2865,"&gt;=1903")</f>
        <v>10</v>
      </c>
      <c r="U2" s="3" t="n">
        <f aca="false">SUMIFS(Seasons!$L$2:$L$2865,Seasons!$A$2:$A$2865,B2,Seasons!$B$2:$B$2865,"&gt;=1903")</f>
        <v>30</v>
      </c>
      <c r="V2" s="3" t="n">
        <f aca="false">K2-T2</f>
        <v>8</v>
      </c>
      <c r="W2" s="3" t="n">
        <f aca="false">L2-U2</f>
        <v>1</v>
      </c>
      <c r="X2" s="3" t="n">
        <f aca="false">I2-S2</f>
        <v>0</v>
      </c>
    </row>
    <row r="3" customFormat="false" ht="15" hidden="false" customHeight="true" outlineLevel="0" collapsed="false">
      <c r="A3" s="3" t="s">
        <v>357</v>
      </c>
      <c r="B3" s="3" t="s">
        <v>56</v>
      </c>
      <c r="C3" s="3" t="s">
        <v>55</v>
      </c>
      <c r="D3" s="3" t="s">
        <v>55</v>
      </c>
      <c r="E3" s="7" t="n">
        <v>1876</v>
      </c>
      <c r="F3" s="7" t="n">
        <v>11508</v>
      </c>
      <c r="G3" s="7" t="n">
        <v>10910</v>
      </c>
      <c r="H3" s="21" t="n">
        <f aca="false">F3/(F3+G3)</f>
        <v>0.513337496654474</v>
      </c>
      <c r="I3" s="7" t="n">
        <v>3</v>
      </c>
      <c r="J3" s="7" t="n">
        <v>8</v>
      </c>
      <c r="K3" s="7" t="n">
        <v>17</v>
      </c>
      <c r="L3" s="7" t="n">
        <v>23</v>
      </c>
      <c r="M3" s="3" t="n">
        <f aca="false">SUMIFS(Seasons!$D$2:$D$2865,Seasons!$A$2:$A$2865,B3)</f>
        <v>11419</v>
      </c>
      <c r="N3" s="3" t="n">
        <f aca="false">SUMIFS(Seasons!$E$2:$E$2865,Seasons!$A$2:$A$2865,B3)</f>
        <v>10837</v>
      </c>
      <c r="O3" s="3" t="n">
        <f aca="false">F3-M3</f>
        <v>89</v>
      </c>
      <c r="P3" s="3" t="n">
        <f aca="false">G3-N3</f>
        <v>73</v>
      </c>
      <c r="Q3" s="3" t="n">
        <f aca="false">O3+P3</f>
        <v>162</v>
      </c>
      <c r="R3" s="3" t="str">
        <f aca="false">IF(Q3=162,"OK",IF(ABS(Q3-162)&lt;=3,"near","CHECK"))</f>
        <v>OK</v>
      </c>
      <c r="S3" s="3" t="n">
        <f aca="false">SUMIFS(Seasons!$N$2:$N$2865,Seasons!$A$2:$A$2865,B3,Seasons!$B$2:$B$2865,"&gt;=1903")</f>
        <v>3</v>
      </c>
      <c r="T3" s="3" t="n">
        <f aca="false">SUMIFS(Seasons!$M$2:$M$2865,Seasons!$A$2:$A$2865,B3,Seasons!$B$2:$B$2865,"&gt;=1903")</f>
        <v>11</v>
      </c>
      <c r="U3" s="3" t="n">
        <f aca="false">SUMIFS(Seasons!$L$2:$L$2865,Seasons!$A$2:$A$2865,B3,Seasons!$B$2:$B$2865,"&gt;=1903")</f>
        <v>22</v>
      </c>
      <c r="V3" s="3" t="n">
        <f aca="false">K3-T3</f>
        <v>6</v>
      </c>
      <c r="W3" s="3" t="n">
        <f aca="false">L3-U3</f>
        <v>1</v>
      </c>
      <c r="X3" s="3" t="n">
        <f aca="false">I3-S3</f>
        <v>0</v>
      </c>
    </row>
    <row r="4" customFormat="false" ht="15" hidden="false" customHeight="true" outlineLevel="0" collapsed="false">
      <c r="A4" s="3" t="s">
        <v>358</v>
      </c>
      <c r="B4" s="3" t="s">
        <v>57</v>
      </c>
      <c r="C4" s="3" t="s">
        <v>55</v>
      </c>
      <c r="D4" s="3" t="s">
        <v>55</v>
      </c>
      <c r="E4" s="7" t="n">
        <v>1882</v>
      </c>
      <c r="F4" s="7" t="n">
        <v>11092</v>
      </c>
      <c r="G4" s="7" t="n">
        <v>10932</v>
      </c>
      <c r="H4" s="21" t="n">
        <f aca="false">F4/(F4+G4)</f>
        <v>0.503632401017072</v>
      </c>
      <c r="I4" s="7" t="n">
        <v>5</v>
      </c>
      <c r="J4" s="7" t="n">
        <v>10</v>
      </c>
      <c r="K4" s="7" t="n">
        <v>10</v>
      </c>
      <c r="L4" s="7" t="n">
        <v>17</v>
      </c>
      <c r="M4" s="3" t="n">
        <f aca="false">SUMIFS(Seasons!$D$2:$D$2865,Seasons!$A$2:$A$2865,B4)</f>
        <v>11017</v>
      </c>
      <c r="N4" s="3" t="n">
        <f aca="false">SUMIFS(Seasons!$E$2:$E$2865,Seasons!$A$2:$A$2865,B4)</f>
        <v>10845</v>
      </c>
      <c r="O4" s="3" t="n">
        <f aca="false">F4-M4</f>
        <v>75</v>
      </c>
      <c r="P4" s="3" t="n">
        <f aca="false">G4-N4</f>
        <v>87</v>
      </c>
      <c r="Q4" s="3" t="n">
        <f aca="false">O4+P4</f>
        <v>162</v>
      </c>
      <c r="R4" s="3" t="str">
        <f aca="false">IF(Q4=162,"OK",IF(ABS(Q4-162)&lt;=3,"near","CHECK"))</f>
        <v>OK</v>
      </c>
      <c r="S4" s="3" t="n">
        <f aca="false">SUMIFS(Seasons!$N$2:$N$2865,Seasons!$A$2:$A$2865,B4,Seasons!$B$2:$B$2865,"&gt;=1903")</f>
        <v>5</v>
      </c>
      <c r="T4" s="3" t="n">
        <f aca="false">SUMIFS(Seasons!$M$2:$M$2865,Seasons!$A$2:$A$2865,B4,Seasons!$B$2:$B$2865,"&gt;=1903")</f>
        <v>9</v>
      </c>
      <c r="U4" s="3" t="n">
        <f aca="false">SUMIFS(Seasons!$L$2:$L$2865,Seasons!$A$2:$A$2865,B4,Seasons!$B$2:$B$2865,"&gt;=1903")</f>
        <v>17</v>
      </c>
      <c r="V4" s="3" t="n">
        <f aca="false">K4-T4</f>
        <v>1</v>
      </c>
      <c r="W4" s="3" t="n">
        <f aca="false">L4-U4</f>
        <v>0</v>
      </c>
      <c r="X4" s="3" t="n">
        <f aca="false">I4-S4</f>
        <v>0</v>
      </c>
    </row>
    <row r="5" customFormat="false" ht="15" hidden="false" customHeight="true" outlineLevel="0" collapsed="false">
      <c r="A5" s="3" t="s">
        <v>359</v>
      </c>
      <c r="B5" s="3" t="s">
        <v>58</v>
      </c>
      <c r="C5" s="3" t="s">
        <v>55</v>
      </c>
      <c r="D5" s="3" t="s">
        <v>55</v>
      </c>
      <c r="E5" s="7" t="n">
        <v>1882</v>
      </c>
      <c r="F5" s="7" t="n">
        <v>10992</v>
      </c>
      <c r="G5" s="7" t="n">
        <v>10990</v>
      </c>
      <c r="H5" s="21" t="n">
        <f aca="false">F5/(F5+G5)</f>
        <v>0.50004549176599</v>
      </c>
      <c r="I5" s="7" t="n">
        <v>5</v>
      </c>
      <c r="J5" s="7" t="n">
        <v>9</v>
      </c>
      <c r="K5" s="7" t="n">
        <v>9</v>
      </c>
      <c r="L5" s="7" t="n">
        <v>17</v>
      </c>
      <c r="M5" s="3" t="n">
        <f aca="false">SUMIFS(Seasons!$D$2:$D$2865,Seasons!$A$2:$A$2865,B5)</f>
        <v>10910</v>
      </c>
      <c r="N5" s="3" t="n">
        <f aca="false">SUMIFS(Seasons!$E$2:$E$2865,Seasons!$A$2:$A$2865,B5)</f>
        <v>10910</v>
      </c>
      <c r="O5" s="3" t="n">
        <f aca="false">F5-M5</f>
        <v>82</v>
      </c>
      <c r="P5" s="3" t="n">
        <f aca="false">G5-N5</f>
        <v>80</v>
      </c>
      <c r="Q5" s="3" t="n">
        <f aca="false">O5+P5</f>
        <v>162</v>
      </c>
      <c r="R5" s="3" t="str">
        <f aca="false">IF(Q5=162,"OK",IF(ABS(Q5-162)&lt;=3,"near","CHECK"))</f>
        <v>OK</v>
      </c>
      <c r="S5" s="3" t="n">
        <f aca="false">SUMIFS(Seasons!$N$2:$N$2865,Seasons!$A$2:$A$2865,B5,Seasons!$B$2:$B$2865,"&gt;=1903")</f>
        <v>5</v>
      </c>
      <c r="T5" s="3" t="n">
        <f aca="false">SUMIFS(Seasons!$M$2:$M$2865,Seasons!$A$2:$A$2865,B5,Seasons!$B$2:$B$2865,"&gt;=1903")</f>
        <v>7</v>
      </c>
      <c r="U5" s="3" t="n">
        <f aca="false">SUMIFS(Seasons!$L$2:$L$2865,Seasons!$A$2:$A$2865,B5,Seasons!$B$2:$B$2865,"&gt;=1903")</f>
        <v>17</v>
      </c>
      <c r="V5" s="3" t="n">
        <f aca="false">K5-T5</f>
        <v>2</v>
      </c>
      <c r="W5" s="3" t="n">
        <f aca="false">L5-U5</f>
        <v>0</v>
      </c>
      <c r="X5" s="3" t="n">
        <f aca="false">I5-S5</f>
        <v>0</v>
      </c>
    </row>
    <row r="6" customFormat="false" ht="15" hidden="false" customHeight="true" outlineLevel="0" collapsed="false">
      <c r="A6" s="3" t="s">
        <v>360</v>
      </c>
      <c r="B6" s="3" t="s">
        <v>59</v>
      </c>
      <c r="C6" s="3" t="s">
        <v>55</v>
      </c>
      <c r="D6" s="3" t="s">
        <v>55</v>
      </c>
      <c r="E6" s="7" t="n">
        <v>1882</v>
      </c>
      <c r="F6" s="7" t="n">
        <v>11440</v>
      </c>
      <c r="G6" s="7" t="n">
        <v>10571</v>
      </c>
      <c r="H6" s="21" t="n">
        <f aca="false">F6/(F6+G6)</f>
        <v>0.519740129935033</v>
      </c>
      <c r="I6" s="7" t="n">
        <v>11</v>
      </c>
      <c r="J6" s="7" t="n">
        <v>15</v>
      </c>
      <c r="K6" s="7" t="n">
        <v>23</v>
      </c>
      <c r="L6" s="7" t="n">
        <v>32</v>
      </c>
      <c r="M6" s="3" t="n">
        <f aca="false">SUMIFS(Seasons!$D$2:$D$2865,Seasons!$A$2:$A$2865,B6)</f>
        <v>11363</v>
      </c>
      <c r="N6" s="3" t="n">
        <f aca="false">SUMIFS(Seasons!$E$2:$E$2865,Seasons!$A$2:$A$2865,B6)</f>
        <v>10486</v>
      </c>
      <c r="O6" s="3" t="n">
        <f aca="false">F6-M6</f>
        <v>77</v>
      </c>
      <c r="P6" s="3" t="n">
        <f aca="false">G6-N6</f>
        <v>85</v>
      </c>
      <c r="Q6" s="3" t="n">
        <f aca="false">O6+P6</f>
        <v>162</v>
      </c>
      <c r="R6" s="3" t="str">
        <f aca="false">IF(Q6=162,"OK",IF(ABS(Q6-162)&lt;=3,"near","CHECK"))</f>
        <v>OK</v>
      </c>
      <c r="S6" s="3" t="n">
        <f aca="false">SUMIFS(Seasons!$N$2:$N$2865,Seasons!$A$2:$A$2865,B6,Seasons!$B$2:$B$2865,"&gt;=1903")</f>
        <v>11</v>
      </c>
      <c r="T6" s="3" t="n">
        <f aca="false">SUMIFS(Seasons!$M$2:$M$2865,Seasons!$A$2:$A$2865,B6,Seasons!$B$2:$B$2865,"&gt;=1903")</f>
        <v>19</v>
      </c>
      <c r="U6" s="3" t="n">
        <f aca="false">SUMIFS(Seasons!$L$2:$L$2865,Seasons!$A$2:$A$2865,B6,Seasons!$B$2:$B$2865,"&gt;=1903")</f>
        <v>32</v>
      </c>
      <c r="V6" s="3" t="n">
        <f aca="false">K6-T6</f>
        <v>4</v>
      </c>
      <c r="W6" s="3" t="n">
        <f aca="false">L6-U6</f>
        <v>0</v>
      </c>
      <c r="X6" s="3" t="n">
        <f aca="false">I6-S6</f>
        <v>0</v>
      </c>
    </row>
    <row r="7" customFormat="false" ht="15" hidden="false" customHeight="true" outlineLevel="0" collapsed="false">
      <c r="A7" s="3" t="s">
        <v>361</v>
      </c>
      <c r="B7" s="3" t="s">
        <v>60</v>
      </c>
      <c r="C7" s="3" t="s">
        <v>55</v>
      </c>
      <c r="D7" s="3" t="s">
        <v>55</v>
      </c>
      <c r="E7" s="7" t="n">
        <v>1883</v>
      </c>
      <c r="F7" s="7" t="n">
        <v>10391</v>
      </c>
      <c r="G7" s="7" t="n">
        <v>11466</v>
      </c>
      <c r="H7" s="21" t="n">
        <f aca="false">F7/(F7+G7)</f>
        <v>0.475408336002196</v>
      </c>
      <c r="I7" s="7" t="n">
        <v>2</v>
      </c>
      <c r="J7" s="7" t="n">
        <v>14</v>
      </c>
      <c r="K7" s="7" t="n">
        <v>8</v>
      </c>
      <c r="L7" s="7" t="n">
        <v>19</v>
      </c>
      <c r="M7" s="3" t="n">
        <f aca="false">SUMIFS(Seasons!$D$2:$D$2865,Seasons!$A$2:$A$2865,B7)</f>
        <v>10303</v>
      </c>
      <c r="N7" s="3" t="n">
        <f aca="false">SUMIFS(Seasons!$E$2:$E$2865,Seasons!$A$2:$A$2865,B7)</f>
        <v>11392</v>
      </c>
      <c r="O7" s="3" t="n">
        <f aca="false">F7-M7</f>
        <v>88</v>
      </c>
      <c r="P7" s="3" t="n">
        <f aca="false">G7-N7</f>
        <v>74</v>
      </c>
      <c r="Q7" s="3" t="n">
        <f aca="false">O7+P7</f>
        <v>162</v>
      </c>
      <c r="R7" s="3" t="str">
        <f aca="false">IF(Q7=162,"OK",IF(ABS(Q7-162)&lt;=3,"near","CHECK"))</f>
        <v>OK</v>
      </c>
      <c r="S7" s="3" t="n">
        <f aca="false">SUMIFS(Seasons!$N$2:$N$2865,Seasons!$A$2:$A$2865,B7,Seasons!$B$2:$B$2865,"&gt;=1903")</f>
        <v>2</v>
      </c>
      <c r="T7" s="3" t="n">
        <f aca="false">SUMIFS(Seasons!$M$2:$M$2865,Seasons!$A$2:$A$2865,B7,Seasons!$B$2:$B$2865,"&gt;=1903")</f>
        <v>8</v>
      </c>
      <c r="U7" s="3" t="n">
        <f aca="false">SUMIFS(Seasons!$L$2:$L$2865,Seasons!$A$2:$A$2865,B7,Seasons!$B$2:$B$2865,"&gt;=1903")</f>
        <v>18</v>
      </c>
      <c r="V7" s="3" t="n">
        <f aca="false">K7-T7</f>
        <v>0</v>
      </c>
      <c r="W7" s="3" t="n">
        <f aca="false">L7-U7</f>
        <v>1</v>
      </c>
      <c r="X7" s="3" t="n">
        <f aca="false">I7-S7</f>
        <v>0</v>
      </c>
    </row>
    <row r="8" customFormat="false" ht="15" hidden="false" customHeight="true" outlineLevel="0" collapsed="false">
      <c r="A8" s="3" t="s">
        <v>362</v>
      </c>
      <c r="B8" s="3" t="s">
        <v>61</v>
      </c>
      <c r="C8" s="3" t="s">
        <v>55</v>
      </c>
      <c r="D8" s="3" t="s">
        <v>55</v>
      </c>
      <c r="E8" s="7" t="n">
        <v>1883</v>
      </c>
      <c r="F8" s="7" t="n">
        <v>11687</v>
      </c>
      <c r="G8" s="7" t="n">
        <v>10197</v>
      </c>
      <c r="H8" s="21" t="n">
        <f aca="false">F8/(F8+G8)</f>
        <v>0.53404313653811</v>
      </c>
      <c r="I8" s="7" t="n">
        <v>8</v>
      </c>
      <c r="J8" s="7" t="n">
        <v>9</v>
      </c>
      <c r="K8" s="7" t="n">
        <v>23</v>
      </c>
      <c r="L8" s="7" t="n">
        <v>27</v>
      </c>
      <c r="M8" s="3" t="n">
        <f aca="false">SUMIFS(Seasons!$D$2:$D$2865,Seasons!$A$2:$A$2865,B8)</f>
        <v>11622</v>
      </c>
      <c r="N8" s="3" t="n">
        <f aca="false">SUMIFS(Seasons!$E$2:$E$2865,Seasons!$A$2:$A$2865,B8)</f>
        <v>10100</v>
      </c>
      <c r="O8" s="3" t="n">
        <f aca="false">F8-M8</f>
        <v>65</v>
      </c>
      <c r="P8" s="3" t="n">
        <f aca="false">G8-N8</f>
        <v>97</v>
      </c>
      <c r="Q8" s="3" t="n">
        <f aca="false">O8+P8</f>
        <v>162</v>
      </c>
      <c r="R8" s="3" t="str">
        <f aca="false">IF(Q8=162,"OK",IF(ABS(Q8-162)&lt;=3,"near","CHECK"))</f>
        <v>OK</v>
      </c>
      <c r="S8" s="3" t="n">
        <f aca="false">SUMIFS(Seasons!$N$2:$N$2865,Seasons!$A$2:$A$2865,B8,Seasons!$B$2:$B$2865,"&gt;=1903")</f>
        <v>8</v>
      </c>
      <c r="T8" s="3" t="n">
        <f aca="false">SUMIFS(Seasons!$M$2:$M$2865,Seasons!$A$2:$A$2865,B8,Seasons!$B$2:$B$2865,"&gt;=1903")</f>
        <v>21</v>
      </c>
      <c r="U8" s="3" t="n">
        <f aca="false">SUMIFS(Seasons!$L$2:$L$2865,Seasons!$A$2:$A$2865,B8,Seasons!$B$2:$B$2865,"&gt;=1903")</f>
        <v>28</v>
      </c>
      <c r="V8" s="3" t="n">
        <f aca="false">K8-T8</f>
        <v>2</v>
      </c>
      <c r="W8" s="3" t="n">
        <f aca="false">L8-U8</f>
        <v>-1</v>
      </c>
      <c r="X8" s="3" t="n">
        <f aca="false">I8-S8</f>
        <v>0</v>
      </c>
    </row>
    <row r="9" customFormat="false" ht="15" hidden="false" customHeight="true" outlineLevel="0" collapsed="false">
      <c r="A9" s="3" t="s">
        <v>363</v>
      </c>
      <c r="B9" s="3" t="s">
        <v>62</v>
      </c>
      <c r="C9" s="3" t="s">
        <v>55</v>
      </c>
      <c r="D9" s="3" t="s">
        <v>55</v>
      </c>
      <c r="E9" s="7" t="n">
        <v>1884</v>
      </c>
      <c r="F9" s="7" t="n">
        <v>11625</v>
      </c>
      <c r="G9" s="7" t="n">
        <v>10199</v>
      </c>
      <c r="H9" s="21" t="n">
        <f aca="false">F9/(F9+G9)</f>
        <v>0.532670454545455</v>
      </c>
      <c r="I9" s="7" t="n">
        <v>9</v>
      </c>
      <c r="J9" s="7" t="n">
        <v>24</v>
      </c>
      <c r="K9" s="7" t="n">
        <v>27</v>
      </c>
      <c r="L9" s="7" t="n">
        <v>40</v>
      </c>
      <c r="M9" s="3" t="n">
        <f aca="false">SUMIFS(Seasons!$D$2:$D$2865,Seasons!$A$2:$A$2865,B9)</f>
        <v>11525</v>
      </c>
      <c r="N9" s="3" t="n">
        <f aca="false">SUMIFS(Seasons!$E$2:$E$2865,Seasons!$A$2:$A$2865,B9)</f>
        <v>10137</v>
      </c>
      <c r="O9" s="3" t="n">
        <f aca="false">F9-M9</f>
        <v>100</v>
      </c>
      <c r="P9" s="3" t="n">
        <f aca="false">G9-N9</f>
        <v>62</v>
      </c>
      <c r="Q9" s="3" t="n">
        <f aca="false">O9+P9</f>
        <v>162</v>
      </c>
      <c r="R9" s="3" t="str">
        <f aca="false">IF(Q9=162,"OK",IF(ABS(Q9-162)&lt;=3,"near","CHECK"))</f>
        <v>OK</v>
      </c>
      <c r="S9" s="3" t="n">
        <f aca="false">SUMIFS(Seasons!$N$2:$N$2865,Seasons!$A$2:$A$2865,B9,Seasons!$B$2:$B$2865,"&gt;=1903")</f>
        <v>9</v>
      </c>
      <c r="T9" s="3" t="n">
        <f aca="false">SUMIFS(Seasons!$M$2:$M$2865,Seasons!$A$2:$A$2865,B9,Seasons!$B$2:$B$2865,"&gt;=1903")</f>
        <v>23</v>
      </c>
      <c r="U9" s="3" t="n">
        <f aca="false">SUMIFS(Seasons!$L$2:$L$2865,Seasons!$A$2:$A$2865,B9,Seasons!$B$2:$B$2865,"&gt;=1903")</f>
        <v>39</v>
      </c>
      <c r="V9" s="3" t="n">
        <f aca="false">K9-T9</f>
        <v>4</v>
      </c>
      <c r="W9" s="3" t="n">
        <f aca="false">L9-U9</f>
        <v>1</v>
      </c>
      <c r="X9" s="3" t="n">
        <f aca="false">I9-S9</f>
        <v>0</v>
      </c>
    </row>
    <row r="10" customFormat="false" ht="15" hidden="false" customHeight="true" outlineLevel="0" collapsed="false">
      <c r="A10" s="3" t="s">
        <v>364</v>
      </c>
      <c r="B10" s="3" t="s">
        <v>63</v>
      </c>
      <c r="C10" s="3" t="s">
        <v>55</v>
      </c>
      <c r="D10" s="3" t="s">
        <v>55</v>
      </c>
      <c r="E10" s="7" t="n">
        <v>1901</v>
      </c>
      <c r="F10" s="7" t="n">
        <v>9274</v>
      </c>
      <c r="G10" s="7" t="n">
        <v>10253</v>
      </c>
      <c r="H10" s="21" t="n">
        <f aca="false">F10/(F10+G10)</f>
        <v>0.474932145234803</v>
      </c>
      <c r="I10" s="7" t="n">
        <v>3</v>
      </c>
      <c r="J10" s="7" t="n">
        <v>10</v>
      </c>
      <c r="K10" s="7" t="n">
        <v>7</v>
      </c>
      <c r="L10" s="7" t="n">
        <v>16</v>
      </c>
      <c r="M10" s="3" t="n">
        <f aca="false">SUMIFS(Seasons!$D$2:$D$2865,Seasons!$A$2:$A$2865,B10)</f>
        <v>9195</v>
      </c>
      <c r="N10" s="3" t="n">
        <f aca="false">SUMIFS(Seasons!$E$2:$E$2865,Seasons!$A$2:$A$2865,B10)</f>
        <v>10171</v>
      </c>
      <c r="O10" s="3" t="n">
        <f aca="false">F10-M10</f>
        <v>79</v>
      </c>
      <c r="P10" s="3" t="n">
        <f aca="false">G10-N10</f>
        <v>82</v>
      </c>
      <c r="Q10" s="3" t="n">
        <f aca="false">O10+P10</f>
        <v>161</v>
      </c>
      <c r="R10" s="3" t="str">
        <f aca="false">IF(Q10=162,"OK",IF(ABS(Q10-162)&lt;=3,"near","CHECK"))</f>
        <v>near</v>
      </c>
      <c r="S10" s="3" t="n">
        <f aca="false">SUMIFS(Seasons!$N$2:$N$2865,Seasons!$A$2:$A$2865,B10,Seasons!$B$2:$B$2865,"&gt;=1903")</f>
        <v>3</v>
      </c>
      <c r="T10" s="3" t="n">
        <f aca="false">SUMIFS(Seasons!$M$2:$M$2865,Seasons!$A$2:$A$2865,B10,Seasons!$B$2:$B$2865,"&gt;=1903")</f>
        <v>7</v>
      </c>
      <c r="U10" s="3" t="n">
        <f aca="false">SUMIFS(Seasons!$L$2:$L$2865,Seasons!$A$2:$A$2865,B10,Seasons!$B$2:$B$2865,"&gt;=1903")</f>
        <v>16</v>
      </c>
      <c r="V10" s="3" t="n">
        <f aca="false">K10-T10</f>
        <v>0</v>
      </c>
      <c r="W10" s="3" t="n">
        <f aca="false">L10-U10</f>
        <v>0</v>
      </c>
      <c r="X10" s="3" t="n">
        <f aca="false">I10-S10</f>
        <v>0</v>
      </c>
    </row>
    <row r="11" customFormat="false" ht="15" hidden="false" customHeight="true" outlineLevel="0" collapsed="false">
      <c r="A11" s="3" t="s">
        <v>365</v>
      </c>
      <c r="B11" s="3" t="s">
        <v>64</v>
      </c>
      <c r="C11" s="3" t="s">
        <v>55</v>
      </c>
      <c r="D11" s="3" t="s">
        <v>55</v>
      </c>
      <c r="E11" s="7" t="n">
        <v>1901</v>
      </c>
      <c r="F11" s="7" t="n">
        <v>10131</v>
      </c>
      <c r="G11" s="7" t="n">
        <v>9411</v>
      </c>
      <c r="H11" s="21" t="n">
        <f aca="false">F11/(F11+G11)</f>
        <v>0.518421860607921</v>
      </c>
      <c r="I11" s="7" t="n">
        <v>9</v>
      </c>
      <c r="J11" s="7" t="n">
        <v>10</v>
      </c>
      <c r="K11" s="7" t="n">
        <v>14</v>
      </c>
      <c r="L11" s="7" t="n">
        <v>27</v>
      </c>
      <c r="M11" s="3" t="n">
        <f aca="false">SUMIFS(Seasons!$D$2:$D$2865,Seasons!$A$2:$A$2865,B11)</f>
        <v>10044</v>
      </c>
      <c r="N11" s="3" t="n">
        <f aca="false">SUMIFS(Seasons!$E$2:$E$2865,Seasons!$A$2:$A$2865,B11)</f>
        <v>9336</v>
      </c>
      <c r="O11" s="3" t="n">
        <f aca="false">F11-M11</f>
        <v>87</v>
      </c>
      <c r="P11" s="3" t="n">
        <f aca="false">G11-N11</f>
        <v>75</v>
      </c>
      <c r="Q11" s="3" t="n">
        <f aca="false">O11+P11</f>
        <v>162</v>
      </c>
      <c r="R11" s="3" t="str">
        <f aca="false">IF(Q11=162,"OK",IF(ABS(Q11-162)&lt;=3,"near","CHECK"))</f>
        <v>OK</v>
      </c>
      <c r="S11" s="3" t="n">
        <f aca="false">SUMIFS(Seasons!$N$2:$N$2865,Seasons!$A$2:$A$2865,B11,Seasons!$B$2:$B$2865,"&gt;=1903")</f>
        <v>9</v>
      </c>
      <c r="T11" s="3" t="n">
        <f aca="false">SUMIFS(Seasons!$M$2:$M$2865,Seasons!$A$2:$A$2865,B11,Seasons!$B$2:$B$2865,"&gt;=1903")</f>
        <v>14</v>
      </c>
      <c r="U11" s="3" t="n">
        <f aca="false">SUMIFS(Seasons!$L$2:$L$2865,Seasons!$A$2:$A$2865,B11,Seasons!$B$2:$B$2865,"&gt;=1903")</f>
        <v>27</v>
      </c>
      <c r="V11" s="3" t="n">
        <f aca="false">K11-T11</f>
        <v>0</v>
      </c>
      <c r="W11" s="3" t="n">
        <f aca="false">L11-U11</f>
        <v>0</v>
      </c>
      <c r="X11" s="3" t="n">
        <f aca="false">I11-S11</f>
        <v>0</v>
      </c>
    </row>
    <row r="12" customFormat="false" ht="15" hidden="false" customHeight="true" outlineLevel="0" collapsed="false">
      <c r="A12" s="3" t="s">
        <v>366</v>
      </c>
      <c r="B12" s="3" t="s">
        <v>65</v>
      </c>
      <c r="C12" s="3" t="s">
        <v>55</v>
      </c>
      <c r="D12" s="3" t="s">
        <v>55</v>
      </c>
      <c r="E12" s="7" t="n">
        <v>1901</v>
      </c>
      <c r="F12" s="7" t="n">
        <v>9738</v>
      </c>
      <c r="G12" s="7" t="n">
        <v>9792</v>
      </c>
      <c r="H12" s="21" t="n">
        <f aca="false">F12/(F12+G12)</f>
        <v>0.498617511520737</v>
      </c>
      <c r="I12" s="7" t="n">
        <v>3</v>
      </c>
      <c r="J12" s="7" t="n">
        <v>6</v>
      </c>
      <c r="K12" s="7" t="n">
        <v>6</v>
      </c>
      <c r="L12" s="7" t="n">
        <v>12</v>
      </c>
      <c r="M12" s="3" t="n">
        <f aca="false">SUMIFS(Seasons!$D$2:$D$2865,Seasons!$A$2:$A$2865,B12)</f>
        <v>9654</v>
      </c>
      <c r="N12" s="3" t="n">
        <f aca="false">SUMIFS(Seasons!$E$2:$E$2865,Seasons!$A$2:$A$2865,B12)</f>
        <v>9714</v>
      </c>
      <c r="O12" s="3" t="n">
        <f aca="false">F12-M12</f>
        <v>84</v>
      </c>
      <c r="P12" s="3" t="n">
        <f aca="false">G12-N12</f>
        <v>78</v>
      </c>
      <c r="Q12" s="3" t="n">
        <f aca="false">O12+P12</f>
        <v>162</v>
      </c>
      <c r="R12" s="3" t="str">
        <f aca="false">IF(Q12=162,"OK",IF(ABS(Q12-162)&lt;=3,"near","CHECK"))</f>
        <v>OK</v>
      </c>
      <c r="S12" s="3" t="n">
        <f aca="false">SUMIFS(Seasons!$N$2:$N$2865,Seasons!$A$2:$A$2865,B12,Seasons!$B$2:$B$2865,"&gt;=1903")</f>
        <v>3</v>
      </c>
      <c r="T12" s="3" t="n">
        <f aca="false">SUMIFS(Seasons!$M$2:$M$2865,Seasons!$A$2:$A$2865,B12,Seasons!$B$2:$B$2865,"&gt;=1903")</f>
        <v>5</v>
      </c>
      <c r="U12" s="3" t="n">
        <f aca="false">SUMIFS(Seasons!$L$2:$L$2865,Seasons!$A$2:$A$2865,B12,Seasons!$B$2:$B$2865,"&gt;=1903")</f>
        <v>11</v>
      </c>
      <c r="V12" s="3" t="n">
        <f aca="false">K12-T12</f>
        <v>1</v>
      </c>
      <c r="W12" s="3" t="n">
        <f aca="false">L12-U12</f>
        <v>1</v>
      </c>
      <c r="X12" s="3" t="n">
        <f aca="false">I12-S12</f>
        <v>0</v>
      </c>
    </row>
    <row r="13" customFormat="false" ht="15" hidden="false" customHeight="true" outlineLevel="0" collapsed="false">
      <c r="A13" s="3" t="s">
        <v>367</v>
      </c>
      <c r="B13" s="3" t="s">
        <v>66</v>
      </c>
      <c r="C13" s="3" t="s">
        <v>55</v>
      </c>
      <c r="D13" s="3" t="s">
        <v>55</v>
      </c>
      <c r="E13" s="7" t="n">
        <v>1901</v>
      </c>
      <c r="F13" s="7" t="n">
        <v>10025</v>
      </c>
      <c r="G13" s="7" t="n">
        <v>9520</v>
      </c>
      <c r="H13" s="21" t="n">
        <f aca="false">F13/(F13+G13)</f>
        <v>0.512918905090816</v>
      </c>
      <c r="I13" s="7" t="n">
        <v>2</v>
      </c>
      <c r="J13" s="7" t="n">
        <v>14</v>
      </c>
      <c r="K13" s="7" t="n">
        <v>6</v>
      </c>
      <c r="L13" s="7" t="n">
        <v>19</v>
      </c>
      <c r="M13" s="3" t="n">
        <f aca="false">SUMIFS(Seasons!$D$2:$D$2865,Seasons!$A$2:$A$2865,B13)</f>
        <v>9940</v>
      </c>
      <c r="N13" s="3" t="n">
        <f aca="false">SUMIFS(Seasons!$E$2:$E$2865,Seasons!$A$2:$A$2865,B13)</f>
        <v>9443</v>
      </c>
      <c r="O13" s="3" t="n">
        <f aca="false">F13-M13</f>
        <v>85</v>
      </c>
      <c r="P13" s="3" t="n">
        <f aca="false">G13-N13</f>
        <v>77</v>
      </c>
      <c r="Q13" s="3" t="n">
        <f aca="false">O13+P13</f>
        <v>162</v>
      </c>
      <c r="R13" s="3" t="str">
        <f aca="false">IF(Q13=162,"OK",IF(ABS(Q13-162)&lt;=3,"near","CHECK"))</f>
        <v>OK</v>
      </c>
      <c r="S13" s="3" t="n">
        <f aca="false">SUMIFS(Seasons!$N$2:$N$2865,Seasons!$A$2:$A$2865,B13,Seasons!$B$2:$B$2865,"&gt;=1903")</f>
        <v>2</v>
      </c>
      <c r="T13" s="3" t="n">
        <f aca="false">SUMIFS(Seasons!$M$2:$M$2865,Seasons!$A$2:$A$2865,B13,Seasons!$B$2:$B$2865,"&gt;=1903")</f>
        <v>6</v>
      </c>
      <c r="U13" s="3" t="n">
        <f aca="false">SUMIFS(Seasons!$L$2:$L$2865,Seasons!$A$2:$A$2865,B13,Seasons!$B$2:$B$2865,"&gt;=1903")</f>
        <v>18</v>
      </c>
      <c r="V13" s="3" t="n">
        <f aca="false">K13-T13</f>
        <v>0</v>
      </c>
      <c r="W13" s="3" t="n">
        <f aca="false">L13-U13</f>
        <v>1</v>
      </c>
      <c r="X13" s="3" t="n">
        <f aca="false">I13-S13</f>
        <v>0</v>
      </c>
    </row>
    <row r="14" customFormat="false" ht="15" hidden="false" customHeight="true" outlineLevel="0" collapsed="false">
      <c r="A14" s="3" t="s">
        <v>368</v>
      </c>
      <c r="B14" s="3" t="s">
        <v>67</v>
      </c>
      <c r="C14" s="3" t="s">
        <v>55</v>
      </c>
      <c r="D14" s="3" t="s">
        <v>55</v>
      </c>
      <c r="E14" s="7" t="n">
        <v>1901</v>
      </c>
      <c r="F14" s="7" t="n">
        <v>9839</v>
      </c>
      <c r="G14" s="7" t="n">
        <v>9728</v>
      </c>
      <c r="H14" s="21" t="n">
        <f aca="false">F14/(F14+G14)</f>
        <v>0.502836408238361</v>
      </c>
      <c r="I14" s="7" t="n">
        <v>4</v>
      </c>
      <c r="J14" s="7" t="n">
        <v>7</v>
      </c>
      <c r="K14" s="7" t="n">
        <v>11</v>
      </c>
      <c r="L14" s="7" t="n">
        <v>18</v>
      </c>
      <c r="M14" s="3" t="n">
        <f aca="false">SUMIFS(Seasons!$D$2:$D$2865,Seasons!$A$2:$A$2865,B14)</f>
        <v>9763</v>
      </c>
      <c r="N14" s="3" t="n">
        <f aca="false">SUMIFS(Seasons!$E$2:$E$2865,Seasons!$A$2:$A$2865,B14)</f>
        <v>9642</v>
      </c>
      <c r="O14" s="3" t="n">
        <f aca="false">F14-M14</f>
        <v>76</v>
      </c>
      <c r="P14" s="3" t="n">
        <f aca="false">G14-N14</f>
        <v>86</v>
      </c>
      <c r="Q14" s="3" t="n">
        <f aca="false">O14+P14</f>
        <v>162</v>
      </c>
      <c r="R14" s="3" t="str">
        <f aca="false">IF(Q14=162,"OK",IF(ABS(Q14-162)&lt;=3,"near","CHECK"))</f>
        <v>OK</v>
      </c>
      <c r="S14" s="3" t="n">
        <f aca="false">SUMIFS(Seasons!$N$2:$N$2865,Seasons!$A$2:$A$2865,B14,Seasons!$B$2:$B$2865,"&gt;=1903")</f>
        <v>4</v>
      </c>
      <c r="T14" s="3" t="n">
        <f aca="false">SUMIFS(Seasons!$M$2:$M$2865,Seasons!$A$2:$A$2865,B14,Seasons!$B$2:$B$2865,"&gt;=1903")</f>
        <v>11</v>
      </c>
      <c r="U14" s="3" t="n">
        <f aca="false">SUMIFS(Seasons!$L$2:$L$2865,Seasons!$A$2:$A$2865,B14,Seasons!$B$2:$B$2865,"&gt;=1903")</f>
        <v>18</v>
      </c>
      <c r="V14" s="3" t="n">
        <f aca="false">K14-T14</f>
        <v>0</v>
      </c>
      <c r="W14" s="3" t="n">
        <f aca="false">L14-U14</f>
        <v>0</v>
      </c>
      <c r="X14" s="3" t="n">
        <f aca="false">I14-S14</f>
        <v>0</v>
      </c>
    </row>
    <row r="15" customFormat="false" ht="15" hidden="false" customHeight="true" outlineLevel="0" collapsed="false">
      <c r="A15" s="3" t="s">
        <v>369</v>
      </c>
      <c r="B15" s="3" t="s">
        <v>68</v>
      </c>
      <c r="C15" s="3" t="s">
        <v>55</v>
      </c>
      <c r="D15" s="3" t="s">
        <v>55</v>
      </c>
      <c r="E15" s="7" t="n">
        <v>1901</v>
      </c>
      <c r="F15" s="7" t="n">
        <v>9406</v>
      </c>
      <c r="G15" s="7" t="n">
        <v>10132</v>
      </c>
      <c r="H15" s="21" t="n">
        <f aca="false">F15/(F15+G15)</f>
        <v>0.481420820964275</v>
      </c>
      <c r="I15" s="7" t="n">
        <v>3</v>
      </c>
      <c r="J15" s="7" t="n">
        <v>13</v>
      </c>
      <c r="K15" s="7" t="n">
        <v>6</v>
      </c>
      <c r="L15" s="7" t="n">
        <v>18</v>
      </c>
      <c r="M15" s="3" t="n">
        <f aca="false">SUMIFS(Seasons!$D$2:$D$2865,Seasons!$A$2:$A$2865,B15)</f>
        <v>9329</v>
      </c>
      <c r="N15" s="3" t="n">
        <f aca="false">SUMIFS(Seasons!$E$2:$E$2865,Seasons!$A$2:$A$2865,B15)</f>
        <v>10047</v>
      </c>
      <c r="O15" s="3" t="n">
        <f aca="false">F15-M15</f>
        <v>77</v>
      </c>
      <c r="P15" s="3" t="n">
        <f aca="false">G15-N15</f>
        <v>85</v>
      </c>
      <c r="Q15" s="3" t="n">
        <f aca="false">O15+P15</f>
        <v>162</v>
      </c>
      <c r="R15" s="3" t="str">
        <f aca="false">IF(Q15=162,"OK",IF(ABS(Q15-162)&lt;=3,"near","CHECK"))</f>
        <v>OK</v>
      </c>
      <c r="S15" s="3" t="n">
        <f aca="false">SUMIFS(Seasons!$N$2:$N$2865,Seasons!$A$2:$A$2865,B15,Seasons!$B$2:$B$2865,"&gt;=1903")</f>
        <v>3</v>
      </c>
      <c r="T15" s="3" t="n">
        <f aca="false">SUMIFS(Seasons!$M$2:$M$2865,Seasons!$A$2:$A$2865,B15,Seasons!$B$2:$B$2865,"&gt;=1903")</f>
        <v>6</v>
      </c>
      <c r="U15" s="3" t="n">
        <f aca="false">SUMIFS(Seasons!$L$2:$L$2865,Seasons!$A$2:$A$2865,B15,Seasons!$B$2:$B$2865,"&gt;=1903")</f>
        <v>18</v>
      </c>
      <c r="V15" s="3" t="n">
        <f aca="false">K15-T15</f>
        <v>0</v>
      </c>
      <c r="W15" s="3" t="n">
        <f aca="false">L15-U15</f>
        <v>0</v>
      </c>
      <c r="X15" s="3" t="n">
        <f aca="false">I15-S15</f>
        <v>0</v>
      </c>
    </row>
    <row r="16" customFormat="false" ht="15" hidden="false" customHeight="true" outlineLevel="0" collapsed="false">
      <c r="A16" s="3" t="s">
        <v>370</v>
      </c>
      <c r="B16" s="3" t="s">
        <v>69</v>
      </c>
      <c r="C16" s="3" t="s">
        <v>55</v>
      </c>
      <c r="D16" s="3" t="s">
        <v>55</v>
      </c>
      <c r="E16" s="7" t="n">
        <v>1901</v>
      </c>
      <c r="F16" s="7" t="n">
        <v>9469</v>
      </c>
      <c r="G16" s="7" t="n">
        <v>10043</v>
      </c>
      <c r="H16" s="21" t="n">
        <f aca="false">F16/(F16+G16)</f>
        <v>0.485291102911029</v>
      </c>
      <c r="I16" s="7" t="n">
        <v>9</v>
      </c>
      <c r="J16" s="7" t="n">
        <v>17</v>
      </c>
      <c r="K16" s="7" t="n">
        <v>15</v>
      </c>
      <c r="L16" s="7" t="n">
        <v>29</v>
      </c>
      <c r="M16" s="3" t="n">
        <f aca="false">SUMIFS(Seasons!$D$2:$D$2865,Seasons!$A$2:$A$2865,B16)</f>
        <v>9405</v>
      </c>
      <c r="N16" s="3" t="n">
        <f aca="false">SUMIFS(Seasons!$E$2:$E$2865,Seasons!$A$2:$A$2865,B16)</f>
        <v>9945</v>
      </c>
      <c r="O16" s="3" t="n">
        <f aca="false">F16-M16</f>
        <v>64</v>
      </c>
      <c r="P16" s="3" t="n">
        <f aca="false">G16-N16</f>
        <v>98</v>
      </c>
      <c r="Q16" s="3" t="n">
        <f aca="false">O16+P16</f>
        <v>162</v>
      </c>
      <c r="R16" s="3" t="str">
        <f aca="false">IF(Q16=162,"OK",IF(ABS(Q16-162)&lt;=3,"near","CHECK"))</f>
        <v>OK</v>
      </c>
      <c r="S16" s="3" t="n">
        <f aca="false">SUMIFS(Seasons!$N$2:$N$2865,Seasons!$A$2:$A$2865,B16,Seasons!$B$2:$B$2865,"&gt;=1903")</f>
        <v>9</v>
      </c>
      <c r="T16" s="3" t="n">
        <f aca="false">SUMIFS(Seasons!$M$2:$M$2865,Seasons!$A$2:$A$2865,B16,Seasons!$B$2:$B$2865,"&gt;=1903")</f>
        <v>14</v>
      </c>
      <c r="U16" s="3" t="n">
        <f aca="false">SUMIFS(Seasons!$L$2:$L$2865,Seasons!$A$2:$A$2865,B16,Seasons!$B$2:$B$2865,"&gt;=1903")</f>
        <v>29</v>
      </c>
      <c r="V16" s="3" t="n">
        <f aca="false">K16-T16</f>
        <v>1</v>
      </c>
      <c r="W16" s="3" t="n">
        <f aca="false">L16-U16</f>
        <v>0</v>
      </c>
      <c r="X16" s="3" t="n">
        <f aca="false">I16-S16</f>
        <v>0</v>
      </c>
    </row>
    <row r="17" customFormat="false" ht="15" hidden="false" customHeight="true" outlineLevel="0" collapsed="false">
      <c r="A17" s="3" t="s">
        <v>371</v>
      </c>
      <c r="B17" s="3" t="s">
        <v>70</v>
      </c>
      <c r="C17" s="3" t="s">
        <v>55</v>
      </c>
      <c r="D17" s="3" t="s">
        <v>55</v>
      </c>
      <c r="E17" s="7" t="n">
        <v>1903</v>
      </c>
      <c r="F17" s="7" t="n">
        <v>10965</v>
      </c>
      <c r="G17" s="7" t="n">
        <v>8284</v>
      </c>
      <c r="H17" s="21" t="n">
        <f aca="false">F17/(F17+G17)</f>
        <v>0.56963998129773</v>
      </c>
      <c r="I17" s="7" t="n">
        <v>27</v>
      </c>
      <c r="J17" s="7" t="n">
        <v>21</v>
      </c>
      <c r="K17" s="7" t="n">
        <v>41</v>
      </c>
      <c r="L17" s="7" t="n">
        <v>61</v>
      </c>
      <c r="M17" s="3" t="n">
        <f aca="false">SUMIFS(Seasons!$D$2:$D$2865,Seasons!$A$2:$A$2865,B17)</f>
        <v>10872</v>
      </c>
      <c r="N17" s="3" t="n">
        <f aca="false">SUMIFS(Seasons!$E$2:$E$2865,Seasons!$A$2:$A$2865,B17)</f>
        <v>8216</v>
      </c>
      <c r="O17" s="3" t="n">
        <f aca="false">F17-M17</f>
        <v>93</v>
      </c>
      <c r="P17" s="3" t="n">
        <f aca="false">G17-N17</f>
        <v>68</v>
      </c>
      <c r="Q17" s="3" t="n">
        <f aca="false">O17+P17</f>
        <v>161</v>
      </c>
      <c r="R17" s="3" t="str">
        <f aca="false">IF(Q17=162,"OK",IF(ABS(Q17-162)&lt;=3,"near","CHECK"))</f>
        <v>near</v>
      </c>
      <c r="S17" s="3" t="n">
        <f aca="false">SUMIFS(Seasons!$N$2:$N$2865,Seasons!$A$2:$A$2865,B17,Seasons!$B$2:$B$2865,"&gt;=1903")</f>
        <v>27</v>
      </c>
      <c r="T17" s="3" t="n">
        <f aca="false">SUMIFS(Seasons!$M$2:$M$2865,Seasons!$A$2:$A$2865,B17,Seasons!$B$2:$B$2865,"&gt;=1903")</f>
        <v>41</v>
      </c>
      <c r="U17" s="3" t="n">
        <f aca="false">SUMIFS(Seasons!$L$2:$L$2865,Seasons!$A$2:$A$2865,B17,Seasons!$B$2:$B$2865,"&gt;=1903")</f>
        <v>60</v>
      </c>
      <c r="V17" s="3" t="n">
        <f aca="false">K17-T17</f>
        <v>0</v>
      </c>
      <c r="W17" s="3" t="n">
        <f aca="false">L17-U17</f>
        <v>1</v>
      </c>
      <c r="X17" s="3" t="n">
        <f aca="false">I17-S17</f>
        <v>0</v>
      </c>
    </row>
    <row r="18" customFormat="false" ht="15" hidden="false" customHeight="true" outlineLevel="0" collapsed="false">
      <c r="A18" s="3" t="s">
        <v>372</v>
      </c>
      <c r="B18" s="3" t="s">
        <v>71</v>
      </c>
      <c r="C18" s="3" t="s">
        <v>72</v>
      </c>
      <c r="D18" s="3" t="s">
        <v>373</v>
      </c>
      <c r="E18" s="7" t="n">
        <v>1961</v>
      </c>
      <c r="F18" s="7" t="n">
        <v>5155</v>
      </c>
      <c r="G18" s="7" t="n">
        <v>5305</v>
      </c>
      <c r="H18" s="21" t="n">
        <f aca="false">F18/(F18+G18)</f>
        <v>0.49282982791587</v>
      </c>
      <c r="I18" s="7" t="n">
        <v>1</v>
      </c>
      <c r="J18" s="7" t="n">
        <v>9</v>
      </c>
      <c r="K18" s="7" t="n">
        <v>1</v>
      </c>
      <c r="L18" s="7" t="n">
        <v>10</v>
      </c>
      <c r="M18" s="3" t="n">
        <f aca="false">SUMIFS(Seasons!$D$2:$D$2865,Seasons!$A$2:$A$2865,B18)</f>
        <v>5093</v>
      </c>
      <c r="N18" s="3" t="n">
        <f aca="false">SUMIFS(Seasons!$E$2:$E$2865,Seasons!$A$2:$A$2865,B18)</f>
        <v>5205</v>
      </c>
      <c r="O18" s="3" t="n">
        <f aca="false">F18-M18</f>
        <v>62</v>
      </c>
      <c r="P18" s="3" t="n">
        <f aca="false">G18-N18</f>
        <v>100</v>
      </c>
      <c r="Q18" s="3" t="n">
        <f aca="false">O18+P18</f>
        <v>162</v>
      </c>
      <c r="R18" s="3" t="str">
        <f aca="false">IF(Q18=162,"OK",IF(ABS(Q18-162)&lt;=3,"near","CHECK"))</f>
        <v>OK</v>
      </c>
      <c r="S18" s="3" t="n">
        <f aca="false">SUMIFS(Seasons!$N$2:$N$2865,Seasons!$A$2:$A$2865,B18,Seasons!$B$2:$B$2865,"&gt;=1903")</f>
        <v>1</v>
      </c>
      <c r="T18" s="3" t="n">
        <f aca="false">SUMIFS(Seasons!$M$2:$M$2865,Seasons!$A$2:$A$2865,B18,Seasons!$B$2:$B$2865,"&gt;=1903")</f>
        <v>1</v>
      </c>
      <c r="U18" s="3" t="n">
        <f aca="false">SUMIFS(Seasons!$L$2:$L$2865,Seasons!$A$2:$A$2865,B18,Seasons!$B$2:$B$2865,"&gt;=1903")</f>
        <v>10</v>
      </c>
      <c r="V18" s="3" t="n">
        <f aca="false">K18-T18</f>
        <v>0</v>
      </c>
      <c r="W18" s="3" t="n">
        <f aca="false">L18-U18</f>
        <v>0</v>
      </c>
      <c r="X18" s="3" t="n">
        <f aca="false">I18-S18</f>
        <v>0</v>
      </c>
    </row>
    <row r="19" customFormat="false" ht="15" hidden="false" customHeight="true" outlineLevel="0" collapsed="false">
      <c r="A19" s="3" t="s">
        <v>374</v>
      </c>
      <c r="B19" s="3" t="s">
        <v>73</v>
      </c>
      <c r="C19" s="3" t="s">
        <v>72</v>
      </c>
      <c r="D19" s="3" t="s">
        <v>373</v>
      </c>
      <c r="E19" s="7" t="n">
        <v>1961</v>
      </c>
      <c r="F19" s="7" t="n">
        <v>4979</v>
      </c>
      <c r="G19" s="7" t="n">
        <v>5465</v>
      </c>
      <c r="H19" s="21" t="n">
        <f aca="false">F19/(F19+G19)</f>
        <v>0.476733052470318</v>
      </c>
      <c r="I19" s="7" t="n">
        <v>1</v>
      </c>
      <c r="J19" s="7" t="n">
        <v>7</v>
      </c>
      <c r="K19" s="7" t="n">
        <v>3</v>
      </c>
      <c r="L19" s="7" t="n">
        <v>9</v>
      </c>
      <c r="M19" s="3" t="n">
        <f aca="false">SUMIFS(Seasons!$D$2:$D$2865,Seasons!$A$2:$A$2865,B19)</f>
        <v>4899</v>
      </c>
      <c r="N19" s="3" t="n">
        <f aca="false">SUMIFS(Seasons!$E$2:$E$2865,Seasons!$A$2:$A$2865,B19)</f>
        <v>5383</v>
      </c>
      <c r="O19" s="3" t="n">
        <f aca="false">F19-M19</f>
        <v>80</v>
      </c>
      <c r="P19" s="3" t="n">
        <f aca="false">G19-N19</f>
        <v>82</v>
      </c>
      <c r="Q19" s="3" t="n">
        <f aca="false">O19+P19</f>
        <v>162</v>
      </c>
      <c r="R19" s="3" t="str">
        <f aca="false">IF(Q19=162,"OK",IF(ABS(Q19-162)&lt;=3,"near","CHECK"))</f>
        <v>OK</v>
      </c>
      <c r="S19" s="3" t="n">
        <f aca="false">SUMIFS(Seasons!$N$2:$N$2865,Seasons!$A$2:$A$2865,B19,Seasons!$B$2:$B$2865,"&gt;=1903")</f>
        <v>1</v>
      </c>
      <c r="T19" s="3" t="n">
        <f aca="false">SUMIFS(Seasons!$M$2:$M$2865,Seasons!$A$2:$A$2865,B19,Seasons!$B$2:$B$2865,"&gt;=1903")</f>
        <v>3</v>
      </c>
      <c r="U19" s="3" t="n">
        <f aca="false">SUMIFS(Seasons!$L$2:$L$2865,Seasons!$A$2:$A$2865,B19,Seasons!$B$2:$B$2865,"&gt;=1903")</f>
        <v>9</v>
      </c>
      <c r="V19" s="3" t="n">
        <f aca="false">K19-T19</f>
        <v>0</v>
      </c>
      <c r="W19" s="3" t="n">
        <f aca="false">L19-U19</f>
        <v>0</v>
      </c>
      <c r="X19" s="3" t="n">
        <f aca="false">I19-S19</f>
        <v>0</v>
      </c>
    </row>
    <row r="20" customFormat="false" ht="15" hidden="false" customHeight="true" outlineLevel="0" collapsed="false">
      <c r="A20" s="3" t="s">
        <v>375</v>
      </c>
      <c r="B20" s="3" t="s">
        <v>74</v>
      </c>
      <c r="C20" s="3" t="s">
        <v>72</v>
      </c>
      <c r="D20" s="3" t="s">
        <v>373</v>
      </c>
      <c r="E20" s="7" t="n">
        <v>1962</v>
      </c>
      <c r="F20" s="7" t="n">
        <v>5177</v>
      </c>
      <c r="G20" s="7" t="n">
        <v>5121</v>
      </c>
      <c r="H20" s="21" t="n">
        <f aca="false">F20/(F20+G20)</f>
        <v>0.502718974558167</v>
      </c>
      <c r="I20" s="7" t="n">
        <v>2</v>
      </c>
      <c r="J20" s="7" t="n">
        <v>15</v>
      </c>
      <c r="K20" s="7" t="n">
        <v>5</v>
      </c>
      <c r="L20" s="7" t="n">
        <v>19</v>
      </c>
      <c r="M20" s="3" t="n">
        <f aca="false">SUMIFS(Seasons!$D$2:$D$2865,Seasons!$A$2:$A$2865,B20)</f>
        <v>5096</v>
      </c>
      <c r="N20" s="3" t="n">
        <f aca="false">SUMIFS(Seasons!$E$2:$E$2865,Seasons!$A$2:$A$2865,B20)</f>
        <v>5040</v>
      </c>
      <c r="O20" s="3" t="n">
        <f aca="false">F20-M20</f>
        <v>81</v>
      </c>
      <c r="P20" s="3" t="n">
        <f aca="false">G20-N20</f>
        <v>81</v>
      </c>
      <c r="Q20" s="3" t="n">
        <f aca="false">O20+P20</f>
        <v>162</v>
      </c>
      <c r="R20" s="3" t="str">
        <f aca="false">IF(Q20=162,"OK",IF(ABS(Q20-162)&lt;=3,"near","CHECK"))</f>
        <v>OK</v>
      </c>
      <c r="S20" s="3" t="n">
        <f aca="false">SUMIFS(Seasons!$N$2:$N$2865,Seasons!$A$2:$A$2865,B20,Seasons!$B$2:$B$2865,"&gt;=1903")</f>
        <v>2</v>
      </c>
      <c r="T20" s="3" t="n">
        <f aca="false">SUMIFS(Seasons!$M$2:$M$2865,Seasons!$A$2:$A$2865,B20,Seasons!$B$2:$B$2865,"&gt;=1903")</f>
        <v>5</v>
      </c>
      <c r="U20" s="3" t="n">
        <f aca="false">SUMIFS(Seasons!$L$2:$L$2865,Seasons!$A$2:$A$2865,B20,Seasons!$B$2:$B$2865,"&gt;=1903")</f>
        <v>18</v>
      </c>
      <c r="V20" s="3" t="n">
        <f aca="false">K20-T20</f>
        <v>0</v>
      </c>
      <c r="W20" s="3" t="n">
        <f aca="false">L20-U20</f>
        <v>1</v>
      </c>
      <c r="X20" s="3" t="n">
        <f aca="false">I20-S20</f>
        <v>0</v>
      </c>
    </row>
    <row r="21" customFormat="false" ht="15" hidden="false" customHeight="true" outlineLevel="0" collapsed="false">
      <c r="A21" s="3" t="s">
        <v>376</v>
      </c>
      <c r="B21" s="3" t="s">
        <v>75</v>
      </c>
      <c r="C21" s="3" t="s">
        <v>72</v>
      </c>
      <c r="D21" s="3" t="s">
        <v>373</v>
      </c>
      <c r="E21" s="7" t="n">
        <v>1962</v>
      </c>
      <c r="F21" s="7" t="n">
        <v>4973</v>
      </c>
      <c r="G21" s="7" t="n">
        <v>5315</v>
      </c>
      <c r="H21" s="21" t="n">
        <f aca="false">F21/(F21+G21)</f>
        <v>0.483378693623639</v>
      </c>
      <c r="I21" s="7" t="n">
        <v>2</v>
      </c>
      <c r="J21" s="7" t="n">
        <v>6</v>
      </c>
      <c r="K21" s="7" t="n">
        <v>5</v>
      </c>
      <c r="L21" s="7" t="n">
        <v>11</v>
      </c>
      <c r="M21" s="3" t="n">
        <f aca="false">SUMIFS(Seasons!$D$2:$D$2865,Seasons!$A$2:$A$2865,B21)</f>
        <v>4899</v>
      </c>
      <c r="N21" s="3" t="n">
        <f aca="false">SUMIFS(Seasons!$E$2:$E$2865,Seasons!$A$2:$A$2865,B21)</f>
        <v>5227</v>
      </c>
      <c r="O21" s="3" t="n">
        <f aca="false">F21-M21</f>
        <v>74</v>
      </c>
      <c r="P21" s="3" t="n">
        <f aca="false">G21-N21</f>
        <v>88</v>
      </c>
      <c r="Q21" s="3" t="n">
        <f aca="false">O21+P21</f>
        <v>162</v>
      </c>
      <c r="R21" s="3" t="str">
        <f aca="false">IF(Q21=162,"OK",IF(ABS(Q21-162)&lt;=3,"near","CHECK"))</f>
        <v>OK</v>
      </c>
      <c r="S21" s="3" t="n">
        <f aca="false">SUMIFS(Seasons!$N$2:$N$2865,Seasons!$A$2:$A$2865,B21,Seasons!$B$2:$B$2865,"&gt;=1903")</f>
        <v>2</v>
      </c>
      <c r="T21" s="3" t="n">
        <f aca="false">SUMIFS(Seasons!$M$2:$M$2865,Seasons!$A$2:$A$2865,B21,Seasons!$B$2:$B$2865,"&gt;=1903")</f>
        <v>5</v>
      </c>
      <c r="U21" s="3" t="n">
        <f aca="false">SUMIFS(Seasons!$L$2:$L$2865,Seasons!$A$2:$A$2865,B21,Seasons!$B$2:$B$2865,"&gt;=1903")</f>
        <v>11</v>
      </c>
      <c r="V21" s="3" t="n">
        <f aca="false">K21-T21</f>
        <v>0</v>
      </c>
      <c r="W21" s="3" t="n">
        <f aca="false">L21-U21</f>
        <v>0</v>
      </c>
      <c r="X21" s="3" t="n">
        <f aca="false">I21-S21</f>
        <v>0</v>
      </c>
    </row>
    <row r="22" customFormat="false" ht="15" hidden="false" customHeight="true" outlineLevel="0" collapsed="false">
      <c r="A22" s="3" t="s">
        <v>377</v>
      </c>
      <c r="B22" s="3" t="s">
        <v>76</v>
      </c>
      <c r="C22" s="3" t="s">
        <v>72</v>
      </c>
      <c r="D22" s="3" t="s">
        <v>378</v>
      </c>
      <c r="E22" s="7" t="n">
        <v>1969</v>
      </c>
      <c r="F22" s="7" t="n">
        <v>4359</v>
      </c>
      <c r="G22" s="7" t="n">
        <v>4796</v>
      </c>
      <c r="H22" s="21" t="n">
        <f aca="false">F22/(F22+G22)</f>
        <v>0.476133260513381</v>
      </c>
      <c r="I22" s="7" t="n">
        <v>2</v>
      </c>
      <c r="J22" s="7" t="n">
        <v>8</v>
      </c>
      <c r="K22" s="7" t="n">
        <v>4</v>
      </c>
      <c r="L22" s="7" t="n">
        <v>10</v>
      </c>
      <c r="M22" s="3" t="n">
        <f aca="false">SUMIFS(Seasons!$D$2:$D$2865,Seasons!$A$2:$A$2865,B22)</f>
        <v>4290</v>
      </c>
      <c r="N22" s="3" t="n">
        <f aca="false">SUMIFS(Seasons!$E$2:$E$2865,Seasons!$A$2:$A$2865,B22)</f>
        <v>4703</v>
      </c>
      <c r="O22" s="3" t="n">
        <f aca="false">F22-M22</f>
        <v>69</v>
      </c>
      <c r="P22" s="3" t="n">
        <f aca="false">G22-N22</f>
        <v>93</v>
      </c>
      <c r="Q22" s="3" t="n">
        <f aca="false">O22+P22</f>
        <v>162</v>
      </c>
      <c r="R22" s="3" t="str">
        <f aca="false">IF(Q22=162,"OK",IF(ABS(Q22-162)&lt;=3,"near","CHECK"))</f>
        <v>OK</v>
      </c>
      <c r="S22" s="3" t="n">
        <f aca="false">SUMIFS(Seasons!$N$2:$N$2865,Seasons!$A$2:$A$2865,B22,Seasons!$B$2:$B$2865,"&gt;=1903")</f>
        <v>2</v>
      </c>
      <c r="T22" s="3" t="n">
        <f aca="false">SUMIFS(Seasons!$M$2:$M$2865,Seasons!$A$2:$A$2865,B22,Seasons!$B$2:$B$2865,"&gt;=1903")</f>
        <v>4</v>
      </c>
      <c r="U22" s="3" t="n">
        <f aca="false">SUMIFS(Seasons!$L$2:$L$2865,Seasons!$A$2:$A$2865,B22,Seasons!$B$2:$B$2865,"&gt;=1903")</f>
        <v>10</v>
      </c>
      <c r="V22" s="3" t="n">
        <f aca="false">K22-T22</f>
        <v>0</v>
      </c>
      <c r="W22" s="3" t="n">
        <f aca="false">L22-U22</f>
        <v>0</v>
      </c>
      <c r="X22" s="3" t="n">
        <f aca="false">I22-S22</f>
        <v>0</v>
      </c>
    </row>
    <row r="23" customFormat="false" ht="15" hidden="false" customHeight="true" outlineLevel="0" collapsed="false">
      <c r="A23" s="3" t="s">
        <v>379</v>
      </c>
      <c r="B23" s="3" t="s">
        <v>77</v>
      </c>
      <c r="C23" s="3" t="s">
        <v>72</v>
      </c>
      <c r="D23" s="3" t="s">
        <v>378</v>
      </c>
      <c r="E23" s="7" t="n">
        <v>1969</v>
      </c>
      <c r="F23" s="7" t="n">
        <v>4508</v>
      </c>
      <c r="G23" s="7" t="n">
        <v>4654</v>
      </c>
      <c r="H23" s="21" t="n">
        <f aca="false">F23/(F23+G23)</f>
        <v>0.492032307356472</v>
      </c>
      <c r="I23" s="7" t="n">
        <v>0</v>
      </c>
      <c r="J23" s="7" t="n">
        <v>9</v>
      </c>
      <c r="K23" s="7" t="n">
        <v>1</v>
      </c>
      <c r="L23" s="7" t="n">
        <v>12</v>
      </c>
      <c r="M23" s="3" t="n">
        <f aca="false">SUMIFS(Seasons!$D$2:$D$2865,Seasons!$A$2:$A$2865,B23)</f>
        <v>4405</v>
      </c>
      <c r="N23" s="3" t="n">
        <f aca="false">SUMIFS(Seasons!$E$2:$E$2865,Seasons!$A$2:$A$2865,B23)</f>
        <v>4595</v>
      </c>
      <c r="O23" s="3" t="n">
        <f aca="false">F23-M23</f>
        <v>103</v>
      </c>
      <c r="P23" s="3" t="n">
        <f aca="false">G23-N23</f>
        <v>59</v>
      </c>
      <c r="Q23" s="3" t="n">
        <f aca="false">O23+P23</f>
        <v>162</v>
      </c>
      <c r="R23" s="3" t="str">
        <f aca="false">IF(Q23=162,"OK",IF(ABS(Q23-162)&lt;=3,"near","CHECK"))</f>
        <v>OK</v>
      </c>
      <c r="S23" s="3" t="n">
        <f aca="false">SUMIFS(Seasons!$N$2:$N$2865,Seasons!$A$2:$A$2865,B23,Seasons!$B$2:$B$2865,"&gt;=1903")</f>
        <v>0</v>
      </c>
      <c r="T23" s="3" t="n">
        <f aca="false">SUMIFS(Seasons!$M$2:$M$2865,Seasons!$A$2:$A$2865,B23,Seasons!$B$2:$B$2865,"&gt;=1903")</f>
        <v>1</v>
      </c>
      <c r="U23" s="3" t="n">
        <f aca="false">SUMIFS(Seasons!$L$2:$L$2865,Seasons!$A$2:$A$2865,B23,Seasons!$B$2:$B$2865,"&gt;=1903")</f>
        <v>11</v>
      </c>
      <c r="V23" s="3" t="n">
        <f aca="false">K23-T23</f>
        <v>0</v>
      </c>
      <c r="W23" s="3" t="n">
        <f aca="false">L23-U23</f>
        <v>1</v>
      </c>
      <c r="X23" s="3" t="n">
        <f aca="false">I23-S23</f>
        <v>0</v>
      </c>
    </row>
    <row r="24" customFormat="false" ht="15" hidden="false" customHeight="true" outlineLevel="0" collapsed="false">
      <c r="A24" s="3" t="s">
        <v>380</v>
      </c>
      <c r="B24" s="3" t="s">
        <v>78</v>
      </c>
      <c r="C24" s="3" t="s">
        <v>72</v>
      </c>
      <c r="D24" s="3" t="s">
        <v>378</v>
      </c>
      <c r="E24" s="7" t="n">
        <v>1969</v>
      </c>
      <c r="F24" s="7" t="n">
        <v>4308</v>
      </c>
      <c r="G24" s="7" t="n">
        <v>4860</v>
      </c>
      <c r="H24" s="21" t="n">
        <f aca="false">F24/(F24+G24)</f>
        <v>0.469895287958115</v>
      </c>
      <c r="I24" s="7" t="n">
        <v>0</v>
      </c>
      <c r="J24" s="7" t="n">
        <v>5</v>
      </c>
      <c r="K24" s="7" t="n">
        <v>2</v>
      </c>
      <c r="L24" s="7" t="n">
        <v>10</v>
      </c>
      <c r="M24" s="3" t="n">
        <f aca="false">SUMIFS(Seasons!$D$2:$D$2865,Seasons!$A$2:$A$2865,B24)</f>
        <v>4217</v>
      </c>
      <c r="N24" s="3" t="n">
        <f aca="false">SUMIFS(Seasons!$E$2:$E$2865,Seasons!$A$2:$A$2865,B24)</f>
        <v>4789</v>
      </c>
      <c r="O24" s="3" t="n">
        <f aca="false">F24-M24</f>
        <v>91</v>
      </c>
      <c r="P24" s="3" t="n">
        <f aca="false">G24-N24</f>
        <v>71</v>
      </c>
      <c r="Q24" s="3" t="n">
        <f aca="false">O24+P24</f>
        <v>162</v>
      </c>
      <c r="R24" s="3" t="str">
        <f aca="false">IF(Q24=162,"OK",IF(ABS(Q24-162)&lt;=3,"near","CHECK"))</f>
        <v>OK</v>
      </c>
      <c r="S24" s="3" t="n">
        <f aca="false">SUMIFS(Seasons!$N$2:$N$2865,Seasons!$A$2:$A$2865,B24,Seasons!$B$2:$B$2865,"&gt;=1903")</f>
        <v>0</v>
      </c>
      <c r="T24" s="3" t="n">
        <f aca="false">SUMIFS(Seasons!$M$2:$M$2865,Seasons!$A$2:$A$2865,B24,Seasons!$B$2:$B$2865,"&gt;=1903")</f>
        <v>2</v>
      </c>
      <c r="U24" s="3" t="n">
        <f aca="false">SUMIFS(Seasons!$L$2:$L$2865,Seasons!$A$2:$A$2865,B24,Seasons!$B$2:$B$2865,"&gt;=1903")</f>
        <v>9</v>
      </c>
      <c r="V24" s="3" t="n">
        <f aca="false">K24-T24</f>
        <v>0</v>
      </c>
      <c r="W24" s="3" t="n">
        <f aca="false">L24-U24</f>
        <v>1</v>
      </c>
      <c r="X24" s="3" t="n">
        <f aca="false">I24-S24</f>
        <v>0</v>
      </c>
    </row>
    <row r="25" customFormat="false" ht="15" hidden="false" customHeight="true" outlineLevel="0" collapsed="false">
      <c r="A25" s="3" t="s">
        <v>381</v>
      </c>
      <c r="B25" s="3" t="s">
        <v>79</v>
      </c>
      <c r="C25" s="3" t="s">
        <v>72</v>
      </c>
      <c r="D25" s="3" t="s">
        <v>378</v>
      </c>
      <c r="E25" s="7" t="n">
        <v>1969</v>
      </c>
      <c r="F25" s="7" t="n">
        <v>4408</v>
      </c>
      <c r="G25" s="7" t="n">
        <v>4750</v>
      </c>
      <c r="H25" s="21" t="n">
        <f aca="false">F25/(F25+G25)</f>
        <v>0.481327800829876</v>
      </c>
      <c r="I25" s="7" t="n">
        <v>1</v>
      </c>
      <c r="J25" s="7" t="n">
        <v>5</v>
      </c>
      <c r="K25" s="7" t="n">
        <v>1</v>
      </c>
      <c r="L25" s="7" t="n">
        <v>6</v>
      </c>
      <c r="M25" s="3" t="n">
        <f aca="false">SUMIFS(Seasons!$D$2:$D$2865,Seasons!$A$2:$A$2865,B25)</f>
        <v>4331</v>
      </c>
      <c r="N25" s="3" t="n">
        <f aca="false">SUMIFS(Seasons!$E$2:$E$2865,Seasons!$A$2:$A$2865,B25)</f>
        <v>4665</v>
      </c>
      <c r="O25" s="3" t="n">
        <f aca="false">F25-M25</f>
        <v>77</v>
      </c>
      <c r="P25" s="3" t="n">
        <f aca="false">G25-N25</f>
        <v>85</v>
      </c>
      <c r="Q25" s="3" t="n">
        <f aca="false">O25+P25</f>
        <v>162</v>
      </c>
      <c r="R25" s="3" t="str">
        <f aca="false">IF(Q25=162,"OK",IF(ABS(Q25-162)&lt;=3,"near","CHECK"))</f>
        <v>OK</v>
      </c>
      <c r="S25" s="3" t="n">
        <f aca="false">SUMIFS(Seasons!$N$2:$N$2865,Seasons!$A$2:$A$2865,B25,Seasons!$B$2:$B$2865,"&gt;=1903")</f>
        <v>1</v>
      </c>
      <c r="T25" s="3" t="n">
        <f aca="false">SUMIFS(Seasons!$M$2:$M$2865,Seasons!$A$2:$A$2865,B25,Seasons!$B$2:$B$2865,"&gt;=1903")</f>
        <v>1</v>
      </c>
      <c r="U25" s="3" t="n">
        <f aca="false">SUMIFS(Seasons!$L$2:$L$2865,Seasons!$A$2:$A$2865,B25,Seasons!$B$2:$B$2865,"&gt;=1903")</f>
        <v>6</v>
      </c>
      <c r="V25" s="3" t="n">
        <f aca="false">K25-T25</f>
        <v>0</v>
      </c>
      <c r="W25" s="3" t="n">
        <f aca="false">L25-U25</f>
        <v>0</v>
      </c>
      <c r="X25" s="3" t="n">
        <f aca="false">I25-S25</f>
        <v>0</v>
      </c>
    </row>
    <row r="26" customFormat="false" ht="15" hidden="false" customHeight="true" outlineLevel="0" collapsed="false">
      <c r="A26" s="3" t="s">
        <v>382</v>
      </c>
      <c r="B26" s="3" t="s">
        <v>80</v>
      </c>
      <c r="C26" s="3" t="s">
        <v>72</v>
      </c>
      <c r="D26" s="3" t="s">
        <v>383</v>
      </c>
      <c r="E26" s="7" t="n">
        <v>1977</v>
      </c>
      <c r="F26" s="7" t="n">
        <v>3765</v>
      </c>
      <c r="G26" s="7" t="n">
        <v>4108</v>
      </c>
      <c r="H26" s="21" t="n">
        <f aca="false">F26/(F26+G26)</f>
        <v>0.478216689953004</v>
      </c>
      <c r="I26" s="7" t="n">
        <v>0</v>
      </c>
      <c r="J26" s="7" t="n">
        <v>4</v>
      </c>
      <c r="K26" s="7" t="n">
        <v>0</v>
      </c>
      <c r="L26" s="7" t="n">
        <v>6</v>
      </c>
      <c r="M26" s="3" t="n">
        <f aca="false">SUMIFS(Seasons!$D$2:$D$2865,Seasons!$A$2:$A$2865,B26)</f>
        <v>3689</v>
      </c>
      <c r="N26" s="3" t="n">
        <f aca="false">SUMIFS(Seasons!$E$2:$E$2865,Seasons!$A$2:$A$2865,B26)</f>
        <v>4022</v>
      </c>
      <c r="O26" s="3" t="n">
        <f aca="false">F26-M26</f>
        <v>76</v>
      </c>
      <c r="P26" s="3" t="n">
        <f aca="false">G26-N26</f>
        <v>86</v>
      </c>
      <c r="Q26" s="3" t="n">
        <f aca="false">O26+P26</f>
        <v>162</v>
      </c>
      <c r="R26" s="3" t="str">
        <f aca="false">IF(Q26=162,"OK",IF(ABS(Q26-162)&lt;=3,"near","CHECK"))</f>
        <v>OK</v>
      </c>
      <c r="S26" s="3" t="n">
        <f aca="false">SUMIFS(Seasons!$N$2:$N$2865,Seasons!$A$2:$A$2865,B26,Seasons!$B$2:$B$2865,"&gt;=1903")</f>
        <v>0</v>
      </c>
      <c r="T26" s="3" t="n">
        <f aca="false">SUMIFS(Seasons!$M$2:$M$2865,Seasons!$A$2:$A$2865,B26,Seasons!$B$2:$B$2865,"&gt;=1903")</f>
        <v>0</v>
      </c>
      <c r="U26" s="3" t="n">
        <f aca="false">SUMIFS(Seasons!$L$2:$L$2865,Seasons!$A$2:$A$2865,B26,Seasons!$B$2:$B$2865,"&gt;=1903")</f>
        <v>6</v>
      </c>
      <c r="V26" s="3" t="n">
        <f aca="false">K26-T26</f>
        <v>0</v>
      </c>
      <c r="W26" s="3" t="n">
        <f aca="false">L26-U26</f>
        <v>0</v>
      </c>
      <c r="X26" s="3" t="n">
        <f aca="false">I26-S26</f>
        <v>0</v>
      </c>
    </row>
    <row r="27" customFormat="false" ht="15" hidden="false" customHeight="true" outlineLevel="0" collapsed="false">
      <c r="A27" s="3" t="s">
        <v>384</v>
      </c>
      <c r="B27" s="3" t="s">
        <v>81</v>
      </c>
      <c r="C27" s="3" t="s">
        <v>72</v>
      </c>
      <c r="D27" s="3" t="s">
        <v>383</v>
      </c>
      <c r="E27" s="7" t="n">
        <v>1977</v>
      </c>
      <c r="F27" s="7" t="n">
        <v>3934</v>
      </c>
      <c r="G27" s="7" t="n">
        <v>3939</v>
      </c>
      <c r="H27" s="21" t="n">
        <f aca="false">F27/(F27+G27)</f>
        <v>0.499682459037216</v>
      </c>
      <c r="I27" s="7" t="n">
        <v>2</v>
      </c>
      <c r="J27" s="7" t="n">
        <v>7</v>
      </c>
      <c r="K27" s="7" t="n">
        <v>3</v>
      </c>
      <c r="L27" s="7" t="n">
        <v>11</v>
      </c>
      <c r="M27" s="3" t="n">
        <f aca="false">SUMIFS(Seasons!$D$2:$D$2865,Seasons!$A$2:$A$2865,B27)</f>
        <v>3855</v>
      </c>
      <c r="N27" s="3" t="n">
        <f aca="false">SUMIFS(Seasons!$E$2:$E$2865,Seasons!$A$2:$A$2865,B27)</f>
        <v>3856</v>
      </c>
      <c r="O27" s="3" t="n">
        <f aca="false">F27-M27</f>
        <v>79</v>
      </c>
      <c r="P27" s="3" t="n">
        <f aca="false">G27-N27</f>
        <v>83</v>
      </c>
      <c r="Q27" s="3" t="n">
        <f aca="false">O27+P27</f>
        <v>162</v>
      </c>
      <c r="R27" s="3" t="str">
        <f aca="false">IF(Q27=162,"OK",IF(ABS(Q27-162)&lt;=3,"near","CHECK"))</f>
        <v>OK</v>
      </c>
      <c r="S27" s="3" t="n">
        <f aca="false">SUMIFS(Seasons!$N$2:$N$2865,Seasons!$A$2:$A$2865,B27,Seasons!$B$2:$B$2865,"&gt;=1903")</f>
        <v>2</v>
      </c>
      <c r="T27" s="3" t="n">
        <f aca="false">SUMIFS(Seasons!$M$2:$M$2865,Seasons!$A$2:$A$2865,B27,Seasons!$B$2:$B$2865,"&gt;=1903")</f>
        <v>3</v>
      </c>
      <c r="U27" s="3" t="n">
        <f aca="false">SUMIFS(Seasons!$L$2:$L$2865,Seasons!$A$2:$A$2865,B27,Seasons!$B$2:$B$2865,"&gt;=1903")</f>
        <v>11</v>
      </c>
      <c r="V27" s="3" t="n">
        <f aca="false">K27-T27</f>
        <v>0</v>
      </c>
      <c r="W27" s="3" t="n">
        <f aca="false">L27-U27</f>
        <v>0</v>
      </c>
      <c r="X27" s="3" t="n">
        <f aca="false">I27-S27</f>
        <v>0</v>
      </c>
    </row>
    <row r="28" customFormat="false" ht="15" hidden="false" customHeight="true" outlineLevel="0" collapsed="false">
      <c r="A28" s="3" t="s">
        <v>385</v>
      </c>
      <c r="B28" s="3" t="s">
        <v>82</v>
      </c>
      <c r="C28" s="3" t="s">
        <v>72</v>
      </c>
      <c r="D28" s="3" t="s">
        <v>386</v>
      </c>
      <c r="E28" s="7" t="n">
        <v>1993</v>
      </c>
      <c r="F28" s="7" t="n">
        <v>2422</v>
      </c>
      <c r="G28" s="7" t="n">
        <v>2922</v>
      </c>
      <c r="H28" s="21" t="n">
        <f aca="false">F28/(F28+G28)</f>
        <v>0.453218562874252</v>
      </c>
      <c r="I28" s="7" t="n">
        <v>0</v>
      </c>
      <c r="J28" s="7" t="n">
        <v>0</v>
      </c>
      <c r="K28" s="7" t="n">
        <v>1</v>
      </c>
      <c r="L28" s="7" t="n">
        <v>5</v>
      </c>
      <c r="M28" s="3" t="n">
        <f aca="false">SUMIFS(Seasons!$D$2:$D$2865,Seasons!$A$2:$A$2865,B28)</f>
        <v>2364</v>
      </c>
      <c r="N28" s="3" t="n">
        <f aca="false">SUMIFS(Seasons!$E$2:$E$2865,Seasons!$A$2:$A$2865,B28)</f>
        <v>2818</v>
      </c>
      <c r="O28" s="3" t="n">
        <f aca="false">F28-M28</f>
        <v>58</v>
      </c>
      <c r="P28" s="3" t="n">
        <f aca="false">G28-N28</f>
        <v>104</v>
      </c>
      <c r="Q28" s="3" t="n">
        <f aca="false">O28+P28</f>
        <v>162</v>
      </c>
      <c r="R28" s="3" t="str">
        <f aca="false">IF(Q28=162,"OK",IF(ABS(Q28-162)&lt;=3,"near","CHECK"))</f>
        <v>OK</v>
      </c>
      <c r="S28" s="3" t="n">
        <f aca="false">SUMIFS(Seasons!$N$2:$N$2865,Seasons!$A$2:$A$2865,B28,Seasons!$B$2:$B$2865,"&gt;=1903")</f>
        <v>0</v>
      </c>
      <c r="T28" s="3" t="n">
        <f aca="false">SUMIFS(Seasons!$M$2:$M$2865,Seasons!$A$2:$A$2865,B28,Seasons!$B$2:$B$2865,"&gt;=1903")</f>
        <v>1</v>
      </c>
      <c r="U28" s="3" t="n">
        <f aca="false">SUMIFS(Seasons!$L$2:$L$2865,Seasons!$A$2:$A$2865,B28,Seasons!$B$2:$B$2865,"&gt;=1903")</f>
        <v>5</v>
      </c>
      <c r="V28" s="3" t="n">
        <f aca="false">K28-T28</f>
        <v>0</v>
      </c>
      <c r="W28" s="3" t="n">
        <f aca="false">L28-U28</f>
        <v>0</v>
      </c>
      <c r="X28" s="3" t="n">
        <f aca="false">I28-S28</f>
        <v>0</v>
      </c>
    </row>
    <row r="29" customFormat="false" ht="15" hidden="false" customHeight="true" outlineLevel="0" collapsed="false">
      <c r="A29" s="3" t="s">
        <v>387</v>
      </c>
      <c r="B29" s="3" t="s">
        <v>83</v>
      </c>
      <c r="C29" s="3" t="s">
        <v>72</v>
      </c>
      <c r="D29" s="3" t="s">
        <v>386</v>
      </c>
      <c r="E29" s="7" t="n">
        <v>1993</v>
      </c>
      <c r="F29" s="7" t="n">
        <v>2462</v>
      </c>
      <c r="G29" s="7" t="n">
        <v>2874</v>
      </c>
      <c r="H29" s="21" t="n">
        <f aca="false">F29/(F29+G29)</f>
        <v>0.461394302848576</v>
      </c>
      <c r="I29" s="7" t="n">
        <v>2</v>
      </c>
      <c r="J29" s="7" t="n">
        <v>0</v>
      </c>
      <c r="K29" s="7" t="n">
        <v>1</v>
      </c>
      <c r="L29" s="7" t="n">
        <v>5</v>
      </c>
      <c r="M29" s="3" t="n">
        <f aca="false">SUMIFS(Seasons!$D$2:$D$2865,Seasons!$A$2:$A$2865,B29)</f>
        <v>2382</v>
      </c>
      <c r="N29" s="3" t="n">
        <f aca="false">SUMIFS(Seasons!$E$2:$E$2865,Seasons!$A$2:$A$2865,B29)</f>
        <v>2792</v>
      </c>
      <c r="O29" s="3" t="n">
        <f aca="false">F29-M29</f>
        <v>80</v>
      </c>
      <c r="P29" s="3" t="n">
        <f aca="false">G29-N29</f>
        <v>82</v>
      </c>
      <c r="Q29" s="3" t="n">
        <f aca="false">O29+P29</f>
        <v>162</v>
      </c>
      <c r="R29" s="3" t="str">
        <f aca="false">IF(Q29=162,"OK",IF(ABS(Q29-162)&lt;=3,"near","CHECK"))</f>
        <v>OK</v>
      </c>
      <c r="S29" s="3" t="n">
        <f aca="false">SUMIFS(Seasons!$N$2:$N$2865,Seasons!$A$2:$A$2865,B29,Seasons!$B$2:$B$2865,"&gt;=1903")</f>
        <v>2</v>
      </c>
      <c r="T29" s="3" t="n">
        <f aca="false">SUMIFS(Seasons!$M$2:$M$2865,Seasons!$A$2:$A$2865,B29,Seasons!$B$2:$B$2865,"&gt;=1903")</f>
        <v>2</v>
      </c>
      <c r="U29" s="3" t="n">
        <f aca="false">SUMIFS(Seasons!$L$2:$L$2865,Seasons!$A$2:$A$2865,B29,Seasons!$B$2:$B$2865,"&gt;=1903")</f>
        <v>4</v>
      </c>
      <c r="V29" s="3" t="n">
        <f aca="false">K29-T29</f>
        <v>-1</v>
      </c>
      <c r="W29" s="3" t="n">
        <f aca="false">L29-U29</f>
        <v>1</v>
      </c>
      <c r="X29" s="3" t="n">
        <f aca="false">I29-S29</f>
        <v>0</v>
      </c>
    </row>
    <row r="30" customFormat="false" ht="15" hidden="false" customHeight="true" outlineLevel="0" collapsed="false">
      <c r="A30" s="3" t="s">
        <v>388</v>
      </c>
      <c r="B30" s="3" t="s">
        <v>84</v>
      </c>
      <c r="C30" s="3" t="s">
        <v>72</v>
      </c>
      <c r="D30" s="3" t="s">
        <v>386</v>
      </c>
      <c r="E30" s="7" t="n">
        <v>1998</v>
      </c>
      <c r="F30" s="7" t="n">
        <v>2253</v>
      </c>
      <c r="G30" s="7" t="n">
        <v>2343</v>
      </c>
      <c r="H30" s="21" t="n">
        <f aca="false">F30/(F30+G30)</f>
        <v>0.490208877284595</v>
      </c>
      <c r="I30" s="7" t="n">
        <v>1</v>
      </c>
      <c r="J30" s="7" t="n">
        <v>5</v>
      </c>
      <c r="K30" s="7" t="n">
        <v>2</v>
      </c>
      <c r="L30" s="7" t="n">
        <v>7</v>
      </c>
      <c r="M30" s="3" t="n">
        <f aca="false">SUMIFS(Seasons!$D$2:$D$2865,Seasons!$A$2:$A$2865,B30)</f>
        <v>2167</v>
      </c>
      <c r="N30" s="3" t="n">
        <f aca="false">SUMIFS(Seasons!$E$2:$E$2865,Seasons!$A$2:$A$2865,B30)</f>
        <v>2267</v>
      </c>
      <c r="O30" s="3" t="n">
        <f aca="false">F30-M30</f>
        <v>86</v>
      </c>
      <c r="P30" s="3" t="n">
        <f aca="false">G30-N30</f>
        <v>76</v>
      </c>
      <c r="Q30" s="3" t="n">
        <f aca="false">O30+P30</f>
        <v>162</v>
      </c>
      <c r="R30" s="3" t="str">
        <f aca="false">IF(Q30=162,"OK",IF(ABS(Q30-162)&lt;=3,"near","CHECK"))</f>
        <v>OK</v>
      </c>
      <c r="S30" s="3" t="n">
        <f aca="false">SUMIFS(Seasons!$N$2:$N$2865,Seasons!$A$2:$A$2865,B30,Seasons!$B$2:$B$2865,"&gt;=1903")</f>
        <v>1</v>
      </c>
      <c r="T30" s="3" t="n">
        <f aca="false">SUMIFS(Seasons!$M$2:$M$2865,Seasons!$A$2:$A$2865,B30,Seasons!$B$2:$B$2865,"&gt;=1903")</f>
        <v>2</v>
      </c>
      <c r="U30" s="3" t="n">
        <f aca="false">SUMIFS(Seasons!$L$2:$L$2865,Seasons!$A$2:$A$2865,B30,Seasons!$B$2:$B$2865,"&gt;=1903")</f>
        <v>7</v>
      </c>
      <c r="V30" s="3" t="n">
        <f aca="false">K30-T30</f>
        <v>0</v>
      </c>
      <c r="W30" s="3" t="n">
        <f aca="false">L30-U30</f>
        <v>0</v>
      </c>
      <c r="X30" s="3" t="n">
        <f aca="false">I30-S30</f>
        <v>0</v>
      </c>
    </row>
    <row r="31" customFormat="false" ht="15" hidden="false" customHeight="true" outlineLevel="0" collapsed="false">
      <c r="A31" s="3" t="s">
        <v>389</v>
      </c>
      <c r="B31" s="3" t="s">
        <v>85</v>
      </c>
      <c r="C31" s="3" t="s">
        <v>72</v>
      </c>
      <c r="D31" s="3" t="s">
        <v>386</v>
      </c>
      <c r="E31" s="7" t="n">
        <v>1998</v>
      </c>
      <c r="F31" s="7" t="n">
        <v>2266</v>
      </c>
      <c r="G31" s="7" t="n">
        <v>2328</v>
      </c>
      <c r="H31" s="21" t="n">
        <f aca="false">F31/(F31+G31)</f>
        <v>0.493252067914671</v>
      </c>
      <c r="I31" s="7" t="n">
        <v>0</v>
      </c>
      <c r="J31" s="7" t="n">
        <v>5</v>
      </c>
      <c r="K31" s="7" t="n">
        <v>2</v>
      </c>
      <c r="L31" s="7" t="n">
        <v>10</v>
      </c>
      <c r="M31" s="3" t="n">
        <f aca="false">SUMIFS(Seasons!$D$2:$D$2865,Seasons!$A$2:$A$2865,B31)</f>
        <v>2168</v>
      </c>
      <c r="N31" s="3" t="n">
        <f aca="false">SUMIFS(Seasons!$E$2:$E$2865,Seasons!$A$2:$A$2865,B31)</f>
        <v>2264</v>
      </c>
      <c r="O31" s="3" t="n">
        <f aca="false">F31-M31</f>
        <v>98</v>
      </c>
      <c r="P31" s="3" t="n">
        <f aca="false">G31-N31</f>
        <v>64</v>
      </c>
      <c r="Q31" s="3" t="n">
        <f aca="false">O31+P31</f>
        <v>162</v>
      </c>
      <c r="R31" s="3" t="str">
        <f aca="false">IF(Q31=162,"OK",IF(ABS(Q31-162)&lt;=3,"near","CHECK"))</f>
        <v>OK</v>
      </c>
      <c r="S31" s="3" t="n">
        <f aca="false">SUMIFS(Seasons!$N$2:$N$2865,Seasons!$A$2:$A$2865,B31,Seasons!$B$2:$B$2865,"&gt;=1903")</f>
        <v>0</v>
      </c>
      <c r="T31" s="3" t="n">
        <f aca="false">SUMIFS(Seasons!$M$2:$M$2865,Seasons!$A$2:$A$2865,B31,Seasons!$B$2:$B$2865,"&gt;=1903")</f>
        <v>2</v>
      </c>
      <c r="U31" s="3" t="n">
        <f aca="false">SUMIFS(Seasons!$L$2:$L$2865,Seasons!$A$2:$A$2865,B31,Seasons!$B$2:$B$2865,"&gt;=1903")</f>
        <v>9</v>
      </c>
      <c r="V31" s="3" t="n">
        <f aca="false">K31-T31</f>
        <v>0</v>
      </c>
      <c r="W31" s="3" t="n">
        <f aca="false">L31-U31</f>
        <v>1</v>
      </c>
      <c r="X31" s="3" t="n">
        <f aca="false">I31-S31</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6" min="2" style="1" width="12"/>
    <col collapsed="false" customWidth="true" hidden="false" outlineLevel="0" max="7" min="7" style="1" width="30"/>
    <col collapsed="false" customWidth="true" hidden="false" outlineLevel="0" max="16" min="8" style="1" width="12"/>
  </cols>
  <sheetData>
    <row r="1" customFormat="false" ht="45" hidden="false" customHeight="true" outlineLevel="0" collapsed="false">
      <c r="A1" s="4" t="s">
        <v>4</v>
      </c>
      <c r="B1" s="4" t="s">
        <v>335</v>
      </c>
      <c r="C1" s="4" t="s">
        <v>42</v>
      </c>
      <c r="D1" s="4" t="s">
        <v>336</v>
      </c>
      <c r="E1" s="4" t="s">
        <v>390</v>
      </c>
      <c r="F1" s="4" t="s">
        <v>391</v>
      </c>
      <c r="G1" s="4" t="s">
        <v>392</v>
      </c>
      <c r="H1" s="4" t="s">
        <v>313</v>
      </c>
      <c r="I1" s="4" t="s">
        <v>314</v>
      </c>
      <c r="J1" s="4" t="s">
        <v>93</v>
      </c>
      <c r="K1" s="4" t="s">
        <v>393</v>
      </c>
      <c r="L1" s="4" t="s">
        <v>7</v>
      </c>
      <c r="M1" s="4" t="s">
        <v>201</v>
      </c>
      <c r="N1" s="4" t="s">
        <v>8</v>
      </c>
      <c r="O1" s="4" t="s">
        <v>394</v>
      </c>
      <c r="P1" s="4" t="s">
        <v>395</v>
      </c>
    </row>
    <row r="2" customFormat="false" ht="15" hidden="false" customHeight="true" outlineLevel="0" collapsed="false">
      <c r="A2" s="3" t="s">
        <v>356</v>
      </c>
      <c r="B2" s="3" t="s">
        <v>54</v>
      </c>
      <c r="C2" s="3" t="str">
        <f aca="false">Franchise_Totals!C2</f>
        <v>Established</v>
      </c>
      <c r="D2" s="3" t="str">
        <f aca="false">Franchise_Totals!D2</f>
        <v>Established</v>
      </c>
      <c r="E2" s="7" t="n">
        <v>1901</v>
      </c>
      <c r="F2" s="3" t="n">
        <f aca="false">E2+9</f>
        <v>1910</v>
      </c>
      <c r="G2" s="3" t="s">
        <v>396</v>
      </c>
      <c r="H2" s="3" t="n">
        <f aca="false">SUMIFS(Seasons!$D$2:$D$2865,Seasons!$A$2:$A$2865,B2,Seasons!$B$2:$B$2865,"&gt;="&amp;E2,Seasons!$B$2:$B$2865,"&lt;="&amp;F2)</f>
        <v>574</v>
      </c>
      <c r="I2" s="3" t="n">
        <f aca="false">SUMIFS(Seasons!$E$2:$E$2865,Seasons!$A$2:$A$2865,B2,Seasons!$B$2:$B$2865,"&gt;="&amp;E2,Seasons!$B$2:$B$2865,"&lt;="&amp;F2)</f>
        <v>905</v>
      </c>
      <c r="J2" s="21" t="n">
        <f aca="false">H2/(H2+I2)</f>
        <v>0.388100067613252</v>
      </c>
      <c r="K2" s="3" t="n">
        <f aca="false">SUMIFS(Seasons!$K$2:$K$2865,Seasons!$A$2:$A$2865,B2,Seasons!$B$2:$B$2865,"&gt;="&amp;E2,Seasons!$B$2:$B$2865,"&lt;="&amp;F2)</f>
        <v>1</v>
      </c>
      <c r="L2" s="3" t="n">
        <f aca="false">SUMIFS(Seasons!$L$2:$L$2865,Seasons!$A$2:$A$2865,B2,Seasons!$B$2:$B$2865,"&gt;="&amp;E2,Seasons!$B$2:$B$2865,"&lt;="&amp;F2)</f>
        <v>0</v>
      </c>
      <c r="M2" s="3" t="n">
        <f aca="false">SUMIFS(Seasons!$M$2:$M$2865,Seasons!$A$2:$A$2865,B2,Seasons!$B$2:$B$2865,"&gt;="&amp;E2,Seasons!$B$2:$B$2865,"&lt;="&amp;F2)</f>
        <v>0</v>
      </c>
      <c r="N2" s="3" t="n">
        <f aca="false">SUMIFS(Seasons!$N$2:$N$2865,Seasons!$A$2:$A$2865,B2,Seasons!$B$2:$B$2865,"&gt;="&amp;E2,Seasons!$B$2:$B$2865,"&lt;="&amp;F2)</f>
        <v>0</v>
      </c>
      <c r="O2" s="21" t="n">
        <f aca="false">Franchise_Totals!M2/(Franchise_Totals!M2+Franchise_Totals!N2)</f>
        <v>0.503487064116985</v>
      </c>
      <c r="P2" s="10" t="n">
        <f aca="false">J2-O2</f>
        <v>-0.115386996503733</v>
      </c>
    </row>
    <row r="3" customFormat="false" ht="15" hidden="false" customHeight="true" outlineLevel="0" collapsed="false">
      <c r="A3" s="3" t="s">
        <v>357</v>
      </c>
      <c r="B3" s="3" t="s">
        <v>56</v>
      </c>
      <c r="C3" s="3" t="str">
        <f aca="false">Franchise_Totals!C3</f>
        <v>Established</v>
      </c>
      <c r="D3" s="3" t="str">
        <f aca="false">Franchise_Totals!D3</f>
        <v>Established</v>
      </c>
      <c r="E3" s="7" t="n">
        <v>1901</v>
      </c>
      <c r="F3" s="3" t="n">
        <f aca="false">E3+9</f>
        <v>1910</v>
      </c>
      <c r="G3" s="3" t="s">
        <v>396</v>
      </c>
      <c r="H3" s="3" t="n">
        <f aca="false">SUMIFS(Seasons!$D$2:$D$2865,Seasons!$A$2:$A$2865,B3,Seasons!$B$2:$B$2865,"&gt;="&amp;E3,Seasons!$B$2:$B$2865,"&lt;="&amp;F3)</f>
        <v>918</v>
      </c>
      <c r="I3" s="3" t="n">
        <f aca="false">SUMIFS(Seasons!$E$2:$E$2865,Seasons!$A$2:$A$2865,B3,Seasons!$B$2:$B$2865,"&gt;="&amp;E3,Seasons!$B$2:$B$2865,"&lt;="&amp;F3)</f>
        <v>567</v>
      </c>
      <c r="J3" s="21" t="n">
        <f aca="false">H3/(H3+I3)</f>
        <v>0.618181818181818</v>
      </c>
      <c r="K3" s="3" t="n">
        <f aca="false">SUMIFS(Seasons!$K$2:$K$2865,Seasons!$A$2:$A$2865,B3,Seasons!$B$2:$B$2865,"&gt;="&amp;E3,Seasons!$B$2:$B$2865,"&lt;="&amp;F3)</f>
        <v>8</v>
      </c>
      <c r="L3" s="3" t="n">
        <f aca="false">SUMIFS(Seasons!$L$2:$L$2865,Seasons!$A$2:$A$2865,B3,Seasons!$B$2:$B$2865,"&gt;="&amp;E3,Seasons!$B$2:$B$2865,"&lt;="&amp;F3)</f>
        <v>4</v>
      </c>
      <c r="M3" s="3" t="n">
        <f aca="false">SUMIFS(Seasons!$M$2:$M$2865,Seasons!$A$2:$A$2865,B3,Seasons!$B$2:$B$2865,"&gt;="&amp;E3,Seasons!$B$2:$B$2865,"&lt;="&amp;F3)</f>
        <v>4</v>
      </c>
      <c r="N3" s="3" t="n">
        <f aca="false">SUMIFS(Seasons!$N$2:$N$2865,Seasons!$A$2:$A$2865,B3,Seasons!$B$2:$B$2865,"&gt;="&amp;E3,Seasons!$B$2:$B$2865,"&lt;="&amp;F3)</f>
        <v>2</v>
      </c>
      <c r="O3" s="21" t="n">
        <f aca="false">Franchise_Totals!M3/(Franchise_Totals!M3+Franchise_Totals!N3)</f>
        <v>0.513075125808771</v>
      </c>
      <c r="P3" s="10" t="n">
        <f aca="false">J3-O3</f>
        <v>0.105106692373047</v>
      </c>
    </row>
    <row r="4" customFormat="false" ht="15" hidden="false" customHeight="true" outlineLevel="0" collapsed="false">
      <c r="A4" s="3" t="s">
        <v>358</v>
      </c>
      <c r="B4" s="3" t="s">
        <v>57</v>
      </c>
      <c r="C4" s="3" t="str">
        <f aca="false">Franchise_Totals!C4</f>
        <v>Established</v>
      </c>
      <c r="D4" s="3" t="str">
        <f aca="false">Franchise_Totals!D4</f>
        <v>Established</v>
      </c>
      <c r="E4" s="7" t="n">
        <v>1901</v>
      </c>
      <c r="F4" s="3" t="n">
        <f aca="false">E4+9</f>
        <v>1910</v>
      </c>
      <c r="G4" s="3" t="s">
        <v>396</v>
      </c>
      <c r="H4" s="3" t="n">
        <f aca="false">SUMIFS(Seasons!$D$2:$D$2865,Seasons!$A$2:$A$2865,B4,Seasons!$B$2:$B$2865,"&gt;="&amp;E4,Seasons!$B$2:$B$2865,"&lt;="&amp;F4)</f>
        <v>718</v>
      </c>
      <c r="I4" s="3" t="n">
        <f aca="false">SUMIFS(Seasons!$E$2:$E$2865,Seasons!$A$2:$A$2865,B4,Seasons!$B$2:$B$2865,"&gt;="&amp;E4,Seasons!$B$2:$B$2865,"&lt;="&amp;F4)</f>
        <v>771</v>
      </c>
      <c r="J4" s="21" t="n">
        <f aca="false">H4/(H4+I4)</f>
        <v>0.482202820685024</v>
      </c>
      <c r="K4" s="3" t="n">
        <f aca="false">SUMIFS(Seasons!$K$2:$K$2865,Seasons!$A$2:$A$2865,B4,Seasons!$B$2:$B$2865,"&gt;="&amp;E4,Seasons!$B$2:$B$2865,"&lt;="&amp;F4)</f>
        <v>4</v>
      </c>
      <c r="L4" s="3" t="n">
        <f aca="false">SUMIFS(Seasons!$L$2:$L$2865,Seasons!$A$2:$A$2865,B4,Seasons!$B$2:$B$2865,"&gt;="&amp;E4,Seasons!$B$2:$B$2865,"&lt;="&amp;F4)</f>
        <v>0</v>
      </c>
      <c r="M4" s="3" t="n">
        <f aca="false">SUMIFS(Seasons!$M$2:$M$2865,Seasons!$A$2:$A$2865,B4,Seasons!$B$2:$B$2865,"&gt;="&amp;E4,Seasons!$B$2:$B$2865,"&lt;="&amp;F4)</f>
        <v>0</v>
      </c>
      <c r="N4" s="3" t="n">
        <f aca="false">SUMIFS(Seasons!$N$2:$N$2865,Seasons!$A$2:$A$2865,B4,Seasons!$B$2:$B$2865,"&gt;="&amp;E4,Seasons!$B$2:$B$2865,"&lt;="&amp;F4)</f>
        <v>0</v>
      </c>
      <c r="O4" s="21" t="n">
        <f aca="false">Franchise_Totals!M4/(Franchise_Totals!M4+Franchise_Totals!N4)</f>
        <v>0.503933766352575</v>
      </c>
      <c r="P4" s="10" t="n">
        <f aca="false">J4-O4</f>
        <v>-0.0217309456675517</v>
      </c>
    </row>
    <row r="5" customFormat="false" ht="15" hidden="false" customHeight="true" outlineLevel="0" collapsed="false">
      <c r="A5" s="3" t="s">
        <v>359</v>
      </c>
      <c r="B5" s="3" t="s">
        <v>58</v>
      </c>
      <c r="C5" s="3" t="str">
        <f aca="false">Franchise_Totals!C5</f>
        <v>Established</v>
      </c>
      <c r="D5" s="3" t="str">
        <f aca="false">Franchise_Totals!D5</f>
        <v>Established</v>
      </c>
      <c r="E5" s="7" t="n">
        <v>1901</v>
      </c>
      <c r="F5" s="3" t="n">
        <f aca="false">E5+9</f>
        <v>1910</v>
      </c>
      <c r="G5" s="3" t="s">
        <v>396</v>
      </c>
      <c r="H5" s="3" t="n">
        <f aca="false">SUMIFS(Seasons!$D$2:$D$2865,Seasons!$A$2:$A$2865,B5,Seasons!$B$2:$B$2865,"&gt;="&amp;E5,Seasons!$B$2:$B$2865,"&lt;="&amp;F5)</f>
        <v>945</v>
      </c>
      <c r="I5" s="3" t="n">
        <f aca="false">SUMIFS(Seasons!$E$2:$E$2865,Seasons!$A$2:$A$2865,B5,Seasons!$B$2:$B$2865,"&gt;="&amp;E5,Seasons!$B$2:$B$2865,"&lt;="&amp;F5)</f>
        <v>545</v>
      </c>
      <c r="J5" s="21" t="n">
        <f aca="false">H5/(H5+I5)</f>
        <v>0.634228187919463</v>
      </c>
      <c r="K5" s="3" t="n">
        <f aca="false">SUMIFS(Seasons!$K$2:$K$2865,Seasons!$A$2:$A$2865,B5,Seasons!$B$2:$B$2865,"&gt;="&amp;E5,Seasons!$B$2:$B$2865,"&lt;="&amp;F5)</f>
        <v>10</v>
      </c>
      <c r="L5" s="3" t="n">
        <f aca="false">SUMIFS(Seasons!$L$2:$L$2865,Seasons!$A$2:$A$2865,B5,Seasons!$B$2:$B$2865,"&gt;="&amp;E5,Seasons!$B$2:$B$2865,"&lt;="&amp;F5)</f>
        <v>4</v>
      </c>
      <c r="M5" s="3" t="n">
        <f aca="false">SUMIFS(Seasons!$M$2:$M$2865,Seasons!$A$2:$A$2865,B5,Seasons!$B$2:$B$2865,"&gt;="&amp;E5,Seasons!$B$2:$B$2865,"&lt;="&amp;F5)</f>
        <v>4</v>
      </c>
      <c r="N5" s="3" t="n">
        <f aca="false">SUMIFS(Seasons!$N$2:$N$2865,Seasons!$A$2:$A$2865,B5,Seasons!$B$2:$B$2865,"&gt;="&amp;E5,Seasons!$B$2:$B$2865,"&lt;="&amp;F5)</f>
        <v>1</v>
      </c>
      <c r="O5" s="21" t="n">
        <f aca="false">Franchise_Totals!M5/(Franchise_Totals!M5+Franchise_Totals!N5)</f>
        <v>0.5</v>
      </c>
      <c r="P5" s="10" t="n">
        <f aca="false">J5-O5</f>
        <v>0.134228187919463</v>
      </c>
    </row>
    <row r="6" customFormat="false" ht="15" hidden="false" customHeight="true" outlineLevel="0" collapsed="false">
      <c r="A6" s="3" t="s">
        <v>360</v>
      </c>
      <c r="B6" s="3" t="s">
        <v>59</v>
      </c>
      <c r="C6" s="3" t="str">
        <f aca="false">Franchise_Totals!C6</f>
        <v>Established</v>
      </c>
      <c r="D6" s="3" t="str">
        <f aca="false">Franchise_Totals!D6</f>
        <v>Established</v>
      </c>
      <c r="E6" s="7" t="n">
        <v>1901</v>
      </c>
      <c r="F6" s="3" t="n">
        <f aca="false">E6+9</f>
        <v>1910</v>
      </c>
      <c r="G6" s="3" t="s">
        <v>396</v>
      </c>
      <c r="H6" s="3" t="n">
        <f aca="false">SUMIFS(Seasons!$D$2:$D$2865,Seasons!$A$2:$A$2865,B6,Seasons!$B$2:$B$2865,"&gt;="&amp;E6,Seasons!$B$2:$B$2865,"&lt;="&amp;F6)</f>
        <v>578</v>
      </c>
      <c r="I6" s="3" t="n">
        <f aca="false">SUMIFS(Seasons!$E$2:$E$2865,Seasons!$A$2:$A$2865,B6,Seasons!$B$2:$B$2865,"&gt;="&amp;E6,Seasons!$B$2:$B$2865,"&lt;="&amp;F6)</f>
        <v>903</v>
      </c>
      <c r="J6" s="21" t="n">
        <f aca="false">H6/(H6+I6)</f>
        <v>0.390276839972991</v>
      </c>
      <c r="K6" s="3" t="n">
        <f aca="false">SUMIFS(Seasons!$K$2:$K$2865,Seasons!$A$2:$A$2865,B6,Seasons!$B$2:$B$2865,"&gt;="&amp;E6,Seasons!$B$2:$B$2865,"&lt;="&amp;F6)</f>
        <v>1</v>
      </c>
      <c r="L6" s="3" t="n">
        <f aca="false">SUMIFS(Seasons!$L$2:$L$2865,Seasons!$A$2:$A$2865,B6,Seasons!$B$2:$B$2865,"&gt;="&amp;E6,Seasons!$B$2:$B$2865,"&lt;="&amp;F6)</f>
        <v>0</v>
      </c>
      <c r="M6" s="3" t="n">
        <f aca="false">SUMIFS(Seasons!$M$2:$M$2865,Seasons!$A$2:$A$2865,B6,Seasons!$B$2:$B$2865,"&gt;="&amp;E6,Seasons!$B$2:$B$2865,"&lt;="&amp;F6)</f>
        <v>0</v>
      </c>
      <c r="N6" s="3" t="n">
        <f aca="false">SUMIFS(Seasons!$N$2:$N$2865,Seasons!$A$2:$A$2865,B6,Seasons!$B$2:$B$2865,"&gt;="&amp;E6,Seasons!$B$2:$B$2865,"&lt;="&amp;F6)</f>
        <v>0</v>
      </c>
      <c r="O6" s="21" t="n">
        <f aca="false">Franchise_Totals!M6/(Franchise_Totals!M6+Franchise_Totals!N6)</f>
        <v>0.5200695684013</v>
      </c>
      <c r="P6" s="10" t="n">
        <f aca="false">J6-O6</f>
        <v>-0.129792728428309</v>
      </c>
    </row>
    <row r="7" customFormat="false" ht="15" hidden="false" customHeight="true" outlineLevel="0" collapsed="false">
      <c r="A7" s="3" t="s">
        <v>361</v>
      </c>
      <c r="B7" s="3" t="s">
        <v>60</v>
      </c>
      <c r="C7" s="3" t="str">
        <f aca="false">Franchise_Totals!C7</f>
        <v>Established</v>
      </c>
      <c r="D7" s="3" t="str">
        <f aca="false">Franchise_Totals!D7</f>
        <v>Established</v>
      </c>
      <c r="E7" s="7" t="n">
        <v>1901</v>
      </c>
      <c r="F7" s="3" t="n">
        <f aca="false">E7+9</f>
        <v>1910</v>
      </c>
      <c r="G7" s="3" t="s">
        <v>396</v>
      </c>
      <c r="H7" s="3" t="n">
        <f aca="false">SUMIFS(Seasons!$D$2:$D$2865,Seasons!$A$2:$A$2865,B7,Seasons!$B$2:$B$2865,"&gt;="&amp;E7,Seasons!$B$2:$B$2865,"&lt;="&amp;F7)</f>
        <v>712</v>
      </c>
      <c r="I7" s="3" t="n">
        <f aca="false">SUMIFS(Seasons!$E$2:$E$2865,Seasons!$A$2:$A$2865,B7,Seasons!$B$2:$B$2865,"&gt;="&amp;E7,Seasons!$B$2:$B$2865,"&lt;="&amp;F7)</f>
        <v>764</v>
      </c>
      <c r="J7" s="21" t="n">
        <f aca="false">H7/(H7+I7)</f>
        <v>0.482384823848239</v>
      </c>
      <c r="K7" s="3" t="n">
        <f aca="false">SUMIFS(Seasons!$K$2:$K$2865,Seasons!$A$2:$A$2865,B7,Seasons!$B$2:$B$2865,"&gt;="&amp;E7,Seasons!$B$2:$B$2865,"&lt;="&amp;F7)</f>
        <v>5</v>
      </c>
      <c r="L7" s="3" t="n">
        <f aca="false">SUMIFS(Seasons!$L$2:$L$2865,Seasons!$A$2:$A$2865,B7,Seasons!$B$2:$B$2865,"&gt;="&amp;E7,Seasons!$B$2:$B$2865,"&lt;="&amp;F7)</f>
        <v>0</v>
      </c>
      <c r="M7" s="3" t="n">
        <f aca="false">SUMIFS(Seasons!$M$2:$M$2865,Seasons!$A$2:$A$2865,B7,Seasons!$B$2:$B$2865,"&gt;="&amp;E7,Seasons!$B$2:$B$2865,"&lt;="&amp;F7)</f>
        <v>0</v>
      </c>
      <c r="N7" s="3" t="n">
        <f aca="false">SUMIFS(Seasons!$N$2:$N$2865,Seasons!$A$2:$A$2865,B7,Seasons!$B$2:$B$2865,"&gt;="&amp;E7,Seasons!$B$2:$B$2865,"&lt;="&amp;F7)</f>
        <v>0</v>
      </c>
      <c r="O7" s="21" t="n">
        <f aca="false">Franchise_Totals!M7/(Franchise_Totals!M7+Franchise_Totals!N7)</f>
        <v>0.474902051163863</v>
      </c>
      <c r="P7" s="10" t="n">
        <f aca="false">J7-O7</f>
        <v>0.00748277268437586</v>
      </c>
    </row>
    <row r="8" customFormat="false" ht="15" hidden="false" customHeight="true" outlineLevel="0" collapsed="false">
      <c r="A8" s="3" t="s">
        <v>362</v>
      </c>
      <c r="B8" s="3" t="s">
        <v>61</v>
      </c>
      <c r="C8" s="3" t="str">
        <f aca="false">Franchise_Totals!C8</f>
        <v>Established</v>
      </c>
      <c r="D8" s="3" t="str">
        <f aca="false">Franchise_Totals!D8</f>
        <v>Established</v>
      </c>
      <c r="E8" s="7" t="n">
        <v>1901</v>
      </c>
      <c r="F8" s="3" t="n">
        <f aca="false">E8+9</f>
        <v>1910</v>
      </c>
      <c r="G8" s="3" t="s">
        <v>396</v>
      </c>
      <c r="H8" s="3" t="n">
        <f aca="false">SUMIFS(Seasons!$D$2:$D$2865,Seasons!$A$2:$A$2865,B8,Seasons!$B$2:$B$2865,"&gt;="&amp;E8,Seasons!$B$2:$B$2865,"&lt;="&amp;F8)</f>
        <v>854</v>
      </c>
      <c r="I8" s="3" t="n">
        <f aca="false">SUMIFS(Seasons!$E$2:$E$2865,Seasons!$A$2:$A$2865,B8,Seasons!$B$2:$B$2865,"&gt;="&amp;E8,Seasons!$B$2:$B$2865,"&lt;="&amp;F8)</f>
        <v>630</v>
      </c>
      <c r="J8" s="21" t="n">
        <f aca="false">H8/(H8+I8)</f>
        <v>0.575471698113208</v>
      </c>
      <c r="K8" s="3" t="n">
        <f aca="false">SUMIFS(Seasons!$K$2:$K$2865,Seasons!$A$2:$A$2865,B8,Seasons!$B$2:$B$2865,"&gt;="&amp;E8,Seasons!$B$2:$B$2865,"&lt;="&amp;F8)</f>
        <v>8</v>
      </c>
      <c r="L8" s="3" t="n">
        <f aca="false">SUMIFS(Seasons!$L$2:$L$2865,Seasons!$A$2:$A$2865,B8,Seasons!$B$2:$B$2865,"&gt;="&amp;E8,Seasons!$B$2:$B$2865,"&lt;="&amp;F8)</f>
        <v>2</v>
      </c>
      <c r="M8" s="3" t="n">
        <f aca="false">SUMIFS(Seasons!$M$2:$M$2865,Seasons!$A$2:$A$2865,B8,Seasons!$B$2:$B$2865,"&gt;="&amp;E8,Seasons!$B$2:$B$2865,"&lt;="&amp;F8)</f>
        <v>2</v>
      </c>
      <c r="N8" s="3" t="n">
        <f aca="false">SUMIFS(Seasons!$N$2:$N$2865,Seasons!$A$2:$A$2865,B8,Seasons!$B$2:$B$2865,"&gt;="&amp;E8,Seasons!$B$2:$B$2865,"&lt;="&amp;F8)</f>
        <v>1</v>
      </c>
      <c r="O8" s="21" t="n">
        <f aca="false">Franchise_Totals!M8/(Franchise_Totals!M8+Franchise_Totals!N8)</f>
        <v>0.535033606481908</v>
      </c>
      <c r="P8" s="10" t="n">
        <f aca="false">J8-O8</f>
        <v>0.0404380916312997</v>
      </c>
    </row>
    <row r="9" customFormat="false" ht="15" hidden="false" customHeight="true" outlineLevel="0" collapsed="false">
      <c r="A9" s="3" t="s">
        <v>363</v>
      </c>
      <c r="B9" s="3" t="s">
        <v>62</v>
      </c>
      <c r="C9" s="3" t="str">
        <f aca="false">Franchise_Totals!C9</f>
        <v>Established</v>
      </c>
      <c r="D9" s="3" t="str">
        <f aca="false">Franchise_Totals!D9</f>
        <v>Established</v>
      </c>
      <c r="E9" s="7" t="n">
        <v>1901</v>
      </c>
      <c r="F9" s="3" t="n">
        <f aca="false">E9+9</f>
        <v>1910</v>
      </c>
      <c r="G9" s="3" t="s">
        <v>396</v>
      </c>
      <c r="H9" s="3" t="n">
        <f aca="false">SUMIFS(Seasons!$D$2:$D$2865,Seasons!$A$2:$A$2865,B9,Seasons!$B$2:$B$2865,"&gt;="&amp;E9,Seasons!$B$2:$B$2865,"&lt;="&amp;F9)</f>
        <v>631</v>
      </c>
      <c r="I9" s="3" t="n">
        <f aca="false">SUMIFS(Seasons!$E$2:$E$2865,Seasons!$A$2:$A$2865,B9,Seasons!$B$2:$B$2865,"&gt;="&amp;E9,Seasons!$B$2:$B$2865,"&lt;="&amp;F9)</f>
        <v>845</v>
      </c>
      <c r="J9" s="21" t="n">
        <f aca="false">H9/(H9+I9)</f>
        <v>0.427506775067751</v>
      </c>
      <c r="K9" s="3" t="n">
        <f aca="false">SUMIFS(Seasons!$K$2:$K$2865,Seasons!$A$2:$A$2865,B9,Seasons!$B$2:$B$2865,"&gt;="&amp;E9,Seasons!$B$2:$B$2865,"&lt;="&amp;F9)</f>
        <v>3</v>
      </c>
      <c r="L9" s="3" t="n">
        <f aca="false">SUMIFS(Seasons!$L$2:$L$2865,Seasons!$A$2:$A$2865,B9,Seasons!$B$2:$B$2865,"&gt;="&amp;E9,Seasons!$B$2:$B$2865,"&lt;="&amp;F9)</f>
        <v>0</v>
      </c>
      <c r="M9" s="3" t="n">
        <f aca="false">SUMIFS(Seasons!$M$2:$M$2865,Seasons!$A$2:$A$2865,B9,Seasons!$B$2:$B$2865,"&gt;="&amp;E9,Seasons!$B$2:$B$2865,"&lt;="&amp;F9)</f>
        <v>0</v>
      </c>
      <c r="N9" s="3" t="n">
        <f aca="false">SUMIFS(Seasons!$N$2:$N$2865,Seasons!$A$2:$A$2865,B9,Seasons!$B$2:$B$2865,"&gt;="&amp;E9,Seasons!$B$2:$B$2865,"&lt;="&amp;F9)</f>
        <v>0</v>
      </c>
      <c r="O9" s="21" t="n">
        <f aca="false">Franchise_Totals!M9/(Franchise_Totals!M9+Franchise_Totals!N9)</f>
        <v>0.532037669651925</v>
      </c>
      <c r="P9" s="10" t="n">
        <f aca="false">J9-O9</f>
        <v>-0.104530894584174</v>
      </c>
    </row>
    <row r="10" customFormat="false" ht="15" hidden="false" customHeight="true" outlineLevel="0" collapsed="false">
      <c r="A10" s="3" t="s">
        <v>364</v>
      </c>
      <c r="B10" s="3" t="s">
        <v>63</v>
      </c>
      <c r="C10" s="3" t="str">
        <f aca="false">Franchise_Totals!C10</f>
        <v>Established</v>
      </c>
      <c r="D10" s="3" t="str">
        <f aca="false">Franchise_Totals!D10</f>
        <v>Established</v>
      </c>
      <c r="E10" s="7" t="n">
        <v>1901</v>
      </c>
      <c r="F10" s="3" t="n">
        <f aca="false">E10+9</f>
        <v>1910</v>
      </c>
      <c r="G10" s="3" t="s">
        <v>396</v>
      </c>
      <c r="H10" s="3" t="n">
        <f aca="false">SUMIFS(Seasons!$D$2:$D$2865,Seasons!$A$2:$A$2865,B10,Seasons!$B$2:$B$2865,"&gt;="&amp;E10,Seasons!$B$2:$B$2865,"&lt;="&amp;F10)</f>
        <v>646</v>
      </c>
      <c r="I10" s="3" t="n">
        <f aca="false">SUMIFS(Seasons!$E$2:$E$2865,Seasons!$A$2:$A$2865,B10,Seasons!$B$2:$B$2865,"&gt;="&amp;E10,Seasons!$B$2:$B$2865,"&lt;="&amp;F10)</f>
        <v>828</v>
      </c>
      <c r="J10" s="21" t="n">
        <f aca="false">H10/(H10+I10)</f>
        <v>0.438263229308005</v>
      </c>
      <c r="K10" s="3" t="n">
        <f aca="false">SUMIFS(Seasons!$K$2:$K$2865,Seasons!$A$2:$A$2865,B10,Seasons!$B$2:$B$2865,"&gt;="&amp;E10,Seasons!$B$2:$B$2865,"&lt;="&amp;F10)</f>
        <v>3</v>
      </c>
      <c r="L10" s="3" t="n">
        <f aca="false">SUMIFS(Seasons!$L$2:$L$2865,Seasons!$A$2:$A$2865,B10,Seasons!$B$2:$B$2865,"&gt;="&amp;E10,Seasons!$B$2:$B$2865,"&lt;="&amp;F10)</f>
        <v>0</v>
      </c>
      <c r="M10" s="3" t="n">
        <f aca="false">SUMIFS(Seasons!$M$2:$M$2865,Seasons!$A$2:$A$2865,B10,Seasons!$B$2:$B$2865,"&gt;="&amp;E10,Seasons!$B$2:$B$2865,"&lt;="&amp;F10)</f>
        <v>0</v>
      </c>
      <c r="N10" s="3" t="n">
        <f aca="false">SUMIFS(Seasons!$N$2:$N$2865,Seasons!$A$2:$A$2865,B10,Seasons!$B$2:$B$2865,"&gt;="&amp;E10,Seasons!$B$2:$B$2865,"&lt;="&amp;F10)</f>
        <v>0</v>
      </c>
      <c r="O10" s="21" t="n">
        <f aca="false">Franchise_Totals!M10/(Franchise_Totals!M10+Franchise_Totals!N10)</f>
        <v>0.474801197975834</v>
      </c>
      <c r="P10" s="10" t="n">
        <f aca="false">J10-O10</f>
        <v>-0.0365379686678285</v>
      </c>
    </row>
    <row r="11" customFormat="false" ht="15" hidden="false" customHeight="true" outlineLevel="0" collapsed="false">
      <c r="A11" s="3" t="s">
        <v>365</v>
      </c>
      <c r="B11" s="3" t="s">
        <v>64</v>
      </c>
      <c r="C11" s="3" t="str">
        <f aca="false">Franchise_Totals!C11</f>
        <v>Established</v>
      </c>
      <c r="D11" s="3" t="str">
        <f aca="false">Franchise_Totals!D11</f>
        <v>Established</v>
      </c>
      <c r="E11" s="7" t="n">
        <v>1901</v>
      </c>
      <c r="F11" s="3" t="n">
        <f aca="false">E11+9</f>
        <v>1910</v>
      </c>
      <c r="G11" s="3" t="s">
        <v>396</v>
      </c>
      <c r="H11" s="3" t="n">
        <f aca="false">SUMIFS(Seasons!$D$2:$D$2865,Seasons!$A$2:$A$2865,B11,Seasons!$B$2:$B$2865,"&gt;="&amp;E11,Seasons!$B$2:$B$2865,"&lt;="&amp;F11)</f>
        <v>772</v>
      </c>
      <c r="I11" s="3" t="n">
        <f aca="false">SUMIFS(Seasons!$E$2:$E$2865,Seasons!$A$2:$A$2865,B11,Seasons!$B$2:$B$2865,"&gt;="&amp;E11,Seasons!$B$2:$B$2865,"&lt;="&amp;F11)</f>
        <v>706</v>
      </c>
      <c r="J11" s="21" t="n">
        <f aca="false">H11/(H11+I11)</f>
        <v>0.522327469553451</v>
      </c>
      <c r="K11" s="3" t="n">
        <f aca="false">SUMIFS(Seasons!$K$2:$K$2865,Seasons!$A$2:$A$2865,B11,Seasons!$B$2:$B$2865,"&gt;="&amp;E11,Seasons!$B$2:$B$2865,"&lt;="&amp;F11)</f>
        <v>7</v>
      </c>
      <c r="L11" s="3" t="n">
        <f aca="false">SUMIFS(Seasons!$L$2:$L$2865,Seasons!$A$2:$A$2865,B11,Seasons!$B$2:$B$2865,"&gt;="&amp;E11,Seasons!$B$2:$B$2865,"&lt;="&amp;F11)</f>
        <v>2</v>
      </c>
      <c r="M11" s="3" t="n">
        <f aca="false">SUMIFS(Seasons!$M$2:$M$2865,Seasons!$A$2:$A$2865,B11,Seasons!$B$2:$B$2865,"&gt;="&amp;E11,Seasons!$B$2:$B$2865,"&lt;="&amp;F11)</f>
        <v>2</v>
      </c>
      <c r="N11" s="3" t="n">
        <f aca="false">SUMIFS(Seasons!$N$2:$N$2865,Seasons!$A$2:$A$2865,B11,Seasons!$B$2:$B$2865,"&gt;="&amp;E11,Seasons!$B$2:$B$2865,"&lt;="&amp;F11)</f>
        <v>1</v>
      </c>
      <c r="O11" s="21" t="n">
        <f aca="false">Franchise_Totals!M11/(Franchise_Totals!M11+Franchise_Totals!N11)</f>
        <v>0.518266253869969</v>
      </c>
      <c r="P11" s="10" t="n">
        <f aca="false">J11-O11</f>
        <v>0.00406121568348161</v>
      </c>
    </row>
    <row r="12" customFormat="false" ht="15" hidden="false" customHeight="true" outlineLevel="0" collapsed="false">
      <c r="A12" s="3" t="s">
        <v>366</v>
      </c>
      <c r="B12" s="3" t="s">
        <v>65</v>
      </c>
      <c r="C12" s="3" t="str">
        <f aca="false">Franchise_Totals!C12</f>
        <v>Established</v>
      </c>
      <c r="D12" s="3" t="str">
        <f aca="false">Franchise_Totals!D12</f>
        <v>Established</v>
      </c>
      <c r="E12" s="7" t="n">
        <v>1901</v>
      </c>
      <c r="F12" s="3" t="n">
        <f aca="false">E12+9</f>
        <v>1910</v>
      </c>
      <c r="G12" s="3" t="s">
        <v>396</v>
      </c>
      <c r="H12" s="3" t="n">
        <f aca="false">SUMIFS(Seasons!$D$2:$D$2865,Seasons!$A$2:$A$2865,B12,Seasons!$B$2:$B$2865,"&gt;="&amp;E12,Seasons!$B$2:$B$2865,"&lt;="&amp;F12)</f>
        <v>812</v>
      </c>
      <c r="I12" s="3" t="n">
        <f aca="false">SUMIFS(Seasons!$E$2:$E$2865,Seasons!$A$2:$A$2865,B12,Seasons!$B$2:$B$2865,"&gt;="&amp;E12,Seasons!$B$2:$B$2865,"&lt;="&amp;F12)</f>
        <v>660</v>
      </c>
      <c r="J12" s="21" t="n">
        <f aca="false">H12/(H12+I12)</f>
        <v>0.551630434782609</v>
      </c>
      <c r="K12" s="3" t="n">
        <f aca="false">SUMIFS(Seasons!$K$2:$K$2865,Seasons!$A$2:$A$2865,B12,Seasons!$B$2:$B$2865,"&gt;="&amp;E12,Seasons!$B$2:$B$2865,"&lt;="&amp;F12)</f>
        <v>8</v>
      </c>
      <c r="L12" s="3" t="n">
        <f aca="false">SUMIFS(Seasons!$L$2:$L$2865,Seasons!$A$2:$A$2865,B12,Seasons!$B$2:$B$2865,"&gt;="&amp;E12,Seasons!$B$2:$B$2865,"&lt;="&amp;F12)</f>
        <v>2</v>
      </c>
      <c r="M12" s="3" t="n">
        <f aca="false">SUMIFS(Seasons!$M$2:$M$2865,Seasons!$A$2:$A$2865,B12,Seasons!$B$2:$B$2865,"&gt;="&amp;E12,Seasons!$B$2:$B$2865,"&lt;="&amp;F12)</f>
        <v>2</v>
      </c>
      <c r="N12" s="3" t="n">
        <f aca="false">SUMIFS(Seasons!$N$2:$N$2865,Seasons!$A$2:$A$2865,B12,Seasons!$B$2:$B$2865,"&gt;="&amp;E12,Seasons!$B$2:$B$2865,"&lt;="&amp;F12)</f>
        <v>1</v>
      </c>
      <c r="O12" s="21" t="n">
        <f aca="false">Franchise_Totals!M12/(Franchise_Totals!M12+Franchise_Totals!N12)</f>
        <v>0.498451053283767</v>
      </c>
      <c r="P12" s="10" t="n">
        <f aca="false">J12-O12</f>
        <v>0.0531793814988416</v>
      </c>
    </row>
    <row r="13" customFormat="false" ht="15" hidden="false" customHeight="true" outlineLevel="0" collapsed="false">
      <c r="A13" s="3" t="s">
        <v>367</v>
      </c>
      <c r="B13" s="3" t="s">
        <v>66</v>
      </c>
      <c r="C13" s="3" t="str">
        <f aca="false">Franchise_Totals!C13</f>
        <v>Established</v>
      </c>
      <c r="D13" s="3" t="str">
        <f aca="false">Franchise_Totals!D13</f>
        <v>Established</v>
      </c>
      <c r="E13" s="7" t="n">
        <v>1901</v>
      </c>
      <c r="F13" s="3" t="n">
        <f aca="false">E13+9</f>
        <v>1910</v>
      </c>
      <c r="G13" s="3" t="s">
        <v>396</v>
      </c>
      <c r="H13" s="3" t="n">
        <f aca="false">SUMIFS(Seasons!$D$2:$D$2865,Seasons!$A$2:$A$2865,B13,Seasons!$B$2:$B$2865,"&gt;="&amp;E13,Seasons!$B$2:$B$2865,"&lt;="&amp;F13)</f>
        <v>768</v>
      </c>
      <c r="I13" s="3" t="n">
        <f aca="false">SUMIFS(Seasons!$E$2:$E$2865,Seasons!$A$2:$A$2865,B13,Seasons!$B$2:$B$2865,"&gt;="&amp;E13,Seasons!$B$2:$B$2865,"&lt;="&amp;F13)</f>
        <v>713</v>
      </c>
      <c r="J13" s="21" t="n">
        <f aca="false">H13/(H13+I13)</f>
        <v>0.518568534773802</v>
      </c>
      <c r="K13" s="3" t="n">
        <f aca="false">SUMIFS(Seasons!$K$2:$K$2865,Seasons!$A$2:$A$2865,B13,Seasons!$B$2:$B$2865,"&gt;="&amp;E13,Seasons!$B$2:$B$2865,"&lt;="&amp;F13)</f>
        <v>6</v>
      </c>
      <c r="L13" s="3" t="n">
        <f aca="false">SUMIFS(Seasons!$L$2:$L$2865,Seasons!$A$2:$A$2865,B13,Seasons!$B$2:$B$2865,"&gt;="&amp;E13,Seasons!$B$2:$B$2865,"&lt;="&amp;F13)</f>
        <v>0</v>
      </c>
      <c r="M13" s="3" t="n">
        <f aca="false">SUMIFS(Seasons!$M$2:$M$2865,Seasons!$A$2:$A$2865,B13,Seasons!$B$2:$B$2865,"&gt;="&amp;E13,Seasons!$B$2:$B$2865,"&lt;="&amp;F13)</f>
        <v>0</v>
      </c>
      <c r="N13" s="3" t="n">
        <f aca="false">SUMIFS(Seasons!$N$2:$N$2865,Seasons!$A$2:$A$2865,B13,Seasons!$B$2:$B$2865,"&gt;="&amp;E13,Seasons!$B$2:$B$2865,"&lt;="&amp;F13)</f>
        <v>0</v>
      </c>
      <c r="O13" s="21" t="n">
        <f aca="false">Franchise_Totals!M13/(Franchise_Totals!M13+Franchise_Totals!N13)</f>
        <v>0.512820512820513</v>
      </c>
      <c r="P13" s="10" t="n">
        <f aca="false">J13-O13</f>
        <v>0.00574802195328872</v>
      </c>
    </row>
    <row r="14" customFormat="false" ht="15" hidden="false" customHeight="true" outlineLevel="0" collapsed="false">
      <c r="A14" s="3" t="s">
        <v>368</v>
      </c>
      <c r="B14" s="3" t="s">
        <v>67</v>
      </c>
      <c r="C14" s="3" t="str">
        <f aca="false">Franchise_Totals!C14</f>
        <v>Established</v>
      </c>
      <c r="D14" s="3" t="str">
        <f aca="false">Franchise_Totals!D14</f>
        <v>Established</v>
      </c>
      <c r="E14" s="7" t="n">
        <v>1901</v>
      </c>
      <c r="F14" s="3" t="n">
        <f aca="false">E14+9</f>
        <v>1910</v>
      </c>
      <c r="G14" s="3" t="s">
        <v>396</v>
      </c>
      <c r="H14" s="3" t="n">
        <f aca="false">SUMIFS(Seasons!$D$2:$D$2865,Seasons!$A$2:$A$2865,B14,Seasons!$B$2:$B$2865,"&gt;="&amp;E14,Seasons!$B$2:$B$2865,"&lt;="&amp;F14)</f>
        <v>769</v>
      </c>
      <c r="I14" s="3" t="n">
        <f aca="false">SUMIFS(Seasons!$E$2:$E$2865,Seasons!$A$2:$A$2865,B14,Seasons!$B$2:$B$2865,"&gt;="&amp;E14,Seasons!$B$2:$B$2865,"&lt;="&amp;F14)</f>
        <v>700</v>
      </c>
      <c r="J14" s="21" t="n">
        <f aca="false">H14/(H14+I14)</f>
        <v>0.523485364193329</v>
      </c>
      <c r="K14" s="3" t="n">
        <f aca="false">SUMIFS(Seasons!$K$2:$K$2865,Seasons!$A$2:$A$2865,B14,Seasons!$B$2:$B$2865,"&gt;="&amp;E14,Seasons!$B$2:$B$2865,"&lt;="&amp;F14)</f>
        <v>6</v>
      </c>
      <c r="L14" s="3" t="n">
        <f aca="false">SUMIFS(Seasons!$L$2:$L$2865,Seasons!$A$2:$A$2865,B14,Seasons!$B$2:$B$2865,"&gt;="&amp;E14,Seasons!$B$2:$B$2865,"&lt;="&amp;F14)</f>
        <v>3</v>
      </c>
      <c r="M14" s="3" t="n">
        <f aca="false">SUMIFS(Seasons!$M$2:$M$2865,Seasons!$A$2:$A$2865,B14,Seasons!$B$2:$B$2865,"&gt;="&amp;E14,Seasons!$B$2:$B$2865,"&lt;="&amp;F14)</f>
        <v>3</v>
      </c>
      <c r="N14" s="3" t="n">
        <f aca="false">SUMIFS(Seasons!$N$2:$N$2865,Seasons!$A$2:$A$2865,B14,Seasons!$B$2:$B$2865,"&gt;="&amp;E14,Seasons!$B$2:$B$2865,"&lt;="&amp;F14)</f>
        <v>0</v>
      </c>
      <c r="O14" s="21" t="n">
        <f aca="false">Franchise_Totals!M14/(Franchise_Totals!M14+Franchise_Totals!N14)</f>
        <v>0.503117753156403</v>
      </c>
      <c r="P14" s="10" t="n">
        <f aca="false">J14-O14</f>
        <v>0.0203676110369259</v>
      </c>
    </row>
    <row r="15" customFormat="false" ht="15" hidden="false" customHeight="true" outlineLevel="0" collapsed="false">
      <c r="A15" s="3" t="s">
        <v>369</v>
      </c>
      <c r="B15" s="3" t="s">
        <v>68</v>
      </c>
      <c r="C15" s="3" t="str">
        <f aca="false">Franchise_Totals!C15</f>
        <v>Established</v>
      </c>
      <c r="D15" s="3" t="str">
        <f aca="false">Franchise_Totals!D15</f>
        <v>Established</v>
      </c>
      <c r="E15" s="7" t="n">
        <v>1901</v>
      </c>
      <c r="F15" s="3" t="n">
        <f aca="false">E15+9</f>
        <v>1910</v>
      </c>
      <c r="G15" s="3" t="s">
        <v>396</v>
      </c>
      <c r="H15" s="3" t="n">
        <f aca="false">SUMIFS(Seasons!$D$2:$D$2865,Seasons!$A$2:$A$2865,B15,Seasons!$B$2:$B$2865,"&gt;="&amp;E15,Seasons!$B$2:$B$2865,"&lt;="&amp;F15)</f>
        <v>546</v>
      </c>
      <c r="I15" s="3" t="n">
        <f aca="false">SUMIFS(Seasons!$E$2:$E$2865,Seasons!$A$2:$A$2865,B15,Seasons!$B$2:$B$2865,"&gt;="&amp;E15,Seasons!$B$2:$B$2865,"&lt;="&amp;F15)</f>
        <v>918</v>
      </c>
      <c r="J15" s="21" t="n">
        <f aca="false">H15/(H15+I15)</f>
        <v>0.372950819672131</v>
      </c>
      <c r="K15" s="3" t="n">
        <f aca="false">SUMIFS(Seasons!$K$2:$K$2865,Seasons!$A$2:$A$2865,B15,Seasons!$B$2:$B$2865,"&gt;="&amp;E15,Seasons!$B$2:$B$2865,"&lt;="&amp;F15)</f>
        <v>0</v>
      </c>
      <c r="L15" s="3" t="n">
        <f aca="false">SUMIFS(Seasons!$L$2:$L$2865,Seasons!$A$2:$A$2865,B15,Seasons!$B$2:$B$2865,"&gt;="&amp;E15,Seasons!$B$2:$B$2865,"&lt;="&amp;F15)</f>
        <v>0</v>
      </c>
      <c r="M15" s="3" t="n">
        <f aca="false">SUMIFS(Seasons!$M$2:$M$2865,Seasons!$A$2:$A$2865,B15,Seasons!$B$2:$B$2865,"&gt;="&amp;E15,Seasons!$B$2:$B$2865,"&lt;="&amp;F15)</f>
        <v>0</v>
      </c>
      <c r="N15" s="3" t="n">
        <f aca="false">SUMIFS(Seasons!$N$2:$N$2865,Seasons!$A$2:$A$2865,B15,Seasons!$B$2:$B$2865,"&gt;="&amp;E15,Seasons!$B$2:$B$2865,"&lt;="&amp;F15)</f>
        <v>0</v>
      </c>
      <c r="O15" s="21" t="n">
        <f aca="false">Franchise_Totals!M15/(Franchise_Totals!M15+Franchise_Totals!N15)</f>
        <v>0.481471924029728</v>
      </c>
      <c r="P15" s="10" t="n">
        <f aca="false">J15-O15</f>
        <v>-0.108521104357596</v>
      </c>
    </row>
    <row r="16" customFormat="false" ht="15" hidden="false" customHeight="true" outlineLevel="0" collapsed="false">
      <c r="A16" s="3" t="s">
        <v>370</v>
      </c>
      <c r="B16" s="3" t="s">
        <v>69</v>
      </c>
      <c r="C16" s="3" t="str">
        <f aca="false">Franchise_Totals!C16</f>
        <v>Established</v>
      </c>
      <c r="D16" s="3" t="str">
        <f aca="false">Franchise_Totals!D16</f>
        <v>Established</v>
      </c>
      <c r="E16" s="7" t="n">
        <v>1901</v>
      </c>
      <c r="F16" s="3" t="n">
        <f aca="false">E16+9</f>
        <v>1910</v>
      </c>
      <c r="G16" s="3" t="s">
        <v>396</v>
      </c>
      <c r="H16" s="3" t="n">
        <f aca="false">SUMIFS(Seasons!$D$2:$D$2865,Seasons!$A$2:$A$2865,B16,Seasons!$B$2:$B$2865,"&gt;="&amp;E16,Seasons!$B$2:$B$2865,"&lt;="&amp;F16)</f>
        <v>836</v>
      </c>
      <c r="I16" s="3" t="n">
        <f aca="false">SUMIFS(Seasons!$E$2:$E$2865,Seasons!$A$2:$A$2865,B16,Seasons!$B$2:$B$2865,"&gt;="&amp;E16,Seasons!$B$2:$B$2865,"&lt;="&amp;F16)</f>
        <v>616</v>
      </c>
      <c r="J16" s="21" t="n">
        <f aca="false">H16/(H16+I16)</f>
        <v>0.575757575757576</v>
      </c>
      <c r="K16" s="3" t="n">
        <f aca="false">SUMIFS(Seasons!$K$2:$K$2865,Seasons!$A$2:$A$2865,B16,Seasons!$B$2:$B$2865,"&gt;="&amp;E16,Seasons!$B$2:$B$2865,"&lt;="&amp;F16)</f>
        <v>9</v>
      </c>
      <c r="L16" s="3" t="n">
        <f aca="false">SUMIFS(Seasons!$L$2:$L$2865,Seasons!$A$2:$A$2865,B16,Seasons!$B$2:$B$2865,"&gt;="&amp;E16,Seasons!$B$2:$B$2865,"&lt;="&amp;F16)</f>
        <v>3</v>
      </c>
      <c r="M16" s="3" t="n">
        <f aca="false">SUMIFS(Seasons!$M$2:$M$2865,Seasons!$A$2:$A$2865,B16,Seasons!$B$2:$B$2865,"&gt;="&amp;E16,Seasons!$B$2:$B$2865,"&lt;="&amp;F16)</f>
        <v>3</v>
      </c>
      <c r="N16" s="3" t="n">
        <f aca="false">SUMIFS(Seasons!$N$2:$N$2865,Seasons!$A$2:$A$2865,B16,Seasons!$B$2:$B$2865,"&gt;="&amp;E16,Seasons!$B$2:$B$2865,"&lt;="&amp;F16)</f>
        <v>1</v>
      </c>
      <c r="O16" s="21" t="n">
        <f aca="false">Franchise_Totals!M16/(Franchise_Totals!M16+Franchise_Totals!N16)</f>
        <v>0.486046511627907</v>
      </c>
      <c r="P16" s="10" t="n">
        <f aca="false">J16-O16</f>
        <v>0.0897110641296688</v>
      </c>
    </row>
    <row r="17" customFormat="false" ht="15" hidden="false" customHeight="true" outlineLevel="0" collapsed="false">
      <c r="A17" s="3" t="s">
        <v>371</v>
      </c>
      <c r="B17" s="3" t="s">
        <v>70</v>
      </c>
      <c r="C17" s="3" t="str">
        <f aca="false">Franchise_Totals!C17</f>
        <v>Established</v>
      </c>
      <c r="D17" s="3" t="str">
        <f aca="false">Franchise_Totals!D17</f>
        <v>Established</v>
      </c>
      <c r="E17" s="7" t="n">
        <v>1903</v>
      </c>
      <c r="F17" s="3" t="n">
        <f aca="false">E17+9</f>
        <v>1912</v>
      </c>
      <c r="G17" s="3" t="s">
        <v>396</v>
      </c>
      <c r="H17" s="3" t="n">
        <f aca="false">SUMIFS(Seasons!$D$2:$D$2865,Seasons!$A$2:$A$2865,B17,Seasons!$B$2:$B$2865,"&gt;="&amp;E17,Seasons!$B$2:$B$2865,"&lt;="&amp;F17)</f>
        <v>734</v>
      </c>
      <c r="I17" s="3" t="n">
        <f aca="false">SUMIFS(Seasons!$E$2:$E$2865,Seasons!$A$2:$A$2865,B17,Seasons!$B$2:$B$2865,"&gt;="&amp;E17,Seasons!$B$2:$B$2865,"&lt;="&amp;F17)</f>
        <v>759</v>
      </c>
      <c r="J17" s="21" t="n">
        <f aca="false">H17/(H17+I17)</f>
        <v>0.491627595445412</v>
      </c>
      <c r="K17" s="3" t="n">
        <f aca="false">SUMIFS(Seasons!$K$2:$K$2865,Seasons!$A$2:$A$2865,B17,Seasons!$B$2:$B$2865,"&gt;="&amp;E17,Seasons!$B$2:$B$2865,"&lt;="&amp;F17)</f>
        <v>4</v>
      </c>
      <c r="L17" s="3" t="n">
        <f aca="false">SUMIFS(Seasons!$L$2:$L$2865,Seasons!$A$2:$A$2865,B17,Seasons!$B$2:$B$2865,"&gt;="&amp;E17,Seasons!$B$2:$B$2865,"&lt;="&amp;F17)</f>
        <v>0</v>
      </c>
      <c r="M17" s="3" t="n">
        <f aca="false">SUMIFS(Seasons!$M$2:$M$2865,Seasons!$A$2:$A$2865,B17,Seasons!$B$2:$B$2865,"&gt;="&amp;E17,Seasons!$B$2:$B$2865,"&lt;="&amp;F17)</f>
        <v>0</v>
      </c>
      <c r="N17" s="3" t="n">
        <f aca="false">SUMIFS(Seasons!$N$2:$N$2865,Seasons!$A$2:$A$2865,B17,Seasons!$B$2:$B$2865,"&gt;="&amp;E17,Seasons!$B$2:$B$2865,"&lt;="&amp;F17)</f>
        <v>0</v>
      </c>
      <c r="O17" s="21" t="n">
        <f aca="false">Franchise_Totals!M17/(Franchise_Totals!M17+Franchise_Totals!N17)</f>
        <v>0.569572506286672</v>
      </c>
      <c r="P17" s="10" t="n">
        <f aca="false">J17-O17</f>
        <v>-0.0779449108412603</v>
      </c>
    </row>
    <row r="18" customFormat="false" ht="15" hidden="false" customHeight="true" outlineLevel="0" collapsed="false">
      <c r="A18" s="3" t="s">
        <v>372</v>
      </c>
      <c r="B18" s="3" t="s">
        <v>71</v>
      </c>
      <c r="C18" s="3" t="str">
        <f aca="false">Franchise_Totals!C18</f>
        <v>Expansion</v>
      </c>
      <c r="D18" s="3" t="str">
        <f aca="false">Franchise_Totals!D18</f>
        <v>1961-62</v>
      </c>
      <c r="E18" s="7" t="n">
        <v>1961</v>
      </c>
      <c r="F18" s="3" t="n">
        <f aca="false">E18+9</f>
        <v>1970</v>
      </c>
      <c r="G18" s="3" t="s">
        <v>397</v>
      </c>
      <c r="H18" s="3" t="n">
        <f aca="false">SUMIFS(Seasons!$D$2:$D$2865,Seasons!$A$2:$A$2865,B18,Seasons!$B$2:$B$2865,"&gt;="&amp;E18,Seasons!$B$2:$B$2865,"&lt;="&amp;F18)</f>
        <v>771</v>
      </c>
      <c r="I18" s="3" t="n">
        <f aca="false">SUMIFS(Seasons!$E$2:$E$2865,Seasons!$A$2:$A$2865,B18,Seasons!$B$2:$B$2865,"&gt;="&amp;E18,Seasons!$B$2:$B$2865,"&lt;="&amp;F18)</f>
        <v>846</v>
      </c>
      <c r="J18" s="21" t="n">
        <f aca="false">H18/(H18+I18)</f>
        <v>0.476808905380334</v>
      </c>
      <c r="K18" s="3" t="n">
        <f aca="false">SUMIFS(Seasons!$K$2:$K$2865,Seasons!$A$2:$A$2865,B18,Seasons!$B$2:$B$2865,"&gt;="&amp;E18,Seasons!$B$2:$B$2865,"&lt;="&amp;F18)</f>
        <v>4</v>
      </c>
      <c r="L18" s="3" t="n">
        <f aca="false">SUMIFS(Seasons!$L$2:$L$2865,Seasons!$A$2:$A$2865,B18,Seasons!$B$2:$B$2865,"&gt;="&amp;E18,Seasons!$B$2:$B$2865,"&lt;="&amp;F18)</f>
        <v>0</v>
      </c>
      <c r="M18" s="3" t="n">
        <f aca="false">SUMIFS(Seasons!$M$2:$M$2865,Seasons!$A$2:$A$2865,B18,Seasons!$B$2:$B$2865,"&gt;="&amp;E18,Seasons!$B$2:$B$2865,"&lt;="&amp;F18)</f>
        <v>0</v>
      </c>
      <c r="N18" s="3" t="n">
        <f aca="false">SUMIFS(Seasons!$N$2:$N$2865,Seasons!$A$2:$A$2865,B18,Seasons!$B$2:$B$2865,"&gt;="&amp;E18,Seasons!$B$2:$B$2865,"&lt;="&amp;F18)</f>
        <v>0</v>
      </c>
      <c r="O18" s="21" t="n">
        <f aca="false">Franchise_Totals!M18/(Franchise_Totals!M18+Franchise_Totals!N18)</f>
        <v>0.494562050883667</v>
      </c>
      <c r="P18" s="10" t="n">
        <f aca="false">J18-O18</f>
        <v>-0.0177531455033328</v>
      </c>
    </row>
    <row r="19" customFormat="false" ht="15" hidden="false" customHeight="true" outlineLevel="0" collapsed="false">
      <c r="A19" s="3" t="s">
        <v>374</v>
      </c>
      <c r="B19" s="3" t="s">
        <v>73</v>
      </c>
      <c r="C19" s="3" t="str">
        <f aca="false">Franchise_Totals!C19</f>
        <v>Expansion</v>
      </c>
      <c r="D19" s="3" t="str">
        <f aca="false">Franchise_Totals!D19</f>
        <v>1961-62</v>
      </c>
      <c r="E19" s="7" t="n">
        <v>1961</v>
      </c>
      <c r="F19" s="3" t="n">
        <f aca="false">E19+9</f>
        <v>1970</v>
      </c>
      <c r="G19" s="3" t="s">
        <v>397</v>
      </c>
      <c r="H19" s="3" t="n">
        <f aca="false">SUMIFS(Seasons!$D$2:$D$2865,Seasons!$A$2:$A$2865,B19,Seasons!$B$2:$B$2865,"&gt;="&amp;E19,Seasons!$B$2:$B$2865,"&lt;="&amp;F19)</f>
        <v>677</v>
      </c>
      <c r="I19" s="3" t="n">
        <f aca="false">SUMIFS(Seasons!$E$2:$E$2865,Seasons!$A$2:$A$2865,B19,Seasons!$B$2:$B$2865,"&gt;="&amp;E19,Seasons!$B$2:$B$2865,"&lt;="&amp;F19)</f>
        <v>936</v>
      </c>
      <c r="J19" s="21" t="n">
        <f aca="false">H19/(H19+I19)</f>
        <v>0.419714817110973</v>
      </c>
      <c r="K19" s="3" t="n">
        <f aca="false">SUMIFS(Seasons!$K$2:$K$2865,Seasons!$A$2:$A$2865,B19,Seasons!$B$2:$B$2865,"&gt;="&amp;E19,Seasons!$B$2:$B$2865,"&lt;="&amp;F19)</f>
        <v>1</v>
      </c>
      <c r="L19" s="3" t="n">
        <f aca="false">SUMIFS(Seasons!$L$2:$L$2865,Seasons!$A$2:$A$2865,B19,Seasons!$B$2:$B$2865,"&gt;="&amp;E19,Seasons!$B$2:$B$2865,"&lt;="&amp;F19)</f>
        <v>0</v>
      </c>
      <c r="M19" s="3" t="n">
        <f aca="false">SUMIFS(Seasons!$M$2:$M$2865,Seasons!$A$2:$A$2865,B19,Seasons!$B$2:$B$2865,"&gt;="&amp;E19,Seasons!$B$2:$B$2865,"&lt;="&amp;F19)</f>
        <v>0</v>
      </c>
      <c r="N19" s="3" t="n">
        <f aca="false">SUMIFS(Seasons!$N$2:$N$2865,Seasons!$A$2:$A$2865,B19,Seasons!$B$2:$B$2865,"&gt;="&amp;E19,Seasons!$B$2:$B$2865,"&lt;="&amp;F19)</f>
        <v>0</v>
      </c>
      <c r="O19" s="21" t="n">
        <f aca="false">Franchise_Totals!M19/(Franchise_Totals!M19+Franchise_Totals!N19)</f>
        <v>0.476463723011087</v>
      </c>
      <c r="P19" s="10" t="n">
        <f aca="false">J19-O19</f>
        <v>-0.056748905900114</v>
      </c>
    </row>
    <row r="20" customFormat="false" ht="15" hidden="false" customHeight="true" outlineLevel="0" collapsed="false">
      <c r="A20" s="3" t="s">
        <v>375</v>
      </c>
      <c r="B20" s="3" t="s">
        <v>74</v>
      </c>
      <c r="C20" s="3" t="str">
        <f aca="false">Franchise_Totals!C20</f>
        <v>Expansion</v>
      </c>
      <c r="D20" s="3" t="str">
        <f aca="false">Franchise_Totals!D20</f>
        <v>1961-62</v>
      </c>
      <c r="E20" s="7" t="n">
        <v>1962</v>
      </c>
      <c r="F20" s="3" t="n">
        <f aca="false">E20+9</f>
        <v>1971</v>
      </c>
      <c r="G20" s="3" t="s">
        <v>397</v>
      </c>
      <c r="H20" s="3" t="n">
        <f aca="false">SUMIFS(Seasons!$D$2:$D$2865,Seasons!$A$2:$A$2865,B20,Seasons!$B$2:$B$2865,"&gt;="&amp;E20,Seasons!$B$2:$B$2865,"&lt;="&amp;F20)</f>
        <v>713</v>
      </c>
      <c r="I20" s="3" t="n">
        <f aca="false">SUMIFS(Seasons!$E$2:$E$2865,Seasons!$A$2:$A$2865,B20,Seasons!$B$2:$B$2865,"&gt;="&amp;E20,Seasons!$B$2:$B$2865,"&lt;="&amp;F20)</f>
        <v>905</v>
      </c>
      <c r="J20" s="21" t="n">
        <f aca="false">H20/(H20+I20)</f>
        <v>0.440667490729295</v>
      </c>
      <c r="K20" s="3" t="n">
        <f aca="false">SUMIFS(Seasons!$K$2:$K$2865,Seasons!$A$2:$A$2865,B20,Seasons!$B$2:$B$2865,"&gt;="&amp;E20,Seasons!$B$2:$B$2865,"&lt;="&amp;F20)</f>
        <v>0</v>
      </c>
      <c r="L20" s="3" t="n">
        <f aca="false">SUMIFS(Seasons!$L$2:$L$2865,Seasons!$A$2:$A$2865,B20,Seasons!$B$2:$B$2865,"&gt;="&amp;E20,Seasons!$B$2:$B$2865,"&lt;="&amp;F20)</f>
        <v>0</v>
      </c>
      <c r="M20" s="3" t="n">
        <f aca="false">SUMIFS(Seasons!$M$2:$M$2865,Seasons!$A$2:$A$2865,B20,Seasons!$B$2:$B$2865,"&gt;="&amp;E20,Seasons!$B$2:$B$2865,"&lt;="&amp;F20)</f>
        <v>0</v>
      </c>
      <c r="N20" s="3" t="n">
        <f aca="false">SUMIFS(Seasons!$N$2:$N$2865,Seasons!$A$2:$A$2865,B20,Seasons!$B$2:$B$2865,"&gt;="&amp;E20,Seasons!$B$2:$B$2865,"&lt;="&amp;F20)</f>
        <v>0</v>
      </c>
      <c r="O20" s="21" t="n">
        <f aca="false">Franchise_Totals!M20/(Franchise_Totals!M20+Franchise_Totals!N20)</f>
        <v>0.502762430939227</v>
      </c>
      <c r="P20" s="10" t="n">
        <f aca="false">J20-O20</f>
        <v>-0.0620949402099311</v>
      </c>
    </row>
    <row r="21" customFormat="false" ht="15" hidden="false" customHeight="true" outlineLevel="0" collapsed="false">
      <c r="A21" s="3" t="s">
        <v>376</v>
      </c>
      <c r="B21" s="3" t="s">
        <v>75</v>
      </c>
      <c r="C21" s="3" t="str">
        <f aca="false">Franchise_Totals!C21</f>
        <v>Expansion</v>
      </c>
      <c r="D21" s="3" t="str">
        <f aca="false">Franchise_Totals!D21</f>
        <v>1961-62</v>
      </c>
      <c r="E21" s="7" t="n">
        <v>1962</v>
      </c>
      <c r="F21" s="3" t="n">
        <f aca="false">E21+9</f>
        <v>1971</v>
      </c>
      <c r="G21" s="3" t="s">
        <v>397</v>
      </c>
      <c r="H21" s="3" t="n">
        <f aca="false">SUMIFS(Seasons!$D$2:$D$2865,Seasons!$A$2:$A$2865,B21,Seasons!$B$2:$B$2865,"&gt;="&amp;E21,Seasons!$B$2:$B$2865,"&lt;="&amp;F21)</f>
        <v>660</v>
      </c>
      <c r="I21" s="3" t="n">
        <f aca="false">SUMIFS(Seasons!$E$2:$E$2865,Seasons!$A$2:$A$2865,B21,Seasons!$B$2:$B$2865,"&gt;="&amp;E21,Seasons!$B$2:$B$2865,"&lt;="&amp;F21)</f>
        <v>957</v>
      </c>
      <c r="J21" s="21" t="n">
        <f aca="false">H21/(H21+I21)</f>
        <v>0.408163265306122</v>
      </c>
      <c r="K21" s="3" t="n">
        <f aca="false">SUMIFS(Seasons!$K$2:$K$2865,Seasons!$A$2:$A$2865,B21,Seasons!$B$2:$B$2865,"&gt;="&amp;E21,Seasons!$B$2:$B$2865,"&lt;="&amp;F21)</f>
        <v>3</v>
      </c>
      <c r="L21" s="3" t="n">
        <f aca="false">SUMIFS(Seasons!$L$2:$L$2865,Seasons!$A$2:$A$2865,B21,Seasons!$B$2:$B$2865,"&gt;="&amp;E21,Seasons!$B$2:$B$2865,"&lt;="&amp;F21)</f>
        <v>1</v>
      </c>
      <c r="M21" s="3" t="n">
        <f aca="false">SUMIFS(Seasons!$M$2:$M$2865,Seasons!$A$2:$A$2865,B21,Seasons!$B$2:$B$2865,"&gt;="&amp;E21,Seasons!$B$2:$B$2865,"&lt;="&amp;F21)</f>
        <v>1</v>
      </c>
      <c r="N21" s="3" t="n">
        <f aca="false">SUMIFS(Seasons!$N$2:$N$2865,Seasons!$A$2:$A$2865,B21,Seasons!$B$2:$B$2865,"&gt;="&amp;E21,Seasons!$B$2:$B$2865,"&lt;="&amp;F21)</f>
        <v>1</v>
      </c>
      <c r="O21" s="21" t="n">
        <f aca="false">Franchise_Totals!M21/(Franchise_Totals!M21+Franchise_Totals!N21)</f>
        <v>0.483804068733952</v>
      </c>
      <c r="P21" s="10" t="n">
        <f aca="false">J21-O21</f>
        <v>-0.0756408034278298</v>
      </c>
    </row>
    <row r="22" customFormat="false" ht="15" hidden="false" customHeight="true" outlineLevel="0" collapsed="false">
      <c r="A22" s="3" t="s">
        <v>377</v>
      </c>
      <c r="B22" s="3" t="s">
        <v>76</v>
      </c>
      <c r="C22" s="3" t="str">
        <f aca="false">Franchise_Totals!C22</f>
        <v>Expansion</v>
      </c>
      <c r="D22" s="3" t="str">
        <f aca="false">Franchise_Totals!D22</f>
        <v>1969</v>
      </c>
      <c r="E22" s="7" t="n">
        <v>1969</v>
      </c>
      <c r="F22" s="3" t="n">
        <f aca="false">E22+9</f>
        <v>1978</v>
      </c>
      <c r="G22" s="3" t="s">
        <v>397</v>
      </c>
      <c r="H22" s="3" t="n">
        <f aca="false">SUMIFS(Seasons!$D$2:$D$2865,Seasons!$A$2:$A$2865,B22,Seasons!$B$2:$B$2865,"&gt;="&amp;E22,Seasons!$B$2:$B$2865,"&lt;="&amp;F22)</f>
        <v>835</v>
      </c>
      <c r="I22" s="3" t="n">
        <f aca="false">SUMIFS(Seasons!$E$2:$E$2865,Seasons!$A$2:$A$2865,B22,Seasons!$B$2:$B$2865,"&gt;="&amp;E22,Seasons!$B$2:$B$2865,"&lt;="&amp;F22)</f>
        <v>776</v>
      </c>
      <c r="J22" s="21" t="n">
        <f aca="false">H22/(H22+I22)</f>
        <v>0.518311607697083</v>
      </c>
      <c r="K22" s="3" t="n">
        <f aca="false">SUMIFS(Seasons!$K$2:$K$2865,Seasons!$A$2:$A$2865,B22,Seasons!$B$2:$B$2865,"&gt;="&amp;E22,Seasons!$B$2:$B$2865,"&lt;="&amp;F22)</f>
        <v>6</v>
      </c>
      <c r="L22" s="3" t="n">
        <f aca="false">SUMIFS(Seasons!$L$2:$L$2865,Seasons!$A$2:$A$2865,B22,Seasons!$B$2:$B$2865,"&gt;="&amp;E22,Seasons!$B$2:$B$2865,"&lt;="&amp;F22)</f>
        <v>3</v>
      </c>
      <c r="M22" s="3" t="n">
        <f aca="false">SUMIFS(Seasons!$M$2:$M$2865,Seasons!$A$2:$A$2865,B22,Seasons!$B$2:$B$2865,"&gt;="&amp;E22,Seasons!$B$2:$B$2865,"&lt;="&amp;F22)</f>
        <v>0</v>
      </c>
      <c r="N22" s="3" t="n">
        <f aca="false">SUMIFS(Seasons!$N$2:$N$2865,Seasons!$A$2:$A$2865,B22,Seasons!$B$2:$B$2865,"&gt;="&amp;E22,Seasons!$B$2:$B$2865,"&lt;="&amp;F22)</f>
        <v>0</v>
      </c>
      <c r="O22" s="21" t="n">
        <f aca="false">Franchise_Totals!M22/(Franchise_Totals!M22+Franchise_Totals!N22)</f>
        <v>0.477037695985767</v>
      </c>
      <c r="P22" s="10" t="n">
        <f aca="false">J22-O22</f>
        <v>0.0412739117113158</v>
      </c>
    </row>
    <row r="23" customFormat="false" ht="15" hidden="false" customHeight="true" outlineLevel="0" collapsed="false">
      <c r="A23" s="3" t="s">
        <v>379</v>
      </c>
      <c r="B23" s="3" t="s">
        <v>77</v>
      </c>
      <c r="C23" s="3" t="str">
        <f aca="false">Franchise_Totals!C23</f>
        <v>Expansion</v>
      </c>
      <c r="D23" s="3" t="str">
        <f aca="false">Franchise_Totals!D23</f>
        <v>1969</v>
      </c>
      <c r="E23" s="7" t="n">
        <v>1969</v>
      </c>
      <c r="F23" s="3" t="n">
        <f aca="false">E23+9</f>
        <v>1978</v>
      </c>
      <c r="G23" s="3" t="s">
        <v>397</v>
      </c>
      <c r="H23" s="3" t="n">
        <f aca="false">SUMIFS(Seasons!$D$2:$D$2865,Seasons!$A$2:$A$2865,B23,Seasons!$B$2:$B$2865,"&gt;="&amp;E23,Seasons!$B$2:$B$2865,"&lt;="&amp;F23)</f>
        <v>707</v>
      </c>
      <c r="I23" s="3" t="n">
        <f aca="false">SUMIFS(Seasons!$E$2:$E$2865,Seasons!$A$2:$A$2865,B23,Seasons!$B$2:$B$2865,"&gt;="&amp;E23,Seasons!$B$2:$B$2865,"&lt;="&amp;F23)</f>
        <v>905</v>
      </c>
      <c r="J23" s="21" t="n">
        <f aca="false">H23/(H23+I23)</f>
        <v>0.438585607940447</v>
      </c>
      <c r="K23" s="3" t="n">
        <f aca="false">SUMIFS(Seasons!$K$2:$K$2865,Seasons!$A$2:$A$2865,B23,Seasons!$B$2:$B$2865,"&gt;="&amp;E23,Seasons!$B$2:$B$2865,"&lt;="&amp;F23)</f>
        <v>1</v>
      </c>
      <c r="L23" s="3" t="n">
        <f aca="false">SUMIFS(Seasons!$L$2:$L$2865,Seasons!$A$2:$A$2865,B23,Seasons!$B$2:$B$2865,"&gt;="&amp;E23,Seasons!$B$2:$B$2865,"&lt;="&amp;F23)</f>
        <v>0</v>
      </c>
      <c r="M23" s="3" t="n">
        <f aca="false">SUMIFS(Seasons!$M$2:$M$2865,Seasons!$A$2:$A$2865,B23,Seasons!$B$2:$B$2865,"&gt;="&amp;E23,Seasons!$B$2:$B$2865,"&lt;="&amp;F23)</f>
        <v>0</v>
      </c>
      <c r="N23" s="3" t="n">
        <f aca="false">SUMIFS(Seasons!$N$2:$N$2865,Seasons!$A$2:$A$2865,B23,Seasons!$B$2:$B$2865,"&gt;="&amp;E23,Seasons!$B$2:$B$2865,"&lt;="&amp;F23)</f>
        <v>0</v>
      </c>
      <c r="O23" s="21" t="n">
        <f aca="false">Franchise_Totals!M23/(Franchise_Totals!M23+Franchise_Totals!N23)</f>
        <v>0.489444444444444</v>
      </c>
      <c r="P23" s="10" t="n">
        <f aca="false">J23-O23</f>
        <v>-0.0508588365039978</v>
      </c>
    </row>
    <row r="24" customFormat="false" ht="15" hidden="false" customHeight="true" outlineLevel="0" collapsed="false">
      <c r="A24" s="3" t="s">
        <v>380</v>
      </c>
      <c r="B24" s="3" t="s">
        <v>78</v>
      </c>
      <c r="C24" s="3" t="str">
        <f aca="false">Franchise_Totals!C24</f>
        <v>Expansion</v>
      </c>
      <c r="D24" s="3" t="str">
        <f aca="false">Franchise_Totals!D24</f>
        <v>1969</v>
      </c>
      <c r="E24" s="7" t="n">
        <v>1969</v>
      </c>
      <c r="F24" s="3" t="n">
        <f aca="false">E24+9</f>
        <v>1978</v>
      </c>
      <c r="G24" s="3" t="s">
        <v>397</v>
      </c>
      <c r="H24" s="3" t="n">
        <f aca="false">SUMIFS(Seasons!$D$2:$D$2865,Seasons!$A$2:$A$2865,B24,Seasons!$B$2:$B$2865,"&gt;="&amp;E24,Seasons!$B$2:$B$2865,"&lt;="&amp;F24)</f>
        <v>651</v>
      </c>
      <c r="I24" s="3" t="n">
        <f aca="false">SUMIFS(Seasons!$E$2:$E$2865,Seasons!$A$2:$A$2865,B24,Seasons!$B$2:$B$2865,"&gt;="&amp;E24,Seasons!$B$2:$B$2865,"&lt;="&amp;F24)</f>
        <v>959</v>
      </c>
      <c r="J24" s="21" t="n">
        <f aca="false">H24/(H24+I24)</f>
        <v>0.404347826086957</v>
      </c>
      <c r="K24" s="3" t="n">
        <f aca="false">SUMIFS(Seasons!$K$2:$K$2865,Seasons!$A$2:$A$2865,B24,Seasons!$B$2:$B$2865,"&gt;="&amp;E24,Seasons!$B$2:$B$2865,"&lt;="&amp;F24)</f>
        <v>1</v>
      </c>
      <c r="L24" s="3" t="n">
        <f aca="false">SUMIFS(Seasons!$L$2:$L$2865,Seasons!$A$2:$A$2865,B24,Seasons!$B$2:$B$2865,"&gt;="&amp;E24,Seasons!$B$2:$B$2865,"&lt;="&amp;F24)</f>
        <v>0</v>
      </c>
      <c r="M24" s="3" t="n">
        <f aca="false">SUMIFS(Seasons!$M$2:$M$2865,Seasons!$A$2:$A$2865,B24,Seasons!$B$2:$B$2865,"&gt;="&amp;E24,Seasons!$B$2:$B$2865,"&lt;="&amp;F24)</f>
        <v>0</v>
      </c>
      <c r="N24" s="3" t="n">
        <f aca="false">SUMIFS(Seasons!$N$2:$N$2865,Seasons!$A$2:$A$2865,B24,Seasons!$B$2:$B$2865,"&gt;="&amp;E24,Seasons!$B$2:$B$2865,"&lt;="&amp;F24)</f>
        <v>0</v>
      </c>
      <c r="O24" s="21" t="n">
        <f aca="false">Franchise_Totals!M24/(Franchise_Totals!M24+Franchise_Totals!N24)</f>
        <v>0.46824339329336</v>
      </c>
      <c r="P24" s="10" t="n">
        <f aca="false">J24-O24</f>
        <v>-0.0638955672064034</v>
      </c>
    </row>
    <row r="25" customFormat="false" ht="15" hidden="false" customHeight="true" outlineLevel="0" collapsed="false">
      <c r="A25" s="3" t="s">
        <v>381</v>
      </c>
      <c r="B25" s="3" t="s">
        <v>79</v>
      </c>
      <c r="C25" s="3" t="str">
        <f aca="false">Franchise_Totals!C25</f>
        <v>Expansion</v>
      </c>
      <c r="D25" s="3" t="str">
        <f aca="false">Franchise_Totals!D25</f>
        <v>1969</v>
      </c>
      <c r="E25" s="7" t="n">
        <v>1969</v>
      </c>
      <c r="F25" s="3" t="n">
        <f aca="false">E25+9</f>
        <v>1978</v>
      </c>
      <c r="G25" s="3" t="s">
        <v>397</v>
      </c>
      <c r="H25" s="3" t="n">
        <f aca="false">SUMIFS(Seasons!$D$2:$D$2865,Seasons!$A$2:$A$2865,B25,Seasons!$B$2:$B$2865,"&gt;="&amp;E25,Seasons!$B$2:$B$2865,"&lt;="&amp;F25)</f>
        <v>705</v>
      </c>
      <c r="I25" s="3" t="n">
        <f aca="false">SUMIFS(Seasons!$E$2:$E$2865,Seasons!$A$2:$A$2865,B25,Seasons!$B$2:$B$2865,"&gt;="&amp;E25,Seasons!$B$2:$B$2865,"&lt;="&amp;F25)</f>
        <v>907</v>
      </c>
      <c r="J25" s="21" t="n">
        <f aca="false">H25/(H25+I25)</f>
        <v>0.437344913151365</v>
      </c>
      <c r="K25" s="3" t="n">
        <f aca="false">SUMIFS(Seasons!$K$2:$K$2865,Seasons!$A$2:$A$2865,B25,Seasons!$B$2:$B$2865,"&gt;="&amp;E25,Seasons!$B$2:$B$2865,"&lt;="&amp;F25)</f>
        <v>0</v>
      </c>
      <c r="L25" s="3" t="n">
        <f aca="false">SUMIFS(Seasons!$L$2:$L$2865,Seasons!$A$2:$A$2865,B25,Seasons!$B$2:$B$2865,"&gt;="&amp;E25,Seasons!$B$2:$B$2865,"&lt;="&amp;F25)</f>
        <v>0</v>
      </c>
      <c r="M25" s="3" t="n">
        <f aca="false">SUMIFS(Seasons!$M$2:$M$2865,Seasons!$A$2:$A$2865,B25,Seasons!$B$2:$B$2865,"&gt;="&amp;E25,Seasons!$B$2:$B$2865,"&lt;="&amp;F25)</f>
        <v>0</v>
      </c>
      <c r="N25" s="3" t="n">
        <f aca="false">SUMIFS(Seasons!$N$2:$N$2865,Seasons!$A$2:$A$2865,B25,Seasons!$B$2:$B$2865,"&gt;="&amp;E25,Seasons!$B$2:$B$2865,"&lt;="&amp;F25)</f>
        <v>0</v>
      </c>
      <c r="O25" s="21" t="n">
        <f aca="false">Franchise_Totals!M25/(Franchise_Totals!M25+Franchise_Totals!N25)</f>
        <v>0.48143619386394</v>
      </c>
      <c r="P25" s="10" t="n">
        <f aca="false">J25-O25</f>
        <v>-0.0440912807125748</v>
      </c>
    </row>
    <row r="26" customFormat="false" ht="15" hidden="false" customHeight="true" outlineLevel="0" collapsed="false">
      <c r="A26" s="3" t="s">
        <v>382</v>
      </c>
      <c r="B26" s="3" t="s">
        <v>80</v>
      </c>
      <c r="C26" s="3" t="str">
        <f aca="false">Franchise_Totals!C26</f>
        <v>Expansion</v>
      </c>
      <c r="D26" s="3" t="str">
        <f aca="false">Franchise_Totals!D26</f>
        <v>1977</v>
      </c>
      <c r="E26" s="7" t="n">
        <v>1977</v>
      </c>
      <c r="F26" s="3" t="n">
        <f aca="false">E26+9</f>
        <v>1986</v>
      </c>
      <c r="G26" s="3" t="s">
        <v>397</v>
      </c>
      <c r="H26" s="3" t="n">
        <f aca="false">SUMIFS(Seasons!$D$2:$D$2865,Seasons!$A$2:$A$2865,B26,Seasons!$B$2:$B$2865,"&gt;="&amp;E26,Seasons!$B$2:$B$2865,"&lt;="&amp;F26)</f>
        <v>641</v>
      </c>
      <c r="I26" s="3" t="n">
        <f aca="false">SUMIFS(Seasons!$E$2:$E$2865,Seasons!$A$2:$A$2865,B26,Seasons!$B$2:$B$2865,"&gt;="&amp;E26,Seasons!$B$2:$B$2865,"&lt;="&amp;F26)</f>
        <v>924</v>
      </c>
      <c r="J26" s="21" t="n">
        <f aca="false">H26/(H26+I26)</f>
        <v>0.409584664536741</v>
      </c>
      <c r="K26" s="3" t="n">
        <f aca="false">SUMIFS(Seasons!$K$2:$K$2865,Seasons!$A$2:$A$2865,B26,Seasons!$B$2:$B$2865,"&gt;="&amp;E26,Seasons!$B$2:$B$2865,"&lt;="&amp;F26)</f>
        <v>0</v>
      </c>
      <c r="L26" s="3" t="n">
        <f aca="false">SUMIFS(Seasons!$L$2:$L$2865,Seasons!$A$2:$A$2865,B26,Seasons!$B$2:$B$2865,"&gt;="&amp;E26,Seasons!$B$2:$B$2865,"&lt;="&amp;F26)</f>
        <v>0</v>
      </c>
      <c r="M26" s="3" t="n">
        <f aca="false">SUMIFS(Seasons!$M$2:$M$2865,Seasons!$A$2:$A$2865,B26,Seasons!$B$2:$B$2865,"&gt;="&amp;E26,Seasons!$B$2:$B$2865,"&lt;="&amp;F26)</f>
        <v>0</v>
      </c>
      <c r="N26" s="3" t="n">
        <f aca="false">SUMIFS(Seasons!$N$2:$N$2865,Seasons!$A$2:$A$2865,B26,Seasons!$B$2:$B$2865,"&gt;="&amp;E26,Seasons!$B$2:$B$2865,"&lt;="&amp;F26)</f>
        <v>0</v>
      </c>
      <c r="O26" s="21" t="n">
        <f aca="false">Franchise_Totals!M26/(Franchise_Totals!M26+Franchise_Totals!N26)</f>
        <v>0.478407469848269</v>
      </c>
      <c r="P26" s="10" t="n">
        <f aca="false">J26-O26</f>
        <v>-0.0688228053115275</v>
      </c>
    </row>
    <row r="27" customFormat="false" ht="15" hidden="false" customHeight="true" outlineLevel="0" collapsed="false">
      <c r="A27" s="3" t="s">
        <v>384</v>
      </c>
      <c r="B27" s="3" t="s">
        <v>81</v>
      </c>
      <c r="C27" s="3" t="str">
        <f aca="false">Franchise_Totals!C27</f>
        <v>Expansion</v>
      </c>
      <c r="D27" s="3" t="str">
        <f aca="false">Franchise_Totals!D27</f>
        <v>1977</v>
      </c>
      <c r="E27" s="7" t="n">
        <v>1977</v>
      </c>
      <c r="F27" s="3" t="n">
        <f aca="false">E27+9</f>
        <v>1986</v>
      </c>
      <c r="G27" s="3" t="s">
        <v>397</v>
      </c>
      <c r="H27" s="3" t="n">
        <f aca="false">SUMIFS(Seasons!$D$2:$D$2865,Seasons!$A$2:$A$2865,B27,Seasons!$B$2:$B$2865,"&gt;="&amp;E27,Seasons!$B$2:$B$2865,"&lt;="&amp;F27)</f>
        <v>711</v>
      </c>
      <c r="I27" s="3" t="n">
        <f aca="false">SUMIFS(Seasons!$E$2:$E$2865,Seasons!$A$2:$A$2865,B27,Seasons!$B$2:$B$2865,"&gt;="&amp;E27,Seasons!$B$2:$B$2865,"&lt;="&amp;F27)</f>
        <v>850</v>
      </c>
      <c r="J27" s="21" t="n">
        <f aca="false">H27/(H27+I27)</f>
        <v>0.455477258167841</v>
      </c>
      <c r="K27" s="3" t="n">
        <f aca="false">SUMIFS(Seasons!$K$2:$K$2865,Seasons!$A$2:$A$2865,B27,Seasons!$B$2:$B$2865,"&gt;="&amp;E27,Seasons!$B$2:$B$2865,"&lt;="&amp;F27)</f>
        <v>4</v>
      </c>
      <c r="L27" s="3" t="n">
        <f aca="false">SUMIFS(Seasons!$L$2:$L$2865,Seasons!$A$2:$A$2865,B27,Seasons!$B$2:$B$2865,"&gt;="&amp;E27,Seasons!$B$2:$B$2865,"&lt;="&amp;F27)</f>
        <v>1</v>
      </c>
      <c r="M27" s="3" t="n">
        <f aca="false">SUMIFS(Seasons!$M$2:$M$2865,Seasons!$A$2:$A$2865,B27,Seasons!$B$2:$B$2865,"&gt;="&amp;E27,Seasons!$B$2:$B$2865,"&lt;="&amp;F27)</f>
        <v>0</v>
      </c>
      <c r="N27" s="3" t="n">
        <f aca="false">SUMIFS(Seasons!$N$2:$N$2865,Seasons!$A$2:$A$2865,B27,Seasons!$B$2:$B$2865,"&gt;="&amp;E27,Seasons!$B$2:$B$2865,"&lt;="&amp;F27)</f>
        <v>0</v>
      </c>
      <c r="O27" s="21" t="n">
        <f aca="false">Franchise_Totals!M27/(Franchise_Totals!M27+Franchise_Totals!N27)</f>
        <v>0.499935157567112</v>
      </c>
      <c r="P27" s="10" t="n">
        <f aca="false">J27-O27</f>
        <v>-0.0444578993992708</v>
      </c>
    </row>
    <row r="28" customFormat="false" ht="15" hidden="false" customHeight="true" outlineLevel="0" collapsed="false">
      <c r="A28" s="3" t="s">
        <v>385</v>
      </c>
      <c r="B28" s="3" t="s">
        <v>82</v>
      </c>
      <c r="C28" s="3" t="str">
        <f aca="false">Franchise_Totals!C28</f>
        <v>Expansion</v>
      </c>
      <c r="D28" s="3" t="str">
        <f aca="false">Franchise_Totals!D28</f>
        <v>1993-98</v>
      </c>
      <c r="E28" s="7" t="n">
        <v>1993</v>
      </c>
      <c r="F28" s="3" t="n">
        <f aca="false">E28+9</f>
        <v>2002</v>
      </c>
      <c r="G28" s="3" t="s">
        <v>397</v>
      </c>
      <c r="H28" s="3" t="n">
        <f aca="false">SUMIFS(Seasons!$D$2:$D$2865,Seasons!$A$2:$A$2865,B28,Seasons!$B$2:$B$2865,"&gt;="&amp;E28,Seasons!$B$2:$B$2865,"&lt;="&amp;F28)</f>
        <v>740</v>
      </c>
      <c r="I28" s="3" t="n">
        <f aca="false">SUMIFS(Seasons!$E$2:$E$2865,Seasons!$A$2:$A$2865,B28,Seasons!$B$2:$B$2865,"&gt;="&amp;E28,Seasons!$B$2:$B$2865,"&lt;="&amp;F28)</f>
        <v>817</v>
      </c>
      <c r="J28" s="21" t="n">
        <f aca="false">H28/(H28+I28)</f>
        <v>0.475272960822094</v>
      </c>
      <c r="K28" s="3" t="n">
        <f aca="false">SUMIFS(Seasons!$K$2:$K$2865,Seasons!$A$2:$A$2865,B28,Seasons!$B$2:$B$2865,"&gt;="&amp;E28,Seasons!$B$2:$B$2865,"&lt;="&amp;F28)</f>
        <v>4</v>
      </c>
      <c r="L28" s="3" t="n">
        <f aca="false">SUMIFS(Seasons!$L$2:$L$2865,Seasons!$A$2:$A$2865,B28,Seasons!$B$2:$B$2865,"&gt;="&amp;E28,Seasons!$B$2:$B$2865,"&lt;="&amp;F28)</f>
        <v>1</v>
      </c>
      <c r="M28" s="3" t="n">
        <f aca="false">SUMIFS(Seasons!$M$2:$M$2865,Seasons!$A$2:$A$2865,B28,Seasons!$B$2:$B$2865,"&gt;="&amp;E28,Seasons!$B$2:$B$2865,"&lt;="&amp;F28)</f>
        <v>0</v>
      </c>
      <c r="N28" s="3" t="n">
        <f aca="false">SUMIFS(Seasons!$N$2:$N$2865,Seasons!$A$2:$A$2865,B28,Seasons!$B$2:$B$2865,"&gt;="&amp;E28,Seasons!$B$2:$B$2865,"&lt;="&amp;F28)</f>
        <v>0</v>
      </c>
      <c r="O28" s="21" t="n">
        <f aca="false">Franchise_Totals!M28/(Franchise_Totals!M28+Franchise_Totals!N28)</f>
        <v>0.456194519490544</v>
      </c>
      <c r="P28" s="10" t="n">
        <f aca="false">J28-O28</f>
        <v>0.0190784413315496</v>
      </c>
    </row>
    <row r="29" customFormat="false" ht="15" hidden="false" customHeight="true" outlineLevel="0" collapsed="false">
      <c r="A29" s="3" t="s">
        <v>387</v>
      </c>
      <c r="B29" s="3" t="s">
        <v>83</v>
      </c>
      <c r="C29" s="3" t="str">
        <f aca="false">Franchise_Totals!C29</f>
        <v>Expansion</v>
      </c>
      <c r="D29" s="3" t="str">
        <f aca="false">Franchise_Totals!D29</f>
        <v>1993-98</v>
      </c>
      <c r="E29" s="7" t="n">
        <v>1993</v>
      </c>
      <c r="F29" s="3" t="n">
        <f aca="false">E29+9</f>
        <v>2002</v>
      </c>
      <c r="G29" s="3" t="s">
        <v>397</v>
      </c>
      <c r="H29" s="3" t="n">
        <f aca="false">SUMIFS(Seasons!$D$2:$D$2865,Seasons!$A$2:$A$2865,B29,Seasons!$B$2:$B$2865,"&gt;="&amp;E29,Seasons!$B$2:$B$2865,"&lt;="&amp;F29)</f>
        <v>706</v>
      </c>
      <c r="I29" s="3" t="n">
        <f aca="false">SUMIFS(Seasons!$E$2:$E$2865,Seasons!$A$2:$A$2865,B29,Seasons!$B$2:$B$2865,"&gt;="&amp;E29,Seasons!$B$2:$B$2865,"&lt;="&amp;F29)</f>
        <v>847</v>
      </c>
      <c r="J29" s="21" t="n">
        <f aca="false">H29/(H29+I29)</f>
        <v>0.45460399227302</v>
      </c>
      <c r="K29" s="3" t="n">
        <f aca="false">SUMIFS(Seasons!$K$2:$K$2865,Seasons!$A$2:$A$2865,B29,Seasons!$B$2:$B$2865,"&gt;="&amp;E29,Seasons!$B$2:$B$2865,"&lt;="&amp;F29)</f>
        <v>1</v>
      </c>
      <c r="L29" s="3" t="n">
        <f aca="false">SUMIFS(Seasons!$L$2:$L$2865,Seasons!$A$2:$A$2865,B29,Seasons!$B$2:$B$2865,"&gt;="&amp;E29,Seasons!$B$2:$B$2865,"&lt;="&amp;F29)</f>
        <v>1</v>
      </c>
      <c r="M29" s="3" t="n">
        <f aca="false">SUMIFS(Seasons!$M$2:$M$2865,Seasons!$A$2:$A$2865,B29,Seasons!$B$2:$B$2865,"&gt;="&amp;E29,Seasons!$B$2:$B$2865,"&lt;="&amp;F29)</f>
        <v>1</v>
      </c>
      <c r="N29" s="3" t="n">
        <f aca="false">SUMIFS(Seasons!$N$2:$N$2865,Seasons!$A$2:$A$2865,B29,Seasons!$B$2:$B$2865,"&gt;="&amp;E29,Seasons!$B$2:$B$2865,"&lt;="&amp;F29)</f>
        <v>1</v>
      </c>
      <c r="O29" s="21" t="n">
        <f aca="false">Franchise_Totals!M29/(Franchise_Totals!M29+Franchise_Totals!N29)</f>
        <v>0.460378817162737</v>
      </c>
      <c r="P29" s="10" t="n">
        <f aca="false">J29-O29</f>
        <v>-0.00577482488971681</v>
      </c>
    </row>
    <row r="30" customFormat="false" ht="15" hidden="false" customHeight="true" outlineLevel="0" collapsed="false">
      <c r="A30" s="3" t="s">
        <v>388</v>
      </c>
      <c r="B30" s="3" t="s">
        <v>84</v>
      </c>
      <c r="C30" s="3" t="str">
        <f aca="false">Franchise_Totals!C30</f>
        <v>Expansion</v>
      </c>
      <c r="D30" s="3" t="str">
        <f aca="false">Franchise_Totals!D30</f>
        <v>1993-98</v>
      </c>
      <c r="E30" s="7" t="n">
        <v>1998</v>
      </c>
      <c r="F30" s="3" t="n">
        <f aca="false">E30+9</f>
        <v>2007</v>
      </c>
      <c r="G30" s="3" t="s">
        <v>397</v>
      </c>
      <c r="H30" s="3" t="n">
        <f aca="false">SUMIFS(Seasons!$D$2:$D$2865,Seasons!$A$2:$A$2865,B30,Seasons!$B$2:$B$2865,"&gt;="&amp;E30,Seasons!$B$2:$B$2865,"&lt;="&amp;F30)</f>
        <v>818</v>
      </c>
      <c r="I30" s="3" t="n">
        <f aca="false">SUMIFS(Seasons!$E$2:$E$2865,Seasons!$A$2:$A$2865,B30,Seasons!$B$2:$B$2865,"&gt;="&amp;E30,Seasons!$B$2:$B$2865,"&lt;="&amp;F30)</f>
        <v>802</v>
      </c>
      <c r="J30" s="21" t="n">
        <f aca="false">H30/(H30+I30)</f>
        <v>0.504938271604938</v>
      </c>
      <c r="K30" s="3" t="n">
        <f aca="false">SUMIFS(Seasons!$K$2:$K$2865,Seasons!$A$2:$A$2865,B30,Seasons!$B$2:$B$2865,"&gt;="&amp;E30,Seasons!$B$2:$B$2865,"&lt;="&amp;F30)</f>
        <v>6</v>
      </c>
      <c r="L30" s="3" t="n">
        <f aca="false">SUMIFS(Seasons!$L$2:$L$2865,Seasons!$A$2:$A$2865,B30,Seasons!$B$2:$B$2865,"&gt;="&amp;E30,Seasons!$B$2:$B$2865,"&lt;="&amp;F30)</f>
        <v>4</v>
      </c>
      <c r="M30" s="3" t="n">
        <f aca="false">SUMIFS(Seasons!$M$2:$M$2865,Seasons!$A$2:$A$2865,B30,Seasons!$B$2:$B$2865,"&gt;="&amp;E30,Seasons!$B$2:$B$2865,"&lt;="&amp;F30)</f>
        <v>1</v>
      </c>
      <c r="N30" s="3" t="n">
        <f aca="false">SUMIFS(Seasons!$N$2:$N$2865,Seasons!$A$2:$A$2865,B30,Seasons!$B$2:$B$2865,"&gt;="&amp;E30,Seasons!$B$2:$B$2865,"&lt;="&amp;F30)</f>
        <v>1</v>
      </c>
      <c r="O30" s="21" t="n">
        <f aca="false">Franchise_Totals!M30/(Franchise_Totals!M30+Franchise_Totals!N30)</f>
        <v>0.48872350022553</v>
      </c>
      <c r="P30" s="10" t="n">
        <f aca="false">J30-O30</f>
        <v>0.0162147713794083</v>
      </c>
    </row>
    <row r="31" customFormat="false" ht="15" hidden="false" customHeight="true" outlineLevel="0" collapsed="false">
      <c r="A31" s="3" t="s">
        <v>389</v>
      </c>
      <c r="B31" s="3" t="s">
        <v>85</v>
      </c>
      <c r="C31" s="3" t="str">
        <f aca="false">Franchise_Totals!C31</f>
        <v>Expansion</v>
      </c>
      <c r="D31" s="3" t="str">
        <f aca="false">Franchise_Totals!D31</f>
        <v>1993-98</v>
      </c>
      <c r="E31" s="7" t="n">
        <v>1998</v>
      </c>
      <c r="F31" s="3" t="n">
        <f aca="false">E31+9</f>
        <v>2007</v>
      </c>
      <c r="G31" s="3" t="s">
        <v>397</v>
      </c>
      <c r="H31" s="3" t="n">
        <f aca="false">SUMIFS(Seasons!$D$2:$D$2865,Seasons!$A$2:$A$2865,B31,Seasons!$B$2:$B$2865,"&gt;="&amp;E31,Seasons!$B$2:$B$2865,"&lt;="&amp;F31)</f>
        <v>645</v>
      </c>
      <c r="I31" s="3" t="n">
        <f aca="false">SUMIFS(Seasons!$E$2:$E$2865,Seasons!$A$2:$A$2865,B31,Seasons!$B$2:$B$2865,"&gt;="&amp;E31,Seasons!$B$2:$B$2865,"&lt;="&amp;F31)</f>
        <v>972</v>
      </c>
      <c r="J31" s="21" t="n">
        <f aca="false">H31/(H31+I31)</f>
        <v>0.398886827458256</v>
      </c>
      <c r="K31" s="3" t="n">
        <f aca="false">SUMIFS(Seasons!$K$2:$K$2865,Seasons!$A$2:$A$2865,B31,Seasons!$B$2:$B$2865,"&gt;="&amp;E31,Seasons!$B$2:$B$2865,"&lt;="&amp;F31)</f>
        <v>0</v>
      </c>
      <c r="L31" s="3" t="n">
        <f aca="false">SUMIFS(Seasons!$L$2:$L$2865,Seasons!$A$2:$A$2865,B31,Seasons!$B$2:$B$2865,"&gt;="&amp;E31,Seasons!$B$2:$B$2865,"&lt;="&amp;F31)</f>
        <v>0</v>
      </c>
      <c r="M31" s="3" t="n">
        <f aca="false">SUMIFS(Seasons!$M$2:$M$2865,Seasons!$A$2:$A$2865,B31,Seasons!$B$2:$B$2865,"&gt;="&amp;E31,Seasons!$B$2:$B$2865,"&lt;="&amp;F31)</f>
        <v>0</v>
      </c>
      <c r="N31" s="3" t="n">
        <f aca="false">SUMIFS(Seasons!$N$2:$N$2865,Seasons!$A$2:$A$2865,B31,Seasons!$B$2:$B$2865,"&gt;="&amp;E31,Seasons!$B$2:$B$2865,"&lt;="&amp;F31)</f>
        <v>0</v>
      </c>
      <c r="O31" s="21" t="n">
        <f aca="false">Franchise_Totals!M31/(Franchise_Totals!M31+Franchise_Totals!N31)</f>
        <v>0.489169675090253</v>
      </c>
      <c r="P31" s="10" t="n">
        <f aca="false">J31-O31</f>
        <v>-0.0902828476319967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6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2" style="1" width="34"/>
    <col collapsed="false" customWidth="true" hidden="false" outlineLevel="0" max="11" min="3" style="1" width="12"/>
  </cols>
  <sheetData>
    <row r="1" customFormat="false" ht="31.5" hidden="false" customHeight="true" outlineLevel="0" collapsed="false">
      <c r="A1" s="4" t="s">
        <v>335</v>
      </c>
      <c r="B1" s="4" t="s">
        <v>398</v>
      </c>
      <c r="C1" s="4" t="s">
        <v>399</v>
      </c>
      <c r="D1" s="4" t="s">
        <v>400</v>
      </c>
      <c r="E1" s="4" t="s">
        <v>401</v>
      </c>
      <c r="F1" s="4" t="s">
        <v>105</v>
      </c>
      <c r="G1" s="4" t="s">
        <v>313</v>
      </c>
      <c r="H1" s="4" t="s">
        <v>314</v>
      </c>
      <c r="I1" s="4" t="s">
        <v>93</v>
      </c>
      <c r="J1" s="4" t="s">
        <v>402</v>
      </c>
      <c r="K1" s="4" t="s">
        <v>403</v>
      </c>
    </row>
    <row r="2" customFormat="false" ht="15" hidden="false" customHeight="true" outlineLevel="0" collapsed="false">
      <c r="A2" s="7" t="s">
        <v>404</v>
      </c>
      <c r="B2" s="7" t="s">
        <v>405</v>
      </c>
      <c r="C2" s="7" t="s">
        <v>406</v>
      </c>
      <c r="D2" s="7" t="n">
        <v>1876</v>
      </c>
      <c r="E2" s="7" t="n">
        <v>1876</v>
      </c>
      <c r="F2" s="7" t="n">
        <v>1</v>
      </c>
      <c r="G2" s="7" t="n">
        <v>14</v>
      </c>
      <c r="H2" s="7" t="n">
        <v>45</v>
      </c>
      <c r="I2" s="21" t="n">
        <f aca="false">G2/(G2+H2)</f>
        <v>0.23728813559322</v>
      </c>
      <c r="J2" s="3" t="n">
        <f aca="false">IF(F2&gt;=10,1,0)</f>
        <v>0</v>
      </c>
      <c r="K2" s="3" t="n">
        <f aca="false">IF(F2&lt;=3,1,0)</f>
        <v>1</v>
      </c>
    </row>
    <row r="3" customFormat="false" ht="15" hidden="false" customHeight="true" outlineLevel="0" collapsed="false">
      <c r="A3" s="7" t="s">
        <v>407</v>
      </c>
      <c r="B3" s="7" t="s">
        <v>358</v>
      </c>
      <c r="C3" s="7" t="s">
        <v>406</v>
      </c>
      <c r="D3" s="7" t="n">
        <v>1876</v>
      </c>
      <c r="E3" s="7" t="n">
        <v>1880</v>
      </c>
      <c r="F3" s="7" t="n">
        <v>5</v>
      </c>
      <c r="G3" s="7" t="n">
        <v>125</v>
      </c>
      <c r="H3" s="7" t="n">
        <v>217</v>
      </c>
      <c r="I3" s="21" t="n">
        <f aca="false">G3/(G3+H3)</f>
        <v>0.365497076023392</v>
      </c>
      <c r="J3" s="3" t="n">
        <f aca="false">IF(F3&gt;=10,1,0)</f>
        <v>0</v>
      </c>
      <c r="K3" s="3" t="n">
        <f aca="false">IF(F3&lt;=3,1,0)</f>
        <v>0</v>
      </c>
    </row>
    <row r="4" customFormat="false" ht="15" hidden="false" customHeight="true" outlineLevel="0" collapsed="false">
      <c r="A4" s="7" t="s">
        <v>408</v>
      </c>
      <c r="B4" s="7" t="s">
        <v>409</v>
      </c>
      <c r="C4" s="7" t="s">
        <v>406</v>
      </c>
      <c r="D4" s="7" t="n">
        <v>1876</v>
      </c>
      <c r="E4" s="7" t="n">
        <v>1877</v>
      </c>
      <c r="F4" s="7" t="n">
        <v>2</v>
      </c>
      <c r="G4" s="7" t="n">
        <v>78</v>
      </c>
      <c r="H4" s="7" t="n">
        <v>48</v>
      </c>
      <c r="I4" s="21" t="n">
        <f aca="false">G4/(G4+H4)</f>
        <v>0.619047619047619</v>
      </c>
      <c r="J4" s="3" t="n">
        <f aca="false">IF(F4&gt;=10,1,0)</f>
        <v>0</v>
      </c>
      <c r="K4" s="3" t="n">
        <f aca="false">IF(F4&lt;=3,1,0)</f>
        <v>1</v>
      </c>
    </row>
    <row r="5" customFormat="false" ht="15" hidden="false" customHeight="true" outlineLevel="0" collapsed="false">
      <c r="A5" s="7" t="s">
        <v>410</v>
      </c>
      <c r="B5" s="7" t="s">
        <v>411</v>
      </c>
      <c r="C5" s="7" t="s">
        <v>406</v>
      </c>
      <c r="D5" s="7" t="n">
        <v>1876</v>
      </c>
      <c r="E5" s="7" t="n">
        <v>1877</v>
      </c>
      <c r="F5" s="7" t="n">
        <v>2</v>
      </c>
      <c r="G5" s="7" t="n">
        <v>65</v>
      </c>
      <c r="H5" s="7" t="n">
        <v>61</v>
      </c>
      <c r="I5" s="21" t="n">
        <f aca="false">G5/(G5+H5)</f>
        <v>0.515873015873016</v>
      </c>
      <c r="J5" s="3" t="n">
        <f aca="false">IF(F5&gt;=10,1,0)</f>
        <v>0</v>
      </c>
      <c r="K5" s="3" t="n">
        <f aca="false">IF(F5&lt;=3,1,0)</f>
        <v>1</v>
      </c>
    </row>
    <row r="6" customFormat="false" ht="15" hidden="false" customHeight="true" outlineLevel="0" collapsed="false">
      <c r="A6" s="7" t="s">
        <v>412</v>
      </c>
      <c r="B6" s="7" t="s">
        <v>413</v>
      </c>
      <c r="C6" s="7" t="s">
        <v>406</v>
      </c>
      <c r="D6" s="7" t="n">
        <v>1876</v>
      </c>
      <c r="E6" s="7" t="n">
        <v>1876</v>
      </c>
      <c r="F6" s="7" t="n">
        <v>1</v>
      </c>
      <c r="G6" s="7" t="n">
        <v>21</v>
      </c>
      <c r="H6" s="7" t="n">
        <v>35</v>
      </c>
      <c r="I6" s="21" t="n">
        <f aca="false">G6/(G6+H6)</f>
        <v>0.375</v>
      </c>
      <c r="J6" s="3" t="n">
        <f aca="false">IF(F6&gt;=10,1,0)</f>
        <v>0</v>
      </c>
      <c r="K6" s="3" t="n">
        <f aca="false">IF(F6&lt;=3,1,0)</f>
        <v>1</v>
      </c>
    </row>
    <row r="7" customFormat="false" ht="15" hidden="false" customHeight="true" outlineLevel="0" collapsed="false">
      <c r="A7" s="7" t="s">
        <v>414</v>
      </c>
      <c r="B7" s="7" t="s">
        <v>415</v>
      </c>
      <c r="C7" s="7" t="s">
        <v>406</v>
      </c>
      <c r="D7" s="7" t="n">
        <v>1876</v>
      </c>
      <c r="E7" s="7" t="n">
        <v>1877</v>
      </c>
      <c r="F7" s="7" t="n">
        <v>2</v>
      </c>
      <c r="G7" s="7" t="n">
        <v>73</v>
      </c>
      <c r="H7" s="7" t="n">
        <v>51</v>
      </c>
      <c r="I7" s="21" t="n">
        <f aca="false">G7/(G7+H7)</f>
        <v>0.588709677419355</v>
      </c>
      <c r="J7" s="3" t="n">
        <f aca="false">IF(F7&gt;=10,1,0)</f>
        <v>0</v>
      </c>
      <c r="K7" s="3" t="n">
        <f aca="false">IF(F7&lt;=3,1,0)</f>
        <v>1</v>
      </c>
    </row>
    <row r="8" customFormat="false" ht="15" hidden="false" customHeight="true" outlineLevel="0" collapsed="false">
      <c r="A8" s="7" t="s">
        <v>416</v>
      </c>
      <c r="B8" s="7" t="s">
        <v>417</v>
      </c>
      <c r="C8" s="7" t="s">
        <v>406</v>
      </c>
      <c r="D8" s="7" t="n">
        <v>1878</v>
      </c>
      <c r="E8" s="7" t="n">
        <v>1878</v>
      </c>
      <c r="F8" s="7" t="n">
        <v>1</v>
      </c>
      <c r="G8" s="7" t="n">
        <v>24</v>
      </c>
      <c r="H8" s="7" t="n">
        <v>36</v>
      </c>
      <c r="I8" s="21" t="n">
        <f aca="false">G8/(G8+H8)</f>
        <v>0.4</v>
      </c>
      <c r="J8" s="3" t="n">
        <f aca="false">IF(F8&gt;=10,1,0)</f>
        <v>0</v>
      </c>
      <c r="K8" s="3" t="n">
        <f aca="false">IF(F8&lt;=3,1,0)</f>
        <v>1</v>
      </c>
    </row>
    <row r="9" customFormat="false" ht="15" hidden="false" customHeight="true" outlineLevel="0" collapsed="false">
      <c r="A9" s="7" t="s">
        <v>418</v>
      </c>
      <c r="B9" s="7" t="s">
        <v>419</v>
      </c>
      <c r="C9" s="7" t="s">
        <v>406</v>
      </c>
      <c r="D9" s="7" t="n">
        <v>1878</v>
      </c>
      <c r="E9" s="7" t="n">
        <v>1878</v>
      </c>
      <c r="F9" s="7" t="n">
        <v>1</v>
      </c>
      <c r="G9" s="7" t="n">
        <v>15</v>
      </c>
      <c r="H9" s="7" t="n">
        <v>45</v>
      </c>
      <c r="I9" s="21" t="n">
        <f aca="false">G9/(G9+H9)</f>
        <v>0.25</v>
      </c>
      <c r="J9" s="3" t="n">
        <f aca="false">IF(F9&gt;=10,1,0)</f>
        <v>0</v>
      </c>
      <c r="K9" s="3" t="n">
        <f aca="false">IF(F9&lt;=3,1,0)</f>
        <v>1</v>
      </c>
    </row>
    <row r="10" customFormat="false" ht="15" hidden="false" customHeight="true" outlineLevel="0" collapsed="false">
      <c r="A10" s="7" t="s">
        <v>420</v>
      </c>
      <c r="B10" s="7" t="s">
        <v>421</v>
      </c>
      <c r="C10" s="7" t="s">
        <v>406</v>
      </c>
      <c r="D10" s="7" t="n">
        <v>1878</v>
      </c>
      <c r="E10" s="7" t="n">
        <v>1885</v>
      </c>
      <c r="F10" s="7" t="n">
        <v>8</v>
      </c>
      <c r="G10" s="7" t="n">
        <v>438</v>
      </c>
      <c r="H10" s="7" t="n">
        <v>278</v>
      </c>
      <c r="I10" s="21" t="n">
        <f aca="false">G10/(G10+H10)</f>
        <v>0.611731843575419</v>
      </c>
      <c r="J10" s="3" t="n">
        <f aca="false">IF(F10&gt;=10,1,0)</f>
        <v>0</v>
      </c>
      <c r="K10" s="3" t="n">
        <f aca="false">IF(F10&lt;=3,1,0)</f>
        <v>0</v>
      </c>
    </row>
    <row r="11" customFormat="false" ht="15" hidden="false" customHeight="true" outlineLevel="0" collapsed="false">
      <c r="A11" s="7" t="s">
        <v>422</v>
      </c>
      <c r="B11" s="7" t="s">
        <v>423</v>
      </c>
      <c r="C11" s="7" t="s">
        <v>406</v>
      </c>
      <c r="D11" s="7" t="n">
        <v>1879</v>
      </c>
      <c r="E11" s="7" t="n">
        <v>1885</v>
      </c>
      <c r="F11" s="7" t="n">
        <v>7</v>
      </c>
      <c r="G11" s="7" t="n">
        <v>314</v>
      </c>
      <c r="H11" s="7" t="n">
        <v>333</v>
      </c>
      <c r="I11" s="21" t="n">
        <f aca="false">G11/(G11+H11)</f>
        <v>0.48531684698609</v>
      </c>
      <c r="J11" s="3" t="n">
        <f aca="false">IF(F11&gt;=10,1,0)</f>
        <v>0</v>
      </c>
      <c r="K11" s="3" t="n">
        <f aca="false">IF(F11&lt;=3,1,0)</f>
        <v>0</v>
      </c>
    </row>
    <row r="12" customFormat="false" ht="15" hidden="false" customHeight="true" outlineLevel="0" collapsed="false">
      <c r="A12" s="7" t="s">
        <v>424</v>
      </c>
      <c r="B12" s="7" t="s">
        <v>425</v>
      </c>
      <c r="C12" s="7" t="s">
        <v>406</v>
      </c>
      <c r="D12" s="7" t="n">
        <v>1879</v>
      </c>
      <c r="E12" s="7" t="n">
        <v>1884</v>
      </c>
      <c r="F12" s="7" t="n">
        <v>6</v>
      </c>
      <c r="G12" s="7" t="n">
        <v>242</v>
      </c>
      <c r="H12" s="7" t="n">
        <v>299</v>
      </c>
      <c r="I12" s="21" t="n">
        <f aca="false">G12/(G12+H12)</f>
        <v>0.44731977818854</v>
      </c>
      <c r="J12" s="3" t="n">
        <f aca="false">IF(F12&gt;=10,1,0)</f>
        <v>0</v>
      </c>
      <c r="K12" s="3" t="n">
        <f aca="false">IF(F12&lt;=3,1,0)</f>
        <v>0</v>
      </c>
    </row>
    <row r="13" customFormat="false" ht="15" hidden="false" customHeight="true" outlineLevel="0" collapsed="false">
      <c r="A13" s="7" t="s">
        <v>426</v>
      </c>
      <c r="B13" s="7" t="s">
        <v>427</v>
      </c>
      <c r="C13" s="7" t="s">
        <v>406</v>
      </c>
      <c r="D13" s="7" t="n">
        <v>1879</v>
      </c>
      <c r="E13" s="7" t="n">
        <v>1879</v>
      </c>
      <c r="F13" s="7" t="n">
        <v>1</v>
      </c>
      <c r="G13" s="7" t="n">
        <v>22</v>
      </c>
      <c r="H13" s="7" t="n">
        <v>48</v>
      </c>
      <c r="I13" s="21" t="n">
        <f aca="false">G13/(G13+H13)</f>
        <v>0.314285714285714</v>
      </c>
      <c r="J13" s="3" t="n">
        <f aca="false">IF(F13&gt;=10,1,0)</f>
        <v>0</v>
      </c>
      <c r="K13" s="3" t="n">
        <f aca="false">IF(F13&lt;=3,1,0)</f>
        <v>1</v>
      </c>
    </row>
    <row r="14" customFormat="false" ht="15" hidden="false" customHeight="true" outlineLevel="0" collapsed="false">
      <c r="A14" s="7" t="s">
        <v>428</v>
      </c>
      <c r="B14" s="7" t="s">
        <v>429</v>
      </c>
      <c r="C14" s="7" t="s">
        <v>406</v>
      </c>
      <c r="D14" s="7" t="n">
        <v>1879</v>
      </c>
      <c r="E14" s="7" t="n">
        <v>1882</v>
      </c>
      <c r="F14" s="7" t="n">
        <v>4</v>
      </c>
      <c r="G14" s="7" t="n">
        <v>134</v>
      </c>
      <c r="H14" s="7" t="n">
        <v>191</v>
      </c>
      <c r="I14" s="21" t="n">
        <f aca="false">G14/(G14+H14)</f>
        <v>0.412307692307692</v>
      </c>
      <c r="J14" s="3" t="n">
        <f aca="false">IF(F14&gt;=10,1,0)</f>
        <v>0</v>
      </c>
      <c r="K14" s="3" t="n">
        <f aca="false">IF(F14&lt;=3,1,0)</f>
        <v>0</v>
      </c>
    </row>
    <row r="15" customFormat="false" ht="15" hidden="false" customHeight="true" outlineLevel="0" collapsed="false">
      <c r="A15" s="7" t="s">
        <v>430</v>
      </c>
      <c r="B15" s="7" t="s">
        <v>431</v>
      </c>
      <c r="C15" s="7" t="s">
        <v>406</v>
      </c>
      <c r="D15" s="7" t="n">
        <v>1880</v>
      </c>
      <c r="E15" s="7" t="n">
        <v>1882</v>
      </c>
      <c r="F15" s="7" t="n">
        <v>3</v>
      </c>
      <c r="G15" s="7" t="n">
        <v>90</v>
      </c>
      <c r="H15" s="7" t="n">
        <v>159</v>
      </c>
      <c r="I15" s="21" t="n">
        <f aca="false">G15/(G15+H15)</f>
        <v>0.36144578313253</v>
      </c>
      <c r="J15" s="3" t="n">
        <f aca="false">IF(F15&gt;=10,1,0)</f>
        <v>0</v>
      </c>
      <c r="K15" s="3" t="n">
        <f aca="false">IF(F15&lt;=3,1,0)</f>
        <v>1</v>
      </c>
    </row>
    <row r="16" customFormat="false" ht="15" hidden="false" customHeight="true" outlineLevel="0" collapsed="false">
      <c r="A16" s="7" t="s">
        <v>432</v>
      </c>
      <c r="B16" s="7" t="s">
        <v>433</v>
      </c>
      <c r="C16" s="7" t="s">
        <v>406</v>
      </c>
      <c r="D16" s="7" t="n">
        <v>1881</v>
      </c>
      <c r="E16" s="7" t="n">
        <v>1888</v>
      </c>
      <c r="F16" s="7" t="n">
        <v>8</v>
      </c>
      <c r="G16" s="7" t="n">
        <v>426</v>
      </c>
      <c r="H16" s="7" t="n">
        <v>437</v>
      </c>
      <c r="I16" s="21" t="n">
        <f aca="false">G16/(G16+H16)</f>
        <v>0.493626882966396</v>
      </c>
      <c r="J16" s="3" t="n">
        <f aca="false">IF(F16&gt;=10,1,0)</f>
        <v>0</v>
      </c>
      <c r="K16" s="3" t="n">
        <f aca="false">IF(F16&lt;=3,1,0)</f>
        <v>0</v>
      </c>
    </row>
    <row r="17" customFormat="false" ht="15" hidden="false" customHeight="true" outlineLevel="0" collapsed="false">
      <c r="A17" s="7" t="s">
        <v>434</v>
      </c>
      <c r="B17" s="7" t="s">
        <v>364</v>
      </c>
      <c r="C17" s="7" t="s">
        <v>435</v>
      </c>
      <c r="D17" s="7" t="n">
        <v>1882</v>
      </c>
      <c r="E17" s="7" t="n">
        <v>1899</v>
      </c>
      <c r="F17" s="7" t="n">
        <v>18</v>
      </c>
      <c r="G17" s="7" t="n">
        <v>1133</v>
      </c>
      <c r="H17" s="7" t="n">
        <v>1049</v>
      </c>
      <c r="I17" s="21" t="n">
        <f aca="false">G17/(G17+H17)</f>
        <v>0.519248395967003</v>
      </c>
      <c r="J17" s="3" t="n">
        <f aca="false">IF(F17&gt;=10,1,0)</f>
        <v>1</v>
      </c>
      <c r="K17" s="3" t="n">
        <f aca="false">IF(F17&lt;=3,1,0)</f>
        <v>0</v>
      </c>
    </row>
    <row r="18" customFormat="false" ht="15" hidden="false" customHeight="true" outlineLevel="0" collapsed="false">
      <c r="A18" s="7" t="s">
        <v>436</v>
      </c>
      <c r="B18" s="7" t="s">
        <v>437</v>
      </c>
      <c r="C18" s="7" t="s">
        <v>435</v>
      </c>
      <c r="D18" s="7" t="n">
        <v>1882</v>
      </c>
      <c r="E18" s="7" t="n">
        <v>1899</v>
      </c>
      <c r="F18" s="7" t="n">
        <v>18</v>
      </c>
      <c r="G18" s="7" t="n">
        <v>993</v>
      </c>
      <c r="H18" s="7" t="n">
        <v>1320</v>
      </c>
      <c r="I18" s="21" t="n">
        <f aca="false">G18/(G18+H18)</f>
        <v>0.429312581063554</v>
      </c>
      <c r="J18" s="3" t="n">
        <f aca="false">IF(F18&gt;=10,1,0)</f>
        <v>1</v>
      </c>
      <c r="K18" s="3" t="n">
        <f aca="false">IF(F18&lt;=3,1,0)</f>
        <v>0</v>
      </c>
    </row>
    <row r="19" customFormat="false" ht="15" hidden="false" customHeight="true" outlineLevel="0" collapsed="false">
      <c r="A19" s="7" t="s">
        <v>438</v>
      </c>
      <c r="B19" s="7" t="s">
        <v>405</v>
      </c>
      <c r="C19" s="7" t="s">
        <v>439</v>
      </c>
      <c r="D19" s="7" t="n">
        <v>1882</v>
      </c>
      <c r="E19" s="7" t="n">
        <v>1890</v>
      </c>
      <c r="F19" s="7" t="n">
        <v>9</v>
      </c>
      <c r="G19" s="7" t="n">
        <v>560</v>
      </c>
      <c r="H19" s="7" t="n">
        <v>498</v>
      </c>
      <c r="I19" s="21" t="n">
        <f aca="false">G19/(G19+H19)</f>
        <v>0.52930056710775</v>
      </c>
      <c r="J19" s="3" t="n">
        <f aca="false">IF(F19&gt;=10,1,0)</f>
        <v>0</v>
      </c>
      <c r="K19" s="3" t="n">
        <f aca="false">IF(F19&lt;=3,1,0)</f>
        <v>0</v>
      </c>
    </row>
    <row r="20" customFormat="false" ht="15" hidden="false" customHeight="true" outlineLevel="0" collapsed="false">
      <c r="A20" s="7" t="s">
        <v>440</v>
      </c>
      <c r="B20" s="7" t="s">
        <v>441</v>
      </c>
      <c r="C20" s="7" t="s">
        <v>439</v>
      </c>
      <c r="D20" s="7" t="n">
        <v>1883</v>
      </c>
      <c r="E20" s="7" t="n">
        <v>1884</v>
      </c>
      <c r="F20" s="7" t="n">
        <v>2</v>
      </c>
      <c r="G20" s="7" t="n">
        <v>101</v>
      </c>
      <c r="H20" s="7" t="n">
        <v>104</v>
      </c>
      <c r="I20" s="21" t="n">
        <f aca="false">G20/(G20+H20)</f>
        <v>0.492682926829268</v>
      </c>
      <c r="J20" s="3" t="n">
        <f aca="false">IF(F20&gt;=10,1,0)</f>
        <v>0</v>
      </c>
      <c r="K20" s="3" t="n">
        <f aca="false">IF(F20&lt;=3,1,0)</f>
        <v>1</v>
      </c>
    </row>
    <row r="21" customFormat="false" ht="15" hidden="false" customHeight="true" outlineLevel="0" collapsed="false">
      <c r="A21" s="7" t="s">
        <v>442</v>
      </c>
      <c r="B21" s="7" t="s">
        <v>443</v>
      </c>
      <c r="C21" s="7" t="s">
        <v>439</v>
      </c>
      <c r="D21" s="7" t="n">
        <v>1883</v>
      </c>
      <c r="E21" s="7" t="n">
        <v>1887</v>
      </c>
      <c r="F21" s="7" t="n">
        <v>5</v>
      </c>
      <c r="G21" s="7" t="n">
        <v>270</v>
      </c>
      <c r="H21" s="7" t="n">
        <v>309</v>
      </c>
      <c r="I21" s="21" t="n">
        <f aca="false">G21/(G21+H21)</f>
        <v>0.466321243523316</v>
      </c>
      <c r="J21" s="3" t="n">
        <f aca="false">IF(F21&gt;=10,1,0)</f>
        <v>0</v>
      </c>
      <c r="K21" s="3" t="n">
        <f aca="false">IF(F21&lt;=3,1,0)</f>
        <v>0</v>
      </c>
    </row>
    <row r="22" customFormat="false" ht="15" hidden="false" customHeight="true" outlineLevel="0" collapsed="false">
      <c r="A22" s="7" t="s">
        <v>444</v>
      </c>
      <c r="B22" s="7" t="s">
        <v>445</v>
      </c>
      <c r="C22" s="7" t="s">
        <v>446</v>
      </c>
      <c r="D22" s="7" t="n">
        <v>1884</v>
      </c>
      <c r="E22" s="7" t="n">
        <v>1884</v>
      </c>
      <c r="F22" s="7" t="n">
        <v>1</v>
      </c>
      <c r="G22" s="7" t="n">
        <v>6</v>
      </c>
      <c r="H22" s="7" t="n">
        <v>19</v>
      </c>
      <c r="I22" s="21" t="n">
        <f aca="false">G22/(G22+H22)</f>
        <v>0.24</v>
      </c>
      <c r="J22" s="3" t="n">
        <f aca="false">IF(F22&gt;=10,1,0)</f>
        <v>0</v>
      </c>
      <c r="K22" s="3" t="n">
        <f aca="false">IF(F22&lt;=3,1,0)</f>
        <v>1</v>
      </c>
    </row>
    <row r="23" customFormat="false" ht="15" hidden="false" customHeight="true" outlineLevel="0" collapsed="false">
      <c r="A23" s="7" t="s">
        <v>447</v>
      </c>
      <c r="B23" s="7" t="s">
        <v>448</v>
      </c>
      <c r="C23" s="7" t="s">
        <v>446</v>
      </c>
      <c r="D23" s="7" t="n">
        <v>1884</v>
      </c>
      <c r="E23" s="7" t="n">
        <v>1884</v>
      </c>
      <c r="F23" s="7" t="n">
        <v>1</v>
      </c>
      <c r="G23" s="7" t="n">
        <v>58</v>
      </c>
      <c r="H23" s="7" t="n">
        <v>47</v>
      </c>
      <c r="I23" s="21" t="n">
        <f aca="false">G23/(G23+H23)</f>
        <v>0.552380952380952</v>
      </c>
      <c r="J23" s="3" t="n">
        <f aca="false">IF(F23&gt;=10,1,0)</f>
        <v>0</v>
      </c>
      <c r="K23" s="3" t="n">
        <f aca="false">IF(F23&lt;=3,1,0)</f>
        <v>1</v>
      </c>
    </row>
    <row r="24" customFormat="false" ht="15" hidden="false" customHeight="true" outlineLevel="0" collapsed="false">
      <c r="A24" s="7" t="s">
        <v>449</v>
      </c>
      <c r="B24" s="7" t="s">
        <v>450</v>
      </c>
      <c r="C24" s="7" t="s">
        <v>446</v>
      </c>
      <c r="D24" s="7" t="n">
        <v>1884</v>
      </c>
      <c r="E24" s="7" t="n">
        <v>1884</v>
      </c>
      <c r="F24" s="7" t="n">
        <v>1</v>
      </c>
      <c r="G24" s="7" t="n">
        <v>58</v>
      </c>
      <c r="H24" s="7" t="n">
        <v>51</v>
      </c>
      <c r="I24" s="21" t="n">
        <f aca="false">G24/(G24+H24)</f>
        <v>0.532110091743119</v>
      </c>
      <c r="J24" s="3" t="n">
        <f aca="false">IF(F24&gt;=10,1,0)</f>
        <v>0</v>
      </c>
      <c r="K24" s="3" t="n">
        <f aca="false">IF(F24&lt;=3,1,0)</f>
        <v>1</v>
      </c>
    </row>
    <row r="25" customFormat="false" ht="15" hidden="false" customHeight="true" outlineLevel="0" collapsed="false">
      <c r="A25" s="7" t="s">
        <v>451</v>
      </c>
      <c r="B25" s="7" t="s">
        <v>452</v>
      </c>
      <c r="C25" s="7" t="s">
        <v>446</v>
      </c>
      <c r="D25" s="7" t="n">
        <v>1884</v>
      </c>
      <c r="E25" s="7" t="n">
        <v>1884</v>
      </c>
      <c r="F25" s="7" t="n">
        <v>1</v>
      </c>
      <c r="G25" s="7" t="n">
        <v>69</v>
      </c>
      <c r="H25" s="7" t="n">
        <v>36</v>
      </c>
      <c r="I25" s="21" t="n">
        <f aca="false">G25/(G25+H25)</f>
        <v>0.657142857142857</v>
      </c>
      <c r="J25" s="3" t="n">
        <f aca="false">IF(F25&gt;=10,1,0)</f>
        <v>0</v>
      </c>
      <c r="K25" s="3" t="n">
        <f aca="false">IF(F25&lt;=3,1,0)</f>
        <v>1</v>
      </c>
    </row>
    <row r="26" customFormat="false" ht="15" hidden="false" customHeight="true" outlineLevel="0" collapsed="false">
      <c r="A26" s="7" t="s">
        <v>453</v>
      </c>
      <c r="B26" s="7" t="s">
        <v>454</v>
      </c>
      <c r="C26" s="7" t="s">
        <v>446</v>
      </c>
      <c r="D26" s="7" t="n">
        <v>1884</v>
      </c>
      <c r="E26" s="7" t="n">
        <v>1884</v>
      </c>
      <c r="F26" s="7" t="n">
        <v>1</v>
      </c>
      <c r="G26" s="7" t="n">
        <v>41</v>
      </c>
      <c r="H26" s="7" t="n">
        <v>50</v>
      </c>
      <c r="I26" s="21" t="n">
        <f aca="false">G26/(G26+H26)</f>
        <v>0.450549450549451</v>
      </c>
      <c r="J26" s="3" t="n">
        <f aca="false">IF(F26&gt;=10,1,0)</f>
        <v>0</v>
      </c>
      <c r="K26" s="3" t="n">
        <f aca="false">IF(F26&lt;=3,1,0)</f>
        <v>1</v>
      </c>
    </row>
    <row r="27" customFormat="false" ht="15" hidden="false" customHeight="true" outlineLevel="0" collapsed="false">
      <c r="A27" s="7" t="s">
        <v>455</v>
      </c>
      <c r="B27" s="7" t="s">
        <v>456</v>
      </c>
      <c r="C27" s="7" t="s">
        <v>439</v>
      </c>
      <c r="D27" s="7" t="n">
        <v>1884</v>
      </c>
      <c r="E27" s="7" t="n">
        <v>1884</v>
      </c>
      <c r="F27" s="7" t="n">
        <v>1</v>
      </c>
      <c r="G27" s="7" t="n">
        <v>29</v>
      </c>
      <c r="H27" s="7" t="n">
        <v>78</v>
      </c>
      <c r="I27" s="21" t="n">
        <f aca="false">G27/(G27+H27)</f>
        <v>0.271028037383178</v>
      </c>
      <c r="J27" s="3" t="n">
        <f aca="false">IF(F27&gt;=10,1,0)</f>
        <v>0</v>
      </c>
      <c r="K27" s="3" t="n">
        <f aca="false">IF(F27&lt;=3,1,0)</f>
        <v>1</v>
      </c>
    </row>
    <row r="28" customFormat="false" ht="15" hidden="false" customHeight="true" outlineLevel="0" collapsed="false">
      <c r="A28" s="7" t="s">
        <v>457</v>
      </c>
      <c r="B28" s="7" t="s">
        <v>458</v>
      </c>
      <c r="C28" s="7" t="s">
        <v>446</v>
      </c>
      <c r="D28" s="7" t="n">
        <v>1884</v>
      </c>
      <c r="E28" s="7" t="n">
        <v>1884</v>
      </c>
      <c r="F28" s="7" t="n">
        <v>1</v>
      </c>
      <c r="G28" s="7" t="n">
        <v>16</v>
      </c>
      <c r="H28" s="7" t="n">
        <v>63</v>
      </c>
      <c r="I28" s="21" t="n">
        <f aca="false">G28/(G28+H28)</f>
        <v>0.20253164556962</v>
      </c>
      <c r="J28" s="3" t="n">
        <f aca="false">IF(F28&gt;=10,1,0)</f>
        <v>0</v>
      </c>
      <c r="K28" s="3" t="n">
        <f aca="false">IF(F28&lt;=3,1,0)</f>
        <v>1</v>
      </c>
    </row>
    <row r="29" customFormat="false" ht="15" hidden="false" customHeight="true" outlineLevel="0" collapsed="false">
      <c r="A29" s="7" t="s">
        <v>459</v>
      </c>
      <c r="B29" s="7" t="s">
        <v>379</v>
      </c>
      <c r="C29" s="7" t="s">
        <v>446</v>
      </c>
      <c r="D29" s="7" t="n">
        <v>1884</v>
      </c>
      <c r="E29" s="7" t="n">
        <v>1884</v>
      </c>
      <c r="F29" s="7" t="n">
        <v>1</v>
      </c>
      <c r="G29" s="7" t="n">
        <v>8</v>
      </c>
      <c r="H29" s="7" t="n">
        <v>4</v>
      </c>
      <c r="I29" s="21" t="n">
        <f aca="false">G29/(G29+H29)</f>
        <v>0.666666666666667</v>
      </c>
      <c r="J29" s="3" t="n">
        <f aca="false">IF(F29&gt;=10,1,0)</f>
        <v>0</v>
      </c>
      <c r="K29" s="3" t="n">
        <f aca="false">IF(F29&lt;=3,1,0)</f>
        <v>1</v>
      </c>
    </row>
    <row r="30" customFormat="false" ht="15" hidden="false" customHeight="true" outlineLevel="0" collapsed="false">
      <c r="A30" s="7" t="s">
        <v>460</v>
      </c>
      <c r="B30" s="7" t="s">
        <v>461</v>
      </c>
      <c r="C30" s="7" t="s">
        <v>446</v>
      </c>
      <c r="D30" s="7" t="n">
        <v>1884</v>
      </c>
      <c r="E30" s="7" t="n">
        <v>1884</v>
      </c>
      <c r="F30" s="7" t="n">
        <v>1</v>
      </c>
      <c r="G30" s="7" t="n">
        <v>21</v>
      </c>
      <c r="H30" s="7" t="n">
        <v>46</v>
      </c>
      <c r="I30" s="21" t="n">
        <f aca="false">G30/(G30+H30)</f>
        <v>0.313432835820896</v>
      </c>
      <c r="J30" s="3" t="n">
        <f aca="false">IF(F30&gt;=10,1,0)</f>
        <v>0</v>
      </c>
      <c r="K30" s="3" t="n">
        <f aca="false">IF(F30&lt;=3,1,0)</f>
        <v>1</v>
      </c>
    </row>
    <row r="31" customFormat="false" ht="15" hidden="false" customHeight="true" outlineLevel="0" collapsed="false">
      <c r="A31" s="7" t="s">
        <v>462</v>
      </c>
      <c r="B31" s="7" t="s">
        <v>463</v>
      </c>
      <c r="C31" s="7" t="s">
        <v>439</v>
      </c>
      <c r="D31" s="7" t="n">
        <v>1884</v>
      </c>
      <c r="E31" s="7" t="n">
        <v>1884</v>
      </c>
      <c r="F31" s="7" t="n">
        <v>1</v>
      </c>
      <c r="G31" s="7" t="n">
        <v>12</v>
      </c>
      <c r="H31" s="7" t="n">
        <v>30</v>
      </c>
      <c r="I31" s="21" t="n">
        <f aca="false">G31/(G31+H31)</f>
        <v>0.285714285714286</v>
      </c>
      <c r="J31" s="3" t="n">
        <f aca="false">IF(F31&gt;=10,1,0)</f>
        <v>0</v>
      </c>
      <c r="K31" s="3" t="n">
        <f aca="false">IF(F31&lt;=3,1,0)</f>
        <v>1</v>
      </c>
    </row>
    <row r="32" customFormat="false" ht="15" hidden="false" customHeight="true" outlineLevel="0" collapsed="false">
      <c r="A32" s="7" t="s">
        <v>464</v>
      </c>
      <c r="B32" s="7" t="s">
        <v>465</v>
      </c>
      <c r="C32" s="7" t="s">
        <v>466</v>
      </c>
      <c r="D32" s="7" t="n">
        <v>1884</v>
      </c>
      <c r="E32" s="7" t="n">
        <v>1886</v>
      </c>
      <c r="F32" s="7" t="n">
        <v>3</v>
      </c>
      <c r="G32" s="7" t="n">
        <v>173</v>
      </c>
      <c r="H32" s="7" t="n">
        <v>170</v>
      </c>
      <c r="I32" s="21" t="n">
        <f aca="false">G32/(G32+H32)</f>
        <v>0.504373177842566</v>
      </c>
      <c r="J32" s="3" t="n">
        <f aca="false">IF(F32&gt;=10,1,0)</f>
        <v>0</v>
      </c>
      <c r="K32" s="3" t="n">
        <f aca="false">IF(F32&lt;=3,1,0)</f>
        <v>1</v>
      </c>
    </row>
    <row r="33" customFormat="false" ht="15" hidden="false" customHeight="true" outlineLevel="0" collapsed="false">
      <c r="A33" s="7" t="s">
        <v>467</v>
      </c>
      <c r="B33" s="7" t="s">
        <v>468</v>
      </c>
      <c r="C33" s="7" t="s">
        <v>446</v>
      </c>
      <c r="D33" s="7" t="n">
        <v>1884</v>
      </c>
      <c r="E33" s="7" t="n">
        <v>1884</v>
      </c>
      <c r="F33" s="7" t="n">
        <v>1</v>
      </c>
      <c r="G33" s="7" t="n">
        <v>2</v>
      </c>
      <c r="H33" s="7" t="n">
        <v>6</v>
      </c>
      <c r="I33" s="21" t="n">
        <f aca="false">G33/(G33+H33)</f>
        <v>0.25</v>
      </c>
      <c r="J33" s="3" t="n">
        <f aca="false">IF(F33&gt;=10,1,0)</f>
        <v>0</v>
      </c>
      <c r="K33" s="3" t="n">
        <f aca="false">IF(F33&lt;=3,1,0)</f>
        <v>1</v>
      </c>
    </row>
    <row r="34" customFormat="false" ht="15" hidden="false" customHeight="true" outlineLevel="0" collapsed="false">
      <c r="A34" s="7" t="s">
        <v>469</v>
      </c>
      <c r="B34" s="7" t="s">
        <v>470</v>
      </c>
      <c r="C34" s="7" t="s">
        <v>439</v>
      </c>
      <c r="D34" s="7" t="n">
        <v>1884</v>
      </c>
      <c r="E34" s="7" t="n">
        <v>1884</v>
      </c>
      <c r="F34" s="7" t="n">
        <v>1</v>
      </c>
      <c r="G34" s="7" t="n">
        <v>46</v>
      </c>
      <c r="H34" s="7" t="n">
        <v>58</v>
      </c>
      <c r="I34" s="21" t="n">
        <f aca="false">G34/(G34+H34)</f>
        <v>0.442307692307692</v>
      </c>
      <c r="J34" s="3" t="n">
        <f aca="false">IF(F34&gt;=10,1,0)</f>
        <v>0</v>
      </c>
      <c r="K34" s="3" t="n">
        <f aca="false">IF(F34&lt;=3,1,0)</f>
        <v>1</v>
      </c>
    </row>
    <row r="35" customFormat="false" ht="15" hidden="false" customHeight="true" outlineLevel="0" collapsed="false">
      <c r="A35" s="7" t="s">
        <v>471</v>
      </c>
      <c r="B35" s="7" t="s">
        <v>472</v>
      </c>
      <c r="C35" s="7" t="s">
        <v>446</v>
      </c>
      <c r="D35" s="7" t="n">
        <v>1884</v>
      </c>
      <c r="E35" s="7" t="n">
        <v>1884</v>
      </c>
      <c r="F35" s="7" t="n">
        <v>1</v>
      </c>
      <c r="G35" s="7" t="n">
        <v>2</v>
      </c>
      <c r="H35" s="7" t="n">
        <v>16</v>
      </c>
      <c r="I35" s="21" t="n">
        <f aca="false">G35/(G35+H35)</f>
        <v>0.111111111111111</v>
      </c>
      <c r="J35" s="3" t="n">
        <f aca="false">IF(F35&gt;=10,1,0)</f>
        <v>0</v>
      </c>
      <c r="K35" s="3" t="n">
        <f aca="false">IF(F35&lt;=3,1,0)</f>
        <v>1</v>
      </c>
    </row>
    <row r="36" customFormat="false" ht="15" hidden="false" customHeight="true" outlineLevel="0" collapsed="false">
      <c r="A36" s="7" t="s">
        <v>473</v>
      </c>
      <c r="B36" s="7" t="s">
        <v>381</v>
      </c>
      <c r="C36" s="7" t="s">
        <v>446</v>
      </c>
      <c r="D36" s="7" t="n">
        <v>1884</v>
      </c>
      <c r="E36" s="7" t="n">
        <v>1884</v>
      </c>
      <c r="F36" s="7" t="n">
        <v>1</v>
      </c>
      <c r="G36" s="7" t="n">
        <v>47</v>
      </c>
      <c r="H36" s="7" t="n">
        <v>65</v>
      </c>
      <c r="I36" s="21" t="n">
        <f aca="false">G36/(G36+H36)</f>
        <v>0.419642857142857</v>
      </c>
      <c r="J36" s="3" t="n">
        <f aca="false">IF(F36&gt;=10,1,0)</f>
        <v>0</v>
      </c>
      <c r="K36" s="3" t="n">
        <f aca="false">IF(F36&lt;=3,1,0)</f>
        <v>1</v>
      </c>
    </row>
    <row r="37" customFormat="false" ht="15" hidden="false" customHeight="true" outlineLevel="0" collapsed="false">
      <c r="A37" s="7" t="s">
        <v>474</v>
      </c>
      <c r="B37" s="7" t="s">
        <v>381</v>
      </c>
      <c r="C37" s="7" t="s">
        <v>439</v>
      </c>
      <c r="D37" s="7" t="n">
        <v>1884</v>
      </c>
      <c r="E37" s="7" t="n">
        <v>1884</v>
      </c>
      <c r="F37" s="7" t="n">
        <v>1</v>
      </c>
      <c r="G37" s="7" t="n">
        <v>12</v>
      </c>
      <c r="H37" s="7" t="n">
        <v>51</v>
      </c>
      <c r="I37" s="21" t="n">
        <f aca="false">G37/(G37+H37)</f>
        <v>0.19047619047619</v>
      </c>
      <c r="J37" s="3" t="n">
        <f aca="false">IF(F37&gt;=10,1,0)</f>
        <v>0</v>
      </c>
      <c r="K37" s="3" t="n">
        <f aca="false">IF(F37&lt;=3,1,0)</f>
        <v>1</v>
      </c>
    </row>
    <row r="38" customFormat="false" ht="15" hidden="false" customHeight="true" outlineLevel="0" collapsed="false">
      <c r="A38" s="7" t="s">
        <v>475</v>
      </c>
      <c r="B38" s="7" t="s">
        <v>458</v>
      </c>
      <c r="C38" s="7" t="s">
        <v>406</v>
      </c>
      <c r="D38" s="7" t="n">
        <v>1886</v>
      </c>
      <c r="E38" s="7" t="n">
        <v>1886</v>
      </c>
      <c r="F38" s="7" t="n">
        <v>1</v>
      </c>
      <c r="G38" s="7" t="n">
        <v>30</v>
      </c>
      <c r="H38" s="7" t="n">
        <v>91</v>
      </c>
      <c r="I38" s="21" t="n">
        <f aca="false">G38/(G38+H38)</f>
        <v>0.247933884297521</v>
      </c>
      <c r="J38" s="3" t="n">
        <f aca="false">IF(F38&gt;=10,1,0)</f>
        <v>0</v>
      </c>
      <c r="K38" s="3" t="n">
        <f aca="false">IF(F38&lt;=3,1,0)</f>
        <v>1</v>
      </c>
    </row>
    <row r="39" customFormat="false" ht="15" hidden="false" customHeight="true" outlineLevel="0" collapsed="false">
      <c r="A39" s="7" t="s">
        <v>476</v>
      </c>
      <c r="B39" s="7" t="s">
        <v>381</v>
      </c>
      <c r="C39" s="7" t="s">
        <v>406</v>
      </c>
      <c r="D39" s="7" t="n">
        <v>1886</v>
      </c>
      <c r="E39" s="7" t="n">
        <v>1889</v>
      </c>
      <c r="F39" s="7" t="n">
        <v>4</v>
      </c>
      <c r="G39" s="7" t="n">
        <v>163</v>
      </c>
      <c r="H39" s="7" t="n">
        <v>337</v>
      </c>
      <c r="I39" s="21" t="n">
        <f aca="false">G39/(G39+H39)</f>
        <v>0.326</v>
      </c>
      <c r="J39" s="3" t="n">
        <f aca="false">IF(F39&gt;=10,1,0)</f>
        <v>0</v>
      </c>
      <c r="K39" s="3" t="n">
        <f aca="false">IF(F39&lt;=3,1,0)</f>
        <v>0</v>
      </c>
    </row>
    <row r="40" customFormat="false" ht="15" hidden="false" customHeight="true" outlineLevel="0" collapsed="false">
      <c r="A40" s="7" t="s">
        <v>477</v>
      </c>
      <c r="B40" s="7" t="s">
        <v>478</v>
      </c>
      <c r="C40" s="7" t="s">
        <v>435</v>
      </c>
      <c r="D40" s="7" t="n">
        <v>1887</v>
      </c>
      <c r="E40" s="7" t="n">
        <v>1899</v>
      </c>
      <c r="F40" s="7" t="n">
        <v>13</v>
      </c>
      <c r="G40" s="7" t="n">
        <v>827</v>
      </c>
      <c r="H40" s="7" t="n">
        <v>938</v>
      </c>
      <c r="I40" s="21" t="n">
        <f aca="false">G40/(G40+H40)</f>
        <v>0.468555240793201</v>
      </c>
      <c r="J40" s="3" t="n">
        <f aca="false">IF(F40&gt;=10,1,0)</f>
        <v>1</v>
      </c>
      <c r="K40" s="3" t="n">
        <f aca="false">IF(F40&lt;=3,1,0)</f>
        <v>0</v>
      </c>
    </row>
    <row r="41" customFormat="false" ht="15" hidden="false" customHeight="true" outlineLevel="0" collapsed="false">
      <c r="A41" s="7" t="s">
        <v>479</v>
      </c>
      <c r="B41" s="7" t="s">
        <v>456</v>
      </c>
      <c r="C41" s="7" t="s">
        <v>406</v>
      </c>
      <c r="D41" s="7" t="n">
        <v>1887</v>
      </c>
      <c r="E41" s="7" t="n">
        <v>1889</v>
      </c>
      <c r="F41" s="7" t="n">
        <v>3</v>
      </c>
      <c r="G41" s="7" t="n">
        <v>146</v>
      </c>
      <c r="H41" s="7" t="n">
        <v>249</v>
      </c>
      <c r="I41" s="21" t="n">
        <f aca="false">G41/(G41+H41)</f>
        <v>0.369620253164557</v>
      </c>
      <c r="J41" s="3" t="n">
        <f aca="false">IF(F41&gt;=10,1,0)</f>
        <v>0</v>
      </c>
      <c r="K41" s="3" t="n">
        <f aca="false">IF(F41&lt;=3,1,0)</f>
        <v>1</v>
      </c>
    </row>
    <row r="42" customFormat="false" ht="15" hidden="false" customHeight="true" outlineLevel="0" collapsed="false">
      <c r="A42" s="7" t="s">
        <v>480</v>
      </c>
      <c r="B42" s="7" t="s">
        <v>458</v>
      </c>
      <c r="C42" s="7" t="s">
        <v>439</v>
      </c>
      <c r="D42" s="7" t="n">
        <v>1888</v>
      </c>
      <c r="E42" s="7" t="n">
        <v>1889</v>
      </c>
      <c r="F42" s="7" t="n">
        <v>2</v>
      </c>
      <c r="G42" s="7" t="n">
        <v>98</v>
      </c>
      <c r="H42" s="7" t="n">
        <v>171</v>
      </c>
      <c r="I42" s="21" t="n">
        <f aca="false">G42/(G42+H42)</f>
        <v>0.364312267657993</v>
      </c>
      <c r="J42" s="3" t="n">
        <f aca="false">IF(F42&gt;=10,1,0)</f>
        <v>0</v>
      </c>
      <c r="K42" s="3" t="n">
        <f aca="false">IF(F42&lt;=3,1,0)</f>
        <v>1</v>
      </c>
    </row>
    <row r="43" customFormat="false" ht="15" hidden="false" customHeight="true" outlineLevel="0" collapsed="false">
      <c r="A43" s="7" t="s">
        <v>481</v>
      </c>
      <c r="B43" s="7" t="s">
        <v>482</v>
      </c>
      <c r="C43" s="7" t="s">
        <v>439</v>
      </c>
      <c r="D43" s="7" t="n">
        <v>1889</v>
      </c>
      <c r="E43" s="7" t="n">
        <v>1891</v>
      </c>
      <c r="F43" s="7" t="n">
        <v>3</v>
      </c>
      <c r="G43" s="7" t="n">
        <v>200</v>
      </c>
      <c r="H43" s="7" t="n">
        <v>209</v>
      </c>
      <c r="I43" s="21" t="n">
        <f aca="false">G43/(G43+H43)</f>
        <v>0.488997555012225</v>
      </c>
      <c r="J43" s="3" t="n">
        <f aca="false">IF(F43&gt;=10,1,0)</f>
        <v>0</v>
      </c>
      <c r="K43" s="3" t="n">
        <f aca="false">IF(F43&lt;=3,1,0)</f>
        <v>1</v>
      </c>
    </row>
    <row r="44" customFormat="false" ht="15" hidden="false" customHeight="true" outlineLevel="0" collapsed="false">
      <c r="A44" s="7" t="s">
        <v>483</v>
      </c>
      <c r="B44" s="7" t="s">
        <v>423</v>
      </c>
      <c r="C44" s="7" t="s">
        <v>484</v>
      </c>
      <c r="D44" s="7" t="n">
        <v>1890</v>
      </c>
      <c r="E44" s="7" t="n">
        <v>1890</v>
      </c>
      <c r="F44" s="7" t="n">
        <v>1</v>
      </c>
      <c r="G44" s="7" t="n">
        <v>36</v>
      </c>
      <c r="H44" s="7" t="n">
        <v>96</v>
      </c>
      <c r="I44" s="21" t="n">
        <f aca="false">G44/(G44+H44)</f>
        <v>0.272727272727273</v>
      </c>
      <c r="J44" s="3" t="n">
        <f aca="false">IF(F44&gt;=10,1,0)</f>
        <v>0</v>
      </c>
      <c r="K44" s="3" t="n">
        <f aca="false">IF(F44&lt;=3,1,0)</f>
        <v>1</v>
      </c>
    </row>
    <row r="45" customFormat="false" ht="15" hidden="false" customHeight="true" outlineLevel="0" collapsed="false">
      <c r="A45" s="7" t="s">
        <v>485</v>
      </c>
      <c r="B45" s="7" t="s">
        <v>486</v>
      </c>
      <c r="C45" s="7" t="s">
        <v>439</v>
      </c>
      <c r="D45" s="7" t="n">
        <v>1890</v>
      </c>
      <c r="E45" s="7" t="n">
        <v>1890</v>
      </c>
      <c r="F45" s="7" t="n">
        <v>1</v>
      </c>
      <c r="G45" s="7" t="n">
        <v>26</v>
      </c>
      <c r="H45" s="7" t="n">
        <v>72</v>
      </c>
      <c r="I45" s="21" t="n">
        <f aca="false">G45/(G45+H45)</f>
        <v>0.26530612244898</v>
      </c>
      <c r="J45" s="3" t="n">
        <f aca="false">IF(F45&gt;=10,1,0)</f>
        <v>0</v>
      </c>
      <c r="K45" s="3" t="n">
        <f aca="false">IF(F45&lt;=3,1,0)</f>
        <v>1</v>
      </c>
    </row>
    <row r="46" customFormat="false" ht="15" hidden="false" customHeight="true" outlineLevel="0" collapsed="false">
      <c r="A46" s="7" t="s">
        <v>487</v>
      </c>
      <c r="B46" s="7" t="s">
        <v>450</v>
      </c>
      <c r="C46" s="7" t="s">
        <v>488</v>
      </c>
      <c r="D46" s="7" t="n">
        <v>1890</v>
      </c>
      <c r="E46" s="7" t="n">
        <v>1891</v>
      </c>
      <c r="F46" s="7" t="n">
        <v>2</v>
      </c>
      <c r="G46" s="7" t="n">
        <v>174</v>
      </c>
      <c r="H46" s="7" t="n">
        <v>90</v>
      </c>
      <c r="I46" s="21" t="n">
        <f aca="false">G46/(G46+H46)</f>
        <v>0.659090909090909</v>
      </c>
      <c r="J46" s="3" t="n">
        <f aca="false">IF(F46&gt;=10,1,0)</f>
        <v>0</v>
      </c>
      <c r="K46" s="3" t="n">
        <f aca="false">IF(F46&lt;=3,1,0)</f>
        <v>1</v>
      </c>
    </row>
    <row r="47" customFormat="false" ht="15" hidden="false" customHeight="true" outlineLevel="0" collapsed="false">
      <c r="A47" s="7" t="s">
        <v>489</v>
      </c>
      <c r="B47" s="7" t="s">
        <v>490</v>
      </c>
      <c r="C47" s="7" t="s">
        <v>484</v>
      </c>
      <c r="D47" s="7" t="n">
        <v>1890</v>
      </c>
      <c r="E47" s="7" t="n">
        <v>1890</v>
      </c>
      <c r="F47" s="7" t="n">
        <v>1</v>
      </c>
      <c r="G47" s="7" t="n">
        <v>76</v>
      </c>
      <c r="H47" s="7" t="n">
        <v>56</v>
      </c>
      <c r="I47" s="21" t="n">
        <f aca="false">G47/(G47+H47)</f>
        <v>0.575757575757576</v>
      </c>
      <c r="J47" s="3" t="n">
        <f aca="false">IF(F47&gt;=10,1,0)</f>
        <v>0</v>
      </c>
      <c r="K47" s="3" t="n">
        <f aca="false">IF(F47&lt;=3,1,0)</f>
        <v>1</v>
      </c>
    </row>
    <row r="48" customFormat="false" ht="15" hidden="false" customHeight="true" outlineLevel="0" collapsed="false">
      <c r="A48" s="7" t="s">
        <v>491</v>
      </c>
      <c r="B48" s="7" t="s">
        <v>492</v>
      </c>
      <c r="C48" s="7" t="s">
        <v>484</v>
      </c>
      <c r="D48" s="7" t="n">
        <v>1890</v>
      </c>
      <c r="E48" s="7" t="n">
        <v>1890</v>
      </c>
      <c r="F48" s="7" t="n">
        <v>1</v>
      </c>
      <c r="G48" s="7" t="n">
        <v>75</v>
      </c>
      <c r="H48" s="7" t="n">
        <v>62</v>
      </c>
      <c r="I48" s="21" t="n">
        <f aca="false">G48/(G48+H48)</f>
        <v>0.547445255474453</v>
      </c>
      <c r="J48" s="3" t="n">
        <f aca="false">IF(F48&gt;=10,1,0)</f>
        <v>0</v>
      </c>
      <c r="K48" s="3" t="n">
        <f aca="false">IF(F48&lt;=3,1,0)</f>
        <v>1</v>
      </c>
    </row>
    <row r="49" customFormat="false" ht="15" hidden="false" customHeight="true" outlineLevel="0" collapsed="false">
      <c r="A49" s="7" t="s">
        <v>493</v>
      </c>
      <c r="B49" s="7" t="s">
        <v>494</v>
      </c>
      <c r="C49" s="7" t="s">
        <v>484</v>
      </c>
      <c r="D49" s="7" t="n">
        <v>1890</v>
      </c>
      <c r="E49" s="7" t="n">
        <v>1890</v>
      </c>
      <c r="F49" s="7" t="n">
        <v>1</v>
      </c>
      <c r="G49" s="7" t="n">
        <v>55</v>
      </c>
      <c r="H49" s="7" t="n">
        <v>75</v>
      </c>
      <c r="I49" s="21" t="n">
        <f aca="false">G49/(G49+H49)</f>
        <v>0.423076923076923</v>
      </c>
      <c r="J49" s="3" t="n">
        <f aca="false">IF(F49&gt;=10,1,0)</f>
        <v>0</v>
      </c>
      <c r="K49" s="3" t="n">
        <f aca="false">IF(F49&lt;=3,1,0)</f>
        <v>1</v>
      </c>
    </row>
    <row r="50" customFormat="false" ht="15" hidden="false" customHeight="true" outlineLevel="0" collapsed="false">
      <c r="A50" s="7" t="s">
        <v>495</v>
      </c>
      <c r="B50" s="7" t="s">
        <v>496</v>
      </c>
      <c r="C50" s="7" t="s">
        <v>484</v>
      </c>
      <c r="D50" s="7" t="n">
        <v>1890</v>
      </c>
      <c r="E50" s="7" t="n">
        <v>1890</v>
      </c>
      <c r="F50" s="7" t="n">
        <v>1</v>
      </c>
      <c r="G50" s="7" t="n">
        <v>74</v>
      </c>
      <c r="H50" s="7" t="n">
        <v>57</v>
      </c>
      <c r="I50" s="21" t="n">
        <f aca="false">G50/(G50+H50)</f>
        <v>0.564885496183206</v>
      </c>
      <c r="J50" s="3" t="n">
        <f aca="false">IF(F50&gt;=10,1,0)</f>
        <v>0</v>
      </c>
      <c r="K50" s="3" t="n">
        <f aca="false">IF(F50&lt;=3,1,0)</f>
        <v>1</v>
      </c>
    </row>
    <row r="51" customFormat="false" ht="15" hidden="false" customHeight="true" outlineLevel="0" collapsed="false">
      <c r="A51" s="7" t="s">
        <v>497</v>
      </c>
      <c r="B51" s="7" t="s">
        <v>498</v>
      </c>
      <c r="C51" s="7" t="s">
        <v>484</v>
      </c>
      <c r="D51" s="7" t="n">
        <v>1890</v>
      </c>
      <c r="E51" s="7" t="n">
        <v>1890</v>
      </c>
      <c r="F51" s="7" t="n">
        <v>1</v>
      </c>
      <c r="G51" s="7" t="n">
        <v>60</v>
      </c>
      <c r="H51" s="7" t="n">
        <v>68</v>
      </c>
      <c r="I51" s="21" t="n">
        <f aca="false">G51/(G51+H51)</f>
        <v>0.46875</v>
      </c>
      <c r="J51" s="3" t="n">
        <f aca="false">IF(F51&gt;=10,1,0)</f>
        <v>0</v>
      </c>
      <c r="K51" s="3" t="n">
        <f aca="false">IF(F51&lt;=3,1,0)</f>
        <v>1</v>
      </c>
    </row>
    <row r="52" customFormat="false" ht="15" hidden="false" customHeight="true" outlineLevel="0" collapsed="false">
      <c r="A52" s="7" t="s">
        <v>499</v>
      </c>
      <c r="B52" s="7" t="s">
        <v>405</v>
      </c>
      <c r="C52" s="7" t="s">
        <v>488</v>
      </c>
      <c r="D52" s="7" t="n">
        <v>1890</v>
      </c>
      <c r="E52" s="7" t="n">
        <v>1891</v>
      </c>
      <c r="F52" s="7" t="n">
        <v>2</v>
      </c>
      <c r="G52" s="7" t="n">
        <v>141</v>
      </c>
      <c r="H52" s="7" t="n">
        <v>129</v>
      </c>
      <c r="I52" s="21" t="n">
        <f aca="false">G52/(G52+H52)</f>
        <v>0.522222222222222</v>
      </c>
      <c r="J52" s="3" t="n">
        <f aca="false">IF(F52&gt;=10,1,0)</f>
        <v>0</v>
      </c>
      <c r="K52" s="3" t="n">
        <f aca="false">IF(F52&lt;=3,1,0)</f>
        <v>1</v>
      </c>
    </row>
    <row r="53" customFormat="false" ht="15" hidden="false" customHeight="true" outlineLevel="0" collapsed="false">
      <c r="A53" s="7" t="s">
        <v>500</v>
      </c>
      <c r="B53" s="7" t="s">
        <v>501</v>
      </c>
      <c r="C53" s="7" t="s">
        <v>439</v>
      </c>
      <c r="D53" s="7" t="n">
        <v>1890</v>
      </c>
      <c r="E53" s="7" t="n">
        <v>1890</v>
      </c>
      <c r="F53" s="7" t="n">
        <v>1</v>
      </c>
      <c r="G53" s="7" t="n">
        <v>63</v>
      </c>
      <c r="H53" s="7" t="n">
        <v>63</v>
      </c>
      <c r="I53" s="21" t="n">
        <f aca="false">G53/(G53+H53)</f>
        <v>0.5</v>
      </c>
      <c r="J53" s="3" t="n">
        <f aca="false">IF(F53&gt;=10,1,0)</f>
        <v>0</v>
      </c>
      <c r="K53" s="3" t="n">
        <f aca="false">IF(F53&lt;=3,1,0)</f>
        <v>1</v>
      </c>
    </row>
    <row r="54" customFormat="false" ht="15" hidden="false" customHeight="true" outlineLevel="0" collapsed="false">
      <c r="A54" s="7" t="s">
        <v>502</v>
      </c>
      <c r="B54" s="7" t="s">
        <v>427</v>
      </c>
      <c r="C54" s="7" t="s">
        <v>439</v>
      </c>
      <c r="D54" s="7" t="n">
        <v>1890</v>
      </c>
      <c r="E54" s="7" t="n">
        <v>1890</v>
      </c>
      <c r="F54" s="7" t="n">
        <v>1</v>
      </c>
      <c r="G54" s="7" t="n">
        <v>55</v>
      </c>
      <c r="H54" s="7" t="n">
        <v>72</v>
      </c>
      <c r="I54" s="21" t="n">
        <f aca="false">G54/(G54+H54)</f>
        <v>0.433070866141732</v>
      </c>
      <c r="J54" s="3" t="n">
        <f aca="false">IF(F54&gt;=10,1,0)</f>
        <v>0</v>
      </c>
      <c r="K54" s="3" t="n">
        <f aca="false">IF(F54&lt;=3,1,0)</f>
        <v>1</v>
      </c>
    </row>
    <row r="55" customFormat="false" ht="15" hidden="false" customHeight="true" outlineLevel="0" collapsed="false">
      <c r="A55" s="7" t="s">
        <v>503</v>
      </c>
      <c r="B55" s="7" t="s">
        <v>504</v>
      </c>
      <c r="C55" s="7" t="s">
        <v>439</v>
      </c>
      <c r="D55" s="7" t="n">
        <v>1890</v>
      </c>
      <c r="E55" s="7" t="n">
        <v>1890</v>
      </c>
      <c r="F55" s="7" t="n">
        <v>1</v>
      </c>
      <c r="G55" s="7" t="n">
        <v>68</v>
      </c>
      <c r="H55" s="7" t="n">
        <v>64</v>
      </c>
      <c r="I55" s="21" t="n">
        <f aca="false">G55/(G55+H55)</f>
        <v>0.515151515151515</v>
      </c>
      <c r="J55" s="3" t="n">
        <f aca="false">IF(F55&gt;=10,1,0)</f>
        <v>0</v>
      </c>
      <c r="K55" s="3" t="n">
        <f aca="false">IF(F55&lt;=3,1,0)</f>
        <v>1</v>
      </c>
    </row>
    <row r="56" customFormat="false" ht="15" hidden="false" customHeight="true" outlineLevel="0" collapsed="false">
      <c r="A56" s="7" t="s">
        <v>505</v>
      </c>
      <c r="B56" s="7" t="s">
        <v>506</v>
      </c>
      <c r="C56" s="7" t="s">
        <v>439</v>
      </c>
      <c r="D56" s="7" t="n">
        <v>1891</v>
      </c>
      <c r="E56" s="7" t="n">
        <v>1891</v>
      </c>
      <c r="F56" s="7" t="n">
        <v>1</v>
      </c>
      <c r="G56" s="7" t="n">
        <v>43</v>
      </c>
      <c r="H56" s="7" t="n">
        <v>57</v>
      </c>
      <c r="I56" s="21" t="n">
        <f aca="false">G56/(G56+H56)</f>
        <v>0.43</v>
      </c>
      <c r="J56" s="3" t="n">
        <f aca="false">IF(F56&gt;=10,1,0)</f>
        <v>0</v>
      </c>
      <c r="K56" s="3" t="n">
        <f aca="false">IF(F56&lt;=3,1,0)</f>
        <v>1</v>
      </c>
    </row>
    <row r="57" customFormat="false" ht="15" hidden="false" customHeight="true" outlineLevel="0" collapsed="false">
      <c r="A57" s="7" t="s">
        <v>507</v>
      </c>
      <c r="B57" s="7" t="s">
        <v>379</v>
      </c>
      <c r="C57" s="7" t="s">
        <v>439</v>
      </c>
      <c r="D57" s="7" t="n">
        <v>1891</v>
      </c>
      <c r="E57" s="7" t="n">
        <v>1891</v>
      </c>
      <c r="F57" s="7" t="n">
        <v>1</v>
      </c>
      <c r="G57" s="7" t="n">
        <v>21</v>
      </c>
      <c r="H57" s="7" t="n">
        <v>15</v>
      </c>
      <c r="I57" s="21" t="n">
        <f aca="false">G57/(G57+H57)</f>
        <v>0.583333333333333</v>
      </c>
      <c r="J57" s="3" t="n">
        <f aca="false">IF(F57&gt;=10,1,0)</f>
        <v>0</v>
      </c>
      <c r="K57" s="3" t="n">
        <f aca="false">IF(F57&lt;=3,1,0)</f>
        <v>1</v>
      </c>
    </row>
    <row r="58" customFormat="false" ht="15" hidden="false" customHeight="true" outlineLevel="0" collapsed="false">
      <c r="A58" s="7" t="s">
        <v>508</v>
      </c>
      <c r="B58" s="7" t="s">
        <v>509</v>
      </c>
      <c r="C58" s="7" t="s">
        <v>435</v>
      </c>
      <c r="D58" s="7" t="n">
        <v>1891</v>
      </c>
      <c r="E58" s="7" t="n">
        <v>1899</v>
      </c>
      <c r="F58" s="7" t="n">
        <v>9</v>
      </c>
      <c r="G58" s="7" t="n">
        <v>454</v>
      </c>
      <c r="H58" s="7" t="n">
        <v>788</v>
      </c>
      <c r="I58" s="21" t="n">
        <f aca="false">G58/(G58+H58)</f>
        <v>0.365539452495974</v>
      </c>
      <c r="J58" s="3" t="n">
        <f aca="false">IF(F58&gt;=10,1,0)</f>
        <v>0</v>
      </c>
      <c r="K58" s="3" t="n">
        <f aca="false">IF(F58&lt;=3,1,0)</f>
        <v>0</v>
      </c>
    </row>
    <row r="59" customFormat="false" ht="15" hidden="false" customHeight="true" outlineLevel="0" collapsed="false">
      <c r="A59" s="7" t="s">
        <v>510</v>
      </c>
      <c r="B59" s="7" t="s">
        <v>511</v>
      </c>
      <c r="C59" s="7" t="s">
        <v>512</v>
      </c>
      <c r="D59" s="7" t="n">
        <v>1914</v>
      </c>
      <c r="E59" s="7" t="n">
        <v>1915</v>
      </c>
      <c r="F59" s="7" t="n">
        <v>2</v>
      </c>
      <c r="G59" s="7" t="n">
        <v>154</v>
      </c>
      <c r="H59" s="7" t="n">
        <v>149</v>
      </c>
      <c r="I59" s="21" t="n">
        <f aca="false">G59/(G59+H59)</f>
        <v>0.508250825082508</v>
      </c>
      <c r="J59" s="3" t="n">
        <f aca="false">IF(F59&gt;=10,1,0)</f>
        <v>0</v>
      </c>
      <c r="K59" s="3" t="n">
        <f aca="false">IF(F59&lt;=3,1,0)</f>
        <v>1</v>
      </c>
    </row>
    <row r="60" customFormat="false" ht="15" hidden="false" customHeight="true" outlineLevel="0" collapsed="false">
      <c r="A60" s="7" t="s">
        <v>513</v>
      </c>
      <c r="B60" s="7" t="s">
        <v>514</v>
      </c>
      <c r="C60" s="7" t="s">
        <v>512</v>
      </c>
      <c r="D60" s="7" t="n">
        <v>1914</v>
      </c>
      <c r="E60" s="7" t="n">
        <v>1915</v>
      </c>
      <c r="F60" s="7" t="n">
        <v>2</v>
      </c>
      <c r="G60" s="7" t="n">
        <v>131</v>
      </c>
      <c r="H60" s="7" t="n">
        <v>177</v>
      </c>
      <c r="I60" s="21" t="n">
        <f aca="false">G60/(G60+H60)</f>
        <v>0.425324675324675</v>
      </c>
      <c r="J60" s="3" t="n">
        <f aca="false">IF(F60&gt;=10,1,0)</f>
        <v>0</v>
      </c>
      <c r="K60" s="3" t="n">
        <f aca="false">IF(F60&lt;=3,1,0)</f>
        <v>1</v>
      </c>
    </row>
    <row r="61" customFormat="false" ht="15" hidden="false" customHeight="true" outlineLevel="0" collapsed="false">
      <c r="A61" s="7" t="s">
        <v>515</v>
      </c>
      <c r="B61" s="7" t="s">
        <v>516</v>
      </c>
      <c r="C61" s="7" t="s">
        <v>512</v>
      </c>
      <c r="D61" s="7" t="n">
        <v>1914</v>
      </c>
      <c r="E61" s="7" t="n">
        <v>1915</v>
      </c>
      <c r="F61" s="7" t="n">
        <v>2</v>
      </c>
      <c r="G61" s="7" t="n">
        <v>147</v>
      </c>
      <c r="H61" s="7" t="n">
        <v>159</v>
      </c>
      <c r="I61" s="21" t="n">
        <f aca="false">G61/(G61+H61)</f>
        <v>0.480392156862745</v>
      </c>
      <c r="J61" s="3" t="n">
        <f aca="false">IF(F61&gt;=10,1,0)</f>
        <v>0</v>
      </c>
      <c r="K61" s="3" t="n">
        <f aca="false">IF(F61&lt;=3,1,0)</f>
        <v>1</v>
      </c>
    </row>
    <row r="62" customFormat="false" ht="15" hidden="false" customHeight="true" outlineLevel="0" collapsed="false">
      <c r="A62" s="7" t="s">
        <v>517</v>
      </c>
      <c r="B62" s="7" t="s">
        <v>518</v>
      </c>
      <c r="C62" s="7" t="s">
        <v>512</v>
      </c>
      <c r="D62" s="7" t="n">
        <v>1914</v>
      </c>
      <c r="E62" s="7" t="n">
        <v>1915</v>
      </c>
      <c r="F62" s="7" t="n">
        <v>2</v>
      </c>
      <c r="G62" s="7" t="n">
        <v>173</v>
      </c>
      <c r="H62" s="7" t="n">
        <v>133</v>
      </c>
      <c r="I62" s="21" t="n">
        <f aca="false">G62/(G62+H62)</f>
        <v>0.565359477124183</v>
      </c>
      <c r="J62" s="3" t="n">
        <f aca="false">IF(F62&gt;=10,1,0)</f>
        <v>0</v>
      </c>
      <c r="K62" s="3" t="n">
        <f aca="false">IF(F62&lt;=3,1,0)</f>
        <v>1</v>
      </c>
    </row>
    <row r="63" customFormat="false" ht="15" hidden="false" customHeight="true" outlineLevel="0" collapsed="false">
      <c r="A63" s="7" t="s">
        <v>519</v>
      </c>
      <c r="B63" s="7" t="s">
        <v>520</v>
      </c>
      <c r="C63" s="7" t="s">
        <v>512</v>
      </c>
      <c r="D63" s="7" t="n">
        <v>1914</v>
      </c>
      <c r="E63" s="7" t="n">
        <v>1915</v>
      </c>
      <c r="F63" s="7" t="n">
        <v>2</v>
      </c>
      <c r="G63" s="7" t="n">
        <v>148</v>
      </c>
      <c r="H63" s="7" t="n">
        <v>156</v>
      </c>
      <c r="I63" s="21" t="n">
        <f aca="false">G63/(G63+H63)</f>
        <v>0.486842105263158</v>
      </c>
      <c r="J63" s="3" t="n">
        <f aca="false">IF(F63&gt;=10,1,0)</f>
        <v>0</v>
      </c>
      <c r="K63" s="3" t="n">
        <f aca="false">IF(F63&lt;=3,1,0)</f>
        <v>1</v>
      </c>
    </row>
    <row r="64" customFormat="false" ht="15" hidden="false" customHeight="true" outlineLevel="0" collapsed="false">
      <c r="A64" s="7" t="s">
        <v>521</v>
      </c>
      <c r="B64" s="7" t="s">
        <v>522</v>
      </c>
      <c r="C64" s="7" t="s">
        <v>512</v>
      </c>
      <c r="D64" s="7" t="n">
        <v>1914</v>
      </c>
      <c r="E64" s="7" t="n">
        <v>1915</v>
      </c>
      <c r="F64" s="7" t="n">
        <v>2</v>
      </c>
      <c r="G64" s="7" t="n">
        <v>168</v>
      </c>
      <c r="H64" s="7" t="n">
        <v>137</v>
      </c>
      <c r="I64" s="21" t="n">
        <f aca="false">G64/(G64+H64)</f>
        <v>0.550819672131148</v>
      </c>
      <c r="J64" s="3" t="n">
        <f aca="false">IF(F64&gt;=10,1,0)</f>
        <v>0</v>
      </c>
      <c r="K64" s="3" t="n">
        <f aca="false">IF(F64&lt;=3,1,0)</f>
        <v>1</v>
      </c>
    </row>
    <row r="65" customFormat="false" ht="15" hidden="false" customHeight="true" outlineLevel="0" collapsed="false">
      <c r="A65" s="7" t="s">
        <v>523</v>
      </c>
      <c r="B65" s="7" t="s">
        <v>524</v>
      </c>
      <c r="C65" s="7" t="s">
        <v>512</v>
      </c>
      <c r="D65" s="7" t="n">
        <v>1914</v>
      </c>
      <c r="E65" s="7" t="n">
        <v>1915</v>
      </c>
      <c r="F65" s="7" t="n">
        <v>2</v>
      </c>
      <c r="G65" s="7" t="n">
        <v>150</v>
      </c>
      <c r="H65" s="7" t="n">
        <v>153</v>
      </c>
      <c r="I65" s="21" t="n">
        <f aca="false">G65/(G65+H65)</f>
        <v>0.495049504950495</v>
      </c>
      <c r="J65" s="3" t="n">
        <f aca="false">IF(F65&gt;=10,1,0)</f>
        <v>0</v>
      </c>
      <c r="K65" s="3" t="n">
        <f aca="false">IF(F65&lt;=3,1,0)</f>
        <v>1</v>
      </c>
    </row>
    <row r="66" customFormat="false" ht="15" hidden="false" customHeight="true" outlineLevel="0" collapsed="false">
      <c r="A66" s="7" t="s">
        <v>525</v>
      </c>
      <c r="B66" s="7" t="s">
        <v>526</v>
      </c>
      <c r="C66" s="7" t="s">
        <v>512</v>
      </c>
      <c r="D66" s="7" t="n">
        <v>1914</v>
      </c>
      <c r="E66" s="7" t="n">
        <v>1915</v>
      </c>
      <c r="F66" s="7" t="n">
        <v>2</v>
      </c>
      <c r="G66" s="7" t="n">
        <v>149</v>
      </c>
      <c r="H66" s="7" t="n">
        <v>156</v>
      </c>
      <c r="I66" s="21" t="n">
        <f aca="false">G66/(G66+H66)</f>
        <v>0.488524590163934</v>
      </c>
      <c r="J66" s="3" t="n">
        <f aca="false">IF(F66&gt;=10,1,0)</f>
        <v>0</v>
      </c>
      <c r="K66" s="3" t="n">
        <f aca="false">IF(F66&lt;=3,1,0)</f>
        <v>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12" min="2" style="1" width="13"/>
  </cols>
  <sheetData>
    <row r="1" customFormat="false" ht="45" hidden="false" customHeight="true" outlineLevel="0" collapsed="false">
      <c r="A1" s="4" t="s">
        <v>4</v>
      </c>
      <c r="B1" s="4" t="s">
        <v>335</v>
      </c>
      <c r="C1" s="4" t="s">
        <v>42</v>
      </c>
      <c r="D1" s="4" t="s">
        <v>527</v>
      </c>
      <c r="E1" s="4" t="s">
        <v>528</v>
      </c>
      <c r="F1" s="4" t="s">
        <v>529</v>
      </c>
      <c r="G1" s="4" t="s">
        <v>530</v>
      </c>
      <c r="H1" s="4" t="s">
        <v>531</v>
      </c>
      <c r="I1" s="4" t="s">
        <v>532</v>
      </c>
      <c r="J1" s="4" t="s">
        <v>533</v>
      </c>
      <c r="K1" s="4" t="s">
        <v>534</v>
      </c>
      <c r="L1" s="4" t="s">
        <v>535</v>
      </c>
    </row>
    <row r="2" customFormat="false" ht="15" hidden="false" customHeight="true" outlineLevel="0" collapsed="false">
      <c r="A2" s="3" t="s">
        <v>356</v>
      </c>
      <c r="B2" s="3" t="s">
        <v>54</v>
      </c>
      <c r="C2" s="3" t="str">
        <f aca="false">Franchise_Totals!C2</f>
        <v>Established</v>
      </c>
      <c r="D2" s="7" t="n">
        <v>1901</v>
      </c>
      <c r="E2" s="3" t="n">
        <f aca="false">IF(COUNTIFS(Seasons!$A$2:$A$2865,$B2,Seasons!$B$2:$B$2865,"&gt;="&amp;$D2,Seasons!$K$2:$K$2865,1)=0,"none",_xlfn.MINIFS(Seasons!$B$2:$B$2865,Seasons!$A$2:$A$2865,$B2,Seasons!$B$2:$B$2865,"&gt;="&amp;$D2,Seasons!$K$2:$K$2865,1))</f>
        <v>1902</v>
      </c>
      <c r="F2" s="3" t="n">
        <f aca="false">IF(COUNTIFS(Seasons!$A$2:$A$2865,$B2,Seasons!$B$2:$B$2865,"&gt;="&amp;$D2,Seasons!$L$2:$L$2865,1)=0,"none",_xlfn.MINIFS(Seasons!$B$2:$B$2865,Seasons!$A$2:$A$2865,$B2,Seasons!$B$2:$B$2865,"&gt;="&amp;$D2,Seasons!$L$2:$L$2865,1))</f>
        <v>1914</v>
      </c>
      <c r="G2" s="3" t="n">
        <f aca="false">IF(COUNTIFS(Seasons!$A$2:$A$2865,$B2,Seasons!$B$2:$B$2865,"&gt;="&amp;$D2,Seasons!$M$2:$M$2865,1)=0,"none",_xlfn.MINIFS(Seasons!$B$2:$B$2865,Seasons!$A$2:$A$2865,$B2,Seasons!$B$2:$B$2865,"&gt;="&amp;$D2,Seasons!$M$2:$M$2865,1))</f>
        <v>1914</v>
      </c>
      <c r="H2" s="3" t="n">
        <f aca="false">IF(COUNTIFS(Seasons!$A$2:$A$2865,$B2,Seasons!$B$2:$B$2865,"&gt;="&amp;$D2,Seasons!$N$2:$N$2865,1)=0,"none",_xlfn.MINIFS(Seasons!$B$2:$B$2865,Seasons!$A$2:$A$2865,$B2,Seasons!$B$2:$B$2865,"&gt;="&amp;$D2,Seasons!$N$2:$N$2865,1))</f>
        <v>1914</v>
      </c>
      <c r="I2" s="3" t="n">
        <f aca="false">IF(ISNUMBER(E2),E2-$D2+1,"none")</f>
        <v>2</v>
      </c>
      <c r="J2" s="3" t="n">
        <f aca="false">IF(ISNUMBER(F2),F2-$D2+1,"none")</f>
        <v>14</v>
      </c>
      <c r="K2" s="3" t="n">
        <f aca="false">IF(ISNUMBER(G2),G2-$D2+1,"none")</f>
        <v>14</v>
      </c>
      <c r="L2" s="3" t="n">
        <f aca="false">IF(ISNUMBER(H2),H2-$D2+1,"none")</f>
        <v>14</v>
      </c>
    </row>
    <row r="3" customFormat="false" ht="15" hidden="false" customHeight="true" outlineLevel="0" collapsed="false">
      <c r="A3" s="3" t="s">
        <v>357</v>
      </c>
      <c r="B3" s="3" t="s">
        <v>56</v>
      </c>
      <c r="C3" s="3" t="str">
        <f aca="false">Franchise_Totals!C3</f>
        <v>Established</v>
      </c>
      <c r="D3" s="7" t="n">
        <v>1901</v>
      </c>
      <c r="E3" s="3" t="n">
        <f aca="false">IF(COUNTIFS(Seasons!$A$2:$A$2865,$B3,Seasons!$B$2:$B$2865,"&gt;="&amp;$D3,Seasons!$K$2:$K$2865,1)=0,"none",_xlfn.MINIFS(Seasons!$B$2:$B$2865,Seasons!$A$2:$A$2865,$B3,Seasons!$B$2:$B$2865,"&gt;="&amp;$D3,Seasons!$K$2:$K$2865,1))</f>
        <v>1903</v>
      </c>
      <c r="F3" s="3" t="n">
        <f aca="false">IF(COUNTIFS(Seasons!$A$2:$A$2865,$B3,Seasons!$B$2:$B$2865,"&gt;="&amp;$D3,Seasons!$L$2:$L$2865,1)=0,"none",_xlfn.MINIFS(Seasons!$B$2:$B$2865,Seasons!$A$2:$A$2865,$B3,Seasons!$B$2:$B$2865,"&gt;="&amp;$D3,Seasons!$L$2:$L$2865,1))</f>
        <v>1906</v>
      </c>
      <c r="G3" s="3" t="n">
        <f aca="false">IF(COUNTIFS(Seasons!$A$2:$A$2865,$B3,Seasons!$B$2:$B$2865,"&gt;="&amp;$D3,Seasons!$M$2:$M$2865,1)=0,"none",_xlfn.MINIFS(Seasons!$B$2:$B$2865,Seasons!$A$2:$A$2865,$B3,Seasons!$B$2:$B$2865,"&gt;="&amp;$D3,Seasons!$M$2:$M$2865,1))</f>
        <v>1906</v>
      </c>
      <c r="H3" s="3" t="n">
        <f aca="false">IF(COUNTIFS(Seasons!$A$2:$A$2865,$B3,Seasons!$B$2:$B$2865,"&gt;="&amp;$D3,Seasons!$N$2:$N$2865,1)=0,"none",_xlfn.MINIFS(Seasons!$B$2:$B$2865,Seasons!$A$2:$A$2865,$B3,Seasons!$B$2:$B$2865,"&gt;="&amp;$D3,Seasons!$N$2:$N$2865,1))</f>
        <v>1907</v>
      </c>
      <c r="I3" s="3" t="n">
        <f aca="false">IF(ISNUMBER(E3),E3-$D3+1,"none")</f>
        <v>3</v>
      </c>
      <c r="J3" s="3" t="n">
        <f aca="false">IF(ISNUMBER(F3),F3-$D3+1,"none")</f>
        <v>6</v>
      </c>
      <c r="K3" s="3" t="n">
        <f aca="false">IF(ISNUMBER(G3),G3-$D3+1,"none")</f>
        <v>6</v>
      </c>
      <c r="L3" s="3" t="n">
        <f aca="false">IF(ISNUMBER(H3),H3-$D3+1,"none")</f>
        <v>7</v>
      </c>
    </row>
    <row r="4" customFormat="false" ht="15" hidden="false" customHeight="true" outlineLevel="0" collapsed="false">
      <c r="A4" s="3" t="s">
        <v>358</v>
      </c>
      <c r="B4" s="3" t="s">
        <v>57</v>
      </c>
      <c r="C4" s="3" t="str">
        <f aca="false">Franchise_Totals!C4</f>
        <v>Established</v>
      </c>
      <c r="D4" s="7" t="n">
        <v>1901</v>
      </c>
      <c r="E4" s="3" t="n">
        <f aca="false">IF(COUNTIFS(Seasons!$A$2:$A$2865,$B4,Seasons!$B$2:$B$2865,"&gt;="&amp;$D4,Seasons!$K$2:$K$2865,1)=0,"none",_xlfn.MINIFS(Seasons!$B$2:$B$2865,Seasons!$A$2:$A$2865,$B4,Seasons!$B$2:$B$2865,"&gt;="&amp;$D4,Seasons!$K$2:$K$2865,1))</f>
        <v>1903</v>
      </c>
      <c r="F4" s="3" t="n">
        <f aca="false">IF(COUNTIFS(Seasons!$A$2:$A$2865,$B4,Seasons!$B$2:$B$2865,"&gt;="&amp;$D4,Seasons!$L$2:$L$2865,1)=0,"none",_xlfn.MINIFS(Seasons!$B$2:$B$2865,Seasons!$A$2:$A$2865,$B4,Seasons!$B$2:$B$2865,"&gt;="&amp;$D4,Seasons!$L$2:$L$2865,1))</f>
        <v>1919</v>
      </c>
      <c r="G4" s="3" t="n">
        <f aca="false">IF(COUNTIFS(Seasons!$A$2:$A$2865,$B4,Seasons!$B$2:$B$2865,"&gt;="&amp;$D4,Seasons!$M$2:$M$2865,1)=0,"none",_xlfn.MINIFS(Seasons!$B$2:$B$2865,Seasons!$A$2:$A$2865,$B4,Seasons!$B$2:$B$2865,"&gt;="&amp;$D4,Seasons!$M$2:$M$2865,1))</f>
        <v>1919</v>
      </c>
      <c r="H4" s="3" t="n">
        <f aca="false">IF(COUNTIFS(Seasons!$A$2:$A$2865,$B4,Seasons!$B$2:$B$2865,"&gt;="&amp;$D4,Seasons!$N$2:$N$2865,1)=0,"none",_xlfn.MINIFS(Seasons!$B$2:$B$2865,Seasons!$A$2:$A$2865,$B4,Seasons!$B$2:$B$2865,"&gt;="&amp;$D4,Seasons!$N$2:$N$2865,1))</f>
        <v>1919</v>
      </c>
      <c r="I4" s="3" t="n">
        <f aca="false">IF(ISNUMBER(E4),E4-$D4+1,"none")</f>
        <v>3</v>
      </c>
      <c r="J4" s="3" t="n">
        <f aca="false">IF(ISNUMBER(F4),F4-$D4+1,"none")</f>
        <v>19</v>
      </c>
      <c r="K4" s="3" t="n">
        <f aca="false">IF(ISNUMBER(G4),G4-$D4+1,"none")</f>
        <v>19</v>
      </c>
      <c r="L4" s="3" t="n">
        <f aca="false">IF(ISNUMBER(H4),H4-$D4+1,"none")</f>
        <v>19</v>
      </c>
    </row>
    <row r="5" customFormat="false" ht="15" hidden="false" customHeight="true" outlineLevel="0" collapsed="false">
      <c r="A5" s="3" t="s">
        <v>359</v>
      </c>
      <c r="B5" s="3" t="s">
        <v>58</v>
      </c>
      <c r="C5" s="3" t="str">
        <f aca="false">Franchise_Totals!C5</f>
        <v>Established</v>
      </c>
      <c r="D5" s="7" t="n">
        <v>1901</v>
      </c>
      <c r="E5" s="3" t="n">
        <f aca="false">IF(COUNTIFS(Seasons!$A$2:$A$2865,$B5,Seasons!$B$2:$B$2865,"&gt;="&amp;$D5,Seasons!$K$2:$K$2865,1)=0,"none",_xlfn.MINIFS(Seasons!$B$2:$B$2865,Seasons!$A$2:$A$2865,$B5,Seasons!$B$2:$B$2865,"&gt;="&amp;$D5,Seasons!$K$2:$K$2865,1))</f>
        <v>1901</v>
      </c>
      <c r="F5" s="3" t="n">
        <f aca="false">IF(COUNTIFS(Seasons!$A$2:$A$2865,$B5,Seasons!$B$2:$B$2865,"&gt;="&amp;$D5,Seasons!$L$2:$L$2865,1)=0,"none",_xlfn.MINIFS(Seasons!$B$2:$B$2865,Seasons!$A$2:$A$2865,$B5,Seasons!$B$2:$B$2865,"&gt;="&amp;$D5,Seasons!$L$2:$L$2865,1))</f>
        <v>1901</v>
      </c>
      <c r="G5" s="3" t="n">
        <f aca="false">IF(COUNTIFS(Seasons!$A$2:$A$2865,$B5,Seasons!$B$2:$B$2865,"&gt;="&amp;$D5,Seasons!$M$2:$M$2865,1)=0,"none",_xlfn.MINIFS(Seasons!$B$2:$B$2865,Seasons!$A$2:$A$2865,$B5,Seasons!$B$2:$B$2865,"&gt;="&amp;$D5,Seasons!$M$2:$M$2865,1))</f>
        <v>1901</v>
      </c>
      <c r="H5" s="3" t="n">
        <f aca="false">IF(COUNTIFS(Seasons!$A$2:$A$2865,$B5,Seasons!$B$2:$B$2865,"&gt;="&amp;$D5,Seasons!$N$2:$N$2865,1)=0,"none",_xlfn.MINIFS(Seasons!$B$2:$B$2865,Seasons!$A$2:$A$2865,$B5,Seasons!$B$2:$B$2865,"&gt;="&amp;$D5,Seasons!$N$2:$N$2865,1))</f>
        <v>1909</v>
      </c>
      <c r="I5" s="3" t="n">
        <f aca="false">IF(ISNUMBER(E5),E5-$D5+1,"none")</f>
        <v>1</v>
      </c>
      <c r="J5" s="3" t="n">
        <f aca="false">IF(ISNUMBER(F5),F5-$D5+1,"none")</f>
        <v>1</v>
      </c>
      <c r="K5" s="3" t="n">
        <f aca="false">IF(ISNUMBER(G5),G5-$D5+1,"none")</f>
        <v>1</v>
      </c>
      <c r="L5" s="3" t="n">
        <f aca="false">IF(ISNUMBER(H5),H5-$D5+1,"none")</f>
        <v>9</v>
      </c>
    </row>
    <row r="6" customFormat="false" ht="15" hidden="false" customHeight="true" outlineLevel="0" collapsed="false">
      <c r="A6" s="3" t="s">
        <v>360</v>
      </c>
      <c r="B6" s="3" t="s">
        <v>59</v>
      </c>
      <c r="C6" s="3" t="str">
        <f aca="false">Franchise_Totals!C6</f>
        <v>Established</v>
      </c>
      <c r="D6" s="7" t="n">
        <v>1901</v>
      </c>
      <c r="E6" s="3" t="n">
        <f aca="false">IF(COUNTIFS(Seasons!$A$2:$A$2865,$B6,Seasons!$B$2:$B$2865,"&gt;="&amp;$D6,Seasons!$K$2:$K$2865,1)=0,"none",_xlfn.MINIFS(Seasons!$B$2:$B$2865,Seasons!$A$2:$A$2865,$B6,Seasons!$B$2:$B$2865,"&gt;="&amp;$D6,Seasons!$K$2:$K$2865,1))</f>
        <v>1901</v>
      </c>
      <c r="F6" s="3" t="n">
        <f aca="false">IF(COUNTIFS(Seasons!$A$2:$A$2865,$B6,Seasons!$B$2:$B$2865,"&gt;="&amp;$D6,Seasons!$L$2:$L$2865,1)=0,"none",_xlfn.MINIFS(Seasons!$B$2:$B$2865,Seasons!$A$2:$A$2865,$B6,Seasons!$B$2:$B$2865,"&gt;="&amp;$D6,Seasons!$L$2:$L$2865,1))</f>
        <v>1926</v>
      </c>
      <c r="G6" s="3" t="n">
        <f aca="false">IF(COUNTIFS(Seasons!$A$2:$A$2865,$B6,Seasons!$B$2:$B$2865,"&gt;="&amp;$D6,Seasons!$M$2:$M$2865,1)=0,"none",_xlfn.MINIFS(Seasons!$B$2:$B$2865,Seasons!$A$2:$A$2865,$B6,Seasons!$B$2:$B$2865,"&gt;="&amp;$D6,Seasons!$M$2:$M$2865,1))</f>
        <v>1926</v>
      </c>
      <c r="H6" s="3" t="n">
        <f aca="false">IF(COUNTIFS(Seasons!$A$2:$A$2865,$B6,Seasons!$B$2:$B$2865,"&gt;="&amp;$D6,Seasons!$N$2:$N$2865,1)=0,"none",_xlfn.MINIFS(Seasons!$B$2:$B$2865,Seasons!$A$2:$A$2865,$B6,Seasons!$B$2:$B$2865,"&gt;="&amp;$D6,Seasons!$N$2:$N$2865,1))</f>
        <v>1926</v>
      </c>
      <c r="I6" s="3" t="n">
        <f aca="false">IF(ISNUMBER(E6),E6-$D6+1,"none")</f>
        <v>1</v>
      </c>
      <c r="J6" s="3" t="n">
        <f aca="false">IF(ISNUMBER(F6),F6-$D6+1,"none")</f>
        <v>26</v>
      </c>
      <c r="K6" s="3" t="n">
        <f aca="false">IF(ISNUMBER(G6),G6-$D6+1,"none")</f>
        <v>26</v>
      </c>
      <c r="L6" s="3" t="n">
        <f aca="false">IF(ISNUMBER(H6),H6-$D6+1,"none")</f>
        <v>26</v>
      </c>
    </row>
    <row r="7" customFormat="false" ht="15" hidden="false" customHeight="true" outlineLevel="0" collapsed="false">
      <c r="A7" s="3" t="s">
        <v>361</v>
      </c>
      <c r="B7" s="3" t="s">
        <v>60</v>
      </c>
      <c r="C7" s="3" t="str">
        <f aca="false">Franchise_Totals!C7</f>
        <v>Established</v>
      </c>
      <c r="D7" s="7" t="n">
        <v>1901</v>
      </c>
      <c r="E7" s="3" t="n">
        <f aca="false">IF(COUNTIFS(Seasons!$A$2:$A$2865,$B7,Seasons!$B$2:$B$2865,"&gt;="&amp;$D7,Seasons!$K$2:$K$2865,1)=0,"none",_xlfn.MINIFS(Seasons!$B$2:$B$2865,Seasons!$A$2:$A$2865,$B7,Seasons!$B$2:$B$2865,"&gt;="&amp;$D7,Seasons!$K$2:$K$2865,1))</f>
        <v>1901</v>
      </c>
      <c r="F7" s="3" t="n">
        <f aca="false">IF(COUNTIFS(Seasons!$A$2:$A$2865,$B7,Seasons!$B$2:$B$2865,"&gt;="&amp;$D7,Seasons!$L$2:$L$2865,1)=0,"none",_xlfn.MINIFS(Seasons!$B$2:$B$2865,Seasons!$A$2:$A$2865,$B7,Seasons!$B$2:$B$2865,"&gt;="&amp;$D7,Seasons!$L$2:$L$2865,1))</f>
        <v>1915</v>
      </c>
      <c r="G7" s="3" t="n">
        <f aca="false">IF(COUNTIFS(Seasons!$A$2:$A$2865,$B7,Seasons!$B$2:$B$2865,"&gt;="&amp;$D7,Seasons!$M$2:$M$2865,1)=0,"none",_xlfn.MINIFS(Seasons!$B$2:$B$2865,Seasons!$A$2:$A$2865,$B7,Seasons!$B$2:$B$2865,"&gt;="&amp;$D7,Seasons!$M$2:$M$2865,1))</f>
        <v>1915</v>
      </c>
      <c r="H7" s="3" t="n">
        <f aca="false">IF(COUNTIFS(Seasons!$A$2:$A$2865,$B7,Seasons!$B$2:$B$2865,"&gt;="&amp;$D7,Seasons!$N$2:$N$2865,1)=0,"none",_xlfn.MINIFS(Seasons!$B$2:$B$2865,Seasons!$A$2:$A$2865,$B7,Seasons!$B$2:$B$2865,"&gt;="&amp;$D7,Seasons!$N$2:$N$2865,1))</f>
        <v>1980</v>
      </c>
      <c r="I7" s="3" t="n">
        <f aca="false">IF(ISNUMBER(E7),E7-$D7+1,"none")</f>
        <v>1</v>
      </c>
      <c r="J7" s="3" t="n">
        <f aca="false">IF(ISNUMBER(F7),F7-$D7+1,"none")</f>
        <v>15</v>
      </c>
      <c r="K7" s="3" t="n">
        <f aca="false">IF(ISNUMBER(G7),G7-$D7+1,"none")</f>
        <v>15</v>
      </c>
      <c r="L7" s="3" t="n">
        <f aca="false">IF(ISNUMBER(H7),H7-$D7+1,"none")</f>
        <v>80</v>
      </c>
    </row>
    <row r="8" customFormat="false" ht="15" hidden="false" customHeight="true" outlineLevel="0" collapsed="false">
      <c r="A8" s="3" t="s">
        <v>362</v>
      </c>
      <c r="B8" s="3" t="s">
        <v>61</v>
      </c>
      <c r="C8" s="3" t="str">
        <f aca="false">Franchise_Totals!C8</f>
        <v>Established</v>
      </c>
      <c r="D8" s="7" t="n">
        <v>1901</v>
      </c>
      <c r="E8" s="3" t="n">
        <f aca="false">IF(COUNTIFS(Seasons!$A$2:$A$2865,$B8,Seasons!$B$2:$B$2865,"&gt;="&amp;$D8,Seasons!$K$2:$K$2865,1)=0,"none",_xlfn.MINIFS(Seasons!$B$2:$B$2865,Seasons!$A$2:$A$2865,$B8,Seasons!$B$2:$B$2865,"&gt;="&amp;$D8,Seasons!$K$2:$K$2865,1))</f>
        <v>1903</v>
      </c>
      <c r="F8" s="3" t="n">
        <f aca="false">IF(COUNTIFS(Seasons!$A$2:$A$2865,$B8,Seasons!$B$2:$B$2865,"&gt;="&amp;$D8,Seasons!$L$2:$L$2865,1)=0,"none",_xlfn.MINIFS(Seasons!$B$2:$B$2865,Seasons!$A$2:$A$2865,$B8,Seasons!$B$2:$B$2865,"&gt;="&amp;$D8,Seasons!$L$2:$L$2865,1))</f>
        <v>1904</v>
      </c>
      <c r="G8" s="3" t="n">
        <f aca="false">IF(COUNTIFS(Seasons!$A$2:$A$2865,$B8,Seasons!$B$2:$B$2865,"&gt;="&amp;$D8,Seasons!$M$2:$M$2865,1)=0,"none",_xlfn.MINIFS(Seasons!$B$2:$B$2865,Seasons!$A$2:$A$2865,$B8,Seasons!$B$2:$B$2865,"&gt;="&amp;$D8,Seasons!$M$2:$M$2865,1))</f>
        <v>1904</v>
      </c>
      <c r="H8" s="3" t="n">
        <f aca="false">IF(COUNTIFS(Seasons!$A$2:$A$2865,$B8,Seasons!$B$2:$B$2865,"&gt;="&amp;$D8,Seasons!$N$2:$N$2865,1)=0,"none",_xlfn.MINIFS(Seasons!$B$2:$B$2865,Seasons!$A$2:$A$2865,$B8,Seasons!$B$2:$B$2865,"&gt;="&amp;$D8,Seasons!$N$2:$N$2865,1))</f>
        <v>1905</v>
      </c>
      <c r="I8" s="3" t="n">
        <f aca="false">IF(ISNUMBER(E8),E8-$D8+1,"none")</f>
        <v>3</v>
      </c>
      <c r="J8" s="3" t="n">
        <f aca="false">IF(ISNUMBER(F8),F8-$D8+1,"none")</f>
        <v>4</v>
      </c>
      <c r="K8" s="3" t="n">
        <f aca="false">IF(ISNUMBER(G8),G8-$D8+1,"none")</f>
        <v>4</v>
      </c>
      <c r="L8" s="3" t="n">
        <f aca="false">IF(ISNUMBER(H8),H8-$D8+1,"none")</f>
        <v>5</v>
      </c>
    </row>
    <row r="9" customFormat="false" ht="15" hidden="false" customHeight="true" outlineLevel="0" collapsed="false">
      <c r="A9" s="3" t="s">
        <v>363</v>
      </c>
      <c r="B9" s="3" t="s">
        <v>62</v>
      </c>
      <c r="C9" s="3" t="str">
        <f aca="false">Franchise_Totals!C9</f>
        <v>Established</v>
      </c>
      <c r="D9" s="7" t="n">
        <v>1901</v>
      </c>
      <c r="E9" s="3" t="n">
        <f aca="false">IF(COUNTIFS(Seasons!$A$2:$A$2865,$B9,Seasons!$B$2:$B$2865,"&gt;="&amp;$D9,Seasons!$K$2:$K$2865,1)=0,"none",_xlfn.MINIFS(Seasons!$B$2:$B$2865,Seasons!$A$2:$A$2865,$B9,Seasons!$B$2:$B$2865,"&gt;="&amp;$D9,Seasons!$K$2:$K$2865,1))</f>
        <v>1901</v>
      </c>
      <c r="F9" s="3" t="n">
        <f aca="false">IF(COUNTIFS(Seasons!$A$2:$A$2865,$B9,Seasons!$B$2:$B$2865,"&gt;="&amp;$D9,Seasons!$L$2:$L$2865,1)=0,"none",_xlfn.MINIFS(Seasons!$B$2:$B$2865,Seasons!$A$2:$A$2865,$B9,Seasons!$B$2:$B$2865,"&gt;="&amp;$D9,Seasons!$L$2:$L$2865,1))</f>
        <v>1916</v>
      </c>
      <c r="G9" s="3" t="n">
        <f aca="false">IF(COUNTIFS(Seasons!$A$2:$A$2865,$B9,Seasons!$B$2:$B$2865,"&gt;="&amp;$D9,Seasons!$M$2:$M$2865,1)=0,"none",_xlfn.MINIFS(Seasons!$B$2:$B$2865,Seasons!$A$2:$A$2865,$B9,Seasons!$B$2:$B$2865,"&gt;="&amp;$D9,Seasons!$M$2:$M$2865,1))</f>
        <v>1916</v>
      </c>
      <c r="H9" s="3" t="n">
        <f aca="false">IF(COUNTIFS(Seasons!$A$2:$A$2865,$B9,Seasons!$B$2:$B$2865,"&gt;="&amp;$D9,Seasons!$N$2:$N$2865,1)=0,"none",_xlfn.MINIFS(Seasons!$B$2:$B$2865,Seasons!$A$2:$A$2865,$B9,Seasons!$B$2:$B$2865,"&gt;="&amp;$D9,Seasons!$N$2:$N$2865,1))</f>
        <v>1955</v>
      </c>
      <c r="I9" s="3" t="n">
        <f aca="false">IF(ISNUMBER(E9),E9-$D9+1,"none")</f>
        <v>1</v>
      </c>
      <c r="J9" s="3" t="n">
        <f aca="false">IF(ISNUMBER(F9),F9-$D9+1,"none")</f>
        <v>16</v>
      </c>
      <c r="K9" s="3" t="n">
        <f aca="false">IF(ISNUMBER(G9),G9-$D9+1,"none")</f>
        <v>16</v>
      </c>
      <c r="L9" s="3" t="n">
        <f aca="false">IF(ISNUMBER(H9),H9-$D9+1,"none")</f>
        <v>55</v>
      </c>
    </row>
    <row r="10" customFormat="false" ht="15" hidden="false" customHeight="true" outlineLevel="0" collapsed="false">
      <c r="A10" s="3" t="s">
        <v>364</v>
      </c>
      <c r="B10" s="3" t="s">
        <v>63</v>
      </c>
      <c r="C10" s="3" t="str">
        <f aca="false">Franchise_Totals!C10</f>
        <v>Established</v>
      </c>
      <c r="D10" s="7" t="n">
        <v>1901</v>
      </c>
      <c r="E10" s="3" t="n">
        <f aca="false">IF(COUNTIFS(Seasons!$A$2:$A$2865,$B10,Seasons!$B$2:$B$2865,"&gt;="&amp;$D10,Seasons!$K$2:$K$2865,1)=0,"none",_xlfn.MINIFS(Seasons!$B$2:$B$2865,Seasons!$A$2:$A$2865,$B10,Seasons!$B$2:$B$2865,"&gt;="&amp;$D10,Seasons!$K$2:$K$2865,1))</f>
        <v>1902</v>
      </c>
      <c r="F10" s="3" t="n">
        <f aca="false">IF(COUNTIFS(Seasons!$A$2:$A$2865,$B10,Seasons!$B$2:$B$2865,"&gt;="&amp;$D10,Seasons!$L$2:$L$2865,1)=0,"none",_xlfn.MINIFS(Seasons!$B$2:$B$2865,Seasons!$A$2:$A$2865,$B10,Seasons!$B$2:$B$2865,"&gt;="&amp;$D10,Seasons!$L$2:$L$2865,1))</f>
        <v>1944</v>
      </c>
      <c r="G10" s="3" t="n">
        <f aca="false">IF(COUNTIFS(Seasons!$A$2:$A$2865,$B10,Seasons!$B$2:$B$2865,"&gt;="&amp;$D10,Seasons!$M$2:$M$2865,1)=0,"none",_xlfn.MINIFS(Seasons!$B$2:$B$2865,Seasons!$A$2:$A$2865,$B10,Seasons!$B$2:$B$2865,"&gt;="&amp;$D10,Seasons!$M$2:$M$2865,1))</f>
        <v>1944</v>
      </c>
      <c r="H10" s="3" t="n">
        <f aca="false">IF(COUNTIFS(Seasons!$A$2:$A$2865,$B10,Seasons!$B$2:$B$2865,"&gt;="&amp;$D10,Seasons!$N$2:$N$2865,1)=0,"none",_xlfn.MINIFS(Seasons!$B$2:$B$2865,Seasons!$A$2:$A$2865,$B10,Seasons!$B$2:$B$2865,"&gt;="&amp;$D10,Seasons!$N$2:$N$2865,1))</f>
        <v>1966</v>
      </c>
      <c r="I10" s="3" t="n">
        <f aca="false">IF(ISNUMBER(E10),E10-$D10+1,"none")</f>
        <v>2</v>
      </c>
      <c r="J10" s="3" t="n">
        <f aca="false">IF(ISNUMBER(F10),F10-$D10+1,"none")</f>
        <v>44</v>
      </c>
      <c r="K10" s="3" t="n">
        <f aca="false">IF(ISNUMBER(G10),G10-$D10+1,"none")</f>
        <v>44</v>
      </c>
      <c r="L10" s="3" t="n">
        <f aca="false">IF(ISNUMBER(H10),H10-$D10+1,"none")</f>
        <v>66</v>
      </c>
    </row>
    <row r="11" customFormat="false" ht="15" hidden="false" customHeight="true" outlineLevel="0" collapsed="false">
      <c r="A11" s="3" t="s">
        <v>365</v>
      </c>
      <c r="B11" s="3" t="s">
        <v>64</v>
      </c>
      <c r="C11" s="3" t="str">
        <f aca="false">Franchise_Totals!C11</f>
        <v>Established</v>
      </c>
      <c r="D11" s="7" t="n">
        <v>1901</v>
      </c>
      <c r="E11" s="3" t="n">
        <f aca="false">IF(COUNTIFS(Seasons!$A$2:$A$2865,$B11,Seasons!$B$2:$B$2865,"&gt;="&amp;$D11,Seasons!$K$2:$K$2865,1)=0,"none",_xlfn.MINIFS(Seasons!$B$2:$B$2865,Seasons!$A$2:$A$2865,$B11,Seasons!$B$2:$B$2865,"&gt;="&amp;$D11,Seasons!$K$2:$K$2865,1))</f>
        <v>1901</v>
      </c>
      <c r="F11" s="3" t="n">
        <f aca="false">IF(COUNTIFS(Seasons!$A$2:$A$2865,$B11,Seasons!$B$2:$B$2865,"&gt;="&amp;$D11,Seasons!$L$2:$L$2865,1)=0,"none",_xlfn.MINIFS(Seasons!$B$2:$B$2865,Seasons!$A$2:$A$2865,$B11,Seasons!$B$2:$B$2865,"&gt;="&amp;$D11,Seasons!$L$2:$L$2865,1))</f>
        <v>1903</v>
      </c>
      <c r="G11" s="3" t="n">
        <f aca="false">IF(COUNTIFS(Seasons!$A$2:$A$2865,$B11,Seasons!$B$2:$B$2865,"&gt;="&amp;$D11,Seasons!$M$2:$M$2865,1)=0,"none",_xlfn.MINIFS(Seasons!$B$2:$B$2865,Seasons!$A$2:$A$2865,$B11,Seasons!$B$2:$B$2865,"&gt;="&amp;$D11,Seasons!$M$2:$M$2865,1))</f>
        <v>1903</v>
      </c>
      <c r="H11" s="3" t="n">
        <f aca="false">IF(COUNTIFS(Seasons!$A$2:$A$2865,$B11,Seasons!$B$2:$B$2865,"&gt;="&amp;$D11,Seasons!$N$2:$N$2865,1)=0,"none",_xlfn.MINIFS(Seasons!$B$2:$B$2865,Seasons!$A$2:$A$2865,$B11,Seasons!$B$2:$B$2865,"&gt;="&amp;$D11,Seasons!$N$2:$N$2865,1))</f>
        <v>1903</v>
      </c>
      <c r="I11" s="3" t="n">
        <f aca="false">IF(ISNUMBER(E11),E11-$D11+1,"none")</f>
        <v>1</v>
      </c>
      <c r="J11" s="3" t="n">
        <f aca="false">IF(ISNUMBER(F11),F11-$D11+1,"none")</f>
        <v>3</v>
      </c>
      <c r="K11" s="3" t="n">
        <f aca="false">IF(ISNUMBER(G11),G11-$D11+1,"none")</f>
        <v>3</v>
      </c>
      <c r="L11" s="3" t="n">
        <f aca="false">IF(ISNUMBER(H11),H11-$D11+1,"none")</f>
        <v>3</v>
      </c>
    </row>
    <row r="12" customFormat="false" ht="15" hidden="false" customHeight="true" outlineLevel="0" collapsed="false">
      <c r="A12" s="3" t="s">
        <v>366</v>
      </c>
      <c r="B12" s="3" t="s">
        <v>65</v>
      </c>
      <c r="C12" s="3" t="str">
        <f aca="false">Franchise_Totals!C12</f>
        <v>Established</v>
      </c>
      <c r="D12" s="7" t="n">
        <v>1901</v>
      </c>
      <c r="E12" s="3" t="n">
        <f aca="false">IF(COUNTIFS(Seasons!$A$2:$A$2865,$B12,Seasons!$B$2:$B$2865,"&gt;="&amp;$D12,Seasons!$K$2:$K$2865,1)=0,"none",_xlfn.MINIFS(Seasons!$B$2:$B$2865,Seasons!$A$2:$A$2865,$B12,Seasons!$B$2:$B$2865,"&gt;="&amp;$D12,Seasons!$K$2:$K$2865,1))</f>
        <v>1901</v>
      </c>
      <c r="F12" s="3" t="n">
        <f aca="false">IF(COUNTIFS(Seasons!$A$2:$A$2865,$B12,Seasons!$B$2:$B$2865,"&gt;="&amp;$D12,Seasons!$L$2:$L$2865,1)=0,"none",_xlfn.MINIFS(Seasons!$B$2:$B$2865,Seasons!$A$2:$A$2865,$B12,Seasons!$B$2:$B$2865,"&gt;="&amp;$D12,Seasons!$L$2:$L$2865,1))</f>
        <v>1901</v>
      </c>
      <c r="G12" s="3" t="n">
        <f aca="false">IF(COUNTIFS(Seasons!$A$2:$A$2865,$B12,Seasons!$B$2:$B$2865,"&gt;="&amp;$D12,Seasons!$M$2:$M$2865,1)=0,"none",_xlfn.MINIFS(Seasons!$B$2:$B$2865,Seasons!$A$2:$A$2865,$B12,Seasons!$B$2:$B$2865,"&gt;="&amp;$D12,Seasons!$M$2:$M$2865,1))</f>
        <v>1901</v>
      </c>
      <c r="H12" s="3" t="n">
        <f aca="false">IF(COUNTIFS(Seasons!$A$2:$A$2865,$B12,Seasons!$B$2:$B$2865,"&gt;="&amp;$D12,Seasons!$N$2:$N$2865,1)=0,"none",_xlfn.MINIFS(Seasons!$B$2:$B$2865,Seasons!$A$2:$A$2865,$B12,Seasons!$B$2:$B$2865,"&gt;="&amp;$D12,Seasons!$N$2:$N$2865,1))</f>
        <v>1906</v>
      </c>
      <c r="I12" s="3" t="n">
        <f aca="false">IF(ISNUMBER(E12),E12-$D12+1,"none")</f>
        <v>1</v>
      </c>
      <c r="J12" s="3" t="n">
        <f aca="false">IF(ISNUMBER(F12),F12-$D12+1,"none")</f>
        <v>1</v>
      </c>
      <c r="K12" s="3" t="n">
        <f aca="false">IF(ISNUMBER(G12),G12-$D12+1,"none")</f>
        <v>1</v>
      </c>
      <c r="L12" s="3" t="n">
        <f aca="false">IF(ISNUMBER(H12),H12-$D12+1,"none")</f>
        <v>6</v>
      </c>
    </row>
    <row r="13" customFormat="false" ht="15" hidden="false" customHeight="true" outlineLevel="0" collapsed="false">
      <c r="A13" s="3" t="s">
        <v>367</v>
      </c>
      <c r="B13" s="3" t="s">
        <v>66</v>
      </c>
      <c r="C13" s="3" t="str">
        <f aca="false">Franchise_Totals!C13</f>
        <v>Established</v>
      </c>
      <c r="D13" s="7" t="n">
        <v>1901</v>
      </c>
      <c r="E13" s="3" t="n">
        <f aca="false">IF(COUNTIFS(Seasons!$A$2:$A$2865,$B13,Seasons!$B$2:$B$2865,"&gt;="&amp;$D13,Seasons!$K$2:$K$2865,1)=0,"none",_xlfn.MINIFS(Seasons!$B$2:$B$2865,Seasons!$A$2:$A$2865,$B13,Seasons!$B$2:$B$2865,"&gt;="&amp;$D13,Seasons!$K$2:$K$2865,1))</f>
        <v>1902</v>
      </c>
      <c r="F13" s="3" t="n">
        <f aca="false">IF(COUNTIFS(Seasons!$A$2:$A$2865,$B13,Seasons!$B$2:$B$2865,"&gt;="&amp;$D13,Seasons!$L$2:$L$2865,1)=0,"none",_xlfn.MINIFS(Seasons!$B$2:$B$2865,Seasons!$A$2:$A$2865,$B13,Seasons!$B$2:$B$2865,"&gt;="&amp;$D13,Seasons!$L$2:$L$2865,1))</f>
        <v>1920</v>
      </c>
      <c r="G13" s="3" t="n">
        <f aca="false">IF(COUNTIFS(Seasons!$A$2:$A$2865,$B13,Seasons!$B$2:$B$2865,"&gt;="&amp;$D13,Seasons!$M$2:$M$2865,1)=0,"none",_xlfn.MINIFS(Seasons!$B$2:$B$2865,Seasons!$A$2:$A$2865,$B13,Seasons!$B$2:$B$2865,"&gt;="&amp;$D13,Seasons!$M$2:$M$2865,1))</f>
        <v>1920</v>
      </c>
      <c r="H13" s="3" t="n">
        <f aca="false">IF(COUNTIFS(Seasons!$A$2:$A$2865,$B13,Seasons!$B$2:$B$2865,"&gt;="&amp;$D13,Seasons!$N$2:$N$2865,1)=0,"none",_xlfn.MINIFS(Seasons!$B$2:$B$2865,Seasons!$A$2:$A$2865,$B13,Seasons!$B$2:$B$2865,"&gt;="&amp;$D13,Seasons!$N$2:$N$2865,1))</f>
        <v>1920</v>
      </c>
      <c r="I13" s="3" t="n">
        <f aca="false">IF(ISNUMBER(E13),E13-$D13+1,"none")</f>
        <v>2</v>
      </c>
      <c r="J13" s="3" t="n">
        <f aca="false">IF(ISNUMBER(F13),F13-$D13+1,"none")</f>
        <v>20</v>
      </c>
      <c r="K13" s="3" t="n">
        <f aca="false">IF(ISNUMBER(G13),G13-$D13+1,"none")</f>
        <v>20</v>
      </c>
      <c r="L13" s="3" t="n">
        <f aca="false">IF(ISNUMBER(H13),H13-$D13+1,"none")</f>
        <v>20</v>
      </c>
    </row>
    <row r="14" customFormat="false" ht="15" hidden="false" customHeight="true" outlineLevel="0" collapsed="false">
      <c r="A14" s="3" t="s">
        <v>368</v>
      </c>
      <c r="B14" s="3" t="s">
        <v>67</v>
      </c>
      <c r="C14" s="3" t="str">
        <f aca="false">Franchise_Totals!C14</f>
        <v>Established</v>
      </c>
      <c r="D14" s="7" t="n">
        <v>1901</v>
      </c>
      <c r="E14" s="3" t="n">
        <f aca="false">IF(COUNTIFS(Seasons!$A$2:$A$2865,$B14,Seasons!$B$2:$B$2865,"&gt;="&amp;$D14,Seasons!$K$2:$K$2865,1)=0,"none",_xlfn.MINIFS(Seasons!$B$2:$B$2865,Seasons!$A$2:$A$2865,$B14,Seasons!$B$2:$B$2865,"&gt;="&amp;$D14,Seasons!$K$2:$K$2865,1))</f>
        <v>1901</v>
      </c>
      <c r="F14" s="3" t="n">
        <f aca="false">IF(COUNTIFS(Seasons!$A$2:$A$2865,$B14,Seasons!$B$2:$B$2865,"&gt;="&amp;$D14,Seasons!$L$2:$L$2865,1)=0,"none",_xlfn.MINIFS(Seasons!$B$2:$B$2865,Seasons!$A$2:$A$2865,$B14,Seasons!$B$2:$B$2865,"&gt;="&amp;$D14,Seasons!$L$2:$L$2865,1))</f>
        <v>1907</v>
      </c>
      <c r="G14" s="3" t="n">
        <f aca="false">IF(COUNTIFS(Seasons!$A$2:$A$2865,$B14,Seasons!$B$2:$B$2865,"&gt;="&amp;$D14,Seasons!$M$2:$M$2865,1)=0,"none",_xlfn.MINIFS(Seasons!$B$2:$B$2865,Seasons!$A$2:$A$2865,$B14,Seasons!$B$2:$B$2865,"&gt;="&amp;$D14,Seasons!$M$2:$M$2865,1))</f>
        <v>1907</v>
      </c>
      <c r="H14" s="3" t="n">
        <f aca="false">IF(COUNTIFS(Seasons!$A$2:$A$2865,$B14,Seasons!$B$2:$B$2865,"&gt;="&amp;$D14,Seasons!$N$2:$N$2865,1)=0,"none",_xlfn.MINIFS(Seasons!$B$2:$B$2865,Seasons!$A$2:$A$2865,$B14,Seasons!$B$2:$B$2865,"&gt;="&amp;$D14,Seasons!$N$2:$N$2865,1))</f>
        <v>1935</v>
      </c>
      <c r="I14" s="3" t="n">
        <f aca="false">IF(ISNUMBER(E14),E14-$D14+1,"none")</f>
        <v>1</v>
      </c>
      <c r="J14" s="3" t="n">
        <f aca="false">IF(ISNUMBER(F14),F14-$D14+1,"none")</f>
        <v>7</v>
      </c>
      <c r="K14" s="3" t="n">
        <f aca="false">IF(ISNUMBER(G14),G14-$D14+1,"none")</f>
        <v>7</v>
      </c>
      <c r="L14" s="3" t="n">
        <f aca="false">IF(ISNUMBER(H14),H14-$D14+1,"none")</f>
        <v>35</v>
      </c>
    </row>
    <row r="15" customFormat="false" ht="15" hidden="false" customHeight="true" outlineLevel="0" collapsed="false">
      <c r="A15" s="3" t="s">
        <v>369</v>
      </c>
      <c r="B15" s="3" t="s">
        <v>68</v>
      </c>
      <c r="C15" s="3" t="str">
        <f aca="false">Franchise_Totals!C15</f>
        <v>Established</v>
      </c>
      <c r="D15" s="7" t="n">
        <v>1901</v>
      </c>
      <c r="E15" s="3" t="n">
        <f aca="false">IF(COUNTIFS(Seasons!$A$2:$A$2865,$B15,Seasons!$B$2:$B$2865,"&gt;="&amp;$D15,Seasons!$K$2:$K$2865,1)=0,"none",_xlfn.MINIFS(Seasons!$B$2:$B$2865,Seasons!$A$2:$A$2865,$B15,Seasons!$B$2:$B$2865,"&gt;="&amp;$D15,Seasons!$K$2:$K$2865,1))</f>
        <v>1912</v>
      </c>
      <c r="F15" s="3" t="n">
        <f aca="false">IF(COUNTIFS(Seasons!$A$2:$A$2865,$B15,Seasons!$B$2:$B$2865,"&gt;="&amp;$D15,Seasons!$L$2:$L$2865,1)=0,"none",_xlfn.MINIFS(Seasons!$B$2:$B$2865,Seasons!$A$2:$A$2865,$B15,Seasons!$B$2:$B$2865,"&gt;="&amp;$D15,Seasons!$L$2:$L$2865,1))</f>
        <v>1924</v>
      </c>
      <c r="G15" s="3" t="n">
        <f aca="false">IF(COUNTIFS(Seasons!$A$2:$A$2865,$B15,Seasons!$B$2:$B$2865,"&gt;="&amp;$D15,Seasons!$M$2:$M$2865,1)=0,"none",_xlfn.MINIFS(Seasons!$B$2:$B$2865,Seasons!$A$2:$A$2865,$B15,Seasons!$B$2:$B$2865,"&gt;="&amp;$D15,Seasons!$M$2:$M$2865,1))</f>
        <v>1924</v>
      </c>
      <c r="H15" s="3" t="n">
        <f aca="false">IF(COUNTIFS(Seasons!$A$2:$A$2865,$B15,Seasons!$B$2:$B$2865,"&gt;="&amp;$D15,Seasons!$N$2:$N$2865,1)=0,"none",_xlfn.MINIFS(Seasons!$B$2:$B$2865,Seasons!$A$2:$A$2865,$B15,Seasons!$B$2:$B$2865,"&gt;="&amp;$D15,Seasons!$N$2:$N$2865,1))</f>
        <v>1924</v>
      </c>
      <c r="I15" s="3" t="n">
        <f aca="false">IF(ISNUMBER(E15),E15-$D15+1,"none")</f>
        <v>12</v>
      </c>
      <c r="J15" s="3" t="n">
        <f aca="false">IF(ISNUMBER(F15),F15-$D15+1,"none")</f>
        <v>24</v>
      </c>
      <c r="K15" s="3" t="n">
        <f aca="false">IF(ISNUMBER(G15),G15-$D15+1,"none")</f>
        <v>24</v>
      </c>
      <c r="L15" s="3" t="n">
        <f aca="false">IF(ISNUMBER(H15),H15-$D15+1,"none")</f>
        <v>24</v>
      </c>
    </row>
    <row r="16" customFormat="false" ht="15" hidden="false" customHeight="true" outlineLevel="0" collapsed="false">
      <c r="A16" s="3" t="s">
        <v>370</v>
      </c>
      <c r="B16" s="3" t="s">
        <v>69</v>
      </c>
      <c r="C16" s="3" t="str">
        <f aca="false">Franchise_Totals!C16</f>
        <v>Established</v>
      </c>
      <c r="D16" s="7" t="n">
        <v>1901</v>
      </c>
      <c r="E16" s="3" t="n">
        <f aca="false">IF(COUNTIFS(Seasons!$A$2:$A$2865,$B16,Seasons!$B$2:$B$2865,"&gt;="&amp;$D16,Seasons!$K$2:$K$2865,1)=0,"none",_xlfn.MINIFS(Seasons!$B$2:$B$2865,Seasons!$A$2:$A$2865,$B16,Seasons!$B$2:$B$2865,"&gt;="&amp;$D16,Seasons!$K$2:$K$2865,1))</f>
        <v>1901</v>
      </c>
      <c r="F16" s="3" t="n">
        <f aca="false">IF(COUNTIFS(Seasons!$A$2:$A$2865,$B16,Seasons!$B$2:$B$2865,"&gt;="&amp;$D16,Seasons!$L$2:$L$2865,1)=0,"none",_xlfn.MINIFS(Seasons!$B$2:$B$2865,Seasons!$A$2:$A$2865,$B16,Seasons!$B$2:$B$2865,"&gt;="&amp;$D16,Seasons!$L$2:$L$2865,1))</f>
        <v>1902</v>
      </c>
      <c r="G16" s="3" t="n">
        <f aca="false">IF(COUNTIFS(Seasons!$A$2:$A$2865,$B16,Seasons!$B$2:$B$2865,"&gt;="&amp;$D16,Seasons!$M$2:$M$2865,1)=0,"none",_xlfn.MINIFS(Seasons!$B$2:$B$2865,Seasons!$A$2:$A$2865,$B16,Seasons!$B$2:$B$2865,"&gt;="&amp;$D16,Seasons!$M$2:$M$2865,1))</f>
        <v>1902</v>
      </c>
      <c r="H16" s="3" t="n">
        <f aca="false">IF(COUNTIFS(Seasons!$A$2:$A$2865,$B16,Seasons!$B$2:$B$2865,"&gt;="&amp;$D16,Seasons!$N$2:$N$2865,1)=0,"none",_xlfn.MINIFS(Seasons!$B$2:$B$2865,Seasons!$A$2:$A$2865,$B16,Seasons!$B$2:$B$2865,"&gt;="&amp;$D16,Seasons!$N$2:$N$2865,1))</f>
        <v>1910</v>
      </c>
      <c r="I16" s="3" t="n">
        <f aca="false">IF(ISNUMBER(E16),E16-$D16+1,"none")</f>
        <v>1</v>
      </c>
      <c r="J16" s="3" t="n">
        <f aca="false">IF(ISNUMBER(F16),F16-$D16+1,"none")</f>
        <v>2</v>
      </c>
      <c r="K16" s="3" t="n">
        <f aca="false">IF(ISNUMBER(G16),G16-$D16+1,"none")</f>
        <v>2</v>
      </c>
      <c r="L16" s="3" t="n">
        <f aca="false">IF(ISNUMBER(H16),H16-$D16+1,"none")</f>
        <v>10</v>
      </c>
    </row>
    <row r="17" customFormat="false" ht="15" hidden="false" customHeight="true" outlineLevel="0" collapsed="false">
      <c r="A17" s="3" t="s">
        <v>371</v>
      </c>
      <c r="B17" s="3" t="s">
        <v>70</v>
      </c>
      <c r="C17" s="3" t="str">
        <f aca="false">Franchise_Totals!C17</f>
        <v>Established</v>
      </c>
      <c r="D17" s="7" t="n">
        <v>1903</v>
      </c>
      <c r="E17" s="3" t="n">
        <f aca="false">IF(COUNTIFS(Seasons!$A$2:$A$2865,$B17,Seasons!$B$2:$B$2865,"&gt;="&amp;$D17,Seasons!$K$2:$K$2865,1)=0,"none",_xlfn.MINIFS(Seasons!$B$2:$B$2865,Seasons!$A$2:$A$2865,$B17,Seasons!$B$2:$B$2865,"&gt;="&amp;$D17,Seasons!$K$2:$K$2865,1))</f>
        <v>1903</v>
      </c>
      <c r="F17" s="3" t="n">
        <f aca="false">IF(COUNTIFS(Seasons!$A$2:$A$2865,$B17,Seasons!$B$2:$B$2865,"&gt;="&amp;$D17,Seasons!$L$2:$L$2865,1)=0,"none",_xlfn.MINIFS(Seasons!$B$2:$B$2865,Seasons!$A$2:$A$2865,$B17,Seasons!$B$2:$B$2865,"&gt;="&amp;$D17,Seasons!$L$2:$L$2865,1))</f>
        <v>1921</v>
      </c>
      <c r="G17" s="3" t="n">
        <f aca="false">IF(COUNTIFS(Seasons!$A$2:$A$2865,$B17,Seasons!$B$2:$B$2865,"&gt;="&amp;$D17,Seasons!$M$2:$M$2865,1)=0,"none",_xlfn.MINIFS(Seasons!$B$2:$B$2865,Seasons!$A$2:$A$2865,$B17,Seasons!$B$2:$B$2865,"&gt;="&amp;$D17,Seasons!$M$2:$M$2865,1))</f>
        <v>1921</v>
      </c>
      <c r="H17" s="3" t="n">
        <f aca="false">IF(COUNTIFS(Seasons!$A$2:$A$2865,$B17,Seasons!$B$2:$B$2865,"&gt;="&amp;$D17,Seasons!$N$2:$N$2865,1)=0,"none",_xlfn.MINIFS(Seasons!$B$2:$B$2865,Seasons!$A$2:$A$2865,$B17,Seasons!$B$2:$B$2865,"&gt;="&amp;$D17,Seasons!$N$2:$N$2865,1))</f>
        <v>1923</v>
      </c>
      <c r="I17" s="3" t="n">
        <f aca="false">IF(ISNUMBER(E17),E17-$D17+1,"none")</f>
        <v>1</v>
      </c>
      <c r="J17" s="3" t="n">
        <f aca="false">IF(ISNUMBER(F17),F17-$D17+1,"none")</f>
        <v>19</v>
      </c>
      <c r="K17" s="3" t="n">
        <f aca="false">IF(ISNUMBER(G17),G17-$D17+1,"none")</f>
        <v>19</v>
      </c>
      <c r="L17" s="3" t="n">
        <f aca="false">IF(ISNUMBER(H17),H17-$D17+1,"none")</f>
        <v>21</v>
      </c>
    </row>
    <row r="18" customFormat="false" ht="15" hidden="false" customHeight="true" outlineLevel="0" collapsed="false">
      <c r="A18" s="3" t="s">
        <v>372</v>
      </c>
      <c r="B18" s="3" t="s">
        <v>71</v>
      </c>
      <c r="C18" s="3" t="str">
        <f aca="false">Franchise_Totals!C18</f>
        <v>Expansion</v>
      </c>
      <c r="D18" s="7" t="n">
        <v>1961</v>
      </c>
      <c r="E18" s="3" t="n">
        <f aca="false">IF(COUNTIFS(Seasons!$A$2:$A$2865,$B18,Seasons!$B$2:$B$2865,"&gt;="&amp;$D18,Seasons!$K$2:$K$2865,1)=0,"none",_xlfn.MINIFS(Seasons!$B$2:$B$2865,Seasons!$A$2:$A$2865,$B18,Seasons!$B$2:$B$2865,"&gt;="&amp;$D18,Seasons!$K$2:$K$2865,1))</f>
        <v>1962</v>
      </c>
      <c r="F18" s="3" t="n">
        <f aca="false">IF(COUNTIFS(Seasons!$A$2:$A$2865,$B18,Seasons!$B$2:$B$2865,"&gt;="&amp;$D18,Seasons!$L$2:$L$2865,1)=0,"none",_xlfn.MINIFS(Seasons!$B$2:$B$2865,Seasons!$A$2:$A$2865,$B18,Seasons!$B$2:$B$2865,"&gt;="&amp;$D18,Seasons!$L$2:$L$2865,1))</f>
        <v>1979</v>
      </c>
      <c r="G18" s="3" t="n">
        <f aca="false">IF(COUNTIFS(Seasons!$A$2:$A$2865,$B18,Seasons!$B$2:$B$2865,"&gt;="&amp;$D18,Seasons!$M$2:$M$2865,1)=0,"none",_xlfn.MINIFS(Seasons!$B$2:$B$2865,Seasons!$A$2:$A$2865,$B18,Seasons!$B$2:$B$2865,"&gt;="&amp;$D18,Seasons!$M$2:$M$2865,1))</f>
        <v>2002</v>
      </c>
      <c r="H18" s="3" t="n">
        <f aca="false">IF(COUNTIFS(Seasons!$A$2:$A$2865,$B18,Seasons!$B$2:$B$2865,"&gt;="&amp;$D18,Seasons!$N$2:$N$2865,1)=0,"none",_xlfn.MINIFS(Seasons!$B$2:$B$2865,Seasons!$A$2:$A$2865,$B18,Seasons!$B$2:$B$2865,"&gt;="&amp;$D18,Seasons!$N$2:$N$2865,1))</f>
        <v>2002</v>
      </c>
      <c r="I18" s="3" t="n">
        <f aca="false">IF(ISNUMBER(E18),E18-$D18+1,"none")</f>
        <v>2</v>
      </c>
      <c r="J18" s="3" t="n">
        <f aca="false">IF(ISNUMBER(F18),F18-$D18+1,"none")</f>
        <v>19</v>
      </c>
      <c r="K18" s="3" t="n">
        <f aca="false">IF(ISNUMBER(G18),G18-$D18+1,"none")</f>
        <v>42</v>
      </c>
      <c r="L18" s="3" t="n">
        <f aca="false">IF(ISNUMBER(H18),H18-$D18+1,"none")</f>
        <v>42</v>
      </c>
    </row>
    <row r="19" customFormat="false" ht="15" hidden="false" customHeight="true" outlineLevel="0" collapsed="false">
      <c r="A19" s="3" t="s">
        <v>374</v>
      </c>
      <c r="B19" s="3" t="s">
        <v>73</v>
      </c>
      <c r="C19" s="3" t="str">
        <f aca="false">Franchise_Totals!C19</f>
        <v>Expansion</v>
      </c>
      <c r="D19" s="7" t="n">
        <v>1961</v>
      </c>
      <c r="E19" s="3" t="n">
        <f aca="false">IF(COUNTIFS(Seasons!$A$2:$A$2865,$B19,Seasons!$B$2:$B$2865,"&gt;="&amp;$D19,Seasons!$K$2:$K$2865,1)=0,"none",_xlfn.MINIFS(Seasons!$B$2:$B$2865,Seasons!$A$2:$A$2865,$B19,Seasons!$B$2:$B$2865,"&gt;="&amp;$D19,Seasons!$K$2:$K$2865,1))</f>
        <v>1969</v>
      </c>
      <c r="F19" s="3" t="n">
        <f aca="false">IF(COUNTIFS(Seasons!$A$2:$A$2865,$B19,Seasons!$B$2:$B$2865,"&gt;="&amp;$D19,Seasons!$L$2:$L$2865,1)=0,"none",_xlfn.MINIFS(Seasons!$B$2:$B$2865,Seasons!$A$2:$A$2865,$B19,Seasons!$B$2:$B$2865,"&gt;="&amp;$D19,Seasons!$L$2:$L$2865,1))</f>
        <v>1996</v>
      </c>
      <c r="G19" s="3" t="n">
        <f aca="false">IF(COUNTIFS(Seasons!$A$2:$A$2865,$B19,Seasons!$B$2:$B$2865,"&gt;="&amp;$D19,Seasons!$M$2:$M$2865,1)=0,"none",_xlfn.MINIFS(Seasons!$B$2:$B$2865,Seasons!$A$2:$A$2865,$B19,Seasons!$B$2:$B$2865,"&gt;="&amp;$D19,Seasons!$M$2:$M$2865,1))</f>
        <v>2010</v>
      </c>
      <c r="H19" s="3" t="n">
        <f aca="false">IF(COUNTIFS(Seasons!$A$2:$A$2865,$B19,Seasons!$B$2:$B$2865,"&gt;="&amp;$D19,Seasons!$N$2:$N$2865,1)=0,"none",_xlfn.MINIFS(Seasons!$B$2:$B$2865,Seasons!$A$2:$A$2865,$B19,Seasons!$B$2:$B$2865,"&gt;="&amp;$D19,Seasons!$N$2:$N$2865,1))</f>
        <v>2023</v>
      </c>
      <c r="I19" s="3" t="n">
        <f aca="false">IF(ISNUMBER(E19),E19-$D19+1,"none")</f>
        <v>9</v>
      </c>
      <c r="J19" s="3" t="n">
        <f aca="false">IF(ISNUMBER(F19),F19-$D19+1,"none")</f>
        <v>36</v>
      </c>
      <c r="K19" s="3" t="n">
        <f aca="false">IF(ISNUMBER(G19),G19-$D19+1,"none")</f>
        <v>50</v>
      </c>
      <c r="L19" s="3" t="n">
        <f aca="false">IF(ISNUMBER(H19),H19-$D19+1,"none")</f>
        <v>63</v>
      </c>
    </row>
    <row r="20" customFormat="false" ht="15" hidden="false" customHeight="true" outlineLevel="0" collapsed="false">
      <c r="A20" s="3" t="s">
        <v>375</v>
      </c>
      <c r="B20" s="3" t="s">
        <v>74</v>
      </c>
      <c r="C20" s="3" t="str">
        <f aca="false">Franchise_Totals!C20</f>
        <v>Expansion</v>
      </c>
      <c r="D20" s="7" t="n">
        <v>1962</v>
      </c>
      <c r="E20" s="3" t="n">
        <f aca="false">IF(COUNTIFS(Seasons!$A$2:$A$2865,$B20,Seasons!$B$2:$B$2865,"&gt;="&amp;$D20,Seasons!$K$2:$K$2865,1)=0,"none",_xlfn.MINIFS(Seasons!$B$2:$B$2865,Seasons!$A$2:$A$2865,$B20,Seasons!$B$2:$B$2865,"&gt;="&amp;$D20,Seasons!$K$2:$K$2865,1))</f>
        <v>1972</v>
      </c>
      <c r="F20" s="3" t="n">
        <f aca="false">IF(COUNTIFS(Seasons!$A$2:$A$2865,$B20,Seasons!$B$2:$B$2865,"&gt;="&amp;$D20,Seasons!$L$2:$L$2865,1)=0,"none",_xlfn.MINIFS(Seasons!$B$2:$B$2865,Seasons!$A$2:$A$2865,$B20,Seasons!$B$2:$B$2865,"&gt;="&amp;$D20,Seasons!$L$2:$L$2865,1))</f>
        <v>1980</v>
      </c>
      <c r="G20" s="3" t="n">
        <f aca="false">IF(COUNTIFS(Seasons!$A$2:$A$2865,$B20,Seasons!$B$2:$B$2865,"&gt;="&amp;$D20,Seasons!$M$2:$M$2865,1)=0,"none",_xlfn.MINIFS(Seasons!$B$2:$B$2865,Seasons!$A$2:$A$2865,$B20,Seasons!$B$2:$B$2865,"&gt;="&amp;$D20,Seasons!$M$2:$M$2865,1))</f>
        <v>2005</v>
      </c>
      <c r="H20" s="3" t="n">
        <f aca="false">IF(COUNTIFS(Seasons!$A$2:$A$2865,$B20,Seasons!$B$2:$B$2865,"&gt;="&amp;$D20,Seasons!$N$2:$N$2865,1)=0,"none",_xlfn.MINIFS(Seasons!$B$2:$B$2865,Seasons!$A$2:$A$2865,$B20,Seasons!$B$2:$B$2865,"&gt;="&amp;$D20,Seasons!$N$2:$N$2865,1))</f>
        <v>2017</v>
      </c>
      <c r="I20" s="3" t="n">
        <f aca="false">IF(ISNUMBER(E20),E20-$D20+1,"none")</f>
        <v>11</v>
      </c>
      <c r="J20" s="3" t="n">
        <f aca="false">IF(ISNUMBER(F20),F20-$D20+1,"none")</f>
        <v>19</v>
      </c>
      <c r="K20" s="3" t="n">
        <f aca="false">IF(ISNUMBER(G20),G20-$D20+1,"none")</f>
        <v>44</v>
      </c>
      <c r="L20" s="3" t="n">
        <f aca="false">IF(ISNUMBER(H20),H20-$D20+1,"none")</f>
        <v>56</v>
      </c>
    </row>
    <row r="21" customFormat="false" ht="15" hidden="false" customHeight="true" outlineLevel="0" collapsed="false">
      <c r="A21" s="3" t="s">
        <v>376</v>
      </c>
      <c r="B21" s="3" t="s">
        <v>75</v>
      </c>
      <c r="C21" s="3" t="str">
        <f aca="false">Franchise_Totals!C21</f>
        <v>Expansion</v>
      </c>
      <c r="D21" s="7" t="n">
        <v>1962</v>
      </c>
      <c r="E21" s="3" t="n">
        <f aca="false">IF(COUNTIFS(Seasons!$A$2:$A$2865,$B21,Seasons!$B$2:$B$2865,"&gt;="&amp;$D21,Seasons!$K$2:$K$2865,1)=0,"none",_xlfn.MINIFS(Seasons!$B$2:$B$2865,Seasons!$A$2:$A$2865,$B21,Seasons!$B$2:$B$2865,"&gt;="&amp;$D21,Seasons!$K$2:$K$2865,1))</f>
        <v>1969</v>
      </c>
      <c r="F21" s="3" t="n">
        <f aca="false">IF(COUNTIFS(Seasons!$A$2:$A$2865,$B21,Seasons!$B$2:$B$2865,"&gt;="&amp;$D21,Seasons!$L$2:$L$2865,1)=0,"none",_xlfn.MINIFS(Seasons!$B$2:$B$2865,Seasons!$A$2:$A$2865,$B21,Seasons!$B$2:$B$2865,"&gt;="&amp;$D21,Seasons!$L$2:$L$2865,1))</f>
        <v>1969</v>
      </c>
      <c r="G21" s="3" t="n">
        <f aca="false">IF(COUNTIFS(Seasons!$A$2:$A$2865,$B21,Seasons!$B$2:$B$2865,"&gt;="&amp;$D21,Seasons!$M$2:$M$2865,1)=0,"none",_xlfn.MINIFS(Seasons!$B$2:$B$2865,Seasons!$A$2:$A$2865,$B21,Seasons!$B$2:$B$2865,"&gt;="&amp;$D21,Seasons!$M$2:$M$2865,1))</f>
        <v>1969</v>
      </c>
      <c r="H21" s="3" t="n">
        <f aca="false">IF(COUNTIFS(Seasons!$A$2:$A$2865,$B21,Seasons!$B$2:$B$2865,"&gt;="&amp;$D21,Seasons!$N$2:$N$2865,1)=0,"none",_xlfn.MINIFS(Seasons!$B$2:$B$2865,Seasons!$A$2:$A$2865,$B21,Seasons!$B$2:$B$2865,"&gt;="&amp;$D21,Seasons!$N$2:$N$2865,1))</f>
        <v>1969</v>
      </c>
      <c r="I21" s="3" t="n">
        <f aca="false">IF(ISNUMBER(E21),E21-$D21+1,"none")</f>
        <v>8</v>
      </c>
      <c r="J21" s="3" t="n">
        <f aca="false">IF(ISNUMBER(F21),F21-$D21+1,"none")</f>
        <v>8</v>
      </c>
      <c r="K21" s="3" t="n">
        <f aca="false">IF(ISNUMBER(G21),G21-$D21+1,"none")</f>
        <v>8</v>
      </c>
      <c r="L21" s="3" t="n">
        <f aca="false">IF(ISNUMBER(H21),H21-$D21+1,"none")</f>
        <v>8</v>
      </c>
    </row>
    <row r="22" customFormat="false" ht="15" hidden="false" customHeight="true" outlineLevel="0" collapsed="false">
      <c r="A22" s="3" t="s">
        <v>377</v>
      </c>
      <c r="B22" s="3" t="s">
        <v>76</v>
      </c>
      <c r="C22" s="3" t="str">
        <f aca="false">Franchise_Totals!C22</f>
        <v>Expansion</v>
      </c>
      <c r="D22" s="7" t="n">
        <v>1969</v>
      </c>
      <c r="E22" s="3" t="n">
        <f aca="false">IF(COUNTIFS(Seasons!$A$2:$A$2865,$B22,Seasons!$B$2:$B$2865,"&gt;="&amp;$D22,Seasons!$K$2:$K$2865,1)=0,"none",_xlfn.MINIFS(Seasons!$B$2:$B$2865,Seasons!$A$2:$A$2865,$B22,Seasons!$B$2:$B$2865,"&gt;="&amp;$D22,Seasons!$K$2:$K$2865,1))</f>
        <v>1971</v>
      </c>
      <c r="F22" s="3" t="n">
        <f aca="false">IF(COUNTIFS(Seasons!$A$2:$A$2865,$B22,Seasons!$B$2:$B$2865,"&gt;="&amp;$D22,Seasons!$L$2:$L$2865,1)=0,"none",_xlfn.MINIFS(Seasons!$B$2:$B$2865,Seasons!$A$2:$A$2865,$B22,Seasons!$B$2:$B$2865,"&gt;="&amp;$D22,Seasons!$L$2:$L$2865,1))</f>
        <v>1976</v>
      </c>
      <c r="G22" s="3" t="n">
        <f aca="false">IF(COUNTIFS(Seasons!$A$2:$A$2865,$B22,Seasons!$B$2:$B$2865,"&gt;="&amp;$D22,Seasons!$M$2:$M$2865,1)=0,"none",_xlfn.MINIFS(Seasons!$B$2:$B$2865,Seasons!$A$2:$A$2865,$B22,Seasons!$B$2:$B$2865,"&gt;="&amp;$D22,Seasons!$M$2:$M$2865,1))</f>
        <v>1980</v>
      </c>
      <c r="H22" s="3" t="n">
        <f aca="false">IF(COUNTIFS(Seasons!$A$2:$A$2865,$B22,Seasons!$B$2:$B$2865,"&gt;="&amp;$D22,Seasons!$N$2:$N$2865,1)=0,"none",_xlfn.MINIFS(Seasons!$B$2:$B$2865,Seasons!$A$2:$A$2865,$B22,Seasons!$B$2:$B$2865,"&gt;="&amp;$D22,Seasons!$N$2:$N$2865,1))</f>
        <v>1985</v>
      </c>
      <c r="I22" s="3" t="n">
        <f aca="false">IF(ISNUMBER(E22),E22-$D22+1,"none")</f>
        <v>3</v>
      </c>
      <c r="J22" s="3" t="n">
        <f aca="false">IF(ISNUMBER(F22),F22-$D22+1,"none")</f>
        <v>8</v>
      </c>
      <c r="K22" s="3" t="n">
        <f aca="false">IF(ISNUMBER(G22),G22-$D22+1,"none")</f>
        <v>12</v>
      </c>
      <c r="L22" s="3" t="n">
        <f aca="false">IF(ISNUMBER(H22),H22-$D22+1,"none")</f>
        <v>17</v>
      </c>
    </row>
    <row r="23" customFormat="false" ht="15" hidden="false" customHeight="true" outlineLevel="0" collapsed="false">
      <c r="A23" s="3" t="s">
        <v>379</v>
      </c>
      <c r="B23" s="3" t="s">
        <v>77</v>
      </c>
      <c r="C23" s="3" t="str">
        <f aca="false">Franchise_Totals!C23</f>
        <v>Expansion</v>
      </c>
      <c r="D23" s="7" t="n">
        <v>1969</v>
      </c>
      <c r="E23" s="3" t="n">
        <f aca="false">IF(COUNTIFS(Seasons!$A$2:$A$2865,$B23,Seasons!$B$2:$B$2865,"&gt;="&amp;$D23,Seasons!$K$2:$K$2865,1)=0,"none",_xlfn.MINIFS(Seasons!$B$2:$B$2865,Seasons!$A$2:$A$2865,$B23,Seasons!$B$2:$B$2865,"&gt;="&amp;$D23,Seasons!$K$2:$K$2865,1))</f>
        <v>1978</v>
      </c>
      <c r="F23" s="3" t="n">
        <f aca="false">IF(COUNTIFS(Seasons!$A$2:$A$2865,$B23,Seasons!$B$2:$B$2865,"&gt;="&amp;$D23,Seasons!$L$2:$L$2865,1)=0,"none",_xlfn.MINIFS(Seasons!$B$2:$B$2865,Seasons!$A$2:$A$2865,$B23,Seasons!$B$2:$B$2865,"&gt;="&amp;$D23,Seasons!$L$2:$L$2865,1))</f>
        <v>1981</v>
      </c>
      <c r="G23" s="3" t="n">
        <f aca="false">IF(COUNTIFS(Seasons!$A$2:$A$2865,$B23,Seasons!$B$2:$B$2865,"&gt;="&amp;$D23,Seasons!$M$2:$M$2865,1)=0,"none",_xlfn.MINIFS(Seasons!$B$2:$B$2865,Seasons!$A$2:$A$2865,$B23,Seasons!$B$2:$B$2865,"&gt;="&amp;$D23,Seasons!$M$2:$M$2865,1))</f>
        <v>1982</v>
      </c>
      <c r="H23" s="3" t="str">
        <f aca="false">IF(COUNTIFS(Seasons!$A$2:$A$2865,$B23,Seasons!$B$2:$B$2865,"&gt;="&amp;$D23,Seasons!$N$2:$N$2865,1)=0,"none",_xlfn.MINIFS(Seasons!$B$2:$B$2865,Seasons!$A$2:$A$2865,$B23,Seasons!$B$2:$B$2865,"&gt;="&amp;$D23,Seasons!$N$2:$N$2865,1))</f>
        <v>none</v>
      </c>
      <c r="I23" s="3" t="n">
        <f aca="false">IF(ISNUMBER(E23),E23-$D23+1,"none")</f>
        <v>10</v>
      </c>
      <c r="J23" s="3" t="n">
        <f aca="false">IF(ISNUMBER(F23),F23-$D23+1,"none")</f>
        <v>13</v>
      </c>
      <c r="K23" s="3" t="n">
        <f aca="false">IF(ISNUMBER(G23),G23-$D23+1,"none")</f>
        <v>14</v>
      </c>
      <c r="L23" s="3" t="str">
        <f aca="false">IF(ISNUMBER(H23),H23-$D23+1,"none")</f>
        <v>none</v>
      </c>
    </row>
    <row r="24" customFormat="false" ht="15" hidden="false" customHeight="true" outlineLevel="0" collapsed="false">
      <c r="A24" s="3" t="s">
        <v>380</v>
      </c>
      <c r="B24" s="3" t="s">
        <v>78</v>
      </c>
      <c r="C24" s="3" t="str">
        <f aca="false">Franchise_Totals!C24</f>
        <v>Expansion</v>
      </c>
      <c r="D24" s="7" t="n">
        <v>1969</v>
      </c>
      <c r="E24" s="3" t="n">
        <f aca="false">IF(COUNTIFS(Seasons!$A$2:$A$2865,$B24,Seasons!$B$2:$B$2865,"&gt;="&amp;$D24,Seasons!$K$2:$K$2865,1)=0,"none",_xlfn.MINIFS(Seasons!$B$2:$B$2865,Seasons!$A$2:$A$2865,$B24,Seasons!$B$2:$B$2865,"&gt;="&amp;$D24,Seasons!$K$2:$K$2865,1))</f>
        <v>1978</v>
      </c>
      <c r="F24" s="3" t="n">
        <f aca="false">IF(COUNTIFS(Seasons!$A$2:$A$2865,$B24,Seasons!$B$2:$B$2865,"&gt;="&amp;$D24,Seasons!$L$2:$L$2865,1)=0,"none",_xlfn.MINIFS(Seasons!$B$2:$B$2865,Seasons!$A$2:$A$2865,$B24,Seasons!$B$2:$B$2865,"&gt;="&amp;$D24,Seasons!$L$2:$L$2865,1))</f>
        <v>1984</v>
      </c>
      <c r="G24" s="3" t="n">
        <f aca="false">IF(COUNTIFS(Seasons!$A$2:$A$2865,$B24,Seasons!$B$2:$B$2865,"&gt;="&amp;$D24,Seasons!$M$2:$M$2865,1)=0,"none",_xlfn.MINIFS(Seasons!$B$2:$B$2865,Seasons!$A$2:$A$2865,$B24,Seasons!$B$2:$B$2865,"&gt;="&amp;$D24,Seasons!$M$2:$M$2865,1))</f>
        <v>1984</v>
      </c>
      <c r="H24" s="3" t="str">
        <f aca="false">IF(COUNTIFS(Seasons!$A$2:$A$2865,$B24,Seasons!$B$2:$B$2865,"&gt;="&amp;$D24,Seasons!$N$2:$N$2865,1)=0,"none",_xlfn.MINIFS(Seasons!$B$2:$B$2865,Seasons!$A$2:$A$2865,$B24,Seasons!$B$2:$B$2865,"&gt;="&amp;$D24,Seasons!$N$2:$N$2865,1))</f>
        <v>none</v>
      </c>
      <c r="I24" s="3" t="n">
        <f aca="false">IF(ISNUMBER(E24),E24-$D24+1,"none")</f>
        <v>10</v>
      </c>
      <c r="J24" s="3" t="n">
        <f aca="false">IF(ISNUMBER(F24),F24-$D24+1,"none")</f>
        <v>16</v>
      </c>
      <c r="K24" s="3" t="n">
        <f aca="false">IF(ISNUMBER(G24),G24-$D24+1,"none")</f>
        <v>16</v>
      </c>
      <c r="L24" s="3" t="str">
        <f aca="false">IF(ISNUMBER(H24),H24-$D24+1,"none")</f>
        <v>none</v>
      </c>
    </row>
    <row r="25" customFormat="false" ht="15" hidden="false" customHeight="true" outlineLevel="0" collapsed="false">
      <c r="A25" s="3" t="s">
        <v>381</v>
      </c>
      <c r="B25" s="3" t="s">
        <v>79</v>
      </c>
      <c r="C25" s="3" t="str">
        <f aca="false">Franchise_Totals!C25</f>
        <v>Expansion</v>
      </c>
      <c r="D25" s="7" t="n">
        <v>1969</v>
      </c>
      <c r="E25" s="3" t="n">
        <f aca="false">IF(COUNTIFS(Seasons!$A$2:$A$2865,$B25,Seasons!$B$2:$B$2865,"&gt;="&amp;$D25,Seasons!$K$2:$K$2865,1)=0,"none",_xlfn.MINIFS(Seasons!$B$2:$B$2865,Seasons!$A$2:$A$2865,$B25,Seasons!$B$2:$B$2865,"&gt;="&amp;$D25,Seasons!$K$2:$K$2865,1))</f>
        <v>1979</v>
      </c>
      <c r="F25" s="3" t="n">
        <f aca="false">IF(COUNTIFS(Seasons!$A$2:$A$2865,$B25,Seasons!$B$2:$B$2865,"&gt;="&amp;$D25,Seasons!$L$2:$L$2865,1)=0,"none",_xlfn.MINIFS(Seasons!$B$2:$B$2865,Seasons!$A$2:$A$2865,$B25,Seasons!$B$2:$B$2865,"&gt;="&amp;$D25,Seasons!$L$2:$L$2865,1))</f>
        <v>1981</v>
      </c>
      <c r="G25" s="3" t="n">
        <f aca="false">IF(COUNTIFS(Seasons!$A$2:$A$2865,$B25,Seasons!$B$2:$B$2865,"&gt;="&amp;$D25,Seasons!$M$2:$M$2865,1)=0,"none",_xlfn.MINIFS(Seasons!$B$2:$B$2865,Seasons!$A$2:$A$2865,$B25,Seasons!$B$2:$B$2865,"&gt;="&amp;$D25,Seasons!$M$2:$M$2865,1))</f>
        <v>2019</v>
      </c>
      <c r="H25" s="3" t="n">
        <f aca="false">IF(COUNTIFS(Seasons!$A$2:$A$2865,$B25,Seasons!$B$2:$B$2865,"&gt;="&amp;$D25,Seasons!$N$2:$N$2865,1)=0,"none",_xlfn.MINIFS(Seasons!$B$2:$B$2865,Seasons!$A$2:$A$2865,$B25,Seasons!$B$2:$B$2865,"&gt;="&amp;$D25,Seasons!$N$2:$N$2865,1))</f>
        <v>2019</v>
      </c>
      <c r="I25" s="3" t="n">
        <f aca="false">IF(ISNUMBER(E25),E25-$D25+1,"none")</f>
        <v>11</v>
      </c>
      <c r="J25" s="3" t="n">
        <f aca="false">IF(ISNUMBER(F25),F25-$D25+1,"none")</f>
        <v>13</v>
      </c>
      <c r="K25" s="3" t="n">
        <f aca="false">IF(ISNUMBER(G25),G25-$D25+1,"none")</f>
        <v>51</v>
      </c>
      <c r="L25" s="3" t="n">
        <f aca="false">IF(ISNUMBER(H25),H25-$D25+1,"none")</f>
        <v>51</v>
      </c>
    </row>
    <row r="26" customFormat="false" ht="15" hidden="false" customHeight="true" outlineLevel="0" collapsed="false">
      <c r="A26" s="3" t="s">
        <v>382</v>
      </c>
      <c r="B26" s="3" t="s">
        <v>80</v>
      </c>
      <c r="C26" s="3" t="str">
        <f aca="false">Franchise_Totals!C26</f>
        <v>Expansion</v>
      </c>
      <c r="D26" s="7" t="n">
        <v>1977</v>
      </c>
      <c r="E26" s="3" t="n">
        <f aca="false">IF(COUNTIFS(Seasons!$A$2:$A$2865,$B26,Seasons!$B$2:$B$2865,"&gt;="&amp;$D26,Seasons!$K$2:$K$2865,1)=0,"none",_xlfn.MINIFS(Seasons!$B$2:$B$2865,Seasons!$A$2:$A$2865,$B26,Seasons!$B$2:$B$2865,"&gt;="&amp;$D26,Seasons!$K$2:$K$2865,1))</f>
        <v>1991</v>
      </c>
      <c r="F26" s="3" t="n">
        <f aca="false">IF(COUNTIFS(Seasons!$A$2:$A$2865,$B26,Seasons!$B$2:$B$2865,"&gt;="&amp;$D26,Seasons!$L$2:$L$2865,1)=0,"none",_xlfn.MINIFS(Seasons!$B$2:$B$2865,Seasons!$A$2:$A$2865,$B26,Seasons!$B$2:$B$2865,"&gt;="&amp;$D26,Seasons!$L$2:$L$2865,1))</f>
        <v>1995</v>
      </c>
      <c r="G26" s="3" t="str">
        <f aca="false">IF(COUNTIFS(Seasons!$A$2:$A$2865,$B26,Seasons!$B$2:$B$2865,"&gt;="&amp;$D26,Seasons!$M$2:$M$2865,1)=0,"none",_xlfn.MINIFS(Seasons!$B$2:$B$2865,Seasons!$A$2:$A$2865,$B26,Seasons!$B$2:$B$2865,"&gt;="&amp;$D26,Seasons!$M$2:$M$2865,1))</f>
        <v>none</v>
      </c>
      <c r="H26" s="3" t="str">
        <f aca="false">IF(COUNTIFS(Seasons!$A$2:$A$2865,$B26,Seasons!$B$2:$B$2865,"&gt;="&amp;$D26,Seasons!$N$2:$N$2865,1)=0,"none",_xlfn.MINIFS(Seasons!$B$2:$B$2865,Seasons!$A$2:$A$2865,$B26,Seasons!$B$2:$B$2865,"&gt;="&amp;$D26,Seasons!$N$2:$N$2865,1))</f>
        <v>none</v>
      </c>
      <c r="I26" s="3" t="n">
        <f aca="false">IF(ISNUMBER(E26),E26-$D26+1,"none")</f>
        <v>15</v>
      </c>
      <c r="J26" s="3" t="n">
        <f aca="false">IF(ISNUMBER(F26),F26-$D26+1,"none")</f>
        <v>19</v>
      </c>
      <c r="K26" s="3" t="str">
        <f aca="false">IF(ISNUMBER(G26),G26-$D26+1,"none")</f>
        <v>none</v>
      </c>
      <c r="L26" s="3" t="str">
        <f aca="false">IF(ISNUMBER(H26),H26-$D26+1,"none")</f>
        <v>none</v>
      </c>
    </row>
    <row r="27" customFormat="false" ht="15" hidden="false" customHeight="true" outlineLevel="0" collapsed="false">
      <c r="A27" s="3" t="s">
        <v>384</v>
      </c>
      <c r="B27" s="3" t="s">
        <v>81</v>
      </c>
      <c r="C27" s="3" t="str">
        <f aca="false">Franchise_Totals!C27</f>
        <v>Expansion</v>
      </c>
      <c r="D27" s="7" t="n">
        <v>1977</v>
      </c>
      <c r="E27" s="3" t="n">
        <f aca="false">IF(COUNTIFS(Seasons!$A$2:$A$2865,$B27,Seasons!$B$2:$B$2865,"&gt;="&amp;$D27,Seasons!$K$2:$K$2865,1)=0,"none",_xlfn.MINIFS(Seasons!$B$2:$B$2865,Seasons!$A$2:$A$2865,$B27,Seasons!$B$2:$B$2865,"&gt;="&amp;$D27,Seasons!$K$2:$K$2865,1))</f>
        <v>1983</v>
      </c>
      <c r="F27" s="3" t="n">
        <f aca="false">IF(COUNTIFS(Seasons!$A$2:$A$2865,$B27,Seasons!$B$2:$B$2865,"&gt;="&amp;$D27,Seasons!$L$2:$L$2865,1)=0,"none",_xlfn.MINIFS(Seasons!$B$2:$B$2865,Seasons!$A$2:$A$2865,$B27,Seasons!$B$2:$B$2865,"&gt;="&amp;$D27,Seasons!$L$2:$L$2865,1))</f>
        <v>1985</v>
      </c>
      <c r="G27" s="3" t="n">
        <f aca="false">IF(COUNTIFS(Seasons!$A$2:$A$2865,$B27,Seasons!$B$2:$B$2865,"&gt;="&amp;$D27,Seasons!$M$2:$M$2865,1)=0,"none",_xlfn.MINIFS(Seasons!$B$2:$B$2865,Seasons!$A$2:$A$2865,$B27,Seasons!$B$2:$B$2865,"&gt;="&amp;$D27,Seasons!$M$2:$M$2865,1))</f>
        <v>1992</v>
      </c>
      <c r="H27" s="3" t="n">
        <f aca="false">IF(COUNTIFS(Seasons!$A$2:$A$2865,$B27,Seasons!$B$2:$B$2865,"&gt;="&amp;$D27,Seasons!$N$2:$N$2865,1)=0,"none",_xlfn.MINIFS(Seasons!$B$2:$B$2865,Seasons!$A$2:$A$2865,$B27,Seasons!$B$2:$B$2865,"&gt;="&amp;$D27,Seasons!$N$2:$N$2865,1))</f>
        <v>1992</v>
      </c>
      <c r="I27" s="3" t="n">
        <f aca="false">IF(ISNUMBER(E27),E27-$D27+1,"none")</f>
        <v>7</v>
      </c>
      <c r="J27" s="3" t="n">
        <f aca="false">IF(ISNUMBER(F27),F27-$D27+1,"none")</f>
        <v>9</v>
      </c>
      <c r="K27" s="3" t="n">
        <f aca="false">IF(ISNUMBER(G27),G27-$D27+1,"none")</f>
        <v>16</v>
      </c>
      <c r="L27" s="3" t="n">
        <f aca="false">IF(ISNUMBER(H27),H27-$D27+1,"none")</f>
        <v>16</v>
      </c>
    </row>
    <row r="28" customFormat="false" ht="15" hidden="false" customHeight="true" outlineLevel="0" collapsed="false">
      <c r="A28" s="3" t="s">
        <v>385</v>
      </c>
      <c r="B28" s="3" t="s">
        <v>82</v>
      </c>
      <c r="C28" s="3" t="str">
        <f aca="false">Franchise_Totals!C28</f>
        <v>Expansion</v>
      </c>
      <c r="D28" s="7" t="n">
        <v>1993</v>
      </c>
      <c r="E28" s="3" t="n">
        <f aca="false">IF(COUNTIFS(Seasons!$A$2:$A$2865,$B28,Seasons!$B$2:$B$2865,"&gt;="&amp;$D28,Seasons!$K$2:$K$2865,1)=0,"none",_xlfn.MINIFS(Seasons!$B$2:$B$2865,Seasons!$A$2:$A$2865,$B28,Seasons!$B$2:$B$2865,"&gt;="&amp;$D28,Seasons!$K$2:$K$2865,1))</f>
        <v>1995</v>
      </c>
      <c r="F28" s="3" t="n">
        <f aca="false">IF(COUNTIFS(Seasons!$A$2:$A$2865,$B28,Seasons!$B$2:$B$2865,"&gt;="&amp;$D28,Seasons!$L$2:$L$2865,1)=0,"none",_xlfn.MINIFS(Seasons!$B$2:$B$2865,Seasons!$A$2:$A$2865,$B28,Seasons!$B$2:$B$2865,"&gt;="&amp;$D28,Seasons!$L$2:$L$2865,1))</f>
        <v>1995</v>
      </c>
      <c r="G28" s="3" t="n">
        <f aca="false">IF(COUNTIFS(Seasons!$A$2:$A$2865,$B28,Seasons!$B$2:$B$2865,"&gt;="&amp;$D28,Seasons!$M$2:$M$2865,1)=0,"none",_xlfn.MINIFS(Seasons!$B$2:$B$2865,Seasons!$A$2:$A$2865,$B28,Seasons!$B$2:$B$2865,"&gt;="&amp;$D28,Seasons!$M$2:$M$2865,1))</f>
        <v>2007</v>
      </c>
      <c r="H28" s="3" t="str">
        <f aca="false">IF(COUNTIFS(Seasons!$A$2:$A$2865,$B28,Seasons!$B$2:$B$2865,"&gt;="&amp;$D28,Seasons!$N$2:$N$2865,1)=0,"none",_xlfn.MINIFS(Seasons!$B$2:$B$2865,Seasons!$A$2:$A$2865,$B28,Seasons!$B$2:$B$2865,"&gt;="&amp;$D28,Seasons!$N$2:$N$2865,1))</f>
        <v>none</v>
      </c>
      <c r="I28" s="3" t="n">
        <f aca="false">IF(ISNUMBER(E28),E28-$D28+1,"none")</f>
        <v>3</v>
      </c>
      <c r="J28" s="3" t="n">
        <f aca="false">IF(ISNUMBER(F28),F28-$D28+1,"none")</f>
        <v>3</v>
      </c>
      <c r="K28" s="3" t="n">
        <f aca="false">IF(ISNUMBER(G28),G28-$D28+1,"none")</f>
        <v>15</v>
      </c>
      <c r="L28" s="3" t="str">
        <f aca="false">IF(ISNUMBER(H28),H28-$D28+1,"none")</f>
        <v>none</v>
      </c>
    </row>
    <row r="29" customFormat="false" ht="15" hidden="false" customHeight="true" outlineLevel="0" collapsed="false">
      <c r="A29" s="3" t="s">
        <v>387</v>
      </c>
      <c r="B29" s="3" t="s">
        <v>83</v>
      </c>
      <c r="C29" s="3" t="str">
        <f aca="false">Franchise_Totals!C29</f>
        <v>Expansion</v>
      </c>
      <c r="D29" s="7" t="n">
        <v>1993</v>
      </c>
      <c r="E29" s="3" t="n">
        <f aca="false">IF(COUNTIFS(Seasons!$A$2:$A$2865,$B29,Seasons!$B$2:$B$2865,"&gt;="&amp;$D29,Seasons!$K$2:$K$2865,1)=0,"none",_xlfn.MINIFS(Seasons!$B$2:$B$2865,Seasons!$A$2:$A$2865,$B29,Seasons!$B$2:$B$2865,"&gt;="&amp;$D29,Seasons!$K$2:$K$2865,1))</f>
        <v>1997</v>
      </c>
      <c r="F29" s="3" t="n">
        <f aca="false">IF(COUNTIFS(Seasons!$A$2:$A$2865,$B29,Seasons!$B$2:$B$2865,"&gt;="&amp;$D29,Seasons!$L$2:$L$2865,1)=0,"none",_xlfn.MINIFS(Seasons!$B$2:$B$2865,Seasons!$A$2:$A$2865,$B29,Seasons!$B$2:$B$2865,"&gt;="&amp;$D29,Seasons!$L$2:$L$2865,1))</f>
        <v>1997</v>
      </c>
      <c r="G29" s="3" t="n">
        <f aca="false">IF(COUNTIFS(Seasons!$A$2:$A$2865,$B29,Seasons!$B$2:$B$2865,"&gt;="&amp;$D29,Seasons!$M$2:$M$2865,1)=0,"none",_xlfn.MINIFS(Seasons!$B$2:$B$2865,Seasons!$A$2:$A$2865,$B29,Seasons!$B$2:$B$2865,"&gt;="&amp;$D29,Seasons!$M$2:$M$2865,1))</f>
        <v>1997</v>
      </c>
      <c r="H29" s="3" t="n">
        <f aca="false">IF(COUNTIFS(Seasons!$A$2:$A$2865,$B29,Seasons!$B$2:$B$2865,"&gt;="&amp;$D29,Seasons!$N$2:$N$2865,1)=0,"none",_xlfn.MINIFS(Seasons!$B$2:$B$2865,Seasons!$A$2:$A$2865,$B29,Seasons!$B$2:$B$2865,"&gt;="&amp;$D29,Seasons!$N$2:$N$2865,1))</f>
        <v>1997</v>
      </c>
      <c r="I29" s="3" t="n">
        <f aca="false">IF(ISNUMBER(E29),E29-$D29+1,"none")</f>
        <v>5</v>
      </c>
      <c r="J29" s="3" t="n">
        <f aca="false">IF(ISNUMBER(F29),F29-$D29+1,"none")</f>
        <v>5</v>
      </c>
      <c r="K29" s="3" t="n">
        <f aca="false">IF(ISNUMBER(G29),G29-$D29+1,"none")</f>
        <v>5</v>
      </c>
      <c r="L29" s="3" t="n">
        <f aca="false">IF(ISNUMBER(H29),H29-$D29+1,"none")</f>
        <v>5</v>
      </c>
    </row>
    <row r="30" customFormat="false" ht="15" hidden="false" customHeight="true" outlineLevel="0" collapsed="false">
      <c r="A30" s="3" t="s">
        <v>388</v>
      </c>
      <c r="B30" s="3" t="s">
        <v>84</v>
      </c>
      <c r="C30" s="3" t="str">
        <f aca="false">Franchise_Totals!C30</f>
        <v>Expansion</v>
      </c>
      <c r="D30" s="7" t="n">
        <v>1998</v>
      </c>
      <c r="E30" s="3" t="n">
        <f aca="false">IF(COUNTIFS(Seasons!$A$2:$A$2865,$B30,Seasons!$B$2:$B$2865,"&gt;="&amp;$D30,Seasons!$K$2:$K$2865,1)=0,"none",_xlfn.MINIFS(Seasons!$B$2:$B$2865,Seasons!$A$2:$A$2865,$B30,Seasons!$B$2:$B$2865,"&gt;="&amp;$D30,Seasons!$K$2:$K$2865,1))</f>
        <v>1999</v>
      </c>
      <c r="F30" s="3" t="n">
        <f aca="false">IF(COUNTIFS(Seasons!$A$2:$A$2865,$B30,Seasons!$B$2:$B$2865,"&gt;="&amp;$D30,Seasons!$L$2:$L$2865,1)=0,"none",_xlfn.MINIFS(Seasons!$B$2:$B$2865,Seasons!$A$2:$A$2865,$B30,Seasons!$B$2:$B$2865,"&gt;="&amp;$D30,Seasons!$L$2:$L$2865,1))</f>
        <v>1999</v>
      </c>
      <c r="G30" s="3" t="n">
        <f aca="false">IF(COUNTIFS(Seasons!$A$2:$A$2865,$B30,Seasons!$B$2:$B$2865,"&gt;="&amp;$D30,Seasons!$M$2:$M$2865,1)=0,"none",_xlfn.MINIFS(Seasons!$B$2:$B$2865,Seasons!$A$2:$A$2865,$B30,Seasons!$B$2:$B$2865,"&gt;="&amp;$D30,Seasons!$M$2:$M$2865,1))</f>
        <v>2001</v>
      </c>
      <c r="H30" s="3" t="n">
        <f aca="false">IF(COUNTIFS(Seasons!$A$2:$A$2865,$B30,Seasons!$B$2:$B$2865,"&gt;="&amp;$D30,Seasons!$N$2:$N$2865,1)=0,"none",_xlfn.MINIFS(Seasons!$B$2:$B$2865,Seasons!$A$2:$A$2865,$B30,Seasons!$B$2:$B$2865,"&gt;="&amp;$D30,Seasons!$N$2:$N$2865,1))</f>
        <v>2001</v>
      </c>
      <c r="I30" s="3" t="n">
        <f aca="false">IF(ISNUMBER(E30),E30-$D30+1,"none")</f>
        <v>2</v>
      </c>
      <c r="J30" s="3" t="n">
        <f aca="false">IF(ISNUMBER(F30),F30-$D30+1,"none")</f>
        <v>2</v>
      </c>
      <c r="K30" s="3" t="n">
        <f aca="false">IF(ISNUMBER(G30),G30-$D30+1,"none")</f>
        <v>4</v>
      </c>
      <c r="L30" s="3" t="n">
        <f aca="false">IF(ISNUMBER(H30),H30-$D30+1,"none")</f>
        <v>4</v>
      </c>
    </row>
    <row r="31" customFormat="false" ht="15" hidden="false" customHeight="true" outlineLevel="0" collapsed="false">
      <c r="A31" s="3" t="s">
        <v>389</v>
      </c>
      <c r="B31" s="3" t="s">
        <v>85</v>
      </c>
      <c r="C31" s="3" t="str">
        <f aca="false">Franchise_Totals!C31</f>
        <v>Expansion</v>
      </c>
      <c r="D31" s="7" t="n">
        <v>1998</v>
      </c>
      <c r="E31" s="3" t="n">
        <f aca="false">IF(COUNTIFS(Seasons!$A$2:$A$2865,$B31,Seasons!$B$2:$B$2865,"&gt;="&amp;$D31,Seasons!$K$2:$K$2865,1)=0,"none",_xlfn.MINIFS(Seasons!$B$2:$B$2865,Seasons!$A$2:$A$2865,$B31,Seasons!$B$2:$B$2865,"&gt;="&amp;$D31,Seasons!$K$2:$K$2865,1))</f>
        <v>2008</v>
      </c>
      <c r="F31" s="3" t="n">
        <f aca="false">IF(COUNTIFS(Seasons!$A$2:$A$2865,$B31,Seasons!$B$2:$B$2865,"&gt;="&amp;$D31,Seasons!$L$2:$L$2865,1)=0,"none",_xlfn.MINIFS(Seasons!$B$2:$B$2865,Seasons!$A$2:$A$2865,$B31,Seasons!$B$2:$B$2865,"&gt;="&amp;$D31,Seasons!$L$2:$L$2865,1))</f>
        <v>2008</v>
      </c>
      <c r="G31" s="3" t="n">
        <f aca="false">IF(COUNTIFS(Seasons!$A$2:$A$2865,$B31,Seasons!$B$2:$B$2865,"&gt;="&amp;$D31,Seasons!$M$2:$M$2865,1)=0,"none",_xlfn.MINIFS(Seasons!$B$2:$B$2865,Seasons!$A$2:$A$2865,$B31,Seasons!$B$2:$B$2865,"&gt;="&amp;$D31,Seasons!$M$2:$M$2865,1))</f>
        <v>2008</v>
      </c>
      <c r="H31" s="3" t="str">
        <f aca="false">IF(COUNTIFS(Seasons!$A$2:$A$2865,$B31,Seasons!$B$2:$B$2865,"&gt;="&amp;$D31,Seasons!$N$2:$N$2865,1)=0,"none",_xlfn.MINIFS(Seasons!$B$2:$B$2865,Seasons!$A$2:$A$2865,$B31,Seasons!$B$2:$B$2865,"&gt;="&amp;$D31,Seasons!$N$2:$N$2865,1))</f>
        <v>none</v>
      </c>
      <c r="I31" s="3" t="n">
        <f aca="false">IF(ISNUMBER(E31),E31-$D31+1,"none")</f>
        <v>11</v>
      </c>
      <c r="J31" s="3" t="n">
        <f aca="false">IF(ISNUMBER(F31),F31-$D31+1,"none")</f>
        <v>11</v>
      </c>
      <c r="K31" s="3" t="n">
        <f aca="false">IF(ISNUMBER(G31),G31-$D31+1,"none")</f>
        <v>11</v>
      </c>
      <c r="L31" s="3" t="str">
        <f aca="false">IF(ISNUMBER(H31),H31-$D31+1,"none")</f>
        <v>none</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86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8"/>
    <col collapsed="false" customWidth="true" hidden="false" outlineLevel="0" max="3" min="3" style="1" width="26"/>
    <col collapsed="false" customWidth="true" hidden="false" outlineLevel="0" max="5" min="4" style="1" width="6"/>
    <col collapsed="false" customWidth="true" hidden="false" outlineLevel="0" max="10" min="6" style="1" width="8"/>
    <col collapsed="false" customWidth="true" hidden="false" outlineLevel="0" max="11" min="11" style="1" width="10"/>
    <col collapsed="false" customWidth="true" hidden="false" outlineLevel="0" max="12" min="12" style="1" width="11"/>
    <col collapsed="false" customWidth="true" hidden="false" outlineLevel="0" max="14" min="13" style="1" width="9"/>
  </cols>
  <sheetData>
    <row r="1" customFormat="false" ht="23.25" hidden="false" customHeight="true" outlineLevel="0" collapsed="false">
      <c r="A1" s="4" t="s">
        <v>536</v>
      </c>
      <c r="B1" s="4" t="s">
        <v>311</v>
      </c>
      <c r="C1" s="4" t="s">
        <v>537</v>
      </c>
      <c r="D1" s="4" t="s">
        <v>313</v>
      </c>
      <c r="E1" s="4" t="s">
        <v>314</v>
      </c>
      <c r="F1" s="4" t="s">
        <v>538</v>
      </c>
      <c r="G1" s="4" t="s">
        <v>539</v>
      </c>
      <c r="H1" s="4" t="s">
        <v>540</v>
      </c>
      <c r="I1" s="4" t="s">
        <v>541</v>
      </c>
      <c r="J1" s="4" t="s">
        <v>93</v>
      </c>
      <c r="K1" s="4" t="s">
        <v>542</v>
      </c>
      <c r="L1" s="4" t="s">
        <v>543</v>
      </c>
      <c r="M1" s="4" t="s">
        <v>544</v>
      </c>
      <c r="N1" s="4" t="s">
        <v>545</v>
      </c>
    </row>
    <row r="2" customFormat="false" ht="15" hidden="false" customHeight="true" outlineLevel="0" collapsed="false">
      <c r="A2" s="7" t="s">
        <v>71</v>
      </c>
      <c r="B2" s="7" t="n">
        <v>1961</v>
      </c>
      <c r="C2" s="7" t="s">
        <v>372</v>
      </c>
      <c r="D2" s="7" t="n">
        <v>70</v>
      </c>
      <c r="E2" s="7" t="n">
        <v>91</v>
      </c>
      <c r="F2" s="7"/>
      <c r="G2" s="7"/>
      <c r="H2" s="7" t="s">
        <v>546</v>
      </c>
      <c r="I2" s="7" t="s">
        <v>546</v>
      </c>
      <c r="J2" s="21" t="n">
        <f aca="false">D2/(D2+E2)</f>
        <v>0.434782608695652</v>
      </c>
      <c r="K2" s="3" t="n">
        <f aca="false">IF(D2&gt;E2,1,0)</f>
        <v>0</v>
      </c>
      <c r="L2" s="3" t="n">
        <f aca="false">IF(OR(F2="Y",G2="Y",H2="Y"),1,0)</f>
        <v>0</v>
      </c>
      <c r="M2" s="3" t="n">
        <f aca="false">IF(H2="Y",1,0)</f>
        <v>0</v>
      </c>
      <c r="N2" s="3" t="n">
        <f aca="false">IF(I2="Y",1,0)</f>
        <v>0</v>
      </c>
    </row>
    <row r="3" customFormat="false" ht="15" hidden="false" customHeight="true" outlineLevel="0" collapsed="false">
      <c r="A3" s="7" t="s">
        <v>71</v>
      </c>
      <c r="B3" s="7" t="n">
        <v>1962</v>
      </c>
      <c r="C3" s="7" t="s">
        <v>372</v>
      </c>
      <c r="D3" s="7" t="n">
        <v>86</v>
      </c>
      <c r="E3" s="7" t="n">
        <v>76</v>
      </c>
      <c r="F3" s="7"/>
      <c r="G3" s="7"/>
      <c r="H3" s="7" t="s">
        <v>546</v>
      </c>
      <c r="I3" s="7" t="s">
        <v>546</v>
      </c>
      <c r="J3" s="21" t="n">
        <f aca="false">D3/(D3+E3)</f>
        <v>0.530864197530864</v>
      </c>
      <c r="K3" s="3" t="n">
        <f aca="false">IF(D3&gt;E3,1,0)</f>
        <v>1</v>
      </c>
      <c r="L3" s="3" t="n">
        <f aca="false">IF(OR(F3="Y",G3="Y",H3="Y"),1,0)</f>
        <v>0</v>
      </c>
      <c r="M3" s="3" t="n">
        <f aca="false">IF(H3="Y",1,0)</f>
        <v>0</v>
      </c>
      <c r="N3" s="3" t="n">
        <f aca="false">IF(I3="Y",1,0)</f>
        <v>0</v>
      </c>
    </row>
    <row r="4" customFormat="false" ht="15" hidden="false" customHeight="true" outlineLevel="0" collapsed="false">
      <c r="A4" s="7" t="s">
        <v>71</v>
      </c>
      <c r="B4" s="7" t="n">
        <v>1963</v>
      </c>
      <c r="C4" s="7" t="s">
        <v>372</v>
      </c>
      <c r="D4" s="7" t="n">
        <v>70</v>
      </c>
      <c r="E4" s="7" t="n">
        <v>91</v>
      </c>
      <c r="F4" s="7"/>
      <c r="G4" s="7"/>
      <c r="H4" s="7" t="s">
        <v>546</v>
      </c>
      <c r="I4" s="7" t="s">
        <v>546</v>
      </c>
      <c r="J4" s="21" t="n">
        <f aca="false">D4/(D4+E4)</f>
        <v>0.434782608695652</v>
      </c>
      <c r="K4" s="3" t="n">
        <f aca="false">IF(D4&gt;E4,1,0)</f>
        <v>0</v>
      </c>
      <c r="L4" s="3" t="n">
        <f aca="false">IF(OR(F4="Y",G4="Y",H4="Y"),1,0)</f>
        <v>0</v>
      </c>
      <c r="M4" s="3" t="n">
        <f aca="false">IF(H4="Y",1,0)</f>
        <v>0</v>
      </c>
      <c r="N4" s="3" t="n">
        <f aca="false">IF(I4="Y",1,0)</f>
        <v>0</v>
      </c>
    </row>
    <row r="5" customFormat="false" ht="15" hidden="false" customHeight="true" outlineLevel="0" collapsed="false">
      <c r="A5" s="7" t="s">
        <v>71</v>
      </c>
      <c r="B5" s="7" t="n">
        <v>1964</v>
      </c>
      <c r="C5" s="7" t="s">
        <v>372</v>
      </c>
      <c r="D5" s="7" t="n">
        <v>82</v>
      </c>
      <c r="E5" s="7" t="n">
        <v>80</v>
      </c>
      <c r="F5" s="7"/>
      <c r="G5" s="7"/>
      <c r="H5" s="7" t="s">
        <v>546</v>
      </c>
      <c r="I5" s="7" t="s">
        <v>546</v>
      </c>
      <c r="J5" s="21" t="n">
        <f aca="false">D5/(D5+E5)</f>
        <v>0.506172839506173</v>
      </c>
      <c r="K5" s="3" t="n">
        <f aca="false">IF(D5&gt;E5,1,0)</f>
        <v>1</v>
      </c>
      <c r="L5" s="3" t="n">
        <f aca="false">IF(OR(F5="Y",G5="Y",H5="Y"),1,0)</f>
        <v>0</v>
      </c>
      <c r="M5" s="3" t="n">
        <f aca="false">IF(H5="Y",1,0)</f>
        <v>0</v>
      </c>
      <c r="N5" s="3" t="n">
        <f aca="false">IF(I5="Y",1,0)</f>
        <v>0</v>
      </c>
    </row>
    <row r="6" customFormat="false" ht="15" hidden="false" customHeight="true" outlineLevel="0" collapsed="false">
      <c r="A6" s="7" t="s">
        <v>71</v>
      </c>
      <c r="B6" s="7" t="n">
        <v>1965</v>
      </c>
      <c r="C6" s="7" t="s">
        <v>547</v>
      </c>
      <c r="D6" s="7" t="n">
        <v>75</v>
      </c>
      <c r="E6" s="7" t="n">
        <v>87</v>
      </c>
      <c r="F6" s="7"/>
      <c r="G6" s="7"/>
      <c r="H6" s="7" t="s">
        <v>546</v>
      </c>
      <c r="I6" s="7" t="s">
        <v>546</v>
      </c>
      <c r="J6" s="21" t="n">
        <f aca="false">D6/(D6+E6)</f>
        <v>0.462962962962963</v>
      </c>
      <c r="K6" s="3" t="n">
        <f aca="false">IF(D6&gt;E6,1,0)</f>
        <v>0</v>
      </c>
      <c r="L6" s="3" t="n">
        <f aca="false">IF(OR(F6="Y",G6="Y",H6="Y"),1,0)</f>
        <v>0</v>
      </c>
      <c r="M6" s="3" t="n">
        <f aca="false">IF(H6="Y",1,0)</f>
        <v>0</v>
      </c>
      <c r="N6" s="3" t="n">
        <f aca="false">IF(I6="Y",1,0)</f>
        <v>0</v>
      </c>
    </row>
    <row r="7" customFormat="false" ht="15" hidden="false" customHeight="true" outlineLevel="0" collapsed="false">
      <c r="A7" s="7" t="s">
        <v>71</v>
      </c>
      <c r="B7" s="7" t="n">
        <v>1966</v>
      </c>
      <c r="C7" s="7" t="s">
        <v>547</v>
      </c>
      <c r="D7" s="7" t="n">
        <v>80</v>
      </c>
      <c r="E7" s="7" t="n">
        <v>82</v>
      </c>
      <c r="F7" s="7"/>
      <c r="G7" s="7"/>
      <c r="H7" s="7" t="s">
        <v>546</v>
      </c>
      <c r="I7" s="7" t="s">
        <v>546</v>
      </c>
      <c r="J7" s="21" t="n">
        <f aca="false">D7/(D7+E7)</f>
        <v>0.493827160493827</v>
      </c>
      <c r="K7" s="3" t="n">
        <f aca="false">IF(D7&gt;E7,1,0)</f>
        <v>0</v>
      </c>
      <c r="L7" s="3" t="n">
        <f aca="false">IF(OR(F7="Y",G7="Y",H7="Y"),1,0)</f>
        <v>0</v>
      </c>
      <c r="M7" s="3" t="n">
        <f aca="false">IF(H7="Y",1,0)</f>
        <v>0</v>
      </c>
      <c r="N7" s="3" t="n">
        <f aca="false">IF(I7="Y",1,0)</f>
        <v>0</v>
      </c>
    </row>
    <row r="8" customFormat="false" ht="15" hidden="false" customHeight="true" outlineLevel="0" collapsed="false">
      <c r="A8" s="7" t="s">
        <v>71</v>
      </c>
      <c r="B8" s="7" t="n">
        <v>1967</v>
      </c>
      <c r="C8" s="7" t="s">
        <v>547</v>
      </c>
      <c r="D8" s="7" t="n">
        <v>84</v>
      </c>
      <c r="E8" s="7" t="n">
        <v>77</v>
      </c>
      <c r="F8" s="7"/>
      <c r="G8" s="7"/>
      <c r="H8" s="7" t="s">
        <v>546</v>
      </c>
      <c r="I8" s="7" t="s">
        <v>546</v>
      </c>
      <c r="J8" s="21" t="n">
        <f aca="false">D8/(D8+E8)</f>
        <v>0.521739130434783</v>
      </c>
      <c r="K8" s="3" t="n">
        <f aca="false">IF(D8&gt;E8,1,0)</f>
        <v>1</v>
      </c>
      <c r="L8" s="3" t="n">
        <f aca="false">IF(OR(F8="Y",G8="Y",H8="Y"),1,0)</f>
        <v>0</v>
      </c>
      <c r="M8" s="3" t="n">
        <f aca="false">IF(H8="Y",1,0)</f>
        <v>0</v>
      </c>
      <c r="N8" s="3" t="n">
        <f aca="false">IF(I8="Y",1,0)</f>
        <v>0</v>
      </c>
    </row>
    <row r="9" customFormat="false" ht="15" hidden="false" customHeight="true" outlineLevel="0" collapsed="false">
      <c r="A9" s="7" t="s">
        <v>71</v>
      </c>
      <c r="B9" s="7" t="n">
        <v>1968</v>
      </c>
      <c r="C9" s="7" t="s">
        <v>547</v>
      </c>
      <c r="D9" s="7" t="n">
        <v>67</v>
      </c>
      <c r="E9" s="7" t="n">
        <v>95</v>
      </c>
      <c r="F9" s="7"/>
      <c r="G9" s="7"/>
      <c r="H9" s="7" t="s">
        <v>546</v>
      </c>
      <c r="I9" s="7" t="s">
        <v>546</v>
      </c>
      <c r="J9" s="21" t="n">
        <f aca="false">D9/(D9+E9)</f>
        <v>0.41358024691358</v>
      </c>
      <c r="K9" s="3" t="n">
        <f aca="false">IF(D9&gt;E9,1,0)</f>
        <v>0</v>
      </c>
      <c r="L9" s="3" t="n">
        <f aca="false">IF(OR(F9="Y",G9="Y",H9="Y"),1,0)</f>
        <v>0</v>
      </c>
      <c r="M9" s="3" t="n">
        <f aca="false">IF(H9="Y",1,0)</f>
        <v>0</v>
      </c>
      <c r="N9" s="3" t="n">
        <f aca="false">IF(I9="Y",1,0)</f>
        <v>0</v>
      </c>
    </row>
    <row r="10" customFormat="false" ht="15" hidden="false" customHeight="true" outlineLevel="0" collapsed="false">
      <c r="A10" s="7" t="s">
        <v>71</v>
      </c>
      <c r="B10" s="7" t="n">
        <v>1969</v>
      </c>
      <c r="C10" s="7" t="s">
        <v>547</v>
      </c>
      <c r="D10" s="7" t="n">
        <v>71</v>
      </c>
      <c r="E10" s="7" t="n">
        <v>91</v>
      </c>
      <c r="F10" s="7" t="s">
        <v>546</v>
      </c>
      <c r="G10" s="7"/>
      <c r="H10" s="7" t="s">
        <v>546</v>
      </c>
      <c r="I10" s="7" t="s">
        <v>546</v>
      </c>
      <c r="J10" s="21" t="n">
        <f aca="false">D10/(D10+E10)</f>
        <v>0.438271604938272</v>
      </c>
      <c r="K10" s="3" t="n">
        <f aca="false">IF(D10&gt;E10,1,0)</f>
        <v>0</v>
      </c>
      <c r="L10" s="3" t="n">
        <f aca="false">IF(OR(F10="Y",G10="Y",H10="Y"),1,0)</f>
        <v>0</v>
      </c>
      <c r="M10" s="3" t="n">
        <f aca="false">IF(H10="Y",1,0)</f>
        <v>0</v>
      </c>
      <c r="N10" s="3" t="n">
        <f aca="false">IF(I10="Y",1,0)</f>
        <v>0</v>
      </c>
    </row>
    <row r="11" customFormat="false" ht="15" hidden="false" customHeight="true" outlineLevel="0" collapsed="false">
      <c r="A11" s="7" t="s">
        <v>71</v>
      </c>
      <c r="B11" s="7" t="n">
        <v>1970</v>
      </c>
      <c r="C11" s="7" t="s">
        <v>547</v>
      </c>
      <c r="D11" s="7" t="n">
        <v>86</v>
      </c>
      <c r="E11" s="7" t="n">
        <v>76</v>
      </c>
      <c r="F11" s="7" t="s">
        <v>546</v>
      </c>
      <c r="G11" s="7"/>
      <c r="H11" s="7" t="s">
        <v>546</v>
      </c>
      <c r="I11" s="7" t="s">
        <v>546</v>
      </c>
      <c r="J11" s="21" t="n">
        <f aca="false">D11/(D11+E11)</f>
        <v>0.530864197530864</v>
      </c>
      <c r="K11" s="3" t="n">
        <f aca="false">IF(D11&gt;E11,1,0)</f>
        <v>1</v>
      </c>
      <c r="L11" s="3" t="n">
        <f aca="false">IF(OR(F11="Y",G11="Y",H11="Y"),1,0)</f>
        <v>0</v>
      </c>
      <c r="M11" s="3" t="n">
        <f aca="false">IF(H11="Y",1,0)</f>
        <v>0</v>
      </c>
      <c r="N11" s="3" t="n">
        <f aca="false">IF(I11="Y",1,0)</f>
        <v>0</v>
      </c>
    </row>
    <row r="12" customFormat="false" ht="15" hidden="false" customHeight="true" outlineLevel="0" collapsed="false">
      <c r="A12" s="7" t="s">
        <v>71</v>
      </c>
      <c r="B12" s="7" t="n">
        <v>1971</v>
      </c>
      <c r="C12" s="7" t="s">
        <v>547</v>
      </c>
      <c r="D12" s="7" t="n">
        <v>76</v>
      </c>
      <c r="E12" s="7" t="n">
        <v>86</v>
      </c>
      <c r="F12" s="7" t="s">
        <v>546</v>
      </c>
      <c r="G12" s="7"/>
      <c r="H12" s="7" t="s">
        <v>546</v>
      </c>
      <c r="I12" s="7" t="s">
        <v>546</v>
      </c>
      <c r="J12" s="21" t="n">
        <f aca="false">D12/(D12+E12)</f>
        <v>0.469135802469136</v>
      </c>
      <c r="K12" s="3" t="n">
        <f aca="false">IF(D12&gt;E12,1,0)</f>
        <v>0</v>
      </c>
      <c r="L12" s="3" t="n">
        <f aca="false">IF(OR(F12="Y",G12="Y",H12="Y"),1,0)</f>
        <v>0</v>
      </c>
      <c r="M12" s="3" t="n">
        <f aca="false">IF(H12="Y",1,0)</f>
        <v>0</v>
      </c>
      <c r="N12" s="3" t="n">
        <f aca="false">IF(I12="Y",1,0)</f>
        <v>0</v>
      </c>
    </row>
    <row r="13" customFormat="false" ht="15" hidden="false" customHeight="true" outlineLevel="0" collapsed="false">
      <c r="A13" s="7" t="s">
        <v>71</v>
      </c>
      <c r="B13" s="7" t="n">
        <v>1972</v>
      </c>
      <c r="C13" s="7" t="s">
        <v>547</v>
      </c>
      <c r="D13" s="7" t="n">
        <v>75</v>
      </c>
      <c r="E13" s="7" t="n">
        <v>80</v>
      </c>
      <c r="F13" s="7" t="s">
        <v>546</v>
      </c>
      <c r="G13" s="7"/>
      <c r="H13" s="7" t="s">
        <v>546</v>
      </c>
      <c r="I13" s="7" t="s">
        <v>546</v>
      </c>
      <c r="J13" s="21" t="n">
        <f aca="false">D13/(D13+E13)</f>
        <v>0.483870967741936</v>
      </c>
      <c r="K13" s="3" t="n">
        <f aca="false">IF(D13&gt;E13,1,0)</f>
        <v>0</v>
      </c>
      <c r="L13" s="3" t="n">
        <f aca="false">IF(OR(F13="Y",G13="Y",H13="Y"),1,0)</f>
        <v>0</v>
      </c>
      <c r="M13" s="3" t="n">
        <f aca="false">IF(H13="Y",1,0)</f>
        <v>0</v>
      </c>
      <c r="N13" s="3" t="n">
        <f aca="false">IF(I13="Y",1,0)</f>
        <v>0</v>
      </c>
    </row>
    <row r="14" customFormat="false" ht="15" hidden="false" customHeight="true" outlineLevel="0" collapsed="false">
      <c r="A14" s="7" t="s">
        <v>71</v>
      </c>
      <c r="B14" s="7" t="n">
        <v>1973</v>
      </c>
      <c r="C14" s="7" t="s">
        <v>547</v>
      </c>
      <c r="D14" s="7" t="n">
        <v>79</v>
      </c>
      <c r="E14" s="7" t="n">
        <v>83</v>
      </c>
      <c r="F14" s="7" t="s">
        <v>546</v>
      </c>
      <c r="G14" s="7"/>
      <c r="H14" s="7" t="s">
        <v>546</v>
      </c>
      <c r="I14" s="7" t="s">
        <v>546</v>
      </c>
      <c r="J14" s="21" t="n">
        <f aca="false">D14/(D14+E14)</f>
        <v>0.487654320987654</v>
      </c>
      <c r="K14" s="3" t="n">
        <f aca="false">IF(D14&gt;E14,1,0)</f>
        <v>0</v>
      </c>
      <c r="L14" s="3" t="n">
        <f aca="false">IF(OR(F14="Y",G14="Y",H14="Y"),1,0)</f>
        <v>0</v>
      </c>
      <c r="M14" s="3" t="n">
        <f aca="false">IF(H14="Y",1,0)</f>
        <v>0</v>
      </c>
      <c r="N14" s="3" t="n">
        <f aca="false">IF(I14="Y",1,0)</f>
        <v>0</v>
      </c>
    </row>
    <row r="15" customFormat="false" ht="15" hidden="false" customHeight="true" outlineLevel="0" collapsed="false">
      <c r="A15" s="7" t="s">
        <v>71</v>
      </c>
      <c r="B15" s="7" t="n">
        <v>1974</v>
      </c>
      <c r="C15" s="7" t="s">
        <v>547</v>
      </c>
      <c r="D15" s="7" t="n">
        <v>68</v>
      </c>
      <c r="E15" s="7" t="n">
        <v>94</v>
      </c>
      <c r="F15" s="7" t="s">
        <v>546</v>
      </c>
      <c r="G15" s="7"/>
      <c r="H15" s="7" t="s">
        <v>546</v>
      </c>
      <c r="I15" s="7" t="s">
        <v>546</v>
      </c>
      <c r="J15" s="21" t="n">
        <f aca="false">D15/(D15+E15)</f>
        <v>0.419753086419753</v>
      </c>
      <c r="K15" s="3" t="n">
        <f aca="false">IF(D15&gt;E15,1,0)</f>
        <v>0</v>
      </c>
      <c r="L15" s="3" t="n">
        <f aca="false">IF(OR(F15="Y",G15="Y",H15="Y"),1,0)</f>
        <v>0</v>
      </c>
      <c r="M15" s="3" t="n">
        <f aca="false">IF(H15="Y",1,0)</f>
        <v>0</v>
      </c>
      <c r="N15" s="3" t="n">
        <f aca="false">IF(I15="Y",1,0)</f>
        <v>0</v>
      </c>
    </row>
    <row r="16" customFormat="false" ht="15" hidden="false" customHeight="true" outlineLevel="0" collapsed="false">
      <c r="A16" s="7" t="s">
        <v>71</v>
      </c>
      <c r="B16" s="7" t="n">
        <v>1975</v>
      </c>
      <c r="C16" s="7" t="s">
        <v>547</v>
      </c>
      <c r="D16" s="7" t="n">
        <v>72</v>
      </c>
      <c r="E16" s="7" t="n">
        <v>89</v>
      </c>
      <c r="F16" s="7" t="s">
        <v>546</v>
      </c>
      <c r="G16" s="7"/>
      <c r="H16" s="7" t="s">
        <v>546</v>
      </c>
      <c r="I16" s="7" t="s">
        <v>546</v>
      </c>
      <c r="J16" s="21" t="n">
        <f aca="false">D16/(D16+E16)</f>
        <v>0.447204968944099</v>
      </c>
      <c r="K16" s="3" t="n">
        <f aca="false">IF(D16&gt;E16,1,0)</f>
        <v>0</v>
      </c>
      <c r="L16" s="3" t="n">
        <f aca="false">IF(OR(F16="Y",G16="Y",H16="Y"),1,0)</f>
        <v>0</v>
      </c>
      <c r="M16" s="3" t="n">
        <f aca="false">IF(H16="Y",1,0)</f>
        <v>0</v>
      </c>
      <c r="N16" s="3" t="n">
        <f aca="false">IF(I16="Y",1,0)</f>
        <v>0</v>
      </c>
    </row>
    <row r="17" customFormat="false" ht="15" hidden="false" customHeight="true" outlineLevel="0" collapsed="false">
      <c r="A17" s="7" t="s">
        <v>71</v>
      </c>
      <c r="B17" s="7" t="n">
        <v>1976</v>
      </c>
      <c r="C17" s="7" t="s">
        <v>547</v>
      </c>
      <c r="D17" s="7" t="n">
        <v>76</v>
      </c>
      <c r="E17" s="7" t="n">
        <v>86</v>
      </c>
      <c r="F17" s="7" t="s">
        <v>546</v>
      </c>
      <c r="G17" s="7"/>
      <c r="H17" s="7" t="s">
        <v>546</v>
      </c>
      <c r="I17" s="7" t="s">
        <v>546</v>
      </c>
      <c r="J17" s="21" t="n">
        <f aca="false">D17/(D17+E17)</f>
        <v>0.469135802469136</v>
      </c>
      <c r="K17" s="3" t="n">
        <f aca="false">IF(D17&gt;E17,1,0)</f>
        <v>0</v>
      </c>
      <c r="L17" s="3" t="n">
        <f aca="false">IF(OR(F17="Y",G17="Y",H17="Y"),1,0)</f>
        <v>0</v>
      </c>
      <c r="M17" s="3" t="n">
        <f aca="false">IF(H17="Y",1,0)</f>
        <v>0</v>
      </c>
      <c r="N17" s="3" t="n">
        <f aca="false">IF(I17="Y",1,0)</f>
        <v>0</v>
      </c>
    </row>
    <row r="18" customFormat="false" ht="15" hidden="false" customHeight="true" outlineLevel="0" collapsed="false">
      <c r="A18" s="7" t="s">
        <v>71</v>
      </c>
      <c r="B18" s="7" t="n">
        <v>1977</v>
      </c>
      <c r="C18" s="7" t="s">
        <v>547</v>
      </c>
      <c r="D18" s="7" t="n">
        <v>74</v>
      </c>
      <c r="E18" s="7" t="n">
        <v>88</v>
      </c>
      <c r="F18" s="7" t="s">
        <v>546</v>
      </c>
      <c r="G18" s="7"/>
      <c r="H18" s="7" t="s">
        <v>546</v>
      </c>
      <c r="I18" s="7" t="s">
        <v>546</v>
      </c>
      <c r="J18" s="21" t="n">
        <f aca="false">D18/(D18+E18)</f>
        <v>0.45679012345679</v>
      </c>
      <c r="K18" s="3" t="n">
        <f aca="false">IF(D18&gt;E18,1,0)</f>
        <v>0</v>
      </c>
      <c r="L18" s="3" t="n">
        <f aca="false">IF(OR(F18="Y",G18="Y",H18="Y"),1,0)</f>
        <v>0</v>
      </c>
      <c r="M18" s="3" t="n">
        <f aca="false">IF(H18="Y",1,0)</f>
        <v>0</v>
      </c>
      <c r="N18" s="3" t="n">
        <f aca="false">IF(I18="Y",1,0)</f>
        <v>0</v>
      </c>
    </row>
    <row r="19" customFormat="false" ht="15" hidden="false" customHeight="true" outlineLevel="0" collapsed="false">
      <c r="A19" s="7" t="s">
        <v>71</v>
      </c>
      <c r="B19" s="7" t="n">
        <v>1978</v>
      </c>
      <c r="C19" s="7" t="s">
        <v>547</v>
      </c>
      <c r="D19" s="7" t="n">
        <v>87</v>
      </c>
      <c r="E19" s="7" t="n">
        <v>75</v>
      </c>
      <c r="F19" s="7" t="s">
        <v>546</v>
      </c>
      <c r="G19" s="7"/>
      <c r="H19" s="7" t="s">
        <v>546</v>
      </c>
      <c r="I19" s="7" t="s">
        <v>546</v>
      </c>
      <c r="J19" s="21" t="n">
        <f aca="false">D19/(D19+E19)</f>
        <v>0.537037037037037</v>
      </c>
      <c r="K19" s="3" t="n">
        <f aca="false">IF(D19&gt;E19,1,0)</f>
        <v>1</v>
      </c>
      <c r="L19" s="3" t="n">
        <f aca="false">IF(OR(F19="Y",G19="Y",H19="Y"),1,0)</f>
        <v>0</v>
      </c>
      <c r="M19" s="3" t="n">
        <f aca="false">IF(H19="Y",1,0)</f>
        <v>0</v>
      </c>
      <c r="N19" s="3" t="n">
        <f aca="false">IF(I19="Y",1,0)</f>
        <v>0</v>
      </c>
    </row>
    <row r="20" customFormat="false" ht="15" hidden="false" customHeight="true" outlineLevel="0" collapsed="false">
      <c r="A20" s="7" t="s">
        <v>71</v>
      </c>
      <c r="B20" s="7" t="n">
        <v>1979</v>
      </c>
      <c r="C20" s="7" t="s">
        <v>547</v>
      </c>
      <c r="D20" s="7" t="n">
        <v>88</v>
      </c>
      <c r="E20" s="7" t="n">
        <v>74</v>
      </c>
      <c r="F20" s="7" t="s">
        <v>548</v>
      </c>
      <c r="G20" s="7"/>
      <c r="H20" s="7" t="s">
        <v>546</v>
      </c>
      <c r="I20" s="7" t="s">
        <v>546</v>
      </c>
      <c r="J20" s="21" t="n">
        <f aca="false">D20/(D20+E20)</f>
        <v>0.54320987654321</v>
      </c>
      <c r="K20" s="3" t="n">
        <f aca="false">IF(D20&gt;E20,1,0)</f>
        <v>1</v>
      </c>
      <c r="L20" s="3" t="n">
        <f aca="false">IF(OR(F20="Y",G20="Y",H20="Y"),1,0)</f>
        <v>1</v>
      </c>
      <c r="M20" s="3" t="n">
        <f aca="false">IF(H20="Y",1,0)</f>
        <v>0</v>
      </c>
      <c r="N20" s="3" t="n">
        <f aca="false">IF(I20="Y",1,0)</f>
        <v>0</v>
      </c>
    </row>
    <row r="21" customFormat="false" ht="15" hidden="false" customHeight="true" outlineLevel="0" collapsed="false">
      <c r="A21" s="7" t="s">
        <v>71</v>
      </c>
      <c r="B21" s="7" t="n">
        <v>1980</v>
      </c>
      <c r="C21" s="7" t="s">
        <v>547</v>
      </c>
      <c r="D21" s="7" t="n">
        <v>65</v>
      </c>
      <c r="E21" s="7" t="n">
        <v>95</v>
      </c>
      <c r="F21" s="7" t="s">
        <v>546</v>
      </c>
      <c r="G21" s="7"/>
      <c r="H21" s="7" t="s">
        <v>546</v>
      </c>
      <c r="I21" s="7" t="s">
        <v>546</v>
      </c>
      <c r="J21" s="21" t="n">
        <f aca="false">D21/(D21+E21)</f>
        <v>0.40625</v>
      </c>
      <c r="K21" s="3" t="n">
        <f aca="false">IF(D21&gt;E21,1,0)</f>
        <v>0</v>
      </c>
      <c r="L21" s="3" t="n">
        <f aca="false">IF(OR(F21="Y",G21="Y",H21="Y"),1,0)</f>
        <v>0</v>
      </c>
      <c r="M21" s="3" t="n">
        <f aca="false">IF(H21="Y",1,0)</f>
        <v>0</v>
      </c>
      <c r="N21" s="3" t="n">
        <f aca="false">IF(I21="Y",1,0)</f>
        <v>0</v>
      </c>
    </row>
    <row r="22" customFormat="false" ht="15" hidden="false" customHeight="true" outlineLevel="0" collapsed="false">
      <c r="A22" s="7" t="s">
        <v>71</v>
      </c>
      <c r="B22" s="7" t="n">
        <v>1981</v>
      </c>
      <c r="C22" s="7" t="s">
        <v>547</v>
      </c>
      <c r="D22" s="7" t="n">
        <v>51</v>
      </c>
      <c r="E22" s="7" t="n">
        <v>59</v>
      </c>
      <c r="F22" s="7" t="s">
        <v>546</v>
      </c>
      <c r="G22" s="7"/>
      <c r="H22" s="7" t="s">
        <v>546</v>
      </c>
      <c r="I22" s="7" t="s">
        <v>546</v>
      </c>
      <c r="J22" s="21" t="n">
        <f aca="false">D22/(D22+E22)</f>
        <v>0.463636363636364</v>
      </c>
      <c r="K22" s="3" t="n">
        <f aca="false">IF(D22&gt;E22,1,0)</f>
        <v>0</v>
      </c>
      <c r="L22" s="3" t="n">
        <f aca="false">IF(OR(F22="Y",G22="Y",H22="Y"),1,0)</f>
        <v>0</v>
      </c>
      <c r="M22" s="3" t="n">
        <f aca="false">IF(H22="Y",1,0)</f>
        <v>0</v>
      </c>
      <c r="N22" s="3" t="n">
        <f aca="false">IF(I22="Y",1,0)</f>
        <v>0</v>
      </c>
    </row>
    <row r="23" customFormat="false" ht="15" hidden="false" customHeight="true" outlineLevel="0" collapsed="false">
      <c r="A23" s="7" t="s">
        <v>71</v>
      </c>
      <c r="B23" s="7" t="n">
        <v>1982</v>
      </c>
      <c r="C23" s="7" t="s">
        <v>547</v>
      </c>
      <c r="D23" s="7" t="n">
        <v>93</v>
      </c>
      <c r="E23" s="7" t="n">
        <v>69</v>
      </c>
      <c r="F23" s="7" t="s">
        <v>548</v>
      </c>
      <c r="G23" s="7"/>
      <c r="H23" s="7" t="s">
        <v>546</v>
      </c>
      <c r="I23" s="7" t="s">
        <v>546</v>
      </c>
      <c r="J23" s="21" t="n">
        <f aca="false">D23/(D23+E23)</f>
        <v>0.574074074074074</v>
      </c>
      <c r="K23" s="3" t="n">
        <f aca="false">IF(D23&gt;E23,1,0)</f>
        <v>1</v>
      </c>
      <c r="L23" s="3" t="n">
        <f aca="false">IF(OR(F23="Y",G23="Y",H23="Y"),1,0)</f>
        <v>1</v>
      </c>
      <c r="M23" s="3" t="n">
        <f aca="false">IF(H23="Y",1,0)</f>
        <v>0</v>
      </c>
      <c r="N23" s="3" t="n">
        <f aca="false">IF(I23="Y",1,0)</f>
        <v>0</v>
      </c>
    </row>
    <row r="24" customFormat="false" ht="15" hidden="false" customHeight="true" outlineLevel="0" collapsed="false">
      <c r="A24" s="7" t="s">
        <v>71</v>
      </c>
      <c r="B24" s="7" t="n">
        <v>1983</v>
      </c>
      <c r="C24" s="7" t="s">
        <v>547</v>
      </c>
      <c r="D24" s="7" t="n">
        <v>70</v>
      </c>
      <c r="E24" s="7" t="n">
        <v>92</v>
      </c>
      <c r="F24" s="7" t="s">
        <v>546</v>
      </c>
      <c r="G24" s="7"/>
      <c r="H24" s="7" t="s">
        <v>546</v>
      </c>
      <c r="I24" s="7" t="s">
        <v>546</v>
      </c>
      <c r="J24" s="21" t="n">
        <f aca="false">D24/(D24+E24)</f>
        <v>0.432098765432099</v>
      </c>
      <c r="K24" s="3" t="n">
        <f aca="false">IF(D24&gt;E24,1,0)</f>
        <v>0</v>
      </c>
      <c r="L24" s="3" t="n">
        <f aca="false">IF(OR(F24="Y",G24="Y",H24="Y"),1,0)</f>
        <v>0</v>
      </c>
      <c r="M24" s="3" t="n">
        <f aca="false">IF(H24="Y",1,0)</f>
        <v>0</v>
      </c>
      <c r="N24" s="3" t="n">
        <f aca="false">IF(I24="Y",1,0)</f>
        <v>0</v>
      </c>
    </row>
    <row r="25" customFormat="false" ht="15" hidden="false" customHeight="true" outlineLevel="0" collapsed="false">
      <c r="A25" s="7" t="s">
        <v>71</v>
      </c>
      <c r="B25" s="7" t="n">
        <v>1984</v>
      </c>
      <c r="C25" s="7" t="s">
        <v>547</v>
      </c>
      <c r="D25" s="7" t="n">
        <v>81</v>
      </c>
      <c r="E25" s="7" t="n">
        <v>81</v>
      </c>
      <c r="F25" s="7" t="s">
        <v>546</v>
      </c>
      <c r="G25" s="7"/>
      <c r="H25" s="7" t="s">
        <v>546</v>
      </c>
      <c r="I25" s="7" t="s">
        <v>546</v>
      </c>
      <c r="J25" s="21" t="n">
        <f aca="false">D25/(D25+E25)</f>
        <v>0.5</v>
      </c>
      <c r="K25" s="3" t="n">
        <f aca="false">IF(D25&gt;E25,1,0)</f>
        <v>0</v>
      </c>
      <c r="L25" s="3" t="n">
        <f aca="false">IF(OR(F25="Y",G25="Y",H25="Y"),1,0)</f>
        <v>0</v>
      </c>
      <c r="M25" s="3" t="n">
        <f aca="false">IF(H25="Y",1,0)</f>
        <v>0</v>
      </c>
      <c r="N25" s="3" t="n">
        <f aca="false">IF(I25="Y",1,0)</f>
        <v>0</v>
      </c>
    </row>
    <row r="26" customFormat="false" ht="15" hidden="false" customHeight="true" outlineLevel="0" collapsed="false">
      <c r="A26" s="7" t="s">
        <v>71</v>
      </c>
      <c r="B26" s="7" t="n">
        <v>1985</v>
      </c>
      <c r="C26" s="7" t="s">
        <v>547</v>
      </c>
      <c r="D26" s="7" t="n">
        <v>90</v>
      </c>
      <c r="E26" s="7" t="n">
        <v>72</v>
      </c>
      <c r="F26" s="7" t="s">
        <v>546</v>
      </c>
      <c r="G26" s="7"/>
      <c r="H26" s="7" t="s">
        <v>546</v>
      </c>
      <c r="I26" s="7" t="s">
        <v>546</v>
      </c>
      <c r="J26" s="21" t="n">
        <f aca="false">D26/(D26+E26)</f>
        <v>0.555555555555556</v>
      </c>
      <c r="K26" s="3" t="n">
        <f aca="false">IF(D26&gt;E26,1,0)</f>
        <v>1</v>
      </c>
      <c r="L26" s="3" t="n">
        <f aca="false">IF(OR(F26="Y",G26="Y",H26="Y"),1,0)</f>
        <v>0</v>
      </c>
      <c r="M26" s="3" t="n">
        <f aca="false">IF(H26="Y",1,0)</f>
        <v>0</v>
      </c>
      <c r="N26" s="3" t="n">
        <f aca="false">IF(I26="Y",1,0)</f>
        <v>0</v>
      </c>
    </row>
    <row r="27" customFormat="false" ht="15" hidden="false" customHeight="true" outlineLevel="0" collapsed="false">
      <c r="A27" s="7" t="s">
        <v>71</v>
      </c>
      <c r="B27" s="7" t="n">
        <v>1986</v>
      </c>
      <c r="C27" s="7" t="s">
        <v>547</v>
      </c>
      <c r="D27" s="7" t="n">
        <v>92</v>
      </c>
      <c r="E27" s="7" t="n">
        <v>70</v>
      </c>
      <c r="F27" s="7" t="s">
        <v>548</v>
      </c>
      <c r="G27" s="7"/>
      <c r="H27" s="7" t="s">
        <v>546</v>
      </c>
      <c r="I27" s="7" t="s">
        <v>546</v>
      </c>
      <c r="J27" s="21" t="n">
        <f aca="false">D27/(D27+E27)</f>
        <v>0.567901234567901</v>
      </c>
      <c r="K27" s="3" t="n">
        <f aca="false">IF(D27&gt;E27,1,0)</f>
        <v>1</v>
      </c>
      <c r="L27" s="3" t="n">
        <f aca="false">IF(OR(F27="Y",G27="Y",H27="Y"),1,0)</f>
        <v>1</v>
      </c>
      <c r="M27" s="3" t="n">
        <f aca="false">IF(H27="Y",1,0)</f>
        <v>0</v>
      </c>
      <c r="N27" s="3" t="n">
        <f aca="false">IF(I27="Y",1,0)</f>
        <v>0</v>
      </c>
    </row>
    <row r="28" customFormat="false" ht="15" hidden="false" customHeight="true" outlineLevel="0" collapsed="false">
      <c r="A28" s="7" t="s">
        <v>71</v>
      </c>
      <c r="B28" s="7" t="n">
        <v>1987</v>
      </c>
      <c r="C28" s="7" t="s">
        <v>547</v>
      </c>
      <c r="D28" s="7" t="n">
        <v>75</v>
      </c>
      <c r="E28" s="7" t="n">
        <v>87</v>
      </c>
      <c r="F28" s="7" t="s">
        <v>546</v>
      </c>
      <c r="G28" s="7"/>
      <c r="H28" s="7" t="s">
        <v>546</v>
      </c>
      <c r="I28" s="7" t="s">
        <v>546</v>
      </c>
      <c r="J28" s="21" t="n">
        <f aca="false">D28/(D28+E28)</f>
        <v>0.462962962962963</v>
      </c>
      <c r="K28" s="3" t="n">
        <f aca="false">IF(D28&gt;E28,1,0)</f>
        <v>0</v>
      </c>
      <c r="L28" s="3" t="n">
        <f aca="false">IF(OR(F28="Y",G28="Y",H28="Y"),1,0)</f>
        <v>0</v>
      </c>
      <c r="M28" s="3" t="n">
        <f aca="false">IF(H28="Y",1,0)</f>
        <v>0</v>
      </c>
      <c r="N28" s="3" t="n">
        <f aca="false">IF(I28="Y",1,0)</f>
        <v>0</v>
      </c>
    </row>
    <row r="29" customFormat="false" ht="15" hidden="false" customHeight="true" outlineLevel="0" collapsed="false">
      <c r="A29" s="7" t="s">
        <v>71</v>
      </c>
      <c r="B29" s="7" t="n">
        <v>1988</v>
      </c>
      <c r="C29" s="7" t="s">
        <v>547</v>
      </c>
      <c r="D29" s="7" t="n">
        <v>75</v>
      </c>
      <c r="E29" s="7" t="n">
        <v>87</v>
      </c>
      <c r="F29" s="7" t="s">
        <v>546</v>
      </c>
      <c r="G29" s="7"/>
      <c r="H29" s="7" t="s">
        <v>546</v>
      </c>
      <c r="I29" s="7" t="s">
        <v>546</v>
      </c>
      <c r="J29" s="21" t="n">
        <f aca="false">D29/(D29+E29)</f>
        <v>0.462962962962963</v>
      </c>
      <c r="K29" s="3" t="n">
        <f aca="false">IF(D29&gt;E29,1,0)</f>
        <v>0</v>
      </c>
      <c r="L29" s="3" t="n">
        <f aca="false">IF(OR(F29="Y",G29="Y",H29="Y"),1,0)</f>
        <v>0</v>
      </c>
      <c r="M29" s="3" t="n">
        <f aca="false">IF(H29="Y",1,0)</f>
        <v>0</v>
      </c>
      <c r="N29" s="3" t="n">
        <f aca="false">IF(I29="Y",1,0)</f>
        <v>0</v>
      </c>
    </row>
    <row r="30" customFormat="false" ht="15" hidden="false" customHeight="true" outlineLevel="0" collapsed="false">
      <c r="A30" s="7" t="s">
        <v>71</v>
      </c>
      <c r="B30" s="7" t="n">
        <v>1989</v>
      </c>
      <c r="C30" s="7" t="s">
        <v>547</v>
      </c>
      <c r="D30" s="7" t="n">
        <v>91</v>
      </c>
      <c r="E30" s="7" t="n">
        <v>71</v>
      </c>
      <c r="F30" s="7" t="s">
        <v>546</v>
      </c>
      <c r="G30" s="7"/>
      <c r="H30" s="7" t="s">
        <v>546</v>
      </c>
      <c r="I30" s="7" t="s">
        <v>546</v>
      </c>
      <c r="J30" s="21" t="n">
        <f aca="false">D30/(D30+E30)</f>
        <v>0.561728395061728</v>
      </c>
      <c r="K30" s="3" t="n">
        <f aca="false">IF(D30&gt;E30,1,0)</f>
        <v>1</v>
      </c>
      <c r="L30" s="3" t="n">
        <f aca="false">IF(OR(F30="Y",G30="Y",H30="Y"),1,0)</f>
        <v>0</v>
      </c>
      <c r="M30" s="3" t="n">
        <f aca="false">IF(H30="Y",1,0)</f>
        <v>0</v>
      </c>
      <c r="N30" s="3" t="n">
        <f aca="false">IF(I30="Y",1,0)</f>
        <v>0</v>
      </c>
    </row>
    <row r="31" customFormat="false" ht="15" hidden="false" customHeight="true" outlineLevel="0" collapsed="false">
      <c r="A31" s="7" t="s">
        <v>71</v>
      </c>
      <c r="B31" s="7" t="n">
        <v>1990</v>
      </c>
      <c r="C31" s="7" t="s">
        <v>547</v>
      </c>
      <c r="D31" s="7" t="n">
        <v>80</v>
      </c>
      <c r="E31" s="7" t="n">
        <v>82</v>
      </c>
      <c r="F31" s="7" t="s">
        <v>546</v>
      </c>
      <c r="G31" s="7"/>
      <c r="H31" s="7" t="s">
        <v>546</v>
      </c>
      <c r="I31" s="7" t="s">
        <v>546</v>
      </c>
      <c r="J31" s="21" t="n">
        <f aca="false">D31/(D31+E31)</f>
        <v>0.493827160493827</v>
      </c>
      <c r="K31" s="3" t="n">
        <f aca="false">IF(D31&gt;E31,1,0)</f>
        <v>0</v>
      </c>
      <c r="L31" s="3" t="n">
        <f aca="false">IF(OR(F31="Y",G31="Y",H31="Y"),1,0)</f>
        <v>0</v>
      </c>
      <c r="M31" s="3" t="n">
        <f aca="false">IF(H31="Y",1,0)</f>
        <v>0</v>
      </c>
      <c r="N31" s="3" t="n">
        <f aca="false">IF(I31="Y",1,0)</f>
        <v>0</v>
      </c>
    </row>
    <row r="32" customFormat="false" ht="15" hidden="false" customHeight="true" outlineLevel="0" collapsed="false">
      <c r="A32" s="7" t="s">
        <v>71</v>
      </c>
      <c r="B32" s="7" t="n">
        <v>1991</v>
      </c>
      <c r="C32" s="7" t="s">
        <v>547</v>
      </c>
      <c r="D32" s="7" t="n">
        <v>81</v>
      </c>
      <c r="E32" s="7" t="n">
        <v>81</v>
      </c>
      <c r="F32" s="7" t="s">
        <v>546</v>
      </c>
      <c r="G32" s="7"/>
      <c r="H32" s="7" t="s">
        <v>546</v>
      </c>
      <c r="I32" s="7" t="s">
        <v>546</v>
      </c>
      <c r="J32" s="21" t="n">
        <f aca="false">D32/(D32+E32)</f>
        <v>0.5</v>
      </c>
      <c r="K32" s="3" t="n">
        <f aca="false">IF(D32&gt;E32,1,0)</f>
        <v>0</v>
      </c>
      <c r="L32" s="3" t="n">
        <f aca="false">IF(OR(F32="Y",G32="Y",H32="Y"),1,0)</f>
        <v>0</v>
      </c>
      <c r="M32" s="3" t="n">
        <f aca="false">IF(H32="Y",1,0)</f>
        <v>0</v>
      </c>
      <c r="N32" s="3" t="n">
        <f aca="false">IF(I32="Y",1,0)</f>
        <v>0</v>
      </c>
    </row>
    <row r="33" customFormat="false" ht="15" hidden="false" customHeight="true" outlineLevel="0" collapsed="false">
      <c r="A33" s="7" t="s">
        <v>71</v>
      </c>
      <c r="B33" s="7" t="n">
        <v>1992</v>
      </c>
      <c r="C33" s="7" t="s">
        <v>547</v>
      </c>
      <c r="D33" s="7" t="n">
        <v>72</v>
      </c>
      <c r="E33" s="7" t="n">
        <v>90</v>
      </c>
      <c r="F33" s="7" t="s">
        <v>546</v>
      </c>
      <c r="G33" s="7"/>
      <c r="H33" s="7" t="s">
        <v>546</v>
      </c>
      <c r="I33" s="7" t="s">
        <v>546</v>
      </c>
      <c r="J33" s="21" t="n">
        <f aca="false">D33/(D33+E33)</f>
        <v>0.444444444444444</v>
      </c>
      <c r="K33" s="3" t="n">
        <f aca="false">IF(D33&gt;E33,1,0)</f>
        <v>0</v>
      </c>
      <c r="L33" s="3" t="n">
        <f aca="false">IF(OR(F33="Y",G33="Y",H33="Y"),1,0)</f>
        <v>0</v>
      </c>
      <c r="M33" s="3" t="n">
        <f aca="false">IF(H33="Y",1,0)</f>
        <v>0</v>
      </c>
      <c r="N33" s="3" t="n">
        <f aca="false">IF(I33="Y",1,0)</f>
        <v>0</v>
      </c>
    </row>
    <row r="34" customFormat="false" ht="15" hidden="false" customHeight="true" outlineLevel="0" collapsed="false">
      <c r="A34" s="7" t="s">
        <v>71</v>
      </c>
      <c r="B34" s="7" t="n">
        <v>1993</v>
      </c>
      <c r="C34" s="7" t="s">
        <v>547</v>
      </c>
      <c r="D34" s="7" t="n">
        <v>71</v>
      </c>
      <c r="E34" s="7" t="n">
        <v>91</v>
      </c>
      <c r="F34" s="7" t="s">
        <v>546</v>
      </c>
      <c r="G34" s="7"/>
      <c r="H34" s="7" t="s">
        <v>546</v>
      </c>
      <c r="I34" s="7" t="s">
        <v>546</v>
      </c>
      <c r="J34" s="21" t="n">
        <f aca="false">D34/(D34+E34)</f>
        <v>0.438271604938272</v>
      </c>
      <c r="K34" s="3" t="n">
        <f aca="false">IF(D34&gt;E34,1,0)</f>
        <v>0</v>
      </c>
      <c r="L34" s="3" t="n">
        <f aca="false">IF(OR(F34="Y",G34="Y",H34="Y"),1,0)</f>
        <v>0</v>
      </c>
      <c r="M34" s="3" t="n">
        <f aca="false">IF(H34="Y",1,0)</f>
        <v>0</v>
      </c>
      <c r="N34" s="3" t="n">
        <f aca="false">IF(I34="Y",1,0)</f>
        <v>0</v>
      </c>
    </row>
    <row r="35" customFormat="false" ht="15" hidden="false" customHeight="true" outlineLevel="0" collapsed="false">
      <c r="A35" s="7" t="s">
        <v>71</v>
      </c>
      <c r="B35" s="7" t="n">
        <v>1994</v>
      </c>
      <c r="C35" s="7" t="s">
        <v>547</v>
      </c>
      <c r="D35" s="7" t="n">
        <v>47</v>
      </c>
      <c r="E35" s="7" t="n">
        <v>68</v>
      </c>
      <c r="F35" s="7"/>
      <c r="G35" s="7"/>
      <c r="H35" s="7"/>
      <c r="I35" s="7"/>
      <c r="J35" s="21" t="n">
        <f aca="false">D35/(D35+E35)</f>
        <v>0.408695652173913</v>
      </c>
      <c r="K35" s="3" t="n">
        <f aca="false">IF(D35&gt;E35,1,0)</f>
        <v>0</v>
      </c>
      <c r="L35" s="3" t="n">
        <f aca="false">IF(OR(F35="Y",G35="Y",H35="Y"),1,0)</f>
        <v>0</v>
      </c>
      <c r="M35" s="3" t="n">
        <f aca="false">IF(H35="Y",1,0)</f>
        <v>0</v>
      </c>
      <c r="N35" s="3" t="n">
        <f aca="false">IF(I35="Y",1,0)</f>
        <v>0</v>
      </c>
    </row>
    <row r="36" customFormat="false" ht="15" hidden="false" customHeight="true" outlineLevel="0" collapsed="false">
      <c r="A36" s="7" t="s">
        <v>71</v>
      </c>
      <c r="B36" s="7" t="n">
        <v>1995</v>
      </c>
      <c r="C36" s="7" t="s">
        <v>547</v>
      </c>
      <c r="D36" s="7" t="n">
        <v>78</v>
      </c>
      <c r="E36" s="7" t="n">
        <v>67</v>
      </c>
      <c r="F36" s="7" t="s">
        <v>546</v>
      </c>
      <c r="G36" s="7" t="s">
        <v>546</v>
      </c>
      <c r="H36" s="7" t="s">
        <v>546</v>
      </c>
      <c r="I36" s="7" t="s">
        <v>546</v>
      </c>
      <c r="J36" s="21" t="n">
        <f aca="false">D36/(D36+E36)</f>
        <v>0.537931034482759</v>
      </c>
      <c r="K36" s="3" t="n">
        <f aca="false">IF(D36&gt;E36,1,0)</f>
        <v>1</v>
      </c>
      <c r="L36" s="3" t="n">
        <f aca="false">IF(OR(F36="Y",G36="Y",H36="Y"),1,0)</f>
        <v>0</v>
      </c>
      <c r="M36" s="3" t="n">
        <f aca="false">IF(H36="Y",1,0)</f>
        <v>0</v>
      </c>
      <c r="N36" s="3" t="n">
        <f aca="false">IF(I36="Y",1,0)</f>
        <v>0</v>
      </c>
    </row>
    <row r="37" customFormat="false" ht="15" hidden="false" customHeight="true" outlineLevel="0" collapsed="false">
      <c r="A37" s="7" t="s">
        <v>71</v>
      </c>
      <c r="B37" s="7" t="n">
        <v>1996</v>
      </c>
      <c r="C37" s="7" t="s">
        <v>547</v>
      </c>
      <c r="D37" s="7" t="n">
        <v>70</v>
      </c>
      <c r="E37" s="7" t="n">
        <v>91</v>
      </c>
      <c r="F37" s="7" t="s">
        <v>546</v>
      </c>
      <c r="G37" s="7" t="s">
        <v>546</v>
      </c>
      <c r="H37" s="7" t="s">
        <v>546</v>
      </c>
      <c r="I37" s="7" t="s">
        <v>546</v>
      </c>
      <c r="J37" s="21" t="n">
        <f aca="false">D37/(D37+E37)</f>
        <v>0.434782608695652</v>
      </c>
      <c r="K37" s="3" t="n">
        <f aca="false">IF(D37&gt;E37,1,0)</f>
        <v>0</v>
      </c>
      <c r="L37" s="3" t="n">
        <f aca="false">IF(OR(F37="Y",G37="Y",H37="Y"),1,0)</f>
        <v>0</v>
      </c>
      <c r="M37" s="3" t="n">
        <f aca="false">IF(H37="Y",1,0)</f>
        <v>0</v>
      </c>
      <c r="N37" s="3" t="n">
        <f aca="false">IF(I37="Y",1,0)</f>
        <v>0</v>
      </c>
    </row>
    <row r="38" customFormat="false" ht="15" hidden="false" customHeight="true" outlineLevel="0" collapsed="false">
      <c r="A38" s="7" t="s">
        <v>71</v>
      </c>
      <c r="B38" s="7" t="n">
        <v>1997</v>
      </c>
      <c r="C38" s="7" t="s">
        <v>549</v>
      </c>
      <c r="D38" s="7" t="n">
        <v>84</v>
      </c>
      <c r="E38" s="7" t="n">
        <v>78</v>
      </c>
      <c r="F38" s="7" t="s">
        <v>546</v>
      </c>
      <c r="G38" s="7" t="s">
        <v>546</v>
      </c>
      <c r="H38" s="7" t="s">
        <v>546</v>
      </c>
      <c r="I38" s="7" t="s">
        <v>546</v>
      </c>
      <c r="J38" s="21" t="n">
        <f aca="false">D38/(D38+E38)</f>
        <v>0.518518518518519</v>
      </c>
      <c r="K38" s="3" t="n">
        <f aca="false">IF(D38&gt;E38,1,0)</f>
        <v>1</v>
      </c>
      <c r="L38" s="3" t="n">
        <f aca="false">IF(OR(F38="Y",G38="Y",H38="Y"),1,0)</f>
        <v>0</v>
      </c>
      <c r="M38" s="3" t="n">
        <f aca="false">IF(H38="Y",1,0)</f>
        <v>0</v>
      </c>
      <c r="N38" s="3" t="n">
        <f aca="false">IF(I38="Y",1,0)</f>
        <v>0</v>
      </c>
    </row>
    <row r="39" customFormat="false" ht="15" hidden="false" customHeight="true" outlineLevel="0" collapsed="false">
      <c r="A39" s="7" t="s">
        <v>71</v>
      </c>
      <c r="B39" s="7" t="n">
        <v>1998</v>
      </c>
      <c r="C39" s="7" t="s">
        <v>549</v>
      </c>
      <c r="D39" s="7" t="n">
        <v>85</v>
      </c>
      <c r="E39" s="7" t="n">
        <v>77</v>
      </c>
      <c r="F39" s="7" t="s">
        <v>546</v>
      </c>
      <c r="G39" s="7" t="s">
        <v>546</v>
      </c>
      <c r="H39" s="7" t="s">
        <v>546</v>
      </c>
      <c r="I39" s="7" t="s">
        <v>546</v>
      </c>
      <c r="J39" s="21" t="n">
        <f aca="false">D39/(D39+E39)</f>
        <v>0.524691358024691</v>
      </c>
      <c r="K39" s="3" t="n">
        <f aca="false">IF(D39&gt;E39,1,0)</f>
        <v>1</v>
      </c>
      <c r="L39" s="3" t="n">
        <f aca="false">IF(OR(F39="Y",G39="Y",H39="Y"),1,0)</f>
        <v>0</v>
      </c>
      <c r="M39" s="3" t="n">
        <f aca="false">IF(H39="Y",1,0)</f>
        <v>0</v>
      </c>
      <c r="N39" s="3" t="n">
        <f aca="false">IF(I39="Y",1,0)</f>
        <v>0</v>
      </c>
    </row>
    <row r="40" customFormat="false" ht="15" hidden="false" customHeight="true" outlineLevel="0" collapsed="false">
      <c r="A40" s="7" t="s">
        <v>71</v>
      </c>
      <c r="B40" s="7" t="n">
        <v>1999</v>
      </c>
      <c r="C40" s="7" t="s">
        <v>549</v>
      </c>
      <c r="D40" s="7" t="n">
        <v>70</v>
      </c>
      <c r="E40" s="7" t="n">
        <v>92</v>
      </c>
      <c r="F40" s="7" t="s">
        <v>546</v>
      </c>
      <c r="G40" s="7" t="s">
        <v>546</v>
      </c>
      <c r="H40" s="7" t="s">
        <v>546</v>
      </c>
      <c r="I40" s="7" t="s">
        <v>546</v>
      </c>
      <c r="J40" s="21" t="n">
        <f aca="false">D40/(D40+E40)</f>
        <v>0.432098765432099</v>
      </c>
      <c r="K40" s="3" t="n">
        <f aca="false">IF(D40&gt;E40,1,0)</f>
        <v>0</v>
      </c>
      <c r="L40" s="3" t="n">
        <f aca="false">IF(OR(F40="Y",G40="Y",H40="Y"),1,0)</f>
        <v>0</v>
      </c>
      <c r="M40" s="3" t="n">
        <f aca="false">IF(H40="Y",1,0)</f>
        <v>0</v>
      </c>
      <c r="N40" s="3" t="n">
        <f aca="false">IF(I40="Y",1,0)</f>
        <v>0</v>
      </c>
    </row>
    <row r="41" customFormat="false" ht="15" hidden="false" customHeight="true" outlineLevel="0" collapsed="false">
      <c r="A41" s="7" t="s">
        <v>71</v>
      </c>
      <c r="B41" s="7" t="n">
        <v>2000</v>
      </c>
      <c r="C41" s="7" t="s">
        <v>549</v>
      </c>
      <c r="D41" s="7" t="n">
        <v>82</v>
      </c>
      <c r="E41" s="7" t="n">
        <v>80</v>
      </c>
      <c r="F41" s="7" t="s">
        <v>546</v>
      </c>
      <c r="G41" s="7" t="s">
        <v>546</v>
      </c>
      <c r="H41" s="7" t="s">
        <v>546</v>
      </c>
      <c r="I41" s="7" t="s">
        <v>546</v>
      </c>
      <c r="J41" s="21" t="n">
        <f aca="false">D41/(D41+E41)</f>
        <v>0.506172839506173</v>
      </c>
      <c r="K41" s="3" t="n">
        <f aca="false">IF(D41&gt;E41,1,0)</f>
        <v>1</v>
      </c>
      <c r="L41" s="3" t="n">
        <f aca="false">IF(OR(F41="Y",G41="Y",H41="Y"),1,0)</f>
        <v>0</v>
      </c>
      <c r="M41" s="3" t="n">
        <f aca="false">IF(H41="Y",1,0)</f>
        <v>0</v>
      </c>
      <c r="N41" s="3" t="n">
        <f aca="false">IF(I41="Y",1,0)</f>
        <v>0</v>
      </c>
    </row>
    <row r="42" customFormat="false" ht="15" hidden="false" customHeight="true" outlineLevel="0" collapsed="false">
      <c r="A42" s="7" t="s">
        <v>71</v>
      </c>
      <c r="B42" s="7" t="n">
        <v>2001</v>
      </c>
      <c r="C42" s="7" t="s">
        <v>549</v>
      </c>
      <c r="D42" s="7" t="n">
        <v>75</v>
      </c>
      <c r="E42" s="7" t="n">
        <v>87</v>
      </c>
      <c r="F42" s="7" t="s">
        <v>546</v>
      </c>
      <c r="G42" s="7" t="s">
        <v>546</v>
      </c>
      <c r="H42" s="7" t="s">
        <v>546</v>
      </c>
      <c r="I42" s="7" t="s">
        <v>546</v>
      </c>
      <c r="J42" s="21" t="n">
        <f aca="false">D42/(D42+E42)</f>
        <v>0.462962962962963</v>
      </c>
      <c r="K42" s="3" t="n">
        <f aca="false">IF(D42&gt;E42,1,0)</f>
        <v>0</v>
      </c>
      <c r="L42" s="3" t="n">
        <f aca="false">IF(OR(F42="Y",G42="Y",H42="Y"),1,0)</f>
        <v>0</v>
      </c>
      <c r="M42" s="3" t="n">
        <f aca="false">IF(H42="Y",1,0)</f>
        <v>0</v>
      </c>
      <c r="N42" s="3" t="n">
        <f aca="false">IF(I42="Y",1,0)</f>
        <v>0</v>
      </c>
    </row>
    <row r="43" customFormat="false" ht="15" hidden="false" customHeight="true" outlineLevel="0" collapsed="false">
      <c r="A43" s="7" t="s">
        <v>71</v>
      </c>
      <c r="B43" s="7" t="n">
        <v>2002</v>
      </c>
      <c r="C43" s="7" t="s">
        <v>549</v>
      </c>
      <c r="D43" s="7" t="n">
        <v>99</v>
      </c>
      <c r="E43" s="7" t="n">
        <v>63</v>
      </c>
      <c r="F43" s="7" t="s">
        <v>546</v>
      </c>
      <c r="G43" s="7" t="s">
        <v>548</v>
      </c>
      <c r="H43" s="7" t="s">
        <v>548</v>
      </c>
      <c r="I43" s="7" t="s">
        <v>548</v>
      </c>
      <c r="J43" s="21" t="n">
        <f aca="false">D43/(D43+E43)</f>
        <v>0.611111111111111</v>
      </c>
      <c r="K43" s="3" t="n">
        <f aca="false">IF(D43&gt;E43,1,0)</f>
        <v>1</v>
      </c>
      <c r="L43" s="3" t="n">
        <f aca="false">IF(OR(F43="Y",G43="Y",H43="Y"),1,0)</f>
        <v>1</v>
      </c>
      <c r="M43" s="3" t="n">
        <f aca="false">IF(H43="Y",1,0)</f>
        <v>1</v>
      </c>
      <c r="N43" s="3" t="n">
        <f aca="false">IF(I43="Y",1,0)</f>
        <v>1</v>
      </c>
    </row>
    <row r="44" customFormat="false" ht="15" hidden="false" customHeight="true" outlineLevel="0" collapsed="false">
      <c r="A44" s="7" t="s">
        <v>71</v>
      </c>
      <c r="B44" s="7" t="n">
        <v>2003</v>
      </c>
      <c r="C44" s="7" t="s">
        <v>549</v>
      </c>
      <c r="D44" s="7" t="n">
        <v>77</v>
      </c>
      <c r="E44" s="7" t="n">
        <v>85</v>
      </c>
      <c r="F44" s="7" t="s">
        <v>546</v>
      </c>
      <c r="G44" s="7" t="s">
        <v>546</v>
      </c>
      <c r="H44" s="7" t="s">
        <v>546</v>
      </c>
      <c r="I44" s="7" t="s">
        <v>546</v>
      </c>
      <c r="J44" s="21" t="n">
        <f aca="false">D44/(D44+E44)</f>
        <v>0.475308641975309</v>
      </c>
      <c r="K44" s="3" t="n">
        <f aca="false">IF(D44&gt;E44,1,0)</f>
        <v>0</v>
      </c>
      <c r="L44" s="3" t="n">
        <f aca="false">IF(OR(F44="Y",G44="Y",H44="Y"),1,0)</f>
        <v>0</v>
      </c>
      <c r="M44" s="3" t="n">
        <f aca="false">IF(H44="Y",1,0)</f>
        <v>0</v>
      </c>
      <c r="N44" s="3" t="n">
        <f aca="false">IF(I44="Y",1,0)</f>
        <v>0</v>
      </c>
    </row>
    <row r="45" customFormat="false" ht="15" hidden="false" customHeight="true" outlineLevel="0" collapsed="false">
      <c r="A45" s="7" t="s">
        <v>71</v>
      </c>
      <c r="B45" s="7" t="n">
        <v>2004</v>
      </c>
      <c r="C45" s="7" t="s">
        <v>549</v>
      </c>
      <c r="D45" s="7" t="n">
        <v>92</v>
      </c>
      <c r="E45" s="7" t="n">
        <v>70</v>
      </c>
      <c r="F45" s="7" t="s">
        <v>548</v>
      </c>
      <c r="G45" s="7" t="s">
        <v>546</v>
      </c>
      <c r="H45" s="7" t="s">
        <v>546</v>
      </c>
      <c r="I45" s="7" t="s">
        <v>546</v>
      </c>
      <c r="J45" s="21" t="n">
        <f aca="false">D45/(D45+E45)</f>
        <v>0.567901234567901</v>
      </c>
      <c r="K45" s="3" t="n">
        <f aca="false">IF(D45&gt;E45,1,0)</f>
        <v>1</v>
      </c>
      <c r="L45" s="3" t="n">
        <f aca="false">IF(OR(F45="Y",G45="Y",H45="Y"),1,0)</f>
        <v>1</v>
      </c>
      <c r="M45" s="3" t="n">
        <f aca="false">IF(H45="Y",1,0)</f>
        <v>0</v>
      </c>
      <c r="N45" s="3" t="n">
        <f aca="false">IF(I45="Y",1,0)</f>
        <v>0</v>
      </c>
    </row>
    <row r="46" customFormat="false" ht="15" hidden="false" customHeight="true" outlineLevel="0" collapsed="false">
      <c r="A46" s="7" t="s">
        <v>71</v>
      </c>
      <c r="B46" s="7" t="n">
        <v>2005</v>
      </c>
      <c r="C46" s="7" t="s">
        <v>550</v>
      </c>
      <c r="D46" s="7" t="n">
        <v>95</v>
      </c>
      <c r="E46" s="7" t="n">
        <v>67</v>
      </c>
      <c r="F46" s="7" t="s">
        <v>548</v>
      </c>
      <c r="G46" s="7" t="s">
        <v>546</v>
      </c>
      <c r="H46" s="7" t="s">
        <v>546</v>
      </c>
      <c r="I46" s="7" t="s">
        <v>546</v>
      </c>
      <c r="J46" s="21" t="n">
        <f aca="false">D46/(D46+E46)</f>
        <v>0.58641975308642</v>
      </c>
      <c r="K46" s="3" t="n">
        <f aca="false">IF(D46&gt;E46,1,0)</f>
        <v>1</v>
      </c>
      <c r="L46" s="3" t="n">
        <f aca="false">IF(OR(F46="Y",G46="Y",H46="Y"),1,0)</f>
        <v>1</v>
      </c>
      <c r="M46" s="3" t="n">
        <f aca="false">IF(H46="Y",1,0)</f>
        <v>0</v>
      </c>
      <c r="N46" s="3" t="n">
        <f aca="false">IF(I46="Y",1,0)</f>
        <v>0</v>
      </c>
    </row>
    <row r="47" customFormat="false" ht="15" hidden="false" customHeight="true" outlineLevel="0" collapsed="false">
      <c r="A47" s="7" t="s">
        <v>71</v>
      </c>
      <c r="B47" s="7" t="n">
        <v>2006</v>
      </c>
      <c r="C47" s="7" t="s">
        <v>550</v>
      </c>
      <c r="D47" s="7" t="n">
        <v>89</v>
      </c>
      <c r="E47" s="7" t="n">
        <v>73</v>
      </c>
      <c r="F47" s="7" t="s">
        <v>546</v>
      </c>
      <c r="G47" s="7" t="s">
        <v>546</v>
      </c>
      <c r="H47" s="7" t="s">
        <v>546</v>
      </c>
      <c r="I47" s="7" t="s">
        <v>546</v>
      </c>
      <c r="J47" s="21" t="n">
        <f aca="false">D47/(D47+E47)</f>
        <v>0.549382716049383</v>
      </c>
      <c r="K47" s="3" t="n">
        <f aca="false">IF(D47&gt;E47,1,0)</f>
        <v>1</v>
      </c>
      <c r="L47" s="3" t="n">
        <f aca="false">IF(OR(F47="Y",G47="Y",H47="Y"),1,0)</f>
        <v>0</v>
      </c>
      <c r="M47" s="3" t="n">
        <f aca="false">IF(H47="Y",1,0)</f>
        <v>0</v>
      </c>
      <c r="N47" s="3" t="n">
        <f aca="false">IF(I47="Y",1,0)</f>
        <v>0</v>
      </c>
    </row>
    <row r="48" customFormat="false" ht="15" hidden="false" customHeight="true" outlineLevel="0" collapsed="false">
      <c r="A48" s="7" t="s">
        <v>71</v>
      </c>
      <c r="B48" s="7" t="n">
        <v>2007</v>
      </c>
      <c r="C48" s="7" t="s">
        <v>550</v>
      </c>
      <c r="D48" s="7" t="n">
        <v>94</v>
      </c>
      <c r="E48" s="7" t="n">
        <v>68</v>
      </c>
      <c r="F48" s="7" t="s">
        <v>548</v>
      </c>
      <c r="G48" s="7" t="s">
        <v>546</v>
      </c>
      <c r="H48" s="7" t="s">
        <v>546</v>
      </c>
      <c r="I48" s="7" t="s">
        <v>546</v>
      </c>
      <c r="J48" s="21" t="n">
        <f aca="false">D48/(D48+E48)</f>
        <v>0.580246913580247</v>
      </c>
      <c r="K48" s="3" t="n">
        <f aca="false">IF(D48&gt;E48,1,0)</f>
        <v>1</v>
      </c>
      <c r="L48" s="3" t="n">
        <f aca="false">IF(OR(F48="Y",G48="Y",H48="Y"),1,0)</f>
        <v>1</v>
      </c>
      <c r="M48" s="3" t="n">
        <f aca="false">IF(H48="Y",1,0)</f>
        <v>0</v>
      </c>
      <c r="N48" s="3" t="n">
        <f aca="false">IF(I48="Y",1,0)</f>
        <v>0</v>
      </c>
    </row>
    <row r="49" customFormat="false" ht="15" hidden="false" customHeight="true" outlineLevel="0" collapsed="false">
      <c r="A49" s="7" t="s">
        <v>71</v>
      </c>
      <c r="B49" s="7" t="n">
        <v>2008</v>
      </c>
      <c r="C49" s="7" t="s">
        <v>550</v>
      </c>
      <c r="D49" s="7" t="n">
        <v>100</v>
      </c>
      <c r="E49" s="7" t="n">
        <v>62</v>
      </c>
      <c r="F49" s="7" t="s">
        <v>548</v>
      </c>
      <c r="G49" s="7" t="s">
        <v>546</v>
      </c>
      <c r="H49" s="7" t="s">
        <v>546</v>
      </c>
      <c r="I49" s="7" t="s">
        <v>546</v>
      </c>
      <c r="J49" s="21" t="n">
        <f aca="false">D49/(D49+E49)</f>
        <v>0.617283950617284</v>
      </c>
      <c r="K49" s="3" t="n">
        <f aca="false">IF(D49&gt;E49,1,0)</f>
        <v>1</v>
      </c>
      <c r="L49" s="3" t="n">
        <f aca="false">IF(OR(F49="Y",G49="Y",H49="Y"),1,0)</f>
        <v>1</v>
      </c>
      <c r="M49" s="3" t="n">
        <f aca="false">IF(H49="Y",1,0)</f>
        <v>0</v>
      </c>
      <c r="N49" s="3" t="n">
        <f aca="false">IF(I49="Y",1,0)</f>
        <v>0</v>
      </c>
    </row>
    <row r="50" customFormat="false" ht="15" hidden="false" customHeight="true" outlineLevel="0" collapsed="false">
      <c r="A50" s="7" t="s">
        <v>71</v>
      </c>
      <c r="B50" s="7" t="n">
        <v>2009</v>
      </c>
      <c r="C50" s="7" t="s">
        <v>550</v>
      </c>
      <c r="D50" s="7" t="n">
        <v>97</v>
      </c>
      <c r="E50" s="7" t="n">
        <v>65</v>
      </c>
      <c r="F50" s="7" t="s">
        <v>548</v>
      </c>
      <c r="G50" s="7" t="s">
        <v>546</v>
      </c>
      <c r="H50" s="7" t="s">
        <v>546</v>
      </c>
      <c r="I50" s="7" t="s">
        <v>546</v>
      </c>
      <c r="J50" s="21" t="n">
        <f aca="false">D50/(D50+E50)</f>
        <v>0.598765432098765</v>
      </c>
      <c r="K50" s="3" t="n">
        <f aca="false">IF(D50&gt;E50,1,0)</f>
        <v>1</v>
      </c>
      <c r="L50" s="3" t="n">
        <f aca="false">IF(OR(F50="Y",G50="Y",H50="Y"),1,0)</f>
        <v>1</v>
      </c>
      <c r="M50" s="3" t="n">
        <f aca="false">IF(H50="Y",1,0)</f>
        <v>0</v>
      </c>
      <c r="N50" s="3" t="n">
        <f aca="false">IF(I50="Y",1,0)</f>
        <v>0</v>
      </c>
    </row>
    <row r="51" customFormat="false" ht="15" hidden="false" customHeight="true" outlineLevel="0" collapsed="false">
      <c r="A51" s="7" t="s">
        <v>71</v>
      </c>
      <c r="B51" s="7" t="n">
        <v>2010</v>
      </c>
      <c r="C51" s="7" t="s">
        <v>550</v>
      </c>
      <c r="D51" s="7" t="n">
        <v>80</v>
      </c>
      <c r="E51" s="7" t="n">
        <v>82</v>
      </c>
      <c r="F51" s="7" t="s">
        <v>546</v>
      </c>
      <c r="G51" s="7" t="s">
        <v>546</v>
      </c>
      <c r="H51" s="7" t="s">
        <v>546</v>
      </c>
      <c r="I51" s="7" t="s">
        <v>546</v>
      </c>
      <c r="J51" s="21" t="n">
        <f aca="false">D51/(D51+E51)</f>
        <v>0.493827160493827</v>
      </c>
      <c r="K51" s="3" t="n">
        <f aca="false">IF(D51&gt;E51,1,0)</f>
        <v>0</v>
      </c>
      <c r="L51" s="3" t="n">
        <f aca="false">IF(OR(F51="Y",G51="Y",H51="Y"),1,0)</f>
        <v>0</v>
      </c>
      <c r="M51" s="3" t="n">
        <f aca="false">IF(H51="Y",1,0)</f>
        <v>0</v>
      </c>
      <c r="N51" s="3" t="n">
        <f aca="false">IF(I51="Y",1,0)</f>
        <v>0</v>
      </c>
    </row>
    <row r="52" customFormat="false" ht="15" hidden="false" customHeight="true" outlineLevel="0" collapsed="false">
      <c r="A52" s="7" t="s">
        <v>71</v>
      </c>
      <c r="B52" s="7" t="n">
        <v>2011</v>
      </c>
      <c r="C52" s="7" t="s">
        <v>550</v>
      </c>
      <c r="D52" s="7" t="n">
        <v>86</v>
      </c>
      <c r="E52" s="7" t="n">
        <v>76</v>
      </c>
      <c r="F52" s="7" t="s">
        <v>546</v>
      </c>
      <c r="G52" s="7" t="s">
        <v>546</v>
      </c>
      <c r="H52" s="7" t="s">
        <v>546</v>
      </c>
      <c r="I52" s="7" t="s">
        <v>546</v>
      </c>
      <c r="J52" s="21" t="n">
        <f aca="false">D52/(D52+E52)</f>
        <v>0.530864197530864</v>
      </c>
      <c r="K52" s="3" t="n">
        <f aca="false">IF(D52&gt;E52,1,0)</f>
        <v>1</v>
      </c>
      <c r="L52" s="3" t="n">
        <f aca="false">IF(OR(F52="Y",G52="Y",H52="Y"),1,0)</f>
        <v>0</v>
      </c>
      <c r="M52" s="3" t="n">
        <f aca="false">IF(H52="Y",1,0)</f>
        <v>0</v>
      </c>
      <c r="N52" s="3" t="n">
        <f aca="false">IF(I52="Y",1,0)</f>
        <v>0</v>
      </c>
    </row>
    <row r="53" customFormat="false" ht="15" hidden="false" customHeight="true" outlineLevel="0" collapsed="false">
      <c r="A53" s="7" t="s">
        <v>71</v>
      </c>
      <c r="B53" s="7" t="n">
        <v>2012</v>
      </c>
      <c r="C53" s="7" t="s">
        <v>550</v>
      </c>
      <c r="D53" s="7" t="n">
        <v>89</v>
      </c>
      <c r="E53" s="7" t="n">
        <v>73</v>
      </c>
      <c r="F53" s="7" t="s">
        <v>546</v>
      </c>
      <c r="G53" s="7" t="s">
        <v>546</v>
      </c>
      <c r="H53" s="7" t="s">
        <v>546</v>
      </c>
      <c r="I53" s="7" t="s">
        <v>546</v>
      </c>
      <c r="J53" s="21" t="n">
        <f aca="false">D53/(D53+E53)</f>
        <v>0.549382716049383</v>
      </c>
      <c r="K53" s="3" t="n">
        <f aca="false">IF(D53&gt;E53,1,0)</f>
        <v>1</v>
      </c>
      <c r="L53" s="3" t="n">
        <f aca="false">IF(OR(F53="Y",G53="Y",H53="Y"),1,0)</f>
        <v>0</v>
      </c>
      <c r="M53" s="3" t="n">
        <f aca="false">IF(H53="Y",1,0)</f>
        <v>0</v>
      </c>
      <c r="N53" s="3" t="n">
        <f aca="false">IF(I53="Y",1,0)</f>
        <v>0</v>
      </c>
    </row>
    <row r="54" customFormat="false" ht="15" hidden="false" customHeight="true" outlineLevel="0" collapsed="false">
      <c r="A54" s="7" t="s">
        <v>71</v>
      </c>
      <c r="B54" s="7" t="n">
        <v>2013</v>
      </c>
      <c r="C54" s="7" t="s">
        <v>550</v>
      </c>
      <c r="D54" s="7" t="n">
        <v>78</v>
      </c>
      <c r="E54" s="7" t="n">
        <v>84</v>
      </c>
      <c r="F54" s="7" t="s">
        <v>546</v>
      </c>
      <c r="G54" s="7" t="s">
        <v>546</v>
      </c>
      <c r="H54" s="7" t="s">
        <v>546</v>
      </c>
      <c r="I54" s="7" t="s">
        <v>546</v>
      </c>
      <c r="J54" s="21" t="n">
        <f aca="false">D54/(D54+E54)</f>
        <v>0.481481481481481</v>
      </c>
      <c r="K54" s="3" t="n">
        <f aca="false">IF(D54&gt;E54,1,0)</f>
        <v>0</v>
      </c>
      <c r="L54" s="3" t="n">
        <f aca="false">IF(OR(F54="Y",G54="Y",H54="Y"),1,0)</f>
        <v>0</v>
      </c>
      <c r="M54" s="3" t="n">
        <f aca="false">IF(H54="Y",1,0)</f>
        <v>0</v>
      </c>
      <c r="N54" s="3" t="n">
        <f aca="false">IF(I54="Y",1,0)</f>
        <v>0</v>
      </c>
    </row>
    <row r="55" customFormat="false" ht="15" hidden="false" customHeight="true" outlineLevel="0" collapsed="false">
      <c r="A55" s="7" t="s">
        <v>71</v>
      </c>
      <c r="B55" s="7" t="n">
        <v>2014</v>
      </c>
      <c r="C55" s="7" t="s">
        <v>550</v>
      </c>
      <c r="D55" s="7" t="n">
        <v>98</v>
      </c>
      <c r="E55" s="7" t="n">
        <v>64</v>
      </c>
      <c r="F55" s="7" t="s">
        <v>548</v>
      </c>
      <c r="G55" s="7" t="s">
        <v>546</v>
      </c>
      <c r="H55" s="7" t="s">
        <v>546</v>
      </c>
      <c r="I55" s="7" t="s">
        <v>546</v>
      </c>
      <c r="J55" s="21" t="n">
        <f aca="false">D55/(D55+E55)</f>
        <v>0.604938271604938</v>
      </c>
      <c r="K55" s="3" t="n">
        <f aca="false">IF(D55&gt;E55,1,0)</f>
        <v>1</v>
      </c>
      <c r="L55" s="3" t="n">
        <f aca="false">IF(OR(F55="Y",G55="Y",H55="Y"),1,0)</f>
        <v>1</v>
      </c>
      <c r="M55" s="3" t="n">
        <f aca="false">IF(H55="Y",1,0)</f>
        <v>0</v>
      </c>
      <c r="N55" s="3" t="n">
        <f aca="false">IF(I55="Y",1,0)</f>
        <v>0</v>
      </c>
    </row>
    <row r="56" customFormat="false" ht="15" hidden="false" customHeight="true" outlineLevel="0" collapsed="false">
      <c r="A56" s="7" t="s">
        <v>71</v>
      </c>
      <c r="B56" s="7" t="n">
        <v>2015</v>
      </c>
      <c r="C56" s="7" t="s">
        <v>550</v>
      </c>
      <c r="D56" s="7" t="n">
        <v>85</v>
      </c>
      <c r="E56" s="7" t="n">
        <v>77</v>
      </c>
      <c r="F56" s="7" t="s">
        <v>546</v>
      </c>
      <c r="G56" s="7" t="s">
        <v>546</v>
      </c>
      <c r="H56" s="7" t="s">
        <v>546</v>
      </c>
      <c r="I56" s="7" t="s">
        <v>546</v>
      </c>
      <c r="J56" s="21" t="n">
        <f aca="false">D56/(D56+E56)</f>
        <v>0.524691358024691</v>
      </c>
      <c r="K56" s="3" t="n">
        <f aca="false">IF(D56&gt;E56,1,0)</f>
        <v>1</v>
      </c>
      <c r="L56" s="3" t="n">
        <f aca="false">IF(OR(F56="Y",G56="Y",H56="Y"),1,0)</f>
        <v>0</v>
      </c>
      <c r="M56" s="3" t="n">
        <f aca="false">IF(H56="Y",1,0)</f>
        <v>0</v>
      </c>
      <c r="N56" s="3" t="n">
        <f aca="false">IF(I56="Y",1,0)</f>
        <v>0</v>
      </c>
    </row>
    <row r="57" customFormat="false" ht="15" hidden="false" customHeight="true" outlineLevel="0" collapsed="false">
      <c r="A57" s="7" t="s">
        <v>71</v>
      </c>
      <c r="B57" s="7" t="n">
        <v>2016</v>
      </c>
      <c r="C57" s="7" t="s">
        <v>550</v>
      </c>
      <c r="D57" s="7" t="n">
        <v>74</v>
      </c>
      <c r="E57" s="7" t="n">
        <v>88</v>
      </c>
      <c r="F57" s="7" t="s">
        <v>546</v>
      </c>
      <c r="G57" s="7" t="s">
        <v>546</v>
      </c>
      <c r="H57" s="7" t="s">
        <v>546</v>
      </c>
      <c r="I57" s="7" t="s">
        <v>546</v>
      </c>
      <c r="J57" s="21" t="n">
        <f aca="false">D57/(D57+E57)</f>
        <v>0.45679012345679</v>
      </c>
      <c r="K57" s="3" t="n">
        <f aca="false">IF(D57&gt;E57,1,0)</f>
        <v>0</v>
      </c>
      <c r="L57" s="3" t="n">
        <f aca="false">IF(OR(F57="Y",G57="Y",H57="Y"),1,0)</f>
        <v>0</v>
      </c>
      <c r="M57" s="3" t="n">
        <f aca="false">IF(H57="Y",1,0)</f>
        <v>0</v>
      </c>
      <c r="N57" s="3" t="n">
        <f aca="false">IF(I57="Y",1,0)</f>
        <v>0</v>
      </c>
    </row>
    <row r="58" customFormat="false" ht="15" hidden="false" customHeight="true" outlineLevel="0" collapsed="false">
      <c r="A58" s="7" t="s">
        <v>71</v>
      </c>
      <c r="B58" s="7" t="n">
        <v>2017</v>
      </c>
      <c r="C58" s="7" t="s">
        <v>550</v>
      </c>
      <c r="D58" s="7" t="n">
        <v>80</v>
      </c>
      <c r="E58" s="7" t="n">
        <v>82</v>
      </c>
      <c r="F58" s="7" t="s">
        <v>546</v>
      </c>
      <c r="G58" s="7" t="s">
        <v>546</v>
      </c>
      <c r="H58" s="7" t="s">
        <v>546</v>
      </c>
      <c r="I58" s="7" t="s">
        <v>546</v>
      </c>
      <c r="J58" s="21" t="n">
        <f aca="false">D58/(D58+E58)</f>
        <v>0.493827160493827</v>
      </c>
      <c r="K58" s="3" t="n">
        <f aca="false">IF(D58&gt;E58,1,0)</f>
        <v>0</v>
      </c>
      <c r="L58" s="3" t="n">
        <f aca="false">IF(OR(F58="Y",G58="Y",H58="Y"),1,0)</f>
        <v>0</v>
      </c>
      <c r="M58" s="3" t="n">
        <f aca="false">IF(H58="Y",1,0)</f>
        <v>0</v>
      </c>
      <c r="N58" s="3" t="n">
        <f aca="false">IF(I58="Y",1,0)</f>
        <v>0</v>
      </c>
    </row>
    <row r="59" customFormat="false" ht="15" hidden="false" customHeight="true" outlineLevel="0" collapsed="false">
      <c r="A59" s="7" t="s">
        <v>71</v>
      </c>
      <c r="B59" s="7" t="n">
        <v>2018</v>
      </c>
      <c r="C59" s="7" t="s">
        <v>550</v>
      </c>
      <c r="D59" s="7" t="n">
        <v>80</v>
      </c>
      <c r="E59" s="7" t="n">
        <v>82</v>
      </c>
      <c r="F59" s="7" t="s">
        <v>546</v>
      </c>
      <c r="G59" s="7" t="s">
        <v>546</v>
      </c>
      <c r="H59" s="7" t="s">
        <v>546</v>
      </c>
      <c r="I59" s="7" t="s">
        <v>546</v>
      </c>
      <c r="J59" s="21" t="n">
        <f aca="false">D59/(D59+E59)</f>
        <v>0.493827160493827</v>
      </c>
      <c r="K59" s="3" t="n">
        <f aca="false">IF(D59&gt;E59,1,0)</f>
        <v>0</v>
      </c>
      <c r="L59" s="3" t="n">
        <f aca="false">IF(OR(F59="Y",G59="Y",H59="Y"),1,0)</f>
        <v>0</v>
      </c>
      <c r="M59" s="3" t="n">
        <f aca="false">IF(H59="Y",1,0)</f>
        <v>0</v>
      </c>
      <c r="N59" s="3" t="n">
        <f aca="false">IF(I59="Y",1,0)</f>
        <v>0</v>
      </c>
    </row>
    <row r="60" customFormat="false" ht="15" hidden="false" customHeight="true" outlineLevel="0" collapsed="false">
      <c r="A60" s="7" t="s">
        <v>71</v>
      </c>
      <c r="B60" s="7" t="n">
        <v>2019</v>
      </c>
      <c r="C60" s="7" t="s">
        <v>550</v>
      </c>
      <c r="D60" s="7" t="n">
        <v>72</v>
      </c>
      <c r="E60" s="7" t="n">
        <v>90</v>
      </c>
      <c r="F60" s="7" t="s">
        <v>546</v>
      </c>
      <c r="G60" s="7" t="s">
        <v>546</v>
      </c>
      <c r="H60" s="7" t="s">
        <v>546</v>
      </c>
      <c r="I60" s="7" t="s">
        <v>546</v>
      </c>
      <c r="J60" s="21" t="n">
        <f aca="false">D60/(D60+E60)</f>
        <v>0.444444444444444</v>
      </c>
      <c r="K60" s="3" t="n">
        <f aca="false">IF(D60&gt;E60,1,0)</f>
        <v>0</v>
      </c>
      <c r="L60" s="3" t="n">
        <f aca="false">IF(OR(F60="Y",G60="Y",H60="Y"),1,0)</f>
        <v>0</v>
      </c>
      <c r="M60" s="3" t="n">
        <f aca="false">IF(H60="Y",1,0)</f>
        <v>0</v>
      </c>
      <c r="N60" s="3" t="n">
        <f aca="false">IF(I60="Y",1,0)</f>
        <v>0</v>
      </c>
    </row>
    <row r="61" customFormat="false" ht="15" hidden="false" customHeight="true" outlineLevel="0" collapsed="false">
      <c r="A61" s="7" t="s">
        <v>71</v>
      </c>
      <c r="B61" s="7" t="n">
        <v>2020</v>
      </c>
      <c r="C61" s="7" t="s">
        <v>550</v>
      </c>
      <c r="D61" s="7" t="n">
        <v>26</v>
      </c>
      <c r="E61" s="7" t="n">
        <v>34</v>
      </c>
      <c r="F61" s="7" t="s">
        <v>546</v>
      </c>
      <c r="G61" s="7" t="s">
        <v>546</v>
      </c>
      <c r="H61" s="7" t="s">
        <v>546</v>
      </c>
      <c r="I61" s="7" t="s">
        <v>546</v>
      </c>
      <c r="J61" s="21" t="n">
        <f aca="false">D61/(D61+E61)</f>
        <v>0.433333333333333</v>
      </c>
      <c r="K61" s="3" t="n">
        <f aca="false">IF(D61&gt;E61,1,0)</f>
        <v>0</v>
      </c>
      <c r="L61" s="3" t="n">
        <f aca="false">IF(OR(F61="Y",G61="Y",H61="Y"),1,0)</f>
        <v>0</v>
      </c>
      <c r="M61" s="3" t="n">
        <f aca="false">IF(H61="Y",1,0)</f>
        <v>0</v>
      </c>
      <c r="N61" s="3" t="n">
        <f aca="false">IF(I61="Y",1,0)</f>
        <v>0</v>
      </c>
    </row>
    <row r="62" customFormat="false" ht="15" hidden="false" customHeight="true" outlineLevel="0" collapsed="false">
      <c r="A62" s="7" t="s">
        <v>71</v>
      </c>
      <c r="B62" s="7" t="n">
        <v>2021</v>
      </c>
      <c r="C62" s="7" t="s">
        <v>550</v>
      </c>
      <c r="D62" s="7" t="n">
        <v>77</v>
      </c>
      <c r="E62" s="7" t="n">
        <v>85</v>
      </c>
      <c r="F62" s="7" t="s">
        <v>546</v>
      </c>
      <c r="G62" s="7" t="s">
        <v>546</v>
      </c>
      <c r="H62" s="7" t="s">
        <v>546</v>
      </c>
      <c r="I62" s="7" t="s">
        <v>546</v>
      </c>
      <c r="J62" s="21" t="n">
        <f aca="false">D62/(D62+E62)</f>
        <v>0.475308641975309</v>
      </c>
      <c r="K62" s="3" t="n">
        <f aca="false">IF(D62&gt;E62,1,0)</f>
        <v>0</v>
      </c>
      <c r="L62" s="3" t="n">
        <f aca="false">IF(OR(F62="Y",G62="Y",H62="Y"),1,0)</f>
        <v>0</v>
      </c>
      <c r="M62" s="3" t="n">
        <f aca="false">IF(H62="Y",1,0)</f>
        <v>0</v>
      </c>
      <c r="N62" s="3" t="n">
        <f aca="false">IF(I62="Y",1,0)</f>
        <v>0</v>
      </c>
    </row>
    <row r="63" customFormat="false" ht="15" hidden="false" customHeight="true" outlineLevel="0" collapsed="false">
      <c r="A63" s="7" t="s">
        <v>71</v>
      </c>
      <c r="B63" s="7" t="n">
        <v>2022</v>
      </c>
      <c r="C63" s="7" t="s">
        <v>550</v>
      </c>
      <c r="D63" s="7" t="n">
        <v>73</v>
      </c>
      <c r="E63" s="7" t="n">
        <v>89</v>
      </c>
      <c r="F63" s="7" t="s">
        <v>546</v>
      </c>
      <c r="G63" s="7" t="s">
        <v>546</v>
      </c>
      <c r="H63" s="7" t="s">
        <v>546</v>
      </c>
      <c r="I63" s="7" t="s">
        <v>546</v>
      </c>
      <c r="J63" s="21" t="n">
        <f aca="false">D63/(D63+E63)</f>
        <v>0.450617283950617</v>
      </c>
      <c r="K63" s="3" t="n">
        <f aca="false">IF(D63&gt;E63,1,0)</f>
        <v>0</v>
      </c>
      <c r="L63" s="3" t="n">
        <f aca="false">IF(OR(F63="Y",G63="Y",H63="Y"),1,0)</f>
        <v>0</v>
      </c>
      <c r="M63" s="3" t="n">
        <f aca="false">IF(H63="Y",1,0)</f>
        <v>0</v>
      </c>
      <c r="N63" s="3" t="n">
        <f aca="false">IF(I63="Y",1,0)</f>
        <v>0</v>
      </c>
    </row>
    <row r="64" customFormat="false" ht="15" hidden="false" customHeight="true" outlineLevel="0" collapsed="false">
      <c r="A64" s="7" t="s">
        <v>71</v>
      </c>
      <c r="B64" s="7" t="n">
        <v>2023</v>
      </c>
      <c r="C64" s="7" t="s">
        <v>550</v>
      </c>
      <c r="D64" s="7" t="n">
        <v>73</v>
      </c>
      <c r="E64" s="7" t="n">
        <v>89</v>
      </c>
      <c r="F64" s="7" t="s">
        <v>546</v>
      </c>
      <c r="G64" s="7" t="s">
        <v>546</v>
      </c>
      <c r="H64" s="7" t="s">
        <v>546</v>
      </c>
      <c r="I64" s="7" t="s">
        <v>546</v>
      </c>
      <c r="J64" s="21" t="n">
        <f aca="false">D64/(D64+E64)</f>
        <v>0.450617283950617</v>
      </c>
      <c r="K64" s="3" t="n">
        <f aca="false">IF(D64&gt;E64,1,0)</f>
        <v>0</v>
      </c>
      <c r="L64" s="3" t="n">
        <f aca="false">IF(OR(F64="Y",G64="Y",H64="Y"),1,0)</f>
        <v>0</v>
      </c>
      <c r="M64" s="3" t="n">
        <f aca="false">IF(H64="Y",1,0)</f>
        <v>0</v>
      </c>
      <c r="N64" s="3" t="n">
        <f aca="false">IF(I64="Y",1,0)</f>
        <v>0</v>
      </c>
    </row>
    <row r="65" customFormat="false" ht="15" hidden="false" customHeight="true" outlineLevel="0" collapsed="false">
      <c r="A65" s="7" t="s">
        <v>71</v>
      </c>
      <c r="B65" s="7" t="n">
        <v>2024</v>
      </c>
      <c r="C65" s="7" t="s">
        <v>550</v>
      </c>
      <c r="D65" s="7" t="n">
        <v>63</v>
      </c>
      <c r="E65" s="7" t="n">
        <v>99</v>
      </c>
      <c r="F65" s="7" t="s">
        <v>546</v>
      </c>
      <c r="G65" s="7" t="s">
        <v>546</v>
      </c>
      <c r="H65" s="7" t="s">
        <v>546</v>
      </c>
      <c r="I65" s="7" t="s">
        <v>546</v>
      </c>
      <c r="J65" s="21" t="n">
        <f aca="false">D65/(D65+E65)</f>
        <v>0.388888888888889</v>
      </c>
      <c r="K65" s="3" t="n">
        <f aca="false">IF(D65&gt;E65,1,0)</f>
        <v>0</v>
      </c>
      <c r="L65" s="3" t="n">
        <f aca="false">IF(OR(F65="Y",G65="Y",H65="Y"),1,0)</f>
        <v>0</v>
      </c>
      <c r="M65" s="3" t="n">
        <f aca="false">IF(H65="Y",1,0)</f>
        <v>0</v>
      </c>
      <c r="N65" s="3" t="n">
        <f aca="false">IF(I65="Y",1,0)</f>
        <v>0</v>
      </c>
    </row>
    <row r="66" customFormat="false" ht="15" hidden="false" customHeight="true" outlineLevel="0" collapsed="false">
      <c r="A66" s="7" t="s">
        <v>71</v>
      </c>
      <c r="B66" s="7" t="n">
        <v>2025</v>
      </c>
      <c r="C66" s="7" t="s">
        <v>550</v>
      </c>
      <c r="D66" s="7" t="n">
        <v>72</v>
      </c>
      <c r="E66" s="7" t="n">
        <v>90</v>
      </c>
      <c r="F66" s="7" t="s">
        <v>546</v>
      </c>
      <c r="G66" s="7" t="s">
        <v>546</v>
      </c>
      <c r="H66" s="7" t="s">
        <v>546</v>
      </c>
      <c r="I66" s="7" t="s">
        <v>546</v>
      </c>
      <c r="J66" s="21" t="n">
        <f aca="false">D66/(D66+E66)</f>
        <v>0.444444444444444</v>
      </c>
      <c r="K66" s="3" t="n">
        <f aca="false">IF(D66&gt;E66,1,0)</f>
        <v>0</v>
      </c>
      <c r="L66" s="3" t="n">
        <f aca="false">IF(OR(F66="Y",G66="Y",H66="Y"),1,0)</f>
        <v>0</v>
      </c>
      <c r="M66" s="3" t="n">
        <f aca="false">IF(H66="Y",1,0)</f>
        <v>0</v>
      </c>
      <c r="N66" s="3" t="n">
        <f aca="false">IF(I66="Y",1,0)</f>
        <v>0</v>
      </c>
    </row>
    <row r="67" customFormat="false" ht="15" hidden="false" customHeight="true" outlineLevel="0" collapsed="false">
      <c r="A67" s="7" t="s">
        <v>84</v>
      </c>
      <c r="B67" s="7" t="n">
        <v>1998</v>
      </c>
      <c r="C67" s="7" t="s">
        <v>388</v>
      </c>
      <c r="D67" s="7" t="n">
        <v>65</v>
      </c>
      <c r="E67" s="7" t="n">
        <v>97</v>
      </c>
      <c r="F67" s="7" t="s">
        <v>546</v>
      </c>
      <c r="G67" s="7" t="s">
        <v>546</v>
      </c>
      <c r="H67" s="7" t="s">
        <v>546</v>
      </c>
      <c r="I67" s="7" t="s">
        <v>546</v>
      </c>
      <c r="J67" s="21" t="n">
        <f aca="false">D67/(D67+E67)</f>
        <v>0.401234567901235</v>
      </c>
      <c r="K67" s="3" t="n">
        <f aca="false">IF(D67&gt;E67,1,0)</f>
        <v>0</v>
      </c>
      <c r="L67" s="3" t="n">
        <f aca="false">IF(OR(F67="Y",G67="Y",H67="Y"),1,0)</f>
        <v>0</v>
      </c>
      <c r="M67" s="3" t="n">
        <f aca="false">IF(H67="Y",1,0)</f>
        <v>0</v>
      </c>
      <c r="N67" s="3" t="n">
        <f aca="false">IF(I67="Y",1,0)</f>
        <v>0</v>
      </c>
    </row>
    <row r="68" customFormat="false" ht="15" hidden="false" customHeight="true" outlineLevel="0" collapsed="false">
      <c r="A68" s="7" t="s">
        <v>84</v>
      </c>
      <c r="B68" s="7" t="n">
        <v>1999</v>
      </c>
      <c r="C68" s="7" t="s">
        <v>388</v>
      </c>
      <c r="D68" s="7" t="n">
        <v>100</v>
      </c>
      <c r="E68" s="7" t="n">
        <v>62</v>
      </c>
      <c r="F68" s="7" t="s">
        <v>548</v>
      </c>
      <c r="G68" s="7" t="s">
        <v>546</v>
      </c>
      <c r="H68" s="7" t="s">
        <v>546</v>
      </c>
      <c r="I68" s="7" t="s">
        <v>546</v>
      </c>
      <c r="J68" s="21" t="n">
        <f aca="false">D68/(D68+E68)</f>
        <v>0.617283950617284</v>
      </c>
      <c r="K68" s="3" t="n">
        <f aca="false">IF(D68&gt;E68,1,0)</f>
        <v>1</v>
      </c>
      <c r="L68" s="3" t="n">
        <f aca="false">IF(OR(F68="Y",G68="Y",H68="Y"),1,0)</f>
        <v>1</v>
      </c>
      <c r="M68" s="3" t="n">
        <f aca="false">IF(H68="Y",1,0)</f>
        <v>0</v>
      </c>
      <c r="N68" s="3" t="n">
        <f aca="false">IF(I68="Y",1,0)</f>
        <v>0</v>
      </c>
    </row>
    <row r="69" customFormat="false" ht="15" hidden="false" customHeight="true" outlineLevel="0" collapsed="false">
      <c r="A69" s="7" t="s">
        <v>84</v>
      </c>
      <c r="B69" s="7" t="n">
        <v>2000</v>
      </c>
      <c r="C69" s="7" t="s">
        <v>388</v>
      </c>
      <c r="D69" s="7" t="n">
        <v>85</v>
      </c>
      <c r="E69" s="7" t="n">
        <v>77</v>
      </c>
      <c r="F69" s="7" t="s">
        <v>546</v>
      </c>
      <c r="G69" s="7" t="s">
        <v>546</v>
      </c>
      <c r="H69" s="7" t="s">
        <v>546</v>
      </c>
      <c r="I69" s="7" t="s">
        <v>546</v>
      </c>
      <c r="J69" s="21" t="n">
        <f aca="false">D69/(D69+E69)</f>
        <v>0.524691358024691</v>
      </c>
      <c r="K69" s="3" t="n">
        <f aca="false">IF(D69&gt;E69,1,0)</f>
        <v>1</v>
      </c>
      <c r="L69" s="3" t="n">
        <f aca="false">IF(OR(F69="Y",G69="Y",H69="Y"),1,0)</f>
        <v>0</v>
      </c>
      <c r="M69" s="3" t="n">
        <f aca="false">IF(H69="Y",1,0)</f>
        <v>0</v>
      </c>
      <c r="N69" s="3" t="n">
        <f aca="false">IF(I69="Y",1,0)</f>
        <v>0</v>
      </c>
    </row>
    <row r="70" customFormat="false" ht="15" hidden="false" customHeight="true" outlineLevel="0" collapsed="false">
      <c r="A70" s="7" t="s">
        <v>84</v>
      </c>
      <c r="B70" s="7" t="n">
        <v>2001</v>
      </c>
      <c r="C70" s="7" t="s">
        <v>388</v>
      </c>
      <c r="D70" s="7" t="n">
        <v>92</v>
      </c>
      <c r="E70" s="7" t="n">
        <v>70</v>
      </c>
      <c r="F70" s="7" t="s">
        <v>548</v>
      </c>
      <c r="G70" s="7" t="s">
        <v>546</v>
      </c>
      <c r="H70" s="7" t="s">
        <v>548</v>
      </c>
      <c r="I70" s="7" t="s">
        <v>548</v>
      </c>
      <c r="J70" s="21" t="n">
        <f aca="false">D70/(D70+E70)</f>
        <v>0.567901234567901</v>
      </c>
      <c r="K70" s="3" t="n">
        <f aca="false">IF(D70&gt;E70,1,0)</f>
        <v>1</v>
      </c>
      <c r="L70" s="3" t="n">
        <f aca="false">IF(OR(F70="Y",G70="Y",H70="Y"),1,0)</f>
        <v>1</v>
      </c>
      <c r="M70" s="3" t="n">
        <f aca="false">IF(H70="Y",1,0)</f>
        <v>1</v>
      </c>
      <c r="N70" s="3" t="n">
        <f aca="false">IF(I70="Y",1,0)</f>
        <v>1</v>
      </c>
    </row>
    <row r="71" customFormat="false" ht="15" hidden="false" customHeight="true" outlineLevel="0" collapsed="false">
      <c r="A71" s="7" t="s">
        <v>84</v>
      </c>
      <c r="B71" s="7" t="n">
        <v>2002</v>
      </c>
      <c r="C71" s="7" t="s">
        <v>388</v>
      </c>
      <c r="D71" s="7" t="n">
        <v>98</v>
      </c>
      <c r="E71" s="7" t="n">
        <v>64</v>
      </c>
      <c r="F71" s="7" t="s">
        <v>548</v>
      </c>
      <c r="G71" s="7" t="s">
        <v>546</v>
      </c>
      <c r="H71" s="7" t="s">
        <v>546</v>
      </c>
      <c r="I71" s="7" t="s">
        <v>546</v>
      </c>
      <c r="J71" s="21" t="n">
        <f aca="false">D71/(D71+E71)</f>
        <v>0.604938271604938</v>
      </c>
      <c r="K71" s="3" t="n">
        <f aca="false">IF(D71&gt;E71,1,0)</f>
        <v>1</v>
      </c>
      <c r="L71" s="3" t="n">
        <f aca="false">IF(OR(F71="Y",G71="Y",H71="Y"),1,0)</f>
        <v>1</v>
      </c>
      <c r="M71" s="3" t="n">
        <f aca="false">IF(H71="Y",1,0)</f>
        <v>0</v>
      </c>
      <c r="N71" s="3" t="n">
        <f aca="false">IF(I71="Y",1,0)</f>
        <v>0</v>
      </c>
    </row>
    <row r="72" customFormat="false" ht="15" hidden="false" customHeight="true" outlineLevel="0" collapsed="false">
      <c r="A72" s="7" t="s">
        <v>84</v>
      </c>
      <c r="B72" s="7" t="n">
        <v>2003</v>
      </c>
      <c r="C72" s="7" t="s">
        <v>388</v>
      </c>
      <c r="D72" s="7" t="n">
        <v>84</v>
      </c>
      <c r="E72" s="7" t="n">
        <v>78</v>
      </c>
      <c r="F72" s="7" t="s">
        <v>546</v>
      </c>
      <c r="G72" s="7" t="s">
        <v>546</v>
      </c>
      <c r="H72" s="7" t="s">
        <v>546</v>
      </c>
      <c r="I72" s="7" t="s">
        <v>546</v>
      </c>
      <c r="J72" s="21" t="n">
        <f aca="false">D72/(D72+E72)</f>
        <v>0.518518518518519</v>
      </c>
      <c r="K72" s="3" t="n">
        <f aca="false">IF(D72&gt;E72,1,0)</f>
        <v>1</v>
      </c>
      <c r="L72" s="3" t="n">
        <f aca="false">IF(OR(F72="Y",G72="Y",H72="Y"),1,0)</f>
        <v>0</v>
      </c>
      <c r="M72" s="3" t="n">
        <f aca="false">IF(H72="Y",1,0)</f>
        <v>0</v>
      </c>
      <c r="N72" s="3" t="n">
        <f aca="false">IF(I72="Y",1,0)</f>
        <v>0</v>
      </c>
    </row>
    <row r="73" customFormat="false" ht="15" hidden="false" customHeight="true" outlineLevel="0" collapsed="false">
      <c r="A73" s="7" t="s">
        <v>84</v>
      </c>
      <c r="B73" s="7" t="n">
        <v>2004</v>
      </c>
      <c r="C73" s="7" t="s">
        <v>388</v>
      </c>
      <c r="D73" s="7" t="n">
        <v>51</v>
      </c>
      <c r="E73" s="7" t="n">
        <v>111</v>
      </c>
      <c r="F73" s="7" t="s">
        <v>546</v>
      </c>
      <c r="G73" s="7" t="s">
        <v>546</v>
      </c>
      <c r="H73" s="7" t="s">
        <v>546</v>
      </c>
      <c r="I73" s="7" t="s">
        <v>546</v>
      </c>
      <c r="J73" s="21" t="n">
        <f aca="false">D73/(D73+E73)</f>
        <v>0.314814814814815</v>
      </c>
      <c r="K73" s="3" t="n">
        <f aca="false">IF(D73&gt;E73,1,0)</f>
        <v>0</v>
      </c>
      <c r="L73" s="3" t="n">
        <f aca="false">IF(OR(F73="Y",G73="Y",H73="Y"),1,0)</f>
        <v>0</v>
      </c>
      <c r="M73" s="3" t="n">
        <f aca="false">IF(H73="Y",1,0)</f>
        <v>0</v>
      </c>
      <c r="N73" s="3" t="n">
        <f aca="false">IF(I73="Y",1,0)</f>
        <v>0</v>
      </c>
    </row>
    <row r="74" customFormat="false" ht="15" hidden="false" customHeight="true" outlineLevel="0" collapsed="false">
      <c r="A74" s="7" t="s">
        <v>84</v>
      </c>
      <c r="B74" s="7" t="n">
        <v>2005</v>
      </c>
      <c r="C74" s="7" t="s">
        <v>388</v>
      </c>
      <c r="D74" s="7" t="n">
        <v>77</v>
      </c>
      <c r="E74" s="7" t="n">
        <v>85</v>
      </c>
      <c r="F74" s="7" t="s">
        <v>546</v>
      </c>
      <c r="G74" s="7" t="s">
        <v>546</v>
      </c>
      <c r="H74" s="7" t="s">
        <v>546</v>
      </c>
      <c r="I74" s="7" t="s">
        <v>546</v>
      </c>
      <c r="J74" s="21" t="n">
        <f aca="false">D74/(D74+E74)</f>
        <v>0.475308641975309</v>
      </c>
      <c r="K74" s="3" t="n">
        <f aca="false">IF(D74&gt;E74,1,0)</f>
        <v>0</v>
      </c>
      <c r="L74" s="3" t="n">
        <f aca="false">IF(OR(F74="Y",G74="Y",H74="Y"),1,0)</f>
        <v>0</v>
      </c>
      <c r="M74" s="3" t="n">
        <f aca="false">IF(H74="Y",1,0)</f>
        <v>0</v>
      </c>
      <c r="N74" s="3" t="n">
        <f aca="false">IF(I74="Y",1,0)</f>
        <v>0</v>
      </c>
    </row>
    <row r="75" customFormat="false" ht="15" hidden="false" customHeight="true" outlineLevel="0" collapsed="false">
      <c r="A75" s="7" t="s">
        <v>84</v>
      </c>
      <c r="B75" s="7" t="n">
        <v>2006</v>
      </c>
      <c r="C75" s="7" t="s">
        <v>388</v>
      </c>
      <c r="D75" s="7" t="n">
        <v>76</v>
      </c>
      <c r="E75" s="7" t="n">
        <v>86</v>
      </c>
      <c r="F75" s="7" t="s">
        <v>546</v>
      </c>
      <c r="G75" s="7" t="s">
        <v>546</v>
      </c>
      <c r="H75" s="7" t="s">
        <v>546</v>
      </c>
      <c r="I75" s="7" t="s">
        <v>546</v>
      </c>
      <c r="J75" s="21" t="n">
        <f aca="false">D75/(D75+E75)</f>
        <v>0.469135802469136</v>
      </c>
      <c r="K75" s="3" t="n">
        <f aca="false">IF(D75&gt;E75,1,0)</f>
        <v>0</v>
      </c>
      <c r="L75" s="3" t="n">
        <f aca="false">IF(OR(F75="Y",G75="Y",H75="Y"),1,0)</f>
        <v>0</v>
      </c>
      <c r="M75" s="3" t="n">
        <f aca="false">IF(H75="Y",1,0)</f>
        <v>0</v>
      </c>
      <c r="N75" s="3" t="n">
        <f aca="false">IF(I75="Y",1,0)</f>
        <v>0</v>
      </c>
    </row>
    <row r="76" customFormat="false" ht="15" hidden="false" customHeight="true" outlineLevel="0" collapsed="false">
      <c r="A76" s="7" t="s">
        <v>84</v>
      </c>
      <c r="B76" s="7" t="n">
        <v>2007</v>
      </c>
      <c r="C76" s="7" t="s">
        <v>388</v>
      </c>
      <c r="D76" s="7" t="n">
        <v>90</v>
      </c>
      <c r="E76" s="7" t="n">
        <v>72</v>
      </c>
      <c r="F76" s="7" t="s">
        <v>548</v>
      </c>
      <c r="G76" s="7" t="s">
        <v>546</v>
      </c>
      <c r="H76" s="7" t="s">
        <v>546</v>
      </c>
      <c r="I76" s="7" t="s">
        <v>546</v>
      </c>
      <c r="J76" s="21" t="n">
        <f aca="false">D76/(D76+E76)</f>
        <v>0.555555555555556</v>
      </c>
      <c r="K76" s="3" t="n">
        <f aca="false">IF(D76&gt;E76,1,0)</f>
        <v>1</v>
      </c>
      <c r="L76" s="3" t="n">
        <f aca="false">IF(OR(F76="Y",G76="Y",H76="Y"),1,0)</f>
        <v>1</v>
      </c>
      <c r="M76" s="3" t="n">
        <f aca="false">IF(H76="Y",1,0)</f>
        <v>0</v>
      </c>
      <c r="N76" s="3" t="n">
        <f aca="false">IF(I76="Y",1,0)</f>
        <v>0</v>
      </c>
    </row>
    <row r="77" customFormat="false" ht="15" hidden="false" customHeight="true" outlineLevel="0" collapsed="false">
      <c r="A77" s="7" t="s">
        <v>84</v>
      </c>
      <c r="B77" s="7" t="n">
        <v>2008</v>
      </c>
      <c r="C77" s="7" t="s">
        <v>388</v>
      </c>
      <c r="D77" s="7" t="n">
        <v>82</v>
      </c>
      <c r="E77" s="7" t="n">
        <v>80</v>
      </c>
      <c r="F77" s="7" t="s">
        <v>546</v>
      </c>
      <c r="G77" s="7" t="s">
        <v>546</v>
      </c>
      <c r="H77" s="7" t="s">
        <v>546</v>
      </c>
      <c r="I77" s="7" t="s">
        <v>546</v>
      </c>
      <c r="J77" s="21" t="n">
        <f aca="false">D77/(D77+E77)</f>
        <v>0.506172839506173</v>
      </c>
      <c r="K77" s="3" t="n">
        <f aca="false">IF(D77&gt;E77,1,0)</f>
        <v>1</v>
      </c>
      <c r="L77" s="3" t="n">
        <f aca="false">IF(OR(F77="Y",G77="Y",H77="Y"),1,0)</f>
        <v>0</v>
      </c>
      <c r="M77" s="3" t="n">
        <f aca="false">IF(H77="Y",1,0)</f>
        <v>0</v>
      </c>
      <c r="N77" s="3" t="n">
        <f aca="false">IF(I77="Y",1,0)</f>
        <v>0</v>
      </c>
    </row>
    <row r="78" customFormat="false" ht="15" hidden="false" customHeight="true" outlineLevel="0" collapsed="false">
      <c r="A78" s="7" t="s">
        <v>84</v>
      </c>
      <c r="B78" s="7" t="n">
        <v>2009</v>
      </c>
      <c r="C78" s="7" t="s">
        <v>388</v>
      </c>
      <c r="D78" s="7" t="n">
        <v>70</v>
      </c>
      <c r="E78" s="7" t="n">
        <v>92</v>
      </c>
      <c r="F78" s="7" t="s">
        <v>546</v>
      </c>
      <c r="G78" s="7" t="s">
        <v>546</v>
      </c>
      <c r="H78" s="7" t="s">
        <v>546</v>
      </c>
      <c r="I78" s="7" t="s">
        <v>546</v>
      </c>
      <c r="J78" s="21" t="n">
        <f aca="false">D78/(D78+E78)</f>
        <v>0.432098765432099</v>
      </c>
      <c r="K78" s="3" t="n">
        <f aca="false">IF(D78&gt;E78,1,0)</f>
        <v>0</v>
      </c>
      <c r="L78" s="3" t="n">
        <f aca="false">IF(OR(F78="Y",G78="Y",H78="Y"),1,0)</f>
        <v>0</v>
      </c>
      <c r="M78" s="3" t="n">
        <f aca="false">IF(H78="Y",1,0)</f>
        <v>0</v>
      </c>
      <c r="N78" s="3" t="n">
        <f aca="false">IF(I78="Y",1,0)</f>
        <v>0</v>
      </c>
    </row>
    <row r="79" customFormat="false" ht="15" hidden="false" customHeight="true" outlineLevel="0" collapsed="false">
      <c r="A79" s="7" t="s">
        <v>84</v>
      </c>
      <c r="B79" s="7" t="n">
        <v>2010</v>
      </c>
      <c r="C79" s="7" t="s">
        <v>388</v>
      </c>
      <c r="D79" s="7" t="n">
        <v>65</v>
      </c>
      <c r="E79" s="7" t="n">
        <v>97</v>
      </c>
      <c r="F79" s="7" t="s">
        <v>546</v>
      </c>
      <c r="G79" s="7" t="s">
        <v>546</v>
      </c>
      <c r="H79" s="7" t="s">
        <v>546</v>
      </c>
      <c r="I79" s="7" t="s">
        <v>546</v>
      </c>
      <c r="J79" s="21" t="n">
        <f aca="false">D79/(D79+E79)</f>
        <v>0.401234567901235</v>
      </c>
      <c r="K79" s="3" t="n">
        <f aca="false">IF(D79&gt;E79,1,0)</f>
        <v>0</v>
      </c>
      <c r="L79" s="3" t="n">
        <f aca="false">IF(OR(F79="Y",G79="Y",H79="Y"),1,0)</f>
        <v>0</v>
      </c>
      <c r="M79" s="3" t="n">
        <f aca="false">IF(H79="Y",1,0)</f>
        <v>0</v>
      </c>
      <c r="N79" s="3" t="n">
        <f aca="false">IF(I79="Y",1,0)</f>
        <v>0</v>
      </c>
    </row>
    <row r="80" customFormat="false" ht="15" hidden="false" customHeight="true" outlineLevel="0" collapsed="false">
      <c r="A80" s="7" t="s">
        <v>84</v>
      </c>
      <c r="B80" s="7" t="n">
        <v>2011</v>
      </c>
      <c r="C80" s="7" t="s">
        <v>388</v>
      </c>
      <c r="D80" s="7" t="n">
        <v>94</v>
      </c>
      <c r="E80" s="7" t="n">
        <v>68</v>
      </c>
      <c r="F80" s="7" t="s">
        <v>548</v>
      </c>
      <c r="G80" s="7" t="s">
        <v>546</v>
      </c>
      <c r="H80" s="7" t="s">
        <v>546</v>
      </c>
      <c r="I80" s="7" t="s">
        <v>546</v>
      </c>
      <c r="J80" s="21" t="n">
        <f aca="false">D80/(D80+E80)</f>
        <v>0.580246913580247</v>
      </c>
      <c r="K80" s="3" t="n">
        <f aca="false">IF(D80&gt;E80,1,0)</f>
        <v>1</v>
      </c>
      <c r="L80" s="3" t="n">
        <f aca="false">IF(OR(F80="Y",G80="Y",H80="Y"),1,0)</f>
        <v>1</v>
      </c>
      <c r="M80" s="3" t="n">
        <f aca="false">IF(H80="Y",1,0)</f>
        <v>0</v>
      </c>
      <c r="N80" s="3" t="n">
        <f aca="false">IF(I80="Y",1,0)</f>
        <v>0</v>
      </c>
    </row>
    <row r="81" customFormat="false" ht="15" hidden="false" customHeight="true" outlineLevel="0" collapsed="false">
      <c r="A81" s="7" t="s">
        <v>84</v>
      </c>
      <c r="B81" s="7" t="n">
        <v>2012</v>
      </c>
      <c r="C81" s="7" t="s">
        <v>388</v>
      </c>
      <c r="D81" s="7" t="n">
        <v>81</v>
      </c>
      <c r="E81" s="7" t="n">
        <v>81</v>
      </c>
      <c r="F81" s="7" t="s">
        <v>546</v>
      </c>
      <c r="G81" s="7" t="s">
        <v>546</v>
      </c>
      <c r="H81" s="7" t="s">
        <v>546</v>
      </c>
      <c r="I81" s="7" t="s">
        <v>546</v>
      </c>
      <c r="J81" s="21" t="n">
        <f aca="false">D81/(D81+E81)</f>
        <v>0.5</v>
      </c>
      <c r="K81" s="3" t="n">
        <f aca="false">IF(D81&gt;E81,1,0)</f>
        <v>0</v>
      </c>
      <c r="L81" s="3" t="n">
        <f aca="false">IF(OR(F81="Y",G81="Y",H81="Y"),1,0)</f>
        <v>0</v>
      </c>
      <c r="M81" s="3" t="n">
        <f aca="false">IF(H81="Y",1,0)</f>
        <v>0</v>
      </c>
      <c r="N81" s="3" t="n">
        <f aca="false">IF(I81="Y",1,0)</f>
        <v>0</v>
      </c>
    </row>
    <row r="82" customFormat="false" ht="15" hidden="false" customHeight="true" outlineLevel="0" collapsed="false">
      <c r="A82" s="7" t="s">
        <v>84</v>
      </c>
      <c r="B82" s="7" t="n">
        <v>2013</v>
      </c>
      <c r="C82" s="7" t="s">
        <v>388</v>
      </c>
      <c r="D82" s="7" t="n">
        <v>81</v>
      </c>
      <c r="E82" s="7" t="n">
        <v>81</v>
      </c>
      <c r="F82" s="7" t="s">
        <v>546</v>
      </c>
      <c r="G82" s="7" t="s">
        <v>546</v>
      </c>
      <c r="H82" s="7" t="s">
        <v>546</v>
      </c>
      <c r="I82" s="7" t="s">
        <v>546</v>
      </c>
      <c r="J82" s="21" t="n">
        <f aca="false">D82/(D82+E82)</f>
        <v>0.5</v>
      </c>
      <c r="K82" s="3" t="n">
        <f aca="false">IF(D82&gt;E82,1,0)</f>
        <v>0</v>
      </c>
      <c r="L82" s="3" t="n">
        <f aca="false">IF(OR(F82="Y",G82="Y",H82="Y"),1,0)</f>
        <v>0</v>
      </c>
      <c r="M82" s="3" t="n">
        <f aca="false">IF(H82="Y",1,0)</f>
        <v>0</v>
      </c>
      <c r="N82" s="3" t="n">
        <f aca="false">IF(I82="Y",1,0)</f>
        <v>0</v>
      </c>
    </row>
    <row r="83" customFormat="false" ht="15" hidden="false" customHeight="true" outlineLevel="0" collapsed="false">
      <c r="A83" s="7" t="s">
        <v>84</v>
      </c>
      <c r="B83" s="7" t="n">
        <v>2014</v>
      </c>
      <c r="C83" s="7" t="s">
        <v>388</v>
      </c>
      <c r="D83" s="7" t="n">
        <v>64</v>
      </c>
      <c r="E83" s="7" t="n">
        <v>98</v>
      </c>
      <c r="F83" s="7" t="s">
        <v>546</v>
      </c>
      <c r="G83" s="7" t="s">
        <v>546</v>
      </c>
      <c r="H83" s="7" t="s">
        <v>546</v>
      </c>
      <c r="I83" s="7" t="s">
        <v>546</v>
      </c>
      <c r="J83" s="21" t="n">
        <f aca="false">D83/(D83+E83)</f>
        <v>0.395061728395062</v>
      </c>
      <c r="K83" s="3" t="n">
        <f aca="false">IF(D83&gt;E83,1,0)</f>
        <v>0</v>
      </c>
      <c r="L83" s="3" t="n">
        <f aca="false">IF(OR(F83="Y",G83="Y",H83="Y"),1,0)</f>
        <v>0</v>
      </c>
      <c r="M83" s="3" t="n">
        <f aca="false">IF(H83="Y",1,0)</f>
        <v>0</v>
      </c>
      <c r="N83" s="3" t="n">
        <f aca="false">IF(I83="Y",1,0)</f>
        <v>0</v>
      </c>
    </row>
    <row r="84" customFormat="false" ht="15" hidden="false" customHeight="true" outlineLevel="0" collapsed="false">
      <c r="A84" s="7" t="s">
        <v>84</v>
      </c>
      <c r="B84" s="7" t="n">
        <v>2015</v>
      </c>
      <c r="C84" s="7" t="s">
        <v>388</v>
      </c>
      <c r="D84" s="7" t="n">
        <v>79</v>
      </c>
      <c r="E84" s="7" t="n">
        <v>83</v>
      </c>
      <c r="F84" s="7" t="s">
        <v>546</v>
      </c>
      <c r="G84" s="7" t="s">
        <v>546</v>
      </c>
      <c r="H84" s="7" t="s">
        <v>546</v>
      </c>
      <c r="I84" s="7" t="s">
        <v>546</v>
      </c>
      <c r="J84" s="21" t="n">
        <f aca="false">D84/(D84+E84)</f>
        <v>0.487654320987654</v>
      </c>
      <c r="K84" s="3" t="n">
        <f aca="false">IF(D84&gt;E84,1,0)</f>
        <v>0</v>
      </c>
      <c r="L84" s="3" t="n">
        <f aca="false">IF(OR(F84="Y",G84="Y",H84="Y"),1,0)</f>
        <v>0</v>
      </c>
      <c r="M84" s="3" t="n">
        <f aca="false">IF(H84="Y",1,0)</f>
        <v>0</v>
      </c>
      <c r="N84" s="3" t="n">
        <f aca="false">IF(I84="Y",1,0)</f>
        <v>0</v>
      </c>
    </row>
    <row r="85" customFormat="false" ht="15" hidden="false" customHeight="true" outlineLevel="0" collapsed="false">
      <c r="A85" s="7" t="s">
        <v>84</v>
      </c>
      <c r="B85" s="7" t="n">
        <v>2016</v>
      </c>
      <c r="C85" s="7" t="s">
        <v>388</v>
      </c>
      <c r="D85" s="7" t="n">
        <v>69</v>
      </c>
      <c r="E85" s="7" t="n">
        <v>93</v>
      </c>
      <c r="F85" s="7" t="s">
        <v>546</v>
      </c>
      <c r="G85" s="7" t="s">
        <v>546</v>
      </c>
      <c r="H85" s="7" t="s">
        <v>546</v>
      </c>
      <c r="I85" s="7" t="s">
        <v>546</v>
      </c>
      <c r="J85" s="21" t="n">
        <f aca="false">D85/(D85+E85)</f>
        <v>0.425925925925926</v>
      </c>
      <c r="K85" s="3" t="n">
        <f aca="false">IF(D85&gt;E85,1,0)</f>
        <v>0</v>
      </c>
      <c r="L85" s="3" t="n">
        <f aca="false">IF(OR(F85="Y",G85="Y",H85="Y"),1,0)</f>
        <v>0</v>
      </c>
      <c r="M85" s="3" t="n">
        <f aca="false">IF(H85="Y",1,0)</f>
        <v>0</v>
      </c>
      <c r="N85" s="3" t="n">
        <f aca="false">IF(I85="Y",1,0)</f>
        <v>0</v>
      </c>
    </row>
    <row r="86" customFormat="false" ht="15" hidden="false" customHeight="true" outlineLevel="0" collapsed="false">
      <c r="A86" s="7" t="s">
        <v>84</v>
      </c>
      <c r="B86" s="7" t="n">
        <v>2017</v>
      </c>
      <c r="C86" s="7" t="s">
        <v>388</v>
      </c>
      <c r="D86" s="7" t="n">
        <v>93</v>
      </c>
      <c r="E86" s="7" t="n">
        <v>69</v>
      </c>
      <c r="F86" s="7" t="s">
        <v>546</v>
      </c>
      <c r="G86" s="7" t="s">
        <v>548</v>
      </c>
      <c r="H86" s="7" t="s">
        <v>546</v>
      </c>
      <c r="I86" s="7" t="s">
        <v>546</v>
      </c>
      <c r="J86" s="21" t="n">
        <f aca="false">D86/(D86+E86)</f>
        <v>0.574074074074074</v>
      </c>
      <c r="K86" s="3" t="n">
        <f aca="false">IF(D86&gt;E86,1,0)</f>
        <v>1</v>
      </c>
      <c r="L86" s="3" t="n">
        <f aca="false">IF(OR(F86="Y",G86="Y",H86="Y"),1,0)</f>
        <v>1</v>
      </c>
      <c r="M86" s="3" t="n">
        <f aca="false">IF(H86="Y",1,0)</f>
        <v>0</v>
      </c>
      <c r="N86" s="3" t="n">
        <f aca="false">IF(I86="Y",1,0)</f>
        <v>0</v>
      </c>
    </row>
    <row r="87" customFormat="false" ht="15" hidden="false" customHeight="true" outlineLevel="0" collapsed="false">
      <c r="A87" s="7" t="s">
        <v>84</v>
      </c>
      <c r="B87" s="7" t="n">
        <v>2018</v>
      </c>
      <c r="C87" s="7" t="s">
        <v>388</v>
      </c>
      <c r="D87" s="7" t="n">
        <v>82</v>
      </c>
      <c r="E87" s="7" t="n">
        <v>80</v>
      </c>
      <c r="F87" s="7" t="s">
        <v>546</v>
      </c>
      <c r="G87" s="7" t="s">
        <v>546</v>
      </c>
      <c r="H87" s="7" t="s">
        <v>546</v>
      </c>
      <c r="I87" s="7" t="s">
        <v>546</v>
      </c>
      <c r="J87" s="21" t="n">
        <f aca="false">D87/(D87+E87)</f>
        <v>0.506172839506173</v>
      </c>
      <c r="K87" s="3" t="n">
        <f aca="false">IF(D87&gt;E87,1,0)</f>
        <v>1</v>
      </c>
      <c r="L87" s="3" t="n">
        <f aca="false">IF(OR(F87="Y",G87="Y",H87="Y"),1,0)</f>
        <v>0</v>
      </c>
      <c r="M87" s="3" t="n">
        <f aca="false">IF(H87="Y",1,0)</f>
        <v>0</v>
      </c>
      <c r="N87" s="3" t="n">
        <f aca="false">IF(I87="Y",1,0)</f>
        <v>0</v>
      </c>
    </row>
    <row r="88" customFormat="false" ht="15" hidden="false" customHeight="true" outlineLevel="0" collapsed="false">
      <c r="A88" s="7" t="s">
        <v>84</v>
      </c>
      <c r="B88" s="7" t="n">
        <v>2019</v>
      </c>
      <c r="C88" s="7" t="s">
        <v>388</v>
      </c>
      <c r="D88" s="7" t="n">
        <v>85</v>
      </c>
      <c r="E88" s="7" t="n">
        <v>77</v>
      </c>
      <c r="F88" s="7" t="s">
        <v>546</v>
      </c>
      <c r="G88" s="7" t="s">
        <v>546</v>
      </c>
      <c r="H88" s="7" t="s">
        <v>546</v>
      </c>
      <c r="I88" s="7" t="s">
        <v>546</v>
      </c>
      <c r="J88" s="21" t="n">
        <f aca="false">D88/(D88+E88)</f>
        <v>0.524691358024691</v>
      </c>
      <c r="K88" s="3" t="n">
        <f aca="false">IF(D88&gt;E88,1,0)</f>
        <v>1</v>
      </c>
      <c r="L88" s="3" t="n">
        <f aca="false">IF(OR(F88="Y",G88="Y",H88="Y"),1,0)</f>
        <v>0</v>
      </c>
      <c r="M88" s="3" t="n">
        <f aca="false">IF(H88="Y",1,0)</f>
        <v>0</v>
      </c>
      <c r="N88" s="3" t="n">
        <f aca="false">IF(I88="Y",1,0)</f>
        <v>0</v>
      </c>
    </row>
    <row r="89" customFormat="false" ht="15" hidden="false" customHeight="true" outlineLevel="0" collapsed="false">
      <c r="A89" s="7" t="s">
        <v>84</v>
      </c>
      <c r="B89" s="7" t="n">
        <v>2020</v>
      </c>
      <c r="C89" s="7" t="s">
        <v>388</v>
      </c>
      <c r="D89" s="7" t="n">
        <v>25</v>
      </c>
      <c r="E89" s="7" t="n">
        <v>35</v>
      </c>
      <c r="F89" s="7" t="s">
        <v>546</v>
      </c>
      <c r="G89" s="7" t="s">
        <v>546</v>
      </c>
      <c r="H89" s="7" t="s">
        <v>546</v>
      </c>
      <c r="I89" s="7" t="s">
        <v>546</v>
      </c>
      <c r="J89" s="21" t="n">
        <f aca="false">D89/(D89+E89)</f>
        <v>0.416666666666667</v>
      </c>
      <c r="K89" s="3" t="n">
        <f aca="false">IF(D89&gt;E89,1,0)</f>
        <v>0</v>
      </c>
      <c r="L89" s="3" t="n">
        <f aca="false">IF(OR(F89="Y",G89="Y",H89="Y"),1,0)</f>
        <v>0</v>
      </c>
      <c r="M89" s="3" t="n">
        <f aca="false">IF(H89="Y",1,0)</f>
        <v>0</v>
      </c>
      <c r="N89" s="3" t="n">
        <f aca="false">IF(I89="Y",1,0)</f>
        <v>0</v>
      </c>
    </row>
    <row r="90" customFormat="false" ht="15" hidden="false" customHeight="true" outlineLevel="0" collapsed="false">
      <c r="A90" s="7" t="s">
        <v>84</v>
      </c>
      <c r="B90" s="7" t="n">
        <v>2021</v>
      </c>
      <c r="C90" s="7" t="s">
        <v>388</v>
      </c>
      <c r="D90" s="7" t="n">
        <v>52</v>
      </c>
      <c r="E90" s="7" t="n">
        <v>110</v>
      </c>
      <c r="F90" s="7" t="s">
        <v>546</v>
      </c>
      <c r="G90" s="7" t="s">
        <v>546</v>
      </c>
      <c r="H90" s="7" t="s">
        <v>546</v>
      </c>
      <c r="I90" s="7" t="s">
        <v>546</v>
      </c>
      <c r="J90" s="21" t="n">
        <f aca="false">D90/(D90+E90)</f>
        <v>0.320987654320988</v>
      </c>
      <c r="K90" s="3" t="n">
        <f aca="false">IF(D90&gt;E90,1,0)</f>
        <v>0</v>
      </c>
      <c r="L90" s="3" t="n">
        <f aca="false">IF(OR(F90="Y",G90="Y",H90="Y"),1,0)</f>
        <v>0</v>
      </c>
      <c r="M90" s="3" t="n">
        <f aca="false">IF(H90="Y",1,0)</f>
        <v>0</v>
      </c>
      <c r="N90" s="3" t="n">
        <f aca="false">IF(I90="Y",1,0)</f>
        <v>0</v>
      </c>
    </row>
    <row r="91" customFormat="false" ht="15" hidden="false" customHeight="true" outlineLevel="0" collapsed="false">
      <c r="A91" s="7" t="s">
        <v>84</v>
      </c>
      <c r="B91" s="7" t="n">
        <v>2022</v>
      </c>
      <c r="C91" s="7" t="s">
        <v>388</v>
      </c>
      <c r="D91" s="7" t="n">
        <v>74</v>
      </c>
      <c r="E91" s="7" t="n">
        <v>88</v>
      </c>
      <c r="F91" s="7" t="s">
        <v>546</v>
      </c>
      <c r="G91" s="7" t="s">
        <v>546</v>
      </c>
      <c r="H91" s="7" t="s">
        <v>546</v>
      </c>
      <c r="I91" s="7" t="s">
        <v>546</v>
      </c>
      <c r="J91" s="21" t="n">
        <f aca="false">D91/(D91+E91)</f>
        <v>0.45679012345679</v>
      </c>
      <c r="K91" s="3" t="n">
        <f aca="false">IF(D91&gt;E91,1,0)</f>
        <v>0</v>
      </c>
      <c r="L91" s="3" t="n">
        <f aca="false">IF(OR(F91="Y",G91="Y",H91="Y"),1,0)</f>
        <v>0</v>
      </c>
      <c r="M91" s="3" t="n">
        <f aca="false">IF(H91="Y",1,0)</f>
        <v>0</v>
      </c>
      <c r="N91" s="3" t="n">
        <f aca="false">IF(I91="Y",1,0)</f>
        <v>0</v>
      </c>
    </row>
    <row r="92" customFormat="false" ht="15" hidden="false" customHeight="true" outlineLevel="0" collapsed="false">
      <c r="A92" s="7" t="s">
        <v>84</v>
      </c>
      <c r="B92" s="7" t="n">
        <v>2023</v>
      </c>
      <c r="C92" s="7" t="s">
        <v>388</v>
      </c>
      <c r="D92" s="7" t="n">
        <v>84</v>
      </c>
      <c r="E92" s="7" t="n">
        <v>78</v>
      </c>
      <c r="F92" s="7" t="s">
        <v>546</v>
      </c>
      <c r="G92" s="7" t="s">
        <v>548</v>
      </c>
      <c r="H92" s="7" t="s">
        <v>548</v>
      </c>
      <c r="I92" s="7" t="s">
        <v>546</v>
      </c>
      <c r="J92" s="21" t="n">
        <f aca="false">D92/(D92+E92)</f>
        <v>0.518518518518519</v>
      </c>
      <c r="K92" s="3" t="n">
        <f aca="false">IF(D92&gt;E92,1,0)</f>
        <v>1</v>
      </c>
      <c r="L92" s="3" t="n">
        <f aca="false">IF(OR(F92="Y",G92="Y",H92="Y"),1,0)</f>
        <v>1</v>
      </c>
      <c r="M92" s="3" t="n">
        <f aca="false">IF(H92="Y",1,0)</f>
        <v>1</v>
      </c>
      <c r="N92" s="3" t="n">
        <f aca="false">IF(I92="Y",1,0)</f>
        <v>0</v>
      </c>
    </row>
    <row r="93" customFormat="false" ht="15" hidden="false" customHeight="true" outlineLevel="0" collapsed="false">
      <c r="A93" s="7" t="s">
        <v>84</v>
      </c>
      <c r="B93" s="7" t="n">
        <v>2024</v>
      </c>
      <c r="C93" s="7" t="s">
        <v>388</v>
      </c>
      <c r="D93" s="7" t="n">
        <v>89</v>
      </c>
      <c r="E93" s="7" t="n">
        <v>73</v>
      </c>
      <c r="F93" s="7" t="s">
        <v>546</v>
      </c>
      <c r="G93" s="7" t="s">
        <v>546</v>
      </c>
      <c r="H93" s="7" t="s">
        <v>546</v>
      </c>
      <c r="I93" s="7" t="s">
        <v>546</v>
      </c>
      <c r="J93" s="21" t="n">
        <f aca="false">D93/(D93+E93)</f>
        <v>0.549382716049383</v>
      </c>
      <c r="K93" s="3" t="n">
        <f aca="false">IF(D93&gt;E93,1,0)</f>
        <v>1</v>
      </c>
      <c r="L93" s="3" t="n">
        <f aca="false">IF(OR(F93="Y",G93="Y",H93="Y"),1,0)</f>
        <v>0</v>
      </c>
      <c r="M93" s="3" t="n">
        <f aca="false">IF(H93="Y",1,0)</f>
        <v>0</v>
      </c>
      <c r="N93" s="3" t="n">
        <f aca="false">IF(I93="Y",1,0)</f>
        <v>0</v>
      </c>
    </row>
    <row r="94" customFormat="false" ht="15" hidden="false" customHeight="true" outlineLevel="0" collapsed="false">
      <c r="A94" s="7" t="s">
        <v>84</v>
      </c>
      <c r="B94" s="7" t="n">
        <v>2025</v>
      </c>
      <c r="C94" s="7" t="s">
        <v>388</v>
      </c>
      <c r="D94" s="7" t="n">
        <v>80</v>
      </c>
      <c r="E94" s="7" t="n">
        <v>82</v>
      </c>
      <c r="F94" s="7" t="s">
        <v>546</v>
      </c>
      <c r="G94" s="7" t="s">
        <v>546</v>
      </c>
      <c r="H94" s="7" t="s">
        <v>546</v>
      </c>
      <c r="I94" s="7" t="s">
        <v>546</v>
      </c>
      <c r="J94" s="21" t="n">
        <f aca="false">D94/(D94+E94)</f>
        <v>0.493827160493827</v>
      </c>
      <c r="K94" s="3" t="n">
        <f aca="false">IF(D94&gt;E94,1,0)</f>
        <v>0</v>
      </c>
      <c r="L94" s="3" t="n">
        <f aca="false">IF(OR(F94="Y",G94="Y",H94="Y"),1,0)</f>
        <v>0</v>
      </c>
      <c r="M94" s="3" t="n">
        <f aca="false">IF(H94="Y",1,0)</f>
        <v>0</v>
      </c>
      <c r="N94" s="3" t="n">
        <f aca="false">IF(I94="Y",1,0)</f>
        <v>0</v>
      </c>
    </row>
    <row r="95" customFormat="false" ht="15" hidden="false" customHeight="true" outlineLevel="0" collapsed="false">
      <c r="A95" s="7" t="s">
        <v>54</v>
      </c>
      <c r="B95" s="7" t="n">
        <v>1876</v>
      </c>
      <c r="C95" s="7" t="s">
        <v>551</v>
      </c>
      <c r="D95" s="7" t="n">
        <v>39</v>
      </c>
      <c r="E95" s="7" t="n">
        <v>31</v>
      </c>
      <c r="F95" s="7"/>
      <c r="G95" s="7"/>
      <c r="H95" s="7" t="s">
        <v>546</v>
      </c>
      <c r="I95" s="7"/>
      <c r="J95" s="21" t="n">
        <f aca="false">D95/(D95+E95)</f>
        <v>0.557142857142857</v>
      </c>
      <c r="K95" s="3" t="n">
        <f aca="false">IF(D95&gt;E95,1,0)</f>
        <v>1</v>
      </c>
      <c r="L95" s="3" t="n">
        <f aca="false">IF(OR(F95="Y",G95="Y",H95="Y"),1,0)</f>
        <v>0</v>
      </c>
      <c r="M95" s="3" t="n">
        <f aca="false">IF(H95="Y",1,0)</f>
        <v>0</v>
      </c>
      <c r="N95" s="3" t="n">
        <f aca="false">IF(I95="Y",1,0)</f>
        <v>0</v>
      </c>
    </row>
    <row r="96" customFormat="false" ht="15" hidden="false" customHeight="true" outlineLevel="0" collapsed="false">
      <c r="A96" s="7" t="s">
        <v>54</v>
      </c>
      <c r="B96" s="7" t="n">
        <v>1877</v>
      </c>
      <c r="C96" s="7" t="s">
        <v>551</v>
      </c>
      <c r="D96" s="7" t="n">
        <v>42</v>
      </c>
      <c r="E96" s="7" t="n">
        <v>18</v>
      </c>
      <c r="F96" s="7"/>
      <c r="G96" s="7"/>
      <c r="H96" s="7" t="s">
        <v>548</v>
      </c>
      <c r="I96" s="7"/>
      <c r="J96" s="21" t="n">
        <f aca="false">D96/(D96+E96)</f>
        <v>0.7</v>
      </c>
      <c r="K96" s="3" t="n">
        <f aca="false">IF(D96&gt;E96,1,0)</f>
        <v>1</v>
      </c>
      <c r="L96" s="3" t="n">
        <f aca="false">IF(OR(F96="Y",G96="Y",H96="Y"),1,0)</f>
        <v>1</v>
      </c>
      <c r="M96" s="3" t="n">
        <f aca="false">IF(H96="Y",1,0)</f>
        <v>1</v>
      </c>
      <c r="N96" s="3" t="n">
        <f aca="false">IF(I96="Y",1,0)</f>
        <v>0</v>
      </c>
    </row>
    <row r="97" customFormat="false" ht="15" hidden="false" customHeight="true" outlineLevel="0" collapsed="false">
      <c r="A97" s="7" t="s">
        <v>54</v>
      </c>
      <c r="B97" s="7" t="n">
        <v>1878</v>
      </c>
      <c r="C97" s="7" t="s">
        <v>551</v>
      </c>
      <c r="D97" s="7" t="n">
        <v>41</v>
      </c>
      <c r="E97" s="7" t="n">
        <v>19</v>
      </c>
      <c r="F97" s="7"/>
      <c r="G97" s="7"/>
      <c r="H97" s="7" t="s">
        <v>548</v>
      </c>
      <c r="I97" s="7"/>
      <c r="J97" s="21" t="n">
        <f aca="false">D97/(D97+E97)</f>
        <v>0.683333333333333</v>
      </c>
      <c r="K97" s="3" t="n">
        <f aca="false">IF(D97&gt;E97,1,0)</f>
        <v>1</v>
      </c>
      <c r="L97" s="3" t="n">
        <f aca="false">IF(OR(F97="Y",G97="Y",H97="Y"),1,0)</f>
        <v>1</v>
      </c>
      <c r="M97" s="3" t="n">
        <f aca="false">IF(H97="Y",1,0)</f>
        <v>1</v>
      </c>
      <c r="N97" s="3" t="n">
        <f aca="false">IF(I97="Y",1,0)</f>
        <v>0</v>
      </c>
    </row>
    <row r="98" customFormat="false" ht="15" hidden="false" customHeight="true" outlineLevel="0" collapsed="false">
      <c r="A98" s="7" t="s">
        <v>54</v>
      </c>
      <c r="B98" s="7" t="n">
        <v>1879</v>
      </c>
      <c r="C98" s="7" t="s">
        <v>551</v>
      </c>
      <c r="D98" s="7" t="n">
        <v>54</v>
      </c>
      <c r="E98" s="7" t="n">
        <v>30</v>
      </c>
      <c r="F98" s="7"/>
      <c r="G98" s="7"/>
      <c r="H98" s="7" t="s">
        <v>546</v>
      </c>
      <c r="I98" s="7"/>
      <c r="J98" s="21" t="n">
        <f aca="false">D98/(D98+E98)</f>
        <v>0.642857142857143</v>
      </c>
      <c r="K98" s="3" t="n">
        <f aca="false">IF(D98&gt;E98,1,0)</f>
        <v>1</v>
      </c>
      <c r="L98" s="3" t="n">
        <f aca="false">IF(OR(F98="Y",G98="Y",H98="Y"),1,0)</f>
        <v>0</v>
      </c>
      <c r="M98" s="3" t="n">
        <f aca="false">IF(H98="Y",1,0)</f>
        <v>0</v>
      </c>
      <c r="N98" s="3" t="n">
        <f aca="false">IF(I98="Y",1,0)</f>
        <v>0</v>
      </c>
    </row>
    <row r="99" customFormat="false" ht="15" hidden="false" customHeight="true" outlineLevel="0" collapsed="false">
      <c r="A99" s="7" t="s">
        <v>54</v>
      </c>
      <c r="B99" s="7" t="n">
        <v>1880</v>
      </c>
      <c r="C99" s="7" t="s">
        <v>551</v>
      </c>
      <c r="D99" s="7" t="n">
        <v>40</v>
      </c>
      <c r="E99" s="7" t="n">
        <v>44</v>
      </c>
      <c r="F99" s="7"/>
      <c r="G99" s="7"/>
      <c r="H99" s="7" t="s">
        <v>546</v>
      </c>
      <c r="I99" s="7"/>
      <c r="J99" s="21" t="n">
        <f aca="false">D99/(D99+E99)</f>
        <v>0.476190476190476</v>
      </c>
      <c r="K99" s="3" t="n">
        <f aca="false">IF(D99&gt;E99,1,0)</f>
        <v>0</v>
      </c>
      <c r="L99" s="3" t="n">
        <f aca="false">IF(OR(F99="Y",G99="Y",H99="Y"),1,0)</f>
        <v>0</v>
      </c>
      <c r="M99" s="3" t="n">
        <f aca="false">IF(H99="Y",1,0)</f>
        <v>0</v>
      </c>
      <c r="N99" s="3" t="n">
        <f aca="false">IF(I99="Y",1,0)</f>
        <v>0</v>
      </c>
    </row>
    <row r="100" customFormat="false" ht="15" hidden="false" customHeight="true" outlineLevel="0" collapsed="false">
      <c r="A100" s="7" t="s">
        <v>54</v>
      </c>
      <c r="B100" s="7" t="n">
        <v>1881</v>
      </c>
      <c r="C100" s="7" t="s">
        <v>551</v>
      </c>
      <c r="D100" s="7" t="n">
        <v>38</v>
      </c>
      <c r="E100" s="7" t="n">
        <v>45</v>
      </c>
      <c r="F100" s="7"/>
      <c r="G100" s="7"/>
      <c r="H100" s="7" t="s">
        <v>546</v>
      </c>
      <c r="I100" s="7"/>
      <c r="J100" s="21" t="n">
        <f aca="false">D100/(D100+E100)</f>
        <v>0.457831325301205</v>
      </c>
      <c r="K100" s="3" t="n">
        <f aca="false">IF(D100&gt;E100,1,0)</f>
        <v>0</v>
      </c>
      <c r="L100" s="3" t="n">
        <f aca="false">IF(OR(F100="Y",G100="Y",H100="Y"),1,0)</f>
        <v>0</v>
      </c>
      <c r="M100" s="3" t="n">
        <f aca="false">IF(H100="Y",1,0)</f>
        <v>0</v>
      </c>
      <c r="N100" s="3" t="n">
        <f aca="false">IF(I100="Y",1,0)</f>
        <v>0</v>
      </c>
    </row>
    <row r="101" customFormat="false" ht="15" hidden="false" customHeight="true" outlineLevel="0" collapsed="false">
      <c r="A101" s="7" t="s">
        <v>54</v>
      </c>
      <c r="B101" s="7" t="n">
        <v>1882</v>
      </c>
      <c r="C101" s="7" t="s">
        <v>551</v>
      </c>
      <c r="D101" s="7" t="n">
        <v>45</v>
      </c>
      <c r="E101" s="7" t="n">
        <v>39</v>
      </c>
      <c r="F101" s="7"/>
      <c r="G101" s="7"/>
      <c r="H101" s="7" t="s">
        <v>546</v>
      </c>
      <c r="I101" s="7"/>
      <c r="J101" s="21" t="n">
        <f aca="false">D101/(D101+E101)</f>
        <v>0.535714285714286</v>
      </c>
      <c r="K101" s="3" t="n">
        <f aca="false">IF(D101&gt;E101,1,0)</f>
        <v>1</v>
      </c>
      <c r="L101" s="3" t="n">
        <f aca="false">IF(OR(F101="Y",G101="Y",H101="Y"),1,0)</f>
        <v>0</v>
      </c>
      <c r="M101" s="3" t="n">
        <f aca="false">IF(H101="Y",1,0)</f>
        <v>0</v>
      </c>
      <c r="N101" s="3" t="n">
        <f aca="false">IF(I101="Y",1,0)</f>
        <v>0</v>
      </c>
    </row>
    <row r="102" customFormat="false" ht="15" hidden="false" customHeight="true" outlineLevel="0" collapsed="false">
      <c r="A102" s="7" t="s">
        <v>54</v>
      </c>
      <c r="B102" s="7" t="n">
        <v>1883</v>
      </c>
      <c r="C102" s="7" t="s">
        <v>552</v>
      </c>
      <c r="D102" s="7" t="n">
        <v>63</v>
      </c>
      <c r="E102" s="7" t="n">
        <v>35</v>
      </c>
      <c r="F102" s="7"/>
      <c r="G102" s="7"/>
      <c r="H102" s="7" t="s">
        <v>548</v>
      </c>
      <c r="I102" s="7"/>
      <c r="J102" s="21" t="n">
        <f aca="false">D102/(D102+E102)</f>
        <v>0.642857142857143</v>
      </c>
      <c r="K102" s="3" t="n">
        <f aca="false">IF(D102&gt;E102,1,0)</f>
        <v>1</v>
      </c>
      <c r="L102" s="3" t="n">
        <f aca="false">IF(OR(F102="Y",G102="Y",H102="Y"),1,0)</f>
        <v>1</v>
      </c>
      <c r="M102" s="3" t="n">
        <f aca="false">IF(H102="Y",1,0)</f>
        <v>1</v>
      </c>
      <c r="N102" s="3" t="n">
        <f aca="false">IF(I102="Y",1,0)</f>
        <v>0</v>
      </c>
    </row>
    <row r="103" customFormat="false" ht="15" hidden="false" customHeight="true" outlineLevel="0" collapsed="false">
      <c r="A103" s="7" t="s">
        <v>54</v>
      </c>
      <c r="B103" s="7" t="n">
        <v>1884</v>
      </c>
      <c r="C103" s="7" t="s">
        <v>552</v>
      </c>
      <c r="D103" s="7" t="n">
        <v>73</v>
      </c>
      <c r="E103" s="7" t="n">
        <v>38</v>
      </c>
      <c r="F103" s="7"/>
      <c r="G103" s="7"/>
      <c r="H103" s="7" t="s">
        <v>546</v>
      </c>
      <c r="I103" s="7" t="s">
        <v>546</v>
      </c>
      <c r="J103" s="21" t="n">
        <f aca="false">D103/(D103+E103)</f>
        <v>0.657657657657658</v>
      </c>
      <c r="K103" s="3" t="n">
        <f aca="false">IF(D103&gt;E103,1,0)</f>
        <v>1</v>
      </c>
      <c r="L103" s="3" t="n">
        <f aca="false">IF(OR(F103="Y",G103="Y",H103="Y"),1,0)</f>
        <v>0</v>
      </c>
      <c r="M103" s="3" t="n">
        <f aca="false">IF(H103="Y",1,0)</f>
        <v>0</v>
      </c>
      <c r="N103" s="3" t="n">
        <f aca="false">IF(I103="Y",1,0)</f>
        <v>0</v>
      </c>
    </row>
    <row r="104" customFormat="false" ht="15" hidden="false" customHeight="true" outlineLevel="0" collapsed="false">
      <c r="A104" s="7" t="s">
        <v>54</v>
      </c>
      <c r="B104" s="7" t="n">
        <v>1885</v>
      </c>
      <c r="C104" s="7" t="s">
        <v>552</v>
      </c>
      <c r="D104" s="7" t="n">
        <v>46</v>
      </c>
      <c r="E104" s="7" t="n">
        <v>66</v>
      </c>
      <c r="F104" s="7"/>
      <c r="G104" s="7"/>
      <c r="H104" s="7" t="s">
        <v>546</v>
      </c>
      <c r="I104" s="7" t="s">
        <v>546</v>
      </c>
      <c r="J104" s="21" t="n">
        <f aca="false">D104/(D104+E104)</f>
        <v>0.410714285714286</v>
      </c>
      <c r="K104" s="3" t="n">
        <f aca="false">IF(D104&gt;E104,1,0)</f>
        <v>0</v>
      </c>
      <c r="L104" s="3" t="n">
        <f aca="false">IF(OR(F104="Y",G104="Y",H104="Y"),1,0)</f>
        <v>0</v>
      </c>
      <c r="M104" s="3" t="n">
        <f aca="false">IF(H104="Y",1,0)</f>
        <v>0</v>
      </c>
      <c r="N104" s="3" t="n">
        <f aca="false">IF(I104="Y",1,0)</f>
        <v>0</v>
      </c>
    </row>
    <row r="105" customFormat="false" ht="15" hidden="false" customHeight="true" outlineLevel="0" collapsed="false">
      <c r="A105" s="7" t="s">
        <v>54</v>
      </c>
      <c r="B105" s="7" t="n">
        <v>1886</v>
      </c>
      <c r="C105" s="7" t="s">
        <v>552</v>
      </c>
      <c r="D105" s="7" t="n">
        <v>56</v>
      </c>
      <c r="E105" s="7" t="n">
        <v>61</v>
      </c>
      <c r="F105" s="7"/>
      <c r="G105" s="7"/>
      <c r="H105" s="7" t="s">
        <v>546</v>
      </c>
      <c r="I105" s="7" t="s">
        <v>546</v>
      </c>
      <c r="J105" s="21" t="n">
        <f aca="false">D105/(D105+E105)</f>
        <v>0.478632478632479</v>
      </c>
      <c r="K105" s="3" t="n">
        <f aca="false">IF(D105&gt;E105,1,0)</f>
        <v>0</v>
      </c>
      <c r="L105" s="3" t="n">
        <f aca="false">IF(OR(F105="Y",G105="Y",H105="Y"),1,0)</f>
        <v>0</v>
      </c>
      <c r="M105" s="3" t="n">
        <f aca="false">IF(H105="Y",1,0)</f>
        <v>0</v>
      </c>
      <c r="N105" s="3" t="n">
        <f aca="false">IF(I105="Y",1,0)</f>
        <v>0</v>
      </c>
    </row>
    <row r="106" customFormat="false" ht="15" hidden="false" customHeight="true" outlineLevel="0" collapsed="false">
      <c r="A106" s="7" t="s">
        <v>54</v>
      </c>
      <c r="B106" s="7" t="n">
        <v>1887</v>
      </c>
      <c r="C106" s="7" t="s">
        <v>552</v>
      </c>
      <c r="D106" s="7" t="n">
        <v>61</v>
      </c>
      <c r="E106" s="7" t="n">
        <v>60</v>
      </c>
      <c r="F106" s="7"/>
      <c r="G106" s="7"/>
      <c r="H106" s="7" t="s">
        <v>546</v>
      </c>
      <c r="I106" s="7" t="s">
        <v>546</v>
      </c>
      <c r="J106" s="21" t="n">
        <f aca="false">D106/(D106+E106)</f>
        <v>0.504132231404959</v>
      </c>
      <c r="K106" s="3" t="n">
        <f aca="false">IF(D106&gt;E106,1,0)</f>
        <v>1</v>
      </c>
      <c r="L106" s="3" t="n">
        <f aca="false">IF(OR(F106="Y",G106="Y",H106="Y"),1,0)</f>
        <v>0</v>
      </c>
      <c r="M106" s="3" t="n">
        <f aca="false">IF(H106="Y",1,0)</f>
        <v>0</v>
      </c>
      <c r="N106" s="3" t="n">
        <f aca="false">IF(I106="Y",1,0)</f>
        <v>0</v>
      </c>
    </row>
    <row r="107" customFormat="false" ht="15" hidden="false" customHeight="true" outlineLevel="0" collapsed="false">
      <c r="A107" s="7" t="s">
        <v>54</v>
      </c>
      <c r="B107" s="7" t="n">
        <v>1888</v>
      </c>
      <c r="C107" s="7" t="s">
        <v>552</v>
      </c>
      <c r="D107" s="7" t="n">
        <v>70</v>
      </c>
      <c r="E107" s="7" t="n">
        <v>64</v>
      </c>
      <c r="F107" s="7"/>
      <c r="G107" s="7"/>
      <c r="H107" s="7" t="s">
        <v>546</v>
      </c>
      <c r="I107" s="7" t="s">
        <v>546</v>
      </c>
      <c r="J107" s="21" t="n">
        <f aca="false">D107/(D107+E107)</f>
        <v>0.522388059701493</v>
      </c>
      <c r="K107" s="3" t="n">
        <f aca="false">IF(D107&gt;E107,1,0)</f>
        <v>1</v>
      </c>
      <c r="L107" s="3" t="n">
        <f aca="false">IF(OR(F107="Y",G107="Y",H107="Y"),1,0)</f>
        <v>0</v>
      </c>
      <c r="M107" s="3" t="n">
        <f aca="false">IF(H107="Y",1,0)</f>
        <v>0</v>
      </c>
      <c r="N107" s="3" t="n">
        <f aca="false">IF(I107="Y",1,0)</f>
        <v>0</v>
      </c>
    </row>
    <row r="108" customFormat="false" ht="15" hidden="false" customHeight="true" outlineLevel="0" collapsed="false">
      <c r="A108" s="7" t="s">
        <v>54</v>
      </c>
      <c r="B108" s="7" t="n">
        <v>1889</v>
      </c>
      <c r="C108" s="7" t="s">
        <v>552</v>
      </c>
      <c r="D108" s="7" t="n">
        <v>83</v>
      </c>
      <c r="E108" s="7" t="n">
        <v>45</v>
      </c>
      <c r="F108" s="7"/>
      <c r="G108" s="7"/>
      <c r="H108" s="7" t="s">
        <v>546</v>
      </c>
      <c r="I108" s="7" t="s">
        <v>546</v>
      </c>
      <c r="J108" s="21" t="n">
        <f aca="false">D108/(D108+E108)</f>
        <v>0.6484375</v>
      </c>
      <c r="K108" s="3" t="n">
        <f aca="false">IF(D108&gt;E108,1,0)</f>
        <v>1</v>
      </c>
      <c r="L108" s="3" t="n">
        <f aca="false">IF(OR(F108="Y",G108="Y",H108="Y"),1,0)</f>
        <v>0</v>
      </c>
      <c r="M108" s="3" t="n">
        <f aca="false">IF(H108="Y",1,0)</f>
        <v>0</v>
      </c>
      <c r="N108" s="3" t="n">
        <f aca="false">IF(I108="Y",1,0)</f>
        <v>0</v>
      </c>
    </row>
    <row r="109" customFormat="false" ht="15" hidden="false" customHeight="true" outlineLevel="0" collapsed="false">
      <c r="A109" s="7" t="s">
        <v>54</v>
      </c>
      <c r="B109" s="7" t="n">
        <v>1890</v>
      </c>
      <c r="C109" s="7" t="s">
        <v>552</v>
      </c>
      <c r="D109" s="7" t="n">
        <v>76</v>
      </c>
      <c r="E109" s="7" t="n">
        <v>57</v>
      </c>
      <c r="F109" s="7"/>
      <c r="G109" s="7"/>
      <c r="H109" s="7" t="s">
        <v>546</v>
      </c>
      <c r="I109" s="7" t="s">
        <v>546</v>
      </c>
      <c r="J109" s="21" t="n">
        <f aca="false">D109/(D109+E109)</f>
        <v>0.571428571428571</v>
      </c>
      <c r="K109" s="3" t="n">
        <f aca="false">IF(D109&gt;E109,1,0)</f>
        <v>1</v>
      </c>
      <c r="L109" s="3" t="n">
        <f aca="false">IF(OR(F109="Y",G109="Y",H109="Y"),1,0)</f>
        <v>0</v>
      </c>
      <c r="M109" s="3" t="n">
        <f aca="false">IF(H109="Y",1,0)</f>
        <v>0</v>
      </c>
      <c r="N109" s="3" t="n">
        <f aca="false">IF(I109="Y",1,0)</f>
        <v>0</v>
      </c>
    </row>
    <row r="110" customFormat="false" ht="15" hidden="false" customHeight="true" outlineLevel="0" collapsed="false">
      <c r="A110" s="7" t="s">
        <v>54</v>
      </c>
      <c r="B110" s="7" t="n">
        <v>1891</v>
      </c>
      <c r="C110" s="7" t="s">
        <v>552</v>
      </c>
      <c r="D110" s="7" t="n">
        <v>87</v>
      </c>
      <c r="E110" s="7" t="n">
        <v>51</v>
      </c>
      <c r="F110" s="7"/>
      <c r="G110" s="7"/>
      <c r="H110" s="7" t="s">
        <v>548</v>
      </c>
      <c r="I110" s="7"/>
      <c r="J110" s="21" t="n">
        <f aca="false">D110/(D110+E110)</f>
        <v>0.630434782608696</v>
      </c>
      <c r="K110" s="3" t="n">
        <f aca="false">IF(D110&gt;E110,1,0)</f>
        <v>1</v>
      </c>
      <c r="L110" s="3" t="n">
        <f aca="false">IF(OR(F110="Y",G110="Y",H110="Y"),1,0)</f>
        <v>1</v>
      </c>
      <c r="M110" s="3" t="n">
        <f aca="false">IF(H110="Y",1,0)</f>
        <v>1</v>
      </c>
      <c r="N110" s="3" t="n">
        <f aca="false">IF(I110="Y",1,0)</f>
        <v>0</v>
      </c>
    </row>
    <row r="111" customFormat="false" ht="15" hidden="false" customHeight="true" outlineLevel="0" collapsed="false">
      <c r="A111" s="7" t="s">
        <v>54</v>
      </c>
      <c r="B111" s="7" t="n">
        <v>1892</v>
      </c>
      <c r="C111" s="7" t="s">
        <v>552</v>
      </c>
      <c r="D111" s="7" t="n">
        <v>102</v>
      </c>
      <c r="E111" s="7" t="n">
        <v>48</v>
      </c>
      <c r="F111" s="7"/>
      <c r="G111" s="7"/>
      <c r="H111" s="7" t="s">
        <v>548</v>
      </c>
      <c r="I111" s="7"/>
      <c r="J111" s="21" t="n">
        <f aca="false">D111/(D111+E111)</f>
        <v>0.68</v>
      </c>
      <c r="K111" s="3" t="n">
        <f aca="false">IF(D111&gt;E111,1,0)</f>
        <v>1</v>
      </c>
      <c r="L111" s="3" t="n">
        <f aca="false">IF(OR(F111="Y",G111="Y",H111="Y"),1,0)</f>
        <v>1</v>
      </c>
      <c r="M111" s="3" t="n">
        <f aca="false">IF(H111="Y",1,0)</f>
        <v>1</v>
      </c>
      <c r="N111" s="3" t="n">
        <f aca="false">IF(I111="Y",1,0)</f>
        <v>0</v>
      </c>
    </row>
    <row r="112" customFormat="false" ht="15" hidden="false" customHeight="true" outlineLevel="0" collapsed="false">
      <c r="A112" s="7" t="s">
        <v>54</v>
      </c>
      <c r="B112" s="7" t="n">
        <v>1893</v>
      </c>
      <c r="C112" s="7" t="s">
        <v>552</v>
      </c>
      <c r="D112" s="7" t="n">
        <v>86</v>
      </c>
      <c r="E112" s="7" t="n">
        <v>43</v>
      </c>
      <c r="F112" s="7"/>
      <c r="G112" s="7"/>
      <c r="H112" s="7" t="s">
        <v>548</v>
      </c>
      <c r="I112" s="7"/>
      <c r="J112" s="21" t="n">
        <f aca="false">D112/(D112+E112)</f>
        <v>0.666666666666667</v>
      </c>
      <c r="K112" s="3" t="n">
        <f aca="false">IF(D112&gt;E112,1,0)</f>
        <v>1</v>
      </c>
      <c r="L112" s="3" t="n">
        <f aca="false">IF(OR(F112="Y",G112="Y",H112="Y"),1,0)</f>
        <v>1</v>
      </c>
      <c r="M112" s="3" t="n">
        <f aca="false">IF(H112="Y",1,0)</f>
        <v>1</v>
      </c>
      <c r="N112" s="3" t="n">
        <f aca="false">IF(I112="Y",1,0)</f>
        <v>0</v>
      </c>
    </row>
    <row r="113" customFormat="false" ht="15" hidden="false" customHeight="true" outlineLevel="0" collapsed="false">
      <c r="A113" s="7" t="s">
        <v>54</v>
      </c>
      <c r="B113" s="7" t="n">
        <v>1894</v>
      </c>
      <c r="C113" s="7" t="s">
        <v>552</v>
      </c>
      <c r="D113" s="7" t="n">
        <v>83</v>
      </c>
      <c r="E113" s="7" t="n">
        <v>49</v>
      </c>
      <c r="F113" s="7"/>
      <c r="G113" s="7"/>
      <c r="H113" s="7" t="s">
        <v>546</v>
      </c>
      <c r="I113" s="7"/>
      <c r="J113" s="21" t="n">
        <f aca="false">D113/(D113+E113)</f>
        <v>0.628787878787879</v>
      </c>
      <c r="K113" s="3" t="n">
        <f aca="false">IF(D113&gt;E113,1,0)</f>
        <v>1</v>
      </c>
      <c r="L113" s="3" t="n">
        <f aca="false">IF(OR(F113="Y",G113="Y",H113="Y"),1,0)</f>
        <v>0</v>
      </c>
      <c r="M113" s="3" t="n">
        <f aca="false">IF(H113="Y",1,0)</f>
        <v>0</v>
      </c>
      <c r="N113" s="3" t="n">
        <f aca="false">IF(I113="Y",1,0)</f>
        <v>0</v>
      </c>
    </row>
    <row r="114" customFormat="false" ht="15" hidden="false" customHeight="true" outlineLevel="0" collapsed="false">
      <c r="A114" s="7" t="s">
        <v>54</v>
      </c>
      <c r="B114" s="7" t="n">
        <v>1895</v>
      </c>
      <c r="C114" s="7" t="s">
        <v>552</v>
      </c>
      <c r="D114" s="7" t="n">
        <v>71</v>
      </c>
      <c r="E114" s="7" t="n">
        <v>60</v>
      </c>
      <c r="F114" s="7"/>
      <c r="G114" s="7"/>
      <c r="H114" s="7" t="s">
        <v>546</v>
      </c>
      <c r="I114" s="7"/>
      <c r="J114" s="21" t="n">
        <f aca="false">D114/(D114+E114)</f>
        <v>0.541984732824428</v>
      </c>
      <c r="K114" s="3" t="n">
        <f aca="false">IF(D114&gt;E114,1,0)</f>
        <v>1</v>
      </c>
      <c r="L114" s="3" t="n">
        <f aca="false">IF(OR(F114="Y",G114="Y",H114="Y"),1,0)</f>
        <v>0</v>
      </c>
      <c r="M114" s="3" t="n">
        <f aca="false">IF(H114="Y",1,0)</f>
        <v>0</v>
      </c>
      <c r="N114" s="3" t="n">
        <f aca="false">IF(I114="Y",1,0)</f>
        <v>0</v>
      </c>
    </row>
    <row r="115" customFormat="false" ht="15" hidden="false" customHeight="true" outlineLevel="0" collapsed="false">
      <c r="A115" s="7" t="s">
        <v>54</v>
      </c>
      <c r="B115" s="7" t="n">
        <v>1896</v>
      </c>
      <c r="C115" s="7" t="s">
        <v>552</v>
      </c>
      <c r="D115" s="7" t="n">
        <v>74</v>
      </c>
      <c r="E115" s="7" t="n">
        <v>57</v>
      </c>
      <c r="F115" s="7"/>
      <c r="G115" s="7"/>
      <c r="H115" s="7" t="s">
        <v>546</v>
      </c>
      <c r="I115" s="7"/>
      <c r="J115" s="21" t="n">
        <f aca="false">D115/(D115+E115)</f>
        <v>0.564885496183206</v>
      </c>
      <c r="K115" s="3" t="n">
        <f aca="false">IF(D115&gt;E115,1,0)</f>
        <v>1</v>
      </c>
      <c r="L115" s="3" t="n">
        <f aca="false">IF(OR(F115="Y",G115="Y",H115="Y"),1,0)</f>
        <v>0</v>
      </c>
      <c r="M115" s="3" t="n">
        <f aca="false">IF(H115="Y",1,0)</f>
        <v>0</v>
      </c>
      <c r="N115" s="3" t="n">
        <f aca="false">IF(I115="Y",1,0)</f>
        <v>0</v>
      </c>
    </row>
    <row r="116" customFormat="false" ht="15" hidden="false" customHeight="true" outlineLevel="0" collapsed="false">
      <c r="A116" s="7" t="s">
        <v>54</v>
      </c>
      <c r="B116" s="7" t="n">
        <v>1897</v>
      </c>
      <c r="C116" s="7" t="s">
        <v>552</v>
      </c>
      <c r="D116" s="7" t="n">
        <v>93</v>
      </c>
      <c r="E116" s="7" t="n">
        <v>39</v>
      </c>
      <c r="F116" s="7"/>
      <c r="G116" s="7"/>
      <c r="H116" s="7" t="s">
        <v>548</v>
      </c>
      <c r="I116" s="7"/>
      <c r="J116" s="21" t="n">
        <f aca="false">D116/(D116+E116)</f>
        <v>0.704545454545455</v>
      </c>
      <c r="K116" s="3" t="n">
        <f aca="false">IF(D116&gt;E116,1,0)</f>
        <v>1</v>
      </c>
      <c r="L116" s="3" t="n">
        <f aca="false">IF(OR(F116="Y",G116="Y",H116="Y"),1,0)</f>
        <v>1</v>
      </c>
      <c r="M116" s="3" t="n">
        <f aca="false">IF(H116="Y",1,0)</f>
        <v>1</v>
      </c>
      <c r="N116" s="3" t="n">
        <f aca="false">IF(I116="Y",1,0)</f>
        <v>0</v>
      </c>
    </row>
    <row r="117" customFormat="false" ht="15" hidden="false" customHeight="true" outlineLevel="0" collapsed="false">
      <c r="A117" s="7" t="s">
        <v>54</v>
      </c>
      <c r="B117" s="7" t="n">
        <v>1898</v>
      </c>
      <c r="C117" s="7" t="s">
        <v>552</v>
      </c>
      <c r="D117" s="7" t="n">
        <v>102</v>
      </c>
      <c r="E117" s="7" t="n">
        <v>47</v>
      </c>
      <c r="F117" s="7"/>
      <c r="G117" s="7"/>
      <c r="H117" s="7" t="s">
        <v>548</v>
      </c>
      <c r="I117" s="7"/>
      <c r="J117" s="21" t="n">
        <f aca="false">D117/(D117+E117)</f>
        <v>0.684563758389262</v>
      </c>
      <c r="K117" s="3" t="n">
        <f aca="false">IF(D117&gt;E117,1,0)</f>
        <v>1</v>
      </c>
      <c r="L117" s="3" t="n">
        <f aca="false">IF(OR(F117="Y",G117="Y",H117="Y"),1,0)</f>
        <v>1</v>
      </c>
      <c r="M117" s="3" t="n">
        <f aca="false">IF(H117="Y",1,0)</f>
        <v>1</v>
      </c>
      <c r="N117" s="3" t="n">
        <f aca="false">IF(I117="Y",1,0)</f>
        <v>0</v>
      </c>
    </row>
    <row r="118" customFormat="false" ht="15" hidden="false" customHeight="true" outlineLevel="0" collapsed="false">
      <c r="A118" s="7" t="s">
        <v>54</v>
      </c>
      <c r="B118" s="7" t="n">
        <v>1899</v>
      </c>
      <c r="C118" s="7" t="s">
        <v>552</v>
      </c>
      <c r="D118" s="7" t="n">
        <v>95</v>
      </c>
      <c r="E118" s="7" t="n">
        <v>57</v>
      </c>
      <c r="F118" s="7"/>
      <c r="G118" s="7"/>
      <c r="H118" s="7" t="s">
        <v>546</v>
      </c>
      <c r="I118" s="7"/>
      <c r="J118" s="21" t="n">
        <f aca="false">D118/(D118+E118)</f>
        <v>0.625</v>
      </c>
      <c r="K118" s="3" t="n">
        <f aca="false">IF(D118&gt;E118,1,0)</f>
        <v>1</v>
      </c>
      <c r="L118" s="3" t="n">
        <f aca="false">IF(OR(F118="Y",G118="Y",H118="Y"),1,0)</f>
        <v>0</v>
      </c>
      <c r="M118" s="3" t="n">
        <f aca="false">IF(H118="Y",1,0)</f>
        <v>0</v>
      </c>
      <c r="N118" s="3" t="n">
        <f aca="false">IF(I118="Y",1,0)</f>
        <v>0</v>
      </c>
    </row>
    <row r="119" customFormat="false" ht="15" hidden="false" customHeight="true" outlineLevel="0" collapsed="false">
      <c r="A119" s="7" t="s">
        <v>54</v>
      </c>
      <c r="B119" s="7" t="n">
        <v>1900</v>
      </c>
      <c r="C119" s="7" t="s">
        <v>552</v>
      </c>
      <c r="D119" s="7" t="n">
        <v>66</v>
      </c>
      <c r="E119" s="7" t="n">
        <v>72</v>
      </c>
      <c r="F119" s="7"/>
      <c r="G119" s="7"/>
      <c r="H119" s="7" t="s">
        <v>546</v>
      </c>
      <c r="I119" s="7"/>
      <c r="J119" s="21" t="n">
        <f aca="false">D119/(D119+E119)</f>
        <v>0.478260869565217</v>
      </c>
      <c r="K119" s="3" t="n">
        <f aca="false">IF(D119&gt;E119,1,0)</f>
        <v>0</v>
      </c>
      <c r="L119" s="3" t="n">
        <f aca="false">IF(OR(F119="Y",G119="Y",H119="Y"),1,0)</f>
        <v>0</v>
      </c>
      <c r="M119" s="3" t="n">
        <f aca="false">IF(H119="Y",1,0)</f>
        <v>0</v>
      </c>
      <c r="N119" s="3" t="n">
        <f aca="false">IF(I119="Y",1,0)</f>
        <v>0</v>
      </c>
    </row>
    <row r="120" customFormat="false" ht="15" hidden="false" customHeight="true" outlineLevel="0" collapsed="false">
      <c r="A120" s="7" t="s">
        <v>54</v>
      </c>
      <c r="B120" s="7" t="n">
        <v>1901</v>
      </c>
      <c r="C120" s="7" t="s">
        <v>552</v>
      </c>
      <c r="D120" s="7" t="n">
        <v>69</v>
      </c>
      <c r="E120" s="7" t="n">
        <v>69</v>
      </c>
      <c r="F120" s="7"/>
      <c r="G120" s="7"/>
      <c r="H120" s="7" t="s">
        <v>546</v>
      </c>
      <c r="I120" s="7"/>
      <c r="J120" s="21" t="n">
        <f aca="false">D120/(D120+E120)</f>
        <v>0.5</v>
      </c>
      <c r="K120" s="3" t="n">
        <f aca="false">IF(D120&gt;E120,1,0)</f>
        <v>0</v>
      </c>
      <c r="L120" s="3" t="n">
        <f aca="false">IF(OR(F120="Y",G120="Y",H120="Y"),1,0)</f>
        <v>0</v>
      </c>
      <c r="M120" s="3" t="n">
        <f aca="false">IF(H120="Y",1,0)</f>
        <v>0</v>
      </c>
      <c r="N120" s="3" t="n">
        <f aca="false">IF(I120="Y",1,0)</f>
        <v>0</v>
      </c>
    </row>
    <row r="121" customFormat="false" ht="15" hidden="false" customHeight="true" outlineLevel="0" collapsed="false">
      <c r="A121" s="7" t="s">
        <v>54</v>
      </c>
      <c r="B121" s="7" t="n">
        <v>1902</v>
      </c>
      <c r="C121" s="7" t="s">
        <v>552</v>
      </c>
      <c r="D121" s="7" t="n">
        <v>73</v>
      </c>
      <c r="E121" s="7" t="n">
        <v>64</v>
      </c>
      <c r="F121" s="7"/>
      <c r="G121" s="7"/>
      <c r="H121" s="7" t="s">
        <v>546</v>
      </c>
      <c r="I121" s="7"/>
      <c r="J121" s="21" t="n">
        <f aca="false">D121/(D121+E121)</f>
        <v>0.532846715328467</v>
      </c>
      <c r="K121" s="3" t="n">
        <f aca="false">IF(D121&gt;E121,1,0)</f>
        <v>1</v>
      </c>
      <c r="L121" s="3" t="n">
        <f aca="false">IF(OR(F121="Y",G121="Y",H121="Y"),1,0)</f>
        <v>0</v>
      </c>
      <c r="M121" s="3" t="n">
        <f aca="false">IF(H121="Y",1,0)</f>
        <v>0</v>
      </c>
      <c r="N121" s="3" t="n">
        <f aca="false">IF(I121="Y",1,0)</f>
        <v>0</v>
      </c>
    </row>
    <row r="122" customFormat="false" ht="15" hidden="false" customHeight="true" outlineLevel="0" collapsed="false">
      <c r="A122" s="7" t="s">
        <v>54</v>
      </c>
      <c r="B122" s="7" t="n">
        <v>1903</v>
      </c>
      <c r="C122" s="7" t="s">
        <v>552</v>
      </c>
      <c r="D122" s="7" t="n">
        <v>58</v>
      </c>
      <c r="E122" s="7" t="n">
        <v>80</v>
      </c>
      <c r="F122" s="7"/>
      <c r="G122" s="7"/>
      <c r="H122" s="7" t="s">
        <v>546</v>
      </c>
      <c r="I122" s="7" t="s">
        <v>546</v>
      </c>
      <c r="J122" s="21" t="n">
        <f aca="false">D122/(D122+E122)</f>
        <v>0.420289855072464</v>
      </c>
      <c r="K122" s="3" t="n">
        <f aca="false">IF(D122&gt;E122,1,0)</f>
        <v>0</v>
      </c>
      <c r="L122" s="3" t="n">
        <f aca="false">IF(OR(F122="Y",G122="Y",H122="Y"),1,0)</f>
        <v>0</v>
      </c>
      <c r="M122" s="3" t="n">
        <f aca="false">IF(H122="Y",1,0)</f>
        <v>0</v>
      </c>
      <c r="N122" s="3" t="n">
        <f aca="false">IF(I122="Y",1,0)</f>
        <v>0</v>
      </c>
    </row>
    <row r="123" customFormat="false" ht="15" hidden="false" customHeight="true" outlineLevel="0" collapsed="false">
      <c r="A123" s="7" t="s">
        <v>54</v>
      </c>
      <c r="B123" s="7" t="n">
        <v>1904</v>
      </c>
      <c r="C123" s="7" t="s">
        <v>552</v>
      </c>
      <c r="D123" s="7" t="n">
        <v>55</v>
      </c>
      <c r="E123" s="7" t="n">
        <v>98</v>
      </c>
      <c r="F123" s="7"/>
      <c r="G123" s="7"/>
      <c r="H123" s="7" t="s">
        <v>546</v>
      </c>
      <c r="I123" s="7"/>
      <c r="J123" s="21" t="n">
        <f aca="false">D123/(D123+E123)</f>
        <v>0.359477124183007</v>
      </c>
      <c r="K123" s="3" t="n">
        <f aca="false">IF(D123&gt;E123,1,0)</f>
        <v>0</v>
      </c>
      <c r="L123" s="3" t="n">
        <f aca="false">IF(OR(F123="Y",G123="Y",H123="Y"),1,0)</f>
        <v>0</v>
      </c>
      <c r="M123" s="3" t="n">
        <f aca="false">IF(H123="Y",1,0)</f>
        <v>0</v>
      </c>
      <c r="N123" s="3" t="n">
        <f aca="false">IF(I123="Y",1,0)</f>
        <v>0</v>
      </c>
    </row>
    <row r="124" customFormat="false" ht="15" hidden="false" customHeight="true" outlineLevel="0" collapsed="false">
      <c r="A124" s="7" t="s">
        <v>54</v>
      </c>
      <c r="B124" s="7" t="n">
        <v>1905</v>
      </c>
      <c r="C124" s="7" t="s">
        <v>552</v>
      </c>
      <c r="D124" s="7" t="n">
        <v>51</v>
      </c>
      <c r="E124" s="7" t="n">
        <v>103</v>
      </c>
      <c r="F124" s="7"/>
      <c r="G124" s="7"/>
      <c r="H124" s="7" t="s">
        <v>546</v>
      </c>
      <c r="I124" s="7" t="s">
        <v>546</v>
      </c>
      <c r="J124" s="21" t="n">
        <f aca="false">D124/(D124+E124)</f>
        <v>0.331168831168831</v>
      </c>
      <c r="K124" s="3" t="n">
        <f aca="false">IF(D124&gt;E124,1,0)</f>
        <v>0</v>
      </c>
      <c r="L124" s="3" t="n">
        <f aca="false">IF(OR(F124="Y",G124="Y",H124="Y"),1,0)</f>
        <v>0</v>
      </c>
      <c r="M124" s="3" t="n">
        <f aca="false">IF(H124="Y",1,0)</f>
        <v>0</v>
      </c>
      <c r="N124" s="3" t="n">
        <f aca="false">IF(I124="Y",1,0)</f>
        <v>0</v>
      </c>
    </row>
    <row r="125" customFormat="false" ht="15" hidden="false" customHeight="true" outlineLevel="0" collapsed="false">
      <c r="A125" s="7" t="s">
        <v>54</v>
      </c>
      <c r="B125" s="7" t="n">
        <v>1906</v>
      </c>
      <c r="C125" s="7" t="s">
        <v>552</v>
      </c>
      <c r="D125" s="7" t="n">
        <v>49</v>
      </c>
      <c r="E125" s="7" t="n">
        <v>102</v>
      </c>
      <c r="F125" s="7"/>
      <c r="G125" s="7"/>
      <c r="H125" s="7" t="s">
        <v>546</v>
      </c>
      <c r="I125" s="7" t="s">
        <v>546</v>
      </c>
      <c r="J125" s="21" t="n">
        <f aca="false">D125/(D125+E125)</f>
        <v>0.324503311258278</v>
      </c>
      <c r="K125" s="3" t="n">
        <f aca="false">IF(D125&gt;E125,1,0)</f>
        <v>0</v>
      </c>
      <c r="L125" s="3" t="n">
        <f aca="false">IF(OR(F125="Y",G125="Y",H125="Y"),1,0)</f>
        <v>0</v>
      </c>
      <c r="M125" s="3" t="n">
        <f aca="false">IF(H125="Y",1,0)</f>
        <v>0</v>
      </c>
      <c r="N125" s="3" t="n">
        <f aca="false">IF(I125="Y",1,0)</f>
        <v>0</v>
      </c>
    </row>
    <row r="126" customFormat="false" ht="15" hidden="false" customHeight="true" outlineLevel="0" collapsed="false">
      <c r="A126" s="7" t="s">
        <v>54</v>
      </c>
      <c r="B126" s="7" t="n">
        <v>1907</v>
      </c>
      <c r="C126" s="7" t="s">
        <v>553</v>
      </c>
      <c r="D126" s="7" t="n">
        <v>58</v>
      </c>
      <c r="E126" s="7" t="n">
        <v>90</v>
      </c>
      <c r="F126" s="7"/>
      <c r="G126" s="7"/>
      <c r="H126" s="7" t="s">
        <v>546</v>
      </c>
      <c r="I126" s="7" t="s">
        <v>546</v>
      </c>
      <c r="J126" s="21" t="n">
        <f aca="false">D126/(D126+E126)</f>
        <v>0.391891891891892</v>
      </c>
      <c r="K126" s="3" t="n">
        <f aca="false">IF(D126&gt;E126,1,0)</f>
        <v>0</v>
      </c>
      <c r="L126" s="3" t="n">
        <f aca="false">IF(OR(F126="Y",G126="Y",H126="Y"),1,0)</f>
        <v>0</v>
      </c>
      <c r="M126" s="3" t="n">
        <f aca="false">IF(H126="Y",1,0)</f>
        <v>0</v>
      </c>
      <c r="N126" s="3" t="n">
        <f aca="false">IF(I126="Y",1,0)</f>
        <v>0</v>
      </c>
    </row>
    <row r="127" customFormat="false" ht="15" hidden="false" customHeight="true" outlineLevel="0" collapsed="false">
      <c r="A127" s="7" t="s">
        <v>54</v>
      </c>
      <c r="B127" s="7" t="n">
        <v>1908</v>
      </c>
      <c r="C127" s="7" t="s">
        <v>553</v>
      </c>
      <c r="D127" s="7" t="n">
        <v>63</v>
      </c>
      <c r="E127" s="7" t="n">
        <v>91</v>
      </c>
      <c r="F127" s="7"/>
      <c r="G127" s="7"/>
      <c r="H127" s="7" t="s">
        <v>546</v>
      </c>
      <c r="I127" s="7" t="s">
        <v>546</v>
      </c>
      <c r="J127" s="21" t="n">
        <f aca="false">D127/(D127+E127)</f>
        <v>0.409090909090909</v>
      </c>
      <c r="K127" s="3" t="n">
        <f aca="false">IF(D127&gt;E127,1,0)</f>
        <v>0</v>
      </c>
      <c r="L127" s="3" t="n">
        <f aca="false">IF(OR(F127="Y",G127="Y",H127="Y"),1,0)</f>
        <v>0</v>
      </c>
      <c r="M127" s="3" t="n">
        <f aca="false">IF(H127="Y",1,0)</f>
        <v>0</v>
      </c>
      <c r="N127" s="3" t="n">
        <f aca="false">IF(I127="Y",1,0)</f>
        <v>0</v>
      </c>
    </row>
    <row r="128" customFormat="false" ht="15" hidden="false" customHeight="true" outlineLevel="0" collapsed="false">
      <c r="A128" s="7" t="s">
        <v>54</v>
      </c>
      <c r="B128" s="7" t="n">
        <v>1909</v>
      </c>
      <c r="C128" s="7" t="s">
        <v>553</v>
      </c>
      <c r="D128" s="7" t="n">
        <v>45</v>
      </c>
      <c r="E128" s="7" t="n">
        <v>108</v>
      </c>
      <c r="F128" s="7"/>
      <c r="G128" s="7"/>
      <c r="H128" s="7" t="s">
        <v>546</v>
      </c>
      <c r="I128" s="7" t="s">
        <v>546</v>
      </c>
      <c r="J128" s="21" t="n">
        <f aca="false">D128/(D128+E128)</f>
        <v>0.294117647058824</v>
      </c>
      <c r="K128" s="3" t="n">
        <f aca="false">IF(D128&gt;E128,1,0)</f>
        <v>0</v>
      </c>
      <c r="L128" s="3" t="n">
        <f aca="false">IF(OR(F128="Y",G128="Y",H128="Y"),1,0)</f>
        <v>0</v>
      </c>
      <c r="M128" s="3" t="n">
        <f aca="false">IF(H128="Y",1,0)</f>
        <v>0</v>
      </c>
      <c r="N128" s="3" t="n">
        <f aca="false">IF(I128="Y",1,0)</f>
        <v>0</v>
      </c>
    </row>
    <row r="129" customFormat="false" ht="15" hidden="false" customHeight="true" outlineLevel="0" collapsed="false">
      <c r="A129" s="7" t="s">
        <v>54</v>
      </c>
      <c r="B129" s="7" t="n">
        <v>1910</v>
      </c>
      <c r="C129" s="7" t="s">
        <v>553</v>
      </c>
      <c r="D129" s="7" t="n">
        <v>53</v>
      </c>
      <c r="E129" s="7" t="n">
        <v>100</v>
      </c>
      <c r="F129" s="7"/>
      <c r="G129" s="7"/>
      <c r="H129" s="7" t="s">
        <v>546</v>
      </c>
      <c r="I129" s="7" t="s">
        <v>546</v>
      </c>
      <c r="J129" s="21" t="n">
        <f aca="false">D129/(D129+E129)</f>
        <v>0.34640522875817</v>
      </c>
      <c r="K129" s="3" t="n">
        <f aca="false">IF(D129&gt;E129,1,0)</f>
        <v>0</v>
      </c>
      <c r="L129" s="3" t="n">
        <f aca="false">IF(OR(F129="Y",G129="Y",H129="Y"),1,0)</f>
        <v>0</v>
      </c>
      <c r="M129" s="3" t="n">
        <f aca="false">IF(H129="Y",1,0)</f>
        <v>0</v>
      </c>
      <c r="N129" s="3" t="n">
        <f aca="false">IF(I129="Y",1,0)</f>
        <v>0</v>
      </c>
    </row>
    <row r="130" customFormat="false" ht="15" hidden="false" customHeight="true" outlineLevel="0" collapsed="false">
      <c r="A130" s="7" t="s">
        <v>54</v>
      </c>
      <c r="B130" s="7" t="n">
        <v>1911</v>
      </c>
      <c r="C130" s="7" t="s">
        <v>554</v>
      </c>
      <c r="D130" s="7" t="n">
        <v>44</v>
      </c>
      <c r="E130" s="7" t="n">
        <v>107</v>
      </c>
      <c r="F130" s="7"/>
      <c r="G130" s="7"/>
      <c r="H130" s="7" t="s">
        <v>546</v>
      </c>
      <c r="I130" s="7" t="s">
        <v>546</v>
      </c>
      <c r="J130" s="21" t="n">
        <f aca="false">D130/(D130+E130)</f>
        <v>0.291390728476821</v>
      </c>
      <c r="K130" s="3" t="n">
        <f aca="false">IF(D130&gt;E130,1,0)</f>
        <v>0</v>
      </c>
      <c r="L130" s="3" t="n">
        <f aca="false">IF(OR(F130="Y",G130="Y",H130="Y"),1,0)</f>
        <v>0</v>
      </c>
      <c r="M130" s="3" t="n">
        <f aca="false">IF(H130="Y",1,0)</f>
        <v>0</v>
      </c>
      <c r="N130" s="3" t="n">
        <f aca="false">IF(I130="Y",1,0)</f>
        <v>0</v>
      </c>
    </row>
    <row r="131" customFormat="false" ht="15" hidden="false" customHeight="true" outlineLevel="0" collapsed="false">
      <c r="A131" s="7" t="s">
        <v>54</v>
      </c>
      <c r="B131" s="7" t="n">
        <v>1912</v>
      </c>
      <c r="C131" s="7" t="s">
        <v>555</v>
      </c>
      <c r="D131" s="7" t="n">
        <v>52</v>
      </c>
      <c r="E131" s="7" t="n">
        <v>101</v>
      </c>
      <c r="F131" s="7"/>
      <c r="G131" s="7"/>
      <c r="H131" s="7" t="s">
        <v>546</v>
      </c>
      <c r="I131" s="7" t="s">
        <v>546</v>
      </c>
      <c r="J131" s="21" t="n">
        <f aca="false">D131/(D131+E131)</f>
        <v>0.339869281045752</v>
      </c>
      <c r="K131" s="3" t="n">
        <f aca="false">IF(D131&gt;E131,1,0)</f>
        <v>0</v>
      </c>
      <c r="L131" s="3" t="n">
        <f aca="false">IF(OR(F131="Y",G131="Y",H131="Y"),1,0)</f>
        <v>0</v>
      </c>
      <c r="M131" s="3" t="n">
        <f aca="false">IF(H131="Y",1,0)</f>
        <v>0</v>
      </c>
      <c r="N131" s="3" t="n">
        <f aca="false">IF(I131="Y",1,0)</f>
        <v>0</v>
      </c>
    </row>
    <row r="132" customFormat="false" ht="15" hidden="false" customHeight="true" outlineLevel="0" collapsed="false">
      <c r="A132" s="7" t="s">
        <v>54</v>
      </c>
      <c r="B132" s="7" t="n">
        <v>1913</v>
      </c>
      <c r="C132" s="7" t="s">
        <v>555</v>
      </c>
      <c r="D132" s="7" t="n">
        <v>69</v>
      </c>
      <c r="E132" s="7" t="n">
        <v>82</v>
      </c>
      <c r="F132" s="7"/>
      <c r="G132" s="7"/>
      <c r="H132" s="7" t="s">
        <v>546</v>
      </c>
      <c r="I132" s="7" t="s">
        <v>546</v>
      </c>
      <c r="J132" s="21" t="n">
        <f aca="false">D132/(D132+E132)</f>
        <v>0.456953642384106</v>
      </c>
      <c r="K132" s="3" t="n">
        <f aca="false">IF(D132&gt;E132,1,0)</f>
        <v>0</v>
      </c>
      <c r="L132" s="3" t="n">
        <f aca="false">IF(OR(F132="Y",G132="Y",H132="Y"),1,0)</f>
        <v>0</v>
      </c>
      <c r="M132" s="3" t="n">
        <f aca="false">IF(H132="Y",1,0)</f>
        <v>0</v>
      </c>
      <c r="N132" s="3" t="n">
        <f aca="false">IF(I132="Y",1,0)</f>
        <v>0</v>
      </c>
    </row>
    <row r="133" customFormat="false" ht="15" hidden="false" customHeight="true" outlineLevel="0" collapsed="false">
      <c r="A133" s="7" t="s">
        <v>54</v>
      </c>
      <c r="B133" s="7" t="n">
        <v>1914</v>
      </c>
      <c r="C133" s="7" t="s">
        <v>555</v>
      </c>
      <c r="D133" s="7" t="n">
        <v>94</v>
      </c>
      <c r="E133" s="7" t="n">
        <v>59</v>
      </c>
      <c r="F133" s="7"/>
      <c r="G133" s="7"/>
      <c r="H133" s="7" t="s">
        <v>548</v>
      </c>
      <c r="I133" s="7" t="s">
        <v>548</v>
      </c>
      <c r="J133" s="21" t="n">
        <f aca="false">D133/(D133+E133)</f>
        <v>0.61437908496732</v>
      </c>
      <c r="K133" s="3" t="n">
        <f aca="false">IF(D133&gt;E133,1,0)</f>
        <v>1</v>
      </c>
      <c r="L133" s="3" t="n">
        <f aca="false">IF(OR(F133="Y",G133="Y",H133="Y"),1,0)</f>
        <v>1</v>
      </c>
      <c r="M133" s="3" t="n">
        <f aca="false">IF(H133="Y",1,0)</f>
        <v>1</v>
      </c>
      <c r="N133" s="3" t="n">
        <f aca="false">IF(I133="Y",1,0)</f>
        <v>1</v>
      </c>
    </row>
    <row r="134" customFormat="false" ht="15" hidden="false" customHeight="true" outlineLevel="0" collapsed="false">
      <c r="A134" s="7" t="s">
        <v>54</v>
      </c>
      <c r="B134" s="7" t="n">
        <v>1915</v>
      </c>
      <c r="C134" s="7" t="s">
        <v>555</v>
      </c>
      <c r="D134" s="7" t="n">
        <v>83</v>
      </c>
      <c r="E134" s="7" t="n">
        <v>69</v>
      </c>
      <c r="F134" s="7"/>
      <c r="G134" s="7"/>
      <c r="H134" s="7" t="s">
        <v>546</v>
      </c>
      <c r="I134" s="7" t="s">
        <v>546</v>
      </c>
      <c r="J134" s="21" t="n">
        <f aca="false">D134/(D134+E134)</f>
        <v>0.546052631578947</v>
      </c>
      <c r="K134" s="3" t="n">
        <f aca="false">IF(D134&gt;E134,1,0)</f>
        <v>1</v>
      </c>
      <c r="L134" s="3" t="n">
        <f aca="false">IF(OR(F134="Y",G134="Y",H134="Y"),1,0)</f>
        <v>0</v>
      </c>
      <c r="M134" s="3" t="n">
        <f aca="false">IF(H134="Y",1,0)</f>
        <v>0</v>
      </c>
      <c r="N134" s="3" t="n">
        <f aca="false">IF(I134="Y",1,0)</f>
        <v>0</v>
      </c>
    </row>
    <row r="135" customFormat="false" ht="15" hidden="false" customHeight="true" outlineLevel="0" collapsed="false">
      <c r="A135" s="7" t="s">
        <v>54</v>
      </c>
      <c r="B135" s="7" t="n">
        <v>1916</v>
      </c>
      <c r="C135" s="7" t="s">
        <v>555</v>
      </c>
      <c r="D135" s="7" t="n">
        <v>89</v>
      </c>
      <c r="E135" s="7" t="n">
        <v>63</v>
      </c>
      <c r="F135" s="7"/>
      <c r="G135" s="7"/>
      <c r="H135" s="7" t="s">
        <v>546</v>
      </c>
      <c r="I135" s="7" t="s">
        <v>546</v>
      </c>
      <c r="J135" s="21" t="n">
        <f aca="false">D135/(D135+E135)</f>
        <v>0.585526315789474</v>
      </c>
      <c r="K135" s="3" t="n">
        <f aca="false">IF(D135&gt;E135,1,0)</f>
        <v>1</v>
      </c>
      <c r="L135" s="3" t="n">
        <f aca="false">IF(OR(F135="Y",G135="Y",H135="Y"),1,0)</f>
        <v>0</v>
      </c>
      <c r="M135" s="3" t="n">
        <f aca="false">IF(H135="Y",1,0)</f>
        <v>0</v>
      </c>
      <c r="N135" s="3" t="n">
        <f aca="false">IF(I135="Y",1,0)</f>
        <v>0</v>
      </c>
    </row>
    <row r="136" customFormat="false" ht="15" hidden="false" customHeight="true" outlineLevel="0" collapsed="false">
      <c r="A136" s="7" t="s">
        <v>54</v>
      </c>
      <c r="B136" s="7" t="n">
        <v>1917</v>
      </c>
      <c r="C136" s="7" t="s">
        <v>555</v>
      </c>
      <c r="D136" s="7" t="n">
        <v>72</v>
      </c>
      <c r="E136" s="7" t="n">
        <v>81</v>
      </c>
      <c r="F136" s="7"/>
      <c r="G136" s="7"/>
      <c r="H136" s="7" t="s">
        <v>546</v>
      </c>
      <c r="I136" s="7" t="s">
        <v>546</v>
      </c>
      <c r="J136" s="21" t="n">
        <f aca="false">D136/(D136+E136)</f>
        <v>0.470588235294118</v>
      </c>
      <c r="K136" s="3" t="n">
        <f aca="false">IF(D136&gt;E136,1,0)</f>
        <v>0</v>
      </c>
      <c r="L136" s="3" t="n">
        <f aca="false">IF(OR(F136="Y",G136="Y",H136="Y"),1,0)</f>
        <v>0</v>
      </c>
      <c r="M136" s="3" t="n">
        <f aca="false">IF(H136="Y",1,0)</f>
        <v>0</v>
      </c>
      <c r="N136" s="3" t="n">
        <f aca="false">IF(I136="Y",1,0)</f>
        <v>0</v>
      </c>
    </row>
    <row r="137" customFormat="false" ht="15" hidden="false" customHeight="true" outlineLevel="0" collapsed="false">
      <c r="A137" s="7" t="s">
        <v>54</v>
      </c>
      <c r="B137" s="7" t="n">
        <v>1918</v>
      </c>
      <c r="C137" s="7" t="s">
        <v>555</v>
      </c>
      <c r="D137" s="7" t="n">
        <v>53</v>
      </c>
      <c r="E137" s="7" t="n">
        <v>71</v>
      </c>
      <c r="F137" s="7"/>
      <c r="G137" s="7"/>
      <c r="H137" s="7" t="s">
        <v>546</v>
      </c>
      <c r="I137" s="7" t="s">
        <v>546</v>
      </c>
      <c r="J137" s="21" t="n">
        <f aca="false">D137/(D137+E137)</f>
        <v>0.42741935483871</v>
      </c>
      <c r="K137" s="3" t="n">
        <f aca="false">IF(D137&gt;E137,1,0)</f>
        <v>0</v>
      </c>
      <c r="L137" s="3" t="n">
        <f aca="false">IF(OR(F137="Y",G137="Y",H137="Y"),1,0)</f>
        <v>0</v>
      </c>
      <c r="M137" s="3" t="n">
        <f aca="false">IF(H137="Y",1,0)</f>
        <v>0</v>
      </c>
      <c r="N137" s="3" t="n">
        <f aca="false">IF(I137="Y",1,0)</f>
        <v>0</v>
      </c>
    </row>
    <row r="138" customFormat="false" ht="15" hidden="false" customHeight="true" outlineLevel="0" collapsed="false">
      <c r="A138" s="7" t="s">
        <v>54</v>
      </c>
      <c r="B138" s="7" t="n">
        <v>1919</v>
      </c>
      <c r="C138" s="7" t="s">
        <v>555</v>
      </c>
      <c r="D138" s="7" t="n">
        <v>57</v>
      </c>
      <c r="E138" s="7" t="n">
        <v>82</v>
      </c>
      <c r="F138" s="7"/>
      <c r="G138" s="7"/>
      <c r="H138" s="7" t="s">
        <v>546</v>
      </c>
      <c r="I138" s="7" t="s">
        <v>546</v>
      </c>
      <c r="J138" s="21" t="n">
        <f aca="false">D138/(D138+E138)</f>
        <v>0.410071942446043</v>
      </c>
      <c r="K138" s="3" t="n">
        <f aca="false">IF(D138&gt;E138,1,0)</f>
        <v>0</v>
      </c>
      <c r="L138" s="3" t="n">
        <f aca="false">IF(OR(F138="Y",G138="Y",H138="Y"),1,0)</f>
        <v>0</v>
      </c>
      <c r="M138" s="3" t="n">
        <f aca="false">IF(H138="Y",1,0)</f>
        <v>0</v>
      </c>
      <c r="N138" s="3" t="n">
        <f aca="false">IF(I138="Y",1,0)</f>
        <v>0</v>
      </c>
    </row>
    <row r="139" customFormat="false" ht="15" hidden="false" customHeight="true" outlineLevel="0" collapsed="false">
      <c r="A139" s="7" t="s">
        <v>54</v>
      </c>
      <c r="B139" s="7" t="n">
        <v>1920</v>
      </c>
      <c r="C139" s="7" t="s">
        <v>555</v>
      </c>
      <c r="D139" s="7" t="n">
        <v>62</v>
      </c>
      <c r="E139" s="7" t="n">
        <v>90</v>
      </c>
      <c r="F139" s="7"/>
      <c r="G139" s="7"/>
      <c r="H139" s="7" t="s">
        <v>546</v>
      </c>
      <c r="I139" s="7" t="s">
        <v>546</v>
      </c>
      <c r="J139" s="21" t="n">
        <f aca="false">D139/(D139+E139)</f>
        <v>0.407894736842105</v>
      </c>
      <c r="K139" s="3" t="n">
        <f aca="false">IF(D139&gt;E139,1,0)</f>
        <v>0</v>
      </c>
      <c r="L139" s="3" t="n">
        <f aca="false">IF(OR(F139="Y",G139="Y",H139="Y"),1,0)</f>
        <v>0</v>
      </c>
      <c r="M139" s="3" t="n">
        <f aca="false">IF(H139="Y",1,0)</f>
        <v>0</v>
      </c>
      <c r="N139" s="3" t="n">
        <f aca="false">IF(I139="Y",1,0)</f>
        <v>0</v>
      </c>
    </row>
    <row r="140" customFormat="false" ht="15" hidden="false" customHeight="true" outlineLevel="0" collapsed="false">
      <c r="A140" s="7" t="s">
        <v>54</v>
      </c>
      <c r="B140" s="7" t="n">
        <v>1921</v>
      </c>
      <c r="C140" s="7" t="s">
        <v>555</v>
      </c>
      <c r="D140" s="7" t="n">
        <v>79</v>
      </c>
      <c r="E140" s="7" t="n">
        <v>74</v>
      </c>
      <c r="F140" s="7"/>
      <c r="G140" s="7"/>
      <c r="H140" s="7" t="s">
        <v>546</v>
      </c>
      <c r="I140" s="7" t="s">
        <v>546</v>
      </c>
      <c r="J140" s="21" t="n">
        <f aca="false">D140/(D140+E140)</f>
        <v>0.516339869281046</v>
      </c>
      <c r="K140" s="3" t="n">
        <f aca="false">IF(D140&gt;E140,1,0)</f>
        <v>1</v>
      </c>
      <c r="L140" s="3" t="n">
        <f aca="false">IF(OR(F140="Y",G140="Y",H140="Y"),1,0)</f>
        <v>0</v>
      </c>
      <c r="M140" s="3" t="n">
        <f aca="false">IF(H140="Y",1,0)</f>
        <v>0</v>
      </c>
      <c r="N140" s="3" t="n">
        <f aca="false">IF(I140="Y",1,0)</f>
        <v>0</v>
      </c>
    </row>
    <row r="141" customFormat="false" ht="15" hidden="false" customHeight="true" outlineLevel="0" collapsed="false">
      <c r="A141" s="7" t="s">
        <v>54</v>
      </c>
      <c r="B141" s="7" t="n">
        <v>1922</v>
      </c>
      <c r="C141" s="7" t="s">
        <v>555</v>
      </c>
      <c r="D141" s="7" t="n">
        <v>53</v>
      </c>
      <c r="E141" s="7" t="n">
        <v>100</v>
      </c>
      <c r="F141" s="7"/>
      <c r="G141" s="7"/>
      <c r="H141" s="7" t="s">
        <v>546</v>
      </c>
      <c r="I141" s="7" t="s">
        <v>546</v>
      </c>
      <c r="J141" s="21" t="n">
        <f aca="false">D141/(D141+E141)</f>
        <v>0.34640522875817</v>
      </c>
      <c r="K141" s="3" t="n">
        <f aca="false">IF(D141&gt;E141,1,0)</f>
        <v>0</v>
      </c>
      <c r="L141" s="3" t="n">
        <f aca="false">IF(OR(F141="Y",G141="Y",H141="Y"),1,0)</f>
        <v>0</v>
      </c>
      <c r="M141" s="3" t="n">
        <f aca="false">IF(H141="Y",1,0)</f>
        <v>0</v>
      </c>
      <c r="N141" s="3" t="n">
        <f aca="false">IF(I141="Y",1,0)</f>
        <v>0</v>
      </c>
    </row>
    <row r="142" customFormat="false" ht="15" hidden="false" customHeight="true" outlineLevel="0" collapsed="false">
      <c r="A142" s="7" t="s">
        <v>54</v>
      </c>
      <c r="B142" s="7" t="n">
        <v>1923</v>
      </c>
      <c r="C142" s="7" t="s">
        <v>555</v>
      </c>
      <c r="D142" s="7" t="n">
        <v>54</v>
      </c>
      <c r="E142" s="7" t="n">
        <v>100</v>
      </c>
      <c r="F142" s="7"/>
      <c r="G142" s="7"/>
      <c r="H142" s="7" t="s">
        <v>546</v>
      </c>
      <c r="I142" s="7" t="s">
        <v>546</v>
      </c>
      <c r="J142" s="21" t="n">
        <f aca="false">D142/(D142+E142)</f>
        <v>0.350649350649351</v>
      </c>
      <c r="K142" s="3" t="n">
        <f aca="false">IF(D142&gt;E142,1,0)</f>
        <v>0</v>
      </c>
      <c r="L142" s="3" t="n">
        <f aca="false">IF(OR(F142="Y",G142="Y",H142="Y"),1,0)</f>
        <v>0</v>
      </c>
      <c r="M142" s="3" t="n">
        <f aca="false">IF(H142="Y",1,0)</f>
        <v>0</v>
      </c>
      <c r="N142" s="3" t="n">
        <f aca="false">IF(I142="Y",1,0)</f>
        <v>0</v>
      </c>
    </row>
    <row r="143" customFormat="false" ht="15" hidden="false" customHeight="true" outlineLevel="0" collapsed="false">
      <c r="A143" s="7" t="s">
        <v>54</v>
      </c>
      <c r="B143" s="7" t="n">
        <v>1924</v>
      </c>
      <c r="C143" s="7" t="s">
        <v>555</v>
      </c>
      <c r="D143" s="7" t="n">
        <v>53</v>
      </c>
      <c r="E143" s="7" t="n">
        <v>100</v>
      </c>
      <c r="F143" s="7"/>
      <c r="G143" s="7"/>
      <c r="H143" s="7" t="s">
        <v>546</v>
      </c>
      <c r="I143" s="7" t="s">
        <v>546</v>
      </c>
      <c r="J143" s="21" t="n">
        <f aca="false">D143/(D143+E143)</f>
        <v>0.34640522875817</v>
      </c>
      <c r="K143" s="3" t="n">
        <f aca="false">IF(D143&gt;E143,1,0)</f>
        <v>0</v>
      </c>
      <c r="L143" s="3" t="n">
        <f aca="false">IF(OR(F143="Y",G143="Y",H143="Y"),1,0)</f>
        <v>0</v>
      </c>
      <c r="M143" s="3" t="n">
        <f aca="false">IF(H143="Y",1,0)</f>
        <v>0</v>
      </c>
      <c r="N143" s="3" t="n">
        <f aca="false">IF(I143="Y",1,0)</f>
        <v>0</v>
      </c>
    </row>
    <row r="144" customFormat="false" ht="15" hidden="false" customHeight="true" outlineLevel="0" collapsed="false">
      <c r="A144" s="7" t="s">
        <v>54</v>
      </c>
      <c r="B144" s="7" t="n">
        <v>1925</v>
      </c>
      <c r="C144" s="7" t="s">
        <v>555</v>
      </c>
      <c r="D144" s="7" t="n">
        <v>70</v>
      </c>
      <c r="E144" s="7" t="n">
        <v>83</v>
      </c>
      <c r="F144" s="7"/>
      <c r="G144" s="7"/>
      <c r="H144" s="7" t="s">
        <v>546</v>
      </c>
      <c r="I144" s="7" t="s">
        <v>546</v>
      </c>
      <c r="J144" s="21" t="n">
        <f aca="false">D144/(D144+E144)</f>
        <v>0.457516339869281</v>
      </c>
      <c r="K144" s="3" t="n">
        <f aca="false">IF(D144&gt;E144,1,0)</f>
        <v>0</v>
      </c>
      <c r="L144" s="3" t="n">
        <f aca="false">IF(OR(F144="Y",G144="Y",H144="Y"),1,0)</f>
        <v>0</v>
      </c>
      <c r="M144" s="3" t="n">
        <f aca="false">IF(H144="Y",1,0)</f>
        <v>0</v>
      </c>
      <c r="N144" s="3" t="n">
        <f aca="false">IF(I144="Y",1,0)</f>
        <v>0</v>
      </c>
    </row>
    <row r="145" customFormat="false" ht="15" hidden="false" customHeight="true" outlineLevel="0" collapsed="false">
      <c r="A145" s="7" t="s">
        <v>54</v>
      </c>
      <c r="B145" s="7" t="n">
        <v>1926</v>
      </c>
      <c r="C145" s="7" t="s">
        <v>555</v>
      </c>
      <c r="D145" s="7" t="n">
        <v>66</v>
      </c>
      <c r="E145" s="7" t="n">
        <v>86</v>
      </c>
      <c r="F145" s="7"/>
      <c r="G145" s="7"/>
      <c r="H145" s="7" t="s">
        <v>546</v>
      </c>
      <c r="I145" s="7" t="s">
        <v>546</v>
      </c>
      <c r="J145" s="21" t="n">
        <f aca="false">D145/(D145+E145)</f>
        <v>0.43421052631579</v>
      </c>
      <c r="K145" s="3" t="n">
        <f aca="false">IF(D145&gt;E145,1,0)</f>
        <v>0</v>
      </c>
      <c r="L145" s="3" t="n">
        <f aca="false">IF(OR(F145="Y",G145="Y",H145="Y"),1,0)</f>
        <v>0</v>
      </c>
      <c r="M145" s="3" t="n">
        <f aca="false">IF(H145="Y",1,0)</f>
        <v>0</v>
      </c>
      <c r="N145" s="3" t="n">
        <f aca="false">IF(I145="Y",1,0)</f>
        <v>0</v>
      </c>
    </row>
    <row r="146" customFormat="false" ht="15" hidden="false" customHeight="true" outlineLevel="0" collapsed="false">
      <c r="A146" s="7" t="s">
        <v>54</v>
      </c>
      <c r="B146" s="7" t="n">
        <v>1927</v>
      </c>
      <c r="C146" s="7" t="s">
        <v>555</v>
      </c>
      <c r="D146" s="7" t="n">
        <v>60</v>
      </c>
      <c r="E146" s="7" t="n">
        <v>94</v>
      </c>
      <c r="F146" s="7"/>
      <c r="G146" s="7"/>
      <c r="H146" s="7" t="s">
        <v>546</v>
      </c>
      <c r="I146" s="7" t="s">
        <v>546</v>
      </c>
      <c r="J146" s="21" t="n">
        <f aca="false">D146/(D146+E146)</f>
        <v>0.38961038961039</v>
      </c>
      <c r="K146" s="3" t="n">
        <f aca="false">IF(D146&gt;E146,1,0)</f>
        <v>0</v>
      </c>
      <c r="L146" s="3" t="n">
        <f aca="false">IF(OR(F146="Y",G146="Y",H146="Y"),1,0)</f>
        <v>0</v>
      </c>
      <c r="M146" s="3" t="n">
        <f aca="false">IF(H146="Y",1,0)</f>
        <v>0</v>
      </c>
      <c r="N146" s="3" t="n">
        <f aca="false">IF(I146="Y",1,0)</f>
        <v>0</v>
      </c>
    </row>
    <row r="147" customFormat="false" ht="15" hidden="false" customHeight="true" outlineLevel="0" collapsed="false">
      <c r="A147" s="7" t="s">
        <v>54</v>
      </c>
      <c r="B147" s="7" t="n">
        <v>1928</v>
      </c>
      <c r="C147" s="7" t="s">
        <v>555</v>
      </c>
      <c r="D147" s="7" t="n">
        <v>50</v>
      </c>
      <c r="E147" s="7" t="n">
        <v>103</v>
      </c>
      <c r="F147" s="7"/>
      <c r="G147" s="7"/>
      <c r="H147" s="7" t="s">
        <v>546</v>
      </c>
      <c r="I147" s="7" t="s">
        <v>546</v>
      </c>
      <c r="J147" s="21" t="n">
        <f aca="false">D147/(D147+E147)</f>
        <v>0.326797385620915</v>
      </c>
      <c r="K147" s="3" t="n">
        <f aca="false">IF(D147&gt;E147,1,0)</f>
        <v>0</v>
      </c>
      <c r="L147" s="3" t="n">
        <f aca="false">IF(OR(F147="Y",G147="Y",H147="Y"),1,0)</f>
        <v>0</v>
      </c>
      <c r="M147" s="3" t="n">
        <f aca="false">IF(H147="Y",1,0)</f>
        <v>0</v>
      </c>
      <c r="N147" s="3" t="n">
        <f aca="false">IF(I147="Y",1,0)</f>
        <v>0</v>
      </c>
    </row>
    <row r="148" customFormat="false" ht="15" hidden="false" customHeight="true" outlineLevel="0" collapsed="false">
      <c r="A148" s="7" t="s">
        <v>54</v>
      </c>
      <c r="B148" s="7" t="n">
        <v>1929</v>
      </c>
      <c r="C148" s="7" t="s">
        <v>555</v>
      </c>
      <c r="D148" s="7" t="n">
        <v>56</v>
      </c>
      <c r="E148" s="7" t="n">
        <v>98</v>
      </c>
      <c r="F148" s="7"/>
      <c r="G148" s="7"/>
      <c r="H148" s="7" t="s">
        <v>546</v>
      </c>
      <c r="I148" s="7" t="s">
        <v>546</v>
      </c>
      <c r="J148" s="21" t="n">
        <f aca="false">D148/(D148+E148)</f>
        <v>0.363636363636364</v>
      </c>
      <c r="K148" s="3" t="n">
        <f aca="false">IF(D148&gt;E148,1,0)</f>
        <v>0</v>
      </c>
      <c r="L148" s="3" t="n">
        <f aca="false">IF(OR(F148="Y",G148="Y",H148="Y"),1,0)</f>
        <v>0</v>
      </c>
      <c r="M148" s="3" t="n">
        <f aca="false">IF(H148="Y",1,0)</f>
        <v>0</v>
      </c>
      <c r="N148" s="3" t="n">
        <f aca="false">IF(I148="Y",1,0)</f>
        <v>0</v>
      </c>
    </row>
    <row r="149" customFormat="false" ht="15" hidden="false" customHeight="true" outlineLevel="0" collapsed="false">
      <c r="A149" s="7" t="s">
        <v>54</v>
      </c>
      <c r="B149" s="7" t="n">
        <v>1930</v>
      </c>
      <c r="C149" s="7" t="s">
        <v>555</v>
      </c>
      <c r="D149" s="7" t="n">
        <v>70</v>
      </c>
      <c r="E149" s="7" t="n">
        <v>84</v>
      </c>
      <c r="F149" s="7"/>
      <c r="G149" s="7"/>
      <c r="H149" s="7" t="s">
        <v>546</v>
      </c>
      <c r="I149" s="7" t="s">
        <v>546</v>
      </c>
      <c r="J149" s="21" t="n">
        <f aca="false">D149/(D149+E149)</f>
        <v>0.454545454545455</v>
      </c>
      <c r="K149" s="3" t="n">
        <f aca="false">IF(D149&gt;E149,1,0)</f>
        <v>0</v>
      </c>
      <c r="L149" s="3" t="n">
        <f aca="false">IF(OR(F149="Y",G149="Y",H149="Y"),1,0)</f>
        <v>0</v>
      </c>
      <c r="M149" s="3" t="n">
        <f aca="false">IF(H149="Y",1,0)</f>
        <v>0</v>
      </c>
      <c r="N149" s="3" t="n">
        <f aca="false">IF(I149="Y",1,0)</f>
        <v>0</v>
      </c>
    </row>
    <row r="150" customFormat="false" ht="15" hidden="false" customHeight="true" outlineLevel="0" collapsed="false">
      <c r="A150" s="7" t="s">
        <v>54</v>
      </c>
      <c r="B150" s="7" t="n">
        <v>1931</v>
      </c>
      <c r="C150" s="7" t="s">
        <v>555</v>
      </c>
      <c r="D150" s="7" t="n">
        <v>64</v>
      </c>
      <c r="E150" s="7" t="n">
        <v>90</v>
      </c>
      <c r="F150" s="7"/>
      <c r="G150" s="7"/>
      <c r="H150" s="7" t="s">
        <v>546</v>
      </c>
      <c r="I150" s="7" t="s">
        <v>546</v>
      </c>
      <c r="J150" s="21" t="n">
        <f aca="false">D150/(D150+E150)</f>
        <v>0.415584415584416</v>
      </c>
      <c r="K150" s="3" t="n">
        <f aca="false">IF(D150&gt;E150,1,0)</f>
        <v>0</v>
      </c>
      <c r="L150" s="3" t="n">
        <f aca="false">IF(OR(F150="Y",G150="Y",H150="Y"),1,0)</f>
        <v>0</v>
      </c>
      <c r="M150" s="3" t="n">
        <f aca="false">IF(H150="Y",1,0)</f>
        <v>0</v>
      </c>
      <c r="N150" s="3" t="n">
        <f aca="false">IF(I150="Y",1,0)</f>
        <v>0</v>
      </c>
    </row>
    <row r="151" customFormat="false" ht="15" hidden="false" customHeight="true" outlineLevel="0" collapsed="false">
      <c r="A151" s="7" t="s">
        <v>54</v>
      </c>
      <c r="B151" s="7" t="n">
        <v>1932</v>
      </c>
      <c r="C151" s="7" t="s">
        <v>555</v>
      </c>
      <c r="D151" s="7" t="n">
        <v>77</v>
      </c>
      <c r="E151" s="7" t="n">
        <v>77</v>
      </c>
      <c r="F151" s="7"/>
      <c r="G151" s="7"/>
      <c r="H151" s="7" t="s">
        <v>546</v>
      </c>
      <c r="I151" s="7" t="s">
        <v>546</v>
      </c>
      <c r="J151" s="21" t="n">
        <f aca="false">D151/(D151+E151)</f>
        <v>0.5</v>
      </c>
      <c r="K151" s="3" t="n">
        <f aca="false">IF(D151&gt;E151,1,0)</f>
        <v>0</v>
      </c>
      <c r="L151" s="3" t="n">
        <f aca="false">IF(OR(F151="Y",G151="Y",H151="Y"),1,0)</f>
        <v>0</v>
      </c>
      <c r="M151" s="3" t="n">
        <f aca="false">IF(H151="Y",1,0)</f>
        <v>0</v>
      </c>
      <c r="N151" s="3" t="n">
        <f aca="false">IF(I151="Y",1,0)</f>
        <v>0</v>
      </c>
    </row>
    <row r="152" customFormat="false" ht="15" hidden="false" customHeight="true" outlineLevel="0" collapsed="false">
      <c r="A152" s="7" t="s">
        <v>54</v>
      </c>
      <c r="B152" s="7" t="n">
        <v>1933</v>
      </c>
      <c r="C152" s="7" t="s">
        <v>555</v>
      </c>
      <c r="D152" s="7" t="n">
        <v>83</v>
      </c>
      <c r="E152" s="7" t="n">
        <v>71</v>
      </c>
      <c r="F152" s="7"/>
      <c r="G152" s="7"/>
      <c r="H152" s="7" t="s">
        <v>546</v>
      </c>
      <c r="I152" s="7" t="s">
        <v>546</v>
      </c>
      <c r="J152" s="21" t="n">
        <f aca="false">D152/(D152+E152)</f>
        <v>0.538961038961039</v>
      </c>
      <c r="K152" s="3" t="n">
        <f aca="false">IF(D152&gt;E152,1,0)</f>
        <v>1</v>
      </c>
      <c r="L152" s="3" t="n">
        <f aca="false">IF(OR(F152="Y",G152="Y",H152="Y"),1,0)</f>
        <v>0</v>
      </c>
      <c r="M152" s="3" t="n">
        <f aca="false">IF(H152="Y",1,0)</f>
        <v>0</v>
      </c>
      <c r="N152" s="3" t="n">
        <f aca="false">IF(I152="Y",1,0)</f>
        <v>0</v>
      </c>
    </row>
    <row r="153" customFormat="false" ht="15" hidden="false" customHeight="true" outlineLevel="0" collapsed="false">
      <c r="A153" s="7" t="s">
        <v>54</v>
      </c>
      <c r="B153" s="7" t="n">
        <v>1934</v>
      </c>
      <c r="C153" s="7" t="s">
        <v>555</v>
      </c>
      <c r="D153" s="7" t="n">
        <v>78</v>
      </c>
      <c r="E153" s="7" t="n">
        <v>73</v>
      </c>
      <c r="F153" s="7"/>
      <c r="G153" s="7"/>
      <c r="H153" s="7" t="s">
        <v>546</v>
      </c>
      <c r="I153" s="7" t="s">
        <v>546</v>
      </c>
      <c r="J153" s="21" t="n">
        <f aca="false">D153/(D153+E153)</f>
        <v>0.516556291390729</v>
      </c>
      <c r="K153" s="3" t="n">
        <f aca="false">IF(D153&gt;E153,1,0)</f>
        <v>1</v>
      </c>
      <c r="L153" s="3" t="n">
        <f aca="false">IF(OR(F153="Y",G153="Y",H153="Y"),1,0)</f>
        <v>0</v>
      </c>
      <c r="M153" s="3" t="n">
        <f aca="false">IF(H153="Y",1,0)</f>
        <v>0</v>
      </c>
      <c r="N153" s="3" t="n">
        <f aca="false">IF(I153="Y",1,0)</f>
        <v>0</v>
      </c>
    </row>
    <row r="154" customFormat="false" ht="15" hidden="false" customHeight="true" outlineLevel="0" collapsed="false">
      <c r="A154" s="7" t="s">
        <v>54</v>
      </c>
      <c r="B154" s="7" t="n">
        <v>1935</v>
      </c>
      <c r="C154" s="7" t="s">
        <v>555</v>
      </c>
      <c r="D154" s="7" t="n">
        <v>38</v>
      </c>
      <c r="E154" s="7" t="n">
        <v>115</v>
      </c>
      <c r="F154" s="7"/>
      <c r="G154" s="7"/>
      <c r="H154" s="7" t="s">
        <v>546</v>
      </c>
      <c r="I154" s="7" t="s">
        <v>546</v>
      </c>
      <c r="J154" s="21" t="n">
        <f aca="false">D154/(D154+E154)</f>
        <v>0.248366013071895</v>
      </c>
      <c r="K154" s="3" t="n">
        <f aca="false">IF(D154&gt;E154,1,0)</f>
        <v>0</v>
      </c>
      <c r="L154" s="3" t="n">
        <f aca="false">IF(OR(F154="Y",G154="Y",H154="Y"),1,0)</f>
        <v>0</v>
      </c>
      <c r="M154" s="3" t="n">
        <f aca="false">IF(H154="Y",1,0)</f>
        <v>0</v>
      </c>
      <c r="N154" s="3" t="n">
        <f aca="false">IF(I154="Y",1,0)</f>
        <v>0</v>
      </c>
    </row>
    <row r="155" customFormat="false" ht="15" hidden="false" customHeight="true" outlineLevel="0" collapsed="false">
      <c r="A155" s="7" t="s">
        <v>54</v>
      </c>
      <c r="B155" s="7" t="n">
        <v>1936</v>
      </c>
      <c r="C155" s="7" t="s">
        <v>556</v>
      </c>
      <c r="D155" s="7" t="n">
        <v>71</v>
      </c>
      <c r="E155" s="7" t="n">
        <v>83</v>
      </c>
      <c r="F155" s="7"/>
      <c r="G155" s="7"/>
      <c r="H155" s="7" t="s">
        <v>546</v>
      </c>
      <c r="I155" s="7" t="s">
        <v>546</v>
      </c>
      <c r="J155" s="21" t="n">
        <f aca="false">D155/(D155+E155)</f>
        <v>0.461038961038961</v>
      </c>
      <c r="K155" s="3" t="n">
        <f aca="false">IF(D155&gt;E155,1,0)</f>
        <v>0</v>
      </c>
      <c r="L155" s="3" t="n">
        <f aca="false">IF(OR(F155="Y",G155="Y",H155="Y"),1,0)</f>
        <v>0</v>
      </c>
      <c r="M155" s="3" t="n">
        <f aca="false">IF(H155="Y",1,0)</f>
        <v>0</v>
      </c>
      <c r="N155" s="3" t="n">
        <f aca="false">IF(I155="Y",1,0)</f>
        <v>0</v>
      </c>
    </row>
    <row r="156" customFormat="false" ht="15" hidden="false" customHeight="true" outlineLevel="0" collapsed="false">
      <c r="A156" s="7" t="s">
        <v>54</v>
      </c>
      <c r="B156" s="7" t="n">
        <v>1937</v>
      </c>
      <c r="C156" s="7" t="s">
        <v>556</v>
      </c>
      <c r="D156" s="7" t="n">
        <v>79</v>
      </c>
      <c r="E156" s="7" t="n">
        <v>73</v>
      </c>
      <c r="F156" s="7"/>
      <c r="G156" s="7"/>
      <c r="H156" s="7" t="s">
        <v>546</v>
      </c>
      <c r="I156" s="7" t="s">
        <v>546</v>
      </c>
      <c r="J156" s="21" t="n">
        <f aca="false">D156/(D156+E156)</f>
        <v>0.519736842105263</v>
      </c>
      <c r="K156" s="3" t="n">
        <f aca="false">IF(D156&gt;E156,1,0)</f>
        <v>1</v>
      </c>
      <c r="L156" s="3" t="n">
        <f aca="false">IF(OR(F156="Y",G156="Y",H156="Y"),1,0)</f>
        <v>0</v>
      </c>
      <c r="M156" s="3" t="n">
        <f aca="false">IF(H156="Y",1,0)</f>
        <v>0</v>
      </c>
      <c r="N156" s="3" t="n">
        <f aca="false">IF(I156="Y",1,0)</f>
        <v>0</v>
      </c>
    </row>
    <row r="157" customFormat="false" ht="15" hidden="false" customHeight="true" outlineLevel="0" collapsed="false">
      <c r="A157" s="7" t="s">
        <v>54</v>
      </c>
      <c r="B157" s="7" t="n">
        <v>1938</v>
      </c>
      <c r="C157" s="7" t="s">
        <v>556</v>
      </c>
      <c r="D157" s="7" t="n">
        <v>77</v>
      </c>
      <c r="E157" s="7" t="n">
        <v>75</v>
      </c>
      <c r="F157" s="7"/>
      <c r="G157" s="7"/>
      <c r="H157" s="7" t="s">
        <v>546</v>
      </c>
      <c r="I157" s="7" t="s">
        <v>546</v>
      </c>
      <c r="J157" s="21" t="n">
        <f aca="false">D157/(D157+E157)</f>
        <v>0.506578947368421</v>
      </c>
      <c r="K157" s="3" t="n">
        <f aca="false">IF(D157&gt;E157,1,0)</f>
        <v>1</v>
      </c>
      <c r="L157" s="3" t="n">
        <f aca="false">IF(OR(F157="Y",G157="Y",H157="Y"),1,0)</f>
        <v>0</v>
      </c>
      <c r="M157" s="3" t="n">
        <f aca="false">IF(H157="Y",1,0)</f>
        <v>0</v>
      </c>
      <c r="N157" s="3" t="n">
        <f aca="false">IF(I157="Y",1,0)</f>
        <v>0</v>
      </c>
    </row>
    <row r="158" customFormat="false" ht="15" hidden="false" customHeight="true" outlineLevel="0" collapsed="false">
      <c r="A158" s="7" t="s">
        <v>54</v>
      </c>
      <c r="B158" s="7" t="n">
        <v>1939</v>
      </c>
      <c r="C158" s="7" t="s">
        <v>556</v>
      </c>
      <c r="D158" s="7" t="n">
        <v>63</v>
      </c>
      <c r="E158" s="7" t="n">
        <v>88</v>
      </c>
      <c r="F158" s="7"/>
      <c r="G158" s="7"/>
      <c r="H158" s="7" t="s">
        <v>546</v>
      </c>
      <c r="I158" s="7" t="s">
        <v>546</v>
      </c>
      <c r="J158" s="21" t="n">
        <f aca="false">D158/(D158+E158)</f>
        <v>0.417218543046358</v>
      </c>
      <c r="K158" s="3" t="n">
        <f aca="false">IF(D158&gt;E158,1,0)</f>
        <v>0</v>
      </c>
      <c r="L158" s="3" t="n">
        <f aca="false">IF(OR(F158="Y",G158="Y",H158="Y"),1,0)</f>
        <v>0</v>
      </c>
      <c r="M158" s="3" t="n">
        <f aca="false">IF(H158="Y",1,0)</f>
        <v>0</v>
      </c>
      <c r="N158" s="3" t="n">
        <f aca="false">IF(I158="Y",1,0)</f>
        <v>0</v>
      </c>
    </row>
    <row r="159" customFormat="false" ht="15" hidden="false" customHeight="true" outlineLevel="0" collapsed="false">
      <c r="A159" s="7" t="s">
        <v>54</v>
      </c>
      <c r="B159" s="7" t="n">
        <v>1940</v>
      </c>
      <c r="C159" s="7" t="s">
        <v>556</v>
      </c>
      <c r="D159" s="7" t="n">
        <v>65</v>
      </c>
      <c r="E159" s="7" t="n">
        <v>87</v>
      </c>
      <c r="F159" s="7"/>
      <c r="G159" s="7"/>
      <c r="H159" s="7" t="s">
        <v>546</v>
      </c>
      <c r="I159" s="7" t="s">
        <v>546</v>
      </c>
      <c r="J159" s="21" t="n">
        <f aca="false">D159/(D159+E159)</f>
        <v>0.427631578947368</v>
      </c>
      <c r="K159" s="3" t="n">
        <f aca="false">IF(D159&gt;E159,1,0)</f>
        <v>0</v>
      </c>
      <c r="L159" s="3" t="n">
        <f aca="false">IF(OR(F159="Y",G159="Y",H159="Y"),1,0)</f>
        <v>0</v>
      </c>
      <c r="M159" s="3" t="n">
        <f aca="false">IF(H159="Y",1,0)</f>
        <v>0</v>
      </c>
      <c r="N159" s="3" t="n">
        <f aca="false">IF(I159="Y",1,0)</f>
        <v>0</v>
      </c>
    </row>
    <row r="160" customFormat="false" ht="15" hidden="false" customHeight="true" outlineLevel="0" collapsed="false">
      <c r="A160" s="7" t="s">
        <v>54</v>
      </c>
      <c r="B160" s="7" t="n">
        <v>1941</v>
      </c>
      <c r="C160" s="7" t="s">
        <v>555</v>
      </c>
      <c r="D160" s="7" t="n">
        <v>62</v>
      </c>
      <c r="E160" s="7" t="n">
        <v>92</v>
      </c>
      <c r="F160" s="7"/>
      <c r="G160" s="7"/>
      <c r="H160" s="7" t="s">
        <v>546</v>
      </c>
      <c r="I160" s="7" t="s">
        <v>546</v>
      </c>
      <c r="J160" s="21" t="n">
        <f aca="false">D160/(D160+E160)</f>
        <v>0.402597402597403</v>
      </c>
      <c r="K160" s="3" t="n">
        <f aca="false">IF(D160&gt;E160,1,0)</f>
        <v>0</v>
      </c>
      <c r="L160" s="3" t="n">
        <f aca="false">IF(OR(F160="Y",G160="Y",H160="Y"),1,0)</f>
        <v>0</v>
      </c>
      <c r="M160" s="3" t="n">
        <f aca="false">IF(H160="Y",1,0)</f>
        <v>0</v>
      </c>
      <c r="N160" s="3" t="n">
        <f aca="false">IF(I160="Y",1,0)</f>
        <v>0</v>
      </c>
    </row>
    <row r="161" customFormat="false" ht="15" hidden="false" customHeight="true" outlineLevel="0" collapsed="false">
      <c r="A161" s="7" t="s">
        <v>54</v>
      </c>
      <c r="B161" s="7" t="n">
        <v>1942</v>
      </c>
      <c r="C161" s="7" t="s">
        <v>555</v>
      </c>
      <c r="D161" s="7" t="n">
        <v>59</v>
      </c>
      <c r="E161" s="7" t="n">
        <v>89</v>
      </c>
      <c r="F161" s="7"/>
      <c r="G161" s="7"/>
      <c r="H161" s="7" t="s">
        <v>546</v>
      </c>
      <c r="I161" s="7" t="s">
        <v>546</v>
      </c>
      <c r="J161" s="21" t="n">
        <f aca="false">D161/(D161+E161)</f>
        <v>0.398648648648649</v>
      </c>
      <c r="K161" s="3" t="n">
        <f aca="false">IF(D161&gt;E161,1,0)</f>
        <v>0</v>
      </c>
      <c r="L161" s="3" t="n">
        <f aca="false">IF(OR(F161="Y",G161="Y",H161="Y"),1,0)</f>
        <v>0</v>
      </c>
      <c r="M161" s="3" t="n">
        <f aca="false">IF(H161="Y",1,0)</f>
        <v>0</v>
      </c>
      <c r="N161" s="3" t="n">
        <f aca="false">IF(I161="Y",1,0)</f>
        <v>0</v>
      </c>
    </row>
    <row r="162" customFormat="false" ht="15" hidden="false" customHeight="true" outlineLevel="0" collapsed="false">
      <c r="A162" s="7" t="s">
        <v>54</v>
      </c>
      <c r="B162" s="7" t="n">
        <v>1943</v>
      </c>
      <c r="C162" s="7" t="s">
        <v>555</v>
      </c>
      <c r="D162" s="7" t="n">
        <v>68</v>
      </c>
      <c r="E162" s="7" t="n">
        <v>85</v>
      </c>
      <c r="F162" s="7"/>
      <c r="G162" s="7"/>
      <c r="H162" s="7" t="s">
        <v>546</v>
      </c>
      <c r="I162" s="7" t="s">
        <v>546</v>
      </c>
      <c r="J162" s="21" t="n">
        <f aca="false">D162/(D162+E162)</f>
        <v>0.444444444444444</v>
      </c>
      <c r="K162" s="3" t="n">
        <f aca="false">IF(D162&gt;E162,1,0)</f>
        <v>0</v>
      </c>
      <c r="L162" s="3" t="n">
        <f aca="false">IF(OR(F162="Y",G162="Y",H162="Y"),1,0)</f>
        <v>0</v>
      </c>
      <c r="M162" s="3" t="n">
        <f aca="false">IF(H162="Y",1,0)</f>
        <v>0</v>
      </c>
      <c r="N162" s="3" t="n">
        <f aca="false">IF(I162="Y",1,0)</f>
        <v>0</v>
      </c>
    </row>
    <row r="163" customFormat="false" ht="15" hidden="false" customHeight="true" outlineLevel="0" collapsed="false">
      <c r="A163" s="7" t="s">
        <v>54</v>
      </c>
      <c r="B163" s="7" t="n">
        <v>1944</v>
      </c>
      <c r="C163" s="7" t="s">
        <v>555</v>
      </c>
      <c r="D163" s="7" t="n">
        <v>65</v>
      </c>
      <c r="E163" s="7" t="n">
        <v>89</v>
      </c>
      <c r="F163" s="7"/>
      <c r="G163" s="7"/>
      <c r="H163" s="7" t="s">
        <v>546</v>
      </c>
      <c r="I163" s="7" t="s">
        <v>546</v>
      </c>
      <c r="J163" s="21" t="n">
        <f aca="false">D163/(D163+E163)</f>
        <v>0.422077922077922</v>
      </c>
      <c r="K163" s="3" t="n">
        <f aca="false">IF(D163&gt;E163,1,0)</f>
        <v>0</v>
      </c>
      <c r="L163" s="3" t="n">
        <f aca="false">IF(OR(F163="Y",G163="Y",H163="Y"),1,0)</f>
        <v>0</v>
      </c>
      <c r="M163" s="3" t="n">
        <f aca="false">IF(H163="Y",1,0)</f>
        <v>0</v>
      </c>
      <c r="N163" s="3" t="n">
        <f aca="false">IF(I163="Y",1,0)</f>
        <v>0</v>
      </c>
    </row>
    <row r="164" customFormat="false" ht="15" hidden="false" customHeight="true" outlineLevel="0" collapsed="false">
      <c r="A164" s="7" t="s">
        <v>54</v>
      </c>
      <c r="B164" s="7" t="n">
        <v>1945</v>
      </c>
      <c r="C164" s="7" t="s">
        <v>555</v>
      </c>
      <c r="D164" s="7" t="n">
        <v>67</v>
      </c>
      <c r="E164" s="7" t="n">
        <v>85</v>
      </c>
      <c r="F164" s="7"/>
      <c r="G164" s="7"/>
      <c r="H164" s="7" t="s">
        <v>546</v>
      </c>
      <c r="I164" s="7" t="s">
        <v>546</v>
      </c>
      <c r="J164" s="21" t="n">
        <f aca="false">D164/(D164+E164)</f>
        <v>0.440789473684211</v>
      </c>
      <c r="K164" s="3" t="n">
        <f aca="false">IF(D164&gt;E164,1,0)</f>
        <v>0</v>
      </c>
      <c r="L164" s="3" t="n">
        <f aca="false">IF(OR(F164="Y",G164="Y",H164="Y"),1,0)</f>
        <v>0</v>
      </c>
      <c r="M164" s="3" t="n">
        <f aca="false">IF(H164="Y",1,0)</f>
        <v>0</v>
      </c>
      <c r="N164" s="3" t="n">
        <f aca="false">IF(I164="Y",1,0)</f>
        <v>0</v>
      </c>
    </row>
    <row r="165" customFormat="false" ht="15" hidden="false" customHeight="true" outlineLevel="0" collapsed="false">
      <c r="A165" s="7" t="s">
        <v>54</v>
      </c>
      <c r="B165" s="7" t="n">
        <v>1946</v>
      </c>
      <c r="C165" s="7" t="s">
        <v>555</v>
      </c>
      <c r="D165" s="7" t="n">
        <v>81</v>
      </c>
      <c r="E165" s="7" t="n">
        <v>72</v>
      </c>
      <c r="F165" s="7"/>
      <c r="G165" s="7"/>
      <c r="H165" s="7" t="s">
        <v>546</v>
      </c>
      <c r="I165" s="7" t="s">
        <v>546</v>
      </c>
      <c r="J165" s="21" t="n">
        <f aca="false">D165/(D165+E165)</f>
        <v>0.529411764705882</v>
      </c>
      <c r="K165" s="3" t="n">
        <f aca="false">IF(D165&gt;E165,1,0)</f>
        <v>1</v>
      </c>
      <c r="L165" s="3" t="n">
        <f aca="false">IF(OR(F165="Y",G165="Y",H165="Y"),1,0)</f>
        <v>0</v>
      </c>
      <c r="M165" s="3" t="n">
        <f aca="false">IF(H165="Y",1,0)</f>
        <v>0</v>
      </c>
      <c r="N165" s="3" t="n">
        <f aca="false">IF(I165="Y",1,0)</f>
        <v>0</v>
      </c>
    </row>
    <row r="166" customFormat="false" ht="15" hidden="false" customHeight="true" outlineLevel="0" collapsed="false">
      <c r="A166" s="7" t="s">
        <v>54</v>
      </c>
      <c r="B166" s="7" t="n">
        <v>1947</v>
      </c>
      <c r="C166" s="7" t="s">
        <v>555</v>
      </c>
      <c r="D166" s="7" t="n">
        <v>86</v>
      </c>
      <c r="E166" s="7" t="n">
        <v>68</v>
      </c>
      <c r="F166" s="7"/>
      <c r="G166" s="7"/>
      <c r="H166" s="7" t="s">
        <v>546</v>
      </c>
      <c r="I166" s="7" t="s">
        <v>546</v>
      </c>
      <c r="J166" s="21" t="n">
        <f aca="false">D166/(D166+E166)</f>
        <v>0.558441558441558</v>
      </c>
      <c r="K166" s="3" t="n">
        <f aca="false">IF(D166&gt;E166,1,0)</f>
        <v>1</v>
      </c>
      <c r="L166" s="3" t="n">
        <f aca="false">IF(OR(F166="Y",G166="Y",H166="Y"),1,0)</f>
        <v>0</v>
      </c>
      <c r="M166" s="3" t="n">
        <f aca="false">IF(H166="Y",1,0)</f>
        <v>0</v>
      </c>
      <c r="N166" s="3" t="n">
        <f aca="false">IF(I166="Y",1,0)</f>
        <v>0</v>
      </c>
    </row>
    <row r="167" customFormat="false" ht="15" hidden="false" customHeight="true" outlineLevel="0" collapsed="false">
      <c r="A167" s="7" t="s">
        <v>54</v>
      </c>
      <c r="B167" s="7" t="n">
        <v>1948</v>
      </c>
      <c r="C167" s="7" t="s">
        <v>555</v>
      </c>
      <c r="D167" s="7" t="n">
        <v>91</v>
      </c>
      <c r="E167" s="7" t="n">
        <v>62</v>
      </c>
      <c r="F167" s="7"/>
      <c r="G167" s="7"/>
      <c r="H167" s="7" t="s">
        <v>548</v>
      </c>
      <c r="I167" s="7" t="s">
        <v>546</v>
      </c>
      <c r="J167" s="21" t="n">
        <f aca="false">D167/(D167+E167)</f>
        <v>0.594771241830065</v>
      </c>
      <c r="K167" s="3" t="n">
        <f aca="false">IF(D167&gt;E167,1,0)</f>
        <v>1</v>
      </c>
      <c r="L167" s="3" t="n">
        <f aca="false">IF(OR(F167="Y",G167="Y",H167="Y"),1,0)</f>
        <v>1</v>
      </c>
      <c r="M167" s="3" t="n">
        <f aca="false">IF(H167="Y",1,0)</f>
        <v>1</v>
      </c>
      <c r="N167" s="3" t="n">
        <f aca="false">IF(I167="Y",1,0)</f>
        <v>0</v>
      </c>
    </row>
    <row r="168" customFormat="false" ht="15" hidden="false" customHeight="true" outlineLevel="0" collapsed="false">
      <c r="A168" s="7" t="s">
        <v>54</v>
      </c>
      <c r="B168" s="7" t="n">
        <v>1949</v>
      </c>
      <c r="C168" s="7" t="s">
        <v>555</v>
      </c>
      <c r="D168" s="7" t="n">
        <v>75</v>
      </c>
      <c r="E168" s="7" t="n">
        <v>79</v>
      </c>
      <c r="F168" s="7"/>
      <c r="G168" s="7"/>
      <c r="H168" s="7" t="s">
        <v>546</v>
      </c>
      <c r="I168" s="7" t="s">
        <v>546</v>
      </c>
      <c r="J168" s="21" t="n">
        <f aca="false">D168/(D168+E168)</f>
        <v>0.487012987012987</v>
      </c>
      <c r="K168" s="3" t="n">
        <f aca="false">IF(D168&gt;E168,1,0)</f>
        <v>0</v>
      </c>
      <c r="L168" s="3" t="n">
        <f aca="false">IF(OR(F168="Y",G168="Y",H168="Y"),1,0)</f>
        <v>0</v>
      </c>
      <c r="M168" s="3" t="n">
        <f aca="false">IF(H168="Y",1,0)</f>
        <v>0</v>
      </c>
      <c r="N168" s="3" t="n">
        <f aca="false">IF(I168="Y",1,0)</f>
        <v>0</v>
      </c>
    </row>
    <row r="169" customFormat="false" ht="15" hidden="false" customHeight="true" outlineLevel="0" collapsed="false">
      <c r="A169" s="7" t="s">
        <v>54</v>
      </c>
      <c r="B169" s="7" t="n">
        <v>1950</v>
      </c>
      <c r="C169" s="7" t="s">
        <v>555</v>
      </c>
      <c r="D169" s="7" t="n">
        <v>83</v>
      </c>
      <c r="E169" s="7" t="n">
        <v>71</v>
      </c>
      <c r="F169" s="7"/>
      <c r="G169" s="7"/>
      <c r="H169" s="7" t="s">
        <v>546</v>
      </c>
      <c r="I169" s="7" t="s">
        <v>546</v>
      </c>
      <c r="J169" s="21" t="n">
        <f aca="false">D169/(D169+E169)</f>
        <v>0.538961038961039</v>
      </c>
      <c r="K169" s="3" t="n">
        <f aca="false">IF(D169&gt;E169,1,0)</f>
        <v>1</v>
      </c>
      <c r="L169" s="3" t="n">
        <f aca="false">IF(OR(F169="Y",G169="Y",H169="Y"),1,0)</f>
        <v>0</v>
      </c>
      <c r="M169" s="3" t="n">
        <f aca="false">IF(H169="Y",1,0)</f>
        <v>0</v>
      </c>
      <c r="N169" s="3" t="n">
        <f aca="false">IF(I169="Y",1,0)</f>
        <v>0</v>
      </c>
    </row>
    <row r="170" customFormat="false" ht="15" hidden="false" customHeight="true" outlineLevel="0" collapsed="false">
      <c r="A170" s="7" t="s">
        <v>54</v>
      </c>
      <c r="B170" s="7" t="n">
        <v>1951</v>
      </c>
      <c r="C170" s="7" t="s">
        <v>555</v>
      </c>
      <c r="D170" s="7" t="n">
        <v>76</v>
      </c>
      <c r="E170" s="7" t="n">
        <v>78</v>
      </c>
      <c r="F170" s="7"/>
      <c r="G170" s="7"/>
      <c r="H170" s="7" t="s">
        <v>546</v>
      </c>
      <c r="I170" s="7" t="s">
        <v>546</v>
      </c>
      <c r="J170" s="21" t="n">
        <f aca="false">D170/(D170+E170)</f>
        <v>0.493506493506494</v>
      </c>
      <c r="K170" s="3" t="n">
        <f aca="false">IF(D170&gt;E170,1,0)</f>
        <v>0</v>
      </c>
      <c r="L170" s="3" t="n">
        <f aca="false">IF(OR(F170="Y",G170="Y",H170="Y"),1,0)</f>
        <v>0</v>
      </c>
      <c r="M170" s="3" t="n">
        <f aca="false">IF(H170="Y",1,0)</f>
        <v>0</v>
      </c>
      <c r="N170" s="3" t="n">
        <f aca="false">IF(I170="Y",1,0)</f>
        <v>0</v>
      </c>
    </row>
    <row r="171" customFormat="false" ht="15" hidden="false" customHeight="true" outlineLevel="0" collapsed="false">
      <c r="A171" s="7" t="s">
        <v>54</v>
      </c>
      <c r="B171" s="7" t="n">
        <v>1952</v>
      </c>
      <c r="C171" s="7" t="s">
        <v>555</v>
      </c>
      <c r="D171" s="7" t="n">
        <v>64</v>
      </c>
      <c r="E171" s="7" t="n">
        <v>89</v>
      </c>
      <c r="F171" s="7"/>
      <c r="G171" s="7"/>
      <c r="H171" s="7" t="s">
        <v>546</v>
      </c>
      <c r="I171" s="7" t="s">
        <v>546</v>
      </c>
      <c r="J171" s="21" t="n">
        <f aca="false">D171/(D171+E171)</f>
        <v>0.418300653594771</v>
      </c>
      <c r="K171" s="3" t="n">
        <f aca="false">IF(D171&gt;E171,1,0)</f>
        <v>0</v>
      </c>
      <c r="L171" s="3" t="n">
        <f aca="false">IF(OR(F171="Y",G171="Y",H171="Y"),1,0)</f>
        <v>0</v>
      </c>
      <c r="M171" s="3" t="n">
        <f aca="false">IF(H171="Y",1,0)</f>
        <v>0</v>
      </c>
      <c r="N171" s="3" t="n">
        <f aca="false">IF(I171="Y",1,0)</f>
        <v>0</v>
      </c>
    </row>
    <row r="172" customFormat="false" ht="15" hidden="false" customHeight="true" outlineLevel="0" collapsed="false">
      <c r="A172" s="7" t="s">
        <v>54</v>
      </c>
      <c r="B172" s="7" t="n">
        <v>1953</v>
      </c>
      <c r="C172" s="7" t="s">
        <v>557</v>
      </c>
      <c r="D172" s="7" t="n">
        <v>92</v>
      </c>
      <c r="E172" s="7" t="n">
        <v>62</v>
      </c>
      <c r="F172" s="7"/>
      <c r="G172" s="7"/>
      <c r="H172" s="7" t="s">
        <v>546</v>
      </c>
      <c r="I172" s="7" t="s">
        <v>546</v>
      </c>
      <c r="J172" s="21" t="n">
        <f aca="false">D172/(D172+E172)</f>
        <v>0.597402597402597</v>
      </c>
      <c r="K172" s="3" t="n">
        <f aca="false">IF(D172&gt;E172,1,0)</f>
        <v>1</v>
      </c>
      <c r="L172" s="3" t="n">
        <f aca="false">IF(OR(F172="Y",G172="Y",H172="Y"),1,0)</f>
        <v>0</v>
      </c>
      <c r="M172" s="3" t="n">
        <f aca="false">IF(H172="Y",1,0)</f>
        <v>0</v>
      </c>
      <c r="N172" s="3" t="n">
        <f aca="false">IF(I172="Y",1,0)</f>
        <v>0</v>
      </c>
    </row>
    <row r="173" customFormat="false" ht="15" hidden="false" customHeight="true" outlineLevel="0" collapsed="false">
      <c r="A173" s="7" t="s">
        <v>54</v>
      </c>
      <c r="B173" s="7" t="n">
        <v>1954</v>
      </c>
      <c r="C173" s="7" t="s">
        <v>557</v>
      </c>
      <c r="D173" s="7" t="n">
        <v>89</v>
      </c>
      <c r="E173" s="7" t="n">
        <v>65</v>
      </c>
      <c r="F173" s="7"/>
      <c r="G173" s="7"/>
      <c r="H173" s="7" t="s">
        <v>546</v>
      </c>
      <c r="I173" s="7" t="s">
        <v>546</v>
      </c>
      <c r="J173" s="21" t="n">
        <f aca="false">D173/(D173+E173)</f>
        <v>0.577922077922078</v>
      </c>
      <c r="K173" s="3" t="n">
        <f aca="false">IF(D173&gt;E173,1,0)</f>
        <v>1</v>
      </c>
      <c r="L173" s="3" t="n">
        <f aca="false">IF(OR(F173="Y",G173="Y",H173="Y"),1,0)</f>
        <v>0</v>
      </c>
      <c r="M173" s="3" t="n">
        <f aca="false">IF(H173="Y",1,0)</f>
        <v>0</v>
      </c>
      <c r="N173" s="3" t="n">
        <f aca="false">IF(I173="Y",1,0)</f>
        <v>0</v>
      </c>
    </row>
    <row r="174" customFormat="false" ht="15" hidden="false" customHeight="true" outlineLevel="0" collapsed="false">
      <c r="A174" s="7" t="s">
        <v>54</v>
      </c>
      <c r="B174" s="7" t="n">
        <v>1955</v>
      </c>
      <c r="C174" s="7" t="s">
        <v>557</v>
      </c>
      <c r="D174" s="7" t="n">
        <v>85</v>
      </c>
      <c r="E174" s="7" t="n">
        <v>69</v>
      </c>
      <c r="F174" s="7"/>
      <c r="G174" s="7"/>
      <c r="H174" s="7" t="s">
        <v>546</v>
      </c>
      <c r="I174" s="7" t="s">
        <v>546</v>
      </c>
      <c r="J174" s="21" t="n">
        <f aca="false">D174/(D174+E174)</f>
        <v>0.551948051948052</v>
      </c>
      <c r="K174" s="3" t="n">
        <f aca="false">IF(D174&gt;E174,1,0)</f>
        <v>1</v>
      </c>
      <c r="L174" s="3" t="n">
        <f aca="false">IF(OR(F174="Y",G174="Y",H174="Y"),1,0)</f>
        <v>0</v>
      </c>
      <c r="M174" s="3" t="n">
        <f aca="false">IF(H174="Y",1,0)</f>
        <v>0</v>
      </c>
      <c r="N174" s="3" t="n">
        <f aca="false">IF(I174="Y",1,0)</f>
        <v>0</v>
      </c>
    </row>
    <row r="175" customFormat="false" ht="15" hidden="false" customHeight="true" outlineLevel="0" collapsed="false">
      <c r="A175" s="7" t="s">
        <v>54</v>
      </c>
      <c r="B175" s="7" t="n">
        <v>1956</v>
      </c>
      <c r="C175" s="7" t="s">
        <v>557</v>
      </c>
      <c r="D175" s="7" t="n">
        <v>92</v>
      </c>
      <c r="E175" s="7" t="n">
        <v>62</v>
      </c>
      <c r="F175" s="7"/>
      <c r="G175" s="7"/>
      <c r="H175" s="7" t="s">
        <v>546</v>
      </c>
      <c r="I175" s="7" t="s">
        <v>546</v>
      </c>
      <c r="J175" s="21" t="n">
        <f aca="false">D175/(D175+E175)</f>
        <v>0.597402597402597</v>
      </c>
      <c r="K175" s="3" t="n">
        <f aca="false">IF(D175&gt;E175,1,0)</f>
        <v>1</v>
      </c>
      <c r="L175" s="3" t="n">
        <f aca="false">IF(OR(F175="Y",G175="Y",H175="Y"),1,0)</f>
        <v>0</v>
      </c>
      <c r="M175" s="3" t="n">
        <f aca="false">IF(H175="Y",1,0)</f>
        <v>0</v>
      </c>
      <c r="N175" s="3" t="n">
        <f aca="false">IF(I175="Y",1,0)</f>
        <v>0</v>
      </c>
    </row>
    <row r="176" customFormat="false" ht="15" hidden="false" customHeight="true" outlineLevel="0" collapsed="false">
      <c r="A176" s="7" t="s">
        <v>54</v>
      </c>
      <c r="B176" s="7" t="n">
        <v>1957</v>
      </c>
      <c r="C176" s="7" t="s">
        <v>557</v>
      </c>
      <c r="D176" s="7" t="n">
        <v>95</v>
      </c>
      <c r="E176" s="7" t="n">
        <v>59</v>
      </c>
      <c r="F176" s="7"/>
      <c r="G176" s="7"/>
      <c r="H176" s="7" t="s">
        <v>548</v>
      </c>
      <c r="I176" s="7" t="s">
        <v>548</v>
      </c>
      <c r="J176" s="21" t="n">
        <f aca="false">D176/(D176+E176)</f>
        <v>0.616883116883117</v>
      </c>
      <c r="K176" s="3" t="n">
        <f aca="false">IF(D176&gt;E176,1,0)</f>
        <v>1</v>
      </c>
      <c r="L176" s="3" t="n">
        <f aca="false">IF(OR(F176="Y",G176="Y",H176="Y"),1,0)</f>
        <v>1</v>
      </c>
      <c r="M176" s="3" t="n">
        <f aca="false">IF(H176="Y",1,0)</f>
        <v>1</v>
      </c>
      <c r="N176" s="3" t="n">
        <f aca="false">IF(I176="Y",1,0)</f>
        <v>1</v>
      </c>
    </row>
    <row r="177" customFormat="false" ht="15" hidden="false" customHeight="true" outlineLevel="0" collapsed="false">
      <c r="A177" s="7" t="s">
        <v>54</v>
      </c>
      <c r="B177" s="7" t="n">
        <v>1958</v>
      </c>
      <c r="C177" s="7" t="s">
        <v>557</v>
      </c>
      <c r="D177" s="7" t="n">
        <v>92</v>
      </c>
      <c r="E177" s="7" t="n">
        <v>62</v>
      </c>
      <c r="F177" s="7"/>
      <c r="G177" s="7"/>
      <c r="H177" s="7" t="s">
        <v>548</v>
      </c>
      <c r="I177" s="7" t="s">
        <v>546</v>
      </c>
      <c r="J177" s="21" t="n">
        <f aca="false">D177/(D177+E177)</f>
        <v>0.597402597402597</v>
      </c>
      <c r="K177" s="3" t="n">
        <f aca="false">IF(D177&gt;E177,1,0)</f>
        <v>1</v>
      </c>
      <c r="L177" s="3" t="n">
        <f aca="false">IF(OR(F177="Y",G177="Y",H177="Y"),1,0)</f>
        <v>1</v>
      </c>
      <c r="M177" s="3" t="n">
        <f aca="false">IF(H177="Y",1,0)</f>
        <v>1</v>
      </c>
      <c r="N177" s="3" t="n">
        <f aca="false">IF(I177="Y",1,0)</f>
        <v>0</v>
      </c>
    </row>
    <row r="178" customFormat="false" ht="15" hidden="false" customHeight="true" outlineLevel="0" collapsed="false">
      <c r="A178" s="7" t="s">
        <v>54</v>
      </c>
      <c r="B178" s="7" t="n">
        <v>1959</v>
      </c>
      <c r="C178" s="7" t="s">
        <v>557</v>
      </c>
      <c r="D178" s="7" t="n">
        <v>86</v>
      </c>
      <c r="E178" s="7" t="n">
        <v>70</v>
      </c>
      <c r="F178" s="7"/>
      <c r="G178" s="7"/>
      <c r="H178" s="7" t="s">
        <v>546</v>
      </c>
      <c r="I178" s="7" t="s">
        <v>546</v>
      </c>
      <c r="J178" s="21" t="n">
        <f aca="false">D178/(D178+E178)</f>
        <v>0.551282051282051</v>
      </c>
      <c r="K178" s="3" t="n">
        <f aca="false">IF(D178&gt;E178,1,0)</f>
        <v>1</v>
      </c>
      <c r="L178" s="3" t="n">
        <f aca="false">IF(OR(F178="Y",G178="Y",H178="Y"),1,0)</f>
        <v>0</v>
      </c>
      <c r="M178" s="3" t="n">
        <f aca="false">IF(H178="Y",1,0)</f>
        <v>0</v>
      </c>
      <c r="N178" s="3" t="n">
        <f aca="false">IF(I178="Y",1,0)</f>
        <v>0</v>
      </c>
    </row>
    <row r="179" customFormat="false" ht="15" hidden="false" customHeight="true" outlineLevel="0" collapsed="false">
      <c r="A179" s="7" t="s">
        <v>54</v>
      </c>
      <c r="B179" s="7" t="n">
        <v>1960</v>
      </c>
      <c r="C179" s="7" t="s">
        <v>557</v>
      </c>
      <c r="D179" s="7" t="n">
        <v>88</v>
      </c>
      <c r="E179" s="7" t="n">
        <v>66</v>
      </c>
      <c r="F179" s="7"/>
      <c r="G179" s="7"/>
      <c r="H179" s="7" t="s">
        <v>546</v>
      </c>
      <c r="I179" s="7" t="s">
        <v>546</v>
      </c>
      <c r="J179" s="21" t="n">
        <f aca="false">D179/(D179+E179)</f>
        <v>0.571428571428571</v>
      </c>
      <c r="K179" s="3" t="n">
        <f aca="false">IF(D179&gt;E179,1,0)</f>
        <v>1</v>
      </c>
      <c r="L179" s="3" t="n">
        <f aca="false">IF(OR(F179="Y",G179="Y",H179="Y"),1,0)</f>
        <v>0</v>
      </c>
      <c r="M179" s="3" t="n">
        <f aca="false">IF(H179="Y",1,0)</f>
        <v>0</v>
      </c>
      <c r="N179" s="3" t="n">
        <f aca="false">IF(I179="Y",1,0)</f>
        <v>0</v>
      </c>
    </row>
    <row r="180" customFormat="false" ht="15" hidden="false" customHeight="true" outlineLevel="0" collapsed="false">
      <c r="A180" s="7" t="s">
        <v>54</v>
      </c>
      <c r="B180" s="7" t="n">
        <v>1961</v>
      </c>
      <c r="C180" s="7" t="s">
        <v>557</v>
      </c>
      <c r="D180" s="7" t="n">
        <v>83</v>
      </c>
      <c r="E180" s="7" t="n">
        <v>71</v>
      </c>
      <c r="F180" s="7"/>
      <c r="G180" s="7"/>
      <c r="H180" s="7" t="s">
        <v>546</v>
      </c>
      <c r="I180" s="7" t="s">
        <v>546</v>
      </c>
      <c r="J180" s="21" t="n">
        <f aca="false">D180/(D180+E180)</f>
        <v>0.538961038961039</v>
      </c>
      <c r="K180" s="3" t="n">
        <f aca="false">IF(D180&gt;E180,1,0)</f>
        <v>1</v>
      </c>
      <c r="L180" s="3" t="n">
        <f aca="false">IF(OR(F180="Y",G180="Y",H180="Y"),1,0)</f>
        <v>0</v>
      </c>
      <c r="M180" s="3" t="n">
        <f aca="false">IF(H180="Y",1,0)</f>
        <v>0</v>
      </c>
      <c r="N180" s="3" t="n">
        <f aca="false">IF(I180="Y",1,0)</f>
        <v>0</v>
      </c>
    </row>
    <row r="181" customFormat="false" ht="15" hidden="false" customHeight="true" outlineLevel="0" collapsed="false">
      <c r="A181" s="7" t="s">
        <v>54</v>
      </c>
      <c r="B181" s="7" t="n">
        <v>1962</v>
      </c>
      <c r="C181" s="7" t="s">
        <v>557</v>
      </c>
      <c r="D181" s="7" t="n">
        <v>86</v>
      </c>
      <c r="E181" s="7" t="n">
        <v>76</v>
      </c>
      <c r="F181" s="7"/>
      <c r="G181" s="7"/>
      <c r="H181" s="7" t="s">
        <v>546</v>
      </c>
      <c r="I181" s="7" t="s">
        <v>546</v>
      </c>
      <c r="J181" s="21" t="n">
        <f aca="false">D181/(D181+E181)</f>
        <v>0.530864197530864</v>
      </c>
      <c r="K181" s="3" t="n">
        <f aca="false">IF(D181&gt;E181,1,0)</f>
        <v>1</v>
      </c>
      <c r="L181" s="3" t="n">
        <f aca="false">IF(OR(F181="Y",G181="Y",H181="Y"),1,0)</f>
        <v>0</v>
      </c>
      <c r="M181" s="3" t="n">
        <f aca="false">IF(H181="Y",1,0)</f>
        <v>0</v>
      </c>
      <c r="N181" s="3" t="n">
        <f aca="false">IF(I181="Y",1,0)</f>
        <v>0</v>
      </c>
    </row>
    <row r="182" customFormat="false" ht="15" hidden="false" customHeight="true" outlineLevel="0" collapsed="false">
      <c r="A182" s="7" t="s">
        <v>54</v>
      </c>
      <c r="B182" s="7" t="n">
        <v>1963</v>
      </c>
      <c r="C182" s="7" t="s">
        <v>557</v>
      </c>
      <c r="D182" s="7" t="n">
        <v>84</v>
      </c>
      <c r="E182" s="7" t="n">
        <v>78</v>
      </c>
      <c r="F182" s="7"/>
      <c r="G182" s="7"/>
      <c r="H182" s="7" t="s">
        <v>546</v>
      </c>
      <c r="I182" s="7" t="s">
        <v>546</v>
      </c>
      <c r="J182" s="21" t="n">
        <f aca="false">D182/(D182+E182)</f>
        <v>0.518518518518519</v>
      </c>
      <c r="K182" s="3" t="n">
        <f aca="false">IF(D182&gt;E182,1,0)</f>
        <v>1</v>
      </c>
      <c r="L182" s="3" t="n">
        <f aca="false">IF(OR(F182="Y",G182="Y",H182="Y"),1,0)</f>
        <v>0</v>
      </c>
      <c r="M182" s="3" t="n">
        <f aca="false">IF(H182="Y",1,0)</f>
        <v>0</v>
      </c>
      <c r="N182" s="3" t="n">
        <f aca="false">IF(I182="Y",1,0)</f>
        <v>0</v>
      </c>
    </row>
    <row r="183" customFormat="false" ht="15" hidden="false" customHeight="true" outlineLevel="0" collapsed="false">
      <c r="A183" s="7" t="s">
        <v>54</v>
      </c>
      <c r="B183" s="7" t="n">
        <v>1964</v>
      </c>
      <c r="C183" s="7" t="s">
        <v>557</v>
      </c>
      <c r="D183" s="7" t="n">
        <v>88</v>
      </c>
      <c r="E183" s="7" t="n">
        <v>74</v>
      </c>
      <c r="F183" s="7"/>
      <c r="G183" s="7"/>
      <c r="H183" s="7" t="s">
        <v>546</v>
      </c>
      <c r="I183" s="7" t="s">
        <v>546</v>
      </c>
      <c r="J183" s="21" t="n">
        <f aca="false">D183/(D183+E183)</f>
        <v>0.54320987654321</v>
      </c>
      <c r="K183" s="3" t="n">
        <f aca="false">IF(D183&gt;E183,1,0)</f>
        <v>1</v>
      </c>
      <c r="L183" s="3" t="n">
        <f aca="false">IF(OR(F183="Y",G183="Y",H183="Y"),1,0)</f>
        <v>0</v>
      </c>
      <c r="M183" s="3" t="n">
        <f aca="false">IF(H183="Y",1,0)</f>
        <v>0</v>
      </c>
      <c r="N183" s="3" t="n">
        <f aca="false">IF(I183="Y",1,0)</f>
        <v>0</v>
      </c>
    </row>
    <row r="184" customFormat="false" ht="15" hidden="false" customHeight="true" outlineLevel="0" collapsed="false">
      <c r="A184" s="7" t="s">
        <v>54</v>
      </c>
      <c r="B184" s="7" t="n">
        <v>1965</v>
      </c>
      <c r="C184" s="7" t="s">
        <v>557</v>
      </c>
      <c r="D184" s="7" t="n">
        <v>86</v>
      </c>
      <c r="E184" s="7" t="n">
        <v>76</v>
      </c>
      <c r="F184" s="7"/>
      <c r="G184" s="7"/>
      <c r="H184" s="7" t="s">
        <v>546</v>
      </c>
      <c r="I184" s="7" t="s">
        <v>546</v>
      </c>
      <c r="J184" s="21" t="n">
        <f aca="false">D184/(D184+E184)</f>
        <v>0.530864197530864</v>
      </c>
      <c r="K184" s="3" t="n">
        <f aca="false">IF(D184&gt;E184,1,0)</f>
        <v>1</v>
      </c>
      <c r="L184" s="3" t="n">
        <f aca="false">IF(OR(F184="Y",G184="Y",H184="Y"),1,0)</f>
        <v>0</v>
      </c>
      <c r="M184" s="3" t="n">
        <f aca="false">IF(H184="Y",1,0)</f>
        <v>0</v>
      </c>
      <c r="N184" s="3" t="n">
        <f aca="false">IF(I184="Y",1,0)</f>
        <v>0</v>
      </c>
    </row>
    <row r="185" customFormat="false" ht="15" hidden="false" customHeight="true" outlineLevel="0" collapsed="false">
      <c r="A185" s="7" t="s">
        <v>54</v>
      </c>
      <c r="B185" s="7" t="n">
        <v>1966</v>
      </c>
      <c r="C185" s="7" t="s">
        <v>356</v>
      </c>
      <c r="D185" s="7" t="n">
        <v>85</v>
      </c>
      <c r="E185" s="7" t="n">
        <v>77</v>
      </c>
      <c r="F185" s="7"/>
      <c r="G185" s="7"/>
      <c r="H185" s="7" t="s">
        <v>546</v>
      </c>
      <c r="I185" s="7" t="s">
        <v>546</v>
      </c>
      <c r="J185" s="21" t="n">
        <f aca="false">D185/(D185+E185)</f>
        <v>0.524691358024691</v>
      </c>
      <c r="K185" s="3" t="n">
        <f aca="false">IF(D185&gt;E185,1,0)</f>
        <v>1</v>
      </c>
      <c r="L185" s="3" t="n">
        <f aca="false">IF(OR(F185="Y",G185="Y",H185="Y"),1,0)</f>
        <v>0</v>
      </c>
      <c r="M185" s="3" t="n">
        <f aca="false">IF(H185="Y",1,0)</f>
        <v>0</v>
      </c>
      <c r="N185" s="3" t="n">
        <f aca="false">IF(I185="Y",1,0)</f>
        <v>0</v>
      </c>
    </row>
    <row r="186" customFormat="false" ht="15" hidden="false" customHeight="true" outlineLevel="0" collapsed="false">
      <c r="A186" s="7" t="s">
        <v>54</v>
      </c>
      <c r="B186" s="7" t="n">
        <v>1967</v>
      </c>
      <c r="C186" s="7" t="s">
        <v>356</v>
      </c>
      <c r="D186" s="7" t="n">
        <v>77</v>
      </c>
      <c r="E186" s="7" t="n">
        <v>85</v>
      </c>
      <c r="F186" s="7"/>
      <c r="G186" s="7"/>
      <c r="H186" s="7" t="s">
        <v>546</v>
      </c>
      <c r="I186" s="7" t="s">
        <v>546</v>
      </c>
      <c r="J186" s="21" t="n">
        <f aca="false">D186/(D186+E186)</f>
        <v>0.475308641975309</v>
      </c>
      <c r="K186" s="3" t="n">
        <f aca="false">IF(D186&gt;E186,1,0)</f>
        <v>0</v>
      </c>
      <c r="L186" s="3" t="n">
        <f aca="false">IF(OR(F186="Y",G186="Y",H186="Y"),1,0)</f>
        <v>0</v>
      </c>
      <c r="M186" s="3" t="n">
        <f aca="false">IF(H186="Y",1,0)</f>
        <v>0</v>
      </c>
      <c r="N186" s="3" t="n">
        <f aca="false">IF(I186="Y",1,0)</f>
        <v>0</v>
      </c>
    </row>
    <row r="187" customFormat="false" ht="15" hidden="false" customHeight="true" outlineLevel="0" collapsed="false">
      <c r="A187" s="7" t="s">
        <v>54</v>
      </c>
      <c r="B187" s="7" t="n">
        <v>1968</v>
      </c>
      <c r="C187" s="7" t="s">
        <v>356</v>
      </c>
      <c r="D187" s="7" t="n">
        <v>81</v>
      </c>
      <c r="E187" s="7" t="n">
        <v>81</v>
      </c>
      <c r="F187" s="7"/>
      <c r="G187" s="7"/>
      <c r="H187" s="7" t="s">
        <v>546</v>
      </c>
      <c r="I187" s="7" t="s">
        <v>546</v>
      </c>
      <c r="J187" s="21" t="n">
        <f aca="false">D187/(D187+E187)</f>
        <v>0.5</v>
      </c>
      <c r="K187" s="3" t="n">
        <f aca="false">IF(D187&gt;E187,1,0)</f>
        <v>0</v>
      </c>
      <c r="L187" s="3" t="n">
        <f aca="false">IF(OR(F187="Y",G187="Y",H187="Y"),1,0)</f>
        <v>0</v>
      </c>
      <c r="M187" s="3" t="n">
        <f aca="false">IF(H187="Y",1,0)</f>
        <v>0</v>
      </c>
      <c r="N187" s="3" t="n">
        <f aca="false">IF(I187="Y",1,0)</f>
        <v>0</v>
      </c>
    </row>
    <row r="188" customFormat="false" ht="15" hidden="false" customHeight="true" outlineLevel="0" collapsed="false">
      <c r="A188" s="7" t="s">
        <v>54</v>
      </c>
      <c r="B188" s="7" t="n">
        <v>1969</v>
      </c>
      <c r="C188" s="7" t="s">
        <v>356</v>
      </c>
      <c r="D188" s="7" t="n">
        <v>93</v>
      </c>
      <c r="E188" s="7" t="n">
        <v>69</v>
      </c>
      <c r="F188" s="7" t="s">
        <v>548</v>
      </c>
      <c r="G188" s="7"/>
      <c r="H188" s="7" t="s">
        <v>546</v>
      </c>
      <c r="I188" s="7" t="s">
        <v>546</v>
      </c>
      <c r="J188" s="21" t="n">
        <f aca="false">D188/(D188+E188)</f>
        <v>0.574074074074074</v>
      </c>
      <c r="K188" s="3" t="n">
        <f aca="false">IF(D188&gt;E188,1,0)</f>
        <v>1</v>
      </c>
      <c r="L188" s="3" t="n">
        <f aca="false">IF(OR(F188="Y",G188="Y",H188="Y"),1,0)</f>
        <v>1</v>
      </c>
      <c r="M188" s="3" t="n">
        <f aca="false">IF(H188="Y",1,0)</f>
        <v>0</v>
      </c>
      <c r="N188" s="3" t="n">
        <f aca="false">IF(I188="Y",1,0)</f>
        <v>0</v>
      </c>
    </row>
    <row r="189" customFormat="false" ht="15" hidden="false" customHeight="true" outlineLevel="0" collapsed="false">
      <c r="A189" s="7" t="s">
        <v>54</v>
      </c>
      <c r="B189" s="7" t="n">
        <v>1970</v>
      </c>
      <c r="C189" s="7" t="s">
        <v>356</v>
      </c>
      <c r="D189" s="7" t="n">
        <v>76</v>
      </c>
      <c r="E189" s="7" t="n">
        <v>86</v>
      </c>
      <c r="F189" s="7" t="s">
        <v>546</v>
      </c>
      <c r="G189" s="7"/>
      <c r="H189" s="7" t="s">
        <v>546</v>
      </c>
      <c r="I189" s="7" t="s">
        <v>546</v>
      </c>
      <c r="J189" s="21" t="n">
        <f aca="false">D189/(D189+E189)</f>
        <v>0.469135802469136</v>
      </c>
      <c r="K189" s="3" t="n">
        <f aca="false">IF(D189&gt;E189,1,0)</f>
        <v>0</v>
      </c>
      <c r="L189" s="3" t="n">
        <f aca="false">IF(OR(F189="Y",G189="Y",H189="Y"),1,0)</f>
        <v>0</v>
      </c>
      <c r="M189" s="3" t="n">
        <f aca="false">IF(H189="Y",1,0)</f>
        <v>0</v>
      </c>
      <c r="N189" s="3" t="n">
        <f aca="false">IF(I189="Y",1,0)</f>
        <v>0</v>
      </c>
    </row>
    <row r="190" customFormat="false" ht="15" hidden="false" customHeight="true" outlineLevel="0" collapsed="false">
      <c r="A190" s="7" t="s">
        <v>54</v>
      </c>
      <c r="B190" s="7" t="n">
        <v>1971</v>
      </c>
      <c r="C190" s="7" t="s">
        <v>356</v>
      </c>
      <c r="D190" s="7" t="n">
        <v>82</v>
      </c>
      <c r="E190" s="7" t="n">
        <v>80</v>
      </c>
      <c r="F190" s="7" t="s">
        <v>546</v>
      </c>
      <c r="G190" s="7"/>
      <c r="H190" s="7" t="s">
        <v>546</v>
      </c>
      <c r="I190" s="7" t="s">
        <v>546</v>
      </c>
      <c r="J190" s="21" t="n">
        <f aca="false">D190/(D190+E190)</f>
        <v>0.506172839506173</v>
      </c>
      <c r="K190" s="3" t="n">
        <f aca="false">IF(D190&gt;E190,1,0)</f>
        <v>1</v>
      </c>
      <c r="L190" s="3" t="n">
        <f aca="false">IF(OR(F190="Y",G190="Y",H190="Y"),1,0)</f>
        <v>0</v>
      </c>
      <c r="M190" s="3" t="n">
        <f aca="false">IF(H190="Y",1,0)</f>
        <v>0</v>
      </c>
      <c r="N190" s="3" t="n">
        <f aca="false">IF(I190="Y",1,0)</f>
        <v>0</v>
      </c>
    </row>
    <row r="191" customFormat="false" ht="15" hidden="false" customHeight="true" outlineLevel="0" collapsed="false">
      <c r="A191" s="7" t="s">
        <v>54</v>
      </c>
      <c r="B191" s="7" t="n">
        <v>1972</v>
      </c>
      <c r="C191" s="7" t="s">
        <v>356</v>
      </c>
      <c r="D191" s="7" t="n">
        <v>70</v>
      </c>
      <c r="E191" s="7" t="n">
        <v>84</v>
      </c>
      <c r="F191" s="7" t="s">
        <v>546</v>
      </c>
      <c r="G191" s="7"/>
      <c r="H191" s="7" t="s">
        <v>546</v>
      </c>
      <c r="I191" s="7" t="s">
        <v>546</v>
      </c>
      <c r="J191" s="21" t="n">
        <f aca="false">D191/(D191+E191)</f>
        <v>0.454545454545455</v>
      </c>
      <c r="K191" s="3" t="n">
        <f aca="false">IF(D191&gt;E191,1,0)</f>
        <v>0</v>
      </c>
      <c r="L191" s="3" t="n">
        <f aca="false">IF(OR(F191="Y",G191="Y",H191="Y"),1,0)</f>
        <v>0</v>
      </c>
      <c r="M191" s="3" t="n">
        <f aca="false">IF(H191="Y",1,0)</f>
        <v>0</v>
      </c>
      <c r="N191" s="3" t="n">
        <f aca="false">IF(I191="Y",1,0)</f>
        <v>0</v>
      </c>
    </row>
    <row r="192" customFormat="false" ht="15" hidden="false" customHeight="true" outlineLevel="0" collapsed="false">
      <c r="A192" s="7" t="s">
        <v>54</v>
      </c>
      <c r="B192" s="7" t="n">
        <v>1973</v>
      </c>
      <c r="C192" s="7" t="s">
        <v>356</v>
      </c>
      <c r="D192" s="7" t="n">
        <v>76</v>
      </c>
      <c r="E192" s="7" t="n">
        <v>85</v>
      </c>
      <c r="F192" s="7" t="s">
        <v>546</v>
      </c>
      <c r="G192" s="7"/>
      <c r="H192" s="7" t="s">
        <v>546</v>
      </c>
      <c r="I192" s="7" t="s">
        <v>546</v>
      </c>
      <c r="J192" s="21" t="n">
        <f aca="false">D192/(D192+E192)</f>
        <v>0.472049689440994</v>
      </c>
      <c r="K192" s="3" t="n">
        <f aca="false">IF(D192&gt;E192,1,0)</f>
        <v>0</v>
      </c>
      <c r="L192" s="3" t="n">
        <f aca="false">IF(OR(F192="Y",G192="Y",H192="Y"),1,0)</f>
        <v>0</v>
      </c>
      <c r="M192" s="3" t="n">
        <f aca="false">IF(H192="Y",1,0)</f>
        <v>0</v>
      </c>
      <c r="N192" s="3" t="n">
        <f aca="false">IF(I192="Y",1,0)</f>
        <v>0</v>
      </c>
    </row>
    <row r="193" customFormat="false" ht="15" hidden="false" customHeight="true" outlineLevel="0" collapsed="false">
      <c r="A193" s="7" t="s">
        <v>54</v>
      </c>
      <c r="B193" s="7" t="n">
        <v>1974</v>
      </c>
      <c r="C193" s="7" t="s">
        <v>356</v>
      </c>
      <c r="D193" s="7" t="n">
        <v>88</v>
      </c>
      <c r="E193" s="7" t="n">
        <v>74</v>
      </c>
      <c r="F193" s="7" t="s">
        <v>546</v>
      </c>
      <c r="G193" s="7"/>
      <c r="H193" s="7" t="s">
        <v>546</v>
      </c>
      <c r="I193" s="7" t="s">
        <v>546</v>
      </c>
      <c r="J193" s="21" t="n">
        <f aca="false">D193/(D193+E193)</f>
        <v>0.54320987654321</v>
      </c>
      <c r="K193" s="3" t="n">
        <f aca="false">IF(D193&gt;E193,1,0)</f>
        <v>1</v>
      </c>
      <c r="L193" s="3" t="n">
        <f aca="false">IF(OR(F193="Y",G193="Y",H193="Y"),1,0)</f>
        <v>0</v>
      </c>
      <c r="M193" s="3" t="n">
        <f aca="false">IF(H193="Y",1,0)</f>
        <v>0</v>
      </c>
      <c r="N193" s="3" t="n">
        <f aca="false">IF(I193="Y",1,0)</f>
        <v>0</v>
      </c>
    </row>
    <row r="194" customFormat="false" ht="15" hidden="false" customHeight="true" outlineLevel="0" collapsed="false">
      <c r="A194" s="7" t="s">
        <v>54</v>
      </c>
      <c r="B194" s="7" t="n">
        <v>1975</v>
      </c>
      <c r="C194" s="7" t="s">
        <v>356</v>
      </c>
      <c r="D194" s="7" t="n">
        <v>67</v>
      </c>
      <c r="E194" s="7" t="n">
        <v>94</v>
      </c>
      <c r="F194" s="7" t="s">
        <v>546</v>
      </c>
      <c r="G194" s="7"/>
      <c r="H194" s="7" t="s">
        <v>546</v>
      </c>
      <c r="I194" s="7" t="s">
        <v>546</v>
      </c>
      <c r="J194" s="21" t="n">
        <f aca="false">D194/(D194+E194)</f>
        <v>0.416149068322981</v>
      </c>
      <c r="K194" s="3" t="n">
        <f aca="false">IF(D194&gt;E194,1,0)</f>
        <v>0</v>
      </c>
      <c r="L194" s="3" t="n">
        <f aca="false">IF(OR(F194="Y",G194="Y",H194="Y"),1,0)</f>
        <v>0</v>
      </c>
      <c r="M194" s="3" t="n">
        <f aca="false">IF(H194="Y",1,0)</f>
        <v>0</v>
      </c>
      <c r="N194" s="3" t="n">
        <f aca="false">IF(I194="Y",1,0)</f>
        <v>0</v>
      </c>
    </row>
    <row r="195" customFormat="false" ht="15" hidden="false" customHeight="true" outlineLevel="0" collapsed="false">
      <c r="A195" s="7" t="s">
        <v>54</v>
      </c>
      <c r="B195" s="7" t="n">
        <v>1976</v>
      </c>
      <c r="C195" s="7" t="s">
        <v>356</v>
      </c>
      <c r="D195" s="7" t="n">
        <v>70</v>
      </c>
      <c r="E195" s="7" t="n">
        <v>92</v>
      </c>
      <c r="F195" s="7" t="s">
        <v>546</v>
      </c>
      <c r="G195" s="7"/>
      <c r="H195" s="7" t="s">
        <v>546</v>
      </c>
      <c r="I195" s="7" t="s">
        <v>546</v>
      </c>
      <c r="J195" s="21" t="n">
        <f aca="false">D195/(D195+E195)</f>
        <v>0.432098765432099</v>
      </c>
      <c r="K195" s="3" t="n">
        <f aca="false">IF(D195&gt;E195,1,0)</f>
        <v>0</v>
      </c>
      <c r="L195" s="3" t="n">
        <f aca="false">IF(OR(F195="Y",G195="Y",H195="Y"),1,0)</f>
        <v>0</v>
      </c>
      <c r="M195" s="3" t="n">
        <f aca="false">IF(H195="Y",1,0)</f>
        <v>0</v>
      </c>
      <c r="N195" s="3" t="n">
        <f aca="false">IF(I195="Y",1,0)</f>
        <v>0</v>
      </c>
    </row>
    <row r="196" customFormat="false" ht="15" hidden="false" customHeight="true" outlineLevel="0" collapsed="false">
      <c r="A196" s="7" t="s">
        <v>54</v>
      </c>
      <c r="B196" s="7" t="n">
        <v>1977</v>
      </c>
      <c r="C196" s="7" t="s">
        <v>356</v>
      </c>
      <c r="D196" s="7" t="n">
        <v>61</v>
      </c>
      <c r="E196" s="7" t="n">
        <v>101</v>
      </c>
      <c r="F196" s="7" t="s">
        <v>546</v>
      </c>
      <c r="G196" s="7"/>
      <c r="H196" s="7" t="s">
        <v>546</v>
      </c>
      <c r="I196" s="7" t="s">
        <v>546</v>
      </c>
      <c r="J196" s="21" t="n">
        <f aca="false">D196/(D196+E196)</f>
        <v>0.376543209876543</v>
      </c>
      <c r="K196" s="3" t="n">
        <f aca="false">IF(D196&gt;E196,1,0)</f>
        <v>0</v>
      </c>
      <c r="L196" s="3" t="n">
        <f aca="false">IF(OR(F196="Y",G196="Y",H196="Y"),1,0)</f>
        <v>0</v>
      </c>
      <c r="M196" s="3" t="n">
        <f aca="false">IF(H196="Y",1,0)</f>
        <v>0</v>
      </c>
      <c r="N196" s="3" t="n">
        <f aca="false">IF(I196="Y",1,0)</f>
        <v>0</v>
      </c>
    </row>
    <row r="197" customFormat="false" ht="15" hidden="false" customHeight="true" outlineLevel="0" collapsed="false">
      <c r="A197" s="7" t="s">
        <v>54</v>
      </c>
      <c r="B197" s="7" t="n">
        <v>1978</v>
      </c>
      <c r="C197" s="7" t="s">
        <v>356</v>
      </c>
      <c r="D197" s="7" t="n">
        <v>69</v>
      </c>
      <c r="E197" s="7" t="n">
        <v>93</v>
      </c>
      <c r="F197" s="7" t="s">
        <v>546</v>
      </c>
      <c r="G197" s="7"/>
      <c r="H197" s="7" t="s">
        <v>546</v>
      </c>
      <c r="I197" s="7" t="s">
        <v>546</v>
      </c>
      <c r="J197" s="21" t="n">
        <f aca="false">D197/(D197+E197)</f>
        <v>0.425925925925926</v>
      </c>
      <c r="K197" s="3" t="n">
        <f aca="false">IF(D197&gt;E197,1,0)</f>
        <v>0</v>
      </c>
      <c r="L197" s="3" t="n">
        <f aca="false">IF(OR(F197="Y",G197="Y",H197="Y"),1,0)</f>
        <v>0</v>
      </c>
      <c r="M197" s="3" t="n">
        <f aca="false">IF(H197="Y",1,0)</f>
        <v>0</v>
      </c>
      <c r="N197" s="3" t="n">
        <f aca="false">IF(I197="Y",1,0)</f>
        <v>0</v>
      </c>
    </row>
    <row r="198" customFormat="false" ht="15" hidden="false" customHeight="true" outlineLevel="0" collapsed="false">
      <c r="A198" s="7" t="s">
        <v>54</v>
      </c>
      <c r="B198" s="7" t="n">
        <v>1979</v>
      </c>
      <c r="C198" s="7" t="s">
        <v>356</v>
      </c>
      <c r="D198" s="7" t="n">
        <v>66</v>
      </c>
      <c r="E198" s="7" t="n">
        <v>94</v>
      </c>
      <c r="F198" s="7" t="s">
        <v>546</v>
      </c>
      <c r="G198" s="7"/>
      <c r="H198" s="7" t="s">
        <v>546</v>
      </c>
      <c r="I198" s="7" t="s">
        <v>546</v>
      </c>
      <c r="J198" s="21" t="n">
        <f aca="false">D198/(D198+E198)</f>
        <v>0.4125</v>
      </c>
      <c r="K198" s="3" t="n">
        <f aca="false">IF(D198&gt;E198,1,0)</f>
        <v>0</v>
      </c>
      <c r="L198" s="3" t="n">
        <f aca="false">IF(OR(F198="Y",G198="Y",H198="Y"),1,0)</f>
        <v>0</v>
      </c>
      <c r="M198" s="3" t="n">
        <f aca="false">IF(H198="Y",1,0)</f>
        <v>0</v>
      </c>
      <c r="N198" s="3" t="n">
        <f aca="false">IF(I198="Y",1,0)</f>
        <v>0</v>
      </c>
    </row>
    <row r="199" customFormat="false" ht="15" hidden="false" customHeight="true" outlineLevel="0" collapsed="false">
      <c r="A199" s="7" t="s">
        <v>54</v>
      </c>
      <c r="B199" s="7" t="n">
        <v>1980</v>
      </c>
      <c r="C199" s="7" t="s">
        <v>356</v>
      </c>
      <c r="D199" s="7" t="n">
        <v>81</v>
      </c>
      <c r="E199" s="7" t="n">
        <v>80</v>
      </c>
      <c r="F199" s="7" t="s">
        <v>546</v>
      </c>
      <c r="G199" s="7"/>
      <c r="H199" s="7" t="s">
        <v>546</v>
      </c>
      <c r="I199" s="7" t="s">
        <v>546</v>
      </c>
      <c r="J199" s="21" t="n">
        <f aca="false">D199/(D199+E199)</f>
        <v>0.503105590062112</v>
      </c>
      <c r="K199" s="3" t="n">
        <f aca="false">IF(D199&gt;E199,1,0)</f>
        <v>1</v>
      </c>
      <c r="L199" s="3" t="n">
        <f aca="false">IF(OR(F199="Y",G199="Y",H199="Y"),1,0)</f>
        <v>0</v>
      </c>
      <c r="M199" s="3" t="n">
        <f aca="false">IF(H199="Y",1,0)</f>
        <v>0</v>
      </c>
      <c r="N199" s="3" t="n">
        <f aca="false">IF(I199="Y",1,0)</f>
        <v>0</v>
      </c>
    </row>
    <row r="200" customFormat="false" ht="15" hidden="false" customHeight="true" outlineLevel="0" collapsed="false">
      <c r="A200" s="7" t="s">
        <v>54</v>
      </c>
      <c r="B200" s="7" t="n">
        <v>1981</v>
      </c>
      <c r="C200" s="7" t="s">
        <v>356</v>
      </c>
      <c r="D200" s="7" t="n">
        <v>50</v>
      </c>
      <c r="E200" s="7" t="n">
        <v>56</v>
      </c>
      <c r="F200" s="7" t="s">
        <v>546</v>
      </c>
      <c r="G200" s="7"/>
      <c r="H200" s="7" t="s">
        <v>546</v>
      </c>
      <c r="I200" s="7" t="s">
        <v>546</v>
      </c>
      <c r="J200" s="21" t="n">
        <f aca="false">D200/(D200+E200)</f>
        <v>0.471698113207547</v>
      </c>
      <c r="K200" s="3" t="n">
        <f aca="false">IF(D200&gt;E200,1,0)</f>
        <v>0</v>
      </c>
      <c r="L200" s="3" t="n">
        <f aca="false">IF(OR(F200="Y",G200="Y",H200="Y"),1,0)</f>
        <v>0</v>
      </c>
      <c r="M200" s="3" t="n">
        <f aca="false">IF(H200="Y",1,0)</f>
        <v>0</v>
      </c>
      <c r="N200" s="3" t="n">
        <f aca="false">IF(I200="Y",1,0)</f>
        <v>0</v>
      </c>
    </row>
    <row r="201" customFormat="false" ht="15" hidden="false" customHeight="true" outlineLevel="0" collapsed="false">
      <c r="A201" s="7" t="s">
        <v>54</v>
      </c>
      <c r="B201" s="7" t="n">
        <v>1982</v>
      </c>
      <c r="C201" s="7" t="s">
        <v>356</v>
      </c>
      <c r="D201" s="7" t="n">
        <v>89</v>
      </c>
      <c r="E201" s="7" t="n">
        <v>73</v>
      </c>
      <c r="F201" s="7" t="s">
        <v>548</v>
      </c>
      <c r="G201" s="7"/>
      <c r="H201" s="7" t="s">
        <v>546</v>
      </c>
      <c r="I201" s="7" t="s">
        <v>546</v>
      </c>
      <c r="J201" s="21" t="n">
        <f aca="false">D201/(D201+E201)</f>
        <v>0.549382716049383</v>
      </c>
      <c r="K201" s="3" t="n">
        <f aca="false">IF(D201&gt;E201,1,0)</f>
        <v>1</v>
      </c>
      <c r="L201" s="3" t="n">
        <f aca="false">IF(OR(F201="Y",G201="Y",H201="Y"),1,0)</f>
        <v>1</v>
      </c>
      <c r="M201" s="3" t="n">
        <f aca="false">IF(H201="Y",1,0)</f>
        <v>0</v>
      </c>
      <c r="N201" s="3" t="n">
        <f aca="false">IF(I201="Y",1,0)</f>
        <v>0</v>
      </c>
    </row>
    <row r="202" customFormat="false" ht="15" hidden="false" customHeight="true" outlineLevel="0" collapsed="false">
      <c r="A202" s="7" t="s">
        <v>54</v>
      </c>
      <c r="B202" s="7" t="n">
        <v>1983</v>
      </c>
      <c r="C202" s="7" t="s">
        <v>356</v>
      </c>
      <c r="D202" s="7" t="n">
        <v>88</v>
      </c>
      <c r="E202" s="7" t="n">
        <v>74</v>
      </c>
      <c r="F202" s="7" t="s">
        <v>546</v>
      </c>
      <c r="G202" s="7"/>
      <c r="H202" s="7" t="s">
        <v>546</v>
      </c>
      <c r="I202" s="7" t="s">
        <v>546</v>
      </c>
      <c r="J202" s="21" t="n">
        <f aca="false">D202/(D202+E202)</f>
        <v>0.54320987654321</v>
      </c>
      <c r="K202" s="3" t="n">
        <f aca="false">IF(D202&gt;E202,1,0)</f>
        <v>1</v>
      </c>
      <c r="L202" s="3" t="n">
        <f aca="false">IF(OR(F202="Y",G202="Y",H202="Y"),1,0)</f>
        <v>0</v>
      </c>
      <c r="M202" s="3" t="n">
        <f aca="false">IF(H202="Y",1,0)</f>
        <v>0</v>
      </c>
      <c r="N202" s="3" t="n">
        <f aca="false">IF(I202="Y",1,0)</f>
        <v>0</v>
      </c>
    </row>
    <row r="203" customFormat="false" ht="15" hidden="false" customHeight="true" outlineLevel="0" collapsed="false">
      <c r="A203" s="7" t="s">
        <v>54</v>
      </c>
      <c r="B203" s="7" t="n">
        <v>1984</v>
      </c>
      <c r="C203" s="7" t="s">
        <v>356</v>
      </c>
      <c r="D203" s="7" t="n">
        <v>80</v>
      </c>
      <c r="E203" s="7" t="n">
        <v>82</v>
      </c>
      <c r="F203" s="7" t="s">
        <v>546</v>
      </c>
      <c r="G203" s="7"/>
      <c r="H203" s="7" t="s">
        <v>546</v>
      </c>
      <c r="I203" s="7" t="s">
        <v>546</v>
      </c>
      <c r="J203" s="21" t="n">
        <f aca="false">D203/(D203+E203)</f>
        <v>0.493827160493827</v>
      </c>
      <c r="K203" s="3" t="n">
        <f aca="false">IF(D203&gt;E203,1,0)</f>
        <v>0</v>
      </c>
      <c r="L203" s="3" t="n">
        <f aca="false">IF(OR(F203="Y",G203="Y",H203="Y"),1,0)</f>
        <v>0</v>
      </c>
      <c r="M203" s="3" t="n">
        <f aca="false">IF(H203="Y",1,0)</f>
        <v>0</v>
      </c>
      <c r="N203" s="3" t="n">
        <f aca="false">IF(I203="Y",1,0)</f>
        <v>0</v>
      </c>
    </row>
    <row r="204" customFormat="false" ht="15" hidden="false" customHeight="true" outlineLevel="0" collapsed="false">
      <c r="A204" s="7" t="s">
        <v>54</v>
      </c>
      <c r="B204" s="7" t="n">
        <v>1985</v>
      </c>
      <c r="C204" s="7" t="s">
        <v>356</v>
      </c>
      <c r="D204" s="7" t="n">
        <v>66</v>
      </c>
      <c r="E204" s="7" t="n">
        <v>96</v>
      </c>
      <c r="F204" s="7" t="s">
        <v>546</v>
      </c>
      <c r="G204" s="7"/>
      <c r="H204" s="7" t="s">
        <v>546</v>
      </c>
      <c r="I204" s="7" t="s">
        <v>546</v>
      </c>
      <c r="J204" s="21" t="n">
        <f aca="false">D204/(D204+E204)</f>
        <v>0.407407407407407</v>
      </c>
      <c r="K204" s="3" t="n">
        <f aca="false">IF(D204&gt;E204,1,0)</f>
        <v>0</v>
      </c>
      <c r="L204" s="3" t="n">
        <f aca="false">IF(OR(F204="Y",G204="Y",H204="Y"),1,0)</f>
        <v>0</v>
      </c>
      <c r="M204" s="3" t="n">
        <f aca="false">IF(H204="Y",1,0)</f>
        <v>0</v>
      </c>
      <c r="N204" s="3" t="n">
        <f aca="false">IF(I204="Y",1,0)</f>
        <v>0</v>
      </c>
    </row>
    <row r="205" customFormat="false" ht="15" hidden="false" customHeight="true" outlineLevel="0" collapsed="false">
      <c r="A205" s="7" t="s">
        <v>54</v>
      </c>
      <c r="B205" s="7" t="n">
        <v>1986</v>
      </c>
      <c r="C205" s="7" t="s">
        <v>356</v>
      </c>
      <c r="D205" s="7" t="n">
        <v>72</v>
      </c>
      <c r="E205" s="7" t="n">
        <v>89</v>
      </c>
      <c r="F205" s="7" t="s">
        <v>546</v>
      </c>
      <c r="G205" s="7"/>
      <c r="H205" s="7" t="s">
        <v>546</v>
      </c>
      <c r="I205" s="7" t="s">
        <v>546</v>
      </c>
      <c r="J205" s="21" t="n">
        <f aca="false">D205/(D205+E205)</f>
        <v>0.447204968944099</v>
      </c>
      <c r="K205" s="3" t="n">
        <f aca="false">IF(D205&gt;E205,1,0)</f>
        <v>0</v>
      </c>
      <c r="L205" s="3" t="n">
        <f aca="false">IF(OR(F205="Y",G205="Y",H205="Y"),1,0)</f>
        <v>0</v>
      </c>
      <c r="M205" s="3" t="n">
        <f aca="false">IF(H205="Y",1,0)</f>
        <v>0</v>
      </c>
      <c r="N205" s="3" t="n">
        <f aca="false">IF(I205="Y",1,0)</f>
        <v>0</v>
      </c>
    </row>
    <row r="206" customFormat="false" ht="15" hidden="false" customHeight="true" outlineLevel="0" collapsed="false">
      <c r="A206" s="7" t="s">
        <v>54</v>
      </c>
      <c r="B206" s="7" t="n">
        <v>1987</v>
      </c>
      <c r="C206" s="7" t="s">
        <v>356</v>
      </c>
      <c r="D206" s="7" t="n">
        <v>69</v>
      </c>
      <c r="E206" s="7" t="n">
        <v>92</v>
      </c>
      <c r="F206" s="7" t="s">
        <v>546</v>
      </c>
      <c r="G206" s="7"/>
      <c r="H206" s="7" t="s">
        <v>546</v>
      </c>
      <c r="I206" s="7" t="s">
        <v>546</v>
      </c>
      <c r="J206" s="21" t="n">
        <f aca="false">D206/(D206+E206)</f>
        <v>0.428571428571429</v>
      </c>
      <c r="K206" s="3" t="n">
        <f aca="false">IF(D206&gt;E206,1,0)</f>
        <v>0</v>
      </c>
      <c r="L206" s="3" t="n">
        <f aca="false">IF(OR(F206="Y",G206="Y",H206="Y"),1,0)</f>
        <v>0</v>
      </c>
      <c r="M206" s="3" t="n">
        <f aca="false">IF(H206="Y",1,0)</f>
        <v>0</v>
      </c>
      <c r="N206" s="3" t="n">
        <f aca="false">IF(I206="Y",1,0)</f>
        <v>0</v>
      </c>
    </row>
    <row r="207" customFormat="false" ht="15" hidden="false" customHeight="true" outlineLevel="0" collapsed="false">
      <c r="A207" s="7" t="s">
        <v>54</v>
      </c>
      <c r="B207" s="7" t="n">
        <v>1988</v>
      </c>
      <c r="C207" s="7" t="s">
        <v>356</v>
      </c>
      <c r="D207" s="7" t="n">
        <v>54</v>
      </c>
      <c r="E207" s="7" t="n">
        <v>106</v>
      </c>
      <c r="F207" s="7" t="s">
        <v>546</v>
      </c>
      <c r="G207" s="7"/>
      <c r="H207" s="7" t="s">
        <v>546</v>
      </c>
      <c r="I207" s="7" t="s">
        <v>546</v>
      </c>
      <c r="J207" s="21" t="n">
        <f aca="false">D207/(D207+E207)</f>
        <v>0.3375</v>
      </c>
      <c r="K207" s="3" t="n">
        <f aca="false">IF(D207&gt;E207,1,0)</f>
        <v>0</v>
      </c>
      <c r="L207" s="3" t="n">
        <f aca="false">IF(OR(F207="Y",G207="Y",H207="Y"),1,0)</f>
        <v>0</v>
      </c>
      <c r="M207" s="3" t="n">
        <f aca="false">IF(H207="Y",1,0)</f>
        <v>0</v>
      </c>
      <c r="N207" s="3" t="n">
        <f aca="false">IF(I207="Y",1,0)</f>
        <v>0</v>
      </c>
    </row>
    <row r="208" customFormat="false" ht="15" hidden="false" customHeight="true" outlineLevel="0" collapsed="false">
      <c r="A208" s="7" t="s">
        <v>54</v>
      </c>
      <c r="B208" s="7" t="n">
        <v>1989</v>
      </c>
      <c r="C208" s="7" t="s">
        <v>356</v>
      </c>
      <c r="D208" s="7" t="n">
        <v>63</v>
      </c>
      <c r="E208" s="7" t="n">
        <v>97</v>
      </c>
      <c r="F208" s="7" t="s">
        <v>546</v>
      </c>
      <c r="G208" s="7"/>
      <c r="H208" s="7" t="s">
        <v>546</v>
      </c>
      <c r="I208" s="7" t="s">
        <v>546</v>
      </c>
      <c r="J208" s="21" t="n">
        <f aca="false">D208/(D208+E208)</f>
        <v>0.39375</v>
      </c>
      <c r="K208" s="3" t="n">
        <f aca="false">IF(D208&gt;E208,1,0)</f>
        <v>0</v>
      </c>
      <c r="L208" s="3" t="n">
        <f aca="false">IF(OR(F208="Y",G208="Y",H208="Y"),1,0)</f>
        <v>0</v>
      </c>
      <c r="M208" s="3" t="n">
        <f aca="false">IF(H208="Y",1,0)</f>
        <v>0</v>
      </c>
      <c r="N208" s="3" t="n">
        <f aca="false">IF(I208="Y",1,0)</f>
        <v>0</v>
      </c>
    </row>
    <row r="209" customFormat="false" ht="15" hidden="false" customHeight="true" outlineLevel="0" collapsed="false">
      <c r="A209" s="7" t="s">
        <v>54</v>
      </c>
      <c r="B209" s="7" t="n">
        <v>1990</v>
      </c>
      <c r="C209" s="7" t="s">
        <v>356</v>
      </c>
      <c r="D209" s="7" t="n">
        <v>65</v>
      </c>
      <c r="E209" s="7" t="n">
        <v>97</v>
      </c>
      <c r="F209" s="7" t="s">
        <v>546</v>
      </c>
      <c r="G209" s="7"/>
      <c r="H209" s="7" t="s">
        <v>546</v>
      </c>
      <c r="I209" s="7" t="s">
        <v>546</v>
      </c>
      <c r="J209" s="21" t="n">
        <f aca="false">D209/(D209+E209)</f>
        <v>0.401234567901235</v>
      </c>
      <c r="K209" s="3" t="n">
        <f aca="false">IF(D209&gt;E209,1,0)</f>
        <v>0</v>
      </c>
      <c r="L209" s="3" t="n">
        <f aca="false">IF(OR(F209="Y",G209="Y",H209="Y"),1,0)</f>
        <v>0</v>
      </c>
      <c r="M209" s="3" t="n">
        <f aca="false">IF(H209="Y",1,0)</f>
        <v>0</v>
      </c>
      <c r="N209" s="3" t="n">
        <f aca="false">IF(I209="Y",1,0)</f>
        <v>0</v>
      </c>
    </row>
    <row r="210" customFormat="false" ht="15" hidden="false" customHeight="true" outlineLevel="0" collapsed="false">
      <c r="A210" s="7" t="s">
        <v>54</v>
      </c>
      <c r="B210" s="7" t="n">
        <v>1991</v>
      </c>
      <c r="C210" s="7" t="s">
        <v>356</v>
      </c>
      <c r="D210" s="7" t="n">
        <v>94</v>
      </c>
      <c r="E210" s="7" t="n">
        <v>68</v>
      </c>
      <c r="F210" s="7" t="s">
        <v>548</v>
      </c>
      <c r="G210" s="7"/>
      <c r="H210" s="7" t="s">
        <v>548</v>
      </c>
      <c r="I210" s="7" t="s">
        <v>546</v>
      </c>
      <c r="J210" s="21" t="n">
        <f aca="false">D210/(D210+E210)</f>
        <v>0.580246913580247</v>
      </c>
      <c r="K210" s="3" t="n">
        <f aca="false">IF(D210&gt;E210,1,0)</f>
        <v>1</v>
      </c>
      <c r="L210" s="3" t="n">
        <f aca="false">IF(OR(F210="Y",G210="Y",H210="Y"),1,0)</f>
        <v>1</v>
      </c>
      <c r="M210" s="3" t="n">
        <f aca="false">IF(H210="Y",1,0)</f>
        <v>1</v>
      </c>
      <c r="N210" s="3" t="n">
        <f aca="false">IF(I210="Y",1,0)</f>
        <v>0</v>
      </c>
    </row>
    <row r="211" customFormat="false" ht="15" hidden="false" customHeight="true" outlineLevel="0" collapsed="false">
      <c r="A211" s="7" t="s">
        <v>54</v>
      </c>
      <c r="B211" s="7" t="n">
        <v>1992</v>
      </c>
      <c r="C211" s="7" t="s">
        <v>356</v>
      </c>
      <c r="D211" s="7" t="n">
        <v>98</v>
      </c>
      <c r="E211" s="7" t="n">
        <v>64</v>
      </c>
      <c r="F211" s="7" t="s">
        <v>548</v>
      </c>
      <c r="G211" s="7"/>
      <c r="H211" s="7" t="s">
        <v>548</v>
      </c>
      <c r="I211" s="7" t="s">
        <v>546</v>
      </c>
      <c r="J211" s="21" t="n">
        <f aca="false">D211/(D211+E211)</f>
        <v>0.604938271604938</v>
      </c>
      <c r="K211" s="3" t="n">
        <f aca="false">IF(D211&gt;E211,1,0)</f>
        <v>1</v>
      </c>
      <c r="L211" s="3" t="n">
        <f aca="false">IF(OR(F211="Y",G211="Y",H211="Y"),1,0)</f>
        <v>1</v>
      </c>
      <c r="M211" s="3" t="n">
        <f aca="false">IF(H211="Y",1,0)</f>
        <v>1</v>
      </c>
      <c r="N211" s="3" t="n">
        <f aca="false">IF(I211="Y",1,0)</f>
        <v>0</v>
      </c>
    </row>
    <row r="212" customFormat="false" ht="15" hidden="false" customHeight="true" outlineLevel="0" collapsed="false">
      <c r="A212" s="7" t="s">
        <v>54</v>
      </c>
      <c r="B212" s="7" t="n">
        <v>1993</v>
      </c>
      <c r="C212" s="7" t="s">
        <v>356</v>
      </c>
      <c r="D212" s="7" t="n">
        <v>104</v>
      </c>
      <c r="E212" s="7" t="n">
        <v>58</v>
      </c>
      <c r="F212" s="7" t="s">
        <v>548</v>
      </c>
      <c r="G212" s="7"/>
      <c r="H212" s="7" t="s">
        <v>546</v>
      </c>
      <c r="I212" s="7" t="s">
        <v>546</v>
      </c>
      <c r="J212" s="21" t="n">
        <f aca="false">D212/(D212+E212)</f>
        <v>0.641975308641975</v>
      </c>
      <c r="K212" s="3" t="n">
        <f aca="false">IF(D212&gt;E212,1,0)</f>
        <v>1</v>
      </c>
      <c r="L212" s="3" t="n">
        <f aca="false">IF(OR(F212="Y",G212="Y",H212="Y"),1,0)</f>
        <v>1</v>
      </c>
      <c r="M212" s="3" t="n">
        <f aca="false">IF(H212="Y",1,0)</f>
        <v>0</v>
      </c>
      <c r="N212" s="3" t="n">
        <f aca="false">IF(I212="Y",1,0)</f>
        <v>0</v>
      </c>
    </row>
    <row r="213" customFormat="false" ht="15" hidden="false" customHeight="true" outlineLevel="0" collapsed="false">
      <c r="A213" s="7" t="s">
        <v>54</v>
      </c>
      <c r="B213" s="7" t="n">
        <v>1994</v>
      </c>
      <c r="C213" s="7" t="s">
        <v>356</v>
      </c>
      <c r="D213" s="7" t="n">
        <v>68</v>
      </c>
      <c r="E213" s="7" t="n">
        <v>46</v>
      </c>
      <c r="F213" s="7"/>
      <c r="G213" s="7"/>
      <c r="H213" s="7"/>
      <c r="I213" s="7"/>
      <c r="J213" s="21" t="n">
        <f aca="false">D213/(D213+E213)</f>
        <v>0.596491228070175</v>
      </c>
      <c r="K213" s="3" t="n">
        <f aca="false">IF(D213&gt;E213,1,0)</f>
        <v>1</v>
      </c>
      <c r="L213" s="3" t="n">
        <f aca="false">IF(OR(F213="Y",G213="Y",H213="Y"),1,0)</f>
        <v>0</v>
      </c>
      <c r="M213" s="3" t="n">
        <f aca="false">IF(H213="Y",1,0)</f>
        <v>0</v>
      </c>
      <c r="N213" s="3" t="n">
        <f aca="false">IF(I213="Y",1,0)</f>
        <v>0</v>
      </c>
    </row>
    <row r="214" customFormat="false" ht="15" hidden="false" customHeight="true" outlineLevel="0" collapsed="false">
      <c r="A214" s="7" t="s">
        <v>54</v>
      </c>
      <c r="B214" s="7" t="n">
        <v>1995</v>
      </c>
      <c r="C214" s="7" t="s">
        <v>356</v>
      </c>
      <c r="D214" s="7" t="n">
        <v>90</v>
      </c>
      <c r="E214" s="7" t="n">
        <v>54</v>
      </c>
      <c r="F214" s="7" t="s">
        <v>548</v>
      </c>
      <c r="G214" s="7" t="s">
        <v>546</v>
      </c>
      <c r="H214" s="7" t="s">
        <v>548</v>
      </c>
      <c r="I214" s="7" t="s">
        <v>548</v>
      </c>
      <c r="J214" s="21" t="n">
        <f aca="false">D214/(D214+E214)</f>
        <v>0.625</v>
      </c>
      <c r="K214" s="3" t="n">
        <f aca="false">IF(D214&gt;E214,1,0)</f>
        <v>1</v>
      </c>
      <c r="L214" s="3" t="n">
        <f aca="false">IF(OR(F214="Y",G214="Y",H214="Y"),1,0)</f>
        <v>1</v>
      </c>
      <c r="M214" s="3" t="n">
        <f aca="false">IF(H214="Y",1,0)</f>
        <v>1</v>
      </c>
      <c r="N214" s="3" t="n">
        <f aca="false">IF(I214="Y",1,0)</f>
        <v>1</v>
      </c>
    </row>
    <row r="215" customFormat="false" ht="15" hidden="false" customHeight="true" outlineLevel="0" collapsed="false">
      <c r="A215" s="7" t="s">
        <v>54</v>
      </c>
      <c r="B215" s="7" t="n">
        <v>1996</v>
      </c>
      <c r="C215" s="7" t="s">
        <v>356</v>
      </c>
      <c r="D215" s="7" t="n">
        <v>96</v>
      </c>
      <c r="E215" s="7" t="n">
        <v>66</v>
      </c>
      <c r="F215" s="7" t="s">
        <v>548</v>
      </c>
      <c r="G215" s="7" t="s">
        <v>546</v>
      </c>
      <c r="H215" s="7" t="s">
        <v>548</v>
      </c>
      <c r="I215" s="7" t="s">
        <v>546</v>
      </c>
      <c r="J215" s="21" t="n">
        <f aca="false">D215/(D215+E215)</f>
        <v>0.592592592592593</v>
      </c>
      <c r="K215" s="3" t="n">
        <f aca="false">IF(D215&gt;E215,1,0)</f>
        <v>1</v>
      </c>
      <c r="L215" s="3" t="n">
        <f aca="false">IF(OR(F215="Y",G215="Y",H215="Y"),1,0)</f>
        <v>1</v>
      </c>
      <c r="M215" s="3" t="n">
        <f aca="false">IF(H215="Y",1,0)</f>
        <v>1</v>
      </c>
      <c r="N215" s="3" t="n">
        <f aca="false">IF(I215="Y",1,0)</f>
        <v>0</v>
      </c>
    </row>
    <row r="216" customFormat="false" ht="15" hidden="false" customHeight="true" outlineLevel="0" collapsed="false">
      <c r="A216" s="7" t="s">
        <v>54</v>
      </c>
      <c r="B216" s="7" t="n">
        <v>1997</v>
      </c>
      <c r="C216" s="7" t="s">
        <v>356</v>
      </c>
      <c r="D216" s="7" t="n">
        <v>101</v>
      </c>
      <c r="E216" s="7" t="n">
        <v>61</v>
      </c>
      <c r="F216" s="7" t="s">
        <v>548</v>
      </c>
      <c r="G216" s="7" t="s">
        <v>546</v>
      </c>
      <c r="H216" s="7" t="s">
        <v>546</v>
      </c>
      <c r="I216" s="7" t="s">
        <v>546</v>
      </c>
      <c r="J216" s="21" t="n">
        <f aca="false">D216/(D216+E216)</f>
        <v>0.623456790123457</v>
      </c>
      <c r="K216" s="3" t="n">
        <f aca="false">IF(D216&gt;E216,1,0)</f>
        <v>1</v>
      </c>
      <c r="L216" s="3" t="n">
        <f aca="false">IF(OR(F216="Y",G216="Y",H216="Y"),1,0)</f>
        <v>1</v>
      </c>
      <c r="M216" s="3" t="n">
        <f aca="false">IF(H216="Y",1,0)</f>
        <v>0</v>
      </c>
      <c r="N216" s="3" t="n">
        <f aca="false">IF(I216="Y",1,0)</f>
        <v>0</v>
      </c>
    </row>
    <row r="217" customFormat="false" ht="15" hidden="false" customHeight="true" outlineLevel="0" collapsed="false">
      <c r="A217" s="7" t="s">
        <v>54</v>
      </c>
      <c r="B217" s="7" t="n">
        <v>1998</v>
      </c>
      <c r="C217" s="7" t="s">
        <v>356</v>
      </c>
      <c r="D217" s="7" t="n">
        <v>106</v>
      </c>
      <c r="E217" s="7" t="n">
        <v>56</v>
      </c>
      <c r="F217" s="7" t="s">
        <v>548</v>
      </c>
      <c r="G217" s="7" t="s">
        <v>546</v>
      </c>
      <c r="H217" s="7" t="s">
        <v>546</v>
      </c>
      <c r="I217" s="7" t="s">
        <v>546</v>
      </c>
      <c r="J217" s="21" t="n">
        <f aca="false">D217/(D217+E217)</f>
        <v>0.654320987654321</v>
      </c>
      <c r="K217" s="3" t="n">
        <f aca="false">IF(D217&gt;E217,1,0)</f>
        <v>1</v>
      </c>
      <c r="L217" s="3" t="n">
        <f aca="false">IF(OR(F217="Y",G217="Y",H217="Y"),1,0)</f>
        <v>1</v>
      </c>
      <c r="M217" s="3" t="n">
        <f aca="false">IF(H217="Y",1,0)</f>
        <v>0</v>
      </c>
      <c r="N217" s="3" t="n">
        <f aca="false">IF(I217="Y",1,0)</f>
        <v>0</v>
      </c>
    </row>
    <row r="218" customFormat="false" ht="15" hidden="false" customHeight="true" outlineLevel="0" collapsed="false">
      <c r="A218" s="7" t="s">
        <v>54</v>
      </c>
      <c r="B218" s="7" t="n">
        <v>1999</v>
      </c>
      <c r="C218" s="7" t="s">
        <v>356</v>
      </c>
      <c r="D218" s="7" t="n">
        <v>103</v>
      </c>
      <c r="E218" s="7" t="n">
        <v>59</v>
      </c>
      <c r="F218" s="7" t="s">
        <v>548</v>
      </c>
      <c r="G218" s="7" t="s">
        <v>546</v>
      </c>
      <c r="H218" s="7" t="s">
        <v>548</v>
      </c>
      <c r="I218" s="7" t="s">
        <v>546</v>
      </c>
      <c r="J218" s="21" t="n">
        <f aca="false">D218/(D218+E218)</f>
        <v>0.635802469135803</v>
      </c>
      <c r="K218" s="3" t="n">
        <f aca="false">IF(D218&gt;E218,1,0)</f>
        <v>1</v>
      </c>
      <c r="L218" s="3" t="n">
        <f aca="false">IF(OR(F218="Y",G218="Y",H218="Y"),1,0)</f>
        <v>1</v>
      </c>
      <c r="M218" s="3" t="n">
        <f aca="false">IF(H218="Y",1,0)</f>
        <v>1</v>
      </c>
      <c r="N218" s="3" t="n">
        <f aca="false">IF(I218="Y",1,0)</f>
        <v>0</v>
      </c>
    </row>
    <row r="219" customFormat="false" ht="15" hidden="false" customHeight="true" outlineLevel="0" collapsed="false">
      <c r="A219" s="7" t="s">
        <v>54</v>
      </c>
      <c r="B219" s="7" t="n">
        <v>2000</v>
      </c>
      <c r="C219" s="7" t="s">
        <v>356</v>
      </c>
      <c r="D219" s="7" t="n">
        <v>95</v>
      </c>
      <c r="E219" s="7" t="n">
        <v>67</v>
      </c>
      <c r="F219" s="7" t="s">
        <v>548</v>
      </c>
      <c r="G219" s="7" t="s">
        <v>546</v>
      </c>
      <c r="H219" s="7" t="s">
        <v>546</v>
      </c>
      <c r="I219" s="7" t="s">
        <v>546</v>
      </c>
      <c r="J219" s="21" t="n">
        <f aca="false">D219/(D219+E219)</f>
        <v>0.58641975308642</v>
      </c>
      <c r="K219" s="3" t="n">
        <f aca="false">IF(D219&gt;E219,1,0)</f>
        <v>1</v>
      </c>
      <c r="L219" s="3" t="n">
        <f aca="false">IF(OR(F219="Y",G219="Y",H219="Y"),1,0)</f>
        <v>1</v>
      </c>
      <c r="M219" s="3" t="n">
        <f aca="false">IF(H219="Y",1,0)</f>
        <v>0</v>
      </c>
      <c r="N219" s="3" t="n">
        <f aca="false">IF(I219="Y",1,0)</f>
        <v>0</v>
      </c>
    </row>
    <row r="220" customFormat="false" ht="15" hidden="false" customHeight="true" outlineLevel="0" collapsed="false">
      <c r="A220" s="7" t="s">
        <v>54</v>
      </c>
      <c r="B220" s="7" t="n">
        <v>2001</v>
      </c>
      <c r="C220" s="7" t="s">
        <v>356</v>
      </c>
      <c r="D220" s="7" t="n">
        <v>88</v>
      </c>
      <c r="E220" s="7" t="n">
        <v>74</v>
      </c>
      <c r="F220" s="7" t="s">
        <v>548</v>
      </c>
      <c r="G220" s="7" t="s">
        <v>546</v>
      </c>
      <c r="H220" s="7" t="s">
        <v>546</v>
      </c>
      <c r="I220" s="7" t="s">
        <v>546</v>
      </c>
      <c r="J220" s="21" t="n">
        <f aca="false">D220/(D220+E220)</f>
        <v>0.54320987654321</v>
      </c>
      <c r="K220" s="3" t="n">
        <f aca="false">IF(D220&gt;E220,1,0)</f>
        <v>1</v>
      </c>
      <c r="L220" s="3" t="n">
        <f aca="false">IF(OR(F220="Y",G220="Y",H220="Y"),1,0)</f>
        <v>1</v>
      </c>
      <c r="M220" s="3" t="n">
        <f aca="false">IF(H220="Y",1,0)</f>
        <v>0</v>
      </c>
      <c r="N220" s="3" t="n">
        <f aca="false">IF(I220="Y",1,0)</f>
        <v>0</v>
      </c>
    </row>
    <row r="221" customFormat="false" ht="15" hidden="false" customHeight="true" outlineLevel="0" collapsed="false">
      <c r="A221" s="7" t="s">
        <v>54</v>
      </c>
      <c r="B221" s="7" t="n">
        <v>2002</v>
      </c>
      <c r="C221" s="7" t="s">
        <v>356</v>
      </c>
      <c r="D221" s="7" t="n">
        <v>101</v>
      </c>
      <c r="E221" s="7" t="n">
        <v>59</v>
      </c>
      <c r="F221" s="7" t="s">
        <v>548</v>
      </c>
      <c r="G221" s="7" t="s">
        <v>546</v>
      </c>
      <c r="H221" s="7" t="s">
        <v>546</v>
      </c>
      <c r="I221" s="7" t="s">
        <v>546</v>
      </c>
      <c r="J221" s="21" t="n">
        <f aca="false">D221/(D221+E221)</f>
        <v>0.63125</v>
      </c>
      <c r="K221" s="3" t="n">
        <f aca="false">IF(D221&gt;E221,1,0)</f>
        <v>1</v>
      </c>
      <c r="L221" s="3" t="n">
        <f aca="false">IF(OR(F221="Y",G221="Y",H221="Y"),1,0)</f>
        <v>1</v>
      </c>
      <c r="M221" s="3" t="n">
        <f aca="false">IF(H221="Y",1,0)</f>
        <v>0</v>
      </c>
      <c r="N221" s="3" t="n">
        <f aca="false">IF(I221="Y",1,0)</f>
        <v>0</v>
      </c>
    </row>
    <row r="222" customFormat="false" ht="15" hidden="false" customHeight="true" outlineLevel="0" collapsed="false">
      <c r="A222" s="7" t="s">
        <v>54</v>
      </c>
      <c r="B222" s="7" t="n">
        <v>2003</v>
      </c>
      <c r="C222" s="7" t="s">
        <v>356</v>
      </c>
      <c r="D222" s="7" t="n">
        <v>101</v>
      </c>
      <c r="E222" s="7" t="n">
        <v>61</v>
      </c>
      <c r="F222" s="7" t="s">
        <v>548</v>
      </c>
      <c r="G222" s="7" t="s">
        <v>546</v>
      </c>
      <c r="H222" s="7" t="s">
        <v>546</v>
      </c>
      <c r="I222" s="7" t="s">
        <v>546</v>
      </c>
      <c r="J222" s="21" t="n">
        <f aca="false">D222/(D222+E222)</f>
        <v>0.623456790123457</v>
      </c>
      <c r="K222" s="3" t="n">
        <f aca="false">IF(D222&gt;E222,1,0)</f>
        <v>1</v>
      </c>
      <c r="L222" s="3" t="n">
        <f aca="false">IF(OR(F222="Y",G222="Y",H222="Y"),1,0)</f>
        <v>1</v>
      </c>
      <c r="M222" s="3" t="n">
        <f aca="false">IF(H222="Y",1,0)</f>
        <v>0</v>
      </c>
      <c r="N222" s="3" t="n">
        <f aca="false">IF(I222="Y",1,0)</f>
        <v>0</v>
      </c>
    </row>
    <row r="223" customFormat="false" ht="15" hidden="false" customHeight="true" outlineLevel="0" collapsed="false">
      <c r="A223" s="7" t="s">
        <v>54</v>
      </c>
      <c r="B223" s="7" t="n">
        <v>2004</v>
      </c>
      <c r="C223" s="7" t="s">
        <v>356</v>
      </c>
      <c r="D223" s="7" t="n">
        <v>96</v>
      </c>
      <c r="E223" s="7" t="n">
        <v>66</v>
      </c>
      <c r="F223" s="7" t="s">
        <v>548</v>
      </c>
      <c r="G223" s="7" t="s">
        <v>546</v>
      </c>
      <c r="H223" s="7" t="s">
        <v>546</v>
      </c>
      <c r="I223" s="7" t="s">
        <v>546</v>
      </c>
      <c r="J223" s="21" t="n">
        <f aca="false">D223/(D223+E223)</f>
        <v>0.592592592592593</v>
      </c>
      <c r="K223" s="3" t="n">
        <f aca="false">IF(D223&gt;E223,1,0)</f>
        <v>1</v>
      </c>
      <c r="L223" s="3" t="n">
        <f aca="false">IF(OR(F223="Y",G223="Y",H223="Y"),1,0)</f>
        <v>1</v>
      </c>
      <c r="M223" s="3" t="n">
        <f aca="false">IF(H223="Y",1,0)</f>
        <v>0</v>
      </c>
      <c r="N223" s="3" t="n">
        <f aca="false">IF(I223="Y",1,0)</f>
        <v>0</v>
      </c>
    </row>
    <row r="224" customFormat="false" ht="15" hidden="false" customHeight="true" outlineLevel="0" collapsed="false">
      <c r="A224" s="7" t="s">
        <v>54</v>
      </c>
      <c r="B224" s="7" t="n">
        <v>2005</v>
      </c>
      <c r="C224" s="7" t="s">
        <v>356</v>
      </c>
      <c r="D224" s="7" t="n">
        <v>90</v>
      </c>
      <c r="E224" s="7" t="n">
        <v>72</v>
      </c>
      <c r="F224" s="7" t="s">
        <v>548</v>
      </c>
      <c r="G224" s="7" t="s">
        <v>546</v>
      </c>
      <c r="H224" s="7" t="s">
        <v>546</v>
      </c>
      <c r="I224" s="7" t="s">
        <v>546</v>
      </c>
      <c r="J224" s="21" t="n">
        <f aca="false">D224/(D224+E224)</f>
        <v>0.555555555555556</v>
      </c>
      <c r="K224" s="3" t="n">
        <f aca="false">IF(D224&gt;E224,1,0)</f>
        <v>1</v>
      </c>
      <c r="L224" s="3" t="n">
        <f aca="false">IF(OR(F224="Y",G224="Y",H224="Y"),1,0)</f>
        <v>1</v>
      </c>
      <c r="M224" s="3" t="n">
        <f aca="false">IF(H224="Y",1,0)</f>
        <v>0</v>
      </c>
      <c r="N224" s="3" t="n">
        <f aca="false">IF(I224="Y",1,0)</f>
        <v>0</v>
      </c>
    </row>
    <row r="225" customFormat="false" ht="15" hidden="false" customHeight="true" outlineLevel="0" collapsed="false">
      <c r="A225" s="7" t="s">
        <v>54</v>
      </c>
      <c r="B225" s="7" t="n">
        <v>2006</v>
      </c>
      <c r="C225" s="7" t="s">
        <v>356</v>
      </c>
      <c r="D225" s="7" t="n">
        <v>79</v>
      </c>
      <c r="E225" s="7" t="n">
        <v>83</v>
      </c>
      <c r="F225" s="7" t="s">
        <v>546</v>
      </c>
      <c r="G225" s="7" t="s">
        <v>546</v>
      </c>
      <c r="H225" s="7" t="s">
        <v>546</v>
      </c>
      <c r="I225" s="7" t="s">
        <v>546</v>
      </c>
      <c r="J225" s="21" t="n">
        <f aca="false">D225/(D225+E225)</f>
        <v>0.487654320987654</v>
      </c>
      <c r="K225" s="3" t="n">
        <f aca="false">IF(D225&gt;E225,1,0)</f>
        <v>0</v>
      </c>
      <c r="L225" s="3" t="n">
        <f aca="false">IF(OR(F225="Y",G225="Y",H225="Y"),1,0)</f>
        <v>0</v>
      </c>
      <c r="M225" s="3" t="n">
        <f aca="false">IF(H225="Y",1,0)</f>
        <v>0</v>
      </c>
      <c r="N225" s="3" t="n">
        <f aca="false">IF(I225="Y",1,0)</f>
        <v>0</v>
      </c>
    </row>
    <row r="226" customFormat="false" ht="15" hidden="false" customHeight="true" outlineLevel="0" collapsed="false">
      <c r="A226" s="7" t="s">
        <v>54</v>
      </c>
      <c r="B226" s="7" t="n">
        <v>2007</v>
      </c>
      <c r="C226" s="7" t="s">
        <v>356</v>
      </c>
      <c r="D226" s="7" t="n">
        <v>84</v>
      </c>
      <c r="E226" s="7" t="n">
        <v>78</v>
      </c>
      <c r="F226" s="7" t="s">
        <v>546</v>
      </c>
      <c r="G226" s="7" t="s">
        <v>546</v>
      </c>
      <c r="H226" s="7" t="s">
        <v>546</v>
      </c>
      <c r="I226" s="7" t="s">
        <v>546</v>
      </c>
      <c r="J226" s="21" t="n">
        <f aca="false">D226/(D226+E226)</f>
        <v>0.518518518518519</v>
      </c>
      <c r="K226" s="3" t="n">
        <f aca="false">IF(D226&gt;E226,1,0)</f>
        <v>1</v>
      </c>
      <c r="L226" s="3" t="n">
        <f aca="false">IF(OR(F226="Y",G226="Y",H226="Y"),1,0)</f>
        <v>0</v>
      </c>
      <c r="M226" s="3" t="n">
        <f aca="false">IF(H226="Y",1,0)</f>
        <v>0</v>
      </c>
      <c r="N226" s="3" t="n">
        <f aca="false">IF(I226="Y",1,0)</f>
        <v>0</v>
      </c>
    </row>
    <row r="227" customFormat="false" ht="15" hidden="false" customHeight="true" outlineLevel="0" collapsed="false">
      <c r="A227" s="7" t="s">
        <v>54</v>
      </c>
      <c r="B227" s="7" t="n">
        <v>2008</v>
      </c>
      <c r="C227" s="7" t="s">
        <v>356</v>
      </c>
      <c r="D227" s="7" t="n">
        <v>72</v>
      </c>
      <c r="E227" s="7" t="n">
        <v>90</v>
      </c>
      <c r="F227" s="7" t="s">
        <v>546</v>
      </c>
      <c r="G227" s="7" t="s">
        <v>546</v>
      </c>
      <c r="H227" s="7" t="s">
        <v>546</v>
      </c>
      <c r="I227" s="7" t="s">
        <v>546</v>
      </c>
      <c r="J227" s="21" t="n">
        <f aca="false">D227/(D227+E227)</f>
        <v>0.444444444444444</v>
      </c>
      <c r="K227" s="3" t="n">
        <f aca="false">IF(D227&gt;E227,1,0)</f>
        <v>0</v>
      </c>
      <c r="L227" s="3" t="n">
        <f aca="false">IF(OR(F227="Y",G227="Y",H227="Y"),1,0)</f>
        <v>0</v>
      </c>
      <c r="M227" s="3" t="n">
        <f aca="false">IF(H227="Y",1,0)</f>
        <v>0</v>
      </c>
      <c r="N227" s="3" t="n">
        <f aca="false">IF(I227="Y",1,0)</f>
        <v>0</v>
      </c>
    </row>
    <row r="228" customFormat="false" ht="15" hidden="false" customHeight="true" outlineLevel="0" collapsed="false">
      <c r="A228" s="7" t="s">
        <v>54</v>
      </c>
      <c r="B228" s="7" t="n">
        <v>2009</v>
      </c>
      <c r="C228" s="7" t="s">
        <v>356</v>
      </c>
      <c r="D228" s="7" t="n">
        <v>86</v>
      </c>
      <c r="E228" s="7" t="n">
        <v>76</v>
      </c>
      <c r="F228" s="7" t="s">
        <v>546</v>
      </c>
      <c r="G228" s="7" t="s">
        <v>546</v>
      </c>
      <c r="H228" s="7" t="s">
        <v>546</v>
      </c>
      <c r="I228" s="7" t="s">
        <v>546</v>
      </c>
      <c r="J228" s="21" t="n">
        <f aca="false">D228/(D228+E228)</f>
        <v>0.530864197530864</v>
      </c>
      <c r="K228" s="3" t="n">
        <f aca="false">IF(D228&gt;E228,1,0)</f>
        <v>1</v>
      </c>
      <c r="L228" s="3" t="n">
        <f aca="false">IF(OR(F228="Y",G228="Y",H228="Y"),1,0)</f>
        <v>0</v>
      </c>
      <c r="M228" s="3" t="n">
        <f aca="false">IF(H228="Y",1,0)</f>
        <v>0</v>
      </c>
      <c r="N228" s="3" t="n">
        <f aca="false">IF(I228="Y",1,0)</f>
        <v>0</v>
      </c>
    </row>
    <row r="229" customFormat="false" ht="15" hidden="false" customHeight="true" outlineLevel="0" collapsed="false">
      <c r="A229" s="7" t="s">
        <v>54</v>
      </c>
      <c r="B229" s="7" t="n">
        <v>2010</v>
      </c>
      <c r="C229" s="7" t="s">
        <v>356</v>
      </c>
      <c r="D229" s="7" t="n">
        <v>91</v>
      </c>
      <c r="E229" s="7" t="n">
        <v>71</v>
      </c>
      <c r="F229" s="7" t="s">
        <v>546</v>
      </c>
      <c r="G229" s="7" t="s">
        <v>548</v>
      </c>
      <c r="H229" s="7" t="s">
        <v>546</v>
      </c>
      <c r="I229" s="7" t="s">
        <v>546</v>
      </c>
      <c r="J229" s="21" t="n">
        <f aca="false">D229/(D229+E229)</f>
        <v>0.561728395061728</v>
      </c>
      <c r="K229" s="3" t="n">
        <f aca="false">IF(D229&gt;E229,1,0)</f>
        <v>1</v>
      </c>
      <c r="L229" s="3" t="n">
        <f aca="false">IF(OR(F229="Y",G229="Y",H229="Y"),1,0)</f>
        <v>1</v>
      </c>
      <c r="M229" s="3" t="n">
        <f aca="false">IF(H229="Y",1,0)</f>
        <v>0</v>
      </c>
      <c r="N229" s="3" t="n">
        <f aca="false">IF(I229="Y",1,0)</f>
        <v>0</v>
      </c>
    </row>
    <row r="230" customFormat="false" ht="15" hidden="false" customHeight="true" outlineLevel="0" collapsed="false">
      <c r="A230" s="7" t="s">
        <v>54</v>
      </c>
      <c r="B230" s="7" t="n">
        <v>2011</v>
      </c>
      <c r="C230" s="7" t="s">
        <v>356</v>
      </c>
      <c r="D230" s="7" t="n">
        <v>89</v>
      </c>
      <c r="E230" s="7" t="n">
        <v>73</v>
      </c>
      <c r="F230" s="7" t="s">
        <v>546</v>
      </c>
      <c r="G230" s="7" t="s">
        <v>546</v>
      </c>
      <c r="H230" s="7" t="s">
        <v>546</v>
      </c>
      <c r="I230" s="7" t="s">
        <v>546</v>
      </c>
      <c r="J230" s="21" t="n">
        <f aca="false">D230/(D230+E230)</f>
        <v>0.549382716049383</v>
      </c>
      <c r="K230" s="3" t="n">
        <f aca="false">IF(D230&gt;E230,1,0)</f>
        <v>1</v>
      </c>
      <c r="L230" s="3" t="n">
        <f aca="false">IF(OR(F230="Y",G230="Y",H230="Y"),1,0)</f>
        <v>0</v>
      </c>
      <c r="M230" s="3" t="n">
        <f aca="false">IF(H230="Y",1,0)</f>
        <v>0</v>
      </c>
      <c r="N230" s="3" t="n">
        <f aca="false">IF(I230="Y",1,0)</f>
        <v>0</v>
      </c>
    </row>
    <row r="231" customFormat="false" ht="15" hidden="false" customHeight="true" outlineLevel="0" collapsed="false">
      <c r="A231" s="7" t="s">
        <v>54</v>
      </c>
      <c r="B231" s="7" t="n">
        <v>2012</v>
      </c>
      <c r="C231" s="7" t="s">
        <v>356</v>
      </c>
      <c r="D231" s="7" t="n">
        <v>94</v>
      </c>
      <c r="E231" s="7" t="n">
        <v>68</v>
      </c>
      <c r="F231" s="7" t="s">
        <v>546</v>
      </c>
      <c r="G231" s="7" t="s">
        <v>548</v>
      </c>
      <c r="H231" s="7" t="s">
        <v>546</v>
      </c>
      <c r="I231" s="7" t="s">
        <v>546</v>
      </c>
      <c r="J231" s="21" t="n">
        <f aca="false">D231/(D231+E231)</f>
        <v>0.580246913580247</v>
      </c>
      <c r="K231" s="3" t="n">
        <f aca="false">IF(D231&gt;E231,1,0)</f>
        <v>1</v>
      </c>
      <c r="L231" s="3" t="n">
        <f aca="false">IF(OR(F231="Y",G231="Y",H231="Y"),1,0)</f>
        <v>1</v>
      </c>
      <c r="M231" s="3" t="n">
        <f aca="false">IF(H231="Y",1,0)</f>
        <v>0</v>
      </c>
      <c r="N231" s="3" t="n">
        <f aca="false">IF(I231="Y",1,0)</f>
        <v>0</v>
      </c>
    </row>
    <row r="232" customFormat="false" ht="15" hidden="false" customHeight="true" outlineLevel="0" collapsed="false">
      <c r="A232" s="7" t="s">
        <v>54</v>
      </c>
      <c r="B232" s="7" t="n">
        <v>2013</v>
      </c>
      <c r="C232" s="7" t="s">
        <v>356</v>
      </c>
      <c r="D232" s="7" t="n">
        <v>96</v>
      </c>
      <c r="E232" s="7" t="n">
        <v>66</v>
      </c>
      <c r="F232" s="7" t="s">
        <v>548</v>
      </c>
      <c r="G232" s="7" t="s">
        <v>546</v>
      </c>
      <c r="H232" s="7" t="s">
        <v>546</v>
      </c>
      <c r="I232" s="7" t="s">
        <v>546</v>
      </c>
      <c r="J232" s="21" t="n">
        <f aca="false">D232/(D232+E232)</f>
        <v>0.592592592592593</v>
      </c>
      <c r="K232" s="3" t="n">
        <f aca="false">IF(D232&gt;E232,1,0)</f>
        <v>1</v>
      </c>
      <c r="L232" s="3" t="n">
        <f aca="false">IF(OR(F232="Y",G232="Y",H232="Y"),1,0)</f>
        <v>1</v>
      </c>
      <c r="M232" s="3" t="n">
        <f aca="false">IF(H232="Y",1,0)</f>
        <v>0</v>
      </c>
      <c r="N232" s="3" t="n">
        <f aca="false">IF(I232="Y",1,0)</f>
        <v>0</v>
      </c>
    </row>
    <row r="233" customFormat="false" ht="15" hidden="false" customHeight="true" outlineLevel="0" collapsed="false">
      <c r="A233" s="7" t="s">
        <v>54</v>
      </c>
      <c r="B233" s="7" t="n">
        <v>2014</v>
      </c>
      <c r="C233" s="7" t="s">
        <v>356</v>
      </c>
      <c r="D233" s="7" t="n">
        <v>79</v>
      </c>
      <c r="E233" s="7" t="n">
        <v>83</v>
      </c>
      <c r="F233" s="7" t="s">
        <v>546</v>
      </c>
      <c r="G233" s="7" t="s">
        <v>546</v>
      </c>
      <c r="H233" s="7" t="s">
        <v>546</v>
      </c>
      <c r="I233" s="7" t="s">
        <v>546</v>
      </c>
      <c r="J233" s="21" t="n">
        <f aca="false">D233/(D233+E233)</f>
        <v>0.487654320987654</v>
      </c>
      <c r="K233" s="3" t="n">
        <f aca="false">IF(D233&gt;E233,1,0)</f>
        <v>0</v>
      </c>
      <c r="L233" s="3" t="n">
        <f aca="false">IF(OR(F233="Y",G233="Y",H233="Y"),1,0)</f>
        <v>0</v>
      </c>
      <c r="M233" s="3" t="n">
        <f aca="false">IF(H233="Y",1,0)</f>
        <v>0</v>
      </c>
      <c r="N233" s="3" t="n">
        <f aca="false">IF(I233="Y",1,0)</f>
        <v>0</v>
      </c>
    </row>
    <row r="234" customFormat="false" ht="15" hidden="false" customHeight="true" outlineLevel="0" collapsed="false">
      <c r="A234" s="7" t="s">
        <v>54</v>
      </c>
      <c r="B234" s="7" t="n">
        <v>2015</v>
      </c>
      <c r="C234" s="7" t="s">
        <v>356</v>
      </c>
      <c r="D234" s="7" t="n">
        <v>67</v>
      </c>
      <c r="E234" s="7" t="n">
        <v>95</v>
      </c>
      <c r="F234" s="7" t="s">
        <v>546</v>
      </c>
      <c r="G234" s="7" t="s">
        <v>546</v>
      </c>
      <c r="H234" s="7" t="s">
        <v>546</v>
      </c>
      <c r="I234" s="7" t="s">
        <v>546</v>
      </c>
      <c r="J234" s="21" t="n">
        <f aca="false">D234/(D234+E234)</f>
        <v>0.41358024691358</v>
      </c>
      <c r="K234" s="3" t="n">
        <f aca="false">IF(D234&gt;E234,1,0)</f>
        <v>0</v>
      </c>
      <c r="L234" s="3" t="n">
        <f aca="false">IF(OR(F234="Y",G234="Y",H234="Y"),1,0)</f>
        <v>0</v>
      </c>
      <c r="M234" s="3" t="n">
        <f aca="false">IF(H234="Y",1,0)</f>
        <v>0</v>
      </c>
      <c r="N234" s="3" t="n">
        <f aca="false">IF(I234="Y",1,0)</f>
        <v>0</v>
      </c>
    </row>
    <row r="235" customFormat="false" ht="15" hidden="false" customHeight="true" outlineLevel="0" collapsed="false">
      <c r="A235" s="7" t="s">
        <v>54</v>
      </c>
      <c r="B235" s="7" t="n">
        <v>2016</v>
      </c>
      <c r="C235" s="7" t="s">
        <v>356</v>
      </c>
      <c r="D235" s="7" t="n">
        <v>68</v>
      </c>
      <c r="E235" s="7" t="n">
        <v>93</v>
      </c>
      <c r="F235" s="7" t="s">
        <v>546</v>
      </c>
      <c r="G235" s="7" t="s">
        <v>546</v>
      </c>
      <c r="H235" s="7" t="s">
        <v>546</v>
      </c>
      <c r="I235" s="7" t="s">
        <v>546</v>
      </c>
      <c r="J235" s="21" t="n">
        <f aca="false">D235/(D235+E235)</f>
        <v>0.422360248447205</v>
      </c>
      <c r="K235" s="3" t="n">
        <f aca="false">IF(D235&gt;E235,1,0)</f>
        <v>0</v>
      </c>
      <c r="L235" s="3" t="n">
        <f aca="false">IF(OR(F235="Y",G235="Y",H235="Y"),1,0)</f>
        <v>0</v>
      </c>
      <c r="M235" s="3" t="n">
        <f aca="false">IF(H235="Y",1,0)</f>
        <v>0</v>
      </c>
      <c r="N235" s="3" t="n">
        <f aca="false">IF(I235="Y",1,0)</f>
        <v>0</v>
      </c>
    </row>
    <row r="236" customFormat="false" ht="15" hidden="false" customHeight="true" outlineLevel="0" collapsed="false">
      <c r="A236" s="7" t="s">
        <v>54</v>
      </c>
      <c r="B236" s="7" t="n">
        <v>2017</v>
      </c>
      <c r="C236" s="7" t="s">
        <v>356</v>
      </c>
      <c r="D236" s="7" t="n">
        <v>72</v>
      </c>
      <c r="E236" s="7" t="n">
        <v>90</v>
      </c>
      <c r="F236" s="7" t="s">
        <v>546</v>
      </c>
      <c r="G236" s="7" t="s">
        <v>546</v>
      </c>
      <c r="H236" s="7" t="s">
        <v>546</v>
      </c>
      <c r="I236" s="7" t="s">
        <v>546</v>
      </c>
      <c r="J236" s="21" t="n">
        <f aca="false">D236/(D236+E236)</f>
        <v>0.444444444444444</v>
      </c>
      <c r="K236" s="3" t="n">
        <f aca="false">IF(D236&gt;E236,1,0)</f>
        <v>0</v>
      </c>
      <c r="L236" s="3" t="n">
        <f aca="false">IF(OR(F236="Y",G236="Y",H236="Y"),1,0)</f>
        <v>0</v>
      </c>
      <c r="M236" s="3" t="n">
        <f aca="false">IF(H236="Y",1,0)</f>
        <v>0</v>
      </c>
      <c r="N236" s="3" t="n">
        <f aca="false">IF(I236="Y",1,0)</f>
        <v>0</v>
      </c>
    </row>
    <row r="237" customFormat="false" ht="15" hidden="false" customHeight="true" outlineLevel="0" collapsed="false">
      <c r="A237" s="7" t="s">
        <v>54</v>
      </c>
      <c r="B237" s="7" t="n">
        <v>2018</v>
      </c>
      <c r="C237" s="7" t="s">
        <v>356</v>
      </c>
      <c r="D237" s="7" t="n">
        <v>90</v>
      </c>
      <c r="E237" s="7" t="n">
        <v>72</v>
      </c>
      <c r="F237" s="7" t="s">
        <v>548</v>
      </c>
      <c r="G237" s="7" t="s">
        <v>546</v>
      </c>
      <c r="H237" s="7" t="s">
        <v>546</v>
      </c>
      <c r="I237" s="7" t="s">
        <v>546</v>
      </c>
      <c r="J237" s="21" t="n">
        <f aca="false">D237/(D237+E237)</f>
        <v>0.555555555555556</v>
      </c>
      <c r="K237" s="3" t="n">
        <f aca="false">IF(D237&gt;E237,1,0)</f>
        <v>1</v>
      </c>
      <c r="L237" s="3" t="n">
        <f aca="false">IF(OR(F237="Y",G237="Y",H237="Y"),1,0)</f>
        <v>1</v>
      </c>
      <c r="M237" s="3" t="n">
        <f aca="false">IF(H237="Y",1,0)</f>
        <v>0</v>
      </c>
      <c r="N237" s="3" t="n">
        <f aca="false">IF(I237="Y",1,0)</f>
        <v>0</v>
      </c>
    </row>
    <row r="238" customFormat="false" ht="15" hidden="false" customHeight="true" outlineLevel="0" collapsed="false">
      <c r="A238" s="7" t="s">
        <v>54</v>
      </c>
      <c r="B238" s="7" t="n">
        <v>2019</v>
      </c>
      <c r="C238" s="7" t="s">
        <v>356</v>
      </c>
      <c r="D238" s="7" t="n">
        <v>97</v>
      </c>
      <c r="E238" s="7" t="n">
        <v>65</v>
      </c>
      <c r="F238" s="7" t="s">
        <v>548</v>
      </c>
      <c r="G238" s="7" t="s">
        <v>546</v>
      </c>
      <c r="H238" s="7" t="s">
        <v>546</v>
      </c>
      <c r="I238" s="7" t="s">
        <v>546</v>
      </c>
      <c r="J238" s="21" t="n">
        <f aca="false">D238/(D238+E238)</f>
        <v>0.598765432098765</v>
      </c>
      <c r="K238" s="3" t="n">
        <f aca="false">IF(D238&gt;E238,1,0)</f>
        <v>1</v>
      </c>
      <c r="L238" s="3" t="n">
        <f aca="false">IF(OR(F238="Y",G238="Y",H238="Y"),1,0)</f>
        <v>1</v>
      </c>
      <c r="M238" s="3" t="n">
        <f aca="false">IF(H238="Y",1,0)</f>
        <v>0</v>
      </c>
      <c r="N238" s="3" t="n">
        <f aca="false">IF(I238="Y",1,0)</f>
        <v>0</v>
      </c>
    </row>
    <row r="239" customFormat="false" ht="15" hidden="false" customHeight="true" outlineLevel="0" collapsed="false">
      <c r="A239" s="7" t="s">
        <v>54</v>
      </c>
      <c r="B239" s="7" t="n">
        <v>2020</v>
      </c>
      <c r="C239" s="7" t="s">
        <v>356</v>
      </c>
      <c r="D239" s="7" t="n">
        <v>35</v>
      </c>
      <c r="E239" s="7" t="n">
        <v>25</v>
      </c>
      <c r="F239" s="7" t="s">
        <v>548</v>
      </c>
      <c r="G239" s="7" t="s">
        <v>546</v>
      </c>
      <c r="H239" s="7" t="s">
        <v>546</v>
      </c>
      <c r="I239" s="7" t="s">
        <v>546</v>
      </c>
      <c r="J239" s="21" t="n">
        <f aca="false">D239/(D239+E239)</f>
        <v>0.583333333333333</v>
      </c>
      <c r="K239" s="3" t="n">
        <f aca="false">IF(D239&gt;E239,1,0)</f>
        <v>1</v>
      </c>
      <c r="L239" s="3" t="n">
        <f aca="false">IF(OR(F239="Y",G239="Y",H239="Y"),1,0)</f>
        <v>1</v>
      </c>
      <c r="M239" s="3" t="n">
        <f aca="false">IF(H239="Y",1,0)</f>
        <v>0</v>
      </c>
      <c r="N239" s="3" t="n">
        <f aca="false">IF(I239="Y",1,0)</f>
        <v>0</v>
      </c>
    </row>
    <row r="240" customFormat="false" ht="15" hidden="false" customHeight="true" outlineLevel="0" collapsed="false">
      <c r="A240" s="7" t="s">
        <v>54</v>
      </c>
      <c r="B240" s="7" t="n">
        <v>2021</v>
      </c>
      <c r="C240" s="7" t="s">
        <v>356</v>
      </c>
      <c r="D240" s="7" t="n">
        <v>88</v>
      </c>
      <c r="E240" s="7" t="n">
        <v>73</v>
      </c>
      <c r="F240" s="7" t="s">
        <v>548</v>
      </c>
      <c r="G240" s="7" t="s">
        <v>546</v>
      </c>
      <c r="H240" s="7" t="s">
        <v>548</v>
      </c>
      <c r="I240" s="7" t="s">
        <v>548</v>
      </c>
      <c r="J240" s="21" t="n">
        <f aca="false">D240/(D240+E240)</f>
        <v>0.546583850931677</v>
      </c>
      <c r="K240" s="3" t="n">
        <f aca="false">IF(D240&gt;E240,1,0)</f>
        <v>1</v>
      </c>
      <c r="L240" s="3" t="n">
        <f aca="false">IF(OR(F240="Y",G240="Y",H240="Y"),1,0)</f>
        <v>1</v>
      </c>
      <c r="M240" s="3" t="n">
        <f aca="false">IF(H240="Y",1,0)</f>
        <v>1</v>
      </c>
      <c r="N240" s="3" t="n">
        <f aca="false">IF(I240="Y",1,0)</f>
        <v>1</v>
      </c>
    </row>
    <row r="241" customFormat="false" ht="15" hidden="false" customHeight="true" outlineLevel="0" collapsed="false">
      <c r="A241" s="7" t="s">
        <v>54</v>
      </c>
      <c r="B241" s="7" t="n">
        <v>2022</v>
      </c>
      <c r="C241" s="7" t="s">
        <v>356</v>
      </c>
      <c r="D241" s="7" t="n">
        <v>101</v>
      </c>
      <c r="E241" s="7" t="n">
        <v>61</v>
      </c>
      <c r="F241" s="7" t="s">
        <v>548</v>
      </c>
      <c r="G241" s="7" t="s">
        <v>546</v>
      </c>
      <c r="H241" s="7" t="s">
        <v>546</v>
      </c>
      <c r="I241" s="7" t="s">
        <v>546</v>
      </c>
      <c r="J241" s="21" t="n">
        <f aca="false">D241/(D241+E241)</f>
        <v>0.623456790123457</v>
      </c>
      <c r="K241" s="3" t="n">
        <f aca="false">IF(D241&gt;E241,1,0)</f>
        <v>1</v>
      </c>
      <c r="L241" s="3" t="n">
        <f aca="false">IF(OR(F241="Y",G241="Y",H241="Y"),1,0)</f>
        <v>1</v>
      </c>
      <c r="M241" s="3" t="n">
        <f aca="false">IF(H241="Y",1,0)</f>
        <v>0</v>
      </c>
      <c r="N241" s="3" t="n">
        <f aca="false">IF(I241="Y",1,0)</f>
        <v>0</v>
      </c>
    </row>
    <row r="242" customFormat="false" ht="15" hidden="false" customHeight="true" outlineLevel="0" collapsed="false">
      <c r="A242" s="7" t="s">
        <v>54</v>
      </c>
      <c r="B242" s="7" t="n">
        <v>2023</v>
      </c>
      <c r="C242" s="7" t="s">
        <v>356</v>
      </c>
      <c r="D242" s="7" t="n">
        <v>104</v>
      </c>
      <c r="E242" s="7" t="n">
        <v>58</v>
      </c>
      <c r="F242" s="7" t="s">
        <v>548</v>
      </c>
      <c r="G242" s="7" t="s">
        <v>546</v>
      </c>
      <c r="H242" s="7" t="s">
        <v>546</v>
      </c>
      <c r="I242" s="7" t="s">
        <v>546</v>
      </c>
      <c r="J242" s="21" t="n">
        <f aca="false">D242/(D242+E242)</f>
        <v>0.641975308641975</v>
      </c>
      <c r="K242" s="3" t="n">
        <f aca="false">IF(D242&gt;E242,1,0)</f>
        <v>1</v>
      </c>
      <c r="L242" s="3" t="n">
        <f aca="false">IF(OR(F242="Y",G242="Y",H242="Y"),1,0)</f>
        <v>1</v>
      </c>
      <c r="M242" s="3" t="n">
        <f aca="false">IF(H242="Y",1,0)</f>
        <v>0</v>
      </c>
      <c r="N242" s="3" t="n">
        <f aca="false">IF(I242="Y",1,0)</f>
        <v>0</v>
      </c>
    </row>
    <row r="243" customFormat="false" ht="15" hidden="false" customHeight="true" outlineLevel="0" collapsed="false">
      <c r="A243" s="7" t="s">
        <v>54</v>
      </c>
      <c r="B243" s="7" t="n">
        <v>2024</v>
      </c>
      <c r="C243" s="7" t="s">
        <v>356</v>
      </c>
      <c r="D243" s="7" t="n">
        <v>89</v>
      </c>
      <c r="E243" s="7" t="n">
        <v>73</v>
      </c>
      <c r="F243" s="7" t="s">
        <v>546</v>
      </c>
      <c r="G243" s="7" t="s">
        <v>548</v>
      </c>
      <c r="H243" s="7" t="s">
        <v>546</v>
      </c>
      <c r="I243" s="7" t="s">
        <v>546</v>
      </c>
      <c r="J243" s="21" t="n">
        <f aca="false">D243/(D243+E243)</f>
        <v>0.549382716049383</v>
      </c>
      <c r="K243" s="3" t="n">
        <f aca="false">IF(D243&gt;E243,1,0)</f>
        <v>1</v>
      </c>
      <c r="L243" s="3" t="n">
        <f aca="false">IF(OR(F243="Y",G243="Y",H243="Y"),1,0)</f>
        <v>1</v>
      </c>
      <c r="M243" s="3" t="n">
        <f aca="false">IF(H243="Y",1,0)</f>
        <v>0</v>
      </c>
      <c r="N243" s="3" t="n">
        <f aca="false">IF(I243="Y",1,0)</f>
        <v>0</v>
      </c>
    </row>
    <row r="244" customFormat="false" ht="15" hidden="false" customHeight="true" outlineLevel="0" collapsed="false">
      <c r="A244" s="7" t="s">
        <v>54</v>
      </c>
      <c r="B244" s="7" t="n">
        <v>2025</v>
      </c>
      <c r="C244" s="7" t="s">
        <v>356</v>
      </c>
      <c r="D244" s="7" t="n">
        <v>76</v>
      </c>
      <c r="E244" s="7" t="n">
        <v>86</v>
      </c>
      <c r="F244" s="7" t="s">
        <v>546</v>
      </c>
      <c r="G244" s="7" t="s">
        <v>546</v>
      </c>
      <c r="H244" s="7" t="s">
        <v>546</v>
      </c>
      <c r="I244" s="7" t="s">
        <v>546</v>
      </c>
      <c r="J244" s="21" t="n">
        <f aca="false">D244/(D244+E244)</f>
        <v>0.469135802469136</v>
      </c>
      <c r="K244" s="3" t="n">
        <f aca="false">IF(D244&gt;E244,1,0)</f>
        <v>0</v>
      </c>
      <c r="L244" s="3" t="n">
        <f aca="false">IF(OR(F244="Y",G244="Y",H244="Y"),1,0)</f>
        <v>0</v>
      </c>
      <c r="M244" s="3" t="n">
        <f aca="false">IF(H244="Y",1,0)</f>
        <v>0</v>
      </c>
      <c r="N244" s="3" t="n">
        <f aca="false">IF(I244="Y",1,0)</f>
        <v>0</v>
      </c>
    </row>
    <row r="245" customFormat="false" ht="15" hidden="false" customHeight="true" outlineLevel="0" collapsed="false">
      <c r="A245" s="7" t="s">
        <v>63</v>
      </c>
      <c r="B245" s="7" t="n">
        <v>1901</v>
      </c>
      <c r="C245" s="7" t="s">
        <v>379</v>
      </c>
      <c r="D245" s="7" t="n">
        <v>48</v>
      </c>
      <c r="E245" s="7" t="n">
        <v>89</v>
      </c>
      <c r="F245" s="7"/>
      <c r="G245" s="7"/>
      <c r="H245" s="7" t="s">
        <v>546</v>
      </c>
      <c r="I245" s="7"/>
      <c r="J245" s="21" t="n">
        <f aca="false">D245/(D245+E245)</f>
        <v>0.35036496350365</v>
      </c>
      <c r="K245" s="3" t="n">
        <f aca="false">IF(D245&gt;E245,1,0)</f>
        <v>0</v>
      </c>
      <c r="L245" s="3" t="n">
        <f aca="false">IF(OR(F245="Y",G245="Y",H245="Y"),1,0)</f>
        <v>0</v>
      </c>
      <c r="M245" s="3" t="n">
        <f aca="false">IF(H245="Y",1,0)</f>
        <v>0</v>
      </c>
      <c r="N245" s="3" t="n">
        <f aca="false">IF(I245="Y",1,0)</f>
        <v>0</v>
      </c>
    </row>
    <row r="246" customFormat="false" ht="15" hidden="false" customHeight="true" outlineLevel="0" collapsed="false">
      <c r="A246" s="7" t="s">
        <v>63</v>
      </c>
      <c r="B246" s="7" t="n">
        <v>1902</v>
      </c>
      <c r="C246" s="7" t="s">
        <v>558</v>
      </c>
      <c r="D246" s="7" t="n">
        <v>78</v>
      </c>
      <c r="E246" s="7" t="n">
        <v>58</v>
      </c>
      <c r="F246" s="7"/>
      <c r="G246" s="7"/>
      <c r="H246" s="7" t="s">
        <v>546</v>
      </c>
      <c r="I246" s="7"/>
      <c r="J246" s="21" t="n">
        <f aca="false">D246/(D246+E246)</f>
        <v>0.573529411764706</v>
      </c>
      <c r="K246" s="3" t="n">
        <f aca="false">IF(D246&gt;E246,1,0)</f>
        <v>1</v>
      </c>
      <c r="L246" s="3" t="n">
        <f aca="false">IF(OR(F246="Y",G246="Y",H246="Y"),1,0)</f>
        <v>0</v>
      </c>
      <c r="M246" s="3" t="n">
        <f aca="false">IF(H246="Y",1,0)</f>
        <v>0</v>
      </c>
      <c r="N246" s="3" t="n">
        <f aca="false">IF(I246="Y",1,0)</f>
        <v>0</v>
      </c>
    </row>
    <row r="247" customFormat="false" ht="15" hidden="false" customHeight="true" outlineLevel="0" collapsed="false">
      <c r="A247" s="7" t="s">
        <v>63</v>
      </c>
      <c r="B247" s="7" t="n">
        <v>1903</v>
      </c>
      <c r="C247" s="7" t="s">
        <v>558</v>
      </c>
      <c r="D247" s="7" t="n">
        <v>65</v>
      </c>
      <c r="E247" s="7" t="n">
        <v>74</v>
      </c>
      <c r="F247" s="7"/>
      <c r="G247" s="7"/>
      <c r="H247" s="7" t="s">
        <v>546</v>
      </c>
      <c r="I247" s="7" t="s">
        <v>546</v>
      </c>
      <c r="J247" s="21" t="n">
        <f aca="false">D247/(D247+E247)</f>
        <v>0.467625899280576</v>
      </c>
      <c r="K247" s="3" t="n">
        <f aca="false">IF(D247&gt;E247,1,0)</f>
        <v>0</v>
      </c>
      <c r="L247" s="3" t="n">
        <f aca="false">IF(OR(F247="Y",G247="Y",H247="Y"),1,0)</f>
        <v>0</v>
      </c>
      <c r="M247" s="3" t="n">
        <f aca="false">IF(H247="Y",1,0)</f>
        <v>0</v>
      </c>
      <c r="N247" s="3" t="n">
        <f aca="false">IF(I247="Y",1,0)</f>
        <v>0</v>
      </c>
    </row>
    <row r="248" customFormat="false" ht="15" hidden="false" customHeight="true" outlineLevel="0" collapsed="false">
      <c r="A248" s="7" t="s">
        <v>63</v>
      </c>
      <c r="B248" s="7" t="n">
        <v>1904</v>
      </c>
      <c r="C248" s="7" t="s">
        <v>558</v>
      </c>
      <c r="D248" s="7" t="n">
        <v>65</v>
      </c>
      <c r="E248" s="7" t="n">
        <v>87</v>
      </c>
      <c r="F248" s="7"/>
      <c r="G248" s="7"/>
      <c r="H248" s="7" t="s">
        <v>546</v>
      </c>
      <c r="I248" s="7"/>
      <c r="J248" s="21" t="n">
        <f aca="false">D248/(D248+E248)</f>
        <v>0.427631578947368</v>
      </c>
      <c r="K248" s="3" t="n">
        <f aca="false">IF(D248&gt;E248,1,0)</f>
        <v>0</v>
      </c>
      <c r="L248" s="3" t="n">
        <f aca="false">IF(OR(F248="Y",G248="Y",H248="Y"),1,0)</f>
        <v>0</v>
      </c>
      <c r="M248" s="3" t="n">
        <f aca="false">IF(H248="Y",1,0)</f>
        <v>0</v>
      </c>
      <c r="N248" s="3" t="n">
        <f aca="false">IF(I248="Y",1,0)</f>
        <v>0</v>
      </c>
    </row>
    <row r="249" customFormat="false" ht="15" hidden="false" customHeight="true" outlineLevel="0" collapsed="false">
      <c r="A249" s="7" t="s">
        <v>63</v>
      </c>
      <c r="B249" s="7" t="n">
        <v>1905</v>
      </c>
      <c r="C249" s="7" t="s">
        <v>558</v>
      </c>
      <c r="D249" s="7" t="n">
        <v>54</v>
      </c>
      <c r="E249" s="7" t="n">
        <v>99</v>
      </c>
      <c r="F249" s="7"/>
      <c r="G249" s="7"/>
      <c r="H249" s="7" t="s">
        <v>546</v>
      </c>
      <c r="I249" s="7" t="s">
        <v>546</v>
      </c>
      <c r="J249" s="21" t="n">
        <f aca="false">D249/(D249+E249)</f>
        <v>0.352941176470588</v>
      </c>
      <c r="K249" s="3" t="n">
        <f aca="false">IF(D249&gt;E249,1,0)</f>
        <v>0</v>
      </c>
      <c r="L249" s="3" t="n">
        <f aca="false">IF(OR(F249="Y",G249="Y",H249="Y"),1,0)</f>
        <v>0</v>
      </c>
      <c r="M249" s="3" t="n">
        <f aca="false">IF(H249="Y",1,0)</f>
        <v>0</v>
      </c>
      <c r="N249" s="3" t="n">
        <f aca="false">IF(I249="Y",1,0)</f>
        <v>0</v>
      </c>
    </row>
    <row r="250" customFormat="false" ht="15" hidden="false" customHeight="true" outlineLevel="0" collapsed="false">
      <c r="A250" s="7" t="s">
        <v>63</v>
      </c>
      <c r="B250" s="7" t="n">
        <v>1906</v>
      </c>
      <c r="C250" s="7" t="s">
        <v>558</v>
      </c>
      <c r="D250" s="7" t="n">
        <v>76</v>
      </c>
      <c r="E250" s="7" t="n">
        <v>73</v>
      </c>
      <c r="F250" s="7"/>
      <c r="G250" s="7"/>
      <c r="H250" s="7" t="s">
        <v>546</v>
      </c>
      <c r="I250" s="7" t="s">
        <v>546</v>
      </c>
      <c r="J250" s="21" t="n">
        <f aca="false">D250/(D250+E250)</f>
        <v>0.51006711409396</v>
      </c>
      <c r="K250" s="3" t="n">
        <f aca="false">IF(D250&gt;E250,1,0)</f>
        <v>1</v>
      </c>
      <c r="L250" s="3" t="n">
        <f aca="false">IF(OR(F250="Y",G250="Y",H250="Y"),1,0)</f>
        <v>0</v>
      </c>
      <c r="M250" s="3" t="n">
        <f aca="false">IF(H250="Y",1,0)</f>
        <v>0</v>
      </c>
      <c r="N250" s="3" t="n">
        <f aca="false">IF(I250="Y",1,0)</f>
        <v>0</v>
      </c>
    </row>
    <row r="251" customFormat="false" ht="15" hidden="false" customHeight="true" outlineLevel="0" collapsed="false">
      <c r="A251" s="7" t="s">
        <v>63</v>
      </c>
      <c r="B251" s="7" t="n">
        <v>1907</v>
      </c>
      <c r="C251" s="7" t="s">
        <v>558</v>
      </c>
      <c r="D251" s="7" t="n">
        <v>69</v>
      </c>
      <c r="E251" s="7" t="n">
        <v>83</v>
      </c>
      <c r="F251" s="7"/>
      <c r="G251" s="7"/>
      <c r="H251" s="7" t="s">
        <v>546</v>
      </c>
      <c r="I251" s="7" t="s">
        <v>546</v>
      </c>
      <c r="J251" s="21" t="n">
        <f aca="false">D251/(D251+E251)</f>
        <v>0.453947368421053</v>
      </c>
      <c r="K251" s="3" t="n">
        <f aca="false">IF(D251&gt;E251,1,0)</f>
        <v>0</v>
      </c>
      <c r="L251" s="3" t="n">
        <f aca="false">IF(OR(F251="Y",G251="Y",H251="Y"),1,0)</f>
        <v>0</v>
      </c>
      <c r="M251" s="3" t="n">
        <f aca="false">IF(H251="Y",1,0)</f>
        <v>0</v>
      </c>
      <c r="N251" s="3" t="n">
        <f aca="false">IF(I251="Y",1,0)</f>
        <v>0</v>
      </c>
    </row>
    <row r="252" customFormat="false" ht="15" hidden="false" customHeight="true" outlineLevel="0" collapsed="false">
      <c r="A252" s="7" t="s">
        <v>63</v>
      </c>
      <c r="B252" s="7" t="n">
        <v>1908</v>
      </c>
      <c r="C252" s="7" t="s">
        <v>558</v>
      </c>
      <c r="D252" s="7" t="n">
        <v>83</v>
      </c>
      <c r="E252" s="7" t="n">
        <v>69</v>
      </c>
      <c r="F252" s="7"/>
      <c r="G252" s="7"/>
      <c r="H252" s="7" t="s">
        <v>546</v>
      </c>
      <c r="I252" s="7" t="s">
        <v>546</v>
      </c>
      <c r="J252" s="21" t="n">
        <f aca="false">D252/(D252+E252)</f>
        <v>0.546052631578947</v>
      </c>
      <c r="K252" s="3" t="n">
        <f aca="false">IF(D252&gt;E252,1,0)</f>
        <v>1</v>
      </c>
      <c r="L252" s="3" t="n">
        <f aca="false">IF(OR(F252="Y",G252="Y",H252="Y"),1,0)</f>
        <v>0</v>
      </c>
      <c r="M252" s="3" t="n">
        <f aca="false">IF(H252="Y",1,0)</f>
        <v>0</v>
      </c>
      <c r="N252" s="3" t="n">
        <f aca="false">IF(I252="Y",1,0)</f>
        <v>0</v>
      </c>
    </row>
    <row r="253" customFormat="false" ht="15" hidden="false" customHeight="true" outlineLevel="0" collapsed="false">
      <c r="A253" s="7" t="s">
        <v>63</v>
      </c>
      <c r="B253" s="7" t="n">
        <v>1909</v>
      </c>
      <c r="C253" s="7" t="s">
        <v>558</v>
      </c>
      <c r="D253" s="7" t="n">
        <v>61</v>
      </c>
      <c r="E253" s="7" t="n">
        <v>89</v>
      </c>
      <c r="F253" s="7"/>
      <c r="G253" s="7"/>
      <c r="H253" s="7" t="s">
        <v>546</v>
      </c>
      <c r="I253" s="7" t="s">
        <v>546</v>
      </c>
      <c r="J253" s="21" t="n">
        <f aca="false">D253/(D253+E253)</f>
        <v>0.406666666666667</v>
      </c>
      <c r="K253" s="3" t="n">
        <f aca="false">IF(D253&gt;E253,1,0)</f>
        <v>0</v>
      </c>
      <c r="L253" s="3" t="n">
        <f aca="false">IF(OR(F253="Y",G253="Y",H253="Y"),1,0)</f>
        <v>0</v>
      </c>
      <c r="M253" s="3" t="n">
        <f aca="false">IF(H253="Y",1,0)</f>
        <v>0</v>
      </c>
      <c r="N253" s="3" t="n">
        <f aca="false">IF(I253="Y",1,0)</f>
        <v>0</v>
      </c>
    </row>
    <row r="254" customFormat="false" ht="15" hidden="false" customHeight="true" outlineLevel="0" collapsed="false">
      <c r="A254" s="7" t="s">
        <v>63</v>
      </c>
      <c r="B254" s="7" t="n">
        <v>1910</v>
      </c>
      <c r="C254" s="7" t="s">
        <v>558</v>
      </c>
      <c r="D254" s="7" t="n">
        <v>47</v>
      </c>
      <c r="E254" s="7" t="n">
        <v>107</v>
      </c>
      <c r="F254" s="7"/>
      <c r="G254" s="7"/>
      <c r="H254" s="7" t="s">
        <v>546</v>
      </c>
      <c r="I254" s="7" t="s">
        <v>546</v>
      </c>
      <c r="J254" s="21" t="n">
        <f aca="false">D254/(D254+E254)</f>
        <v>0.305194805194805</v>
      </c>
      <c r="K254" s="3" t="n">
        <f aca="false">IF(D254&gt;E254,1,0)</f>
        <v>0</v>
      </c>
      <c r="L254" s="3" t="n">
        <f aca="false">IF(OR(F254="Y",G254="Y",H254="Y"),1,0)</f>
        <v>0</v>
      </c>
      <c r="M254" s="3" t="n">
        <f aca="false">IF(H254="Y",1,0)</f>
        <v>0</v>
      </c>
      <c r="N254" s="3" t="n">
        <f aca="false">IF(I254="Y",1,0)</f>
        <v>0</v>
      </c>
    </row>
    <row r="255" customFormat="false" ht="15" hidden="false" customHeight="true" outlineLevel="0" collapsed="false">
      <c r="A255" s="7" t="s">
        <v>63</v>
      </c>
      <c r="B255" s="7" t="n">
        <v>1911</v>
      </c>
      <c r="C255" s="7" t="s">
        <v>558</v>
      </c>
      <c r="D255" s="7" t="n">
        <v>45</v>
      </c>
      <c r="E255" s="7" t="n">
        <v>107</v>
      </c>
      <c r="F255" s="7"/>
      <c r="G255" s="7"/>
      <c r="H255" s="7" t="s">
        <v>546</v>
      </c>
      <c r="I255" s="7" t="s">
        <v>546</v>
      </c>
      <c r="J255" s="21" t="n">
        <f aca="false">D255/(D255+E255)</f>
        <v>0.296052631578947</v>
      </c>
      <c r="K255" s="3" t="n">
        <f aca="false">IF(D255&gt;E255,1,0)</f>
        <v>0</v>
      </c>
      <c r="L255" s="3" t="n">
        <f aca="false">IF(OR(F255="Y",G255="Y",H255="Y"),1,0)</f>
        <v>0</v>
      </c>
      <c r="M255" s="3" t="n">
        <f aca="false">IF(H255="Y",1,0)</f>
        <v>0</v>
      </c>
      <c r="N255" s="3" t="n">
        <f aca="false">IF(I255="Y",1,0)</f>
        <v>0</v>
      </c>
    </row>
    <row r="256" customFormat="false" ht="15" hidden="false" customHeight="true" outlineLevel="0" collapsed="false">
      <c r="A256" s="7" t="s">
        <v>63</v>
      </c>
      <c r="B256" s="7" t="n">
        <v>1912</v>
      </c>
      <c r="C256" s="7" t="s">
        <v>558</v>
      </c>
      <c r="D256" s="7" t="n">
        <v>53</v>
      </c>
      <c r="E256" s="7" t="n">
        <v>101</v>
      </c>
      <c r="F256" s="7"/>
      <c r="G256" s="7"/>
      <c r="H256" s="7" t="s">
        <v>546</v>
      </c>
      <c r="I256" s="7" t="s">
        <v>546</v>
      </c>
      <c r="J256" s="21" t="n">
        <f aca="false">D256/(D256+E256)</f>
        <v>0.344155844155844</v>
      </c>
      <c r="K256" s="3" t="n">
        <f aca="false">IF(D256&gt;E256,1,0)</f>
        <v>0</v>
      </c>
      <c r="L256" s="3" t="n">
        <f aca="false">IF(OR(F256="Y",G256="Y",H256="Y"),1,0)</f>
        <v>0</v>
      </c>
      <c r="M256" s="3" t="n">
        <f aca="false">IF(H256="Y",1,0)</f>
        <v>0</v>
      </c>
      <c r="N256" s="3" t="n">
        <f aca="false">IF(I256="Y",1,0)</f>
        <v>0</v>
      </c>
    </row>
    <row r="257" customFormat="false" ht="15" hidden="false" customHeight="true" outlineLevel="0" collapsed="false">
      <c r="A257" s="7" t="s">
        <v>63</v>
      </c>
      <c r="B257" s="7" t="n">
        <v>1913</v>
      </c>
      <c r="C257" s="7" t="s">
        <v>558</v>
      </c>
      <c r="D257" s="7" t="n">
        <v>57</v>
      </c>
      <c r="E257" s="7" t="n">
        <v>96</v>
      </c>
      <c r="F257" s="7"/>
      <c r="G257" s="7"/>
      <c r="H257" s="7" t="s">
        <v>546</v>
      </c>
      <c r="I257" s="7" t="s">
        <v>546</v>
      </c>
      <c r="J257" s="21" t="n">
        <f aca="false">D257/(D257+E257)</f>
        <v>0.372549019607843</v>
      </c>
      <c r="K257" s="3" t="n">
        <f aca="false">IF(D257&gt;E257,1,0)</f>
        <v>0</v>
      </c>
      <c r="L257" s="3" t="n">
        <f aca="false">IF(OR(F257="Y",G257="Y",H257="Y"),1,0)</f>
        <v>0</v>
      </c>
      <c r="M257" s="3" t="n">
        <f aca="false">IF(H257="Y",1,0)</f>
        <v>0</v>
      </c>
      <c r="N257" s="3" t="n">
        <f aca="false">IF(I257="Y",1,0)</f>
        <v>0</v>
      </c>
    </row>
    <row r="258" customFormat="false" ht="15" hidden="false" customHeight="true" outlineLevel="0" collapsed="false">
      <c r="A258" s="7" t="s">
        <v>63</v>
      </c>
      <c r="B258" s="7" t="n">
        <v>1914</v>
      </c>
      <c r="C258" s="7" t="s">
        <v>558</v>
      </c>
      <c r="D258" s="7" t="n">
        <v>71</v>
      </c>
      <c r="E258" s="7" t="n">
        <v>82</v>
      </c>
      <c r="F258" s="7"/>
      <c r="G258" s="7"/>
      <c r="H258" s="7" t="s">
        <v>546</v>
      </c>
      <c r="I258" s="7" t="s">
        <v>546</v>
      </c>
      <c r="J258" s="21" t="n">
        <f aca="false">D258/(D258+E258)</f>
        <v>0.464052287581699</v>
      </c>
      <c r="K258" s="3" t="n">
        <f aca="false">IF(D258&gt;E258,1,0)</f>
        <v>0</v>
      </c>
      <c r="L258" s="3" t="n">
        <f aca="false">IF(OR(F258="Y",G258="Y",H258="Y"),1,0)</f>
        <v>0</v>
      </c>
      <c r="M258" s="3" t="n">
        <f aca="false">IF(H258="Y",1,0)</f>
        <v>0</v>
      </c>
      <c r="N258" s="3" t="n">
        <f aca="false">IF(I258="Y",1,0)</f>
        <v>0</v>
      </c>
    </row>
    <row r="259" customFormat="false" ht="15" hidden="false" customHeight="true" outlineLevel="0" collapsed="false">
      <c r="A259" s="7" t="s">
        <v>63</v>
      </c>
      <c r="B259" s="7" t="n">
        <v>1915</v>
      </c>
      <c r="C259" s="7" t="s">
        <v>558</v>
      </c>
      <c r="D259" s="7" t="n">
        <v>63</v>
      </c>
      <c r="E259" s="7" t="n">
        <v>91</v>
      </c>
      <c r="F259" s="7"/>
      <c r="G259" s="7"/>
      <c r="H259" s="7" t="s">
        <v>546</v>
      </c>
      <c r="I259" s="7" t="s">
        <v>546</v>
      </c>
      <c r="J259" s="21" t="n">
        <f aca="false">D259/(D259+E259)</f>
        <v>0.409090909090909</v>
      </c>
      <c r="K259" s="3" t="n">
        <f aca="false">IF(D259&gt;E259,1,0)</f>
        <v>0</v>
      </c>
      <c r="L259" s="3" t="n">
        <f aca="false">IF(OR(F259="Y",G259="Y",H259="Y"),1,0)</f>
        <v>0</v>
      </c>
      <c r="M259" s="3" t="n">
        <f aca="false">IF(H259="Y",1,0)</f>
        <v>0</v>
      </c>
      <c r="N259" s="3" t="n">
        <f aca="false">IF(I259="Y",1,0)</f>
        <v>0</v>
      </c>
    </row>
    <row r="260" customFormat="false" ht="15" hidden="false" customHeight="true" outlineLevel="0" collapsed="false">
      <c r="A260" s="7" t="s">
        <v>63</v>
      </c>
      <c r="B260" s="7" t="n">
        <v>1916</v>
      </c>
      <c r="C260" s="7" t="s">
        <v>558</v>
      </c>
      <c r="D260" s="7" t="n">
        <v>79</v>
      </c>
      <c r="E260" s="7" t="n">
        <v>75</v>
      </c>
      <c r="F260" s="7"/>
      <c r="G260" s="7"/>
      <c r="H260" s="7" t="s">
        <v>546</v>
      </c>
      <c r="I260" s="7" t="s">
        <v>546</v>
      </c>
      <c r="J260" s="21" t="n">
        <f aca="false">D260/(D260+E260)</f>
        <v>0.512987012987013</v>
      </c>
      <c r="K260" s="3" t="n">
        <f aca="false">IF(D260&gt;E260,1,0)</f>
        <v>1</v>
      </c>
      <c r="L260" s="3" t="n">
        <f aca="false">IF(OR(F260="Y",G260="Y",H260="Y"),1,0)</f>
        <v>0</v>
      </c>
      <c r="M260" s="3" t="n">
        <f aca="false">IF(H260="Y",1,0)</f>
        <v>0</v>
      </c>
      <c r="N260" s="3" t="n">
        <f aca="false">IF(I260="Y",1,0)</f>
        <v>0</v>
      </c>
    </row>
    <row r="261" customFormat="false" ht="15" hidden="false" customHeight="true" outlineLevel="0" collapsed="false">
      <c r="A261" s="7" t="s">
        <v>63</v>
      </c>
      <c r="B261" s="7" t="n">
        <v>1917</v>
      </c>
      <c r="C261" s="7" t="s">
        <v>558</v>
      </c>
      <c r="D261" s="7" t="n">
        <v>57</v>
      </c>
      <c r="E261" s="7" t="n">
        <v>97</v>
      </c>
      <c r="F261" s="7"/>
      <c r="G261" s="7"/>
      <c r="H261" s="7" t="s">
        <v>546</v>
      </c>
      <c r="I261" s="7" t="s">
        <v>546</v>
      </c>
      <c r="J261" s="21" t="n">
        <f aca="false">D261/(D261+E261)</f>
        <v>0.37012987012987</v>
      </c>
      <c r="K261" s="3" t="n">
        <f aca="false">IF(D261&gt;E261,1,0)</f>
        <v>0</v>
      </c>
      <c r="L261" s="3" t="n">
        <f aca="false">IF(OR(F261="Y",G261="Y",H261="Y"),1,0)</f>
        <v>0</v>
      </c>
      <c r="M261" s="3" t="n">
        <f aca="false">IF(H261="Y",1,0)</f>
        <v>0</v>
      </c>
      <c r="N261" s="3" t="n">
        <f aca="false">IF(I261="Y",1,0)</f>
        <v>0</v>
      </c>
    </row>
    <row r="262" customFormat="false" ht="15" hidden="false" customHeight="true" outlineLevel="0" collapsed="false">
      <c r="A262" s="7" t="s">
        <v>63</v>
      </c>
      <c r="B262" s="7" t="n">
        <v>1918</v>
      </c>
      <c r="C262" s="7" t="s">
        <v>558</v>
      </c>
      <c r="D262" s="7" t="n">
        <v>58</v>
      </c>
      <c r="E262" s="7" t="n">
        <v>64</v>
      </c>
      <c r="F262" s="7"/>
      <c r="G262" s="7"/>
      <c r="H262" s="7" t="s">
        <v>546</v>
      </c>
      <c r="I262" s="7" t="s">
        <v>546</v>
      </c>
      <c r="J262" s="21" t="n">
        <f aca="false">D262/(D262+E262)</f>
        <v>0.475409836065574</v>
      </c>
      <c r="K262" s="3" t="n">
        <f aca="false">IF(D262&gt;E262,1,0)</f>
        <v>0</v>
      </c>
      <c r="L262" s="3" t="n">
        <f aca="false">IF(OR(F262="Y",G262="Y",H262="Y"),1,0)</f>
        <v>0</v>
      </c>
      <c r="M262" s="3" t="n">
        <f aca="false">IF(H262="Y",1,0)</f>
        <v>0</v>
      </c>
      <c r="N262" s="3" t="n">
        <f aca="false">IF(I262="Y",1,0)</f>
        <v>0</v>
      </c>
    </row>
    <row r="263" customFormat="false" ht="15" hidden="false" customHeight="true" outlineLevel="0" collapsed="false">
      <c r="A263" s="7" t="s">
        <v>63</v>
      </c>
      <c r="B263" s="7" t="n">
        <v>1919</v>
      </c>
      <c r="C263" s="7" t="s">
        <v>558</v>
      </c>
      <c r="D263" s="7" t="n">
        <v>67</v>
      </c>
      <c r="E263" s="7" t="n">
        <v>72</v>
      </c>
      <c r="F263" s="7"/>
      <c r="G263" s="7"/>
      <c r="H263" s="7" t="s">
        <v>546</v>
      </c>
      <c r="I263" s="7" t="s">
        <v>546</v>
      </c>
      <c r="J263" s="21" t="n">
        <f aca="false">D263/(D263+E263)</f>
        <v>0.482014388489209</v>
      </c>
      <c r="K263" s="3" t="n">
        <f aca="false">IF(D263&gt;E263,1,0)</f>
        <v>0</v>
      </c>
      <c r="L263" s="3" t="n">
        <f aca="false">IF(OR(F263="Y",G263="Y",H263="Y"),1,0)</f>
        <v>0</v>
      </c>
      <c r="M263" s="3" t="n">
        <f aca="false">IF(H263="Y",1,0)</f>
        <v>0</v>
      </c>
      <c r="N263" s="3" t="n">
        <f aca="false">IF(I263="Y",1,0)</f>
        <v>0</v>
      </c>
    </row>
    <row r="264" customFormat="false" ht="15" hidden="false" customHeight="true" outlineLevel="0" collapsed="false">
      <c r="A264" s="7" t="s">
        <v>63</v>
      </c>
      <c r="B264" s="7" t="n">
        <v>1920</v>
      </c>
      <c r="C264" s="7" t="s">
        <v>558</v>
      </c>
      <c r="D264" s="7" t="n">
        <v>76</v>
      </c>
      <c r="E264" s="7" t="n">
        <v>77</v>
      </c>
      <c r="F264" s="7"/>
      <c r="G264" s="7"/>
      <c r="H264" s="7" t="s">
        <v>546</v>
      </c>
      <c r="I264" s="7" t="s">
        <v>546</v>
      </c>
      <c r="J264" s="21" t="n">
        <f aca="false">D264/(D264+E264)</f>
        <v>0.496732026143791</v>
      </c>
      <c r="K264" s="3" t="n">
        <f aca="false">IF(D264&gt;E264,1,0)</f>
        <v>0</v>
      </c>
      <c r="L264" s="3" t="n">
        <f aca="false">IF(OR(F264="Y",G264="Y",H264="Y"),1,0)</f>
        <v>0</v>
      </c>
      <c r="M264" s="3" t="n">
        <f aca="false">IF(H264="Y",1,0)</f>
        <v>0</v>
      </c>
      <c r="N264" s="3" t="n">
        <f aca="false">IF(I264="Y",1,0)</f>
        <v>0</v>
      </c>
    </row>
    <row r="265" customFormat="false" ht="15" hidden="false" customHeight="true" outlineLevel="0" collapsed="false">
      <c r="A265" s="7" t="s">
        <v>63</v>
      </c>
      <c r="B265" s="7" t="n">
        <v>1921</v>
      </c>
      <c r="C265" s="7" t="s">
        <v>558</v>
      </c>
      <c r="D265" s="7" t="n">
        <v>81</v>
      </c>
      <c r="E265" s="7" t="n">
        <v>73</v>
      </c>
      <c r="F265" s="7"/>
      <c r="G265" s="7"/>
      <c r="H265" s="7" t="s">
        <v>546</v>
      </c>
      <c r="I265" s="7" t="s">
        <v>546</v>
      </c>
      <c r="J265" s="21" t="n">
        <f aca="false">D265/(D265+E265)</f>
        <v>0.525974025974026</v>
      </c>
      <c r="K265" s="3" t="n">
        <f aca="false">IF(D265&gt;E265,1,0)</f>
        <v>1</v>
      </c>
      <c r="L265" s="3" t="n">
        <f aca="false">IF(OR(F265="Y",G265="Y",H265="Y"),1,0)</f>
        <v>0</v>
      </c>
      <c r="M265" s="3" t="n">
        <f aca="false">IF(H265="Y",1,0)</f>
        <v>0</v>
      </c>
      <c r="N265" s="3" t="n">
        <f aca="false">IF(I265="Y",1,0)</f>
        <v>0</v>
      </c>
    </row>
    <row r="266" customFormat="false" ht="15" hidden="false" customHeight="true" outlineLevel="0" collapsed="false">
      <c r="A266" s="7" t="s">
        <v>63</v>
      </c>
      <c r="B266" s="7" t="n">
        <v>1922</v>
      </c>
      <c r="C266" s="7" t="s">
        <v>558</v>
      </c>
      <c r="D266" s="7" t="n">
        <v>93</v>
      </c>
      <c r="E266" s="7" t="n">
        <v>61</v>
      </c>
      <c r="F266" s="7"/>
      <c r="G266" s="7"/>
      <c r="H266" s="7" t="s">
        <v>546</v>
      </c>
      <c r="I266" s="7" t="s">
        <v>546</v>
      </c>
      <c r="J266" s="21" t="n">
        <f aca="false">D266/(D266+E266)</f>
        <v>0.603896103896104</v>
      </c>
      <c r="K266" s="3" t="n">
        <f aca="false">IF(D266&gt;E266,1,0)</f>
        <v>1</v>
      </c>
      <c r="L266" s="3" t="n">
        <f aca="false">IF(OR(F266="Y",G266="Y",H266="Y"),1,0)</f>
        <v>0</v>
      </c>
      <c r="M266" s="3" t="n">
        <f aca="false">IF(H266="Y",1,0)</f>
        <v>0</v>
      </c>
      <c r="N266" s="3" t="n">
        <f aca="false">IF(I266="Y",1,0)</f>
        <v>0</v>
      </c>
    </row>
    <row r="267" customFormat="false" ht="15" hidden="false" customHeight="true" outlineLevel="0" collapsed="false">
      <c r="A267" s="7" t="s">
        <v>63</v>
      </c>
      <c r="B267" s="7" t="n">
        <v>1923</v>
      </c>
      <c r="C267" s="7" t="s">
        <v>558</v>
      </c>
      <c r="D267" s="7" t="n">
        <v>74</v>
      </c>
      <c r="E267" s="7" t="n">
        <v>78</v>
      </c>
      <c r="F267" s="7"/>
      <c r="G267" s="7"/>
      <c r="H267" s="7" t="s">
        <v>546</v>
      </c>
      <c r="I267" s="7" t="s">
        <v>546</v>
      </c>
      <c r="J267" s="21" t="n">
        <f aca="false">D267/(D267+E267)</f>
        <v>0.486842105263158</v>
      </c>
      <c r="K267" s="3" t="n">
        <f aca="false">IF(D267&gt;E267,1,0)</f>
        <v>0</v>
      </c>
      <c r="L267" s="3" t="n">
        <f aca="false">IF(OR(F267="Y",G267="Y",H267="Y"),1,0)</f>
        <v>0</v>
      </c>
      <c r="M267" s="3" t="n">
        <f aca="false">IF(H267="Y",1,0)</f>
        <v>0</v>
      </c>
      <c r="N267" s="3" t="n">
        <f aca="false">IF(I267="Y",1,0)</f>
        <v>0</v>
      </c>
    </row>
    <row r="268" customFormat="false" ht="15" hidden="false" customHeight="true" outlineLevel="0" collapsed="false">
      <c r="A268" s="7" t="s">
        <v>63</v>
      </c>
      <c r="B268" s="7" t="n">
        <v>1924</v>
      </c>
      <c r="C268" s="7" t="s">
        <v>558</v>
      </c>
      <c r="D268" s="7" t="n">
        <v>74</v>
      </c>
      <c r="E268" s="7" t="n">
        <v>78</v>
      </c>
      <c r="F268" s="7"/>
      <c r="G268" s="7"/>
      <c r="H268" s="7" t="s">
        <v>546</v>
      </c>
      <c r="I268" s="7" t="s">
        <v>546</v>
      </c>
      <c r="J268" s="21" t="n">
        <f aca="false">D268/(D268+E268)</f>
        <v>0.486842105263158</v>
      </c>
      <c r="K268" s="3" t="n">
        <f aca="false">IF(D268&gt;E268,1,0)</f>
        <v>0</v>
      </c>
      <c r="L268" s="3" t="n">
        <f aca="false">IF(OR(F268="Y",G268="Y",H268="Y"),1,0)</f>
        <v>0</v>
      </c>
      <c r="M268" s="3" t="n">
        <f aca="false">IF(H268="Y",1,0)</f>
        <v>0</v>
      </c>
      <c r="N268" s="3" t="n">
        <f aca="false">IF(I268="Y",1,0)</f>
        <v>0</v>
      </c>
    </row>
    <row r="269" customFormat="false" ht="15" hidden="false" customHeight="true" outlineLevel="0" collapsed="false">
      <c r="A269" s="7" t="s">
        <v>63</v>
      </c>
      <c r="B269" s="7" t="n">
        <v>1925</v>
      </c>
      <c r="C269" s="7" t="s">
        <v>558</v>
      </c>
      <c r="D269" s="7" t="n">
        <v>82</v>
      </c>
      <c r="E269" s="7" t="n">
        <v>71</v>
      </c>
      <c r="F269" s="7"/>
      <c r="G269" s="7"/>
      <c r="H269" s="7" t="s">
        <v>546</v>
      </c>
      <c r="I269" s="7" t="s">
        <v>546</v>
      </c>
      <c r="J269" s="21" t="n">
        <f aca="false">D269/(D269+E269)</f>
        <v>0.535947712418301</v>
      </c>
      <c r="K269" s="3" t="n">
        <f aca="false">IF(D269&gt;E269,1,0)</f>
        <v>1</v>
      </c>
      <c r="L269" s="3" t="n">
        <f aca="false">IF(OR(F269="Y",G269="Y",H269="Y"),1,0)</f>
        <v>0</v>
      </c>
      <c r="M269" s="3" t="n">
        <f aca="false">IF(H269="Y",1,0)</f>
        <v>0</v>
      </c>
      <c r="N269" s="3" t="n">
        <f aca="false">IF(I269="Y",1,0)</f>
        <v>0</v>
      </c>
    </row>
    <row r="270" customFormat="false" ht="15" hidden="false" customHeight="true" outlineLevel="0" collapsed="false">
      <c r="A270" s="7" t="s">
        <v>63</v>
      </c>
      <c r="B270" s="7" t="n">
        <v>1926</v>
      </c>
      <c r="C270" s="7" t="s">
        <v>558</v>
      </c>
      <c r="D270" s="7" t="n">
        <v>62</v>
      </c>
      <c r="E270" s="7" t="n">
        <v>92</v>
      </c>
      <c r="F270" s="7"/>
      <c r="G270" s="7"/>
      <c r="H270" s="7" t="s">
        <v>546</v>
      </c>
      <c r="I270" s="7" t="s">
        <v>546</v>
      </c>
      <c r="J270" s="21" t="n">
        <f aca="false">D270/(D270+E270)</f>
        <v>0.402597402597403</v>
      </c>
      <c r="K270" s="3" t="n">
        <f aca="false">IF(D270&gt;E270,1,0)</f>
        <v>0</v>
      </c>
      <c r="L270" s="3" t="n">
        <f aca="false">IF(OR(F270="Y",G270="Y",H270="Y"),1,0)</f>
        <v>0</v>
      </c>
      <c r="M270" s="3" t="n">
        <f aca="false">IF(H270="Y",1,0)</f>
        <v>0</v>
      </c>
      <c r="N270" s="3" t="n">
        <f aca="false">IF(I270="Y",1,0)</f>
        <v>0</v>
      </c>
    </row>
    <row r="271" customFormat="false" ht="15" hidden="false" customHeight="true" outlineLevel="0" collapsed="false">
      <c r="A271" s="7" t="s">
        <v>63</v>
      </c>
      <c r="B271" s="7" t="n">
        <v>1927</v>
      </c>
      <c r="C271" s="7" t="s">
        <v>558</v>
      </c>
      <c r="D271" s="7" t="n">
        <v>59</v>
      </c>
      <c r="E271" s="7" t="n">
        <v>94</v>
      </c>
      <c r="F271" s="7"/>
      <c r="G271" s="7"/>
      <c r="H271" s="7" t="s">
        <v>546</v>
      </c>
      <c r="I271" s="7" t="s">
        <v>546</v>
      </c>
      <c r="J271" s="21" t="n">
        <f aca="false">D271/(D271+E271)</f>
        <v>0.38562091503268</v>
      </c>
      <c r="K271" s="3" t="n">
        <f aca="false">IF(D271&gt;E271,1,0)</f>
        <v>0</v>
      </c>
      <c r="L271" s="3" t="n">
        <f aca="false">IF(OR(F271="Y",G271="Y",H271="Y"),1,0)</f>
        <v>0</v>
      </c>
      <c r="M271" s="3" t="n">
        <f aca="false">IF(H271="Y",1,0)</f>
        <v>0</v>
      </c>
      <c r="N271" s="3" t="n">
        <f aca="false">IF(I271="Y",1,0)</f>
        <v>0</v>
      </c>
    </row>
    <row r="272" customFormat="false" ht="15" hidden="false" customHeight="true" outlineLevel="0" collapsed="false">
      <c r="A272" s="7" t="s">
        <v>63</v>
      </c>
      <c r="B272" s="7" t="n">
        <v>1928</v>
      </c>
      <c r="C272" s="7" t="s">
        <v>558</v>
      </c>
      <c r="D272" s="7" t="n">
        <v>82</v>
      </c>
      <c r="E272" s="7" t="n">
        <v>72</v>
      </c>
      <c r="F272" s="7"/>
      <c r="G272" s="7"/>
      <c r="H272" s="7" t="s">
        <v>546</v>
      </c>
      <c r="I272" s="7" t="s">
        <v>546</v>
      </c>
      <c r="J272" s="21" t="n">
        <f aca="false">D272/(D272+E272)</f>
        <v>0.532467532467532</v>
      </c>
      <c r="K272" s="3" t="n">
        <f aca="false">IF(D272&gt;E272,1,0)</f>
        <v>1</v>
      </c>
      <c r="L272" s="3" t="n">
        <f aca="false">IF(OR(F272="Y",G272="Y",H272="Y"),1,0)</f>
        <v>0</v>
      </c>
      <c r="M272" s="3" t="n">
        <f aca="false">IF(H272="Y",1,0)</f>
        <v>0</v>
      </c>
      <c r="N272" s="3" t="n">
        <f aca="false">IF(I272="Y",1,0)</f>
        <v>0</v>
      </c>
    </row>
    <row r="273" customFormat="false" ht="15" hidden="false" customHeight="true" outlineLevel="0" collapsed="false">
      <c r="A273" s="7" t="s">
        <v>63</v>
      </c>
      <c r="B273" s="7" t="n">
        <v>1929</v>
      </c>
      <c r="C273" s="7" t="s">
        <v>558</v>
      </c>
      <c r="D273" s="7" t="n">
        <v>79</v>
      </c>
      <c r="E273" s="7" t="n">
        <v>73</v>
      </c>
      <c r="F273" s="7"/>
      <c r="G273" s="7"/>
      <c r="H273" s="7" t="s">
        <v>546</v>
      </c>
      <c r="I273" s="7" t="s">
        <v>546</v>
      </c>
      <c r="J273" s="21" t="n">
        <f aca="false">D273/(D273+E273)</f>
        <v>0.519736842105263</v>
      </c>
      <c r="K273" s="3" t="n">
        <f aca="false">IF(D273&gt;E273,1,0)</f>
        <v>1</v>
      </c>
      <c r="L273" s="3" t="n">
        <f aca="false">IF(OR(F273="Y",G273="Y",H273="Y"),1,0)</f>
        <v>0</v>
      </c>
      <c r="M273" s="3" t="n">
        <f aca="false">IF(H273="Y",1,0)</f>
        <v>0</v>
      </c>
      <c r="N273" s="3" t="n">
        <f aca="false">IF(I273="Y",1,0)</f>
        <v>0</v>
      </c>
    </row>
    <row r="274" customFormat="false" ht="15" hidden="false" customHeight="true" outlineLevel="0" collapsed="false">
      <c r="A274" s="7" t="s">
        <v>63</v>
      </c>
      <c r="B274" s="7" t="n">
        <v>1930</v>
      </c>
      <c r="C274" s="7" t="s">
        <v>558</v>
      </c>
      <c r="D274" s="7" t="n">
        <v>64</v>
      </c>
      <c r="E274" s="7" t="n">
        <v>90</v>
      </c>
      <c r="F274" s="7"/>
      <c r="G274" s="7"/>
      <c r="H274" s="7" t="s">
        <v>546</v>
      </c>
      <c r="I274" s="7" t="s">
        <v>546</v>
      </c>
      <c r="J274" s="21" t="n">
        <f aca="false">D274/(D274+E274)</f>
        <v>0.415584415584416</v>
      </c>
      <c r="K274" s="3" t="n">
        <f aca="false">IF(D274&gt;E274,1,0)</f>
        <v>0</v>
      </c>
      <c r="L274" s="3" t="n">
        <f aca="false">IF(OR(F274="Y",G274="Y",H274="Y"),1,0)</f>
        <v>0</v>
      </c>
      <c r="M274" s="3" t="n">
        <f aca="false">IF(H274="Y",1,0)</f>
        <v>0</v>
      </c>
      <c r="N274" s="3" t="n">
        <f aca="false">IF(I274="Y",1,0)</f>
        <v>0</v>
      </c>
    </row>
    <row r="275" customFormat="false" ht="15" hidden="false" customHeight="true" outlineLevel="0" collapsed="false">
      <c r="A275" s="7" t="s">
        <v>63</v>
      </c>
      <c r="B275" s="7" t="n">
        <v>1931</v>
      </c>
      <c r="C275" s="7" t="s">
        <v>558</v>
      </c>
      <c r="D275" s="7" t="n">
        <v>63</v>
      </c>
      <c r="E275" s="7" t="n">
        <v>91</v>
      </c>
      <c r="F275" s="7"/>
      <c r="G275" s="7"/>
      <c r="H275" s="7" t="s">
        <v>546</v>
      </c>
      <c r="I275" s="7" t="s">
        <v>546</v>
      </c>
      <c r="J275" s="21" t="n">
        <f aca="false">D275/(D275+E275)</f>
        <v>0.409090909090909</v>
      </c>
      <c r="K275" s="3" t="n">
        <f aca="false">IF(D275&gt;E275,1,0)</f>
        <v>0</v>
      </c>
      <c r="L275" s="3" t="n">
        <f aca="false">IF(OR(F275="Y",G275="Y",H275="Y"),1,0)</f>
        <v>0</v>
      </c>
      <c r="M275" s="3" t="n">
        <f aca="false">IF(H275="Y",1,0)</f>
        <v>0</v>
      </c>
      <c r="N275" s="3" t="n">
        <f aca="false">IF(I275="Y",1,0)</f>
        <v>0</v>
      </c>
    </row>
    <row r="276" customFormat="false" ht="15" hidden="false" customHeight="true" outlineLevel="0" collapsed="false">
      <c r="A276" s="7" t="s">
        <v>63</v>
      </c>
      <c r="B276" s="7" t="n">
        <v>1932</v>
      </c>
      <c r="C276" s="7" t="s">
        <v>558</v>
      </c>
      <c r="D276" s="7" t="n">
        <v>63</v>
      </c>
      <c r="E276" s="7" t="n">
        <v>91</v>
      </c>
      <c r="F276" s="7"/>
      <c r="G276" s="7"/>
      <c r="H276" s="7" t="s">
        <v>546</v>
      </c>
      <c r="I276" s="7" t="s">
        <v>546</v>
      </c>
      <c r="J276" s="21" t="n">
        <f aca="false">D276/(D276+E276)</f>
        <v>0.409090909090909</v>
      </c>
      <c r="K276" s="3" t="n">
        <f aca="false">IF(D276&gt;E276,1,0)</f>
        <v>0</v>
      </c>
      <c r="L276" s="3" t="n">
        <f aca="false">IF(OR(F276="Y",G276="Y",H276="Y"),1,0)</f>
        <v>0</v>
      </c>
      <c r="M276" s="3" t="n">
        <f aca="false">IF(H276="Y",1,0)</f>
        <v>0</v>
      </c>
      <c r="N276" s="3" t="n">
        <f aca="false">IF(I276="Y",1,0)</f>
        <v>0</v>
      </c>
    </row>
    <row r="277" customFormat="false" ht="15" hidden="false" customHeight="true" outlineLevel="0" collapsed="false">
      <c r="A277" s="7" t="s">
        <v>63</v>
      </c>
      <c r="B277" s="7" t="n">
        <v>1933</v>
      </c>
      <c r="C277" s="7" t="s">
        <v>558</v>
      </c>
      <c r="D277" s="7" t="n">
        <v>55</v>
      </c>
      <c r="E277" s="7" t="n">
        <v>96</v>
      </c>
      <c r="F277" s="7"/>
      <c r="G277" s="7"/>
      <c r="H277" s="7" t="s">
        <v>546</v>
      </c>
      <c r="I277" s="7" t="s">
        <v>546</v>
      </c>
      <c r="J277" s="21" t="n">
        <f aca="false">D277/(D277+E277)</f>
        <v>0.364238410596026</v>
      </c>
      <c r="K277" s="3" t="n">
        <f aca="false">IF(D277&gt;E277,1,0)</f>
        <v>0</v>
      </c>
      <c r="L277" s="3" t="n">
        <f aca="false">IF(OR(F277="Y",G277="Y",H277="Y"),1,0)</f>
        <v>0</v>
      </c>
      <c r="M277" s="3" t="n">
        <f aca="false">IF(H277="Y",1,0)</f>
        <v>0</v>
      </c>
      <c r="N277" s="3" t="n">
        <f aca="false">IF(I277="Y",1,0)</f>
        <v>0</v>
      </c>
    </row>
    <row r="278" customFormat="false" ht="15" hidden="false" customHeight="true" outlineLevel="0" collapsed="false">
      <c r="A278" s="7" t="s">
        <v>63</v>
      </c>
      <c r="B278" s="7" t="n">
        <v>1934</v>
      </c>
      <c r="C278" s="7" t="s">
        <v>558</v>
      </c>
      <c r="D278" s="7" t="n">
        <v>67</v>
      </c>
      <c r="E278" s="7" t="n">
        <v>85</v>
      </c>
      <c r="F278" s="7"/>
      <c r="G278" s="7"/>
      <c r="H278" s="7" t="s">
        <v>546</v>
      </c>
      <c r="I278" s="7" t="s">
        <v>546</v>
      </c>
      <c r="J278" s="21" t="n">
        <f aca="false">D278/(D278+E278)</f>
        <v>0.440789473684211</v>
      </c>
      <c r="K278" s="3" t="n">
        <f aca="false">IF(D278&gt;E278,1,0)</f>
        <v>0</v>
      </c>
      <c r="L278" s="3" t="n">
        <f aca="false">IF(OR(F278="Y",G278="Y",H278="Y"),1,0)</f>
        <v>0</v>
      </c>
      <c r="M278" s="3" t="n">
        <f aca="false">IF(H278="Y",1,0)</f>
        <v>0</v>
      </c>
      <c r="N278" s="3" t="n">
        <f aca="false">IF(I278="Y",1,0)</f>
        <v>0</v>
      </c>
    </row>
    <row r="279" customFormat="false" ht="15" hidden="false" customHeight="true" outlineLevel="0" collapsed="false">
      <c r="A279" s="7" t="s">
        <v>63</v>
      </c>
      <c r="B279" s="7" t="n">
        <v>1935</v>
      </c>
      <c r="C279" s="7" t="s">
        <v>558</v>
      </c>
      <c r="D279" s="7" t="n">
        <v>65</v>
      </c>
      <c r="E279" s="7" t="n">
        <v>87</v>
      </c>
      <c r="F279" s="7"/>
      <c r="G279" s="7"/>
      <c r="H279" s="7" t="s">
        <v>546</v>
      </c>
      <c r="I279" s="7" t="s">
        <v>546</v>
      </c>
      <c r="J279" s="21" t="n">
        <f aca="false">D279/(D279+E279)</f>
        <v>0.427631578947368</v>
      </c>
      <c r="K279" s="3" t="n">
        <f aca="false">IF(D279&gt;E279,1,0)</f>
        <v>0</v>
      </c>
      <c r="L279" s="3" t="n">
        <f aca="false">IF(OR(F279="Y",G279="Y",H279="Y"),1,0)</f>
        <v>0</v>
      </c>
      <c r="M279" s="3" t="n">
        <f aca="false">IF(H279="Y",1,0)</f>
        <v>0</v>
      </c>
      <c r="N279" s="3" t="n">
        <f aca="false">IF(I279="Y",1,0)</f>
        <v>0</v>
      </c>
    </row>
    <row r="280" customFormat="false" ht="15" hidden="false" customHeight="true" outlineLevel="0" collapsed="false">
      <c r="A280" s="7" t="s">
        <v>63</v>
      </c>
      <c r="B280" s="7" t="n">
        <v>1936</v>
      </c>
      <c r="C280" s="7" t="s">
        <v>558</v>
      </c>
      <c r="D280" s="7" t="n">
        <v>57</v>
      </c>
      <c r="E280" s="7" t="n">
        <v>95</v>
      </c>
      <c r="F280" s="7"/>
      <c r="G280" s="7"/>
      <c r="H280" s="7" t="s">
        <v>546</v>
      </c>
      <c r="I280" s="7" t="s">
        <v>546</v>
      </c>
      <c r="J280" s="21" t="n">
        <f aca="false">D280/(D280+E280)</f>
        <v>0.375</v>
      </c>
      <c r="K280" s="3" t="n">
        <f aca="false">IF(D280&gt;E280,1,0)</f>
        <v>0</v>
      </c>
      <c r="L280" s="3" t="n">
        <f aca="false">IF(OR(F280="Y",G280="Y",H280="Y"),1,0)</f>
        <v>0</v>
      </c>
      <c r="M280" s="3" t="n">
        <f aca="false">IF(H280="Y",1,0)</f>
        <v>0</v>
      </c>
      <c r="N280" s="3" t="n">
        <f aca="false">IF(I280="Y",1,0)</f>
        <v>0</v>
      </c>
    </row>
    <row r="281" customFormat="false" ht="15" hidden="false" customHeight="true" outlineLevel="0" collapsed="false">
      <c r="A281" s="7" t="s">
        <v>63</v>
      </c>
      <c r="B281" s="7" t="n">
        <v>1937</v>
      </c>
      <c r="C281" s="7" t="s">
        <v>558</v>
      </c>
      <c r="D281" s="7" t="n">
        <v>46</v>
      </c>
      <c r="E281" s="7" t="n">
        <v>108</v>
      </c>
      <c r="F281" s="7"/>
      <c r="G281" s="7"/>
      <c r="H281" s="7" t="s">
        <v>546</v>
      </c>
      <c r="I281" s="7" t="s">
        <v>546</v>
      </c>
      <c r="J281" s="21" t="n">
        <f aca="false">D281/(D281+E281)</f>
        <v>0.298701298701299</v>
      </c>
      <c r="K281" s="3" t="n">
        <f aca="false">IF(D281&gt;E281,1,0)</f>
        <v>0</v>
      </c>
      <c r="L281" s="3" t="n">
        <f aca="false">IF(OR(F281="Y",G281="Y",H281="Y"),1,0)</f>
        <v>0</v>
      </c>
      <c r="M281" s="3" t="n">
        <f aca="false">IF(H281="Y",1,0)</f>
        <v>0</v>
      </c>
      <c r="N281" s="3" t="n">
        <f aca="false">IF(I281="Y",1,0)</f>
        <v>0</v>
      </c>
    </row>
    <row r="282" customFormat="false" ht="15" hidden="false" customHeight="true" outlineLevel="0" collapsed="false">
      <c r="A282" s="7" t="s">
        <v>63</v>
      </c>
      <c r="B282" s="7" t="n">
        <v>1938</v>
      </c>
      <c r="C282" s="7" t="s">
        <v>558</v>
      </c>
      <c r="D282" s="7" t="n">
        <v>55</v>
      </c>
      <c r="E282" s="7" t="n">
        <v>97</v>
      </c>
      <c r="F282" s="7"/>
      <c r="G282" s="7"/>
      <c r="H282" s="7" t="s">
        <v>546</v>
      </c>
      <c r="I282" s="7" t="s">
        <v>546</v>
      </c>
      <c r="J282" s="21" t="n">
        <f aca="false">D282/(D282+E282)</f>
        <v>0.361842105263158</v>
      </c>
      <c r="K282" s="3" t="n">
        <f aca="false">IF(D282&gt;E282,1,0)</f>
        <v>0</v>
      </c>
      <c r="L282" s="3" t="n">
        <f aca="false">IF(OR(F282="Y",G282="Y",H282="Y"),1,0)</f>
        <v>0</v>
      </c>
      <c r="M282" s="3" t="n">
        <f aca="false">IF(H282="Y",1,0)</f>
        <v>0</v>
      </c>
      <c r="N282" s="3" t="n">
        <f aca="false">IF(I282="Y",1,0)</f>
        <v>0</v>
      </c>
    </row>
    <row r="283" customFormat="false" ht="15" hidden="false" customHeight="true" outlineLevel="0" collapsed="false">
      <c r="A283" s="7" t="s">
        <v>63</v>
      </c>
      <c r="B283" s="7" t="n">
        <v>1939</v>
      </c>
      <c r="C283" s="7" t="s">
        <v>558</v>
      </c>
      <c r="D283" s="7" t="n">
        <v>43</v>
      </c>
      <c r="E283" s="7" t="n">
        <v>111</v>
      </c>
      <c r="F283" s="7"/>
      <c r="G283" s="7"/>
      <c r="H283" s="7" t="s">
        <v>546</v>
      </c>
      <c r="I283" s="7" t="s">
        <v>546</v>
      </c>
      <c r="J283" s="21" t="n">
        <f aca="false">D283/(D283+E283)</f>
        <v>0.279220779220779</v>
      </c>
      <c r="K283" s="3" t="n">
        <f aca="false">IF(D283&gt;E283,1,0)</f>
        <v>0</v>
      </c>
      <c r="L283" s="3" t="n">
        <f aca="false">IF(OR(F283="Y",G283="Y",H283="Y"),1,0)</f>
        <v>0</v>
      </c>
      <c r="M283" s="3" t="n">
        <f aca="false">IF(H283="Y",1,0)</f>
        <v>0</v>
      </c>
      <c r="N283" s="3" t="n">
        <f aca="false">IF(I283="Y",1,0)</f>
        <v>0</v>
      </c>
    </row>
    <row r="284" customFormat="false" ht="15" hidden="false" customHeight="true" outlineLevel="0" collapsed="false">
      <c r="A284" s="7" t="s">
        <v>63</v>
      </c>
      <c r="B284" s="7" t="n">
        <v>1940</v>
      </c>
      <c r="C284" s="7" t="s">
        <v>558</v>
      </c>
      <c r="D284" s="7" t="n">
        <v>67</v>
      </c>
      <c r="E284" s="7" t="n">
        <v>87</v>
      </c>
      <c r="F284" s="7"/>
      <c r="G284" s="7"/>
      <c r="H284" s="7" t="s">
        <v>546</v>
      </c>
      <c r="I284" s="7" t="s">
        <v>546</v>
      </c>
      <c r="J284" s="21" t="n">
        <f aca="false">D284/(D284+E284)</f>
        <v>0.435064935064935</v>
      </c>
      <c r="K284" s="3" t="n">
        <f aca="false">IF(D284&gt;E284,1,0)</f>
        <v>0</v>
      </c>
      <c r="L284" s="3" t="n">
        <f aca="false">IF(OR(F284="Y",G284="Y",H284="Y"),1,0)</f>
        <v>0</v>
      </c>
      <c r="M284" s="3" t="n">
        <f aca="false">IF(H284="Y",1,0)</f>
        <v>0</v>
      </c>
      <c r="N284" s="3" t="n">
        <f aca="false">IF(I284="Y",1,0)</f>
        <v>0</v>
      </c>
    </row>
    <row r="285" customFormat="false" ht="15" hidden="false" customHeight="true" outlineLevel="0" collapsed="false">
      <c r="A285" s="7" t="s">
        <v>63</v>
      </c>
      <c r="B285" s="7" t="n">
        <v>1941</v>
      </c>
      <c r="C285" s="7" t="s">
        <v>558</v>
      </c>
      <c r="D285" s="7" t="n">
        <v>70</v>
      </c>
      <c r="E285" s="7" t="n">
        <v>84</v>
      </c>
      <c r="F285" s="7"/>
      <c r="G285" s="7"/>
      <c r="H285" s="7" t="s">
        <v>546</v>
      </c>
      <c r="I285" s="7" t="s">
        <v>546</v>
      </c>
      <c r="J285" s="21" t="n">
        <f aca="false">D285/(D285+E285)</f>
        <v>0.454545454545455</v>
      </c>
      <c r="K285" s="3" t="n">
        <f aca="false">IF(D285&gt;E285,1,0)</f>
        <v>0</v>
      </c>
      <c r="L285" s="3" t="n">
        <f aca="false">IF(OR(F285="Y",G285="Y",H285="Y"),1,0)</f>
        <v>0</v>
      </c>
      <c r="M285" s="3" t="n">
        <f aca="false">IF(H285="Y",1,0)</f>
        <v>0</v>
      </c>
      <c r="N285" s="3" t="n">
        <f aca="false">IF(I285="Y",1,0)</f>
        <v>0</v>
      </c>
    </row>
    <row r="286" customFormat="false" ht="15" hidden="false" customHeight="true" outlineLevel="0" collapsed="false">
      <c r="A286" s="7" t="s">
        <v>63</v>
      </c>
      <c r="B286" s="7" t="n">
        <v>1942</v>
      </c>
      <c r="C286" s="7" t="s">
        <v>558</v>
      </c>
      <c r="D286" s="7" t="n">
        <v>82</v>
      </c>
      <c r="E286" s="7" t="n">
        <v>69</v>
      </c>
      <c r="F286" s="7"/>
      <c r="G286" s="7"/>
      <c r="H286" s="7" t="s">
        <v>546</v>
      </c>
      <c r="I286" s="7" t="s">
        <v>546</v>
      </c>
      <c r="J286" s="21" t="n">
        <f aca="false">D286/(D286+E286)</f>
        <v>0.543046357615894</v>
      </c>
      <c r="K286" s="3" t="n">
        <f aca="false">IF(D286&gt;E286,1,0)</f>
        <v>1</v>
      </c>
      <c r="L286" s="3" t="n">
        <f aca="false">IF(OR(F286="Y",G286="Y",H286="Y"),1,0)</f>
        <v>0</v>
      </c>
      <c r="M286" s="3" t="n">
        <f aca="false">IF(H286="Y",1,0)</f>
        <v>0</v>
      </c>
      <c r="N286" s="3" t="n">
        <f aca="false">IF(I286="Y",1,0)</f>
        <v>0</v>
      </c>
    </row>
    <row r="287" customFormat="false" ht="15" hidden="false" customHeight="true" outlineLevel="0" collapsed="false">
      <c r="A287" s="7" t="s">
        <v>63</v>
      </c>
      <c r="B287" s="7" t="n">
        <v>1943</v>
      </c>
      <c r="C287" s="7" t="s">
        <v>558</v>
      </c>
      <c r="D287" s="7" t="n">
        <v>72</v>
      </c>
      <c r="E287" s="7" t="n">
        <v>80</v>
      </c>
      <c r="F287" s="7"/>
      <c r="G287" s="7"/>
      <c r="H287" s="7" t="s">
        <v>546</v>
      </c>
      <c r="I287" s="7" t="s">
        <v>546</v>
      </c>
      <c r="J287" s="21" t="n">
        <f aca="false">D287/(D287+E287)</f>
        <v>0.473684210526316</v>
      </c>
      <c r="K287" s="3" t="n">
        <f aca="false">IF(D287&gt;E287,1,0)</f>
        <v>0</v>
      </c>
      <c r="L287" s="3" t="n">
        <f aca="false">IF(OR(F287="Y",G287="Y",H287="Y"),1,0)</f>
        <v>0</v>
      </c>
      <c r="M287" s="3" t="n">
        <f aca="false">IF(H287="Y",1,0)</f>
        <v>0</v>
      </c>
      <c r="N287" s="3" t="n">
        <f aca="false">IF(I287="Y",1,0)</f>
        <v>0</v>
      </c>
    </row>
    <row r="288" customFormat="false" ht="15" hidden="false" customHeight="true" outlineLevel="0" collapsed="false">
      <c r="A288" s="7" t="s">
        <v>63</v>
      </c>
      <c r="B288" s="7" t="n">
        <v>1944</v>
      </c>
      <c r="C288" s="7" t="s">
        <v>558</v>
      </c>
      <c r="D288" s="7" t="n">
        <v>89</v>
      </c>
      <c r="E288" s="7" t="n">
        <v>65</v>
      </c>
      <c r="F288" s="7"/>
      <c r="G288" s="7"/>
      <c r="H288" s="7" t="s">
        <v>548</v>
      </c>
      <c r="I288" s="7" t="s">
        <v>546</v>
      </c>
      <c r="J288" s="21" t="n">
        <f aca="false">D288/(D288+E288)</f>
        <v>0.577922077922078</v>
      </c>
      <c r="K288" s="3" t="n">
        <f aca="false">IF(D288&gt;E288,1,0)</f>
        <v>1</v>
      </c>
      <c r="L288" s="3" t="n">
        <f aca="false">IF(OR(F288="Y",G288="Y",H288="Y"),1,0)</f>
        <v>1</v>
      </c>
      <c r="M288" s="3" t="n">
        <f aca="false">IF(H288="Y",1,0)</f>
        <v>1</v>
      </c>
      <c r="N288" s="3" t="n">
        <f aca="false">IF(I288="Y",1,0)</f>
        <v>0</v>
      </c>
    </row>
    <row r="289" customFormat="false" ht="15" hidden="false" customHeight="true" outlineLevel="0" collapsed="false">
      <c r="A289" s="7" t="s">
        <v>63</v>
      </c>
      <c r="B289" s="7" t="n">
        <v>1945</v>
      </c>
      <c r="C289" s="7" t="s">
        <v>558</v>
      </c>
      <c r="D289" s="7" t="n">
        <v>81</v>
      </c>
      <c r="E289" s="7" t="n">
        <v>70</v>
      </c>
      <c r="F289" s="7"/>
      <c r="G289" s="7"/>
      <c r="H289" s="7" t="s">
        <v>546</v>
      </c>
      <c r="I289" s="7" t="s">
        <v>546</v>
      </c>
      <c r="J289" s="21" t="n">
        <f aca="false">D289/(D289+E289)</f>
        <v>0.536423841059603</v>
      </c>
      <c r="K289" s="3" t="n">
        <f aca="false">IF(D289&gt;E289,1,0)</f>
        <v>1</v>
      </c>
      <c r="L289" s="3" t="n">
        <f aca="false">IF(OR(F289="Y",G289="Y",H289="Y"),1,0)</f>
        <v>0</v>
      </c>
      <c r="M289" s="3" t="n">
        <f aca="false">IF(H289="Y",1,0)</f>
        <v>0</v>
      </c>
      <c r="N289" s="3" t="n">
        <f aca="false">IF(I289="Y",1,0)</f>
        <v>0</v>
      </c>
    </row>
    <row r="290" customFormat="false" ht="15" hidden="false" customHeight="true" outlineLevel="0" collapsed="false">
      <c r="A290" s="7" t="s">
        <v>63</v>
      </c>
      <c r="B290" s="7" t="n">
        <v>1946</v>
      </c>
      <c r="C290" s="7" t="s">
        <v>558</v>
      </c>
      <c r="D290" s="7" t="n">
        <v>66</v>
      </c>
      <c r="E290" s="7" t="n">
        <v>88</v>
      </c>
      <c r="F290" s="7"/>
      <c r="G290" s="7"/>
      <c r="H290" s="7" t="s">
        <v>546</v>
      </c>
      <c r="I290" s="7" t="s">
        <v>546</v>
      </c>
      <c r="J290" s="21" t="n">
        <f aca="false">D290/(D290+E290)</f>
        <v>0.428571428571429</v>
      </c>
      <c r="K290" s="3" t="n">
        <f aca="false">IF(D290&gt;E290,1,0)</f>
        <v>0</v>
      </c>
      <c r="L290" s="3" t="n">
        <f aca="false">IF(OR(F290="Y",G290="Y",H290="Y"),1,0)</f>
        <v>0</v>
      </c>
      <c r="M290" s="3" t="n">
        <f aca="false">IF(H290="Y",1,0)</f>
        <v>0</v>
      </c>
      <c r="N290" s="3" t="n">
        <f aca="false">IF(I290="Y",1,0)</f>
        <v>0</v>
      </c>
    </row>
    <row r="291" customFormat="false" ht="15" hidden="false" customHeight="true" outlineLevel="0" collapsed="false">
      <c r="A291" s="7" t="s">
        <v>63</v>
      </c>
      <c r="B291" s="7" t="n">
        <v>1947</v>
      </c>
      <c r="C291" s="7" t="s">
        <v>558</v>
      </c>
      <c r="D291" s="7" t="n">
        <v>59</v>
      </c>
      <c r="E291" s="7" t="n">
        <v>95</v>
      </c>
      <c r="F291" s="7"/>
      <c r="G291" s="7"/>
      <c r="H291" s="7" t="s">
        <v>546</v>
      </c>
      <c r="I291" s="7" t="s">
        <v>546</v>
      </c>
      <c r="J291" s="21" t="n">
        <f aca="false">D291/(D291+E291)</f>
        <v>0.383116883116883</v>
      </c>
      <c r="K291" s="3" t="n">
        <f aca="false">IF(D291&gt;E291,1,0)</f>
        <v>0</v>
      </c>
      <c r="L291" s="3" t="n">
        <f aca="false">IF(OR(F291="Y",G291="Y",H291="Y"),1,0)</f>
        <v>0</v>
      </c>
      <c r="M291" s="3" t="n">
        <f aca="false">IF(H291="Y",1,0)</f>
        <v>0</v>
      </c>
      <c r="N291" s="3" t="n">
        <f aca="false">IF(I291="Y",1,0)</f>
        <v>0</v>
      </c>
    </row>
    <row r="292" customFormat="false" ht="15" hidden="false" customHeight="true" outlineLevel="0" collapsed="false">
      <c r="A292" s="7" t="s">
        <v>63</v>
      </c>
      <c r="B292" s="7" t="n">
        <v>1948</v>
      </c>
      <c r="C292" s="7" t="s">
        <v>558</v>
      </c>
      <c r="D292" s="7" t="n">
        <v>59</v>
      </c>
      <c r="E292" s="7" t="n">
        <v>94</v>
      </c>
      <c r="F292" s="7"/>
      <c r="G292" s="7"/>
      <c r="H292" s="7" t="s">
        <v>546</v>
      </c>
      <c r="I292" s="7" t="s">
        <v>546</v>
      </c>
      <c r="J292" s="21" t="n">
        <f aca="false">D292/(D292+E292)</f>
        <v>0.38562091503268</v>
      </c>
      <c r="K292" s="3" t="n">
        <f aca="false">IF(D292&gt;E292,1,0)</f>
        <v>0</v>
      </c>
      <c r="L292" s="3" t="n">
        <f aca="false">IF(OR(F292="Y",G292="Y",H292="Y"),1,0)</f>
        <v>0</v>
      </c>
      <c r="M292" s="3" t="n">
        <f aca="false">IF(H292="Y",1,0)</f>
        <v>0</v>
      </c>
      <c r="N292" s="3" t="n">
        <f aca="false">IF(I292="Y",1,0)</f>
        <v>0</v>
      </c>
    </row>
    <row r="293" customFormat="false" ht="15" hidden="false" customHeight="true" outlineLevel="0" collapsed="false">
      <c r="A293" s="7" t="s">
        <v>63</v>
      </c>
      <c r="B293" s="7" t="n">
        <v>1949</v>
      </c>
      <c r="C293" s="7" t="s">
        <v>558</v>
      </c>
      <c r="D293" s="7" t="n">
        <v>53</v>
      </c>
      <c r="E293" s="7" t="n">
        <v>101</v>
      </c>
      <c r="F293" s="7"/>
      <c r="G293" s="7"/>
      <c r="H293" s="7" t="s">
        <v>546</v>
      </c>
      <c r="I293" s="7" t="s">
        <v>546</v>
      </c>
      <c r="J293" s="21" t="n">
        <f aca="false">D293/(D293+E293)</f>
        <v>0.344155844155844</v>
      </c>
      <c r="K293" s="3" t="n">
        <f aca="false">IF(D293&gt;E293,1,0)</f>
        <v>0</v>
      </c>
      <c r="L293" s="3" t="n">
        <f aca="false">IF(OR(F293="Y",G293="Y",H293="Y"),1,0)</f>
        <v>0</v>
      </c>
      <c r="M293" s="3" t="n">
        <f aca="false">IF(H293="Y",1,0)</f>
        <v>0</v>
      </c>
      <c r="N293" s="3" t="n">
        <f aca="false">IF(I293="Y",1,0)</f>
        <v>0</v>
      </c>
    </row>
    <row r="294" customFormat="false" ht="15" hidden="false" customHeight="true" outlineLevel="0" collapsed="false">
      <c r="A294" s="7" t="s">
        <v>63</v>
      </c>
      <c r="B294" s="7" t="n">
        <v>1950</v>
      </c>
      <c r="C294" s="7" t="s">
        <v>558</v>
      </c>
      <c r="D294" s="7" t="n">
        <v>58</v>
      </c>
      <c r="E294" s="7" t="n">
        <v>96</v>
      </c>
      <c r="F294" s="7"/>
      <c r="G294" s="7"/>
      <c r="H294" s="7" t="s">
        <v>546</v>
      </c>
      <c r="I294" s="7" t="s">
        <v>546</v>
      </c>
      <c r="J294" s="21" t="n">
        <f aca="false">D294/(D294+E294)</f>
        <v>0.376623376623377</v>
      </c>
      <c r="K294" s="3" t="n">
        <f aca="false">IF(D294&gt;E294,1,0)</f>
        <v>0</v>
      </c>
      <c r="L294" s="3" t="n">
        <f aca="false">IF(OR(F294="Y",G294="Y",H294="Y"),1,0)</f>
        <v>0</v>
      </c>
      <c r="M294" s="3" t="n">
        <f aca="false">IF(H294="Y",1,0)</f>
        <v>0</v>
      </c>
      <c r="N294" s="3" t="n">
        <f aca="false">IF(I294="Y",1,0)</f>
        <v>0</v>
      </c>
    </row>
    <row r="295" customFormat="false" ht="15" hidden="false" customHeight="true" outlineLevel="0" collapsed="false">
      <c r="A295" s="7" t="s">
        <v>63</v>
      </c>
      <c r="B295" s="7" t="n">
        <v>1951</v>
      </c>
      <c r="C295" s="7" t="s">
        <v>558</v>
      </c>
      <c r="D295" s="7" t="n">
        <v>52</v>
      </c>
      <c r="E295" s="7" t="n">
        <v>102</v>
      </c>
      <c r="F295" s="7"/>
      <c r="G295" s="7"/>
      <c r="H295" s="7" t="s">
        <v>546</v>
      </c>
      <c r="I295" s="7" t="s">
        <v>546</v>
      </c>
      <c r="J295" s="21" t="n">
        <f aca="false">D295/(D295+E295)</f>
        <v>0.337662337662338</v>
      </c>
      <c r="K295" s="3" t="n">
        <f aca="false">IF(D295&gt;E295,1,0)</f>
        <v>0</v>
      </c>
      <c r="L295" s="3" t="n">
        <f aca="false">IF(OR(F295="Y",G295="Y",H295="Y"),1,0)</f>
        <v>0</v>
      </c>
      <c r="M295" s="3" t="n">
        <f aca="false">IF(H295="Y",1,0)</f>
        <v>0</v>
      </c>
      <c r="N295" s="3" t="n">
        <f aca="false">IF(I295="Y",1,0)</f>
        <v>0</v>
      </c>
    </row>
    <row r="296" customFormat="false" ht="15" hidden="false" customHeight="true" outlineLevel="0" collapsed="false">
      <c r="A296" s="7" t="s">
        <v>63</v>
      </c>
      <c r="B296" s="7" t="n">
        <v>1952</v>
      </c>
      <c r="C296" s="7" t="s">
        <v>558</v>
      </c>
      <c r="D296" s="7" t="n">
        <v>64</v>
      </c>
      <c r="E296" s="7" t="n">
        <v>90</v>
      </c>
      <c r="F296" s="7"/>
      <c r="G296" s="7"/>
      <c r="H296" s="7" t="s">
        <v>546</v>
      </c>
      <c r="I296" s="7" t="s">
        <v>546</v>
      </c>
      <c r="J296" s="21" t="n">
        <f aca="false">D296/(D296+E296)</f>
        <v>0.415584415584416</v>
      </c>
      <c r="K296" s="3" t="n">
        <f aca="false">IF(D296&gt;E296,1,0)</f>
        <v>0</v>
      </c>
      <c r="L296" s="3" t="n">
        <f aca="false">IF(OR(F296="Y",G296="Y",H296="Y"),1,0)</f>
        <v>0</v>
      </c>
      <c r="M296" s="3" t="n">
        <f aca="false">IF(H296="Y",1,0)</f>
        <v>0</v>
      </c>
      <c r="N296" s="3" t="n">
        <f aca="false">IF(I296="Y",1,0)</f>
        <v>0</v>
      </c>
    </row>
    <row r="297" customFormat="false" ht="15" hidden="false" customHeight="true" outlineLevel="0" collapsed="false">
      <c r="A297" s="7" t="s">
        <v>63</v>
      </c>
      <c r="B297" s="7" t="n">
        <v>1953</v>
      </c>
      <c r="C297" s="7" t="s">
        <v>558</v>
      </c>
      <c r="D297" s="7" t="n">
        <v>54</v>
      </c>
      <c r="E297" s="7" t="n">
        <v>100</v>
      </c>
      <c r="F297" s="7"/>
      <c r="G297" s="7"/>
      <c r="H297" s="7" t="s">
        <v>546</v>
      </c>
      <c r="I297" s="7" t="s">
        <v>546</v>
      </c>
      <c r="J297" s="21" t="n">
        <f aca="false">D297/(D297+E297)</f>
        <v>0.350649350649351</v>
      </c>
      <c r="K297" s="3" t="n">
        <f aca="false">IF(D297&gt;E297,1,0)</f>
        <v>0</v>
      </c>
      <c r="L297" s="3" t="n">
        <f aca="false">IF(OR(F297="Y",G297="Y",H297="Y"),1,0)</f>
        <v>0</v>
      </c>
      <c r="M297" s="3" t="n">
        <f aca="false">IF(H297="Y",1,0)</f>
        <v>0</v>
      </c>
      <c r="N297" s="3" t="n">
        <f aca="false">IF(I297="Y",1,0)</f>
        <v>0</v>
      </c>
    </row>
    <row r="298" customFormat="false" ht="15" hidden="false" customHeight="true" outlineLevel="0" collapsed="false">
      <c r="A298" s="7" t="s">
        <v>63</v>
      </c>
      <c r="B298" s="7" t="n">
        <v>1954</v>
      </c>
      <c r="C298" s="7" t="s">
        <v>364</v>
      </c>
      <c r="D298" s="7" t="n">
        <v>54</v>
      </c>
      <c r="E298" s="7" t="n">
        <v>100</v>
      </c>
      <c r="F298" s="7"/>
      <c r="G298" s="7"/>
      <c r="H298" s="7" t="s">
        <v>546</v>
      </c>
      <c r="I298" s="7" t="s">
        <v>546</v>
      </c>
      <c r="J298" s="21" t="n">
        <f aca="false">D298/(D298+E298)</f>
        <v>0.350649350649351</v>
      </c>
      <c r="K298" s="3" t="n">
        <f aca="false">IF(D298&gt;E298,1,0)</f>
        <v>0</v>
      </c>
      <c r="L298" s="3" t="n">
        <f aca="false">IF(OR(F298="Y",G298="Y",H298="Y"),1,0)</f>
        <v>0</v>
      </c>
      <c r="M298" s="3" t="n">
        <f aca="false">IF(H298="Y",1,0)</f>
        <v>0</v>
      </c>
      <c r="N298" s="3" t="n">
        <f aca="false">IF(I298="Y",1,0)</f>
        <v>0</v>
      </c>
    </row>
    <row r="299" customFormat="false" ht="15" hidden="false" customHeight="true" outlineLevel="0" collapsed="false">
      <c r="A299" s="7" t="s">
        <v>63</v>
      </c>
      <c r="B299" s="7" t="n">
        <v>1955</v>
      </c>
      <c r="C299" s="7" t="s">
        <v>364</v>
      </c>
      <c r="D299" s="7" t="n">
        <v>57</v>
      </c>
      <c r="E299" s="7" t="n">
        <v>97</v>
      </c>
      <c r="F299" s="7"/>
      <c r="G299" s="7"/>
      <c r="H299" s="7" t="s">
        <v>546</v>
      </c>
      <c r="I299" s="7" t="s">
        <v>546</v>
      </c>
      <c r="J299" s="21" t="n">
        <f aca="false">D299/(D299+E299)</f>
        <v>0.37012987012987</v>
      </c>
      <c r="K299" s="3" t="n">
        <f aca="false">IF(D299&gt;E299,1,0)</f>
        <v>0</v>
      </c>
      <c r="L299" s="3" t="n">
        <f aca="false">IF(OR(F299="Y",G299="Y",H299="Y"),1,0)</f>
        <v>0</v>
      </c>
      <c r="M299" s="3" t="n">
        <f aca="false">IF(H299="Y",1,0)</f>
        <v>0</v>
      </c>
      <c r="N299" s="3" t="n">
        <f aca="false">IF(I299="Y",1,0)</f>
        <v>0</v>
      </c>
    </row>
    <row r="300" customFormat="false" ht="15" hidden="false" customHeight="true" outlineLevel="0" collapsed="false">
      <c r="A300" s="7" t="s">
        <v>63</v>
      </c>
      <c r="B300" s="7" t="n">
        <v>1956</v>
      </c>
      <c r="C300" s="7" t="s">
        <v>364</v>
      </c>
      <c r="D300" s="7" t="n">
        <v>69</v>
      </c>
      <c r="E300" s="7" t="n">
        <v>85</v>
      </c>
      <c r="F300" s="7"/>
      <c r="G300" s="7"/>
      <c r="H300" s="7" t="s">
        <v>546</v>
      </c>
      <c r="I300" s="7" t="s">
        <v>546</v>
      </c>
      <c r="J300" s="21" t="n">
        <f aca="false">D300/(D300+E300)</f>
        <v>0.448051948051948</v>
      </c>
      <c r="K300" s="3" t="n">
        <f aca="false">IF(D300&gt;E300,1,0)</f>
        <v>0</v>
      </c>
      <c r="L300" s="3" t="n">
        <f aca="false">IF(OR(F300="Y",G300="Y",H300="Y"),1,0)</f>
        <v>0</v>
      </c>
      <c r="M300" s="3" t="n">
        <f aca="false">IF(H300="Y",1,0)</f>
        <v>0</v>
      </c>
      <c r="N300" s="3" t="n">
        <f aca="false">IF(I300="Y",1,0)</f>
        <v>0</v>
      </c>
    </row>
    <row r="301" customFormat="false" ht="15" hidden="false" customHeight="true" outlineLevel="0" collapsed="false">
      <c r="A301" s="7" t="s">
        <v>63</v>
      </c>
      <c r="B301" s="7" t="n">
        <v>1957</v>
      </c>
      <c r="C301" s="7" t="s">
        <v>364</v>
      </c>
      <c r="D301" s="7" t="n">
        <v>76</v>
      </c>
      <c r="E301" s="7" t="n">
        <v>76</v>
      </c>
      <c r="F301" s="7"/>
      <c r="G301" s="7"/>
      <c r="H301" s="7" t="s">
        <v>546</v>
      </c>
      <c r="I301" s="7" t="s">
        <v>546</v>
      </c>
      <c r="J301" s="21" t="n">
        <f aca="false">D301/(D301+E301)</f>
        <v>0.5</v>
      </c>
      <c r="K301" s="3" t="n">
        <f aca="false">IF(D301&gt;E301,1,0)</f>
        <v>0</v>
      </c>
      <c r="L301" s="3" t="n">
        <f aca="false">IF(OR(F301="Y",G301="Y",H301="Y"),1,0)</f>
        <v>0</v>
      </c>
      <c r="M301" s="3" t="n">
        <f aca="false">IF(H301="Y",1,0)</f>
        <v>0</v>
      </c>
      <c r="N301" s="3" t="n">
        <f aca="false">IF(I301="Y",1,0)</f>
        <v>0</v>
      </c>
    </row>
    <row r="302" customFormat="false" ht="15" hidden="false" customHeight="true" outlineLevel="0" collapsed="false">
      <c r="A302" s="7" t="s">
        <v>63</v>
      </c>
      <c r="B302" s="7" t="n">
        <v>1958</v>
      </c>
      <c r="C302" s="7" t="s">
        <v>364</v>
      </c>
      <c r="D302" s="7" t="n">
        <v>74</v>
      </c>
      <c r="E302" s="7" t="n">
        <v>79</v>
      </c>
      <c r="F302" s="7"/>
      <c r="G302" s="7"/>
      <c r="H302" s="7" t="s">
        <v>546</v>
      </c>
      <c r="I302" s="7" t="s">
        <v>546</v>
      </c>
      <c r="J302" s="21" t="n">
        <f aca="false">D302/(D302+E302)</f>
        <v>0.483660130718954</v>
      </c>
      <c r="K302" s="3" t="n">
        <f aca="false">IF(D302&gt;E302,1,0)</f>
        <v>0</v>
      </c>
      <c r="L302" s="3" t="n">
        <f aca="false">IF(OR(F302="Y",G302="Y",H302="Y"),1,0)</f>
        <v>0</v>
      </c>
      <c r="M302" s="3" t="n">
        <f aca="false">IF(H302="Y",1,0)</f>
        <v>0</v>
      </c>
      <c r="N302" s="3" t="n">
        <f aca="false">IF(I302="Y",1,0)</f>
        <v>0</v>
      </c>
    </row>
    <row r="303" customFormat="false" ht="15" hidden="false" customHeight="true" outlineLevel="0" collapsed="false">
      <c r="A303" s="7" t="s">
        <v>63</v>
      </c>
      <c r="B303" s="7" t="n">
        <v>1959</v>
      </c>
      <c r="C303" s="7" t="s">
        <v>364</v>
      </c>
      <c r="D303" s="7" t="n">
        <v>74</v>
      </c>
      <c r="E303" s="7" t="n">
        <v>80</v>
      </c>
      <c r="F303" s="7"/>
      <c r="G303" s="7"/>
      <c r="H303" s="7" t="s">
        <v>546</v>
      </c>
      <c r="I303" s="7" t="s">
        <v>546</v>
      </c>
      <c r="J303" s="21" t="n">
        <f aca="false">D303/(D303+E303)</f>
        <v>0.480519480519481</v>
      </c>
      <c r="K303" s="3" t="n">
        <f aca="false">IF(D303&gt;E303,1,0)</f>
        <v>0</v>
      </c>
      <c r="L303" s="3" t="n">
        <f aca="false">IF(OR(F303="Y",G303="Y",H303="Y"),1,0)</f>
        <v>0</v>
      </c>
      <c r="M303" s="3" t="n">
        <f aca="false">IF(H303="Y",1,0)</f>
        <v>0</v>
      </c>
      <c r="N303" s="3" t="n">
        <f aca="false">IF(I303="Y",1,0)</f>
        <v>0</v>
      </c>
    </row>
    <row r="304" customFormat="false" ht="15" hidden="false" customHeight="true" outlineLevel="0" collapsed="false">
      <c r="A304" s="7" t="s">
        <v>63</v>
      </c>
      <c r="B304" s="7" t="n">
        <v>1960</v>
      </c>
      <c r="C304" s="7" t="s">
        <v>364</v>
      </c>
      <c r="D304" s="7" t="n">
        <v>89</v>
      </c>
      <c r="E304" s="7" t="n">
        <v>65</v>
      </c>
      <c r="F304" s="7"/>
      <c r="G304" s="7"/>
      <c r="H304" s="7" t="s">
        <v>546</v>
      </c>
      <c r="I304" s="7" t="s">
        <v>546</v>
      </c>
      <c r="J304" s="21" t="n">
        <f aca="false">D304/(D304+E304)</f>
        <v>0.577922077922078</v>
      </c>
      <c r="K304" s="3" t="n">
        <f aca="false">IF(D304&gt;E304,1,0)</f>
        <v>1</v>
      </c>
      <c r="L304" s="3" t="n">
        <f aca="false">IF(OR(F304="Y",G304="Y",H304="Y"),1,0)</f>
        <v>0</v>
      </c>
      <c r="M304" s="3" t="n">
        <f aca="false">IF(H304="Y",1,0)</f>
        <v>0</v>
      </c>
      <c r="N304" s="3" t="n">
        <f aca="false">IF(I304="Y",1,0)</f>
        <v>0</v>
      </c>
    </row>
    <row r="305" customFormat="false" ht="15" hidden="false" customHeight="true" outlineLevel="0" collapsed="false">
      <c r="A305" s="7" t="s">
        <v>63</v>
      </c>
      <c r="B305" s="7" t="n">
        <v>1961</v>
      </c>
      <c r="C305" s="7" t="s">
        <v>364</v>
      </c>
      <c r="D305" s="7" t="n">
        <v>95</v>
      </c>
      <c r="E305" s="7" t="n">
        <v>67</v>
      </c>
      <c r="F305" s="7"/>
      <c r="G305" s="7"/>
      <c r="H305" s="7" t="s">
        <v>546</v>
      </c>
      <c r="I305" s="7" t="s">
        <v>546</v>
      </c>
      <c r="J305" s="21" t="n">
        <f aca="false">D305/(D305+E305)</f>
        <v>0.58641975308642</v>
      </c>
      <c r="K305" s="3" t="n">
        <f aca="false">IF(D305&gt;E305,1,0)</f>
        <v>1</v>
      </c>
      <c r="L305" s="3" t="n">
        <f aca="false">IF(OR(F305="Y",G305="Y",H305="Y"),1,0)</f>
        <v>0</v>
      </c>
      <c r="M305" s="3" t="n">
        <f aca="false">IF(H305="Y",1,0)</f>
        <v>0</v>
      </c>
      <c r="N305" s="3" t="n">
        <f aca="false">IF(I305="Y",1,0)</f>
        <v>0</v>
      </c>
    </row>
    <row r="306" customFormat="false" ht="15" hidden="false" customHeight="true" outlineLevel="0" collapsed="false">
      <c r="A306" s="7" t="s">
        <v>63</v>
      </c>
      <c r="B306" s="7" t="n">
        <v>1962</v>
      </c>
      <c r="C306" s="7" t="s">
        <v>364</v>
      </c>
      <c r="D306" s="7" t="n">
        <v>77</v>
      </c>
      <c r="E306" s="7" t="n">
        <v>85</v>
      </c>
      <c r="F306" s="7"/>
      <c r="G306" s="7"/>
      <c r="H306" s="7" t="s">
        <v>546</v>
      </c>
      <c r="I306" s="7" t="s">
        <v>546</v>
      </c>
      <c r="J306" s="21" t="n">
        <f aca="false">D306/(D306+E306)</f>
        <v>0.475308641975309</v>
      </c>
      <c r="K306" s="3" t="n">
        <f aca="false">IF(D306&gt;E306,1,0)</f>
        <v>0</v>
      </c>
      <c r="L306" s="3" t="n">
        <f aca="false">IF(OR(F306="Y",G306="Y",H306="Y"),1,0)</f>
        <v>0</v>
      </c>
      <c r="M306" s="3" t="n">
        <f aca="false">IF(H306="Y",1,0)</f>
        <v>0</v>
      </c>
      <c r="N306" s="3" t="n">
        <f aca="false">IF(I306="Y",1,0)</f>
        <v>0</v>
      </c>
    </row>
    <row r="307" customFormat="false" ht="15" hidden="false" customHeight="true" outlineLevel="0" collapsed="false">
      <c r="A307" s="7" t="s">
        <v>63</v>
      </c>
      <c r="B307" s="7" t="n">
        <v>1963</v>
      </c>
      <c r="C307" s="7" t="s">
        <v>364</v>
      </c>
      <c r="D307" s="7" t="n">
        <v>86</v>
      </c>
      <c r="E307" s="7" t="n">
        <v>76</v>
      </c>
      <c r="F307" s="7"/>
      <c r="G307" s="7"/>
      <c r="H307" s="7" t="s">
        <v>546</v>
      </c>
      <c r="I307" s="7" t="s">
        <v>546</v>
      </c>
      <c r="J307" s="21" t="n">
        <f aca="false">D307/(D307+E307)</f>
        <v>0.530864197530864</v>
      </c>
      <c r="K307" s="3" t="n">
        <f aca="false">IF(D307&gt;E307,1,0)</f>
        <v>1</v>
      </c>
      <c r="L307" s="3" t="n">
        <f aca="false">IF(OR(F307="Y",G307="Y",H307="Y"),1,0)</f>
        <v>0</v>
      </c>
      <c r="M307" s="3" t="n">
        <f aca="false">IF(H307="Y",1,0)</f>
        <v>0</v>
      </c>
      <c r="N307" s="3" t="n">
        <f aca="false">IF(I307="Y",1,0)</f>
        <v>0</v>
      </c>
    </row>
    <row r="308" customFormat="false" ht="15" hidden="false" customHeight="true" outlineLevel="0" collapsed="false">
      <c r="A308" s="7" t="s">
        <v>63</v>
      </c>
      <c r="B308" s="7" t="n">
        <v>1964</v>
      </c>
      <c r="C308" s="7" t="s">
        <v>364</v>
      </c>
      <c r="D308" s="7" t="n">
        <v>97</v>
      </c>
      <c r="E308" s="7" t="n">
        <v>65</v>
      </c>
      <c r="F308" s="7"/>
      <c r="G308" s="7"/>
      <c r="H308" s="7" t="s">
        <v>546</v>
      </c>
      <c r="I308" s="7" t="s">
        <v>546</v>
      </c>
      <c r="J308" s="21" t="n">
        <f aca="false">D308/(D308+E308)</f>
        <v>0.598765432098765</v>
      </c>
      <c r="K308" s="3" t="n">
        <f aca="false">IF(D308&gt;E308,1,0)</f>
        <v>1</v>
      </c>
      <c r="L308" s="3" t="n">
        <f aca="false">IF(OR(F308="Y",G308="Y",H308="Y"),1,0)</f>
        <v>0</v>
      </c>
      <c r="M308" s="3" t="n">
        <f aca="false">IF(H308="Y",1,0)</f>
        <v>0</v>
      </c>
      <c r="N308" s="3" t="n">
        <f aca="false">IF(I308="Y",1,0)</f>
        <v>0</v>
      </c>
    </row>
    <row r="309" customFormat="false" ht="15" hidden="false" customHeight="true" outlineLevel="0" collapsed="false">
      <c r="A309" s="7" t="s">
        <v>63</v>
      </c>
      <c r="B309" s="7" t="n">
        <v>1965</v>
      </c>
      <c r="C309" s="7" t="s">
        <v>364</v>
      </c>
      <c r="D309" s="7" t="n">
        <v>94</v>
      </c>
      <c r="E309" s="7" t="n">
        <v>68</v>
      </c>
      <c r="F309" s="7"/>
      <c r="G309" s="7"/>
      <c r="H309" s="7" t="s">
        <v>546</v>
      </c>
      <c r="I309" s="7" t="s">
        <v>546</v>
      </c>
      <c r="J309" s="21" t="n">
        <f aca="false">D309/(D309+E309)</f>
        <v>0.580246913580247</v>
      </c>
      <c r="K309" s="3" t="n">
        <f aca="false">IF(D309&gt;E309,1,0)</f>
        <v>1</v>
      </c>
      <c r="L309" s="3" t="n">
        <f aca="false">IF(OR(F309="Y",G309="Y",H309="Y"),1,0)</f>
        <v>0</v>
      </c>
      <c r="M309" s="3" t="n">
        <f aca="false">IF(H309="Y",1,0)</f>
        <v>0</v>
      </c>
      <c r="N309" s="3" t="n">
        <f aca="false">IF(I309="Y",1,0)</f>
        <v>0</v>
      </c>
    </row>
    <row r="310" customFormat="false" ht="15" hidden="false" customHeight="true" outlineLevel="0" collapsed="false">
      <c r="A310" s="7" t="s">
        <v>63</v>
      </c>
      <c r="B310" s="7" t="n">
        <v>1966</v>
      </c>
      <c r="C310" s="7" t="s">
        <v>364</v>
      </c>
      <c r="D310" s="7" t="n">
        <v>97</v>
      </c>
      <c r="E310" s="7" t="n">
        <v>63</v>
      </c>
      <c r="F310" s="7"/>
      <c r="G310" s="7"/>
      <c r="H310" s="7" t="s">
        <v>548</v>
      </c>
      <c r="I310" s="7" t="s">
        <v>548</v>
      </c>
      <c r="J310" s="21" t="n">
        <f aca="false">D310/(D310+E310)</f>
        <v>0.60625</v>
      </c>
      <c r="K310" s="3" t="n">
        <f aca="false">IF(D310&gt;E310,1,0)</f>
        <v>1</v>
      </c>
      <c r="L310" s="3" t="n">
        <f aca="false">IF(OR(F310="Y",G310="Y",H310="Y"),1,0)</f>
        <v>1</v>
      </c>
      <c r="M310" s="3" t="n">
        <f aca="false">IF(H310="Y",1,0)</f>
        <v>1</v>
      </c>
      <c r="N310" s="3" t="n">
        <f aca="false">IF(I310="Y",1,0)</f>
        <v>1</v>
      </c>
    </row>
    <row r="311" customFormat="false" ht="15" hidden="false" customHeight="true" outlineLevel="0" collapsed="false">
      <c r="A311" s="7" t="s">
        <v>63</v>
      </c>
      <c r="B311" s="7" t="n">
        <v>1967</v>
      </c>
      <c r="C311" s="7" t="s">
        <v>364</v>
      </c>
      <c r="D311" s="7" t="n">
        <v>76</v>
      </c>
      <c r="E311" s="7" t="n">
        <v>85</v>
      </c>
      <c r="F311" s="7"/>
      <c r="G311" s="7"/>
      <c r="H311" s="7" t="s">
        <v>546</v>
      </c>
      <c r="I311" s="7" t="s">
        <v>546</v>
      </c>
      <c r="J311" s="21" t="n">
        <f aca="false">D311/(D311+E311)</f>
        <v>0.472049689440994</v>
      </c>
      <c r="K311" s="3" t="n">
        <f aca="false">IF(D311&gt;E311,1,0)</f>
        <v>0</v>
      </c>
      <c r="L311" s="3" t="n">
        <f aca="false">IF(OR(F311="Y",G311="Y",H311="Y"),1,0)</f>
        <v>0</v>
      </c>
      <c r="M311" s="3" t="n">
        <f aca="false">IF(H311="Y",1,0)</f>
        <v>0</v>
      </c>
      <c r="N311" s="3" t="n">
        <f aca="false">IF(I311="Y",1,0)</f>
        <v>0</v>
      </c>
    </row>
    <row r="312" customFormat="false" ht="15" hidden="false" customHeight="true" outlineLevel="0" collapsed="false">
      <c r="A312" s="7" t="s">
        <v>63</v>
      </c>
      <c r="B312" s="7" t="n">
        <v>1968</v>
      </c>
      <c r="C312" s="7" t="s">
        <v>364</v>
      </c>
      <c r="D312" s="7" t="n">
        <v>91</v>
      </c>
      <c r="E312" s="7" t="n">
        <v>71</v>
      </c>
      <c r="F312" s="7"/>
      <c r="G312" s="7"/>
      <c r="H312" s="7" t="s">
        <v>546</v>
      </c>
      <c r="I312" s="7" t="s">
        <v>546</v>
      </c>
      <c r="J312" s="21" t="n">
        <f aca="false">D312/(D312+E312)</f>
        <v>0.561728395061728</v>
      </c>
      <c r="K312" s="3" t="n">
        <f aca="false">IF(D312&gt;E312,1,0)</f>
        <v>1</v>
      </c>
      <c r="L312" s="3" t="n">
        <f aca="false">IF(OR(F312="Y",G312="Y",H312="Y"),1,0)</f>
        <v>0</v>
      </c>
      <c r="M312" s="3" t="n">
        <f aca="false">IF(H312="Y",1,0)</f>
        <v>0</v>
      </c>
      <c r="N312" s="3" t="n">
        <f aca="false">IF(I312="Y",1,0)</f>
        <v>0</v>
      </c>
    </row>
    <row r="313" customFormat="false" ht="15" hidden="false" customHeight="true" outlineLevel="0" collapsed="false">
      <c r="A313" s="7" t="s">
        <v>63</v>
      </c>
      <c r="B313" s="7" t="n">
        <v>1969</v>
      </c>
      <c r="C313" s="7" t="s">
        <v>364</v>
      </c>
      <c r="D313" s="7" t="n">
        <v>109</v>
      </c>
      <c r="E313" s="7" t="n">
        <v>53</v>
      </c>
      <c r="F313" s="7" t="s">
        <v>548</v>
      </c>
      <c r="G313" s="7"/>
      <c r="H313" s="7" t="s">
        <v>548</v>
      </c>
      <c r="I313" s="7" t="s">
        <v>546</v>
      </c>
      <c r="J313" s="21" t="n">
        <f aca="false">D313/(D313+E313)</f>
        <v>0.67283950617284</v>
      </c>
      <c r="K313" s="3" t="n">
        <f aca="false">IF(D313&gt;E313,1,0)</f>
        <v>1</v>
      </c>
      <c r="L313" s="3" t="n">
        <f aca="false">IF(OR(F313="Y",G313="Y",H313="Y"),1,0)</f>
        <v>1</v>
      </c>
      <c r="M313" s="3" t="n">
        <f aca="false">IF(H313="Y",1,0)</f>
        <v>1</v>
      </c>
      <c r="N313" s="3" t="n">
        <f aca="false">IF(I313="Y",1,0)</f>
        <v>0</v>
      </c>
    </row>
    <row r="314" customFormat="false" ht="15" hidden="false" customHeight="true" outlineLevel="0" collapsed="false">
      <c r="A314" s="7" t="s">
        <v>63</v>
      </c>
      <c r="B314" s="7" t="n">
        <v>1970</v>
      </c>
      <c r="C314" s="7" t="s">
        <v>364</v>
      </c>
      <c r="D314" s="7" t="n">
        <v>108</v>
      </c>
      <c r="E314" s="7" t="n">
        <v>54</v>
      </c>
      <c r="F314" s="7" t="s">
        <v>548</v>
      </c>
      <c r="G314" s="7"/>
      <c r="H314" s="7" t="s">
        <v>548</v>
      </c>
      <c r="I314" s="7" t="s">
        <v>548</v>
      </c>
      <c r="J314" s="21" t="n">
        <f aca="false">D314/(D314+E314)</f>
        <v>0.666666666666667</v>
      </c>
      <c r="K314" s="3" t="n">
        <f aca="false">IF(D314&gt;E314,1,0)</f>
        <v>1</v>
      </c>
      <c r="L314" s="3" t="n">
        <f aca="false">IF(OR(F314="Y",G314="Y",H314="Y"),1,0)</f>
        <v>1</v>
      </c>
      <c r="M314" s="3" t="n">
        <f aca="false">IF(H314="Y",1,0)</f>
        <v>1</v>
      </c>
      <c r="N314" s="3" t="n">
        <f aca="false">IF(I314="Y",1,0)</f>
        <v>1</v>
      </c>
    </row>
    <row r="315" customFormat="false" ht="15" hidden="false" customHeight="true" outlineLevel="0" collapsed="false">
      <c r="A315" s="7" t="s">
        <v>63</v>
      </c>
      <c r="B315" s="7" t="n">
        <v>1971</v>
      </c>
      <c r="C315" s="7" t="s">
        <v>364</v>
      </c>
      <c r="D315" s="7" t="n">
        <v>101</v>
      </c>
      <c r="E315" s="7" t="n">
        <v>57</v>
      </c>
      <c r="F315" s="7" t="s">
        <v>548</v>
      </c>
      <c r="G315" s="7"/>
      <c r="H315" s="7" t="s">
        <v>548</v>
      </c>
      <c r="I315" s="7" t="s">
        <v>546</v>
      </c>
      <c r="J315" s="21" t="n">
        <f aca="false">D315/(D315+E315)</f>
        <v>0.639240506329114</v>
      </c>
      <c r="K315" s="3" t="n">
        <f aca="false">IF(D315&gt;E315,1,0)</f>
        <v>1</v>
      </c>
      <c r="L315" s="3" t="n">
        <f aca="false">IF(OR(F315="Y",G315="Y",H315="Y"),1,0)</f>
        <v>1</v>
      </c>
      <c r="M315" s="3" t="n">
        <f aca="false">IF(H315="Y",1,0)</f>
        <v>1</v>
      </c>
      <c r="N315" s="3" t="n">
        <f aca="false">IF(I315="Y",1,0)</f>
        <v>0</v>
      </c>
    </row>
    <row r="316" customFormat="false" ht="15" hidden="false" customHeight="true" outlineLevel="0" collapsed="false">
      <c r="A316" s="7" t="s">
        <v>63</v>
      </c>
      <c r="B316" s="7" t="n">
        <v>1972</v>
      </c>
      <c r="C316" s="7" t="s">
        <v>364</v>
      </c>
      <c r="D316" s="7" t="n">
        <v>80</v>
      </c>
      <c r="E316" s="7" t="n">
        <v>74</v>
      </c>
      <c r="F316" s="7" t="s">
        <v>546</v>
      </c>
      <c r="G316" s="7"/>
      <c r="H316" s="7" t="s">
        <v>546</v>
      </c>
      <c r="I316" s="7" t="s">
        <v>546</v>
      </c>
      <c r="J316" s="21" t="n">
        <f aca="false">D316/(D316+E316)</f>
        <v>0.519480519480519</v>
      </c>
      <c r="K316" s="3" t="n">
        <f aca="false">IF(D316&gt;E316,1,0)</f>
        <v>1</v>
      </c>
      <c r="L316" s="3" t="n">
        <f aca="false">IF(OR(F316="Y",G316="Y",H316="Y"),1,0)</f>
        <v>0</v>
      </c>
      <c r="M316" s="3" t="n">
        <f aca="false">IF(H316="Y",1,0)</f>
        <v>0</v>
      </c>
      <c r="N316" s="3" t="n">
        <f aca="false">IF(I316="Y",1,0)</f>
        <v>0</v>
      </c>
    </row>
    <row r="317" customFormat="false" ht="15" hidden="false" customHeight="true" outlineLevel="0" collapsed="false">
      <c r="A317" s="7" t="s">
        <v>63</v>
      </c>
      <c r="B317" s="7" t="n">
        <v>1973</v>
      </c>
      <c r="C317" s="7" t="s">
        <v>364</v>
      </c>
      <c r="D317" s="7" t="n">
        <v>97</v>
      </c>
      <c r="E317" s="7" t="n">
        <v>65</v>
      </c>
      <c r="F317" s="7" t="s">
        <v>548</v>
      </c>
      <c r="G317" s="7"/>
      <c r="H317" s="7" t="s">
        <v>546</v>
      </c>
      <c r="I317" s="7" t="s">
        <v>546</v>
      </c>
      <c r="J317" s="21" t="n">
        <f aca="false">D317/(D317+E317)</f>
        <v>0.598765432098765</v>
      </c>
      <c r="K317" s="3" t="n">
        <f aca="false">IF(D317&gt;E317,1,0)</f>
        <v>1</v>
      </c>
      <c r="L317" s="3" t="n">
        <f aca="false">IF(OR(F317="Y",G317="Y",H317="Y"),1,0)</f>
        <v>1</v>
      </c>
      <c r="M317" s="3" t="n">
        <f aca="false">IF(H317="Y",1,0)</f>
        <v>0</v>
      </c>
      <c r="N317" s="3" t="n">
        <f aca="false">IF(I317="Y",1,0)</f>
        <v>0</v>
      </c>
    </row>
    <row r="318" customFormat="false" ht="15" hidden="false" customHeight="true" outlineLevel="0" collapsed="false">
      <c r="A318" s="7" t="s">
        <v>63</v>
      </c>
      <c r="B318" s="7" t="n">
        <v>1974</v>
      </c>
      <c r="C318" s="7" t="s">
        <v>364</v>
      </c>
      <c r="D318" s="7" t="n">
        <v>91</v>
      </c>
      <c r="E318" s="7" t="n">
        <v>71</v>
      </c>
      <c r="F318" s="7" t="s">
        <v>548</v>
      </c>
      <c r="G318" s="7"/>
      <c r="H318" s="7" t="s">
        <v>546</v>
      </c>
      <c r="I318" s="7" t="s">
        <v>546</v>
      </c>
      <c r="J318" s="21" t="n">
        <f aca="false">D318/(D318+E318)</f>
        <v>0.561728395061728</v>
      </c>
      <c r="K318" s="3" t="n">
        <f aca="false">IF(D318&gt;E318,1,0)</f>
        <v>1</v>
      </c>
      <c r="L318" s="3" t="n">
        <f aca="false">IF(OR(F318="Y",G318="Y",H318="Y"),1,0)</f>
        <v>1</v>
      </c>
      <c r="M318" s="3" t="n">
        <f aca="false">IF(H318="Y",1,0)</f>
        <v>0</v>
      </c>
      <c r="N318" s="3" t="n">
        <f aca="false">IF(I318="Y",1,0)</f>
        <v>0</v>
      </c>
    </row>
    <row r="319" customFormat="false" ht="15" hidden="false" customHeight="true" outlineLevel="0" collapsed="false">
      <c r="A319" s="7" t="s">
        <v>63</v>
      </c>
      <c r="B319" s="7" t="n">
        <v>1975</v>
      </c>
      <c r="C319" s="7" t="s">
        <v>364</v>
      </c>
      <c r="D319" s="7" t="n">
        <v>90</v>
      </c>
      <c r="E319" s="7" t="n">
        <v>69</v>
      </c>
      <c r="F319" s="7" t="s">
        <v>546</v>
      </c>
      <c r="G319" s="7"/>
      <c r="H319" s="7" t="s">
        <v>546</v>
      </c>
      <c r="I319" s="7" t="s">
        <v>546</v>
      </c>
      <c r="J319" s="21" t="n">
        <f aca="false">D319/(D319+E319)</f>
        <v>0.566037735849057</v>
      </c>
      <c r="K319" s="3" t="n">
        <f aca="false">IF(D319&gt;E319,1,0)</f>
        <v>1</v>
      </c>
      <c r="L319" s="3" t="n">
        <f aca="false">IF(OR(F319="Y",G319="Y",H319="Y"),1,0)</f>
        <v>0</v>
      </c>
      <c r="M319" s="3" t="n">
        <f aca="false">IF(H319="Y",1,0)</f>
        <v>0</v>
      </c>
      <c r="N319" s="3" t="n">
        <f aca="false">IF(I319="Y",1,0)</f>
        <v>0</v>
      </c>
    </row>
    <row r="320" customFormat="false" ht="15" hidden="false" customHeight="true" outlineLevel="0" collapsed="false">
      <c r="A320" s="7" t="s">
        <v>63</v>
      </c>
      <c r="B320" s="7" t="n">
        <v>1976</v>
      </c>
      <c r="C320" s="7" t="s">
        <v>364</v>
      </c>
      <c r="D320" s="7" t="n">
        <v>88</v>
      </c>
      <c r="E320" s="7" t="n">
        <v>74</v>
      </c>
      <c r="F320" s="7" t="s">
        <v>546</v>
      </c>
      <c r="G320" s="7"/>
      <c r="H320" s="7" t="s">
        <v>546</v>
      </c>
      <c r="I320" s="7" t="s">
        <v>546</v>
      </c>
      <c r="J320" s="21" t="n">
        <f aca="false">D320/(D320+E320)</f>
        <v>0.54320987654321</v>
      </c>
      <c r="K320" s="3" t="n">
        <f aca="false">IF(D320&gt;E320,1,0)</f>
        <v>1</v>
      </c>
      <c r="L320" s="3" t="n">
        <f aca="false">IF(OR(F320="Y",G320="Y",H320="Y"),1,0)</f>
        <v>0</v>
      </c>
      <c r="M320" s="3" t="n">
        <f aca="false">IF(H320="Y",1,0)</f>
        <v>0</v>
      </c>
      <c r="N320" s="3" t="n">
        <f aca="false">IF(I320="Y",1,0)</f>
        <v>0</v>
      </c>
    </row>
    <row r="321" customFormat="false" ht="15" hidden="false" customHeight="true" outlineLevel="0" collapsed="false">
      <c r="A321" s="7" t="s">
        <v>63</v>
      </c>
      <c r="B321" s="7" t="n">
        <v>1977</v>
      </c>
      <c r="C321" s="7" t="s">
        <v>364</v>
      </c>
      <c r="D321" s="7" t="n">
        <v>97</v>
      </c>
      <c r="E321" s="7" t="n">
        <v>64</v>
      </c>
      <c r="F321" s="7" t="s">
        <v>546</v>
      </c>
      <c r="G321" s="7"/>
      <c r="H321" s="7" t="s">
        <v>546</v>
      </c>
      <c r="I321" s="7" t="s">
        <v>546</v>
      </c>
      <c r="J321" s="21" t="n">
        <f aca="false">D321/(D321+E321)</f>
        <v>0.60248447204969</v>
      </c>
      <c r="K321" s="3" t="n">
        <f aca="false">IF(D321&gt;E321,1,0)</f>
        <v>1</v>
      </c>
      <c r="L321" s="3" t="n">
        <f aca="false">IF(OR(F321="Y",G321="Y",H321="Y"),1,0)</f>
        <v>0</v>
      </c>
      <c r="M321" s="3" t="n">
        <f aca="false">IF(H321="Y",1,0)</f>
        <v>0</v>
      </c>
      <c r="N321" s="3" t="n">
        <f aca="false">IF(I321="Y",1,0)</f>
        <v>0</v>
      </c>
    </row>
    <row r="322" customFormat="false" ht="15" hidden="false" customHeight="true" outlineLevel="0" collapsed="false">
      <c r="A322" s="7" t="s">
        <v>63</v>
      </c>
      <c r="B322" s="7" t="n">
        <v>1978</v>
      </c>
      <c r="C322" s="7" t="s">
        <v>364</v>
      </c>
      <c r="D322" s="7" t="n">
        <v>90</v>
      </c>
      <c r="E322" s="7" t="n">
        <v>71</v>
      </c>
      <c r="F322" s="7" t="s">
        <v>546</v>
      </c>
      <c r="G322" s="7"/>
      <c r="H322" s="7" t="s">
        <v>546</v>
      </c>
      <c r="I322" s="7" t="s">
        <v>546</v>
      </c>
      <c r="J322" s="21" t="n">
        <f aca="false">D322/(D322+E322)</f>
        <v>0.559006211180124</v>
      </c>
      <c r="K322" s="3" t="n">
        <f aca="false">IF(D322&gt;E322,1,0)</f>
        <v>1</v>
      </c>
      <c r="L322" s="3" t="n">
        <f aca="false">IF(OR(F322="Y",G322="Y",H322="Y"),1,0)</f>
        <v>0</v>
      </c>
      <c r="M322" s="3" t="n">
        <f aca="false">IF(H322="Y",1,0)</f>
        <v>0</v>
      </c>
      <c r="N322" s="3" t="n">
        <f aca="false">IF(I322="Y",1,0)</f>
        <v>0</v>
      </c>
    </row>
    <row r="323" customFormat="false" ht="15" hidden="false" customHeight="true" outlineLevel="0" collapsed="false">
      <c r="A323" s="7" t="s">
        <v>63</v>
      </c>
      <c r="B323" s="7" t="n">
        <v>1979</v>
      </c>
      <c r="C323" s="7" t="s">
        <v>364</v>
      </c>
      <c r="D323" s="7" t="n">
        <v>102</v>
      </c>
      <c r="E323" s="7" t="n">
        <v>57</v>
      </c>
      <c r="F323" s="7" t="s">
        <v>548</v>
      </c>
      <c r="G323" s="7"/>
      <c r="H323" s="7" t="s">
        <v>548</v>
      </c>
      <c r="I323" s="7" t="s">
        <v>546</v>
      </c>
      <c r="J323" s="21" t="n">
        <f aca="false">D323/(D323+E323)</f>
        <v>0.641509433962264</v>
      </c>
      <c r="K323" s="3" t="n">
        <f aca="false">IF(D323&gt;E323,1,0)</f>
        <v>1</v>
      </c>
      <c r="L323" s="3" t="n">
        <f aca="false">IF(OR(F323="Y",G323="Y",H323="Y"),1,0)</f>
        <v>1</v>
      </c>
      <c r="M323" s="3" t="n">
        <f aca="false">IF(H323="Y",1,0)</f>
        <v>1</v>
      </c>
      <c r="N323" s="3" t="n">
        <f aca="false">IF(I323="Y",1,0)</f>
        <v>0</v>
      </c>
    </row>
    <row r="324" customFormat="false" ht="15" hidden="false" customHeight="true" outlineLevel="0" collapsed="false">
      <c r="A324" s="7" t="s">
        <v>63</v>
      </c>
      <c r="B324" s="7" t="n">
        <v>1980</v>
      </c>
      <c r="C324" s="7" t="s">
        <v>364</v>
      </c>
      <c r="D324" s="7" t="n">
        <v>100</v>
      </c>
      <c r="E324" s="7" t="n">
        <v>62</v>
      </c>
      <c r="F324" s="7" t="s">
        <v>546</v>
      </c>
      <c r="G324" s="7"/>
      <c r="H324" s="7" t="s">
        <v>546</v>
      </c>
      <c r="I324" s="7" t="s">
        <v>546</v>
      </c>
      <c r="J324" s="21" t="n">
        <f aca="false">D324/(D324+E324)</f>
        <v>0.617283950617284</v>
      </c>
      <c r="K324" s="3" t="n">
        <f aca="false">IF(D324&gt;E324,1,0)</f>
        <v>1</v>
      </c>
      <c r="L324" s="3" t="n">
        <f aca="false">IF(OR(F324="Y",G324="Y",H324="Y"),1,0)</f>
        <v>0</v>
      </c>
      <c r="M324" s="3" t="n">
        <f aca="false">IF(H324="Y",1,0)</f>
        <v>0</v>
      </c>
      <c r="N324" s="3" t="n">
        <f aca="false">IF(I324="Y",1,0)</f>
        <v>0</v>
      </c>
    </row>
    <row r="325" customFormat="false" ht="15" hidden="false" customHeight="true" outlineLevel="0" collapsed="false">
      <c r="A325" s="7" t="s">
        <v>63</v>
      </c>
      <c r="B325" s="7" t="n">
        <v>1981</v>
      </c>
      <c r="C325" s="7" t="s">
        <v>364</v>
      </c>
      <c r="D325" s="7" t="n">
        <v>59</v>
      </c>
      <c r="E325" s="7" t="n">
        <v>46</v>
      </c>
      <c r="F325" s="7" t="s">
        <v>546</v>
      </c>
      <c r="G325" s="7"/>
      <c r="H325" s="7" t="s">
        <v>546</v>
      </c>
      <c r="I325" s="7" t="s">
        <v>546</v>
      </c>
      <c r="J325" s="21" t="n">
        <f aca="false">D325/(D325+E325)</f>
        <v>0.561904761904762</v>
      </c>
      <c r="K325" s="3" t="n">
        <f aca="false">IF(D325&gt;E325,1,0)</f>
        <v>1</v>
      </c>
      <c r="L325" s="3" t="n">
        <f aca="false">IF(OR(F325="Y",G325="Y",H325="Y"),1,0)</f>
        <v>0</v>
      </c>
      <c r="M325" s="3" t="n">
        <f aca="false">IF(H325="Y",1,0)</f>
        <v>0</v>
      </c>
      <c r="N325" s="3" t="n">
        <f aca="false">IF(I325="Y",1,0)</f>
        <v>0</v>
      </c>
    </row>
    <row r="326" customFormat="false" ht="15" hidden="false" customHeight="true" outlineLevel="0" collapsed="false">
      <c r="A326" s="7" t="s">
        <v>63</v>
      </c>
      <c r="B326" s="7" t="n">
        <v>1982</v>
      </c>
      <c r="C326" s="7" t="s">
        <v>364</v>
      </c>
      <c r="D326" s="7" t="n">
        <v>94</v>
      </c>
      <c r="E326" s="7" t="n">
        <v>68</v>
      </c>
      <c r="F326" s="7" t="s">
        <v>546</v>
      </c>
      <c r="G326" s="7"/>
      <c r="H326" s="7" t="s">
        <v>546</v>
      </c>
      <c r="I326" s="7" t="s">
        <v>546</v>
      </c>
      <c r="J326" s="21" t="n">
        <f aca="false">D326/(D326+E326)</f>
        <v>0.580246913580247</v>
      </c>
      <c r="K326" s="3" t="n">
        <f aca="false">IF(D326&gt;E326,1,0)</f>
        <v>1</v>
      </c>
      <c r="L326" s="3" t="n">
        <f aca="false">IF(OR(F326="Y",G326="Y",H326="Y"),1,0)</f>
        <v>0</v>
      </c>
      <c r="M326" s="3" t="n">
        <f aca="false">IF(H326="Y",1,0)</f>
        <v>0</v>
      </c>
      <c r="N326" s="3" t="n">
        <f aca="false">IF(I326="Y",1,0)</f>
        <v>0</v>
      </c>
    </row>
    <row r="327" customFormat="false" ht="15" hidden="false" customHeight="true" outlineLevel="0" collapsed="false">
      <c r="A327" s="7" t="s">
        <v>63</v>
      </c>
      <c r="B327" s="7" t="n">
        <v>1983</v>
      </c>
      <c r="C327" s="7" t="s">
        <v>364</v>
      </c>
      <c r="D327" s="7" t="n">
        <v>98</v>
      </c>
      <c r="E327" s="7" t="n">
        <v>64</v>
      </c>
      <c r="F327" s="7" t="s">
        <v>548</v>
      </c>
      <c r="G327" s="7"/>
      <c r="H327" s="7" t="s">
        <v>548</v>
      </c>
      <c r="I327" s="7" t="s">
        <v>548</v>
      </c>
      <c r="J327" s="21" t="n">
        <f aca="false">D327/(D327+E327)</f>
        <v>0.604938271604938</v>
      </c>
      <c r="K327" s="3" t="n">
        <f aca="false">IF(D327&gt;E327,1,0)</f>
        <v>1</v>
      </c>
      <c r="L327" s="3" t="n">
        <f aca="false">IF(OR(F327="Y",G327="Y",H327="Y"),1,0)</f>
        <v>1</v>
      </c>
      <c r="M327" s="3" t="n">
        <f aca="false">IF(H327="Y",1,0)</f>
        <v>1</v>
      </c>
      <c r="N327" s="3" t="n">
        <f aca="false">IF(I327="Y",1,0)</f>
        <v>1</v>
      </c>
    </row>
    <row r="328" customFormat="false" ht="15" hidden="false" customHeight="true" outlineLevel="0" collapsed="false">
      <c r="A328" s="7" t="s">
        <v>63</v>
      </c>
      <c r="B328" s="7" t="n">
        <v>1984</v>
      </c>
      <c r="C328" s="7" t="s">
        <v>364</v>
      </c>
      <c r="D328" s="7" t="n">
        <v>85</v>
      </c>
      <c r="E328" s="7" t="n">
        <v>77</v>
      </c>
      <c r="F328" s="7" t="s">
        <v>546</v>
      </c>
      <c r="G328" s="7"/>
      <c r="H328" s="7" t="s">
        <v>546</v>
      </c>
      <c r="I328" s="7" t="s">
        <v>546</v>
      </c>
      <c r="J328" s="21" t="n">
        <f aca="false">D328/(D328+E328)</f>
        <v>0.524691358024691</v>
      </c>
      <c r="K328" s="3" t="n">
        <f aca="false">IF(D328&gt;E328,1,0)</f>
        <v>1</v>
      </c>
      <c r="L328" s="3" t="n">
        <f aca="false">IF(OR(F328="Y",G328="Y",H328="Y"),1,0)</f>
        <v>0</v>
      </c>
      <c r="M328" s="3" t="n">
        <f aca="false">IF(H328="Y",1,0)</f>
        <v>0</v>
      </c>
      <c r="N328" s="3" t="n">
        <f aca="false">IF(I328="Y",1,0)</f>
        <v>0</v>
      </c>
    </row>
    <row r="329" customFormat="false" ht="15" hidden="false" customHeight="true" outlineLevel="0" collapsed="false">
      <c r="A329" s="7" t="s">
        <v>63</v>
      </c>
      <c r="B329" s="7" t="n">
        <v>1985</v>
      </c>
      <c r="C329" s="7" t="s">
        <v>364</v>
      </c>
      <c r="D329" s="7" t="n">
        <v>83</v>
      </c>
      <c r="E329" s="7" t="n">
        <v>78</v>
      </c>
      <c r="F329" s="7" t="s">
        <v>546</v>
      </c>
      <c r="G329" s="7"/>
      <c r="H329" s="7" t="s">
        <v>546</v>
      </c>
      <c r="I329" s="7" t="s">
        <v>546</v>
      </c>
      <c r="J329" s="21" t="n">
        <f aca="false">D329/(D329+E329)</f>
        <v>0.515527950310559</v>
      </c>
      <c r="K329" s="3" t="n">
        <f aca="false">IF(D329&gt;E329,1,0)</f>
        <v>1</v>
      </c>
      <c r="L329" s="3" t="n">
        <f aca="false">IF(OR(F329="Y",G329="Y",H329="Y"),1,0)</f>
        <v>0</v>
      </c>
      <c r="M329" s="3" t="n">
        <f aca="false">IF(H329="Y",1,0)</f>
        <v>0</v>
      </c>
      <c r="N329" s="3" t="n">
        <f aca="false">IF(I329="Y",1,0)</f>
        <v>0</v>
      </c>
    </row>
    <row r="330" customFormat="false" ht="15" hidden="false" customHeight="true" outlineLevel="0" collapsed="false">
      <c r="A330" s="7" t="s">
        <v>63</v>
      </c>
      <c r="B330" s="7" t="n">
        <v>1986</v>
      </c>
      <c r="C330" s="7" t="s">
        <v>364</v>
      </c>
      <c r="D330" s="7" t="n">
        <v>73</v>
      </c>
      <c r="E330" s="7" t="n">
        <v>89</v>
      </c>
      <c r="F330" s="7" t="s">
        <v>546</v>
      </c>
      <c r="G330" s="7"/>
      <c r="H330" s="7" t="s">
        <v>546</v>
      </c>
      <c r="I330" s="7" t="s">
        <v>546</v>
      </c>
      <c r="J330" s="21" t="n">
        <f aca="false">D330/(D330+E330)</f>
        <v>0.450617283950617</v>
      </c>
      <c r="K330" s="3" t="n">
        <f aca="false">IF(D330&gt;E330,1,0)</f>
        <v>0</v>
      </c>
      <c r="L330" s="3" t="n">
        <f aca="false">IF(OR(F330="Y",G330="Y",H330="Y"),1,0)</f>
        <v>0</v>
      </c>
      <c r="M330" s="3" t="n">
        <f aca="false">IF(H330="Y",1,0)</f>
        <v>0</v>
      </c>
      <c r="N330" s="3" t="n">
        <f aca="false">IF(I330="Y",1,0)</f>
        <v>0</v>
      </c>
    </row>
    <row r="331" customFormat="false" ht="15" hidden="false" customHeight="true" outlineLevel="0" collapsed="false">
      <c r="A331" s="7" t="s">
        <v>63</v>
      </c>
      <c r="B331" s="7" t="n">
        <v>1987</v>
      </c>
      <c r="C331" s="7" t="s">
        <v>364</v>
      </c>
      <c r="D331" s="7" t="n">
        <v>67</v>
      </c>
      <c r="E331" s="7" t="n">
        <v>95</v>
      </c>
      <c r="F331" s="7" t="s">
        <v>546</v>
      </c>
      <c r="G331" s="7"/>
      <c r="H331" s="7" t="s">
        <v>546</v>
      </c>
      <c r="I331" s="7" t="s">
        <v>546</v>
      </c>
      <c r="J331" s="21" t="n">
        <f aca="false">D331/(D331+E331)</f>
        <v>0.41358024691358</v>
      </c>
      <c r="K331" s="3" t="n">
        <f aca="false">IF(D331&gt;E331,1,0)</f>
        <v>0</v>
      </c>
      <c r="L331" s="3" t="n">
        <f aca="false">IF(OR(F331="Y",G331="Y",H331="Y"),1,0)</f>
        <v>0</v>
      </c>
      <c r="M331" s="3" t="n">
        <f aca="false">IF(H331="Y",1,0)</f>
        <v>0</v>
      </c>
      <c r="N331" s="3" t="n">
        <f aca="false">IF(I331="Y",1,0)</f>
        <v>0</v>
      </c>
    </row>
    <row r="332" customFormat="false" ht="15" hidden="false" customHeight="true" outlineLevel="0" collapsed="false">
      <c r="A332" s="7" t="s">
        <v>63</v>
      </c>
      <c r="B332" s="7" t="n">
        <v>1988</v>
      </c>
      <c r="C332" s="7" t="s">
        <v>364</v>
      </c>
      <c r="D332" s="7" t="n">
        <v>54</v>
      </c>
      <c r="E332" s="7" t="n">
        <v>107</v>
      </c>
      <c r="F332" s="7" t="s">
        <v>546</v>
      </c>
      <c r="G332" s="7"/>
      <c r="H332" s="7" t="s">
        <v>546</v>
      </c>
      <c r="I332" s="7" t="s">
        <v>546</v>
      </c>
      <c r="J332" s="21" t="n">
        <f aca="false">D332/(D332+E332)</f>
        <v>0.335403726708075</v>
      </c>
      <c r="K332" s="3" t="n">
        <f aca="false">IF(D332&gt;E332,1,0)</f>
        <v>0</v>
      </c>
      <c r="L332" s="3" t="n">
        <f aca="false">IF(OR(F332="Y",G332="Y",H332="Y"),1,0)</f>
        <v>0</v>
      </c>
      <c r="M332" s="3" t="n">
        <f aca="false">IF(H332="Y",1,0)</f>
        <v>0</v>
      </c>
      <c r="N332" s="3" t="n">
        <f aca="false">IF(I332="Y",1,0)</f>
        <v>0</v>
      </c>
    </row>
    <row r="333" customFormat="false" ht="15" hidden="false" customHeight="true" outlineLevel="0" collapsed="false">
      <c r="A333" s="7" t="s">
        <v>63</v>
      </c>
      <c r="B333" s="7" t="n">
        <v>1989</v>
      </c>
      <c r="C333" s="7" t="s">
        <v>364</v>
      </c>
      <c r="D333" s="7" t="n">
        <v>87</v>
      </c>
      <c r="E333" s="7" t="n">
        <v>75</v>
      </c>
      <c r="F333" s="7" t="s">
        <v>546</v>
      </c>
      <c r="G333" s="7"/>
      <c r="H333" s="7" t="s">
        <v>546</v>
      </c>
      <c r="I333" s="7" t="s">
        <v>546</v>
      </c>
      <c r="J333" s="21" t="n">
        <f aca="false">D333/(D333+E333)</f>
        <v>0.537037037037037</v>
      </c>
      <c r="K333" s="3" t="n">
        <f aca="false">IF(D333&gt;E333,1,0)</f>
        <v>1</v>
      </c>
      <c r="L333" s="3" t="n">
        <f aca="false">IF(OR(F333="Y",G333="Y",H333="Y"),1,0)</f>
        <v>0</v>
      </c>
      <c r="M333" s="3" t="n">
        <f aca="false">IF(H333="Y",1,0)</f>
        <v>0</v>
      </c>
      <c r="N333" s="3" t="n">
        <f aca="false">IF(I333="Y",1,0)</f>
        <v>0</v>
      </c>
    </row>
    <row r="334" customFormat="false" ht="15" hidden="false" customHeight="true" outlineLevel="0" collapsed="false">
      <c r="A334" s="7" t="s">
        <v>63</v>
      </c>
      <c r="B334" s="7" t="n">
        <v>1990</v>
      </c>
      <c r="C334" s="7" t="s">
        <v>364</v>
      </c>
      <c r="D334" s="7" t="n">
        <v>76</v>
      </c>
      <c r="E334" s="7" t="n">
        <v>85</v>
      </c>
      <c r="F334" s="7" t="s">
        <v>546</v>
      </c>
      <c r="G334" s="7"/>
      <c r="H334" s="7" t="s">
        <v>546</v>
      </c>
      <c r="I334" s="7" t="s">
        <v>546</v>
      </c>
      <c r="J334" s="21" t="n">
        <f aca="false">D334/(D334+E334)</f>
        <v>0.472049689440994</v>
      </c>
      <c r="K334" s="3" t="n">
        <f aca="false">IF(D334&gt;E334,1,0)</f>
        <v>0</v>
      </c>
      <c r="L334" s="3" t="n">
        <f aca="false">IF(OR(F334="Y",G334="Y",H334="Y"),1,0)</f>
        <v>0</v>
      </c>
      <c r="M334" s="3" t="n">
        <f aca="false">IF(H334="Y",1,0)</f>
        <v>0</v>
      </c>
      <c r="N334" s="3" t="n">
        <f aca="false">IF(I334="Y",1,0)</f>
        <v>0</v>
      </c>
    </row>
    <row r="335" customFormat="false" ht="15" hidden="false" customHeight="true" outlineLevel="0" collapsed="false">
      <c r="A335" s="7" t="s">
        <v>63</v>
      </c>
      <c r="B335" s="7" t="n">
        <v>1991</v>
      </c>
      <c r="C335" s="7" t="s">
        <v>364</v>
      </c>
      <c r="D335" s="7" t="n">
        <v>67</v>
      </c>
      <c r="E335" s="7" t="n">
        <v>95</v>
      </c>
      <c r="F335" s="7" t="s">
        <v>546</v>
      </c>
      <c r="G335" s="7"/>
      <c r="H335" s="7" t="s">
        <v>546</v>
      </c>
      <c r="I335" s="7" t="s">
        <v>546</v>
      </c>
      <c r="J335" s="21" t="n">
        <f aca="false">D335/(D335+E335)</f>
        <v>0.41358024691358</v>
      </c>
      <c r="K335" s="3" t="n">
        <f aca="false">IF(D335&gt;E335,1,0)</f>
        <v>0</v>
      </c>
      <c r="L335" s="3" t="n">
        <f aca="false">IF(OR(F335="Y",G335="Y",H335="Y"),1,0)</f>
        <v>0</v>
      </c>
      <c r="M335" s="3" t="n">
        <f aca="false">IF(H335="Y",1,0)</f>
        <v>0</v>
      </c>
      <c r="N335" s="3" t="n">
        <f aca="false">IF(I335="Y",1,0)</f>
        <v>0</v>
      </c>
    </row>
    <row r="336" customFormat="false" ht="15" hidden="false" customHeight="true" outlineLevel="0" collapsed="false">
      <c r="A336" s="7" t="s">
        <v>63</v>
      </c>
      <c r="B336" s="7" t="n">
        <v>1992</v>
      </c>
      <c r="C336" s="7" t="s">
        <v>364</v>
      </c>
      <c r="D336" s="7" t="n">
        <v>89</v>
      </c>
      <c r="E336" s="7" t="n">
        <v>73</v>
      </c>
      <c r="F336" s="7" t="s">
        <v>546</v>
      </c>
      <c r="G336" s="7"/>
      <c r="H336" s="7" t="s">
        <v>546</v>
      </c>
      <c r="I336" s="7" t="s">
        <v>546</v>
      </c>
      <c r="J336" s="21" t="n">
        <f aca="false">D336/(D336+E336)</f>
        <v>0.549382716049383</v>
      </c>
      <c r="K336" s="3" t="n">
        <f aca="false">IF(D336&gt;E336,1,0)</f>
        <v>1</v>
      </c>
      <c r="L336" s="3" t="n">
        <f aca="false">IF(OR(F336="Y",G336="Y",H336="Y"),1,0)</f>
        <v>0</v>
      </c>
      <c r="M336" s="3" t="n">
        <f aca="false">IF(H336="Y",1,0)</f>
        <v>0</v>
      </c>
      <c r="N336" s="3" t="n">
        <f aca="false">IF(I336="Y",1,0)</f>
        <v>0</v>
      </c>
    </row>
    <row r="337" customFormat="false" ht="15" hidden="false" customHeight="true" outlineLevel="0" collapsed="false">
      <c r="A337" s="7" t="s">
        <v>63</v>
      </c>
      <c r="B337" s="7" t="n">
        <v>1993</v>
      </c>
      <c r="C337" s="7" t="s">
        <v>364</v>
      </c>
      <c r="D337" s="7" t="n">
        <v>85</v>
      </c>
      <c r="E337" s="7" t="n">
        <v>77</v>
      </c>
      <c r="F337" s="7" t="s">
        <v>546</v>
      </c>
      <c r="G337" s="7"/>
      <c r="H337" s="7" t="s">
        <v>546</v>
      </c>
      <c r="I337" s="7" t="s">
        <v>546</v>
      </c>
      <c r="J337" s="21" t="n">
        <f aca="false">D337/(D337+E337)</f>
        <v>0.524691358024691</v>
      </c>
      <c r="K337" s="3" t="n">
        <f aca="false">IF(D337&gt;E337,1,0)</f>
        <v>1</v>
      </c>
      <c r="L337" s="3" t="n">
        <f aca="false">IF(OR(F337="Y",G337="Y",H337="Y"),1,0)</f>
        <v>0</v>
      </c>
      <c r="M337" s="3" t="n">
        <f aca="false">IF(H337="Y",1,0)</f>
        <v>0</v>
      </c>
      <c r="N337" s="3" t="n">
        <f aca="false">IF(I337="Y",1,0)</f>
        <v>0</v>
      </c>
    </row>
    <row r="338" customFormat="false" ht="15" hidden="false" customHeight="true" outlineLevel="0" collapsed="false">
      <c r="A338" s="7" t="s">
        <v>63</v>
      </c>
      <c r="B338" s="7" t="n">
        <v>1994</v>
      </c>
      <c r="C338" s="7" t="s">
        <v>364</v>
      </c>
      <c r="D338" s="7" t="n">
        <v>63</v>
      </c>
      <c r="E338" s="7" t="n">
        <v>49</v>
      </c>
      <c r="F338" s="7"/>
      <c r="G338" s="7"/>
      <c r="H338" s="7"/>
      <c r="I338" s="7"/>
      <c r="J338" s="21" t="n">
        <f aca="false">D338/(D338+E338)</f>
        <v>0.5625</v>
      </c>
      <c r="K338" s="3" t="n">
        <f aca="false">IF(D338&gt;E338,1,0)</f>
        <v>1</v>
      </c>
      <c r="L338" s="3" t="n">
        <f aca="false">IF(OR(F338="Y",G338="Y",H338="Y"),1,0)</f>
        <v>0</v>
      </c>
      <c r="M338" s="3" t="n">
        <f aca="false">IF(H338="Y",1,0)</f>
        <v>0</v>
      </c>
      <c r="N338" s="3" t="n">
        <f aca="false">IF(I338="Y",1,0)</f>
        <v>0</v>
      </c>
    </row>
    <row r="339" customFormat="false" ht="15" hidden="false" customHeight="true" outlineLevel="0" collapsed="false">
      <c r="A339" s="7" t="s">
        <v>63</v>
      </c>
      <c r="B339" s="7" t="n">
        <v>1995</v>
      </c>
      <c r="C339" s="7" t="s">
        <v>364</v>
      </c>
      <c r="D339" s="7" t="n">
        <v>71</v>
      </c>
      <c r="E339" s="7" t="n">
        <v>73</v>
      </c>
      <c r="F339" s="7" t="s">
        <v>546</v>
      </c>
      <c r="G339" s="7" t="s">
        <v>546</v>
      </c>
      <c r="H339" s="7" t="s">
        <v>546</v>
      </c>
      <c r="I339" s="7" t="s">
        <v>546</v>
      </c>
      <c r="J339" s="21" t="n">
        <f aca="false">D339/(D339+E339)</f>
        <v>0.493055555555556</v>
      </c>
      <c r="K339" s="3" t="n">
        <f aca="false">IF(D339&gt;E339,1,0)</f>
        <v>0</v>
      </c>
      <c r="L339" s="3" t="n">
        <f aca="false">IF(OR(F339="Y",G339="Y",H339="Y"),1,0)</f>
        <v>0</v>
      </c>
      <c r="M339" s="3" t="n">
        <f aca="false">IF(H339="Y",1,0)</f>
        <v>0</v>
      </c>
      <c r="N339" s="3" t="n">
        <f aca="false">IF(I339="Y",1,0)</f>
        <v>0</v>
      </c>
    </row>
    <row r="340" customFormat="false" ht="15" hidden="false" customHeight="true" outlineLevel="0" collapsed="false">
      <c r="A340" s="7" t="s">
        <v>63</v>
      </c>
      <c r="B340" s="7" t="n">
        <v>1996</v>
      </c>
      <c r="C340" s="7" t="s">
        <v>364</v>
      </c>
      <c r="D340" s="7" t="n">
        <v>88</v>
      </c>
      <c r="E340" s="7" t="n">
        <v>74</v>
      </c>
      <c r="F340" s="7" t="s">
        <v>546</v>
      </c>
      <c r="G340" s="7" t="s">
        <v>548</v>
      </c>
      <c r="H340" s="7" t="s">
        <v>546</v>
      </c>
      <c r="I340" s="7" t="s">
        <v>546</v>
      </c>
      <c r="J340" s="21" t="n">
        <f aca="false">D340/(D340+E340)</f>
        <v>0.54320987654321</v>
      </c>
      <c r="K340" s="3" t="n">
        <f aca="false">IF(D340&gt;E340,1,0)</f>
        <v>1</v>
      </c>
      <c r="L340" s="3" t="n">
        <f aca="false">IF(OR(F340="Y",G340="Y",H340="Y"),1,0)</f>
        <v>1</v>
      </c>
      <c r="M340" s="3" t="n">
        <f aca="false">IF(H340="Y",1,0)</f>
        <v>0</v>
      </c>
      <c r="N340" s="3" t="n">
        <f aca="false">IF(I340="Y",1,0)</f>
        <v>0</v>
      </c>
    </row>
    <row r="341" customFormat="false" ht="15" hidden="false" customHeight="true" outlineLevel="0" collapsed="false">
      <c r="A341" s="7" t="s">
        <v>63</v>
      </c>
      <c r="B341" s="7" t="n">
        <v>1997</v>
      </c>
      <c r="C341" s="7" t="s">
        <v>364</v>
      </c>
      <c r="D341" s="7" t="n">
        <v>98</v>
      </c>
      <c r="E341" s="7" t="n">
        <v>64</v>
      </c>
      <c r="F341" s="7" t="s">
        <v>548</v>
      </c>
      <c r="G341" s="7" t="s">
        <v>546</v>
      </c>
      <c r="H341" s="7" t="s">
        <v>546</v>
      </c>
      <c r="I341" s="7" t="s">
        <v>546</v>
      </c>
      <c r="J341" s="21" t="n">
        <f aca="false">D341/(D341+E341)</f>
        <v>0.604938271604938</v>
      </c>
      <c r="K341" s="3" t="n">
        <f aca="false">IF(D341&gt;E341,1,0)</f>
        <v>1</v>
      </c>
      <c r="L341" s="3" t="n">
        <f aca="false">IF(OR(F341="Y",G341="Y",H341="Y"),1,0)</f>
        <v>1</v>
      </c>
      <c r="M341" s="3" t="n">
        <f aca="false">IF(H341="Y",1,0)</f>
        <v>0</v>
      </c>
      <c r="N341" s="3" t="n">
        <f aca="false">IF(I341="Y",1,0)</f>
        <v>0</v>
      </c>
    </row>
    <row r="342" customFormat="false" ht="15" hidden="false" customHeight="true" outlineLevel="0" collapsed="false">
      <c r="A342" s="7" t="s">
        <v>63</v>
      </c>
      <c r="B342" s="7" t="n">
        <v>1998</v>
      </c>
      <c r="C342" s="7" t="s">
        <v>364</v>
      </c>
      <c r="D342" s="7" t="n">
        <v>79</v>
      </c>
      <c r="E342" s="7" t="n">
        <v>83</v>
      </c>
      <c r="F342" s="7" t="s">
        <v>546</v>
      </c>
      <c r="G342" s="7" t="s">
        <v>546</v>
      </c>
      <c r="H342" s="7" t="s">
        <v>546</v>
      </c>
      <c r="I342" s="7" t="s">
        <v>546</v>
      </c>
      <c r="J342" s="21" t="n">
        <f aca="false">D342/(D342+E342)</f>
        <v>0.487654320987654</v>
      </c>
      <c r="K342" s="3" t="n">
        <f aca="false">IF(D342&gt;E342,1,0)</f>
        <v>0</v>
      </c>
      <c r="L342" s="3" t="n">
        <f aca="false">IF(OR(F342="Y",G342="Y",H342="Y"),1,0)</f>
        <v>0</v>
      </c>
      <c r="M342" s="3" t="n">
        <f aca="false">IF(H342="Y",1,0)</f>
        <v>0</v>
      </c>
      <c r="N342" s="3" t="n">
        <f aca="false">IF(I342="Y",1,0)</f>
        <v>0</v>
      </c>
    </row>
    <row r="343" customFormat="false" ht="15" hidden="false" customHeight="true" outlineLevel="0" collapsed="false">
      <c r="A343" s="7" t="s">
        <v>63</v>
      </c>
      <c r="B343" s="7" t="n">
        <v>1999</v>
      </c>
      <c r="C343" s="7" t="s">
        <v>364</v>
      </c>
      <c r="D343" s="7" t="n">
        <v>78</v>
      </c>
      <c r="E343" s="7" t="n">
        <v>84</v>
      </c>
      <c r="F343" s="7" t="s">
        <v>546</v>
      </c>
      <c r="G343" s="7" t="s">
        <v>546</v>
      </c>
      <c r="H343" s="7" t="s">
        <v>546</v>
      </c>
      <c r="I343" s="7" t="s">
        <v>546</v>
      </c>
      <c r="J343" s="21" t="n">
        <f aca="false">D343/(D343+E343)</f>
        <v>0.481481481481481</v>
      </c>
      <c r="K343" s="3" t="n">
        <f aca="false">IF(D343&gt;E343,1,0)</f>
        <v>0</v>
      </c>
      <c r="L343" s="3" t="n">
        <f aca="false">IF(OR(F343="Y",G343="Y",H343="Y"),1,0)</f>
        <v>0</v>
      </c>
      <c r="M343" s="3" t="n">
        <f aca="false">IF(H343="Y",1,0)</f>
        <v>0</v>
      </c>
      <c r="N343" s="3" t="n">
        <f aca="false">IF(I343="Y",1,0)</f>
        <v>0</v>
      </c>
    </row>
    <row r="344" customFormat="false" ht="15" hidden="false" customHeight="true" outlineLevel="0" collapsed="false">
      <c r="A344" s="7" t="s">
        <v>63</v>
      </c>
      <c r="B344" s="7" t="n">
        <v>2000</v>
      </c>
      <c r="C344" s="7" t="s">
        <v>364</v>
      </c>
      <c r="D344" s="7" t="n">
        <v>74</v>
      </c>
      <c r="E344" s="7" t="n">
        <v>88</v>
      </c>
      <c r="F344" s="7" t="s">
        <v>546</v>
      </c>
      <c r="G344" s="7" t="s">
        <v>546</v>
      </c>
      <c r="H344" s="7" t="s">
        <v>546</v>
      </c>
      <c r="I344" s="7" t="s">
        <v>546</v>
      </c>
      <c r="J344" s="21" t="n">
        <f aca="false">D344/(D344+E344)</f>
        <v>0.45679012345679</v>
      </c>
      <c r="K344" s="3" t="n">
        <f aca="false">IF(D344&gt;E344,1,0)</f>
        <v>0</v>
      </c>
      <c r="L344" s="3" t="n">
        <f aca="false">IF(OR(F344="Y",G344="Y",H344="Y"),1,0)</f>
        <v>0</v>
      </c>
      <c r="M344" s="3" t="n">
        <f aca="false">IF(H344="Y",1,0)</f>
        <v>0</v>
      </c>
      <c r="N344" s="3" t="n">
        <f aca="false">IF(I344="Y",1,0)</f>
        <v>0</v>
      </c>
    </row>
    <row r="345" customFormat="false" ht="15" hidden="false" customHeight="true" outlineLevel="0" collapsed="false">
      <c r="A345" s="7" t="s">
        <v>63</v>
      </c>
      <c r="B345" s="7" t="n">
        <v>2001</v>
      </c>
      <c r="C345" s="7" t="s">
        <v>364</v>
      </c>
      <c r="D345" s="7" t="n">
        <v>63</v>
      </c>
      <c r="E345" s="7" t="n">
        <v>98</v>
      </c>
      <c r="F345" s="7" t="s">
        <v>546</v>
      </c>
      <c r="G345" s="7" t="s">
        <v>546</v>
      </c>
      <c r="H345" s="7" t="s">
        <v>546</v>
      </c>
      <c r="I345" s="7" t="s">
        <v>546</v>
      </c>
      <c r="J345" s="21" t="n">
        <f aca="false">D345/(D345+E345)</f>
        <v>0.391304347826087</v>
      </c>
      <c r="K345" s="3" t="n">
        <f aca="false">IF(D345&gt;E345,1,0)</f>
        <v>0</v>
      </c>
      <c r="L345" s="3" t="n">
        <f aca="false">IF(OR(F345="Y",G345="Y",H345="Y"),1,0)</f>
        <v>0</v>
      </c>
      <c r="M345" s="3" t="n">
        <f aca="false">IF(H345="Y",1,0)</f>
        <v>0</v>
      </c>
      <c r="N345" s="3" t="n">
        <f aca="false">IF(I345="Y",1,0)</f>
        <v>0</v>
      </c>
    </row>
    <row r="346" customFormat="false" ht="15" hidden="false" customHeight="true" outlineLevel="0" collapsed="false">
      <c r="A346" s="7" t="s">
        <v>63</v>
      </c>
      <c r="B346" s="7" t="n">
        <v>2002</v>
      </c>
      <c r="C346" s="7" t="s">
        <v>364</v>
      </c>
      <c r="D346" s="7" t="n">
        <v>67</v>
      </c>
      <c r="E346" s="7" t="n">
        <v>95</v>
      </c>
      <c r="F346" s="7" t="s">
        <v>546</v>
      </c>
      <c r="G346" s="7" t="s">
        <v>546</v>
      </c>
      <c r="H346" s="7" t="s">
        <v>546</v>
      </c>
      <c r="I346" s="7" t="s">
        <v>546</v>
      </c>
      <c r="J346" s="21" t="n">
        <f aca="false">D346/(D346+E346)</f>
        <v>0.41358024691358</v>
      </c>
      <c r="K346" s="3" t="n">
        <f aca="false">IF(D346&gt;E346,1,0)</f>
        <v>0</v>
      </c>
      <c r="L346" s="3" t="n">
        <f aca="false">IF(OR(F346="Y",G346="Y",H346="Y"),1,0)</f>
        <v>0</v>
      </c>
      <c r="M346" s="3" t="n">
        <f aca="false">IF(H346="Y",1,0)</f>
        <v>0</v>
      </c>
      <c r="N346" s="3" t="n">
        <f aca="false">IF(I346="Y",1,0)</f>
        <v>0</v>
      </c>
    </row>
    <row r="347" customFormat="false" ht="15" hidden="false" customHeight="true" outlineLevel="0" collapsed="false">
      <c r="A347" s="7" t="s">
        <v>63</v>
      </c>
      <c r="B347" s="7" t="n">
        <v>2003</v>
      </c>
      <c r="C347" s="7" t="s">
        <v>364</v>
      </c>
      <c r="D347" s="7" t="n">
        <v>71</v>
      </c>
      <c r="E347" s="7" t="n">
        <v>91</v>
      </c>
      <c r="F347" s="7" t="s">
        <v>546</v>
      </c>
      <c r="G347" s="7" t="s">
        <v>546</v>
      </c>
      <c r="H347" s="7" t="s">
        <v>546</v>
      </c>
      <c r="I347" s="7" t="s">
        <v>546</v>
      </c>
      <c r="J347" s="21" t="n">
        <f aca="false">D347/(D347+E347)</f>
        <v>0.438271604938272</v>
      </c>
      <c r="K347" s="3" t="n">
        <f aca="false">IF(D347&gt;E347,1,0)</f>
        <v>0</v>
      </c>
      <c r="L347" s="3" t="n">
        <f aca="false">IF(OR(F347="Y",G347="Y",H347="Y"),1,0)</f>
        <v>0</v>
      </c>
      <c r="M347" s="3" t="n">
        <f aca="false">IF(H347="Y",1,0)</f>
        <v>0</v>
      </c>
      <c r="N347" s="3" t="n">
        <f aca="false">IF(I347="Y",1,0)</f>
        <v>0</v>
      </c>
    </row>
    <row r="348" customFormat="false" ht="15" hidden="false" customHeight="true" outlineLevel="0" collapsed="false">
      <c r="A348" s="7" t="s">
        <v>63</v>
      </c>
      <c r="B348" s="7" t="n">
        <v>2004</v>
      </c>
      <c r="C348" s="7" t="s">
        <v>364</v>
      </c>
      <c r="D348" s="7" t="n">
        <v>78</v>
      </c>
      <c r="E348" s="7" t="n">
        <v>84</v>
      </c>
      <c r="F348" s="7" t="s">
        <v>546</v>
      </c>
      <c r="G348" s="7" t="s">
        <v>546</v>
      </c>
      <c r="H348" s="7" t="s">
        <v>546</v>
      </c>
      <c r="I348" s="7" t="s">
        <v>546</v>
      </c>
      <c r="J348" s="21" t="n">
        <f aca="false">D348/(D348+E348)</f>
        <v>0.481481481481481</v>
      </c>
      <c r="K348" s="3" t="n">
        <f aca="false">IF(D348&gt;E348,1,0)</f>
        <v>0</v>
      </c>
      <c r="L348" s="3" t="n">
        <f aca="false">IF(OR(F348="Y",G348="Y",H348="Y"),1,0)</f>
        <v>0</v>
      </c>
      <c r="M348" s="3" t="n">
        <f aca="false">IF(H348="Y",1,0)</f>
        <v>0</v>
      </c>
      <c r="N348" s="3" t="n">
        <f aca="false">IF(I348="Y",1,0)</f>
        <v>0</v>
      </c>
    </row>
    <row r="349" customFormat="false" ht="15" hidden="false" customHeight="true" outlineLevel="0" collapsed="false">
      <c r="A349" s="7" t="s">
        <v>63</v>
      </c>
      <c r="B349" s="7" t="n">
        <v>2005</v>
      </c>
      <c r="C349" s="7" t="s">
        <v>364</v>
      </c>
      <c r="D349" s="7" t="n">
        <v>74</v>
      </c>
      <c r="E349" s="7" t="n">
        <v>88</v>
      </c>
      <c r="F349" s="7" t="s">
        <v>546</v>
      </c>
      <c r="G349" s="7" t="s">
        <v>546</v>
      </c>
      <c r="H349" s="7" t="s">
        <v>546</v>
      </c>
      <c r="I349" s="7" t="s">
        <v>546</v>
      </c>
      <c r="J349" s="21" t="n">
        <f aca="false">D349/(D349+E349)</f>
        <v>0.45679012345679</v>
      </c>
      <c r="K349" s="3" t="n">
        <f aca="false">IF(D349&gt;E349,1,0)</f>
        <v>0</v>
      </c>
      <c r="L349" s="3" t="n">
        <f aca="false">IF(OR(F349="Y",G349="Y",H349="Y"),1,0)</f>
        <v>0</v>
      </c>
      <c r="M349" s="3" t="n">
        <f aca="false">IF(H349="Y",1,0)</f>
        <v>0</v>
      </c>
      <c r="N349" s="3" t="n">
        <f aca="false">IF(I349="Y",1,0)</f>
        <v>0</v>
      </c>
    </row>
    <row r="350" customFormat="false" ht="15" hidden="false" customHeight="true" outlineLevel="0" collapsed="false">
      <c r="A350" s="7" t="s">
        <v>63</v>
      </c>
      <c r="B350" s="7" t="n">
        <v>2006</v>
      </c>
      <c r="C350" s="7" t="s">
        <v>364</v>
      </c>
      <c r="D350" s="7" t="n">
        <v>70</v>
      </c>
      <c r="E350" s="7" t="n">
        <v>92</v>
      </c>
      <c r="F350" s="7" t="s">
        <v>546</v>
      </c>
      <c r="G350" s="7" t="s">
        <v>546</v>
      </c>
      <c r="H350" s="7" t="s">
        <v>546</v>
      </c>
      <c r="I350" s="7" t="s">
        <v>546</v>
      </c>
      <c r="J350" s="21" t="n">
        <f aca="false">D350/(D350+E350)</f>
        <v>0.432098765432099</v>
      </c>
      <c r="K350" s="3" t="n">
        <f aca="false">IF(D350&gt;E350,1,0)</f>
        <v>0</v>
      </c>
      <c r="L350" s="3" t="n">
        <f aca="false">IF(OR(F350="Y",G350="Y",H350="Y"),1,0)</f>
        <v>0</v>
      </c>
      <c r="M350" s="3" t="n">
        <f aca="false">IF(H350="Y",1,0)</f>
        <v>0</v>
      </c>
      <c r="N350" s="3" t="n">
        <f aca="false">IF(I350="Y",1,0)</f>
        <v>0</v>
      </c>
    </row>
    <row r="351" customFormat="false" ht="15" hidden="false" customHeight="true" outlineLevel="0" collapsed="false">
      <c r="A351" s="7" t="s">
        <v>63</v>
      </c>
      <c r="B351" s="7" t="n">
        <v>2007</v>
      </c>
      <c r="C351" s="7" t="s">
        <v>364</v>
      </c>
      <c r="D351" s="7" t="n">
        <v>69</v>
      </c>
      <c r="E351" s="7" t="n">
        <v>93</v>
      </c>
      <c r="F351" s="7" t="s">
        <v>546</v>
      </c>
      <c r="G351" s="7" t="s">
        <v>546</v>
      </c>
      <c r="H351" s="7" t="s">
        <v>546</v>
      </c>
      <c r="I351" s="7" t="s">
        <v>546</v>
      </c>
      <c r="J351" s="21" t="n">
        <f aca="false">D351/(D351+E351)</f>
        <v>0.425925925925926</v>
      </c>
      <c r="K351" s="3" t="n">
        <f aca="false">IF(D351&gt;E351,1,0)</f>
        <v>0</v>
      </c>
      <c r="L351" s="3" t="n">
        <f aca="false">IF(OR(F351="Y",G351="Y",H351="Y"),1,0)</f>
        <v>0</v>
      </c>
      <c r="M351" s="3" t="n">
        <f aca="false">IF(H351="Y",1,0)</f>
        <v>0</v>
      </c>
      <c r="N351" s="3" t="n">
        <f aca="false">IF(I351="Y",1,0)</f>
        <v>0</v>
      </c>
    </row>
    <row r="352" customFormat="false" ht="15" hidden="false" customHeight="true" outlineLevel="0" collapsed="false">
      <c r="A352" s="7" t="s">
        <v>63</v>
      </c>
      <c r="B352" s="7" t="n">
        <v>2008</v>
      </c>
      <c r="C352" s="7" t="s">
        <v>364</v>
      </c>
      <c r="D352" s="7" t="n">
        <v>68</v>
      </c>
      <c r="E352" s="7" t="n">
        <v>93</v>
      </c>
      <c r="F352" s="7" t="s">
        <v>546</v>
      </c>
      <c r="G352" s="7" t="s">
        <v>546</v>
      </c>
      <c r="H352" s="7" t="s">
        <v>546</v>
      </c>
      <c r="I352" s="7" t="s">
        <v>546</v>
      </c>
      <c r="J352" s="21" t="n">
        <f aca="false">D352/(D352+E352)</f>
        <v>0.422360248447205</v>
      </c>
      <c r="K352" s="3" t="n">
        <f aca="false">IF(D352&gt;E352,1,0)</f>
        <v>0</v>
      </c>
      <c r="L352" s="3" t="n">
        <f aca="false">IF(OR(F352="Y",G352="Y",H352="Y"),1,0)</f>
        <v>0</v>
      </c>
      <c r="M352" s="3" t="n">
        <f aca="false">IF(H352="Y",1,0)</f>
        <v>0</v>
      </c>
      <c r="N352" s="3" t="n">
        <f aca="false">IF(I352="Y",1,0)</f>
        <v>0</v>
      </c>
    </row>
    <row r="353" customFormat="false" ht="15" hidden="false" customHeight="true" outlineLevel="0" collapsed="false">
      <c r="A353" s="7" t="s">
        <v>63</v>
      </c>
      <c r="B353" s="7" t="n">
        <v>2009</v>
      </c>
      <c r="C353" s="7" t="s">
        <v>364</v>
      </c>
      <c r="D353" s="7" t="n">
        <v>64</v>
      </c>
      <c r="E353" s="7" t="n">
        <v>98</v>
      </c>
      <c r="F353" s="7" t="s">
        <v>546</v>
      </c>
      <c r="G353" s="7" t="s">
        <v>546</v>
      </c>
      <c r="H353" s="7" t="s">
        <v>546</v>
      </c>
      <c r="I353" s="7" t="s">
        <v>546</v>
      </c>
      <c r="J353" s="21" t="n">
        <f aca="false">D353/(D353+E353)</f>
        <v>0.395061728395062</v>
      </c>
      <c r="K353" s="3" t="n">
        <f aca="false">IF(D353&gt;E353,1,0)</f>
        <v>0</v>
      </c>
      <c r="L353" s="3" t="n">
        <f aca="false">IF(OR(F353="Y",G353="Y",H353="Y"),1,0)</f>
        <v>0</v>
      </c>
      <c r="M353" s="3" t="n">
        <f aca="false">IF(H353="Y",1,0)</f>
        <v>0</v>
      </c>
      <c r="N353" s="3" t="n">
        <f aca="false">IF(I353="Y",1,0)</f>
        <v>0</v>
      </c>
    </row>
    <row r="354" customFormat="false" ht="15" hidden="false" customHeight="true" outlineLevel="0" collapsed="false">
      <c r="A354" s="7" t="s">
        <v>63</v>
      </c>
      <c r="B354" s="7" t="n">
        <v>2010</v>
      </c>
      <c r="C354" s="7" t="s">
        <v>364</v>
      </c>
      <c r="D354" s="7" t="n">
        <v>66</v>
      </c>
      <c r="E354" s="7" t="n">
        <v>96</v>
      </c>
      <c r="F354" s="7" t="s">
        <v>546</v>
      </c>
      <c r="G354" s="7" t="s">
        <v>546</v>
      </c>
      <c r="H354" s="7" t="s">
        <v>546</v>
      </c>
      <c r="I354" s="7" t="s">
        <v>546</v>
      </c>
      <c r="J354" s="21" t="n">
        <f aca="false">D354/(D354+E354)</f>
        <v>0.407407407407407</v>
      </c>
      <c r="K354" s="3" t="n">
        <f aca="false">IF(D354&gt;E354,1,0)</f>
        <v>0</v>
      </c>
      <c r="L354" s="3" t="n">
        <f aca="false">IF(OR(F354="Y",G354="Y",H354="Y"),1,0)</f>
        <v>0</v>
      </c>
      <c r="M354" s="3" t="n">
        <f aca="false">IF(H354="Y",1,0)</f>
        <v>0</v>
      </c>
      <c r="N354" s="3" t="n">
        <f aca="false">IF(I354="Y",1,0)</f>
        <v>0</v>
      </c>
    </row>
    <row r="355" customFormat="false" ht="15" hidden="false" customHeight="true" outlineLevel="0" collapsed="false">
      <c r="A355" s="7" t="s">
        <v>63</v>
      </c>
      <c r="B355" s="7" t="n">
        <v>2011</v>
      </c>
      <c r="C355" s="7" t="s">
        <v>364</v>
      </c>
      <c r="D355" s="7" t="n">
        <v>69</v>
      </c>
      <c r="E355" s="7" t="n">
        <v>93</v>
      </c>
      <c r="F355" s="7" t="s">
        <v>546</v>
      </c>
      <c r="G355" s="7" t="s">
        <v>546</v>
      </c>
      <c r="H355" s="7" t="s">
        <v>546</v>
      </c>
      <c r="I355" s="7" t="s">
        <v>546</v>
      </c>
      <c r="J355" s="21" t="n">
        <f aca="false">D355/(D355+E355)</f>
        <v>0.425925925925926</v>
      </c>
      <c r="K355" s="3" t="n">
        <f aca="false">IF(D355&gt;E355,1,0)</f>
        <v>0</v>
      </c>
      <c r="L355" s="3" t="n">
        <f aca="false">IF(OR(F355="Y",G355="Y",H355="Y"),1,0)</f>
        <v>0</v>
      </c>
      <c r="M355" s="3" t="n">
        <f aca="false">IF(H355="Y",1,0)</f>
        <v>0</v>
      </c>
      <c r="N355" s="3" t="n">
        <f aca="false">IF(I355="Y",1,0)</f>
        <v>0</v>
      </c>
    </row>
    <row r="356" customFormat="false" ht="15" hidden="false" customHeight="true" outlineLevel="0" collapsed="false">
      <c r="A356" s="7" t="s">
        <v>63</v>
      </c>
      <c r="B356" s="7" t="n">
        <v>2012</v>
      </c>
      <c r="C356" s="7" t="s">
        <v>364</v>
      </c>
      <c r="D356" s="7" t="n">
        <v>93</v>
      </c>
      <c r="E356" s="7" t="n">
        <v>69</v>
      </c>
      <c r="F356" s="7" t="s">
        <v>546</v>
      </c>
      <c r="G356" s="7" t="s">
        <v>548</v>
      </c>
      <c r="H356" s="7" t="s">
        <v>546</v>
      </c>
      <c r="I356" s="7" t="s">
        <v>546</v>
      </c>
      <c r="J356" s="21" t="n">
        <f aca="false">D356/(D356+E356)</f>
        <v>0.574074074074074</v>
      </c>
      <c r="K356" s="3" t="n">
        <f aca="false">IF(D356&gt;E356,1,0)</f>
        <v>1</v>
      </c>
      <c r="L356" s="3" t="n">
        <f aca="false">IF(OR(F356="Y",G356="Y",H356="Y"),1,0)</f>
        <v>1</v>
      </c>
      <c r="M356" s="3" t="n">
        <f aca="false">IF(H356="Y",1,0)</f>
        <v>0</v>
      </c>
      <c r="N356" s="3" t="n">
        <f aca="false">IF(I356="Y",1,0)</f>
        <v>0</v>
      </c>
    </row>
    <row r="357" customFormat="false" ht="15" hidden="false" customHeight="true" outlineLevel="0" collapsed="false">
      <c r="A357" s="7" t="s">
        <v>63</v>
      </c>
      <c r="B357" s="7" t="n">
        <v>2013</v>
      </c>
      <c r="C357" s="7" t="s">
        <v>364</v>
      </c>
      <c r="D357" s="7" t="n">
        <v>85</v>
      </c>
      <c r="E357" s="7" t="n">
        <v>77</v>
      </c>
      <c r="F357" s="7" t="s">
        <v>546</v>
      </c>
      <c r="G357" s="7" t="s">
        <v>546</v>
      </c>
      <c r="H357" s="7" t="s">
        <v>546</v>
      </c>
      <c r="I357" s="7" t="s">
        <v>546</v>
      </c>
      <c r="J357" s="21" t="n">
        <f aca="false">D357/(D357+E357)</f>
        <v>0.524691358024691</v>
      </c>
      <c r="K357" s="3" t="n">
        <f aca="false">IF(D357&gt;E357,1,0)</f>
        <v>1</v>
      </c>
      <c r="L357" s="3" t="n">
        <f aca="false">IF(OR(F357="Y",G357="Y",H357="Y"),1,0)</f>
        <v>0</v>
      </c>
      <c r="M357" s="3" t="n">
        <f aca="false">IF(H357="Y",1,0)</f>
        <v>0</v>
      </c>
      <c r="N357" s="3" t="n">
        <f aca="false">IF(I357="Y",1,0)</f>
        <v>0</v>
      </c>
    </row>
    <row r="358" customFormat="false" ht="15" hidden="false" customHeight="true" outlineLevel="0" collapsed="false">
      <c r="A358" s="7" t="s">
        <v>63</v>
      </c>
      <c r="B358" s="7" t="n">
        <v>2014</v>
      </c>
      <c r="C358" s="7" t="s">
        <v>364</v>
      </c>
      <c r="D358" s="7" t="n">
        <v>96</v>
      </c>
      <c r="E358" s="7" t="n">
        <v>66</v>
      </c>
      <c r="F358" s="7" t="s">
        <v>548</v>
      </c>
      <c r="G358" s="7" t="s">
        <v>546</v>
      </c>
      <c r="H358" s="7" t="s">
        <v>546</v>
      </c>
      <c r="I358" s="7" t="s">
        <v>546</v>
      </c>
      <c r="J358" s="21" t="n">
        <f aca="false">D358/(D358+E358)</f>
        <v>0.592592592592593</v>
      </c>
      <c r="K358" s="3" t="n">
        <f aca="false">IF(D358&gt;E358,1,0)</f>
        <v>1</v>
      </c>
      <c r="L358" s="3" t="n">
        <f aca="false">IF(OR(F358="Y",G358="Y",H358="Y"),1,0)</f>
        <v>1</v>
      </c>
      <c r="M358" s="3" t="n">
        <f aca="false">IF(H358="Y",1,0)</f>
        <v>0</v>
      </c>
      <c r="N358" s="3" t="n">
        <f aca="false">IF(I358="Y",1,0)</f>
        <v>0</v>
      </c>
    </row>
    <row r="359" customFormat="false" ht="15" hidden="false" customHeight="true" outlineLevel="0" collapsed="false">
      <c r="A359" s="7" t="s">
        <v>63</v>
      </c>
      <c r="B359" s="7" t="n">
        <v>2015</v>
      </c>
      <c r="C359" s="7" t="s">
        <v>364</v>
      </c>
      <c r="D359" s="7" t="n">
        <v>81</v>
      </c>
      <c r="E359" s="7" t="n">
        <v>81</v>
      </c>
      <c r="F359" s="7" t="s">
        <v>546</v>
      </c>
      <c r="G359" s="7" t="s">
        <v>546</v>
      </c>
      <c r="H359" s="7" t="s">
        <v>546</v>
      </c>
      <c r="I359" s="7" t="s">
        <v>546</v>
      </c>
      <c r="J359" s="21" t="n">
        <f aca="false">D359/(D359+E359)</f>
        <v>0.5</v>
      </c>
      <c r="K359" s="3" t="n">
        <f aca="false">IF(D359&gt;E359,1,0)</f>
        <v>0</v>
      </c>
      <c r="L359" s="3" t="n">
        <f aca="false">IF(OR(F359="Y",G359="Y",H359="Y"),1,0)</f>
        <v>0</v>
      </c>
      <c r="M359" s="3" t="n">
        <f aca="false">IF(H359="Y",1,0)</f>
        <v>0</v>
      </c>
      <c r="N359" s="3" t="n">
        <f aca="false">IF(I359="Y",1,0)</f>
        <v>0</v>
      </c>
    </row>
    <row r="360" customFormat="false" ht="15" hidden="false" customHeight="true" outlineLevel="0" collapsed="false">
      <c r="A360" s="7" t="s">
        <v>63</v>
      </c>
      <c r="B360" s="7" t="n">
        <v>2016</v>
      </c>
      <c r="C360" s="7" t="s">
        <v>364</v>
      </c>
      <c r="D360" s="7" t="n">
        <v>89</v>
      </c>
      <c r="E360" s="7" t="n">
        <v>73</v>
      </c>
      <c r="F360" s="7" t="s">
        <v>546</v>
      </c>
      <c r="G360" s="7" t="s">
        <v>548</v>
      </c>
      <c r="H360" s="7" t="s">
        <v>546</v>
      </c>
      <c r="I360" s="7" t="s">
        <v>546</v>
      </c>
      <c r="J360" s="21" t="n">
        <f aca="false">D360/(D360+E360)</f>
        <v>0.549382716049383</v>
      </c>
      <c r="K360" s="3" t="n">
        <f aca="false">IF(D360&gt;E360,1,0)</f>
        <v>1</v>
      </c>
      <c r="L360" s="3" t="n">
        <f aca="false">IF(OR(F360="Y",G360="Y",H360="Y"),1,0)</f>
        <v>1</v>
      </c>
      <c r="M360" s="3" t="n">
        <f aca="false">IF(H360="Y",1,0)</f>
        <v>0</v>
      </c>
      <c r="N360" s="3" t="n">
        <f aca="false">IF(I360="Y",1,0)</f>
        <v>0</v>
      </c>
    </row>
    <row r="361" customFormat="false" ht="15" hidden="false" customHeight="true" outlineLevel="0" collapsed="false">
      <c r="A361" s="7" t="s">
        <v>63</v>
      </c>
      <c r="B361" s="7" t="n">
        <v>2017</v>
      </c>
      <c r="C361" s="7" t="s">
        <v>364</v>
      </c>
      <c r="D361" s="7" t="n">
        <v>75</v>
      </c>
      <c r="E361" s="7" t="n">
        <v>87</v>
      </c>
      <c r="F361" s="7" t="s">
        <v>546</v>
      </c>
      <c r="G361" s="7" t="s">
        <v>546</v>
      </c>
      <c r="H361" s="7" t="s">
        <v>546</v>
      </c>
      <c r="I361" s="7" t="s">
        <v>546</v>
      </c>
      <c r="J361" s="21" t="n">
        <f aca="false">D361/(D361+E361)</f>
        <v>0.462962962962963</v>
      </c>
      <c r="K361" s="3" t="n">
        <f aca="false">IF(D361&gt;E361,1,0)</f>
        <v>0</v>
      </c>
      <c r="L361" s="3" t="n">
        <f aca="false">IF(OR(F361="Y",G361="Y",H361="Y"),1,0)</f>
        <v>0</v>
      </c>
      <c r="M361" s="3" t="n">
        <f aca="false">IF(H361="Y",1,0)</f>
        <v>0</v>
      </c>
      <c r="N361" s="3" t="n">
        <f aca="false">IF(I361="Y",1,0)</f>
        <v>0</v>
      </c>
    </row>
    <row r="362" customFormat="false" ht="15" hidden="false" customHeight="true" outlineLevel="0" collapsed="false">
      <c r="A362" s="7" t="s">
        <v>63</v>
      </c>
      <c r="B362" s="7" t="n">
        <v>2018</v>
      </c>
      <c r="C362" s="7" t="s">
        <v>364</v>
      </c>
      <c r="D362" s="7" t="n">
        <v>47</v>
      </c>
      <c r="E362" s="7" t="n">
        <v>115</v>
      </c>
      <c r="F362" s="7" t="s">
        <v>546</v>
      </c>
      <c r="G362" s="7" t="s">
        <v>546</v>
      </c>
      <c r="H362" s="7" t="s">
        <v>546</v>
      </c>
      <c r="I362" s="7" t="s">
        <v>546</v>
      </c>
      <c r="J362" s="21" t="n">
        <f aca="false">D362/(D362+E362)</f>
        <v>0.290123456790123</v>
      </c>
      <c r="K362" s="3" t="n">
        <f aca="false">IF(D362&gt;E362,1,0)</f>
        <v>0</v>
      </c>
      <c r="L362" s="3" t="n">
        <f aca="false">IF(OR(F362="Y",G362="Y",H362="Y"),1,0)</f>
        <v>0</v>
      </c>
      <c r="M362" s="3" t="n">
        <f aca="false">IF(H362="Y",1,0)</f>
        <v>0</v>
      </c>
      <c r="N362" s="3" t="n">
        <f aca="false">IF(I362="Y",1,0)</f>
        <v>0</v>
      </c>
    </row>
    <row r="363" customFormat="false" ht="15" hidden="false" customHeight="true" outlineLevel="0" collapsed="false">
      <c r="A363" s="7" t="s">
        <v>63</v>
      </c>
      <c r="B363" s="7" t="n">
        <v>2019</v>
      </c>
      <c r="C363" s="7" t="s">
        <v>364</v>
      </c>
      <c r="D363" s="7" t="n">
        <v>54</v>
      </c>
      <c r="E363" s="7" t="n">
        <v>108</v>
      </c>
      <c r="F363" s="7" t="s">
        <v>546</v>
      </c>
      <c r="G363" s="7" t="s">
        <v>546</v>
      </c>
      <c r="H363" s="7" t="s">
        <v>546</v>
      </c>
      <c r="I363" s="7" t="s">
        <v>546</v>
      </c>
      <c r="J363" s="21" t="n">
        <f aca="false">D363/(D363+E363)</f>
        <v>0.333333333333333</v>
      </c>
      <c r="K363" s="3" t="n">
        <f aca="false">IF(D363&gt;E363,1,0)</f>
        <v>0</v>
      </c>
      <c r="L363" s="3" t="n">
        <f aca="false">IF(OR(F363="Y",G363="Y",H363="Y"),1,0)</f>
        <v>0</v>
      </c>
      <c r="M363" s="3" t="n">
        <f aca="false">IF(H363="Y",1,0)</f>
        <v>0</v>
      </c>
      <c r="N363" s="3" t="n">
        <f aca="false">IF(I363="Y",1,0)</f>
        <v>0</v>
      </c>
    </row>
    <row r="364" customFormat="false" ht="15" hidden="false" customHeight="true" outlineLevel="0" collapsed="false">
      <c r="A364" s="7" t="s">
        <v>63</v>
      </c>
      <c r="B364" s="7" t="n">
        <v>2020</v>
      </c>
      <c r="C364" s="7" t="s">
        <v>364</v>
      </c>
      <c r="D364" s="7" t="n">
        <v>25</v>
      </c>
      <c r="E364" s="7" t="n">
        <v>35</v>
      </c>
      <c r="F364" s="7" t="s">
        <v>546</v>
      </c>
      <c r="G364" s="7" t="s">
        <v>546</v>
      </c>
      <c r="H364" s="7" t="s">
        <v>546</v>
      </c>
      <c r="I364" s="7" t="s">
        <v>546</v>
      </c>
      <c r="J364" s="21" t="n">
        <f aca="false">D364/(D364+E364)</f>
        <v>0.416666666666667</v>
      </c>
      <c r="K364" s="3" t="n">
        <f aca="false">IF(D364&gt;E364,1,0)</f>
        <v>0</v>
      </c>
      <c r="L364" s="3" t="n">
        <f aca="false">IF(OR(F364="Y",G364="Y",H364="Y"),1,0)</f>
        <v>0</v>
      </c>
      <c r="M364" s="3" t="n">
        <f aca="false">IF(H364="Y",1,0)</f>
        <v>0</v>
      </c>
      <c r="N364" s="3" t="n">
        <f aca="false">IF(I364="Y",1,0)</f>
        <v>0</v>
      </c>
    </row>
    <row r="365" customFormat="false" ht="15" hidden="false" customHeight="true" outlineLevel="0" collapsed="false">
      <c r="A365" s="7" t="s">
        <v>63</v>
      </c>
      <c r="B365" s="7" t="n">
        <v>2021</v>
      </c>
      <c r="C365" s="7" t="s">
        <v>364</v>
      </c>
      <c r="D365" s="7" t="n">
        <v>52</v>
      </c>
      <c r="E365" s="7" t="n">
        <v>110</v>
      </c>
      <c r="F365" s="7" t="s">
        <v>546</v>
      </c>
      <c r="G365" s="7" t="s">
        <v>546</v>
      </c>
      <c r="H365" s="7" t="s">
        <v>546</v>
      </c>
      <c r="I365" s="7" t="s">
        <v>546</v>
      </c>
      <c r="J365" s="21" t="n">
        <f aca="false">D365/(D365+E365)</f>
        <v>0.320987654320988</v>
      </c>
      <c r="K365" s="3" t="n">
        <f aca="false">IF(D365&gt;E365,1,0)</f>
        <v>0</v>
      </c>
      <c r="L365" s="3" t="n">
        <f aca="false">IF(OR(F365="Y",G365="Y",H365="Y"),1,0)</f>
        <v>0</v>
      </c>
      <c r="M365" s="3" t="n">
        <f aca="false">IF(H365="Y",1,0)</f>
        <v>0</v>
      </c>
      <c r="N365" s="3" t="n">
        <f aca="false">IF(I365="Y",1,0)</f>
        <v>0</v>
      </c>
    </row>
    <row r="366" customFormat="false" ht="15" hidden="false" customHeight="true" outlineLevel="0" collapsed="false">
      <c r="A366" s="7" t="s">
        <v>63</v>
      </c>
      <c r="B366" s="7" t="n">
        <v>2022</v>
      </c>
      <c r="C366" s="7" t="s">
        <v>364</v>
      </c>
      <c r="D366" s="7" t="n">
        <v>83</v>
      </c>
      <c r="E366" s="7" t="n">
        <v>79</v>
      </c>
      <c r="F366" s="7" t="s">
        <v>546</v>
      </c>
      <c r="G366" s="7" t="s">
        <v>546</v>
      </c>
      <c r="H366" s="7" t="s">
        <v>546</v>
      </c>
      <c r="I366" s="7" t="s">
        <v>546</v>
      </c>
      <c r="J366" s="21" t="n">
        <f aca="false">D366/(D366+E366)</f>
        <v>0.512345679012346</v>
      </c>
      <c r="K366" s="3" t="n">
        <f aca="false">IF(D366&gt;E366,1,0)</f>
        <v>1</v>
      </c>
      <c r="L366" s="3" t="n">
        <f aca="false">IF(OR(F366="Y",G366="Y",H366="Y"),1,0)</f>
        <v>0</v>
      </c>
      <c r="M366" s="3" t="n">
        <f aca="false">IF(H366="Y",1,0)</f>
        <v>0</v>
      </c>
      <c r="N366" s="3" t="n">
        <f aca="false">IF(I366="Y",1,0)</f>
        <v>0</v>
      </c>
    </row>
    <row r="367" customFormat="false" ht="15" hidden="false" customHeight="true" outlineLevel="0" collapsed="false">
      <c r="A367" s="7" t="s">
        <v>63</v>
      </c>
      <c r="B367" s="7" t="n">
        <v>2023</v>
      </c>
      <c r="C367" s="7" t="s">
        <v>364</v>
      </c>
      <c r="D367" s="7" t="n">
        <v>101</v>
      </c>
      <c r="E367" s="7" t="n">
        <v>61</v>
      </c>
      <c r="F367" s="7" t="s">
        <v>548</v>
      </c>
      <c r="G367" s="7" t="s">
        <v>546</v>
      </c>
      <c r="H367" s="7" t="s">
        <v>546</v>
      </c>
      <c r="I367" s="7" t="s">
        <v>546</v>
      </c>
      <c r="J367" s="21" t="n">
        <f aca="false">D367/(D367+E367)</f>
        <v>0.623456790123457</v>
      </c>
      <c r="K367" s="3" t="n">
        <f aca="false">IF(D367&gt;E367,1,0)</f>
        <v>1</v>
      </c>
      <c r="L367" s="3" t="n">
        <f aca="false">IF(OR(F367="Y",G367="Y",H367="Y"),1,0)</f>
        <v>1</v>
      </c>
      <c r="M367" s="3" t="n">
        <f aca="false">IF(H367="Y",1,0)</f>
        <v>0</v>
      </c>
      <c r="N367" s="3" t="n">
        <f aca="false">IF(I367="Y",1,0)</f>
        <v>0</v>
      </c>
    </row>
    <row r="368" customFormat="false" ht="15" hidden="false" customHeight="true" outlineLevel="0" collapsed="false">
      <c r="A368" s="7" t="s">
        <v>63</v>
      </c>
      <c r="B368" s="7" t="n">
        <v>2024</v>
      </c>
      <c r="C368" s="7" t="s">
        <v>364</v>
      </c>
      <c r="D368" s="7" t="n">
        <v>91</v>
      </c>
      <c r="E368" s="7" t="n">
        <v>71</v>
      </c>
      <c r="F368" s="7" t="s">
        <v>546</v>
      </c>
      <c r="G368" s="7" t="s">
        <v>548</v>
      </c>
      <c r="H368" s="7" t="s">
        <v>546</v>
      </c>
      <c r="I368" s="7" t="s">
        <v>546</v>
      </c>
      <c r="J368" s="21" t="n">
        <f aca="false">D368/(D368+E368)</f>
        <v>0.561728395061728</v>
      </c>
      <c r="K368" s="3" t="n">
        <f aca="false">IF(D368&gt;E368,1,0)</f>
        <v>1</v>
      </c>
      <c r="L368" s="3" t="n">
        <f aca="false">IF(OR(F368="Y",G368="Y",H368="Y"),1,0)</f>
        <v>1</v>
      </c>
      <c r="M368" s="3" t="n">
        <f aca="false">IF(H368="Y",1,0)</f>
        <v>0</v>
      </c>
      <c r="N368" s="3" t="n">
        <f aca="false">IF(I368="Y",1,0)</f>
        <v>0</v>
      </c>
    </row>
    <row r="369" customFormat="false" ht="15" hidden="false" customHeight="true" outlineLevel="0" collapsed="false">
      <c r="A369" s="7" t="s">
        <v>63</v>
      </c>
      <c r="B369" s="7" t="n">
        <v>2025</v>
      </c>
      <c r="C369" s="7" t="s">
        <v>364</v>
      </c>
      <c r="D369" s="7" t="n">
        <v>75</v>
      </c>
      <c r="E369" s="7" t="n">
        <v>87</v>
      </c>
      <c r="F369" s="7" t="s">
        <v>546</v>
      </c>
      <c r="G369" s="7" t="s">
        <v>546</v>
      </c>
      <c r="H369" s="7" t="s">
        <v>546</v>
      </c>
      <c r="I369" s="7" t="s">
        <v>546</v>
      </c>
      <c r="J369" s="21" t="n">
        <f aca="false">D369/(D369+E369)</f>
        <v>0.462962962962963</v>
      </c>
      <c r="K369" s="3" t="n">
        <f aca="false">IF(D369&gt;E369,1,0)</f>
        <v>0</v>
      </c>
      <c r="L369" s="3" t="n">
        <f aca="false">IF(OR(F369="Y",G369="Y",H369="Y"),1,0)</f>
        <v>0</v>
      </c>
      <c r="M369" s="3" t="n">
        <f aca="false">IF(H369="Y",1,0)</f>
        <v>0</v>
      </c>
      <c r="N369" s="3" t="n">
        <f aca="false">IF(I369="Y",1,0)</f>
        <v>0</v>
      </c>
    </row>
    <row r="370" customFormat="false" ht="15" hidden="false" customHeight="true" outlineLevel="0" collapsed="false">
      <c r="A370" s="7" t="s">
        <v>64</v>
      </c>
      <c r="B370" s="7" t="n">
        <v>1901</v>
      </c>
      <c r="C370" s="7" t="s">
        <v>559</v>
      </c>
      <c r="D370" s="7" t="n">
        <v>79</v>
      </c>
      <c r="E370" s="7" t="n">
        <v>57</v>
      </c>
      <c r="F370" s="7"/>
      <c r="G370" s="7"/>
      <c r="H370" s="7" t="s">
        <v>546</v>
      </c>
      <c r="I370" s="7"/>
      <c r="J370" s="21" t="n">
        <f aca="false">D370/(D370+E370)</f>
        <v>0.580882352941177</v>
      </c>
      <c r="K370" s="3" t="n">
        <f aca="false">IF(D370&gt;E370,1,0)</f>
        <v>1</v>
      </c>
      <c r="L370" s="3" t="n">
        <f aca="false">IF(OR(F370="Y",G370="Y",H370="Y"),1,0)</f>
        <v>0</v>
      </c>
      <c r="M370" s="3" t="n">
        <f aca="false">IF(H370="Y",1,0)</f>
        <v>0</v>
      </c>
      <c r="N370" s="3" t="n">
        <f aca="false">IF(I370="Y",1,0)</f>
        <v>0</v>
      </c>
    </row>
    <row r="371" customFormat="false" ht="15" hidden="false" customHeight="true" outlineLevel="0" collapsed="false">
      <c r="A371" s="7" t="s">
        <v>64</v>
      </c>
      <c r="B371" s="7" t="n">
        <v>1902</v>
      </c>
      <c r="C371" s="7" t="s">
        <v>559</v>
      </c>
      <c r="D371" s="7" t="n">
        <v>77</v>
      </c>
      <c r="E371" s="7" t="n">
        <v>60</v>
      </c>
      <c r="F371" s="7"/>
      <c r="G371" s="7"/>
      <c r="H371" s="7" t="s">
        <v>546</v>
      </c>
      <c r="I371" s="7"/>
      <c r="J371" s="21" t="n">
        <f aca="false">D371/(D371+E371)</f>
        <v>0.562043795620438</v>
      </c>
      <c r="K371" s="3" t="n">
        <f aca="false">IF(D371&gt;E371,1,0)</f>
        <v>1</v>
      </c>
      <c r="L371" s="3" t="n">
        <f aca="false">IF(OR(F371="Y",G371="Y",H371="Y"),1,0)</f>
        <v>0</v>
      </c>
      <c r="M371" s="3" t="n">
        <f aca="false">IF(H371="Y",1,0)</f>
        <v>0</v>
      </c>
      <c r="N371" s="3" t="n">
        <f aca="false">IF(I371="Y",1,0)</f>
        <v>0</v>
      </c>
    </row>
    <row r="372" customFormat="false" ht="15" hidden="false" customHeight="true" outlineLevel="0" collapsed="false">
      <c r="A372" s="7" t="s">
        <v>64</v>
      </c>
      <c r="B372" s="7" t="n">
        <v>1903</v>
      </c>
      <c r="C372" s="7" t="s">
        <v>559</v>
      </c>
      <c r="D372" s="7" t="n">
        <v>91</v>
      </c>
      <c r="E372" s="7" t="n">
        <v>47</v>
      </c>
      <c r="F372" s="7"/>
      <c r="G372" s="7"/>
      <c r="H372" s="7" t="s">
        <v>548</v>
      </c>
      <c r="I372" s="7" t="s">
        <v>548</v>
      </c>
      <c r="J372" s="21" t="n">
        <f aca="false">D372/(D372+E372)</f>
        <v>0.659420289855073</v>
      </c>
      <c r="K372" s="3" t="n">
        <f aca="false">IF(D372&gt;E372,1,0)</f>
        <v>1</v>
      </c>
      <c r="L372" s="3" t="n">
        <f aca="false">IF(OR(F372="Y",G372="Y",H372="Y"),1,0)</f>
        <v>1</v>
      </c>
      <c r="M372" s="3" t="n">
        <f aca="false">IF(H372="Y",1,0)</f>
        <v>1</v>
      </c>
      <c r="N372" s="3" t="n">
        <f aca="false">IF(I372="Y",1,0)</f>
        <v>1</v>
      </c>
    </row>
    <row r="373" customFormat="false" ht="15" hidden="false" customHeight="true" outlineLevel="0" collapsed="false">
      <c r="A373" s="7" t="s">
        <v>64</v>
      </c>
      <c r="B373" s="7" t="n">
        <v>1904</v>
      </c>
      <c r="C373" s="7" t="s">
        <v>559</v>
      </c>
      <c r="D373" s="7" t="n">
        <v>95</v>
      </c>
      <c r="E373" s="7" t="n">
        <v>59</v>
      </c>
      <c r="F373" s="7"/>
      <c r="G373" s="7"/>
      <c r="H373" s="7" t="s">
        <v>548</v>
      </c>
      <c r="I373" s="7"/>
      <c r="J373" s="21" t="n">
        <f aca="false">D373/(D373+E373)</f>
        <v>0.616883116883117</v>
      </c>
      <c r="K373" s="3" t="n">
        <f aca="false">IF(D373&gt;E373,1,0)</f>
        <v>1</v>
      </c>
      <c r="L373" s="3" t="n">
        <f aca="false">IF(OR(F373="Y",G373="Y",H373="Y"),1,0)</f>
        <v>1</v>
      </c>
      <c r="M373" s="3" t="n">
        <f aca="false">IF(H373="Y",1,0)</f>
        <v>1</v>
      </c>
      <c r="N373" s="3" t="n">
        <f aca="false">IF(I373="Y",1,0)</f>
        <v>0</v>
      </c>
    </row>
    <row r="374" customFormat="false" ht="15" hidden="false" customHeight="true" outlineLevel="0" collapsed="false">
      <c r="A374" s="7" t="s">
        <v>64</v>
      </c>
      <c r="B374" s="7" t="n">
        <v>1905</v>
      </c>
      <c r="C374" s="7" t="s">
        <v>559</v>
      </c>
      <c r="D374" s="7" t="n">
        <v>78</v>
      </c>
      <c r="E374" s="7" t="n">
        <v>74</v>
      </c>
      <c r="F374" s="7"/>
      <c r="G374" s="7"/>
      <c r="H374" s="7" t="s">
        <v>546</v>
      </c>
      <c r="I374" s="7" t="s">
        <v>546</v>
      </c>
      <c r="J374" s="21" t="n">
        <f aca="false">D374/(D374+E374)</f>
        <v>0.513157894736842</v>
      </c>
      <c r="K374" s="3" t="n">
        <f aca="false">IF(D374&gt;E374,1,0)</f>
        <v>1</v>
      </c>
      <c r="L374" s="3" t="n">
        <f aca="false">IF(OR(F374="Y",G374="Y",H374="Y"),1,0)</f>
        <v>0</v>
      </c>
      <c r="M374" s="3" t="n">
        <f aca="false">IF(H374="Y",1,0)</f>
        <v>0</v>
      </c>
      <c r="N374" s="3" t="n">
        <f aca="false">IF(I374="Y",1,0)</f>
        <v>0</v>
      </c>
    </row>
    <row r="375" customFormat="false" ht="15" hidden="false" customHeight="true" outlineLevel="0" collapsed="false">
      <c r="A375" s="7" t="s">
        <v>64</v>
      </c>
      <c r="B375" s="7" t="n">
        <v>1906</v>
      </c>
      <c r="C375" s="7" t="s">
        <v>559</v>
      </c>
      <c r="D375" s="7" t="n">
        <v>49</v>
      </c>
      <c r="E375" s="7" t="n">
        <v>105</v>
      </c>
      <c r="F375" s="7"/>
      <c r="G375" s="7"/>
      <c r="H375" s="7" t="s">
        <v>546</v>
      </c>
      <c r="I375" s="7" t="s">
        <v>546</v>
      </c>
      <c r="J375" s="21" t="n">
        <f aca="false">D375/(D375+E375)</f>
        <v>0.318181818181818</v>
      </c>
      <c r="K375" s="3" t="n">
        <f aca="false">IF(D375&gt;E375,1,0)</f>
        <v>0</v>
      </c>
      <c r="L375" s="3" t="n">
        <f aca="false">IF(OR(F375="Y",G375="Y",H375="Y"),1,0)</f>
        <v>0</v>
      </c>
      <c r="M375" s="3" t="n">
        <f aca="false">IF(H375="Y",1,0)</f>
        <v>0</v>
      </c>
      <c r="N375" s="3" t="n">
        <f aca="false">IF(I375="Y",1,0)</f>
        <v>0</v>
      </c>
    </row>
    <row r="376" customFormat="false" ht="15" hidden="false" customHeight="true" outlineLevel="0" collapsed="false">
      <c r="A376" s="7" t="s">
        <v>64</v>
      </c>
      <c r="B376" s="7" t="n">
        <v>1907</v>
      </c>
      <c r="C376" s="7" t="s">
        <v>559</v>
      </c>
      <c r="D376" s="7" t="n">
        <v>59</v>
      </c>
      <c r="E376" s="7" t="n">
        <v>90</v>
      </c>
      <c r="F376" s="7"/>
      <c r="G376" s="7"/>
      <c r="H376" s="7" t="s">
        <v>546</v>
      </c>
      <c r="I376" s="7" t="s">
        <v>546</v>
      </c>
      <c r="J376" s="21" t="n">
        <f aca="false">D376/(D376+E376)</f>
        <v>0.395973154362416</v>
      </c>
      <c r="K376" s="3" t="n">
        <f aca="false">IF(D376&gt;E376,1,0)</f>
        <v>0</v>
      </c>
      <c r="L376" s="3" t="n">
        <f aca="false">IF(OR(F376="Y",G376="Y",H376="Y"),1,0)</f>
        <v>0</v>
      </c>
      <c r="M376" s="3" t="n">
        <f aca="false">IF(H376="Y",1,0)</f>
        <v>0</v>
      </c>
      <c r="N376" s="3" t="n">
        <f aca="false">IF(I376="Y",1,0)</f>
        <v>0</v>
      </c>
    </row>
    <row r="377" customFormat="false" ht="15" hidden="false" customHeight="true" outlineLevel="0" collapsed="false">
      <c r="A377" s="7" t="s">
        <v>64</v>
      </c>
      <c r="B377" s="7" t="n">
        <v>1908</v>
      </c>
      <c r="C377" s="7" t="s">
        <v>365</v>
      </c>
      <c r="D377" s="7" t="n">
        <v>75</v>
      </c>
      <c r="E377" s="7" t="n">
        <v>79</v>
      </c>
      <c r="F377" s="7"/>
      <c r="G377" s="7"/>
      <c r="H377" s="7" t="s">
        <v>546</v>
      </c>
      <c r="I377" s="7" t="s">
        <v>546</v>
      </c>
      <c r="J377" s="21" t="n">
        <f aca="false">D377/(D377+E377)</f>
        <v>0.487012987012987</v>
      </c>
      <c r="K377" s="3" t="n">
        <f aca="false">IF(D377&gt;E377,1,0)</f>
        <v>0</v>
      </c>
      <c r="L377" s="3" t="n">
        <f aca="false">IF(OR(F377="Y",G377="Y",H377="Y"),1,0)</f>
        <v>0</v>
      </c>
      <c r="M377" s="3" t="n">
        <f aca="false">IF(H377="Y",1,0)</f>
        <v>0</v>
      </c>
      <c r="N377" s="3" t="n">
        <f aca="false">IF(I377="Y",1,0)</f>
        <v>0</v>
      </c>
    </row>
    <row r="378" customFormat="false" ht="15" hidden="false" customHeight="true" outlineLevel="0" collapsed="false">
      <c r="A378" s="7" t="s">
        <v>64</v>
      </c>
      <c r="B378" s="7" t="n">
        <v>1909</v>
      </c>
      <c r="C378" s="7" t="s">
        <v>365</v>
      </c>
      <c r="D378" s="7" t="n">
        <v>88</v>
      </c>
      <c r="E378" s="7" t="n">
        <v>63</v>
      </c>
      <c r="F378" s="7"/>
      <c r="G378" s="7"/>
      <c r="H378" s="7" t="s">
        <v>546</v>
      </c>
      <c r="I378" s="7" t="s">
        <v>546</v>
      </c>
      <c r="J378" s="21" t="n">
        <f aca="false">D378/(D378+E378)</f>
        <v>0.582781456953642</v>
      </c>
      <c r="K378" s="3" t="n">
        <f aca="false">IF(D378&gt;E378,1,0)</f>
        <v>1</v>
      </c>
      <c r="L378" s="3" t="n">
        <f aca="false">IF(OR(F378="Y",G378="Y",H378="Y"),1,0)</f>
        <v>0</v>
      </c>
      <c r="M378" s="3" t="n">
        <f aca="false">IF(H378="Y",1,0)</f>
        <v>0</v>
      </c>
      <c r="N378" s="3" t="n">
        <f aca="false">IF(I378="Y",1,0)</f>
        <v>0</v>
      </c>
    </row>
    <row r="379" customFormat="false" ht="15" hidden="false" customHeight="true" outlineLevel="0" collapsed="false">
      <c r="A379" s="7" t="s">
        <v>64</v>
      </c>
      <c r="B379" s="7" t="n">
        <v>1910</v>
      </c>
      <c r="C379" s="7" t="s">
        <v>365</v>
      </c>
      <c r="D379" s="7" t="n">
        <v>81</v>
      </c>
      <c r="E379" s="7" t="n">
        <v>72</v>
      </c>
      <c r="F379" s="7"/>
      <c r="G379" s="7"/>
      <c r="H379" s="7" t="s">
        <v>546</v>
      </c>
      <c r="I379" s="7" t="s">
        <v>546</v>
      </c>
      <c r="J379" s="21" t="n">
        <f aca="false">D379/(D379+E379)</f>
        <v>0.529411764705882</v>
      </c>
      <c r="K379" s="3" t="n">
        <f aca="false">IF(D379&gt;E379,1,0)</f>
        <v>1</v>
      </c>
      <c r="L379" s="3" t="n">
        <f aca="false">IF(OR(F379="Y",G379="Y",H379="Y"),1,0)</f>
        <v>0</v>
      </c>
      <c r="M379" s="3" t="n">
        <f aca="false">IF(H379="Y",1,0)</f>
        <v>0</v>
      </c>
      <c r="N379" s="3" t="n">
        <f aca="false">IF(I379="Y",1,0)</f>
        <v>0</v>
      </c>
    </row>
    <row r="380" customFormat="false" ht="15" hidden="false" customHeight="true" outlineLevel="0" collapsed="false">
      <c r="A380" s="7" t="s">
        <v>64</v>
      </c>
      <c r="B380" s="7" t="n">
        <v>1911</v>
      </c>
      <c r="C380" s="7" t="s">
        <v>365</v>
      </c>
      <c r="D380" s="7" t="n">
        <v>78</v>
      </c>
      <c r="E380" s="7" t="n">
        <v>75</v>
      </c>
      <c r="F380" s="7"/>
      <c r="G380" s="7"/>
      <c r="H380" s="7" t="s">
        <v>546</v>
      </c>
      <c r="I380" s="7" t="s">
        <v>546</v>
      </c>
      <c r="J380" s="21" t="n">
        <f aca="false">D380/(D380+E380)</f>
        <v>0.509803921568627</v>
      </c>
      <c r="K380" s="3" t="n">
        <f aca="false">IF(D380&gt;E380,1,0)</f>
        <v>1</v>
      </c>
      <c r="L380" s="3" t="n">
        <f aca="false">IF(OR(F380="Y",G380="Y",H380="Y"),1,0)</f>
        <v>0</v>
      </c>
      <c r="M380" s="3" t="n">
        <f aca="false">IF(H380="Y",1,0)</f>
        <v>0</v>
      </c>
      <c r="N380" s="3" t="n">
        <f aca="false">IF(I380="Y",1,0)</f>
        <v>0</v>
      </c>
    </row>
    <row r="381" customFormat="false" ht="15" hidden="false" customHeight="true" outlineLevel="0" collapsed="false">
      <c r="A381" s="7" t="s">
        <v>64</v>
      </c>
      <c r="B381" s="7" t="n">
        <v>1912</v>
      </c>
      <c r="C381" s="7" t="s">
        <v>365</v>
      </c>
      <c r="D381" s="7" t="n">
        <v>105</v>
      </c>
      <c r="E381" s="7" t="n">
        <v>47</v>
      </c>
      <c r="F381" s="7"/>
      <c r="G381" s="7"/>
      <c r="H381" s="7" t="s">
        <v>548</v>
      </c>
      <c r="I381" s="7" t="s">
        <v>548</v>
      </c>
      <c r="J381" s="21" t="n">
        <f aca="false">D381/(D381+E381)</f>
        <v>0.690789473684211</v>
      </c>
      <c r="K381" s="3" t="n">
        <f aca="false">IF(D381&gt;E381,1,0)</f>
        <v>1</v>
      </c>
      <c r="L381" s="3" t="n">
        <f aca="false">IF(OR(F381="Y",G381="Y",H381="Y"),1,0)</f>
        <v>1</v>
      </c>
      <c r="M381" s="3" t="n">
        <f aca="false">IF(H381="Y",1,0)</f>
        <v>1</v>
      </c>
      <c r="N381" s="3" t="n">
        <f aca="false">IF(I381="Y",1,0)</f>
        <v>1</v>
      </c>
    </row>
    <row r="382" customFormat="false" ht="15" hidden="false" customHeight="true" outlineLevel="0" collapsed="false">
      <c r="A382" s="7" t="s">
        <v>64</v>
      </c>
      <c r="B382" s="7" t="n">
        <v>1913</v>
      </c>
      <c r="C382" s="7" t="s">
        <v>365</v>
      </c>
      <c r="D382" s="7" t="n">
        <v>79</v>
      </c>
      <c r="E382" s="7" t="n">
        <v>71</v>
      </c>
      <c r="F382" s="7"/>
      <c r="G382" s="7"/>
      <c r="H382" s="7" t="s">
        <v>546</v>
      </c>
      <c r="I382" s="7" t="s">
        <v>546</v>
      </c>
      <c r="J382" s="21" t="n">
        <f aca="false">D382/(D382+E382)</f>
        <v>0.526666666666667</v>
      </c>
      <c r="K382" s="3" t="n">
        <f aca="false">IF(D382&gt;E382,1,0)</f>
        <v>1</v>
      </c>
      <c r="L382" s="3" t="n">
        <f aca="false">IF(OR(F382="Y",G382="Y",H382="Y"),1,0)</f>
        <v>0</v>
      </c>
      <c r="M382" s="3" t="n">
        <f aca="false">IF(H382="Y",1,0)</f>
        <v>0</v>
      </c>
      <c r="N382" s="3" t="n">
        <f aca="false">IF(I382="Y",1,0)</f>
        <v>0</v>
      </c>
    </row>
    <row r="383" customFormat="false" ht="15" hidden="false" customHeight="true" outlineLevel="0" collapsed="false">
      <c r="A383" s="7" t="s">
        <v>64</v>
      </c>
      <c r="B383" s="7" t="n">
        <v>1914</v>
      </c>
      <c r="C383" s="7" t="s">
        <v>365</v>
      </c>
      <c r="D383" s="7" t="n">
        <v>91</v>
      </c>
      <c r="E383" s="7" t="n">
        <v>62</v>
      </c>
      <c r="F383" s="7"/>
      <c r="G383" s="7"/>
      <c r="H383" s="7" t="s">
        <v>546</v>
      </c>
      <c r="I383" s="7" t="s">
        <v>546</v>
      </c>
      <c r="J383" s="21" t="n">
        <f aca="false">D383/(D383+E383)</f>
        <v>0.594771241830065</v>
      </c>
      <c r="K383" s="3" t="n">
        <f aca="false">IF(D383&gt;E383,1,0)</f>
        <v>1</v>
      </c>
      <c r="L383" s="3" t="n">
        <f aca="false">IF(OR(F383="Y",G383="Y",H383="Y"),1,0)</f>
        <v>0</v>
      </c>
      <c r="M383" s="3" t="n">
        <f aca="false">IF(H383="Y",1,0)</f>
        <v>0</v>
      </c>
      <c r="N383" s="3" t="n">
        <f aca="false">IF(I383="Y",1,0)</f>
        <v>0</v>
      </c>
    </row>
    <row r="384" customFormat="false" ht="15" hidden="false" customHeight="true" outlineLevel="0" collapsed="false">
      <c r="A384" s="7" t="s">
        <v>64</v>
      </c>
      <c r="B384" s="7" t="n">
        <v>1915</v>
      </c>
      <c r="C384" s="7" t="s">
        <v>365</v>
      </c>
      <c r="D384" s="7" t="n">
        <v>101</v>
      </c>
      <c r="E384" s="7" t="n">
        <v>50</v>
      </c>
      <c r="F384" s="7"/>
      <c r="G384" s="7"/>
      <c r="H384" s="7" t="s">
        <v>548</v>
      </c>
      <c r="I384" s="7" t="s">
        <v>548</v>
      </c>
      <c r="J384" s="21" t="n">
        <f aca="false">D384/(D384+E384)</f>
        <v>0.66887417218543</v>
      </c>
      <c r="K384" s="3" t="n">
        <f aca="false">IF(D384&gt;E384,1,0)</f>
        <v>1</v>
      </c>
      <c r="L384" s="3" t="n">
        <f aca="false">IF(OR(F384="Y",G384="Y",H384="Y"),1,0)</f>
        <v>1</v>
      </c>
      <c r="M384" s="3" t="n">
        <f aca="false">IF(H384="Y",1,0)</f>
        <v>1</v>
      </c>
      <c r="N384" s="3" t="n">
        <f aca="false">IF(I384="Y",1,0)</f>
        <v>1</v>
      </c>
    </row>
    <row r="385" customFormat="false" ht="15" hidden="false" customHeight="true" outlineLevel="0" collapsed="false">
      <c r="A385" s="7" t="s">
        <v>64</v>
      </c>
      <c r="B385" s="7" t="n">
        <v>1916</v>
      </c>
      <c r="C385" s="7" t="s">
        <v>365</v>
      </c>
      <c r="D385" s="7" t="n">
        <v>91</v>
      </c>
      <c r="E385" s="7" t="n">
        <v>63</v>
      </c>
      <c r="F385" s="7"/>
      <c r="G385" s="7"/>
      <c r="H385" s="7" t="s">
        <v>548</v>
      </c>
      <c r="I385" s="7" t="s">
        <v>548</v>
      </c>
      <c r="J385" s="21" t="n">
        <f aca="false">D385/(D385+E385)</f>
        <v>0.590909090909091</v>
      </c>
      <c r="K385" s="3" t="n">
        <f aca="false">IF(D385&gt;E385,1,0)</f>
        <v>1</v>
      </c>
      <c r="L385" s="3" t="n">
        <f aca="false">IF(OR(F385="Y",G385="Y",H385="Y"),1,0)</f>
        <v>1</v>
      </c>
      <c r="M385" s="3" t="n">
        <f aca="false">IF(H385="Y",1,0)</f>
        <v>1</v>
      </c>
      <c r="N385" s="3" t="n">
        <f aca="false">IF(I385="Y",1,0)</f>
        <v>1</v>
      </c>
    </row>
    <row r="386" customFormat="false" ht="15" hidden="false" customHeight="true" outlineLevel="0" collapsed="false">
      <c r="A386" s="7" t="s">
        <v>64</v>
      </c>
      <c r="B386" s="7" t="n">
        <v>1917</v>
      </c>
      <c r="C386" s="7" t="s">
        <v>365</v>
      </c>
      <c r="D386" s="7" t="n">
        <v>90</v>
      </c>
      <c r="E386" s="7" t="n">
        <v>62</v>
      </c>
      <c r="F386" s="7"/>
      <c r="G386" s="7"/>
      <c r="H386" s="7" t="s">
        <v>546</v>
      </c>
      <c r="I386" s="7" t="s">
        <v>546</v>
      </c>
      <c r="J386" s="21" t="n">
        <f aca="false">D386/(D386+E386)</f>
        <v>0.592105263157895</v>
      </c>
      <c r="K386" s="3" t="n">
        <f aca="false">IF(D386&gt;E386,1,0)</f>
        <v>1</v>
      </c>
      <c r="L386" s="3" t="n">
        <f aca="false">IF(OR(F386="Y",G386="Y",H386="Y"),1,0)</f>
        <v>0</v>
      </c>
      <c r="M386" s="3" t="n">
        <f aca="false">IF(H386="Y",1,0)</f>
        <v>0</v>
      </c>
      <c r="N386" s="3" t="n">
        <f aca="false">IF(I386="Y",1,0)</f>
        <v>0</v>
      </c>
    </row>
    <row r="387" customFormat="false" ht="15" hidden="false" customHeight="true" outlineLevel="0" collapsed="false">
      <c r="A387" s="7" t="s">
        <v>64</v>
      </c>
      <c r="B387" s="7" t="n">
        <v>1918</v>
      </c>
      <c r="C387" s="7" t="s">
        <v>365</v>
      </c>
      <c r="D387" s="7" t="n">
        <v>75</v>
      </c>
      <c r="E387" s="7" t="n">
        <v>51</v>
      </c>
      <c r="F387" s="7"/>
      <c r="G387" s="7"/>
      <c r="H387" s="7" t="s">
        <v>548</v>
      </c>
      <c r="I387" s="7" t="s">
        <v>548</v>
      </c>
      <c r="J387" s="21" t="n">
        <f aca="false">D387/(D387+E387)</f>
        <v>0.595238095238095</v>
      </c>
      <c r="K387" s="3" t="n">
        <f aca="false">IF(D387&gt;E387,1,0)</f>
        <v>1</v>
      </c>
      <c r="L387" s="3" t="n">
        <f aca="false">IF(OR(F387="Y",G387="Y",H387="Y"),1,0)</f>
        <v>1</v>
      </c>
      <c r="M387" s="3" t="n">
        <f aca="false">IF(H387="Y",1,0)</f>
        <v>1</v>
      </c>
      <c r="N387" s="3" t="n">
        <f aca="false">IF(I387="Y",1,0)</f>
        <v>1</v>
      </c>
    </row>
    <row r="388" customFormat="false" ht="15" hidden="false" customHeight="true" outlineLevel="0" collapsed="false">
      <c r="A388" s="7" t="s">
        <v>64</v>
      </c>
      <c r="B388" s="7" t="n">
        <v>1919</v>
      </c>
      <c r="C388" s="7" t="s">
        <v>365</v>
      </c>
      <c r="D388" s="7" t="n">
        <v>66</v>
      </c>
      <c r="E388" s="7" t="n">
        <v>71</v>
      </c>
      <c r="F388" s="7"/>
      <c r="G388" s="7"/>
      <c r="H388" s="7" t="s">
        <v>546</v>
      </c>
      <c r="I388" s="7" t="s">
        <v>546</v>
      </c>
      <c r="J388" s="21" t="n">
        <f aca="false">D388/(D388+E388)</f>
        <v>0.481751824817518</v>
      </c>
      <c r="K388" s="3" t="n">
        <f aca="false">IF(D388&gt;E388,1,0)</f>
        <v>0</v>
      </c>
      <c r="L388" s="3" t="n">
        <f aca="false">IF(OR(F388="Y",G388="Y",H388="Y"),1,0)</f>
        <v>0</v>
      </c>
      <c r="M388" s="3" t="n">
        <f aca="false">IF(H388="Y",1,0)</f>
        <v>0</v>
      </c>
      <c r="N388" s="3" t="n">
        <f aca="false">IF(I388="Y",1,0)</f>
        <v>0</v>
      </c>
    </row>
    <row r="389" customFormat="false" ht="15" hidden="false" customHeight="true" outlineLevel="0" collapsed="false">
      <c r="A389" s="7" t="s">
        <v>64</v>
      </c>
      <c r="B389" s="7" t="n">
        <v>1920</v>
      </c>
      <c r="C389" s="7" t="s">
        <v>365</v>
      </c>
      <c r="D389" s="7" t="n">
        <v>72</v>
      </c>
      <c r="E389" s="7" t="n">
        <v>81</v>
      </c>
      <c r="F389" s="7"/>
      <c r="G389" s="7"/>
      <c r="H389" s="7" t="s">
        <v>546</v>
      </c>
      <c r="I389" s="7" t="s">
        <v>546</v>
      </c>
      <c r="J389" s="21" t="n">
        <f aca="false">D389/(D389+E389)</f>
        <v>0.470588235294118</v>
      </c>
      <c r="K389" s="3" t="n">
        <f aca="false">IF(D389&gt;E389,1,0)</f>
        <v>0</v>
      </c>
      <c r="L389" s="3" t="n">
        <f aca="false">IF(OR(F389="Y",G389="Y",H389="Y"),1,0)</f>
        <v>0</v>
      </c>
      <c r="M389" s="3" t="n">
        <f aca="false">IF(H389="Y",1,0)</f>
        <v>0</v>
      </c>
      <c r="N389" s="3" t="n">
        <f aca="false">IF(I389="Y",1,0)</f>
        <v>0</v>
      </c>
    </row>
    <row r="390" customFormat="false" ht="15" hidden="false" customHeight="true" outlineLevel="0" collapsed="false">
      <c r="A390" s="7" t="s">
        <v>64</v>
      </c>
      <c r="B390" s="7" t="n">
        <v>1921</v>
      </c>
      <c r="C390" s="7" t="s">
        <v>365</v>
      </c>
      <c r="D390" s="7" t="n">
        <v>75</v>
      </c>
      <c r="E390" s="7" t="n">
        <v>79</v>
      </c>
      <c r="F390" s="7"/>
      <c r="G390" s="7"/>
      <c r="H390" s="7" t="s">
        <v>546</v>
      </c>
      <c r="I390" s="7" t="s">
        <v>546</v>
      </c>
      <c r="J390" s="21" t="n">
        <f aca="false">D390/(D390+E390)</f>
        <v>0.487012987012987</v>
      </c>
      <c r="K390" s="3" t="n">
        <f aca="false">IF(D390&gt;E390,1,0)</f>
        <v>0</v>
      </c>
      <c r="L390" s="3" t="n">
        <f aca="false">IF(OR(F390="Y",G390="Y",H390="Y"),1,0)</f>
        <v>0</v>
      </c>
      <c r="M390" s="3" t="n">
        <f aca="false">IF(H390="Y",1,0)</f>
        <v>0</v>
      </c>
      <c r="N390" s="3" t="n">
        <f aca="false">IF(I390="Y",1,0)</f>
        <v>0</v>
      </c>
    </row>
    <row r="391" customFormat="false" ht="15" hidden="false" customHeight="true" outlineLevel="0" collapsed="false">
      <c r="A391" s="7" t="s">
        <v>64</v>
      </c>
      <c r="B391" s="7" t="n">
        <v>1922</v>
      </c>
      <c r="C391" s="7" t="s">
        <v>365</v>
      </c>
      <c r="D391" s="7" t="n">
        <v>61</v>
      </c>
      <c r="E391" s="7" t="n">
        <v>93</v>
      </c>
      <c r="F391" s="7"/>
      <c r="G391" s="7"/>
      <c r="H391" s="7" t="s">
        <v>546</v>
      </c>
      <c r="I391" s="7" t="s">
        <v>546</v>
      </c>
      <c r="J391" s="21" t="n">
        <f aca="false">D391/(D391+E391)</f>
        <v>0.396103896103896</v>
      </c>
      <c r="K391" s="3" t="n">
        <f aca="false">IF(D391&gt;E391,1,0)</f>
        <v>0</v>
      </c>
      <c r="L391" s="3" t="n">
        <f aca="false">IF(OR(F391="Y",G391="Y",H391="Y"),1,0)</f>
        <v>0</v>
      </c>
      <c r="M391" s="3" t="n">
        <f aca="false">IF(H391="Y",1,0)</f>
        <v>0</v>
      </c>
      <c r="N391" s="3" t="n">
        <f aca="false">IF(I391="Y",1,0)</f>
        <v>0</v>
      </c>
    </row>
    <row r="392" customFormat="false" ht="15" hidden="false" customHeight="true" outlineLevel="0" collapsed="false">
      <c r="A392" s="7" t="s">
        <v>64</v>
      </c>
      <c r="B392" s="7" t="n">
        <v>1923</v>
      </c>
      <c r="C392" s="7" t="s">
        <v>365</v>
      </c>
      <c r="D392" s="7" t="n">
        <v>61</v>
      </c>
      <c r="E392" s="7" t="n">
        <v>91</v>
      </c>
      <c r="F392" s="7"/>
      <c r="G392" s="7"/>
      <c r="H392" s="7" t="s">
        <v>546</v>
      </c>
      <c r="I392" s="7" t="s">
        <v>546</v>
      </c>
      <c r="J392" s="21" t="n">
        <f aca="false">D392/(D392+E392)</f>
        <v>0.401315789473684</v>
      </c>
      <c r="K392" s="3" t="n">
        <f aca="false">IF(D392&gt;E392,1,0)</f>
        <v>0</v>
      </c>
      <c r="L392" s="3" t="n">
        <f aca="false">IF(OR(F392="Y",G392="Y",H392="Y"),1,0)</f>
        <v>0</v>
      </c>
      <c r="M392" s="3" t="n">
        <f aca="false">IF(H392="Y",1,0)</f>
        <v>0</v>
      </c>
      <c r="N392" s="3" t="n">
        <f aca="false">IF(I392="Y",1,0)</f>
        <v>0</v>
      </c>
    </row>
    <row r="393" customFormat="false" ht="15" hidden="false" customHeight="true" outlineLevel="0" collapsed="false">
      <c r="A393" s="7" t="s">
        <v>64</v>
      </c>
      <c r="B393" s="7" t="n">
        <v>1924</v>
      </c>
      <c r="C393" s="7" t="s">
        <v>365</v>
      </c>
      <c r="D393" s="7" t="n">
        <v>67</v>
      </c>
      <c r="E393" s="7" t="n">
        <v>87</v>
      </c>
      <c r="F393" s="7"/>
      <c r="G393" s="7"/>
      <c r="H393" s="7" t="s">
        <v>546</v>
      </c>
      <c r="I393" s="7" t="s">
        <v>546</v>
      </c>
      <c r="J393" s="21" t="n">
        <f aca="false">D393/(D393+E393)</f>
        <v>0.435064935064935</v>
      </c>
      <c r="K393" s="3" t="n">
        <f aca="false">IF(D393&gt;E393,1,0)</f>
        <v>0</v>
      </c>
      <c r="L393" s="3" t="n">
        <f aca="false">IF(OR(F393="Y",G393="Y",H393="Y"),1,0)</f>
        <v>0</v>
      </c>
      <c r="M393" s="3" t="n">
        <f aca="false">IF(H393="Y",1,0)</f>
        <v>0</v>
      </c>
      <c r="N393" s="3" t="n">
        <f aca="false">IF(I393="Y",1,0)</f>
        <v>0</v>
      </c>
    </row>
    <row r="394" customFormat="false" ht="15" hidden="false" customHeight="true" outlineLevel="0" collapsed="false">
      <c r="A394" s="7" t="s">
        <v>64</v>
      </c>
      <c r="B394" s="7" t="n">
        <v>1925</v>
      </c>
      <c r="C394" s="7" t="s">
        <v>365</v>
      </c>
      <c r="D394" s="7" t="n">
        <v>47</v>
      </c>
      <c r="E394" s="7" t="n">
        <v>105</v>
      </c>
      <c r="F394" s="7"/>
      <c r="G394" s="7"/>
      <c r="H394" s="7" t="s">
        <v>546</v>
      </c>
      <c r="I394" s="7" t="s">
        <v>546</v>
      </c>
      <c r="J394" s="21" t="n">
        <f aca="false">D394/(D394+E394)</f>
        <v>0.30921052631579</v>
      </c>
      <c r="K394" s="3" t="n">
        <f aca="false">IF(D394&gt;E394,1,0)</f>
        <v>0</v>
      </c>
      <c r="L394" s="3" t="n">
        <f aca="false">IF(OR(F394="Y",G394="Y",H394="Y"),1,0)</f>
        <v>0</v>
      </c>
      <c r="M394" s="3" t="n">
        <f aca="false">IF(H394="Y",1,0)</f>
        <v>0</v>
      </c>
      <c r="N394" s="3" t="n">
        <f aca="false">IF(I394="Y",1,0)</f>
        <v>0</v>
      </c>
    </row>
    <row r="395" customFormat="false" ht="15" hidden="false" customHeight="true" outlineLevel="0" collapsed="false">
      <c r="A395" s="7" t="s">
        <v>64</v>
      </c>
      <c r="B395" s="7" t="n">
        <v>1926</v>
      </c>
      <c r="C395" s="7" t="s">
        <v>365</v>
      </c>
      <c r="D395" s="7" t="n">
        <v>46</v>
      </c>
      <c r="E395" s="7" t="n">
        <v>107</v>
      </c>
      <c r="F395" s="7"/>
      <c r="G395" s="7"/>
      <c r="H395" s="7" t="s">
        <v>546</v>
      </c>
      <c r="I395" s="7" t="s">
        <v>546</v>
      </c>
      <c r="J395" s="21" t="n">
        <f aca="false">D395/(D395+E395)</f>
        <v>0.300653594771242</v>
      </c>
      <c r="K395" s="3" t="n">
        <f aca="false">IF(D395&gt;E395,1,0)</f>
        <v>0</v>
      </c>
      <c r="L395" s="3" t="n">
        <f aca="false">IF(OR(F395="Y",G395="Y",H395="Y"),1,0)</f>
        <v>0</v>
      </c>
      <c r="M395" s="3" t="n">
        <f aca="false">IF(H395="Y",1,0)</f>
        <v>0</v>
      </c>
      <c r="N395" s="3" t="n">
        <f aca="false">IF(I395="Y",1,0)</f>
        <v>0</v>
      </c>
    </row>
    <row r="396" customFormat="false" ht="15" hidden="false" customHeight="true" outlineLevel="0" collapsed="false">
      <c r="A396" s="7" t="s">
        <v>64</v>
      </c>
      <c r="B396" s="7" t="n">
        <v>1927</v>
      </c>
      <c r="C396" s="7" t="s">
        <v>365</v>
      </c>
      <c r="D396" s="7" t="n">
        <v>51</v>
      </c>
      <c r="E396" s="7" t="n">
        <v>103</v>
      </c>
      <c r="F396" s="7"/>
      <c r="G396" s="7"/>
      <c r="H396" s="7" t="s">
        <v>546</v>
      </c>
      <c r="I396" s="7" t="s">
        <v>546</v>
      </c>
      <c r="J396" s="21" t="n">
        <f aca="false">D396/(D396+E396)</f>
        <v>0.331168831168831</v>
      </c>
      <c r="K396" s="3" t="n">
        <f aca="false">IF(D396&gt;E396,1,0)</f>
        <v>0</v>
      </c>
      <c r="L396" s="3" t="n">
        <f aca="false">IF(OR(F396="Y",G396="Y",H396="Y"),1,0)</f>
        <v>0</v>
      </c>
      <c r="M396" s="3" t="n">
        <f aca="false">IF(H396="Y",1,0)</f>
        <v>0</v>
      </c>
      <c r="N396" s="3" t="n">
        <f aca="false">IF(I396="Y",1,0)</f>
        <v>0</v>
      </c>
    </row>
    <row r="397" customFormat="false" ht="15" hidden="false" customHeight="true" outlineLevel="0" collapsed="false">
      <c r="A397" s="7" t="s">
        <v>64</v>
      </c>
      <c r="B397" s="7" t="n">
        <v>1928</v>
      </c>
      <c r="C397" s="7" t="s">
        <v>365</v>
      </c>
      <c r="D397" s="7" t="n">
        <v>57</v>
      </c>
      <c r="E397" s="7" t="n">
        <v>96</v>
      </c>
      <c r="F397" s="7"/>
      <c r="G397" s="7"/>
      <c r="H397" s="7" t="s">
        <v>546</v>
      </c>
      <c r="I397" s="7" t="s">
        <v>546</v>
      </c>
      <c r="J397" s="21" t="n">
        <f aca="false">D397/(D397+E397)</f>
        <v>0.372549019607843</v>
      </c>
      <c r="K397" s="3" t="n">
        <f aca="false">IF(D397&gt;E397,1,0)</f>
        <v>0</v>
      </c>
      <c r="L397" s="3" t="n">
        <f aca="false">IF(OR(F397="Y",G397="Y",H397="Y"),1,0)</f>
        <v>0</v>
      </c>
      <c r="M397" s="3" t="n">
        <f aca="false">IF(H397="Y",1,0)</f>
        <v>0</v>
      </c>
      <c r="N397" s="3" t="n">
        <f aca="false">IF(I397="Y",1,0)</f>
        <v>0</v>
      </c>
    </row>
    <row r="398" customFormat="false" ht="15" hidden="false" customHeight="true" outlineLevel="0" collapsed="false">
      <c r="A398" s="7" t="s">
        <v>64</v>
      </c>
      <c r="B398" s="7" t="n">
        <v>1929</v>
      </c>
      <c r="C398" s="7" t="s">
        <v>365</v>
      </c>
      <c r="D398" s="7" t="n">
        <v>58</v>
      </c>
      <c r="E398" s="7" t="n">
        <v>96</v>
      </c>
      <c r="F398" s="7"/>
      <c r="G398" s="7"/>
      <c r="H398" s="7" t="s">
        <v>546</v>
      </c>
      <c r="I398" s="7" t="s">
        <v>546</v>
      </c>
      <c r="J398" s="21" t="n">
        <f aca="false">D398/(D398+E398)</f>
        <v>0.376623376623377</v>
      </c>
      <c r="K398" s="3" t="n">
        <f aca="false">IF(D398&gt;E398,1,0)</f>
        <v>0</v>
      </c>
      <c r="L398" s="3" t="n">
        <f aca="false">IF(OR(F398="Y",G398="Y",H398="Y"),1,0)</f>
        <v>0</v>
      </c>
      <c r="M398" s="3" t="n">
        <f aca="false">IF(H398="Y",1,0)</f>
        <v>0</v>
      </c>
      <c r="N398" s="3" t="n">
        <f aca="false">IF(I398="Y",1,0)</f>
        <v>0</v>
      </c>
    </row>
    <row r="399" customFormat="false" ht="15" hidden="false" customHeight="true" outlineLevel="0" collapsed="false">
      <c r="A399" s="7" t="s">
        <v>64</v>
      </c>
      <c r="B399" s="7" t="n">
        <v>1930</v>
      </c>
      <c r="C399" s="7" t="s">
        <v>365</v>
      </c>
      <c r="D399" s="7" t="n">
        <v>52</v>
      </c>
      <c r="E399" s="7" t="n">
        <v>102</v>
      </c>
      <c r="F399" s="7"/>
      <c r="G399" s="7"/>
      <c r="H399" s="7" t="s">
        <v>546</v>
      </c>
      <c r="I399" s="7" t="s">
        <v>546</v>
      </c>
      <c r="J399" s="21" t="n">
        <f aca="false">D399/(D399+E399)</f>
        <v>0.337662337662338</v>
      </c>
      <c r="K399" s="3" t="n">
        <f aca="false">IF(D399&gt;E399,1,0)</f>
        <v>0</v>
      </c>
      <c r="L399" s="3" t="n">
        <f aca="false">IF(OR(F399="Y",G399="Y",H399="Y"),1,0)</f>
        <v>0</v>
      </c>
      <c r="M399" s="3" t="n">
        <f aca="false">IF(H399="Y",1,0)</f>
        <v>0</v>
      </c>
      <c r="N399" s="3" t="n">
        <f aca="false">IF(I399="Y",1,0)</f>
        <v>0</v>
      </c>
    </row>
    <row r="400" customFormat="false" ht="15" hidden="false" customHeight="true" outlineLevel="0" collapsed="false">
      <c r="A400" s="7" t="s">
        <v>64</v>
      </c>
      <c r="B400" s="7" t="n">
        <v>1931</v>
      </c>
      <c r="C400" s="7" t="s">
        <v>365</v>
      </c>
      <c r="D400" s="7" t="n">
        <v>62</v>
      </c>
      <c r="E400" s="7" t="n">
        <v>90</v>
      </c>
      <c r="F400" s="7"/>
      <c r="G400" s="7"/>
      <c r="H400" s="7" t="s">
        <v>546</v>
      </c>
      <c r="I400" s="7" t="s">
        <v>546</v>
      </c>
      <c r="J400" s="21" t="n">
        <f aca="false">D400/(D400+E400)</f>
        <v>0.407894736842105</v>
      </c>
      <c r="K400" s="3" t="n">
        <f aca="false">IF(D400&gt;E400,1,0)</f>
        <v>0</v>
      </c>
      <c r="L400" s="3" t="n">
        <f aca="false">IF(OR(F400="Y",G400="Y",H400="Y"),1,0)</f>
        <v>0</v>
      </c>
      <c r="M400" s="3" t="n">
        <f aca="false">IF(H400="Y",1,0)</f>
        <v>0</v>
      </c>
      <c r="N400" s="3" t="n">
        <f aca="false">IF(I400="Y",1,0)</f>
        <v>0</v>
      </c>
    </row>
    <row r="401" customFormat="false" ht="15" hidden="false" customHeight="true" outlineLevel="0" collapsed="false">
      <c r="A401" s="7" t="s">
        <v>64</v>
      </c>
      <c r="B401" s="7" t="n">
        <v>1932</v>
      </c>
      <c r="C401" s="7" t="s">
        <v>365</v>
      </c>
      <c r="D401" s="7" t="n">
        <v>43</v>
      </c>
      <c r="E401" s="7" t="n">
        <v>111</v>
      </c>
      <c r="F401" s="7"/>
      <c r="G401" s="7"/>
      <c r="H401" s="7" t="s">
        <v>546</v>
      </c>
      <c r="I401" s="7" t="s">
        <v>546</v>
      </c>
      <c r="J401" s="21" t="n">
        <f aca="false">D401/(D401+E401)</f>
        <v>0.279220779220779</v>
      </c>
      <c r="K401" s="3" t="n">
        <f aca="false">IF(D401&gt;E401,1,0)</f>
        <v>0</v>
      </c>
      <c r="L401" s="3" t="n">
        <f aca="false">IF(OR(F401="Y",G401="Y",H401="Y"),1,0)</f>
        <v>0</v>
      </c>
      <c r="M401" s="3" t="n">
        <f aca="false">IF(H401="Y",1,0)</f>
        <v>0</v>
      </c>
      <c r="N401" s="3" t="n">
        <f aca="false">IF(I401="Y",1,0)</f>
        <v>0</v>
      </c>
    </row>
    <row r="402" customFormat="false" ht="15" hidden="false" customHeight="true" outlineLevel="0" collapsed="false">
      <c r="A402" s="7" t="s">
        <v>64</v>
      </c>
      <c r="B402" s="7" t="n">
        <v>1933</v>
      </c>
      <c r="C402" s="7" t="s">
        <v>365</v>
      </c>
      <c r="D402" s="7" t="n">
        <v>63</v>
      </c>
      <c r="E402" s="7" t="n">
        <v>86</v>
      </c>
      <c r="F402" s="7"/>
      <c r="G402" s="7"/>
      <c r="H402" s="7" t="s">
        <v>546</v>
      </c>
      <c r="I402" s="7" t="s">
        <v>546</v>
      </c>
      <c r="J402" s="21" t="n">
        <f aca="false">D402/(D402+E402)</f>
        <v>0.422818791946309</v>
      </c>
      <c r="K402" s="3" t="n">
        <f aca="false">IF(D402&gt;E402,1,0)</f>
        <v>0</v>
      </c>
      <c r="L402" s="3" t="n">
        <f aca="false">IF(OR(F402="Y",G402="Y",H402="Y"),1,0)</f>
        <v>0</v>
      </c>
      <c r="M402" s="3" t="n">
        <f aca="false">IF(H402="Y",1,0)</f>
        <v>0</v>
      </c>
      <c r="N402" s="3" t="n">
        <f aca="false">IF(I402="Y",1,0)</f>
        <v>0</v>
      </c>
    </row>
    <row r="403" customFormat="false" ht="15" hidden="false" customHeight="true" outlineLevel="0" collapsed="false">
      <c r="A403" s="7" t="s">
        <v>64</v>
      </c>
      <c r="B403" s="7" t="n">
        <v>1934</v>
      </c>
      <c r="C403" s="7" t="s">
        <v>365</v>
      </c>
      <c r="D403" s="7" t="n">
        <v>76</v>
      </c>
      <c r="E403" s="7" t="n">
        <v>76</v>
      </c>
      <c r="F403" s="7"/>
      <c r="G403" s="7"/>
      <c r="H403" s="7" t="s">
        <v>546</v>
      </c>
      <c r="I403" s="7" t="s">
        <v>546</v>
      </c>
      <c r="J403" s="21" t="n">
        <f aca="false">D403/(D403+E403)</f>
        <v>0.5</v>
      </c>
      <c r="K403" s="3" t="n">
        <f aca="false">IF(D403&gt;E403,1,0)</f>
        <v>0</v>
      </c>
      <c r="L403" s="3" t="n">
        <f aca="false">IF(OR(F403="Y",G403="Y",H403="Y"),1,0)</f>
        <v>0</v>
      </c>
      <c r="M403" s="3" t="n">
        <f aca="false">IF(H403="Y",1,0)</f>
        <v>0</v>
      </c>
      <c r="N403" s="3" t="n">
        <f aca="false">IF(I403="Y",1,0)</f>
        <v>0</v>
      </c>
    </row>
    <row r="404" customFormat="false" ht="15" hidden="false" customHeight="true" outlineLevel="0" collapsed="false">
      <c r="A404" s="7" t="s">
        <v>64</v>
      </c>
      <c r="B404" s="7" t="n">
        <v>1935</v>
      </c>
      <c r="C404" s="7" t="s">
        <v>365</v>
      </c>
      <c r="D404" s="7" t="n">
        <v>78</v>
      </c>
      <c r="E404" s="7" t="n">
        <v>75</v>
      </c>
      <c r="F404" s="7"/>
      <c r="G404" s="7"/>
      <c r="H404" s="7" t="s">
        <v>546</v>
      </c>
      <c r="I404" s="7" t="s">
        <v>546</v>
      </c>
      <c r="J404" s="21" t="n">
        <f aca="false">D404/(D404+E404)</f>
        <v>0.509803921568627</v>
      </c>
      <c r="K404" s="3" t="n">
        <f aca="false">IF(D404&gt;E404,1,0)</f>
        <v>1</v>
      </c>
      <c r="L404" s="3" t="n">
        <f aca="false">IF(OR(F404="Y",G404="Y",H404="Y"),1,0)</f>
        <v>0</v>
      </c>
      <c r="M404" s="3" t="n">
        <f aca="false">IF(H404="Y",1,0)</f>
        <v>0</v>
      </c>
      <c r="N404" s="3" t="n">
        <f aca="false">IF(I404="Y",1,0)</f>
        <v>0</v>
      </c>
    </row>
    <row r="405" customFormat="false" ht="15" hidden="false" customHeight="true" outlineLevel="0" collapsed="false">
      <c r="A405" s="7" t="s">
        <v>64</v>
      </c>
      <c r="B405" s="7" t="n">
        <v>1936</v>
      </c>
      <c r="C405" s="7" t="s">
        <v>365</v>
      </c>
      <c r="D405" s="7" t="n">
        <v>74</v>
      </c>
      <c r="E405" s="7" t="n">
        <v>80</v>
      </c>
      <c r="F405" s="7"/>
      <c r="G405" s="7"/>
      <c r="H405" s="7" t="s">
        <v>546</v>
      </c>
      <c r="I405" s="7" t="s">
        <v>546</v>
      </c>
      <c r="J405" s="21" t="n">
        <f aca="false">D405/(D405+E405)</f>
        <v>0.480519480519481</v>
      </c>
      <c r="K405" s="3" t="n">
        <f aca="false">IF(D405&gt;E405,1,0)</f>
        <v>0</v>
      </c>
      <c r="L405" s="3" t="n">
        <f aca="false">IF(OR(F405="Y",G405="Y",H405="Y"),1,0)</f>
        <v>0</v>
      </c>
      <c r="M405" s="3" t="n">
        <f aca="false">IF(H405="Y",1,0)</f>
        <v>0</v>
      </c>
      <c r="N405" s="3" t="n">
        <f aca="false">IF(I405="Y",1,0)</f>
        <v>0</v>
      </c>
    </row>
    <row r="406" customFormat="false" ht="15" hidden="false" customHeight="true" outlineLevel="0" collapsed="false">
      <c r="A406" s="7" t="s">
        <v>64</v>
      </c>
      <c r="B406" s="7" t="n">
        <v>1937</v>
      </c>
      <c r="C406" s="7" t="s">
        <v>365</v>
      </c>
      <c r="D406" s="7" t="n">
        <v>80</v>
      </c>
      <c r="E406" s="7" t="n">
        <v>72</v>
      </c>
      <c r="F406" s="7"/>
      <c r="G406" s="7"/>
      <c r="H406" s="7" t="s">
        <v>546</v>
      </c>
      <c r="I406" s="7" t="s">
        <v>546</v>
      </c>
      <c r="J406" s="21" t="n">
        <f aca="false">D406/(D406+E406)</f>
        <v>0.526315789473684</v>
      </c>
      <c r="K406" s="3" t="n">
        <f aca="false">IF(D406&gt;E406,1,0)</f>
        <v>1</v>
      </c>
      <c r="L406" s="3" t="n">
        <f aca="false">IF(OR(F406="Y",G406="Y",H406="Y"),1,0)</f>
        <v>0</v>
      </c>
      <c r="M406" s="3" t="n">
        <f aca="false">IF(H406="Y",1,0)</f>
        <v>0</v>
      </c>
      <c r="N406" s="3" t="n">
        <f aca="false">IF(I406="Y",1,0)</f>
        <v>0</v>
      </c>
    </row>
    <row r="407" customFormat="false" ht="15" hidden="false" customHeight="true" outlineLevel="0" collapsed="false">
      <c r="A407" s="7" t="s">
        <v>64</v>
      </c>
      <c r="B407" s="7" t="n">
        <v>1938</v>
      </c>
      <c r="C407" s="7" t="s">
        <v>365</v>
      </c>
      <c r="D407" s="7" t="n">
        <v>88</v>
      </c>
      <c r="E407" s="7" t="n">
        <v>61</v>
      </c>
      <c r="F407" s="7"/>
      <c r="G407" s="7"/>
      <c r="H407" s="7" t="s">
        <v>546</v>
      </c>
      <c r="I407" s="7" t="s">
        <v>546</v>
      </c>
      <c r="J407" s="21" t="n">
        <f aca="false">D407/(D407+E407)</f>
        <v>0.590604026845638</v>
      </c>
      <c r="K407" s="3" t="n">
        <f aca="false">IF(D407&gt;E407,1,0)</f>
        <v>1</v>
      </c>
      <c r="L407" s="3" t="n">
        <f aca="false">IF(OR(F407="Y",G407="Y",H407="Y"),1,0)</f>
        <v>0</v>
      </c>
      <c r="M407" s="3" t="n">
        <f aca="false">IF(H407="Y",1,0)</f>
        <v>0</v>
      </c>
      <c r="N407" s="3" t="n">
        <f aca="false">IF(I407="Y",1,0)</f>
        <v>0</v>
      </c>
    </row>
    <row r="408" customFormat="false" ht="15" hidden="false" customHeight="true" outlineLevel="0" collapsed="false">
      <c r="A408" s="7" t="s">
        <v>64</v>
      </c>
      <c r="B408" s="7" t="n">
        <v>1939</v>
      </c>
      <c r="C408" s="7" t="s">
        <v>365</v>
      </c>
      <c r="D408" s="7" t="n">
        <v>89</v>
      </c>
      <c r="E408" s="7" t="n">
        <v>62</v>
      </c>
      <c r="F408" s="7"/>
      <c r="G408" s="7"/>
      <c r="H408" s="7" t="s">
        <v>546</v>
      </c>
      <c r="I408" s="7" t="s">
        <v>546</v>
      </c>
      <c r="J408" s="21" t="n">
        <f aca="false">D408/(D408+E408)</f>
        <v>0.589403973509934</v>
      </c>
      <c r="K408" s="3" t="n">
        <f aca="false">IF(D408&gt;E408,1,0)</f>
        <v>1</v>
      </c>
      <c r="L408" s="3" t="n">
        <f aca="false">IF(OR(F408="Y",G408="Y",H408="Y"),1,0)</f>
        <v>0</v>
      </c>
      <c r="M408" s="3" t="n">
        <f aca="false">IF(H408="Y",1,0)</f>
        <v>0</v>
      </c>
      <c r="N408" s="3" t="n">
        <f aca="false">IF(I408="Y",1,0)</f>
        <v>0</v>
      </c>
    </row>
    <row r="409" customFormat="false" ht="15" hidden="false" customHeight="true" outlineLevel="0" collapsed="false">
      <c r="A409" s="7" t="s">
        <v>64</v>
      </c>
      <c r="B409" s="7" t="n">
        <v>1940</v>
      </c>
      <c r="C409" s="7" t="s">
        <v>365</v>
      </c>
      <c r="D409" s="7" t="n">
        <v>82</v>
      </c>
      <c r="E409" s="7" t="n">
        <v>72</v>
      </c>
      <c r="F409" s="7"/>
      <c r="G409" s="7"/>
      <c r="H409" s="7" t="s">
        <v>546</v>
      </c>
      <c r="I409" s="7" t="s">
        <v>546</v>
      </c>
      <c r="J409" s="21" t="n">
        <f aca="false">D409/(D409+E409)</f>
        <v>0.532467532467532</v>
      </c>
      <c r="K409" s="3" t="n">
        <f aca="false">IF(D409&gt;E409,1,0)</f>
        <v>1</v>
      </c>
      <c r="L409" s="3" t="n">
        <f aca="false">IF(OR(F409="Y",G409="Y",H409="Y"),1,0)</f>
        <v>0</v>
      </c>
      <c r="M409" s="3" t="n">
        <f aca="false">IF(H409="Y",1,0)</f>
        <v>0</v>
      </c>
      <c r="N409" s="3" t="n">
        <f aca="false">IF(I409="Y",1,0)</f>
        <v>0</v>
      </c>
    </row>
    <row r="410" customFormat="false" ht="15" hidden="false" customHeight="true" outlineLevel="0" collapsed="false">
      <c r="A410" s="7" t="s">
        <v>64</v>
      </c>
      <c r="B410" s="7" t="n">
        <v>1941</v>
      </c>
      <c r="C410" s="7" t="s">
        <v>365</v>
      </c>
      <c r="D410" s="7" t="n">
        <v>84</v>
      </c>
      <c r="E410" s="7" t="n">
        <v>70</v>
      </c>
      <c r="F410" s="7"/>
      <c r="G410" s="7"/>
      <c r="H410" s="7" t="s">
        <v>546</v>
      </c>
      <c r="I410" s="7" t="s">
        <v>546</v>
      </c>
      <c r="J410" s="21" t="n">
        <f aca="false">D410/(D410+E410)</f>
        <v>0.545454545454545</v>
      </c>
      <c r="K410" s="3" t="n">
        <f aca="false">IF(D410&gt;E410,1,0)</f>
        <v>1</v>
      </c>
      <c r="L410" s="3" t="n">
        <f aca="false">IF(OR(F410="Y",G410="Y",H410="Y"),1,0)</f>
        <v>0</v>
      </c>
      <c r="M410" s="3" t="n">
        <f aca="false">IF(H410="Y",1,0)</f>
        <v>0</v>
      </c>
      <c r="N410" s="3" t="n">
        <f aca="false">IF(I410="Y",1,0)</f>
        <v>0</v>
      </c>
    </row>
    <row r="411" customFormat="false" ht="15" hidden="false" customHeight="true" outlineLevel="0" collapsed="false">
      <c r="A411" s="7" t="s">
        <v>64</v>
      </c>
      <c r="B411" s="7" t="n">
        <v>1942</v>
      </c>
      <c r="C411" s="7" t="s">
        <v>365</v>
      </c>
      <c r="D411" s="7" t="n">
        <v>93</v>
      </c>
      <c r="E411" s="7" t="n">
        <v>59</v>
      </c>
      <c r="F411" s="7"/>
      <c r="G411" s="7"/>
      <c r="H411" s="7" t="s">
        <v>546</v>
      </c>
      <c r="I411" s="7" t="s">
        <v>546</v>
      </c>
      <c r="J411" s="21" t="n">
        <f aca="false">D411/(D411+E411)</f>
        <v>0.611842105263158</v>
      </c>
      <c r="K411" s="3" t="n">
        <f aca="false">IF(D411&gt;E411,1,0)</f>
        <v>1</v>
      </c>
      <c r="L411" s="3" t="n">
        <f aca="false">IF(OR(F411="Y",G411="Y",H411="Y"),1,0)</f>
        <v>0</v>
      </c>
      <c r="M411" s="3" t="n">
        <f aca="false">IF(H411="Y",1,0)</f>
        <v>0</v>
      </c>
      <c r="N411" s="3" t="n">
        <f aca="false">IF(I411="Y",1,0)</f>
        <v>0</v>
      </c>
    </row>
    <row r="412" customFormat="false" ht="15" hidden="false" customHeight="true" outlineLevel="0" collapsed="false">
      <c r="A412" s="7" t="s">
        <v>64</v>
      </c>
      <c r="B412" s="7" t="n">
        <v>1943</v>
      </c>
      <c r="C412" s="7" t="s">
        <v>365</v>
      </c>
      <c r="D412" s="7" t="n">
        <v>68</v>
      </c>
      <c r="E412" s="7" t="n">
        <v>84</v>
      </c>
      <c r="F412" s="7"/>
      <c r="G412" s="7"/>
      <c r="H412" s="7" t="s">
        <v>546</v>
      </c>
      <c r="I412" s="7" t="s">
        <v>546</v>
      </c>
      <c r="J412" s="21" t="n">
        <f aca="false">D412/(D412+E412)</f>
        <v>0.447368421052632</v>
      </c>
      <c r="K412" s="3" t="n">
        <f aca="false">IF(D412&gt;E412,1,0)</f>
        <v>0</v>
      </c>
      <c r="L412" s="3" t="n">
        <f aca="false">IF(OR(F412="Y",G412="Y",H412="Y"),1,0)</f>
        <v>0</v>
      </c>
      <c r="M412" s="3" t="n">
        <f aca="false">IF(H412="Y",1,0)</f>
        <v>0</v>
      </c>
      <c r="N412" s="3" t="n">
        <f aca="false">IF(I412="Y",1,0)</f>
        <v>0</v>
      </c>
    </row>
    <row r="413" customFormat="false" ht="15" hidden="false" customHeight="true" outlineLevel="0" collapsed="false">
      <c r="A413" s="7" t="s">
        <v>64</v>
      </c>
      <c r="B413" s="7" t="n">
        <v>1944</v>
      </c>
      <c r="C413" s="7" t="s">
        <v>365</v>
      </c>
      <c r="D413" s="7" t="n">
        <v>77</v>
      </c>
      <c r="E413" s="7" t="n">
        <v>77</v>
      </c>
      <c r="F413" s="7"/>
      <c r="G413" s="7"/>
      <c r="H413" s="7" t="s">
        <v>546</v>
      </c>
      <c r="I413" s="7" t="s">
        <v>546</v>
      </c>
      <c r="J413" s="21" t="n">
        <f aca="false">D413/(D413+E413)</f>
        <v>0.5</v>
      </c>
      <c r="K413" s="3" t="n">
        <f aca="false">IF(D413&gt;E413,1,0)</f>
        <v>0</v>
      </c>
      <c r="L413" s="3" t="n">
        <f aca="false">IF(OR(F413="Y",G413="Y",H413="Y"),1,0)</f>
        <v>0</v>
      </c>
      <c r="M413" s="3" t="n">
        <f aca="false">IF(H413="Y",1,0)</f>
        <v>0</v>
      </c>
      <c r="N413" s="3" t="n">
        <f aca="false">IF(I413="Y",1,0)</f>
        <v>0</v>
      </c>
    </row>
    <row r="414" customFormat="false" ht="15" hidden="false" customHeight="true" outlineLevel="0" collapsed="false">
      <c r="A414" s="7" t="s">
        <v>64</v>
      </c>
      <c r="B414" s="7" t="n">
        <v>1945</v>
      </c>
      <c r="C414" s="7" t="s">
        <v>365</v>
      </c>
      <c r="D414" s="7" t="n">
        <v>71</v>
      </c>
      <c r="E414" s="7" t="n">
        <v>83</v>
      </c>
      <c r="F414" s="7"/>
      <c r="G414" s="7"/>
      <c r="H414" s="7" t="s">
        <v>546</v>
      </c>
      <c r="I414" s="7" t="s">
        <v>546</v>
      </c>
      <c r="J414" s="21" t="n">
        <f aca="false">D414/(D414+E414)</f>
        <v>0.461038961038961</v>
      </c>
      <c r="K414" s="3" t="n">
        <f aca="false">IF(D414&gt;E414,1,0)</f>
        <v>0</v>
      </c>
      <c r="L414" s="3" t="n">
        <f aca="false">IF(OR(F414="Y",G414="Y",H414="Y"),1,0)</f>
        <v>0</v>
      </c>
      <c r="M414" s="3" t="n">
        <f aca="false">IF(H414="Y",1,0)</f>
        <v>0</v>
      </c>
      <c r="N414" s="3" t="n">
        <f aca="false">IF(I414="Y",1,0)</f>
        <v>0</v>
      </c>
    </row>
    <row r="415" customFormat="false" ht="15" hidden="false" customHeight="true" outlineLevel="0" collapsed="false">
      <c r="A415" s="7" t="s">
        <v>64</v>
      </c>
      <c r="B415" s="7" t="n">
        <v>1946</v>
      </c>
      <c r="C415" s="7" t="s">
        <v>365</v>
      </c>
      <c r="D415" s="7" t="n">
        <v>104</v>
      </c>
      <c r="E415" s="7" t="n">
        <v>50</v>
      </c>
      <c r="F415" s="7"/>
      <c r="G415" s="7"/>
      <c r="H415" s="7" t="s">
        <v>548</v>
      </c>
      <c r="I415" s="7" t="s">
        <v>546</v>
      </c>
      <c r="J415" s="21" t="n">
        <f aca="false">D415/(D415+E415)</f>
        <v>0.675324675324675</v>
      </c>
      <c r="K415" s="3" t="n">
        <f aca="false">IF(D415&gt;E415,1,0)</f>
        <v>1</v>
      </c>
      <c r="L415" s="3" t="n">
        <f aca="false">IF(OR(F415="Y",G415="Y",H415="Y"),1,0)</f>
        <v>1</v>
      </c>
      <c r="M415" s="3" t="n">
        <f aca="false">IF(H415="Y",1,0)</f>
        <v>1</v>
      </c>
      <c r="N415" s="3" t="n">
        <f aca="false">IF(I415="Y",1,0)</f>
        <v>0</v>
      </c>
    </row>
    <row r="416" customFormat="false" ht="15" hidden="false" customHeight="true" outlineLevel="0" collapsed="false">
      <c r="A416" s="7" t="s">
        <v>64</v>
      </c>
      <c r="B416" s="7" t="n">
        <v>1947</v>
      </c>
      <c r="C416" s="7" t="s">
        <v>365</v>
      </c>
      <c r="D416" s="7" t="n">
        <v>83</v>
      </c>
      <c r="E416" s="7" t="n">
        <v>71</v>
      </c>
      <c r="F416" s="7"/>
      <c r="G416" s="7"/>
      <c r="H416" s="7" t="s">
        <v>546</v>
      </c>
      <c r="I416" s="7" t="s">
        <v>546</v>
      </c>
      <c r="J416" s="21" t="n">
        <f aca="false">D416/(D416+E416)</f>
        <v>0.538961038961039</v>
      </c>
      <c r="K416" s="3" t="n">
        <f aca="false">IF(D416&gt;E416,1,0)</f>
        <v>1</v>
      </c>
      <c r="L416" s="3" t="n">
        <f aca="false">IF(OR(F416="Y",G416="Y",H416="Y"),1,0)</f>
        <v>0</v>
      </c>
      <c r="M416" s="3" t="n">
        <f aca="false">IF(H416="Y",1,0)</f>
        <v>0</v>
      </c>
      <c r="N416" s="3" t="n">
        <f aca="false">IF(I416="Y",1,0)</f>
        <v>0</v>
      </c>
    </row>
    <row r="417" customFormat="false" ht="15" hidden="false" customHeight="true" outlineLevel="0" collapsed="false">
      <c r="A417" s="7" t="s">
        <v>64</v>
      </c>
      <c r="B417" s="7" t="n">
        <v>1948</v>
      </c>
      <c r="C417" s="7" t="s">
        <v>365</v>
      </c>
      <c r="D417" s="7" t="n">
        <v>96</v>
      </c>
      <c r="E417" s="7" t="n">
        <v>59</v>
      </c>
      <c r="F417" s="7"/>
      <c r="G417" s="7"/>
      <c r="H417" s="7" t="s">
        <v>546</v>
      </c>
      <c r="I417" s="7" t="s">
        <v>546</v>
      </c>
      <c r="J417" s="21" t="n">
        <f aca="false">D417/(D417+E417)</f>
        <v>0.619354838709677</v>
      </c>
      <c r="K417" s="3" t="n">
        <f aca="false">IF(D417&gt;E417,1,0)</f>
        <v>1</v>
      </c>
      <c r="L417" s="3" t="n">
        <f aca="false">IF(OR(F417="Y",G417="Y",H417="Y"),1,0)</f>
        <v>0</v>
      </c>
      <c r="M417" s="3" t="n">
        <f aca="false">IF(H417="Y",1,0)</f>
        <v>0</v>
      </c>
      <c r="N417" s="3" t="n">
        <f aca="false">IF(I417="Y",1,0)</f>
        <v>0</v>
      </c>
    </row>
    <row r="418" customFormat="false" ht="15" hidden="false" customHeight="true" outlineLevel="0" collapsed="false">
      <c r="A418" s="7" t="s">
        <v>64</v>
      </c>
      <c r="B418" s="7" t="n">
        <v>1949</v>
      </c>
      <c r="C418" s="7" t="s">
        <v>365</v>
      </c>
      <c r="D418" s="7" t="n">
        <v>96</v>
      </c>
      <c r="E418" s="7" t="n">
        <v>58</v>
      </c>
      <c r="F418" s="7"/>
      <c r="G418" s="7"/>
      <c r="H418" s="7" t="s">
        <v>546</v>
      </c>
      <c r="I418" s="7" t="s">
        <v>546</v>
      </c>
      <c r="J418" s="21" t="n">
        <f aca="false">D418/(D418+E418)</f>
        <v>0.623376623376623</v>
      </c>
      <c r="K418" s="3" t="n">
        <f aca="false">IF(D418&gt;E418,1,0)</f>
        <v>1</v>
      </c>
      <c r="L418" s="3" t="n">
        <f aca="false">IF(OR(F418="Y",G418="Y",H418="Y"),1,0)</f>
        <v>0</v>
      </c>
      <c r="M418" s="3" t="n">
        <f aca="false">IF(H418="Y",1,0)</f>
        <v>0</v>
      </c>
      <c r="N418" s="3" t="n">
        <f aca="false">IF(I418="Y",1,0)</f>
        <v>0</v>
      </c>
    </row>
    <row r="419" customFormat="false" ht="15" hidden="false" customHeight="true" outlineLevel="0" collapsed="false">
      <c r="A419" s="7" t="s">
        <v>64</v>
      </c>
      <c r="B419" s="7" t="n">
        <v>1950</v>
      </c>
      <c r="C419" s="7" t="s">
        <v>365</v>
      </c>
      <c r="D419" s="7" t="n">
        <v>94</v>
      </c>
      <c r="E419" s="7" t="n">
        <v>60</v>
      </c>
      <c r="F419" s="7"/>
      <c r="G419" s="7"/>
      <c r="H419" s="7" t="s">
        <v>546</v>
      </c>
      <c r="I419" s="7" t="s">
        <v>546</v>
      </c>
      <c r="J419" s="21" t="n">
        <f aca="false">D419/(D419+E419)</f>
        <v>0.61038961038961</v>
      </c>
      <c r="K419" s="3" t="n">
        <f aca="false">IF(D419&gt;E419,1,0)</f>
        <v>1</v>
      </c>
      <c r="L419" s="3" t="n">
        <f aca="false">IF(OR(F419="Y",G419="Y",H419="Y"),1,0)</f>
        <v>0</v>
      </c>
      <c r="M419" s="3" t="n">
        <f aca="false">IF(H419="Y",1,0)</f>
        <v>0</v>
      </c>
      <c r="N419" s="3" t="n">
        <f aca="false">IF(I419="Y",1,0)</f>
        <v>0</v>
      </c>
    </row>
    <row r="420" customFormat="false" ht="15" hidden="false" customHeight="true" outlineLevel="0" collapsed="false">
      <c r="A420" s="7" t="s">
        <v>64</v>
      </c>
      <c r="B420" s="7" t="n">
        <v>1951</v>
      </c>
      <c r="C420" s="7" t="s">
        <v>365</v>
      </c>
      <c r="D420" s="7" t="n">
        <v>87</v>
      </c>
      <c r="E420" s="7" t="n">
        <v>67</v>
      </c>
      <c r="F420" s="7"/>
      <c r="G420" s="7"/>
      <c r="H420" s="7" t="s">
        <v>546</v>
      </c>
      <c r="I420" s="7" t="s">
        <v>546</v>
      </c>
      <c r="J420" s="21" t="n">
        <f aca="false">D420/(D420+E420)</f>
        <v>0.564935064935065</v>
      </c>
      <c r="K420" s="3" t="n">
        <f aca="false">IF(D420&gt;E420,1,0)</f>
        <v>1</v>
      </c>
      <c r="L420" s="3" t="n">
        <f aca="false">IF(OR(F420="Y",G420="Y",H420="Y"),1,0)</f>
        <v>0</v>
      </c>
      <c r="M420" s="3" t="n">
        <f aca="false">IF(H420="Y",1,0)</f>
        <v>0</v>
      </c>
      <c r="N420" s="3" t="n">
        <f aca="false">IF(I420="Y",1,0)</f>
        <v>0</v>
      </c>
    </row>
    <row r="421" customFormat="false" ht="15" hidden="false" customHeight="true" outlineLevel="0" collapsed="false">
      <c r="A421" s="7" t="s">
        <v>64</v>
      </c>
      <c r="B421" s="7" t="n">
        <v>1952</v>
      </c>
      <c r="C421" s="7" t="s">
        <v>365</v>
      </c>
      <c r="D421" s="7" t="n">
        <v>76</v>
      </c>
      <c r="E421" s="7" t="n">
        <v>78</v>
      </c>
      <c r="F421" s="7"/>
      <c r="G421" s="7"/>
      <c r="H421" s="7" t="s">
        <v>546</v>
      </c>
      <c r="I421" s="7" t="s">
        <v>546</v>
      </c>
      <c r="J421" s="21" t="n">
        <f aca="false">D421/(D421+E421)</f>
        <v>0.493506493506494</v>
      </c>
      <c r="K421" s="3" t="n">
        <f aca="false">IF(D421&gt;E421,1,0)</f>
        <v>0</v>
      </c>
      <c r="L421" s="3" t="n">
        <f aca="false">IF(OR(F421="Y",G421="Y",H421="Y"),1,0)</f>
        <v>0</v>
      </c>
      <c r="M421" s="3" t="n">
        <f aca="false">IF(H421="Y",1,0)</f>
        <v>0</v>
      </c>
      <c r="N421" s="3" t="n">
        <f aca="false">IF(I421="Y",1,0)</f>
        <v>0</v>
      </c>
    </row>
    <row r="422" customFormat="false" ht="15" hidden="false" customHeight="true" outlineLevel="0" collapsed="false">
      <c r="A422" s="7" t="s">
        <v>64</v>
      </c>
      <c r="B422" s="7" t="n">
        <v>1953</v>
      </c>
      <c r="C422" s="7" t="s">
        <v>365</v>
      </c>
      <c r="D422" s="7" t="n">
        <v>84</v>
      </c>
      <c r="E422" s="7" t="n">
        <v>69</v>
      </c>
      <c r="F422" s="7"/>
      <c r="G422" s="7"/>
      <c r="H422" s="7" t="s">
        <v>546</v>
      </c>
      <c r="I422" s="7" t="s">
        <v>546</v>
      </c>
      <c r="J422" s="21" t="n">
        <f aca="false">D422/(D422+E422)</f>
        <v>0.549019607843137</v>
      </c>
      <c r="K422" s="3" t="n">
        <f aca="false">IF(D422&gt;E422,1,0)</f>
        <v>1</v>
      </c>
      <c r="L422" s="3" t="n">
        <f aca="false">IF(OR(F422="Y",G422="Y",H422="Y"),1,0)</f>
        <v>0</v>
      </c>
      <c r="M422" s="3" t="n">
        <f aca="false">IF(H422="Y",1,0)</f>
        <v>0</v>
      </c>
      <c r="N422" s="3" t="n">
        <f aca="false">IF(I422="Y",1,0)</f>
        <v>0</v>
      </c>
    </row>
    <row r="423" customFormat="false" ht="15" hidden="false" customHeight="true" outlineLevel="0" collapsed="false">
      <c r="A423" s="7" t="s">
        <v>64</v>
      </c>
      <c r="B423" s="7" t="n">
        <v>1954</v>
      </c>
      <c r="C423" s="7" t="s">
        <v>365</v>
      </c>
      <c r="D423" s="7" t="n">
        <v>69</v>
      </c>
      <c r="E423" s="7" t="n">
        <v>85</v>
      </c>
      <c r="F423" s="7"/>
      <c r="G423" s="7"/>
      <c r="H423" s="7" t="s">
        <v>546</v>
      </c>
      <c r="I423" s="7" t="s">
        <v>546</v>
      </c>
      <c r="J423" s="21" t="n">
        <f aca="false">D423/(D423+E423)</f>
        <v>0.448051948051948</v>
      </c>
      <c r="K423" s="3" t="n">
        <f aca="false">IF(D423&gt;E423,1,0)</f>
        <v>0</v>
      </c>
      <c r="L423" s="3" t="n">
        <f aca="false">IF(OR(F423="Y",G423="Y",H423="Y"),1,0)</f>
        <v>0</v>
      </c>
      <c r="M423" s="3" t="n">
        <f aca="false">IF(H423="Y",1,0)</f>
        <v>0</v>
      </c>
      <c r="N423" s="3" t="n">
        <f aca="false">IF(I423="Y",1,0)</f>
        <v>0</v>
      </c>
    </row>
    <row r="424" customFormat="false" ht="15" hidden="false" customHeight="true" outlineLevel="0" collapsed="false">
      <c r="A424" s="7" t="s">
        <v>64</v>
      </c>
      <c r="B424" s="7" t="n">
        <v>1955</v>
      </c>
      <c r="C424" s="7" t="s">
        <v>365</v>
      </c>
      <c r="D424" s="7" t="n">
        <v>84</v>
      </c>
      <c r="E424" s="7" t="n">
        <v>70</v>
      </c>
      <c r="F424" s="7"/>
      <c r="G424" s="7"/>
      <c r="H424" s="7" t="s">
        <v>546</v>
      </c>
      <c r="I424" s="7" t="s">
        <v>546</v>
      </c>
      <c r="J424" s="21" t="n">
        <f aca="false">D424/(D424+E424)</f>
        <v>0.545454545454545</v>
      </c>
      <c r="K424" s="3" t="n">
        <f aca="false">IF(D424&gt;E424,1,0)</f>
        <v>1</v>
      </c>
      <c r="L424" s="3" t="n">
        <f aca="false">IF(OR(F424="Y",G424="Y",H424="Y"),1,0)</f>
        <v>0</v>
      </c>
      <c r="M424" s="3" t="n">
        <f aca="false">IF(H424="Y",1,0)</f>
        <v>0</v>
      </c>
      <c r="N424" s="3" t="n">
        <f aca="false">IF(I424="Y",1,0)</f>
        <v>0</v>
      </c>
    </row>
    <row r="425" customFormat="false" ht="15" hidden="false" customHeight="true" outlineLevel="0" collapsed="false">
      <c r="A425" s="7" t="s">
        <v>64</v>
      </c>
      <c r="B425" s="7" t="n">
        <v>1956</v>
      </c>
      <c r="C425" s="7" t="s">
        <v>365</v>
      </c>
      <c r="D425" s="7" t="n">
        <v>84</v>
      </c>
      <c r="E425" s="7" t="n">
        <v>70</v>
      </c>
      <c r="F425" s="7"/>
      <c r="G425" s="7"/>
      <c r="H425" s="7" t="s">
        <v>546</v>
      </c>
      <c r="I425" s="7" t="s">
        <v>546</v>
      </c>
      <c r="J425" s="21" t="n">
        <f aca="false">D425/(D425+E425)</f>
        <v>0.545454545454545</v>
      </c>
      <c r="K425" s="3" t="n">
        <f aca="false">IF(D425&gt;E425,1,0)</f>
        <v>1</v>
      </c>
      <c r="L425" s="3" t="n">
        <f aca="false">IF(OR(F425="Y",G425="Y",H425="Y"),1,0)</f>
        <v>0</v>
      </c>
      <c r="M425" s="3" t="n">
        <f aca="false">IF(H425="Y",1,0)</f>
        <v>0</v>
      </c>
      <c r="N425" s="3" t="n">
        <f aca="false">IF(I425="Y",1,0)</f>
        <v>0</v>
      </c>
    </row>
    <row r="426" customFormat="false" ht="15" hidden="false" customHeight="true" outlineLevel="0" collapsed="false">
      <c r="A426" s="7" t="s">
        <v>64</v>
      </c>
      <c r="B426" s="7" t="n">
        <v>1957</v>
      </c>
      <c r="C426" s="7" t="s">
        <v>365</v>
      </c>
      <c r="D426" s="7" t="n">
        <v>82</v>
      </c>
      <c r="E426" s="7" t="n">
        <v>72</v>
      </c>
      <c r="F426" s="7"/>
      <c r="G426" s="7"/>
      <c r="H426" s="7" t="s">
        <v>546</v>
      </c>
      <c r="I426" s="7" t="s">
        <v>546</v>
      </c>
      <c r="J426" s="21" t="n">
        <f aca="false">D426/(D426+E426)</f>
        <v>0.532467532467532</v>
      </c>
      <c r="K426" s="3" t="n">
        <f aca="false">IF(D426&gt;E426,1,0)</f>
        <v>1</v>
      </c>
      <c r="L426" s="3" t="n">
        <f aca="false">IF(OR(F426="Y",G426="Y",H426="Y"),1,0)</f>
        <v>0</v>
      </c>
      <c r="M426" s="3" t="n">
        <f aca="false">IF(H426="Y",1,0)</f>
        <v>0</v>
      </c>
      <c r="N426" s="3" t="n">
        <f aca="false">IF(I426="Y",1,0)</f>
        <v>0</v>
      </c>
    </row>
    <row r="427" customFormat="false" ht="15" hidden="false" customHeight="true" outlineLevel="0" collapsed="false">
      <c r="A427" s="7" t="s">
        <v>64</v>
      </c>
      <c r="B427" s="7" t="n">
        <v>1958</v>
      </c>
      <c r="C427" s="7" t="s">
        <v>365</v>
      </c>
      <c r="D427" s="7" t="n">
        <v>79</v>
      </c>
      <c r="E427" s="7" t="n">
        <v>75</v>
      </c>
      <c r="F427" s="7"/>
      <c r="G427" s="7"/>
      <c r="H427" s="7" t="s">
        <v>546</v>
      </c>
      <c r="I427" s="7" t="s">
        <v>546</v>
      </c>
      <c r="J427" s="21" t="n">
        <f aca="false">D427/(D427+E427)</f>
        <v>0.512987012987013</v>
      </c>
      <c r="K427" s="3" t="n">
        <f aca="false">IF(D427&gt;E427,1,0)</f>
        <v>1</v>
      </c>
      <c r="L427" s="3" t="n">
        <f aca="false">IF(OR(F427="Y",G427="Y",H427="Y"),1,0)</f>
        <v>0</v>
      </c>
      <c r="M427" s="3" t="n">
        <f aca="false">IF(H427="Y",1,0)</f>
        <v>0</v>
      </c>
      <c r="N427" s="3" t="n">
        <f aca="false">IF(I427="Y",1,0)</f>
        <v>0</v>
      </c>
    </row>
    <row r="428" customFormat="false" ht="15" hidden="false" customHeight="true" outlineLevel="0" collapsed="false">
      <c r="A428" s="7" t="s">
        <v>64</v>
      </c>
      <c r="B428" s="7" t="n">
        <v>1959</v>
      </c>
      <c r="C428" s="7" t="s">
        <v>365</v>
      </c>
      <c r="D428" s="7" t="n">
        <v>75</v>
      </c>
      <c r="E428" s="7" t="n">
        <v>79</v>
      </c>
      <c r="F428" s="7"/>
      <c r="G428" s="7"/>
      <c r="H428" s="7" t="s">
        <v>546</v>
      </c>
      <c r="I428" s="7" t="s">
        <v>546</v>
      </c>
      <c r="J428" s="21" t="n">
        <f aca="false">D428/(D428+E428)</f>
        <v>0.487012987012987</v>
      </c>
      <c r="K428" s="3" t="n">
        <f aca="false">IF(D428&gt;E428,1,0)</f>
        <v>0</v>
      </c>
      <c r="L428" s="3" t="n">
        <f aca="false">IF(OR(F428="Y",G428="Y",H428="Y"),1,0)</f>
        <v>0</v>
      </c>
      <c r="M428" s="3" t="n">
        <f aca="false">IF(H428="Y",1,0)</f>
        <v>0</v>
      </c>
      <c r="N428" s="3" t="n">
        <f aca="false">IF(I428="Y",1,0)</f>
        <v>0</v>
      </c>
    </row>
    <row r="429" customFormat="false" ht="15" hidden="false" customHeight="true" outlineLevel="0" collapsed="false">
      <c r="A429" s="7" t="s">
        <v>64</v>
      </c>
      <c r="B429" s="7" t="n">
        <v>1960</v>
      </c>
      <c r="C429" s="7" t="s">
        <v>365</v>
      </c>
      <c r="D429" s="7" t="n">
        <v>65</v>
      </c>
      <c r="E429" s="7" t="n">
        <v>89</v>
      </c>
      <c r="F429" s="7"/>
      <c r="G429" s="7"/>
      <c r="H429" s="7" t="s">
        <v>546</v>
      </c>
      <c r="I429" s="7" t="s">
        <v>546</v>
      </c>
      <c r="J429" s="21" t="n">
        <f aca="false">D429/(D429+E429)</f>
        <v>0.422077922077922</v>
      </c>
      <c r="K429" s="3" t="n">
        <f aca="false">IF(D429&gt;E429,1,0)</f>
        <v>0</v>
      </c>
      <c r="L429" s="3" t="n">
        <f aca="false">IF(OR(F429="Y",G429="Y",H429="Y"),1,0)</f>
        <v>0</v>
      </c>
      <c r="M429" s="3" t="n">
        <f aca="false">IF(H429="Y",1,0)</f>
        <v>0</v>
      </c>
      <c r="N429" s="3" t="n">
        <f aca="false">IF(I429="Y",1,0)</f>
        <v>0</v>
      </c>
    </row>
    <row r="430" customFormat="false" ht="15" hidden="false" customHeight="true" outlineLevel="0" collapsed="false">
      <c r="A430" s="7" t="s">
        <v>64</v>
      </c>
      <c r="B430" s="7" t="n">
        <v>1961</v>
      </c>
      <c r="C430" s="7" t="s">
        <v>365</v>
      </c>
      <c r="D430" s="7" t="n">
        <v>76</v>
      </c>
      <c r="E430" s="7" t="n">
        <v>86</v>
      </c>
      <c r="F430" s="7"/>
      <c r="G430" s="7"/>
      <c r="H430" s="7" t="s">
        <v>546</v>
      </c>
      <c r="I430" s="7" t="s">
        <v>546</v>
      </c>
      <c r="J430" s="21" t="n">
        <f aca="false">D430/(D430+E430)</f>
        <v>0.469135802469136</v>
      </c>
      <c r="K430" s="3" t="n">
        <f aca="false">IF(D430&gt;E430,1,0)</f>
        <v>0</v>
      </c>
      <c r="L430" s="3" t="n">
        <f aca="false">IF(OR(F430="Y",G430="Y",H430="Y"),1,0)</f>
        <v>0</v>
      </c>
      <c r="M430" s="3" t="n">
        <f aca="false">IF(H430="Y",1,0)</f>
        <v>0</v>
      </c>
      <c r="N430" s="3" t="n">
        <f aca="false">IF(I430="Y",1,0)</f>
        <v>0</v>
      </c>
    </row>
    <row r="431" customFormat="false" ht="15" hidden="false" customHeight="true" outlineLevel="0" collapsed="false">
      <c r="A431" s="7" t="s">
        <v>64</v>
      </c>
      <c r="B431" s="7" t="n">
        <v>1962</v>
      </c>
      <c r="C431" s="7" t="s">
        <v>365</v>
      </c>
      <c r="D431" s="7" t="n">
        <v>76</v>
      </c>
      <c r="E431" s="7" t="n">
        <v>84</v>
      </c>
      <c r="F431" s="7"/>
      <c r="G431" s="7"/>
      <c r="H431" s="7" t="s">
        <v>546</v>
      </c>
      <c r="I431" s="7" t="s">
        <v>546</v>
      </c>
      <c r="J431" s="21" t="n">
        <f aca="false">D431/(D431+E431)</f>
        <v>0.475</v>
      </c>
      <c r="K431" s="3" t="n">
        <f aca="false">IF(D431&gt;E431,1,0)</f>
        <v>0</v>
      </c>
      <c r="L431" s="3" t="n">
        <f aca="false">IF(OR(F431="Y",G431="Y",H431="Y"),1,0)</f>
        <v>0</v>
      </c>
      <c r="M431" s="3" t="n">
        <f aca="false">IF(H431="Y",1,0)</f>
        <v>0</v>
      </c>
      <c r="N431" s="3" t="n">
        <f aca="false">IF(I431="Y",1,0)</f>
        <v>0</v>
      </c>
    </row>
    <row r="432" customFormat="false" ht="15" hidden="false" customHeight="true" outlineLevel="0" collapsed="false">
      <c r="A432" s="7" t="s">
        <v>64</v>
      </c>
      <c r="B432" s="7" t="n">
        <v>1963</v>
      </c>
      <c r="C432" s="7" t="s">
        <v>365</v>
      </c>
      <c r="D432" s="7" t="n">
        <v>76</v>
      </c>
      <c r="E432" s="7" t="n">
        <v>85</v>
      </c>
      <c r="F432" s="7"/>
      <c r="G432" s="7"/>
      <c r="H432" s="7" t="s">
        <v>546</v>
      </c>
      <c r="I432" s="7" t="s">
        <v>546</v>
      </c>
      <c r="J432" s="21" t="n">
        <f aca="false">D432/(D432+E432)</f>
        <v>0.472049689440994</v>
      </c>
      <c r="K432" s="3" t="n">
        <f aca="false">IF(D432&gt;E432,1,0)</f>
        <v>0</v>
      </c>
      <c r="L432" s="3" t="n">
        <f aca="false">IF(OR(F432="Y",G432="Y",H432="Y"),1,0)</f>
        <v>0</v>
      </c>
      <c r="M432" s="3" t="n">
        <f aca="false">IF(H432="Y",1,0)</f>
        <v>0</v>
      </c>
      <c r="N432" s="3" t="n">
        <f aca="false">IF(I432="Y",1,0)</f>
        <v>0</v>
      </c>
    </row>
    <row r="433" customFormat="false" ht="15" hidden="false" customHeight="true" outlineLevel="0" collapsed="false">
      <c r="A433" s="7" t="s">
        <v>64</v>
      </c>
      <c r="B433" s="7" t="n">
        <v>1964</v>
      </c>
      <c r="C433" s="7" t="s">
        <v>365</v>
      </c>
      <c r="D433" s="7" t="n">
        <v>72</v>
      </c>
      <c r="E433" s="7" t="n">
        <v>90</v>
      </c>
      <c r="F433" s="7"/>
      <c r="G433" s="7"/>
      <c r="H433" s="7" t="s">
        <v>546</v>
      </c>
      <c r="I433" s="7" t="s">
        <v>546</v>
      </c>
      <c r="J433" s="21" t="n">
        <f aca="false">D433/(D433+E433)</f>
        <v>0.444444444444444</v>
      </c>
      <c r="K433" s="3" t="n">
        <f aca="false">IF(D433&gt;E433,1,0)</f>
        <v>0</v>
      </c>
      <c r="L433" s="3" t="n">
        <f aca="false">IF(OR(F433="Y",G433="Y",H433="Y"),1,0)</f>
        <v>0</v>
      </c>
      <c r="M433" s="3" t="n">
        <f aca="false">IF(H433="Y",1,0)</f>
        <v>0</v>
      </c>
      <c r="N433" s="3" t="n">
        <f aca="false">IF(I433="Y",1,0)</f>
        <v>0</v>
      </c>
    </row>
    <row r="434" customFormat="false" ht="15" hidden="false" customHeight="true" outlineLevel="0" collapsed="false">
      <c r="A434" s="7" t="s">
        <v>64</v>
      </c>
      <c r="B434" s="7" t="n">
        <v>1965</v>
      </c>
      <c r="C434" s="7" t="s">
        <v>365</v>
      </c>
      <c r="D434" s="7" t="n">
        <v>62</v>
      </c>
      <c r="E434" s="7" t="n">
        <v>100</v>
      </c>
      <c r="F434" s="7"/>
      <c r="G434" s="7"/>
      <c r="H434" s="7" t="s">
        <v>546</v>
      </c>
      <c r="I434" s="7" t="s">
        <v>546</v>
      </c>
      <c r="J434" s="21" t="n">
        <f aca="false">D434/(D434+E434)</f>
        <v>0.382716049382716</v>
      </c>
      <c r="K434" s="3" t="n">
        <f aca="false">IF(D434&gt;E434,1,0)</f>
        <v>0</v>
      </c>
      <c r="L434" s="3" t="n">
        <f aca="false">IF(OR(F434="Y",G434="Y",H434="Y"),1,0)</f>
        <v>0</v>
      </c>
      <c r="M434" s="3" t="n">
        <f aca="false">IF(H434="Y",1,0)</f>
        <v>0</v>
      </c>
      <c r="N434" s="3" t="n">
        <f aca="false">IF(I434="Y",1,0)</f>
        <v>0</v>
      </c>
    </row>
    <row r="435" customFormat="false" ht="15" hidden="false" customHeight="true" outlineLevel="0" collapsed="false">
      <c r="A435" s="7" t="s">
        <v>64</v>
      </c>
      <c r="B435" s="7" t="n">
        <v>1966</v>
      </c>
      <c r="C435" s="7" t="s">
        <v>365</v>
      </c>
      <c r="D435" s="7" t="n">
        <v>72</v>
      </c>
      <c r="E435" s="7" t="n">
        <v>90</v>
      </c>
      <c r="F435" s="7"/>
      <c r="G435" s="7"/>
      <c r="H435" s="7" t="s">
        <v>546</v>
      </c>
      <c r="I435" s="7" t="s">
        <v>546</v>
      </c>
      <c r="J435" s="21" t="n">
        <f aca="false">D435/(D435+E435)</f>
        <v>0.444444444444444</v>
      </c>
      <c r="K435" s="3" t="n">
        <f aca="false">IF(D435&gt;E435,1,0)</f>
        <v>0</v>
      </c>
      <c r="L435" s="3" t="n">
        <f aca="false">IF(OR(F435="Y",G435="Y",H435="Y"),1,0)</f>
        <v>0</v>
      </c>
      <c r="M435" s="3" t="n">
        <f aca="false">IF(H435="Y",1,0)</f>
        <v>0</v>
      </c>
      <c r="N435" s="3" t="n">
        <f aca="false">IF(I435="Y",1,0)</f>
        <v>0</v>
      </c>
    </row>
    <row r="436" customFormat="false" ht="15" hidden="false" customHeight="true" outlineLevel="0" collapsed="false">
      <c r="A436" s="7" t="s">
        <v>64</v>
      </c>
      <c r="B436" s="7" t="n">
        <v>1967</v>
      </c>
      <c r="C436" s="7" t="s">
        <v>365</v>
      </c>
      <c r="D436" s="7" t="n">
        <v>92</v>
      </c>
      <c r="E436" s="7" t="n">
        <v>70</v>
      </c>
      <c r="F436" s="7"/>
      <c r="G436" s="7"/>
      <c r="H436" s="7" t="s">
        <v>548</v>
      </c>
      <c r="I436" s="7" t="s">
        <v>546</v>
      </c>
      <c r="J436" s="21" t="n">
        <f aca="false">D436/(D436+E436)</f>
        <v>0.567901234567901</v>
      </c>
      <c r="K436" s="3" t="n">
        <f aca="false">IF(D436&gt;E436,1,0)</f>
        <v>1</v>
      </c>
      <c r="L436" s="3" t="n">
        <f aca="false">IF(OR(F436="Y",G436="Y",H436="Y"),1,0)</f>
        <v>1</v>
      </c>
      <c r="M436" s="3" t="n">
        <f aca="false">IF(H436="Y",1,0)</f>
        <v>1</v>
      </c>
      <c r="N436" s="3" t="n">
        <f aca="false">IF(I436="Y",1,0)</f>
        <v>0</v>
      </c>
    </row>
    <row r="437" customFormat="false" ht="15" hidden="false" customHeight="true" outlineLevel="0" collapsed="false">
      <c r="A437" s="7" t="s">
        <v>64</v>
      </c>
      <c r="B437" s="7" t="n">
        <v>1968</v>
      </c>
      <c r="C437" s="7" t="s">
        <v>365</v>
      </c>
      <c r="D437" s="7" t="n">
        <v>86</v>
      </c>
      <c r="E437" s="7" t="n">
        <v>76</v>
      </c>
      <c r="F437" s="7"/>
      <c r="G437" s="7"/>
      <c r="H437" s="7" t="s">
        <v>546</v>
      </c>
      <c r="I437" s="7" t="s">
        <v>546</v>
      </c>
      <c r="J437" s="21" t="n">
        <f aca="false">D437/(D437+E437)</f>
        <v>0.530864197530864</v>
      </c>
      <c r="K437" s="3" t="n">
        <f aca="false">IF(D437&gt;E437,1,0)</f>
        <v>1</v>
      </c>
      <c r="L437" s="3" t="n">
        <f aca="false">IF(OR(F437="Y",G437="Y",H437="Y"),1,0)</f>
        <v>0</v>
      </c>
      <c r="M437" s="3" t="n">
        <f aca="false">IF(H437="Y",1,0)</f>
        <v>0</v>
      </c>
      <c r="N437" s="3" t="n">
        <f aca="false">IF(I437="Y",1,0)</f>
        <v>0</v>
      </c>
    </row>
    <row r="438" customFormat="false" ht="15" hidden="false" customHeight="true" outlineLevel="0" collapsed="false">
      <c r="A438" s="7" t="s">
        <v>64</v>
      </c>
      <c r="B438" s="7" t="n">
        <v>1969</v>
      </c>
      <c r="C438" s="7" t="s">
        <v>365</v>
      </c>
      <c r="D438" s="7" t="n">
        <v>87</v>
      </c>
      <c r="E438" s="7" t="n">
        <v>75</v>
      </c>
      <c r="F438" s="7" t="s">
        <v>546</v>
      </c>
      <c r="G438" s="7"/>
      <c r="H438" s="7" t="s">
        <v>546</v>
      </c>
      <c r="I438" s="7" t="s">
        <v>546</v>
      </c>
      <c r="J438" s="21" t="n">
        <f aca="false">D438/(D438+E438)</f>
        <v>0.537037037037037</v>
      </c>
      <c r="K438" s="3" t="n">
        <f aca="false">IF(D438&gt;E438,1,0)</f>
        <v>1</v>
      </c>
      <c r="L438" s="3" t="n">
        <f aca="false">IF(OR(F438="Y",G438="Y",H438="Y"),1,0)</f>
        <v>0</v>
      </c>
      <c r="M438" s="3" t="n">
        <f aca="false">IF(H438="Y",1,0)</f>
        <v>0</v>
      </c>
      <c r="N438" s="3" t="n">
        <f aca="false">IF(I438="Y",1,0)</f>
        <v>0</v>
      </c>
    </row>
    <row r="439" customFormat="false" ht="15" hidden="false" customHeight="true" outlineLevel="0" collapsed="false">
      <c r="A439" s="7" t="s">
        <v>64</v>
      </c>
      <c r="B439" s="7" t="n">
        <v>1970</v>
      </c>
      <c r="C439" s="7" t="s">
        <v>365</v>
      </c>
      <c r="D439" s="7" t="n">
        <v>87</v>
      </c>
      <c r="E439" s="7" t="n">
        <v>75</v>
      </c>
      <c r="F439" s="7" t="s">
        <v>546</v>
      </c>
      <c r="G439" s="7"/>
      <c r="H439" s="7" t="s">
        <v>546</v>
      </c>
      <c r="I439" s="7" t="s">
        <v>546</v>
      </c>
      <c r="J439" s="21" t="n">
        <f aca="false">D439/(D439+E439)</f>
        <v>0.537037037037037</v>
      </c>
      <c r="K439" s="3" t="n">
        <f aca="false">IF(D439&gt;E439,1,0)</f>
        <v>1</v>
      </c>
      <c r="L439" s="3" t="n">
        <f aca="false">IF(OR(F439="Y",G439="Y",H439="Y"),1,0)</f>
        <v>0</v>
      </c>
      <c r="M439" s="3" t="n">
        <f aca="false">IF(H439="Y",1,0)</f>
        <v>0</v>
      </c>
      <c r="N439" s="3" t="n">
        <f aca="false">IF(I439="Y",1,0)</f>
        <v>0</v>
      </c>
    </row>
    <row r="440" customFormat="false" ht="15" hidden="false" customHeight="true" outlineLevel="0" collapsed="false">
      <c r="A440" s="7" t="s">
        <v>64</v>
      </c>
      <c r="B440" s="7" t="n">
        <v>1971</v>
      </c>
      <c r="C440" s="7" t="s">
        <v>365</v>
      </c>
      <c r="D440" s="7" t="n">
        <v>85</v>
      </c>
      <c r="E440" s="7" t="n">
        <v>77</v>
      </c>
      <c r="F440" s="7" t="s">
        <v>546</v>
      </c>
      <c r="G440" s="7"/>
      <c r="H440" s="7" t="s">
        <v>546</v>
      </c>
      <c r="I440" s="7" t="s">
        <v>546</v>
      </c>
      <c r="J440" s="21" t="n">
        <f aca="false">D440/(D440+E440)</f>
        <v>0.524691358024691</v>
      </c>
      <c r="K440" s="3" t="n">
        <f aca="false">IF(D440&gt;E440,1,0)</f>
        <v>1</v>
      </c>
      <c r="L440" s="3" t="n">
        <f aca="false">IF(OR(F440="Y",G440="Y",H440="Y"),1,0)</f>
        <v>0</v>
      </c>
      <c r="M440" s="3" t="n">
        <f aca="false">IF(H440="Y",1,0)</f>
        <v>0</v>
      </c>
      <c r="N440" s="3" t="n">
        <f aca="false">IF(I440="Y",1,0)</f>
        <v>0</v>
      </c>
    </row>
    <row r="441" customFormat="false" ht="15" hidden="false" customHeight="true" outlineLevel="0" collapsed="false">
      <c r="A441" s="7" t="s">
        <v>64</v>
      </c>
      <c r="B441" s="7" t="n">
        <v>1972</v>
      </c>
      <c r="C441" s="7" t="s">
        <v>365</v>
      </c>
      <c r="D441" s="7" t="n">
        <v>85</v>
      </c>
      <c r="E441" s="7" t="n">
        <v>70</v>
      </c>
      <c r="F441" s="7" t="s">
        <v>546</v>
      </c>
      <c r="G441" s="7"/>
      <c r="H441" s="7" t="s">
        <v>546</v>
      </c>
      <c r="I441" s="7" t="s">
        <v>546</v>
      </c>
      <c r="J441" s="21" t="n">
        <f aca="false">D441/(D441+E441)</f>
        <v>0.548387096774194</v>
      </c>
      <c r="K441" s="3" t="n">
        <f aca="false">IF(D441&gt;E441,1,0)</f>
        <v>1</v>
      </c>
      <c r="L441" s="3" t="n">
        <f aca="false">IF(OR(F441="Y",G441="Y",H441="Y"),1,0)</f>
        <v>0</v>
      </c>
      <c r="M441" s="3" t="n">
        <f aca="false">IF(H441="Y",1,0)</f>
        <v>0</v>
      </c>
      <c r="N441" s="3" t="n">
        <f aca="false">IF(I441="Y",1,0)</f>
        <v>0</v>
      </c>
    </row>
    <row r="442" customFormat="false" ht="15" hidden="false" customHeight="true" outlineLevel="0" collapsed="false">
      <c r="A442" s="7" t="s">
        <v>64</v>
      </c>
      <c r="B442" s="7" t="n">
        <v>1973</v>
      </c>
      <c r="C442" s="7" t="s">
        <v>365</v>
      </c>
      <c r="D442" s="7" t="n">
        <v>89</v>
      </c>
      <c r="E442" s="7" t="n">
        <v>73</v>
      </c>
      <c r="F442" s="7" t="s">
        <v>546</v>
      </c>
      <c r="G442" s="7"/>
      <c r="H442" s="7" t="s">
        <v>546</v>
      </c>
      <c r="I442" s="7" t="s">
        <v>546</v>
      </c>
      <c r="J442" s="21" t="n">
        <f aca="false">D442/(D442+E442)</f>
        <v>0.549382716049383</v>
      </c>
      <c r="K442" s="3" t="n">
        <f aca="false">IF(D442&gt;E442,1,0)</f>
        <v>1</v>
      </c>
      <c r="L442" s="3" t="n">
        <f aca="false">IF(OR(F442="Y",G442="Y",H442="Y"),1,0)</f>
        <v>0</v>
      </c>
      <c r="M442" s="3" t="n">
        <f aca="false">IF(H442="Y",1,0)</f>
        <v>0</v>
      </c>
      <c r="N442" s="3" t="n">
        <f aca="false">IF(I442="Y",1,0)</f>
        <v>0</v>
      </c>
    </row>
    <row r="443" customFormat="false" ht="15" hidden="false" customHeight="true" outlineLevel="0" collapsed="false">
      <c r="A443" s="7" t="s">
        <v>64</v>
      </c>
      <c r="B443" s="7" t="n">
        <v>1974</v>
      </c>
      <c r="C443" s="7" t="s">
        <v>365</v>
      </c>
      <c r="D443" s="7" t="n">
        <v>84</v>
      </c>
      <c r="E443" s="7" t="n">
        <v>78</v>
      </c>
      <c r="F443" s="7" t="s">
        <v>546</v>
      </c>
      <c r="G443" s="7"/>
      <c r="H443" s="7" t="s">
        <v>546</v>
      </c>
      <c r="I443" s="7" t="s">
        <v>546</v>
      </c>
      <c r="J443" s="21" t="n">
        <f aca="false">D443/(D443+E443)</f>
        <v>0.518518518518519</v>
      </c>
      <c r="K443" s="3" t="n">
        <f aca="false">IF(D443&gt;E443,1,0)</f>
        <v>1</v>
      </c>
      <c r="L443" s="3" t="n">
        <f aca="false">IF(OR(F443="Y",G443="Y",H443="Y"),1,0)</f>
        <v>0</v>
      </c>
      <c r="M443" s="3" t="n">
        <f aca="false">IF(H443="Y",1,0)</f>
        <v>0</v>
      </c>
      <c r="N443" s="3" t="n">
        <f aca="false">IF(I443="Y",1,0)</f>
        <v>0</v>
      </c>
    </row>
    <row r="444" customFormat="false" ht="15" hidden="false" customHeight="true" outlineLevel="0" collapsed="false">
      <c r="A444" s="7" t="s">
        <v>64</v>
      </c>
      <c r="B444" s="7" t="n">
        <v>1975</v>
      </c>
      <c r="C444" s="7" t="s">
        <v>365</v>
      </c>
      <c r="D444" s="7" t="n">
        <v>95</v>
      </c>
      <c r="E444" s="7" t="n">
        <v>65</v>
      </c>
      <c r="F444" s="7" t="s">
        <v>548</v>
      </c>
      <c r="G444" s="7"/>
      <c r="H444" s="7" t="s">
        <v>548</v>
      </c>
      <c r="I444" s="7" t="s">
        <v>546</v>
      </c>
      <c r="J444" s="21" t="n">
        <f aca="false">D444/(D444+E444)</f>
        <v>0.59375</v>
      </c>
      <c r="K444" s="3" t="n">
        <f aca="false">IF(D444&gt;E444,1,0)</f>
        <v>1</v>
      </c>
      <c r="L444" s="3" t="n">
        <f aca="false">IF(OR(F444="Y",G444="Y",H444="Y"),1,0)</f>
        <v>1</v>
      </c>
      <c r="M444" s="3" t="n">
        <f aca="false">IF(H444="Y",1,0)</f>
        <v>1</v>
      </c>
      <c r="N444" s="3" t="n">
        <f aca="false">IF(I444="Y",1,0)</f>
        <v>0</v>
      </c>
    </row>
    <row r="445" customFormat="false" ht="15" hidden="false" customHeight="true" outlineLevel="0" collapsed="false">
      <c r="A445" s="7" t="s">
        <v>64</v>
      </c>
      <c r="B445" s="7" t="n">
        <v>1976</v>
      </c>
      <c r="C445" s="7" t="s">
        <v>365</v>
      </c>
      <c r="D445" s="7" t="n">
        <v>83</v>
      </c>
      <c r="E445" s="7" t="n">
        <v>79</v>
      </c>
      <c r="F445" s="7" t="s">
        <v>546</v>
      </c>
      <c r="G445" s="7"/>
      <c r="H445" s="7" t="s">
        <v>546</v>
      </c>
      <c r="I445" s="7" t="s">
        <v>546</v>
      </c>
      <c r="J445" s="21" t="n">
        <f aca="false">D445/(D445+E445)</f>
        <v>0.512345679012346</v>
      </c>
      <c r="K445" s="3" t="n">
        <f aca="false">IF(D445&gt;E445,1,0)</f>
        <v>1</v>
      </c>
      <c r="L445" s="3" t="n">
        <f aca="false">IF(OR(F445="Y",G445="Y",H445="Y"),1,0)</f>
        <v>0</v>
      </c>
      <c r="M445" s="3" t="n">
        <f aca="false">IF(H445="Y",1,0)</f>
        <v>0</v>
      </c>
      <c r="N445" s="3" t="n">
        <f aca="false">IF(I445="Y",1,0)</f>
        <v>0</v>
      </c>
    </row>
    <row r="446" customFormat="false" ht="15" hidden="false" customHeight="true" outlineLevel="0" collapsed="false">
      <c r="A446" s="7" t="s">
        <v>64</v>
      </c>
      <c r="B446" s="7" t="n">
        <v>1977</v>
      </c>
      <c r="C446" s="7" t="s">
        <v>365</v>
      </c>
      <c r="D446" s="7" t="n">
        <v>97</v>
      </c>
      <c r="E446" s="7" t="n">
        <v>64</v>
      </c>
      <c r="F446" s="7" t="s">
        <v>546</v>
      </c>
      <c r="G446" s="7"/>
      <c r="H446" s="7" t="s">
        <v>546</v>
      </c>
      <c r="I446" s="7" t="s">
        <v>546</v>
      </c>
      <c r="J446" s="21" t="n">
        <f aca="false">D446/(D446+E446)</f>
        <v>0.60248447204969</v>
      </c>
      <c r="K446" s="3" t="n">
        <f aca="false">IF(D446&gt;E446,1,0)</f>
        <v>1</v>
      </c>
      <c r="L446" s="3" t="n">
        <f aca="false">IF(OR(F446="Y",G446="Y",H446="Y"),1,0)</f>
        <v>0</v>
      </c>
      <c r="M446" s="3" t="n">
        <f aca="false">IF(H446="Y",1,0)</f>
        <v>0</v>
      </c>
      <c r="N446" s="3" t="n">
        <f aca="false">IF(I446="Y",1,0)</f>
        <v>0</v>
      </c>
    </row>
    <row r="447" customFormat="false" ht="15" hidden="false" customHeight="true" outlineLevel="0" collapsed="false">
      <c r="A447" s="7" t="s">
        <v>64</v>
      </c>
      <c r="B447" s="7" t="n">
        <v>1978</v>
      </c>
      <c r="C447" s="7" t="s">
        <v>365</v>
      </c>
      <c r="D447" s="7" t="n">
        <v>99</v>
      </c>
      <c r="E447" s="7" t="n">
        <v>64</v>
      </c>
      <c r="F447" s="7" t="s">
        <v>546</v>
      </c>
      <c r="G447" s="7"/>
      <c r="H447" s="7" t="s">
        <v>546</v>
      </c>
      <c r="I447" s="7" t="s">
        <v>546</v>
      </c>
      <c r="J447" s="21" t="n">
        <f aca="false">D447/(D447+E447)</f>
        <v>0.607361963190184</v>
      </c>
      <c r="K447" s="3" t="n">
        <f aca="false">IF(D447&gt;E447,1,0)</f>
        <v>1</v>
      </c>
      <c r="L447" s="3" t="n">
        <f aca="false">IF(OR(F447="Y",G447="Y",H447="Y"),1,0)</f>
        <v>0</v>
      </c>
      <c r="M447" s="3" t="n">
        <f aca="false">IF(H447="Y",1,0)</f>
        <v>0</v>
      </c>
      <c r="N447" s="3" t="n">
        <f aca="false">IF(I447="Y",1,0)</f>
        <v>0</v>
      </c>
    </row>
    <row r="448" customFormat="false" ht="15" hidden="false" customHeight="true" outlineLevel="0" collapsed="false">
      <c r="A448" s="7" t="s">
        <v>64</v>
      </c>
      <c r="B448" s="7" t="n">
        <v>1979</v>
      </c>
      <c r="C448" s="7" t="s">
        <v>365</v>
      </c>
      <c r="D448" s="7" t="n">
        <v>91</v>
      </c>
      <c r="E448" s="7" t="n">
        <v>69</v>
      </c>
      <c r="F448" s="7" t="s">
        <v>546</v>
      </c>
      <c r="G448" s="7"/>
      <c r="H448" s="7" t="s">
        <v>546</v>
      </c>
      <c r="I448" s="7" t="s">
        <v>546</v>
      </c>
      <c r="J448" s="21" t="n">
        <f aca="false">D448/(D448+E448)</f>
        <v>0.56875</v>
      </c>
      <c r="K448" s="3" t="n">
        <f aca="false">IF(D448&gt;E448,1,0)</f>
        <v>1</v>
      </c>
      <c r="L448" s="3" t="n">
        <f aca="false">IF(OR(F448="Y",G448="Y",H448="Y"),1,0)</f>
        <v>0</v>
      </c>
      <c r="M448" s="3" t="n">
        <f aca="false">IF(H448="Y",1,0)</f>
        <v>0</v>
      </c>
      <c r="N448" s="3" t="n">
        <f aca="false">IF(I448="Y",1,0)</f>
        <v>0</v>
      </c>
    </row>
    <row r="449" customFormat="false" ht="15" hidden="false" customHeight="true" outlineLevel="0" collapsed="false">
      <c r="A449" s="7" t="s">
        <v>64</v>
      </c>
      <c r="B449" s="7" t="n">
        <v>1980</v>
      </c>
      <c r="C449" s="7" t="s">
        <v>365</v>
      </c>
      <c r="D449" s="7" t="n">
        <v>83</v>
      </c>
      <c r="E449" s="7" t="n">
        <v>77</v>
      </c>
      <c r="F449" s="7" t="s">
        <v>546</v>
      </c>
      <c r="G449" s="7"/>
      <c r="H449" s="7" t="s">
        <v>546</v>
      </c>
      <c r="I449" s="7" t="s">
        <v>546</v>
      </c>
      <c r="J449" s="21" t="n">
        <f aca="false">D449/(D449+E449)</f>
        <v>0.51875</v>
      </c>
      <c r="K449" s="3" t="n">
        <f aca="false">IF(D449&gt;E449,1,0)</f>
        <v>1</v>
      </c>
      <c r="L449" s="3" t="n">
        <f aca="false">IF(OR(F449="Y",G449="Y",H449="Y"),1,0)</f>
        <v>0</v>
      </c>
      <c r="M449" s="3" t="n">
        <f aca="false">IF(H449="Y",1,0)</f>
        <v>0</v>
      </c>
      <c r="N449" s="3" t="n">
        <f aca="false">IF(I449="Y",1,0)</f>
        <v>0</v>
      </c>
    </row>
    <row r="450" customFormat="false" ht="15" hidden="false" customHeight="true" outlineLevel="0" collapsed="false">
      <c r="A450" s="7" t="s">
        <v>64</v>
      </c>
      <c r="B450" s="7" t="n">
        <v>1981</v>
      </c>
      <c r="C450" s="7" t="s">
        <v>365</v>
      </c>
      <c r="D450" s="7" t="n">
        <v>59</v>
      </c>
      <c r="E450" s="7" t="n">
        <v>49</v>
      </c>
      <c r="F450" s="7" t="s">
        <v>546</v>
      </c>
      <c r="G450" s="7"/>
      <c r="H450" s="7" t="s">
        <v>546</v>
      </c>
      <c r="I450" s="7" t="s">
        <v>546</v>
      </c>
      <c r="J450" s="21" t="n">
        <f aca="false">D450/(D450+E450)</f>
        <v>0.546296296296296</v>
      </c>
      <c r="K450" s="3" t="n">
        <f aca="false">IF(D450&gt;E450,1,0)</f>
        <v>1</v>
      </c>
      <c r="L450" s="3" t="n">
        <f aca="false">IF(OR(F450="Y",G450="Y",H450="Y"),1,0)</f>
        <v>0</v>
      </c>
      <c r="M450" s="3" t="n">
        <f aca="false">IF(H450="Y",1,0)</f>
        <v>0</v>
      </c>
      <c r="N450" s="3" t="n">
        <f aca="false">IF(I450="Y",1,0)</f>
        <v>0</v>
      </c>
    </row>
    <row r="451" customFormat="false" ht="15" hidden="false" customHeight="true" outlineLevel="0" collapsed="false">
      <c r="A451" s="7" t="s">
        <v>64</v>
      </c>
      <c r="B451" s="7" t="n">
        <v>1982</v>
      </c>
      <c r="C451" s="7" t="s">
        <v>365</v>
      </c>
      <c r="D451" s="7" t="n">
        <v>89</v>
      </c>
      <c r="E451" s="7" t="n">
        <v>73</v>
      </c>
      <c r="F451" s="7" t="s">
        <v>546</v>
      </c>
      <c r="G451" s="7"/>
      <c r="H451" s="7" t="s">
        <v>546</v>
      </c>
      <c r="I451" s="7" t="s">
        <v>546</v>
      </c>
      <c r="J451" s="21" t="n">
        <f aca="false">D451/(D451+E451)</f>
        <v>0.549382716049383</v>
      </c>
      <c r="K451" s="3" t="n">
        <f aca="false">IF(D451&gt;E451,1,0)</f>
        <v>1</v>
      </c>
      <c r="L451" s="3" t="n">
        <f aca="false">IF(OR(F451="Y",G451="Y",H451="Y"),1,0)</f>
        <v>0</v>
      </c>
      <c r="M451" s="3" t="n">
        <f aca="false">IF(H451="Y",1,0)</f>
        <v>0</v>
      </c>
      <c r="N451" s="3" t="n">
        <f aca="false">IF(I451="Y",1,0)</f>
        <v>0</v>
      </c>
    </row>
    <row r="452" customFormat="false" ht="15" hidden="false" customHeight="true" outlineLevel="0" collapsed="false">
      <c r="A452" s="7" t="s">
        <v>64</v>
      </c>
      <c r="B452" s="7" t="n">
        <v>1983</v>
      </c>
      <c r="C452" s="7" t="s">
        <v>365</v>
      </c>
      <c r="D452" s="7" t="n">
        <v>78</v>
      </c>
      <c r="E452" s="7" t="n">
        <v>84</v>
      </c>
      <c r="F452" s="7" t="s">
        <v>546</v>
      </c>
      <c r="G452" s="7"/>
      <c r="H452" s="7" t="s">
        <v>546</v>
      </c>
      <c r="I452" s="7" t="s">
        <v>546</v>
      </c>
      <c r="J452" s="21" t="n">
        <f aca="false">D452/(D452+E452)</f>
        <v>0.481481481481481</v>
      </c>
      <c r="K452" s="3" t="n">
        <f aca="false">IF(D452&gt;E452,1,0)</f>
        <v>0</v>
      </c>
      <c r="L452" s="3" t="n">
        <f aca="false">IF(OR(F452="Y",G452="Y",H452="Y"),1,0)</f>
        <v>0</v>
      </c>
      <c r="M452" s="3" t="n">
        <f aca="false">IF(H452="Y",1,0)</f>
        <v>0</v>
      </c>
      <c r="N452" s="3" t="n">
        <f aca="false">IF(I452="Y",1,0)</f>
        <v>0</v>
      </c>
    </row>
    <row r="453" customFormat="false" ht="15" hidden="false" customHeight="true" outlineLevel="0" collapsed="false">
      <c r="A453" s="7" t="s">
        <v>64</v>
      </c>
      <c r="B453" s="7" t="n">
        <v>1984</v>
      </c>
      <c r="C453" s="7" t="s">
        <v>365</v>
      </c>
      <c r="D453" s="7" t="n">
        <v>86</v>
      </c>
      <c r="E453" s="7" t="n">
        <v>76</v>
      </c>
      <c r="F453" s="7" t="s">
        <v>546</v>
      </c>
      <c r="G453" s="7"/>
      <c r="H453" s="7" t="s">
        <v>546</v>
      </c>
      <c r="I453" s="7" t="s">
        <v>546</v>
      </c>
      <c r="J453" s="21" t="n">
        <f aca="false">D453/(D453+E453)</f>
        <v>0.530864197530864</v>
      </c>
      <c r="K453" s="3" t="n">
        <f aca="false">IF(D453&gt;E453,1,0)</f>
        <v>1</v>
      </c>
      <c r="L453" s="3" t="n">
        <f aca="false">IF(OR(F453="Y",G453="Y",H453="Y"),1,0)</f>
        <v>0</v>
      </c>
      <c r="M453" s="3" t="n">
        <f aca="false">IF(H453="Y",1,0)</f>
        <v>0</v>
      </c>
      <c r="N453" s="3" t="n">
        <f aca="false">IF(I453="Y",1,0)</f>
        <v>0</v>
      </c>
    </row>
    <row r="454" customFormat="false" ht="15" hidden="false" customHeight="true" outlineLevel="0" collapsed="false">
      <c r="A454" s="7" t="s">
        <v>64</v>
      </c>
      <c r="B454" s="7" t="n">
        <v>1985</v>
      </c>
      <c r="C454" s="7" t="s">
        <v>365</v>
      </c>
      <c r="D454" s="7" t="n">
        <v>81</v>
      </c>
      <c r="E454" s="7" t="n">
        <v>81</v>
      </c>
      <c r="F454" s="7" t="s">
        <v>546</v>
      </c>
      <c r="G454" s="7"/>
      <c r="H454" s="7" t="s">
        <v>546</v>
      </c>
      <c r="I454" s="7" t="s">
        <v>546</v>
      </c>
      <c r="J454" s="21" t="n">
        <f aca="false">D454/(D454+E454)</f>
        <v>0.5</v>
      </c>
      <c r="K454" s="3" t="n">
        <f aca="false">IF(D454&gt;E454,1,0)</f>
        <v>0</v>
      </c>
      <c r="L454" s="3" t="n">
        <f aca="false">IF(OR(F454="Y",G454="Y",H454="Y"),1,0)</f>
        <v>0</v>
      </c>
      <c r="M454" s="3" t="n">
        <f aca="false">IF(H454="Y",1,0)</f>
        <v>0</v>
      </c>
      <c r="N454" s="3" t="n">
        <f aca="false">IF(I454="Y",1,0)</f>
        <v>0</v>
      </c>
    </row>
    <row r="455" customFormat="false" ht="15" hidden="false" customHeight="true" outlineLevel="0" collapsed="false">
      <c r="A455" s="7" t="s">
        <v>64</v>
      </c>
      <c r="B455" s="7" t="n">
        <v>1986</v>
      </c>
      <c r="C455" s="7" t="s">
        <v>365</v>
      </c>
      <c r="D455" s="7" t="n">
        <v>95</v>
      </c>
      <c r="E455" s="7" t="n">
        <v>66</v>
      </c>
      <c r="F455" s="7" t="s">
        <v>548</v>
      </c>
      <c r="G455" s="7"/>
      <c r="H455" s="7" t="s">
        <v>548</v>
      </c>
      <c r="I455" s="7" t="s">
        <v>546</v>
      </c>
      <c r="J455" s="21" t="n">
        <f aca="false">D455/(D455+E455)</f>
        <v>0.590062111801242</v>
      </c>
      <c r="K455" s="3" t="n">
        <f aca="false">IF(D455&gt;E455,1,0)</f>
        <v>1</v>
      </c>
      <c r="L455" s="3" t="n">
        <f aca="false">IF(OR(F455="Y",G455="Y",H455="Y"),1,0)</f>
        <v>1</v>
      </c>
      <c r="M455" s="3" t="n">
        <f aca="false">IF(H455="Y",1,0)</f>
        <v>1</v>
      </c>
      <c r="N455" s="3" t="n">
        <f aca="false">IF(I455="Y",1,0)</f>
        <v>0</v>
      </c>
    </row>
    <row r="456" customFormat="false" ht="15" hidden="false" customHeight="true" outlineLevel="0" collapsed="false">
      <c r="A456" s="7" t="s">
        <v>64</v>
      </c>
      <c r="B456" s="7" t="n">
        <v>1987</v>
      </c>
      <c r="C456" s="7" t="s">
        <v>365</v>
      </c>
      <c r="D456" s="7" t="n">
        <v>78</v>
      </c>
      <c r="E456" s="7" t="n">
        <v>84</v>
      </c>
      <c r="F456" s="7" t="s">
        <v>546</v>
      </c>
      <c r="G456" s="7"/>
      <c r="H456" s="7" t="s">
        <v>546</v>
      </c>
      <c r="I456" s="7" t="s">
        <v>546</v>
      </c>
      <c r="J456" s="21" t="n">
        <f aca="false">D456/(D456+E456)</f>
        <v>0.481481481481481</v>
      </c>
      <c r="K456" s="3" t="n">
        <f aca="false">IF(D456&gt;E456,1,0)</f>
        <v>0</v>
      </c>
      <c r="L456" s="3" t="n">
        <f aca="false">IF(OR(F456="Y",G456="Y",H456="Y"),1,0)</f>
        <v>0</v>
      </c>
      <c r="M456" s="3" t="n">
        <f aca="false">IF(H456="Y",1,0)</f>
        <v>0</v>
      </c>
      <c r="N456" s="3" t="n">
        <f aca="false">IF(I456="Y",1,0)</f>
        <v>0</v>
      </c>
    </row>
    <row r="457" customFormat="false" ht="15" hidden="false" customHeight="true" outlineLevel="0" collapsed="false">
      <c r="A457" s="7" t="s">
        <v>64</v>
      </c>
      <c r="B457" s="7" t="n">
        <v>1988</v>
      </c>
      <c r="C457" s="7" t="s">
        <v>365</v>
      </c>
      <c r="D457" s="7" t="n">
        <v>89</v>
      </c>
      <c r="E457" s="7" t="n">
        <v>73</v>
      </c>
      <c r="F457" s="7" t="s">
        <v>548</v>
      </c>
      <c r="G457" s="7"/>
      <c r="H457" s="7" t="s">
        <v>546</v>
      </c>
      <c r="I457" s="7" t="s">
        <v>546</v>
      </c>
      <c r="J457" s="21" t="n">
        <f aca="false">D457/(D457+E457)</f>
        <v>0.549382716049383</v>
      </c>
      <c r="K457" s="3" t="n">
        <f aca="false">IF(D457&gt;E457,1,0)</f>
        <v>1</v>
      </c>
      <c r="L457" s="3" t="n">
        <f aca="false">IF(OR(F457="Y",G457="Y",H457="Y"),1,0)</f>
        <v>1</v>
      </c>
      <c r="M457" s="3" t="n">
        <f aca="false">IF(H457="Y",1,0)</f>
        <v>0</v>
      </c>
      <c r="N457" s="3" t="n">
        <f aca="false">IF(I457="Y",1,0)</f>
        <v>0</v>
      </c>
    </row>
    <row r="458" customFormat="false" ht="15" hidden="false" customHeight="true" outlineLevel="0" collapsed="false">
      <c r="A458" s="7" t="s">
        <v>64</v>
      </c>
      <c r="B458" s="7" t="n">
        <v>1989</v>
      </c>
      <c r="C458" s="7" t="s">
        <v>365</v>
      </c>
      <c r="D458" s="7" t="n">
        <v>83</v>
      </c>
      <c r="E458" s="7" t="n">
        <v>79</v>
      </c>
      <c r="F458" s="7" t="s">
        <v>546</v>
      </c>
      <c r="G458" s="7"/>
      <c r="H458" s="7" t="s">
        <v>546</v>
      </c>
      <c r="I458" s="7" t="s">
        <v>546</v>
      </c>
      <c r="J458" s="21" t="n">
        <f aca="false">D458/(D458+E458)</f>
        <v>0.512345679012346</v>
      </c>
      <c r="K458" s="3" t="n">
        <f aca="false">IF(D458&gt;E458,1,0)</f>
        <v>1</v>
      </c>
      <c r="L458" s="3" t="n">
        <f aca="false">IF(OR(F458="Y",G458="Y",H458="Y"),1,0)</f>
        <v>0</v>
      </c>
      <c r="M458" s="3" t="n">
        <f aca="false">IF(H458="Y",1,0)</f>
        <v>0</v>
      </c>
      <c r="N458" s="3" t="n">
        <f aca="false">IF(I458="Y",1,0)</f>
        <v>0</v>
      </c>
    </row>
    <row r="459" customFormat="false" ht="15" hidden="false" customHeight="true" outlineLevel="0" collapsed="false">
      <c r="A459" s="7" t="s">
        <v>64</v>
      </c>
      <c r="B459" s="7" t="n">
        <v>1990</v>
      </c>
      <c r="C459" s="7" t="s">
        <v>365</v>
      </c>
      <c r="D459" s="7" t="n">
        <v>88</v>
      </c>
      <c r="E459" s="7" t="n">
        <v>74</v>
      </c>
      <c r="F459" s="7" t="s">
        <v>548</v>
      </c>
      <c r="G459" s="7"/>
      <c r="H459" s="7" t="s">
        <v>546</v>
      </c>
      <c r="I459" s="7" t="s">
        <v>546</v>
      </c>
      <c r="J459" s="21" t="n">
        <f aca="false">D459/(D459+E459)</f>
        <v>0.54320987654321</v>
      </c>
      <c r="K459" s="3" t="n">
        <f aca="false">IF(D459&gt;E459,1,0)</f>
        <v>1</v>
      </c>
      <c r="L459" s="3" t="n">
        <f aca="false">IF(OR(F459="Y",G459="Y",H459="Y"),1,0)</f>
        <v>1</v>
      </c>
      <c r="M459" s="3" t="n">
        <f aca="false">IF(H459="Y",1,0)</f>
        <v>0</v>
      </c>
      <c r="N459" s="3" t="n">
        <f aca="false">IF(I459="Y",1,0)</f>
        <v>0</v>
      </c>
    </row>
    <row r="460" customFormat="false" ht="15" hidden="false" customHeight="true" outlineLevel="0" collapsed="false">
      <c r="A460" s="7" t="s">
        <v>64</v>
      </c>
      <c r="B460" s="7" t="n">
        <v>1991</v>
      </c>
      <c r="C460" s="7" t="s">
        <v>365</v>
      </c>
      <c r="D460" s="7" t="n">
        <v>84</v>
      </c>
      <c r="E460" s="7" t="n">
        <v>78</v>
      </c>
      <c r="F460" s="7" t="s">
        <v>546</v>
      </c>
      <c r="G460" s="7"/>
      <c r="H460" s="7" t="s">
        <v>546</v>
      </c>
      <c r="I460" s="7" t="s">
        <v>546</v>
      </c>
      <c r="J460" s="21" t="n">
        <f aca="false">D460/(D460+E460)</f>
        <v>0.518518518518519</v>
      </c>
      <c r="K460" s="3" t="n">
        <f aca="false">IF(D460&gt;E460,1,0)</f>
        <v>1</v>
      </c>
      <c r="L460" s="3" t="n">
        <f aca="false">IF(OR(F460="Y",G460="Y",H460="Y"),1,0)</f>
        <v>0</v>
      </c>
      <c r="M460" s="3" t="n">
        <f aca="false">IF(H460="Y",1,0)</f>
        <v>0</v>
      </c>
      <c r="N460" s="3" t="n">
        <f aca="false">IF(I460="Y",1,0)</f>
        <v>0</v>
      </c>
    </row>
    <row r="461" customFormat="false" ht="15" hidden="false" customHeight="true" outlineLevel="0" collapsed="false">
      <c r="A461" s="7" t="s">
        <v>64</v>
      </c>
      <c r="B461" s="7" t="n">
        <v>1992</v>
      </c>
      <c r="C461" s="7" t="s">
        <v>365</v>
      </c>
      <c r="D461" s="7" t="n">
        <v>73</v>
      </c>
      <c r="E461" s="7" t="n">
        <v>89</v>
      </c>
      <c r="F461" s="7" t="s">
        <v>546</v>
      </c>
      <c r="G461" s="7"/>
      <c r="H461" s="7" t="s">
        <v>546</v>
      </c>
      <c r="I461" s="7" t="s">
        <v>546</v>
      </c>
      <c r="J461" s="21" t="n">
        <f aca="false">D461/(D461+E461)</f>
        <v>0.450617283950617</v>
      </c>
      <c r="K461" s="3" t="n">
        <f aca="false">IF(D461&gt;E461,1,0)</f>
        <v>0</v>
      </c>
      <c r="L461" s="3" t="n">
        <f aca="false">IF(OR(F461="Y",G461="Y",H461="Y"),1,0)</f>
        <v>0</v>
      </c>
      <c r="M461" s="3" t="n">
        <f aca="false">IF(H461="Y",1,0)</f>
        <v>0</v>
      </c>
      <c r="N461" s="3" t="n">
        <f aca="false">IF(I461="Y",1,0)</f>
        <v>0</v>
      </c>
    </row>
    <row r="462" customFormat="false" ht="15" hidden="false" customHeight="true" outlineLevel="0" collapsed="false">
      <c r="A462" s="7" t="s">
        <v>64</v>
      </c>
      <c r="B462" s="7" t="n">
        <v>1993</v>
      </c>
      <c r="C462" s="7" t="s">
        <v>365</v>
      </c>
      <c r="D462" s="7" t="n">
        <v>80</v>
      </c>
      <c r="E462" s="7" t="n">
        <v>82</v>
      </c>
      <c r="F462" s="7" t="s">
        <v>546</v>
      </c>
      <c r="G462" s="7"/>
      <c r="H462" s="7" t="s">
        <v>546</v>
      </c>
      <c r="I462" s="7" t="s">
        <v>546</v>
      </c>
      <c r="J462" s="21" t="n">
        <f aca="false">D462/(D462+E462)</f>
        <v>0.493827160493827</v>
      </c>
      <c r="K462" s="3" t="n">
        <f aca="false">IF(D462&gt;E462,1,0)</f>
        <v>0</v>
      </c>
      <c r="L462" s="3" t="n">
        <f aca="false">IF(OR(F462="Y",G462="Y",H462="Y"),1,0)</f>
        <v>0</v>
      </c>
      <c r="M462" s="3" t="n">
        <f aca="false">IF(H462="Y",1,0)</f>
        <v>0</v>
      </c>
      <c r="N462" s="3" t="n">
        <f aca="false">IF(I462="Y",1,0)</f>
        <v>0</v>
      </c>
    </row>
    <row r="463" customFormat="false" ht="15" hidden="false" customHeight="true" outlineLevel="0" collapsed="false">
      <c r="A463" s="7" t="s">
        <v>64</v>
      </c>
      <c r="B463" s="7" t="n">
        <v>1994</v>
      </c>
      <c r="C463" s="7" t="s">
        <v>365</v>
      </c>
      <c r="D463" s="7" t="n">
        <v>54</v>
      </c>
      <c r="E463" s="7" t="n">
        <v>61</v>
      </c>
      <c r="F463" s="7"/>
      <c r="G463" s="7"/>
      <c r="H463" s="7"/>
      <c r="I463" s="7"/>
      <c r="J463" s="21" t="n">
        <f aca="false">D463/(D463+E463)</f>
        <v>0.469565217391304</v>
      </c>
      <c r="K463" s="3" t="n">
        <f aca="false">IF(D463&gt;E463,1,0)</f>
        <v>0</v>
      </c>
      <c r="L463" s="3" t="n">
        <f aca="false">IF(OR(F463="Y",G463="Y",H463="Y"),1,0)</f>
        <v>0</v>
      </c>
      <c r="M463" s="3" t="n">
        <f aca="false">IF(H463="Y",1,0)</f>
        <v>0</v>
      </c>
      <c r="N463" s="3" t="n">
        <f aca="false">IF(I463="Y",1,0)</f>
        <v>0</v>
      </c>
    </row>
    <row r="464" customFormat="false" ht="15" hidden="false" customHeight="true" outlineLevel="0" collapsed="false">
      <c r="A464" s="7" t="s">
        <v>64</v>
      </c>
      <c r="B464" s="7" t="n">
        <v>1995</v>
      </c>
      <c r="C464" s="7" t="s">
        <v>365</v>
      </c>
      <c r="D464" s="7" t="n">
        <v>86</v>
      </c>
      <c r="E464" s="7" t="n">
        <v>58</v>
      </c>
      <c r="F464" s="7" t="s">
        <v>548</v>
      </c>
      <c r="G464" s="7" t="s">
        <v>546</v>
      </c>
      <c r="H464" s="7" t="s">
        <v>546</v>
      </c>
      <c r="I464" s="7" t="s">
        <v>546</v>
      </c>
      <c r="J464" s="21" t="n">
        <f aca="false">D464/(D464+E464)</f>
        <v>0.597222222222222</v>
      </c>
      <c r="K464" s="3" t="n">
        <f aca="false">IF(D464&gt;E464,1,0)</f>
        <v>1</v>
      </c>
      <c r="L464" s="3" t="n">
        <f aca="false">IF(OR(F464="Y",G464="Y",H464="Y"),1,0)</f>
        <v>1</v>
      </c>
      <c r="M464" s="3" t="n">
        <f aca="false">IF(H464="Y",1,0)</f>
        <v>0</v>
      </c>
      <c r="N464" s="3" t="n">
        <f aca="false">IF(I464="Y",1,0)</f>
        <v>0</v>
      </c>
    </row>
    <row r="465" customFormat="false" ht="15" hidden="false" customHeight="true" outlineLevel="0" collapsed="false">
      <c r="A465" s="7" t="s">
        <v>64</v>
      </c>
      <c r="B465" s="7" t="n">
        <v>1996</v>
      </c>
      <c r="C465" s="7" t="s">
        <v>365</v>
      </c>
      <c r="D465" s="7" t="n">
        <v>85</v>
      </c>
      <c r="E465" s="7" t="n">
        <v>77</v>
      </c>
      <c r="F465" s="7" t="s">
        <v>546</v>
      </c>
      <c r="G465" s="7" t="s">
        <v>546</v>
      </c>
      <c r="H465" s="7" t="s">
        <v>546</v>
      </c>
      <c r="I465" s="7" t="s">
        <v>546</v>
      </c>
      <c r="J465" s="21" t="n">
        <f aca="false">D465/(D465+E465)</f>
        <v>0.524691358024691</v>
      </c>
      <c r="K465" s="3" t="n">
        <f aca="false">IF(D465&gt;E465,1,0)</f>
        <v>1</v>
      </c>
      <c r="L465" s="3" t="n">
        <f aca="false">IF(OR(F465="Y",G465="Y",H465="Y"),1,0)</f>
        <v>0</v>
      </c>
      <c r="M465" s="3" t="n">
        <f aca="false">IF(H465="Y",1,0)</f>
        <v>0</v>
      </c>
      <c r="N465" s="3" t="n">
        <f aca="false">IF(I465="Y",1,0)</f>
        <v>0</v>
      </c>
    </row>
    <row r="466" customFormat="false" ht="15" hidden="false" customHeight="true" outlineLevel="0" collapsed="false">
      <c r="A466" s="7" t="s">
        <v>64</v>
      </c>
      <c r="B466" s="7" t="n">
        <v>1997</v>
      </c>
      <c r="C466" s="7" t="s">
        <v>365</v>
      </c>
      <c r="D466" s="7" t="n">
        <v>78</v>
      </c>
      <c r="E466" s="7" t="n">
        <v>84</v>
      </c>
      <c r="F466" s="7" t="s">
        <v>546</v>
      </c>
      <c r="G466" s="7" t="s">
        <v>546</v>
      </c>
      <c r="H466" s="7" t="s">
        <v>546</v>
      </c>
      <c r="I466" s="7" t="s">
        <v>546</v>
      </c>
      <c r="J466" s="21" t="n">
        <f aca="false">D466/(D466+E466)</f>
        <v>0.481481481481481</v>
      </c>
      <c r="K466" s="3" t="n">
        <f aca="false">IF(D466&gt;E466,1,0)</f>
        <v>0</v>
      </c>
      <c r="L466" s="3" t="n">
        <f aca="false">IF(OR(F466="Y",G466="Y",H466="Y"),1,0)</f>
        <v>0</v>
      </c>
      <c r="M466" s="3" t="n">
        <f aca="false">IF(H466="Y",1,0)</f>
        <v>0</v>
      </c>
      <c r="N466" s="3" t="n">
        <f aca="false">IF(I466="Y",1,0)</f>
        <v>0</v>
      </c>
    </row>
    <row r="467" customFormat="false" ht="15" hidden="false" customHeight="true" outlineLevel="0" collapsed="false">
      <c r="A467" s="7" t="s">
        <v>64</v>
      </c>
      <c r="B467" s="7" t="n">
        <v>1998</v>
      </c>
      <c r="C467" s="7" t="s">
        <v>365</v>
      </c>
      <c r="D467" s="7" t="n">
        <v>92</v>
      </c>
      <c r="E467" s="7" t="n">
        <v>70</v>
      </c>
      <c r="F467" s="7" t="s">
        <v>546</v>
      </c>
      <c r="G467" s="7" t="s">
        <v>548</v>
      </c>
      <c r="H467" s="7" t="s">
        <v>546</v>
      </c>
      <c r="I467" s="7" t="s">
        <v>546</v>
      </c>
      <c r="J467" s="21" t="n">
        <f aca="false">D467/(D467+E467)</f>
        <v>0.567901234567901</v>
      </c>
      <c r="K467" s="3" t="n">
        <f aca="false">IF(D467&gt;E467,1,0)</f>
        <v>1</v>
      </c>
      <c r="L467" s="3" t="n">
        <f aca="false">IF(OR(F467="Y",G467="Y",H467="Y"),1,0)</f>
        <v>1</v>
      </c>
      <c r="M467" s="3" t="n">
        <f aca="false">IF(H467="Y",1,0)</f>
        <v>0</v>
      </c>
      <c r="N467" s="3" t="n">
        <f aca="false">IF(I467="Y",1,0)</f>
        <v>0</v>
      </c>
    </row>
    <row r="468" customFormat="false" ht="15" hidden="false" customHeight="true" outlineLevel="0" collapsed="false">
      <c r="A468" s="7" t="s">
        <v>64</v>
      </c>
      <c r="B468" s="7" t="n">
        <v>1999</v>
      </c>
      <c r="C468" s="7" t="s">
        <v>365</v>
      </c>
      <c r="D468" s="7" t="n">
        <v>94</v>
      </c>
      <c r="E468" s="7" t="n">
        <v>68</v>
      </c>
      <c r="F468" s="7" t="s">
        <v>546</v>
      </c>
      <c r="G468" s="7" t="s">
        <v>548</v>
      </c>
      <c r="H468" s="7" t="s">
        <v>546</v>
      </c>
      <c r="I468" s="7" t="s">
        <v>546</v>
      </c>
      <c r="J468" s="21" t="n">
        <f aca="false">D468/(D468+E468)</f>
        <v>0.580246913580247</v>
      </c>
      <c r="K468" s="3" t="n">
        <f aca="false">IF(D468&gt;E468,1,0)</f>
        <v>1</v>
      </c>
      <c r="L468" s="3" t="n">
        <f aca="false">IF(OR(F468="Y",G468="Y",H468="Y"),1,0)</f>
        <v>1</v>
      </c>
      <c r="M468" s="3" t="n">
        <f aca="false">IF(H468="Y",1,0)</f>
        <v>0</v>
      </c>
      <c r="N468" s="3" t="n">
        <f aca="false">IF(I468="Y",1,0)</f>
        <v>0</v>
      </c>
    </row>
    <row r="469" customFormat="false" ht="15" hidden="false" customHeight="true" outlineLevel="0" collapsed="false">
      <c r="A469" s="7" t="s">
        <v>64</v>
      </c>
      <c r="B469" s="7" t="n">
        <v>2000</v>
      </c>
      <c r="C469" s="7" t="s">
        <v>365</v>
      </c>
      <c r="D469" s="7" t="n">
        <v>85</v>
      </c>
      <c r="E469" s="7" t="n">
        <v>77</v>
      </c>
      <c r="F469" s="7" t="s">
        <v>546</v>
      </c>
      <c r="G469" s="7" t="s">
        <v>546</v>
      </c>
      <c r="H469" s="7" t="s">
        <v>546</v>
      </c>
      <c r="I469" s="7" t="s">
        <v>546</v>
      </c>
      <c r="J469" s="21" t="n">
        <f aca="false">D469/(D469+E469)</f>
        <v>0.524691358024691</v>
      </c>
      <c r="K469" s="3" t="n">
        <f aca="false">IF(D469&gt;E469,1,0)</f>
        <v>1</v>
      </c>
      <c r="L469" s="3" t="n">
        <f aca="false">IF(OR(F469="Y",G469="Y",H469="Y"),1,0)</f>
        <v>0</v>
      </c>
      <c r="M469" s="3" t="n">
        <f aca="false">IF(H469="Y",1,0)</f>
        <v>0</v>
      </c>
      <c r="N469" s="3" t="n">
        <f aca="false">IF(I469="Y",1,0)</f>
        <v>0</v>
      </c>
    </row>
    <row r="470" customFormat="false" ht="15" hidden="false" customHeight="true" outlineLevel="0" collapsed="false">
      <c r="A470" s="7" t="s">
        <v>64</v>
      </c>
      <c r="B470" s="7" t="n">
        <v>2001</v>
      </c>
      <c r="C470" s="7" t="s">
        <v>365</v>
      </c>
      <c r="D470" s="7" t="n">
        <v>82</v>
      </c>
      <c r="E470" s="7" t="n">
        <v>79</v>
      </c>
      <c r="F470" s="7" t="s">
        <v>546</v>
      </c>
      <c r="G470" s="7" t="s">
        <v>546</v>
      </c>
      <c r="H470" s="7" t="s">
        <v>546</v>
      </c>
      <c r="I470" s="7" t="s">
        <v>546</v>
      </c>
      <c r="J470" s="21" t="n">
        <f aca="false">D470/(D470+E470)</f>
        <v>0.509316770186335</v>
      </c>
      <c r="K470" s="3" t="n">
        <f aca="false">IF(D470&gt;E470,1,0)</f>
        <v>1</v>
      </c>
      <c r="L470" s="3" t="n">
        <f aca="false">IF(OR(F470="Y",G470="Y",H470="Y"),1,0)</f>
        <v>0</v>
      </c>
      <c r="M470" s="3" t="n">
        <f aca="false">IF(H470="Y",1,0)</f>
        <v>0</v>
      </c>
      <c r="N470" s="3" t="n">
        <f aca="false">IF(I470="Y",1,0)</f>
        <v>0</v>
      </c>
    </row>
    <row r="471" customFormat="false" ht="15" hidden="false" customHeight="true" outlineLevel="0" collapsed="false">
      <c r="A471" s="7" t="s">
        <v>64</v>
      </c>
      <c r="B471" s="7" t="n">
        <v>2002</v>
      </c>
      <c r="C471" s="7" t="s">
        <v>365</v>
      </c>
      <c r="D471" s="7" t="n">
        <v>93</v>
      </c>
      <c r="E471" s="7" t="n">
        <v>69</v>
      </c>
      <c r="F471" s="7" t="s">
        <v>546</v>
      </c>
      <c r="G471" s="7" t="s">
        <v>546</v>
      </c>
      <c r="H471" s="7" t="s">
        <v>546</v>
      </c>
      <c r="I471" s="7" t="s">
        <v>546</v>
      </c>
      <c r="J471" s="21" t="n">
        <f aca="false">D471/(D471+E471)</f>
        <v>0.574074074074074</v>
      </c>
      <c r="K471" s="3" t="n">
        <f aca="false">IF(D471&gt;E471,1,0)</f>
        <v>1</v>
      </c>
      <c r="L471" s="3" t="n">
        <f aca="false">IF(OR(F471="Y",G471="Y",H471="Y"),1,0)</f>
        <v>0</v>
      </c>
      <c r="M471" s="3" t="n">
        <f aca="false">IF(H471="Y",1,0)</f>
        <v>0</v>
      </c>
      <c r="N471" s="3" t="n">
        <f aca="false">IF(I471="Y",1,0)</f>
        <v>0</v>
      </c>
    </row>
    <row r="472" customFormat="false" ht="15" hidden="false" customHeight="true" outlineLevel="0" collapsed="false">
      <c r="A472" s="7" t="s">
        <v>64</v>
      </c>
      <c r="B472" s="7" t="n">
        <v>2003</v>
      </c>
      <c r="C472" s="7" t="s">
        <v>365</v>
      </c>
      <c r="D472" s="7" t="n">
        <v>95</v>
      </c>
      <c r="E472" s="7" t="n">
        <v>67</v>
      </c>
      <c r="F472" s="7" t="s">
        <v>546</v>
      </c>
      <c r="G472" s="7" t="s">
        <v>548</v>
      </c>
      <c r="H472" s="7" t="s">
        <v>546</v>
      </c>
      <c r="I472" s="7" t="s">
        <v>546</v>
      </c>
      <c r="J472" s="21" t="n">
        <f aca="false">D472/(D472+E472)</f>
        <v>0.58641975308642</v>
      </c>
      <c r="K472" s="3" t="n">
        <f aca="false">IF(D472&gt;E472,1,0)</f>
        <v>1</v>
      </c>
      <c r="L472" s="3" t="n">
        <f aca="false">IF(OR(F472="Y",G472="Y",H472="Y"),1,0)</f>
        <v>1</v>
      </c>
      <c r="M472" s="3" t="n">
        <f aca="false">IF(H472="Y",1,0)</f>
        <v>0</v>
      </c>
      <c r="N472" s="3" t="n">
        <f aca="false">IF(I472="Y",1,0)</f>
        <v>0</v>
      </c>
    </row>
    <row r="473" customFormat="false" ht="15" hidden="false" customHeight="true" outlineLevel="0" collapsed="false">
      <c r="A473" s="7" t="s">
        <v>64</v>
      </c>
      <c r="B473" s="7" t="n">
        <v>2004</v>
      </c>
      <c r="C473" s="7" t="s">
        <v>365</v>
      </c>
      <c r="D473" s="7" t="n">
        <v>98</v>
      </c>
      <c r="E473" s="7" t="n">
        <v>64</v>
      </c>
      <c r="F473" s="7" t="s">
        <v>546</v>
      </c>
      <c r="G473" s="7" t="s">
        <v>548</v>
      </c>
      <c r="H473" s="7" t="s">
        <v>548</v>
      </c>
      <c r="I473" s="7" t="s">
        <v>548</v>
      </c>
      <c r="J473" s="21" t="n">
        <f aca="false">D473/(D473+E473)</f>
        <v>0.604938271604938</v>
      </c>
      <c r="K473" s="3" t="n">
        <f aca="false">IF(D473&gt;E473,1,0)</f>
        <v>1</v>
      </c>
      <c r="L473" s="3" t="n">
        <f aca="false">IF(OR(F473="Y",G473="Y",H473="Y"),1,0)</f>
        <v>1</v>
      </c>
      <c r="M473" s="3" t="n">
        <f aca="false">IF(H473="Y",1,0)</f>
        <v>1</v>
      </c>
      <c r="N473" s="3" t="n">
        <f aca="false">IF(I473="Y",1,0)</f>
        <v>1</v>
      </c>
    </row>
    <row r="474" customFormat="false" ht="15" hidden="false" customHeight="true" outlineLevel="0" collapsed="false">
      <c r="A474" s="7" t="s">
        <v>64</v>
      </c>
      <c r="B474" s="7" t="n">
        <v>2005</v>
      </c>
      <c r="C474" s="7" t="s">
        <v>365</v>
      </c>
      <c r="D474" s="7" t="n">
        <v>95</v>
      </c>
      <c r="E474" s="7" t="n">
        <v>67</v>
      </c>
      <c r="F474" s="7" t="s">
        <v>546</v>
      </c>
      <c r="G474" s="7" t="s">
        <v>548</v>
      </c>
      <c r="H474" s="7" t="s">
        <v>546</v>
      </c>
      <c r="I474" s="7" t="s">
        <v>546</v>
      </c>
      <c r="J474" s="21" t="n">
        <f aca="false">D474/(D474+E474)</f>
        <v>0.58641975308642</v>
      </c>
      <c r="K474" s="3" t="n">
        <f aca="false">IF(D474&gt;E474,1,0)</f>
        <v>1</v>
      </c>
      <c r="L474" s="3" t="n">
        <f aca="false">IF(OR(F474="Y",G474="Y",H474="Y"),1,0)</f>
        <v>1</v>
      </c>
      <c r="M474" s="3" t="n">
        <f aca="false">IF(H474="Y",1,0)</f>
        <v>0</v>
      </c>
      <c r="N474" s="3" t="n">
        <f aca="false">IF(I474="Y",1,0)</f>
        <v>0</v>
      </c>
    </row>
    <row r="475" customFormat="false" ht="15" hidden="false" customHeight="true" outlineLevel="0" collapsed="false">
      <c r="A475" s="7" t="s">
        <v>64</v>
      </c>
      <c r="B475" s="7" t="n">
        <v>2006</v>
      </c>
      <c r="C475" s="7" t="s">
        <v>365</v>
      </c>
      <c r="D475" s="7" t="n">
        <v>86</v>
      </c>
      <c r="E475" s="7" t="n">
        <v>76</v>
      </c>
      <c r="F475" s="7" t="s">
        <v>546</v>
      </c>
      <c r="G475" s="7" t="s">
        <v>546</v>
      </c>
      <c r="H475" s="7" t="s">
        <v>546</v>
      </c>
      <c r="I475" s="7" t="s">
        <v>546</v>
      </c>
      <c r="J475" s="21" t="n">
        <f aca="false">D475/(D475+E475)</f>
        <v>0.530864197530864</v>
      </c>
      <c r="K475" s="3" t="n">
        <f aca="false">IF(D475&gt;E475,1,0)</f>
        <v>1</v>
      </c>
      <c r="L475" s="3" t="n">
        <f aca="false">IF(OR(F475="Y",G475="Y",H475="Y"),1,0)</f>
        <v>0</v>
      </c>
      <c r="M475" s="3" t="n">
        <f aca="false">IF(H475="Y",1,0)</f>
        <v>0</v>
      </c>
      <c r="N475" s="3" t="n">
        <f aca="false">IF(I475="Y",1,0)</f>
        <v>0</v>
      </c>
    </row>
    <row r="476" customFormat="false" ht="15" hidden="false" customHeight="true" outlineLevel="0" collapsed="false">
      <c r="A476" s="7" t="s">
        <v>64</v>
      </c>
      <c r="B476" s="7" t="n">
        <v>2007</v>
      </c>
      <c r="C476" s="7" t="s">
        <v>365</v>
      </c>
      <c r="D476" s="7" t="n">
        <v>96</v>
      </c>
      <c r="E476" s="7" t="n">
        <v>66</v>
      </c>
      <c r="F476" s="7" t="s">
        <v>548</v>
      </c>
      <c r="G476" s="7" t="s">
        <v>546</v>
      </c>
      <c r="H476" s="7" t="s">
        <v>548</v>
      </c>
      <c r="I476" s="7" t="s">
        <v>548</v>
      </c>
      <c r="J476" s="21" t="n">
        <f aca="false">D476/(D476+E476)</f>
        <v>0.592592592592593</v>
      </c>
      <c r="K476" s="3" t="n">
        <f aca="false">IF(D476&gt;E476,1,0)</f>
        <v>1</v>
      </c>
      <c r="L476" s="3" t="n">
        <f aca="false">IF(OR(F476="Y",G476="Y",H476="Y"),1,0)</f>
        <v>1</v>
      </c>
      <c r="M476" s="3" t="n">
        <f aca="false">IF(H476="Y",1,0)</f>
        <v>1</v>
      </c>
      <c r="N476" s="3" t="n">
        <f aca="false">IF(I476="Y",1,0)</f>
        <v>1</v>
      </c>
    </row>
    <row r="477" customFormat="false" ht="15" hidden="false" customHeight="true" outlineLevel="0" collapsed="false">
      <c r="A477" s="7" t="s">
        <v>64</v>
      </c>
      <c r="B477" s="7" t="n">
        <v>2008</v>
      </c>
      <c r="C477" s="7" t="s">
        <v>365</v>
      </c>
      <c r="D477" s="7" t="n">
        <v>95</v>
      </c>
      <c r="E477" s="7" t="n">
        <v>67</v>
      </c>
      <c r="F477" s="7" t="s">
        <v>546</v>
      </c>
      <c r="G477" s="7" t="s">
        <v>548</v>
      </c>
      <c r="H477" s="7" t="s">
        <v>546</v>
      </c>
      <c r="I477" s="7" t="s">
        <v>546</v>
      </c>
      <c r="J477" s="21" t="n">
        <f aca="false">D477/(D477+E477)</f>
        <v>0.58641975308642</v>
      </c>
      <c r="K477" s="3" t="n">
        <f aca="false">IF(D477&gt;E477,1,0)</f>
        <v>1</v>
      </c>
      <c r="L477" s="3" t="n">
        <f aca="false">IF(OR(F477="Y",G477="Y",H477="Y"),1,0)</f>
        <v>1</v>
      </c>
      <c r="M477" s="3" t="n">
        <f aca="false">IF(H477="Y",1,0)</f>
        <v>0</v>
      </c>
      <c r="N477" s="3" t="n">
        <f aca="false">IF(I477="Y",1,0)</f>
        <v>0</v>
      </c>
    </row>
    <row r="478" customFormat="false" ht="15" hidden="false" customHeight="true" outlineLevel="0" collapsed="false">
      <c r="A478" s="7" t="s">
        <v>64</v>
      </c>
      <c r="B478" s="7" t="n">
        <v>2009</v>
      </c>
      <c r="C478" s="7" t="s">
        <v>365</v>
      </c>
      <c r="D478" s="7" t="n">
        <v>95</v>
      </c>
      <c r="E478" s="7" t="n">
        <v>67</v>
      </c>
      <c r="F478" s="7" t="s">
        <v>546</v>
      </c>
      <c r="G478" s="7" t="s">
        <v>548</v>
      </c>
      <c r="H478" s="7" t="s">
        <v>546</v>
      </c>
      <c r="I478" s="7" t="s">
        <v>546</v>
      </c>
      <c r="J478" s="21" t="n">
        <f aca="false">D478/(D478+E478)</f>
        <v>0.58641975308642</v>
      </c>
      <c r="K478" s="3" t="n">
        <f aca="false">IF(D478&gt;E478,1,0)</f>
        <v>1</v>
      </c>
      <c r="L478" s="3" t="n">
        <f aca="false">IF(OR(F478="Y",G478="Y",H478="Y"),1,0)</f>
        <v>1</v>
      </c>
      <c r="M478" s="3" t="n">
        <f aca="false">IF(H478="Y",1,0)</f>
        <v>0</v>
      </c>
      <c r="N478" s="3" t="n">
        <f aca="false">IF(I478="Y",1,0)</f>
        <v>0</v>
      </c>
    </row>
    <row r="479" customFormat="false" ht="15" hidden="false" customHeight="true" outlineLevel="0" collapsed="false">
      <c r="A479" s="7" t="s">
        <v>64</v>
      </c>
      <c r="B479" s="7" t="n">
        <v>2010</v>
      </c>
      <c r="C479" s="7" t="s">
        <v>365</v>
      </c>
      <c r="D479" s="7" t="n">
        <v>89</v>
      </c>
      <c r="E479" s="7" t="n">
        <v>73</v>
      </c>
      <c r="F479" s="7" t="s">
        <v>546</v>
      </c>
      <c r="G479" s="7" t="s">
        <v>546</v>
      </c>
      <c r="H479" s="7" t="s">
        <v>546</v>
      </c>
      <c r="I479" s="7" t="s">
        <v>546</v>
      </c>
      <c r="J479" s="21" t="n">
        <f aca="false">D479/(D479+E479)</f>
        <v>0.549382716049383</v>
      </c>
      <c r="K479" s="3" t="n">
        <f aca="false">IF(D479&gt;E479,1,0)</f>
        <v>1</v>
      </c>
      <c r="L479" s="3" t="n">
        <f aca="false">IF(OR(F479="Y",G479="Y",H479="Y"),1,0)</f>
        <v>0</v>
      </c>
      <c r="M479" s="3" t="n">
        <f aca="false">IF(H479="Y",1,0)</f>
        <v>0</v>
      </c>
      <c r="N479" s="3" t="n">
        <f aca="false">IF(I479="Y",1,0)</f>
        <v>0</v>
      </c>
    </row>
    <row r="480" customFormat="false" ht="15" hidden="false" customHeight="true" outlineLevel="0" collapsed="false">
      <c r="A480" s="7" t="s">
        <v>64</v>
      </c>
      <c r="B480" s="7" t="n">
        <v>2011</v>
      </c>
      <c r="C480" s="7" t="s">
        <v>365</v>
      </c>
      <c r="D480" s="7" t="n">
        <v>90</v>
      </c>
      <c r="E480" s="7" t="n">
        <v>72</v>
      </c>
      <c r="F480" s="7" t="s">
        <v>546</v>
      </c>
      <c r="G480" s="7" t="s">
        <v>546</v>
      </c>
      <c r="H480" s="7" t="s">
        <v>546</v>
      </c>
      <c r="I480" s="7" t="s">
        <v>546</v>
      </c>
      <c r="J480" s="21" t="n">
        <f aca="false">D480/(D480+E480)</f>
        <v>0.555555555555556</v>
      </c>
      <c r="K480" s="3" t="n">
        <f aca="false">IF(D480&gt;E480,1,0)</f>
        <v>1</v>
      </c>
      <c r="L480" s="3" t="n">
        <f aca="false">IF(OR(F480="Y",G480="Y",H480="Y"),1,0)</f>
        <v>0</v>
      </c>
      <c r="M480" s="3" t="n">
        <f aca="false">IF(H480="Y",1,0)</f>
        <v>0</v>
      </c>
      <c r="N480" s="3" t="n">
        <f aca="false">IF(I480="Y",1,0)</f>
        <v>0</v>
      </c>
    </row>
    <row r="481" customFormat="false" ht="15" hidden="false" customHeight="true" outlineLevel="0" collapsed="false">
      <c r="A481" s="7" t="s">
        <v>64</v>
      </c>
      <c r="B481" s="7" t="n">
        <v>2012</v>
      </c>
      <c r="C481" s="7" t="s">
        <v>365</v>
      </c>
      <c r="D481" s="7" t="n">
        <v>69</v>
      </c>
      <c r="E481" s="7" t="n">
        <v>93</v>
      </c>
      <c r="F481" s="7" t="s">
        <v>546</v>
      </c>
      <c r="G481" s="7" t="s">
        <v>546</v>
      </c>
      <c r="H481" s="7" t="s">
        <v>546</v>
      </c>
      <c r="I481" s="7" t="s">
        <v>546</v>
      </c>
      <c r="J481" s="21" t="n">
        <f aca="false">D481/(D481+E481)</f>
        <v>0.425925925925926</v>
      </c>
      <c r="K481" s="3" t="n">
        <f aca="false">IF(D481&gt;E481,1,0)</f>
        <v>0</v>
      </c>
      <c r="L481" s="3" t="n">
        <f aca="false">IF(OR(F481="Y",G481="Y",H481="Y"),1,0)</f>
        <v>0</v>
      </c>
      <c r="M481" s="3" t="n">
        <f aca="false">IF(H481="Y",1,0)</f>
        <v>0</v>
      </c>
      <c r="N481" s="3" t="n">
        <f aca="false">IF(I481="Y",1,0)</f>
        <v>0</v>
      </c>
    </row>
    <row r="482" customFormat="false" ht="15" hidden="false" customHeight="true" outlineLevel="0" collapsed="false">
      <c r="A482" s="7" t="s">
        <v>64</v>
      </c>
      <c r="B482" s="7" t="n">
        <v>2013</v>
      </c>
      <c r="C482" s="7" t="s">
        <v>365</v>
      </c>
      <c r="D482" s="7" t="n">
        <v>97</v>
      </c>
      <c r="E482" s="7" t="n">
        <v>65</v>
      </c>
      <c r="F482" s="7" t="s">
        <v>548</v>
      </c>
      <c r="G482" s="7" t="s">
        <v>546</v>
      </c>
      <c r="H482" s="7" t="s">
        <v>548</v>
      </c>
      <c r="I482" s="7" t="s">
        <v>548</v>
      </c>
      <c r="J482" s="21" t="n">
        <f aca="false">D482/(D482+E482)</f>
        <v>0.598765432098765</v>
      </c>
      <c r="K482" s="3" t="n">
        <f aca="false">IF(D482&gt;E482,1,0)</f>
        <v>1</v>
      </c>
      <c r="L482" s="3" t="n">
        <f aca="false">IF(OR(F482="Y",G482="Y",H482="Y"),1,0)</f>
        <v>1</v>
      </c>
      <c r="M482" s="3" t="n">
        <f aca="false">IF(H482="Y",1,0)</f>
        <v>1</v>
      </c>
      <c r="N482" s="3" t="n">
        <f aca="false">IF(I482="Y",1,0)</f>
        <v>1</v>
      </c>
    </row>
    <row r="483" customFormat="false" ht="15" hidden="false" customHeight="true" outlineLevel="0" collapsed="false">
      <c r="A483" s="7" t="s">
        <v>64</v>
      </c>
      <c r="B483" s="7" t="n">
        <v>2014</v>
      </c>
      <c r="C483" s="7" t="s">
        <v>365</v>
      </c>
      <c r="D483" s="7" t="n">
        <v>71</v>
      </c>
      <c r="E483" s="7" t="n">
        <v>91</v>
      </c>
      <c r="F483" s="7" t="s">
        <v>546</v>
      </c>
      <c r="G483" s="7" t="s">
        <v>546</v>
      </c>
      <c r="H483" s="7" t="s">
        <v>546</v>
      </c>
      <c r="I483" s="7" t="s">
        <v>546</v>
      </c>
      <c r="J483" s="21" t="n">
        <f aca="false">D483/(D483+E483)</f>
        <v>0.438271604938272</v>
      </c>
      <c r="K483" s="3" t="n">
        <f aca="false">IF(D483&gt;E483,1,0)</f>
        <v>0</v>
      </c>
      <c r="L483" s="3" t="n">
        <f aca="false">IF(OR(F483="Y",G483="Y",H483="Y"),1,0)</f>
        <v>0</v>
      </c>
      <c r="M483" s="3" t="n">
        <f aca="false">IF(H483="Y",1,0)</f>
        <v>0</v>
      </c>
      <c r="N483" s="3" t="n">
        <f aca="false">IF(I483="Y",1,0)</f>
        <v>0</v>
      </c>
    </row>
    <row r="484" customFormat="false" ht="15" hidden="false" customHeight="true" outlineLevel="0" collapsed="false">
      <c r="A484" s="7" t="s">
        <v>64</v>
      </c>
      <c r="B484" s="7" t="n">
        <v>2015</v>
      </c>
      <c r="C484" s="7" t="s">
        <v>365</v>
      </c>
      <c r="D484" s="7" t="n">
        <v>78</v>
      </c>
      <c r="E484" s="7" t="n">
        <v>84</v>
      </c>
      <c r="F484" s="7" t="s">
        <v>546</v>
      </c>
      <c r="G484" s="7" t="s">
        <v>546</v>
      </c>
      <c r="H484" s="7" t="s">
        <v>546</v>
      </c>
      <c r="I484" s="7" t="s">
        <v>546</v>
      </c>
      <c r="J484" s="21" t="n">
        <f aca="false">D484/(D484+E484)</f>
        <v>0.481481481481481</v>
      </c>
      <c r="K484" s="3" t="n">
        <f aca="false">IF(D484&gt;E484,1,0)</f>
        <v>0</v>
      </c>
      <c r="L484" s="3" t="n">
        <f aca="false">IF(OR(F484="Y",G484="Y",H484="Y"),1,0)</f>
        <v>0</v>
      </c>
      <c r="M484" s="3" t="n">
        <f aca="false">IF(H484="Y",1,0)</f>
        <v>0</v>
      </c>
      <c r="N484" s="3" t="n">
        <f aca="false">IF(I484="Y",1,0)</f>
        <v>0</v>
      </c>
    </row>
    <row r="485" customFormat="false" ht="15" hidden="false" customHeight="true" outlineLevel="0" collapsed="false">
      <c r="A485" s="7" t="s">
        <v>64</v>
      </c>
      <c r="B485" s="7" t="n">
        <v>2016</v>
      </c>
      <c r="C485" s="7" t="s">
        <v>365</v>
      </c>
      <c r="D485" s="7" t="n">
        <v>93</v>
      </c>
      <c r="E485" s="7" t="n">
        <v>69</v>
      </c>
      <c r="F485" s="7" t="s">
        <v>548</v>
      </c>
      <c r="G485" s="7" t="s">
        <v>546</v>
      </c>
      <c r="H485" s="7" t="s">
        <v>546</v>
      </c>
      <c r="I485" s="7" t="s">
        <v>546</v>
      </c>
      <c r="J485" s="21" t="n">
        <f aca="false">D485/(D485+E485)</f>
        <v>0.574074074074074</v>
      </c>
      <c r="K485" s="3" t="n">
        <f aca="false">IF(D485&gt;E485,1,0)</f>
        <v>1</v>
      </c>
      <c r="L485" s="3" t="n">
        <f aca="false">IF(OR(F485="Y",G485="Y",H485="Y"),1,0)</f>
        <v>1</v>
      </c>
      <c r="M485" s="3" t="n">
        <f aca="false">IF(H485="Y",1,0)</f>
        <v>0</v>
      </c>
      <c r="N485" s="3" t="n">
        <f aca="false">IF(I485="Y",1,0)</f>
        <v>0</v>
      </c>
    </row>
    <row r="486" customFormat="false" ht="15" hidden="false" customHeight="true" outlineLevel="0" collapsed="false">
      <c r="A486" s="7" t="s">
        <v>64</v>
      </c>
      <c r="B486" s="7" t="n">
        <v>2017</v>
      </c>
      <c r="C486" s="7" t="s">
        <v>365</v>
      </c>
      <c r="D486" s="7" t="n">
        <v>93</v>
      </c>
      <c r="E486" s="7" t="n">
        <v>69</v>
      </c>
      <c r="F486" s="7" t="s">
        <v>548</v>
      </c>
      <c r="G486" s="7" t="s">
        <v>546</v>
      </c>
      <c r="H486" s="7" t="s">
        <v>546</v>
      </c>
      <c r="I486" s="7" t="s">
        <v>546</v>
      </c>
      <c r="J486" s="21" t="n">
        <f aca="false">D486/(D486+E486)</f>
        <v>0.574074074074074</v>
      </c>
      <c r="K486" s="3" t="n">
        <f aca="false">IF(D486&gt;E486,1,0)</f>
        <v>1</v>
      </c>
      <c r="L486" s="3" t="n">
        <f aca="false">IF(OR(F486="Y",G486="Y",H486="Y"),1,0)</f>
        <v>1</v>
      </c>
      <c r="M486" s="3" t="n">
        <f aca="false">IF(H486="Y",1,0)</f>
        <v>0</v>
      </c>
      <c r="N486" s="3" t="n">
        <f aca="false">IF(I486="Y",1,0)</f>
        <v>0</v>
      </c>
    </row>
    <row r="487" customFormat="false" ht="15" hidden="false" customHeight="true" outlineLevel="0" collapsed="false">
      <c r="A487" s="7" t="s">
        <v>64</v>
      </c>
      <c r="B487" s="7" t="n">
        <v>2018</v>
      </c>
      <c r="C487" s="7" t="s">
        <v>365</v>
      </c>
      <c r="D487" s="7" t="n">
        <v>108</v>
      </c>
      <c r="E487" s="7" t="n">
        <v>54</v>
      </c>
      <c r="F487" s="7" t="s">
        <v>548</v>
      </c>
      <c r="G487" s="7" t="s">
        <v>546</v>
      </c>
      <c r="H487" s="7" t="s">
        <v>548</v>
      </c>
      <c r="I487" s="7" t="s">
        <v>548</v>
      </c>
      <c r="J487" s="21" t="n">
        <f aca="false">D487/(D487+E487)</f>
        <v>0.666666666666667</v>
      </c>
      <c r="K487" s="3" t="n">
        <f aca="false">IF(D487&gt;E487,1,0)</f>
        <v>1</v>
      </c>
      <c r="L487" s="3" t="n">
        <f aca="false">IF(OR(F487="Y",G487="Y",H487="Y"),1,0)</f>
        <v>1</v>
      </c>
      <c r="M487" s="3" t="n">
        <f aca="false">IF(H487="Y",1,0)</f>
        <v>1</v>
      </c>
      <c r="N487" s="3" t="n">
        <f aca="false">IF(I487="Y",1,0)</f>
        <v>1</v>
      </c>
    </row>
    <row r="488" customFormat="false" ht="15" hidden="false" customHeight="true" outlineLevel="0" collapsed="false">
      <c r="A488" s="7" t="s">
        <v>64</v>
      </c>
      <c r="B488" s="7" t="n">
        <v>2019</v>
      </c>
      <c r="C488" s="7" t="s">
        <v>365</v>
      </c>
      <c r="D488" s="7" t="n">
        <v>84</v>
      </c>
      <c r="E488" s="7" t="n">
        <v>78</v>
      </c>
      <c r="F488" s="7" t="s">
        <v>546</v>
      </c>
      <c r="G488" s="7" t="s">
        <v>546</v>
      </c>
      <c r="H488" s="7" t="s">
        <v>546</v>
      </c>
      <c r="I488" s="7" t="s">
        <v>546</v>
      </c>
      <c r="J488" s="21" t="n">
        <f aca="false">D488/(D488+E488)</f>
        <v>0.518518518518519</v>
      </c>
      <c r="K488" s="3" t="n">
        <f aca="false">IF(D488&gt;E488,1,0)</f>
        <v>1</v>
      </c>
      <c r="L488" s="3" t="n">
        <f aca="false">IF(OR(F488="Y",G488="Y",H488="Y"),1,0)</f>
        <v>0</v>
      </c>
      <c r="M488" s="3" t="n">
        <f aca="false">IF(H488="Y",1,0)</f>
        <v>0</v>
      </c>
      <c r="N488" s="3" t="n">
        <f aca="false">IF(I488="Y",1,0)</f>
        <v>0</v>
      </c>
    </row>
    <row r="489" customFormat="false" ht="15" hidden="false" customHeight="true" outlineLevel="0" collapsed="false">
      <c r="A489" s="7" t="s">
        <v>64</v>
      </c>
      <c r="B489" s="7" t="n">
        <v>2020</v>
      </c>
      <c r="C489" s="7" t="s">
        <v>365</v>
      </c>
      <c r="D489" s="7" t="n">
        <v>24</v>
      </c>
      <c r="E489" s="7" t="n">
        <v>36</v>
      </c>
      <c r="F489" s="7" t="s">
        <v>546</v>
      </c>
      <c r="G489" s="7" t="s">
        <v>546</v>
      </c>
      <c r="H489" s="7" t="s">
        <v>546</v>
      </c>
      <c r="I489" s="7" t="s">
        <v>546</v>
      </c>
      <c r="J489" s="21" t="n">
        <f aca="false">D489/(D489+E489)</f>
        <v>0.4</v>
      </c>
      <c r="K489" s="3" t="n">
        <f aca="false">IF(D489&gt;E489,1,0)</f>
        <v>0</v>
      </c>
      <c r="L489" s="3" t="n">
        <f aca="false">IF(OR(F489="Y",G489="Y",H489="Y"),1,0)</f>
        <v>0</v>
      </c>
      <c r="M489" s="3" t="n">
        <f aca="false">IF(H489="Y",1,0)</f>
        <v>0</v>
      </c>
      <c r="N489" s="3" t="n">
        <f aca="false">IF(I489="Y",1,0)</f>
        <v>0</v>
      </c>
    </row>
    <row r="490" customFormat="false" ht="15" hidden="false" customHeight="true" outlineLevel="0" collapsed="false">
      <c r="A490" s="7" t="s">
        <v>64</v>
      </c>
      <c r="B490" s="7" t="n">
        <v>2021</v>
      </c>
      <c r="C490" s="7" t="s">
        <v>365</v>
      </c>
      <c r="D490" s="7" t="n">
        <v>92</v>
      </c>
      <c r="E490" s="7" t="n">
        <v>70</v>
      </c>
      <c r="F490" s="7" t="s">
        <v>546</v>
      </c>
      <c r="G490" s="7" t="s">
        <v>548</v>
      </c>
      <c r="H490" s="7" t="s">
        <v>546</v>
      </c>
      <c r="I490" s="7" t="s">
        <v>546</v>
      </c>
      <c r="J490" s="21" t="n">
        <f aca="false">D490/(D490+E490)</f>
        <v>0.567901234567901</v>
      </c>
      <c r="K490" s="3" t="n">
        <f aca="false">IF(D490&gt;E490,1,0)</f>
        <v>1</v>
      </c>
      <c r="L490" s="3" t="n">
        <f aca="false">IF(OR(F490="Y",G490="Y",H490="Y"),1,0)</f>
        <v>1</v>
      </c>
      <c r="M490" s="3" t="n">
        <f aca="false">IF(H490="Y",1,0)</f>
        <v>0</v>
      </c>
      <c r="N490" s="3" t="n">
        <f aca="false">IF(I490="Y",1,0)</f>
        <v>0</v>
      </c>
    </row>
    <row r="491" customFormat="false" ht="15" hidden="false" customHeight="true" outlineLevel="0" collapsed="false">
      <c r="A491" s="7" t="s">
        <v>64</v>
      </c>
      <c r="B491" s="7" t="n">
        <v>2022</v>
      </c>
      <c r="C491" s="7" t="s">
        <v>365</v>
      </c>
      <c r="D491" s="7" t="n">
        <v>78</v>
      </c>
      <c r="E491" s="7" t="n">
        <v>84</v>
      </c>
      <c r="F491" s="7" t="s">
        <v>546</v>
      </c>
      <c r="G491" s="7" t="s">
        <v>546</v>
      </c>
      <c r="H491" s="7" t="s">
        <v>546</v>
      </c>
      <c r="I491" s="7" t="s">
        <v>546</v>
      </c>
      <c r="J491" s="21" t="n">
        <f aca="false">D491/(D491+E491)</f>
        <v>0.481481481481481</v>
      </c>
      <c r="K491" s="3" t="n">
        <f aca="false">IF(D491&gt;E491,1,0)</f>
        <v>0</v>
      </c>
      <c r="L491" s="3" t="n">
        <f aca="false">IF(OR(F491="Y",G491="Y",H491="Y"),1,0)</f>
        <v>0</v>
      </c>
      <c r="M491" s="3" t="n">
        <f aca="false">IF(H491="Y",1,0)</f>
        <v>0</v>
      </c>
      <c r="N491" s="3" t="n">
        <f aca="false">IF(I491="Y",1,0)</f>
        <v>0</v>
      </c>
    </row>
    <row r="492" customFormat="false" ht="15" hidden="false" customHeight="true" outlineLevel="0" collapsed="false">
      <c r="A492" s="7" t="s">
        <v>64</v>
      </c>
      <c r="B492" s="7" t="n">
        <v>2023</v>
      </c>
      <c r="C492" s="7" t="s">
        <v>365</v>
      </c>
      <c r="D492" s="7" t="n">
        <v>78</v>
      </c>
      <c r="E492" s="7" t="n">
        <v>84</v>
      </c>
      <c r="F492" s="7" t="s">
        <v>546</v>
      </c>
      <c r="G492" s="7" t="s">
        <v>546</v>
      </c>
      <c r="H492" s="7" t="s">
        <v>546</v>
      </c>
      <c r="I492" s="7" t="s">
        <v>546</v>
      </c>
      <c r="J492" s="21" t="n">
        <f aca="false">D492/(D492+E492)</f>
        <v>0.481481481481481</v>
      </c>
      <c r="K492" s="3" t="n">
        <f aca="false">IF(D492&gt;E492,1,0)</f>
        <v>0</v>
      </c>
      <c r="L492" s="3" t="n">
        <f aca="false">IF(OR(F492="Y",G492="Y",H492="Y"),1,0)</f>
        <v>0</v>
      </c>
      <c r="M492" s="3" t="n">
        <f aca="false">IF(H492="Y",1,0)</f>
        <v>0</v>
      </c>
      <c r="N492" s="3" t="n">
        <f aca="false">IF(I492="Y",1,0)</f>
        <v>0</v>
      </c>
    </row>
    <row r="493" customFormat="false" ht="15" hidden="false" customHeight="true" outlineLevel="0" collapsed="false">
      <c r="A493" s="7" t="s">
        <v>64</v>
      </c>
      <c r="B493" s="7" t="n">
        <v>2024</v>
      </c>
      <c r="C493" s="7" t="s">
        <v>365</v>
      </c>
      <c r="D493" s="7" t="n">
        <v>81</v>
      </c>
      <c r="E493" s="7" t="n">
        <v>81</v>
      </c>
      <c r="F493" s="7" t="s">
        <v>546</v>
      </c>
      <c r="G493" s="7" t="s">
        <v>546</v>
      </c>
      <c r="H493" s="7" t="s">
        <v>546</v>
      </c>
      <c r="I493" s="7" t="s">
        <v>546</v>
      </c>
      <c r="J493" s="21" t="n">
        <f aca="false">D493/(D493+E493)</f>
        <v>0.5</v>
      </c>
      <c r="K493" s="3" t="n">
        <f aca="false">IF(D493&gt;E493,1,0)</f>
        <v>0</v>
      </c>
      <c r="L493" s="3" t="n">
        <f aca="false">IF(OR(F493="Y",G493="Y",H493="Y"),1,0)</f>
        <v>0</v>
      </c>
      <c r="M493" s="3" t="n">
        <f aca="false">IF(H493="Y",1,0)</f>
        <v>0</v>
      </c>
      <c r="N493" s="3" t="n">
        <f aca="false">IF(I493="Y",1,0)</f>
        <v>0</v>
      </c>
    </row>
    <row r="494" customFormat="false" ht="15" hidden="false" customHeight="true" outlineLevel="0" collapsed="false">
      <c r="A494" s="7" t="s">
        <v>64</v>
      </c>
      <c r="B494" s="7" t="n">
        <v>2025</v>
      </c>
      <c r="C494" s="7" t="s">
        <v>365</v>
      </c>
      <c r="D494" s="7" t="n">
        <v>89</v>
      </c>
      <c r="E494" s="7" t="n">
        <v>73</v>
      </c>
      <c r="F494" s="7" t="s">
        <v>546</v>
      </c>
      <c r="G494" s="7" t="s">
        <v>548</v>
      </c>
      <c r="H494" s="7" t="s">
        <v>546</v>
      </c>
      <c r="I494" s="7" t="s">
        <v>546</v>
      </c>
      <c r="J494" s="21" t="n">
        <f aca="false">D494/(D494+E494)</f>
        <v>0.549382716049383</v>
      </c>
      <c r="K494" s="3" t="n">
        <f aca="false">IF(D494&gt;E494,1,0)</f>
        <v>1</v>
      </c>
      <c r="L494" s="3" t="n">
        <f aca="false">IF(OR(F494="Y",G494="Y",H494="Y"),1,0)</f>
        <v>1</v>
      </c>
      <c r="M494" s="3" t="n">
        <f aca="false">IF(H494="Y",1,0)</f>
        <v>0</v>
      </c>
      <c r="N494" s="3" t="n">
        <f aca="false">IF(I494="Y",1,0)</f>
        <v>0</v>
      </c>
    </row>
    <row r="495" customFormat="false" ht="15" hidden="false" customHeight="true" outlineLevel="0" collapsed="false">
      <c r="A495" s="7" t="s">
        <v>56</v>
      </c>
      <c r="B495" s="7" t="n">
        <v>1876</v>
      </c>
      <c r="C495" s="7" t="s">
        <v>560</v>
      </c>
      <c r="D495" s="7" t="n">
        <v>52</v>
      </c>
      <c r="E495" s="7" t="n">
        <v>14</v>
      </c>
      <c r="F495" s="7"/>
      <c r="G495" s="7"/>
      <c r="H495" s="7" t="s">
        <v>548</v>
      </c>
      <c r="I495" s="7"/>
      <c r="J495" s="21" t="n">
        <f aca="false">D495/(D495+E495)</f>
        <v>0.787878787878788</v>
      </c>
      <c r="K495" s="3" t="n">
        <f aca="false">IF(D495&gt;E495,1,0)</f>
        <v>1</v>
      </c>
      <c r="L495" s="3" t="n">
        <f aca="false">IF(OR(F495="Y",G495="Y",H495="Y"),1,0)</f>
        <v>1</v>
      </c>
      <c r="M495" s="3" t="n">
        <f aca="false">IF(H495="Y",1,0)</f>
        <v>1</v>
      </c>
      <c r="N495" s="3" t="n">
        <f aca="false">IF(I495="Y",1,0)</f>
        <v>0</v>
      </c>
    </row>
    <row r="496" customFormat="false" ht="15" hidden="false" customHeight="true" outlineLevel="0" collapsed="false">
      <c r="A496" s="7" t="s">
        <v>56</v>
      </c>
      <c r="B496" s="7" t="n">
        <v>1877</v>
      </c>
      <c r="C496" s="7" t="s">
        <v>560</v>
      </c>
      <c r="D496" s="7" t="n">
        <v>26</v>
      </c>
      <c r="E496" s="7" t="n">
        <v>33</v>
      </c>
      <c r="F496" s="7"/>
      <c r="G496" s="7"/>
      <c r="H496" s="7" t="s">
        <v>546</v>
      </c>
      <c r="I496" s="7"/>
      <c r="J496" s="21" t="n">
        <f aca="false">D496/(D496+E496)</f>
        <v>0.440677966101695</v>
      </c>
      <c r="K496" s="3" t="n">
        <f aca="false">IF(D496&gt;E496,1,0)</f>
        <v>0</v>
      </c>
      <c r="L496" s="3" t="n">
        <f aca="false">IF(OR(F496="Y",G496="Y",H496="Y"),1,0)</f>
        <v>0</v>
      </c>
      <c r="M496" s="3" t="n">
        <f aca="false">IF(H496="Y",1,0)</f>
        <v>0</v>
      </c>
      <c r="N496" s="3" t="n">
        <f aca="false">IF(I496="Y",1,0)</f>
        <v>0</v>
      </c>
    </row>
    <row r="497" customFormat="false" ht="15" hidden="false" customHeight="true" outlineLevel="0" collapsed="false">
      <c r="A497" s="7" t="s">
        <v>56</v>
      </c>
      <c r="B497" s="7" t="n">
        <v>1878</v>
      </c>
      <c r="C497" s="7" t="s">
        <v>560</v>
      </c>
      <c r="D497" s="7" t="n">
        <v>30</v>
      </c>
      <c r="E497" s="7" t="n">
        <v>30</v>
      </c>
      <c r="F497" s="7"/>
      <c r="G497" s="7"/>
      <c r="H497" s="7" t="s">
        <v>546</v>
      </c>
      <c r="I497" s="7"/>
      <c r="J497" s="21" t="n">
        <f aca="false">D497/(D497+E497)</f>
        <v>0.5</v>
      </c>
      <c r="K497" s="3" t="n">
        <f aca="false">IF(D497&gt;E497,1,0)</f>
        <v>0</v>
      </c>
      <c r="L497" s="3" t="n">
        <f aca="false">IF(OR(F497="Y",G497="Y",H497="Y"),1,0)</f>
        <v>0</v>
      </c>
      <c r="M497" s="3" t="n">
        <f aca="false">IF(H497="Y",1,0)</f>
        <v>0</v>
      </c>
      <c r="N497" s="3" t="n">
        <f aca="false">IF(I497="Y",1,0)</f>
        <v>0</v>
      </c>
    </row>
    <row r="498" customFormat="false" ht="15" hidden="false" customHeight="true" outlineLevel="0" collapsed="false">
      <c r="A498" s="7" t="s">
        <v>56</v>
      </c>
      <c r="B498" s="7" t="n">
        <v>1879</v>
      </c>
      <c r="C498" s="7" t="s">
        <v>560</v>
      </c>
      <c r="D498" s="7" t="n">
        <v>46</v>
      </c>
      <c r="E498" s="7" t="n">
        <v>33</v>
      </c>
      <c r="F498" s="7"/>
      <c r="G498" s="7"/>
      <c r="H498" s="7" t="s">
        <v>546</v>
      </c>
      <c r="I498" s="7"/>
      <c r="J498" s="21" t="n">
        <f aca="false">D498/(D498+E498)</f>
        <v>0.582278481012658</v>
      </c>
      <c r="K498" s="3" t="n">
        <f aca="false">IF(D498&gt;E498,1,0)</f>
        <v>1</v>
      </c>
      <c r="L498" s="3" t="n">
        <f aca="false">IF(OR(F498="Y",G498="Y",H498="Y"),1,0)</f>
        <v>0</v>
      </c>
      <c r="M498" s="3" t="n">
        <f aca="false">IF(H498="Y",1,0)</f>
        <v>0</v>
      </c>
      <c r="N498" s="3" t="n">
        <f aca="false">IF(I498="Y",1,0)</f>
        <v>0</v>
      </c>
    </row>
    <row r="499" customFormat="false" ht="15" hidden="false" customHeight="true" outlineLevel="0" collapsed="false">
      <c r="A499" s="7" t="s">
        <v>56</v>
      </c>
      <c r="B499" s="7" t="n">
        <v>1880</v>
      </c>
      <c r="C499" s="7" t="s">
        <v>560</v>
      </c>
      <c r="D499" s="7" t="n">
        <v>67</v>
      </c>
      <c r="E499" s="7" t="n">
        <v>17</v>
      </c>
      <c r="F499" s="7"/>
      <c r="G499" s="7"/>
      <c r="H499" s="7" t="s">
        <v>548</v>
      </c>
      <c r="I499" s="7"/>
      <c r="J499" s="21" t="n">
        <f aca="false">D499/(D499+E499)</f>
        <v>0.797619047619048</v>
      </c>
      <c r="K499" s="3" t="n">
        <f aca="false">IF(D499&gt;E499,1,0)</f>
        <v>1</v>
      </c>
      <c r="L499" s="3" t="n">
        <f aca="false">IF(OR(F499="Y",G499="Y",H499="Y"),1,0)</f>
        <v>1</v>
      </c>
      <c r="M499" s="3" t="n">
        <f aca="false">IF(H499="Y",1,0)</f>
        <v>1</v>
      </c>
      <c r="N499" s="3" t="n">
        <f aca="false">IF(I499="Y",1,0)</f>
        <v>0</v>
      </c>
    </row>
    <row r="500" customFormat="false" ht="15" hidden="false" customHeight="true" outlineLevel="0" collapsed="false">
      <c r="A500" s="7" t="s">
        <v>56</v>
      </c>
      <c r="B500" s="7" t="n">
        <v>1881</v>
      </c>
      <c r="C500" s="7" t="s">
        <v>560</v>
      </c>
      <c r="D500" s="7" t="n">
        <v>56</v>
      </c>
      <c r="E500" s="7" t="n">
        <v>28</v>
      </c>
      <c r="F500" s="7"/>
      <c r="G500" s="7"/>
      <c r="H500" s="7" t="s">
        <v>548</v>
      </c>
      <c r="I500" s="7"/>
      <c r="J500" s="21" t="n">
        <f aca="false">D500/(D500+E500)</f>
        <v>0.666666666666667</v>
      </c>
      <c r="K500" s="3" t="n">
        <f aca="false">IF(D500&gt;E500,1,0)</f>
        <v>1</v>
      </c>
      <c r="L500" s="3" t="n">
        <f aca="false">IF(OR(F500="Y",G500="Y",H500="Y"),1,0)</f>
        <v>1</v>
      </c>
      <c r="M500" s="3" t="n">
        <f aca="false">IF(H500="Y",1,0)</f>
        <v>1</v>
      </c>
      <c r="N500" s="3" t="n">
        <f aca="false">IF(I500="Y",1,0)</f>
        <v>0</v>
      </c>
    </row>
    <row r="501" customFormat="false" ht="15" hidden="false" customHeight="true" outlineLevel="0" collapsed="false">
      <c r="A501" s="7" t="s">
        <v>56</v>
      </c>
      <c r="B501" s="7" t="n">
        <v>1882</v>
      </c>
      <c r="C501" s="7" t="s">
        <v>560</v>
      </c>
      <c r="D501" s="7" t="n">
        <v>55</v>
      </c>
      <c r="E501" s="7" t="n">
        <v>29</v>
      </c>
      <c r="F501" s="7"/>
      <c r="G501" s="7"/>
      <c r="H501" s="7" t="s">
        <v>548</v>
      </c>
      <c r="I501" s="7"/>
      <c r="J501" s="21" t="n">
        <f aca="false">D501/(D501+E501)</f>
        <v>0.654761904761905</v>
      </c>
      <c r="K501" s="3" t="n">
        <f aca="false">IF(D501&gt;E501,1,0)</f>
        <v>1</v>
      </c>
      <c r="L501" s="3" t="n">
        <f aca="false">IF(OR(F501="Y",G501="Y",H501="Y"),1,0)</f>
        <v>1</v>
      </c>
      <c r="M501" s="3" t="n">
        <f aca="false">IF(H501="Y",1,0)</f>
        <v>1</v>
      </c>
      <c r="N501" s="3" t="n">
        <f aca="false">IF(I501="Y",1,0)</f>
        <v>0</v>
      </c>
    </row>
    <row r="502" customFormat="false" ht="15" hidden="false" customHeight="true" outlineLevel="0" collapsed="false">
      <c r="A502" s="7" t="s">
        <v>56</v>
      </c>
      <c r="B502" s="7" t="n">
        <v>1883</v>
      </c>
      <c r="C502" s="7" t="s">
        <v>560</v>
      </c>
      <c r="D502" s="7" t="n">
        <v>59</v>
      </c>
      <c r="E502" s="7" t="n">
        <v>39</v>
      </c>
      <c r="F502" s="7"/>
      <c r="G502" s="7"/>
      <c r="H502" s="7" t="s">
        <v>546</v>
      </c>
      <c r="I502" s="7"/>
      <c r="J502" s="21" t="n">
        <f aca="false">D502/(D502+E502)</f>
        <v>0.602040816326531</v>
      </c>
      <c r="K502" s="3" t="n">
        <f aca="false">IF(D502&gt;E502,1,0)</f>
        <v>1</v>
      </c>
      <c r="L502" s="3" t="n">
        <f aca="false">IF(OR(F502="Y",G502="Y",H502="Y"),1,0)</f>
        <v>0</v>
      </c>
      <c r="M502" s="3" t="n">
        <f aca="false">IF(H502="Y",1,0)</f>
        <v>0</v>
      </c>
      <c r="N502" s="3" t="n">
        <f aca="false">IF(I502="Y",1,0)</f>
        <v>0</v>
      </c>
    </row>
    <row r="503" customFormat="false" ht="15" hidden="false" customHeight="true" outlineLevel="0" collapsed="false">
      <c r="A503" s="7" t="s">
        <v>56</v>
      </c>
      <c r="B503" s="7" t="n">
        <v>1884</v>
      </c>
      <c r="C503" s="7" t="s">
        <v>560</v>
      </c>
      <c r="D503" s="7" t="n">
        <v>62</v>
      </c>
      <c r="E503" s="7" t="n">
        <v>50</v>
      </c>
      <c r="F503" s="7"/>
      <c r="G503" s="7"/>
      <c r="H503" s="7" t="s">
        <v>546</v>
      </c>
      <c r="I503" s="7" t="s">
        <v>546</v>
      </c>
      <c r="J503" s="21" t="n">
        <f aca="false">D503/(D503+E503)</f>
        <v>0.553571428571429</v>
      </c>
      <c r="K503" s="3" t="n">
        <f aca="false">IF(D503&gt;E503,1,0)</f>
        <v>1</v>
      </c>
      <c r="L503" s="3" t="n">
        <f aca="false">IF(OR(F503="Y",G503="Y",H503="Y"),1,0)</f>
        <v>0</v>
      </c>
      <c r="M503" s="3" t="n">
        <f aca="false">IF(H503="Y",1,0)</f>
        <v>0</v>
      </c>
      <c r="N503" s="3" t="n">
        <f aca="false">IF(I503="Y",1,0)</f>
        <v>0</v>
      </c>
    </row>
    <row r="504" customFormat="false" ht="15" hidden="false" customHeight="true" outlineLevel="0" collapsed="false">
      <c r="A504" s="7" t="s">
        <v>56</v>
      </c>
      <c r="B504" s="7" t="n">
        <v>1885</v>
      </c>
      <c r="C504" s="7" t="s">
        <v>560</v>
      </c>
      <c r="D504" s="7" t="n">
        <v>87</v>
      </c>
      <c r="E504" s="7" t="n">
        <v>25</v>
      </c>
      <c r="F504" s="7"/>
      <c r="G504" s="7"/>
      <c r="H504" s="7" t="s">
        <v>548</v>
      </c>
      <c r="I504" s="7" t="s">
        <v>546</v>
      </c>
      <c r="J504" s="21" t="n">
        <f aca="false">D504/(D504+E504)</f>
        <v>0.776785714285714</v>
      </c>
      <c r="K504" s="3" t="n">
        <f aca="false">IF(D504&gt;E504,1,0)</f>
        <v>1</v>
      </c>
      <c r="L504" s="3" t="n">
        <f aca="false">IF(OR(F504="Y",G504="Y",H504="Y"),1,0)</f>
        <v>1</v>
      </c>
      <c r="M504" s="3" t="n">
        <f aca="false">IF(H504="Y",1,0)</f>
        <v>1</v>
      </c>
      <c r="N504" s="3" t="n">
        <f aca="false">IF(I504="Y",1,0)</f>
        <v>0</v>
      </c>
    </row>
    <row r="505" customFormat="false" ht="15" hidden="false" customHeight="true" outlineLevel="0" collapsed="false">
      <c r="A505" s="7" t="s">
        <v>56</v>
      </c>
      <c r="B505" s="7" t="n">
        <v>1886</v>
      </c>
      <c r="C505" s="7" t="s">
        <v>560</v>
      </c>
      <c r="D505" s="7" t="n">
        <v>90</v>
      </c>
      <c r="E505" s="7" t="n">
        <v>34</v>
      </c>
      <c r="F505" s="7"/>
      <c r="G505" s="7"/>
      <c r="H505" s="7" t="s">
        <v>548</v>
      </c>
      <c r="I505" s="7" t="s">
        <v>546</v>
      </c>
      <c r="J505" s="21" t="n">
        <f aca="false">D505/(D505+E505)</f>
        <v>0.725806451612903</v>
      </c>
      <c r="K505" s="3" t="n">
        <f aca="false">IF(D505&gt;E505,1,0)</f>
        <v>1</v>
      </c>
      <c r="L505" s="3" t="n">
        <f aca="false">IF(OR(F505="Y",G505="Y",H505="Y"),1,0)</f>
        <v>1</v>
      </c>
      <c r="M505" s="3" t="n">
        <f aca="false">IF(H505="Y",1,0)</f>
        <v>1</v>
      </c>
      <c r="N505" s="3" t="n">
        <f aca="false">IF(I505="Y",1,0)</f>
        <v>0</v>
      </c>
    </row>
    <row r="506" customFormat="false" ht="15" hidden="false" customHeight="true" outlineLevel="0" collapsed="false">
      <c r="A506" s="7" t="s">
        <v>56</v>
      </c>
      <c r="B506" s="7" t="n">
        <v>1887</v>
      </c>
      <c r="C506" s="7" t="s">
        <v>560</v>
      </c>
      <c r="D506" s="7" t="n">
        <v>71</v>
      </c>
      <c r="E506" s="7" t="n">
        <v>50</v>
      </c>
      <c r="F506" s="7"/>
      <c r="G506" s="7"/>
      <c r="H506" s="7" t="s">
        <v>546</v>
      </c>
      <c r="I506" s="7" t="s">
        <v>546</v>
      </c>
      <c r="J506" s="21" t="n">
        <f aca="false">D506/(D506+E506)</f>
        <v>0.586776859504132</v>
      </c>
      <c r="K506" s="3" t="n">
        <f aca="false">IF(D506&gt;E506,1,0)</f>
        <v>1</v>
      </c>
      <c r="L506" s="3" t="n">
        <f aca="false">IF(OR(F506="Y",G506="Y",H506="Y"),1,0)</f>
        <v>0</v>
      </c>
      <c r="M506" s="3" t="n">
        <f aca="false">IF(H506="Y",1,0)</f>
        <v>0</v>
      </c>
      <c r="N506" s="3" t="n">
        <f aca="false">IF(I506="Y",1,0)</f>
        <v>0</v>
      </c>
    </row>
    <row r="507" customFormat="false" ht="15" hidden="false" customHeight="true" outlineLevel="0" collapsed="false">
      <c r="A507" s="7" t="s">
        <v>56</v>
      </c>
      <c r="B507" s="7" t="n">
        <v>1888</v>
      </c>
      <c r="C507" s="7" t="s">
        <v>560</v>
      </c>
      <c r="D507" s="7" t="n">
        <v>77</v>
      </c>
      <c r="E507" s="7" t="n">
        <v>58</v>
      </c>
      <c r="F507" s="7"/>
      <c r="G507" s="7"/>
      <c r="H507" s="7" t="s">
        <v>546</v>
      </c>
      <c r="I507" s="7" t="s">
        <v>546</v>
      </c>
      <c r="J507" s="21" t="n">
        <f aca="false">D507/(D507+E507)</f>
        <v>0.57037037037037</v>
      </c>
      <c r="K507" s="3" t="n">
        <f aca="false">IF(D507&gt;E507,1,0)</f>
        <v>1</v>
      </c>
      <c r="L507" s="3" t="n">
        <f aca="false">IF(OR(F507="Y",G507="Y",H507="Y"),1,0)</f>
        <v>0</v>
      </c>
      <c r="M507" s="3" t="n">
        <f aca="false">IF(H507="Y",1,0)</f>
        <v>0</v>
      </c>
      <c r="N507" s="3" t="n">
        <f aca="false">IF(I507="Y",1,0)</f>
        <v>0</v>
      </c>
    </row>
    <row r="508" customFormat="false" ht="15" hidden="false" customHeight="true" outlineLevel="0" collapsed="false">
      <c r="A508" s="7" t="s">
        <v>56</v>
      </c>
      <c r="B508" s="7" t="n">
        <v>1889</v>
      </c>
      <c r="C508" s="7" t="s">
        <v>560</v>
      </c>
      <c r="D508" s="7" t="n">
        <v>67</v>
      </c>
      <c r="E508" s="7" t="n">
        <v>65</v>
      </c>
      <c r="F508" s="7"/>
      <c r="G508" s="7"/>
      <c r="H508" s="7" t="s">
        <v>546</v>
      </c>
      <c r="I508" s="7" t="s">
        <v>546</v>
      </c>
      <c r="J508" s="21" t="n">
        <f aca="false">D508/(D508+E508)</f>
        <v>0.507575757575758</v>
      </c>
      <c r="K508" s="3" t="n">
        <f aca="false">IF(D508&gt;E508,1,0)</f>
        <v>1</v>
      </c>
      <c r="L508" s="3" t="n">
        <f aca="false">IF(OR(F508="Y",G508="Y",H508="Y"),1,0)</f>
        <v>0</v>
      </c>
      <c r="M508" s="3" t="n">
        <f aca="false">IF(H508="Y",1,0)</f>
        <v>0</v>
      </c>
      <c r="N508" s="3" t="n">
        <f aca="false">IF(I508="Y",1,0)</f>
        <v>0</v>
      </c>
    </row>
    <row r="509" customFormat="false" ht="15" hidden="false" customHeight="true" outlineLevel="0" collapsed="false">
      <c r="A509" s="7" t="s">
        <v>56</v>
      </c>
      <c r="B509" s="7" t="n">
        <v>1890</v>
      </c>
      <c r="C509" s="7" t="s">
        <v>561</v>
      </c>
      <c r="D509" s="7" t="n">
        <v>83</v>
      </c>
      <c r="E509" s="7" t="n">
        <v>53</v>
      </c>
      <c r="F509" s="7"/>
      <c r="G509" s="7"/>
      <c r="H509" s="7" t="s">
        <v>546</v>
      </c>
      <c r="I509" s="7" t="s">
        <v>546</v>
      </c>
      <c r="J509" s="21" t="n">
        <f aca="false">D509/(D509+E509)</f>
        <v>0.610294117647059</v>
      </c>
      <c r="K509" s="3" t="n">
        <f aca="false">IF(D509&gt;E509,1,0)</f>
        <v>1</v>
      </c>
      <c r="L509" s="3" t="n">
        <f aca="false">IF(OR(F509="Y",G509="Y",H509="Y"),1,0)</f>
        <v>0</v>
      </c>
      <c r="M509" s="3" t="n">
        <f aca="false">IF(H509="Y",1,0)</f>
        <v>0</v>
      </c>
      <c r="N509" s="3" t="n">
        <f aca="false">IF(I509="Y",1,0)</f>
        <v>0</v>
      </c>
    </row>
    <row r="510" customFormat="false" ht="15" hidden="false" customHeight="true" outlineLevel="0" collapsed="false">
      <c r="A510" s="7" t="s">
        <v>56</v>
      </c>
      <c r="B510" s="7" t="n">
        <v>1891</v>
      </c>
      <c r="C510" s="7" t="s">
        <v>561</v>
      </c>
      <c r="D510" s="7" t="n">
        <v>82</v>
      </c>
      <c r="E510" s="7" t="n">
        <v>53</v>
      </c>
      <c r="F510" s="7"/>
      <c r="G510" s="7"/>
      <c r="H510" s="7" t="s">
        <v>546</v>
      </c>
      <c r="I510" s="7"/>
      <c r="J510" s="21" t="n">
        <f aca="false">D510/(D510+E510)</f>
        <v>0.607407407407407</v>
      </c>
      <c r="K510" s="3" t="n">
        <f aca="false">IF(D510&gt;E510,1,0)</f>
        <v>1</v>
      </c>
      <c r="L510" s="3" t="n">
        <f aca="false">IF(OR(F510="Y",G510="Y",H510="Y"),1,0)</f>
        <v>0</v>
      </c>
      <c r="M510" s="3" t="n">
        <f aca="false">IF(H510="Y",1,0)</f>
        <v>0</v>
      </c>
      <c r="N510" s="3" t="n">
        <f aca="false">IF(I510="Y",1,0)</f>
        <v>0</v>
      </c>
    </row>
    <row r="511" customFormat="false" ht="15" hidden="false" customHeight="true" outlineLevel="0" collapsed="false">
      <c r="A511" s="7" t="s">
        <v>56</v>
      </c>
      <c r="B511" s="7" t="n">
        <v>1892</v>
      </c>
      <c r="C511" s="7" t="s">
        <v>561</v>
      </c>
      <c r="D511" s="7" t="n">
        <v>70</v>
      </c>
      <c r="E511" s="7" t="n">
        <v>76</v>
      </c>
      <c r="F511" s="7"/>
      <c r="G511" s="7"/>
      <c r="H511" s="7" t="s">
        <v>546</v>
      </c>
      <c r="I511" s="7"/>
      <c r="J511" s="21" t="n">
        <f aca="false">D511/(D511+E511)</f>
        <v>0.479452054794521</v>
      </c>
      <c r="K511" s="3" t="n">
        <f aca="false">IF(D511&gt;E511,1,0)</f>
        <v>0</v>
      </c>
      <c r="L511" s="3" t="n">
        <f aca="false">IF(OR(F511="Y",G511="Y",H511="Y"),1,0)</f>
        <v>0</v>
      </c>
      <c r="M511" s="3" t="n">
        <f aca="false">IF(H511="Y",1,0)</f>
        <v>0</v>
      </c>
      <c r="N511" s="3" t="n">
        <f aca="false">IF(I511="Y",1,0)</f>
        <v>0</v>
      </c>
    </row>
    <row r="512" customFormat="false" ht="15" hidden="false" customHeight="true" outlineLevel="0" collapsed="false">
      <c r="A512" s="7" t="s">
        <v>56</v>
      </c>
      <c r="B512" s="7" t="n">
        <v>1893</v>
      </c>
      <c r="C512" s="7" t="s">
        <v>561</v>
      </c>
      <c r="D512" s="7" t="n">
        <v>56</v>
      </c>
      <c r="E512" s="7" t="n">
        <v>71</v>
      </c>
      <c r="F512" s="7"/>
      <c r="G512" s="7"/>
      <c r="H512" s="7" t="s">
        <v>546</v>
      </c>
      <c r="I512" s="7"/>
      <c r="J512" s="21" t="n">
        <f aca="false">D512/(D512+E512)</f>
        <v>0.440944881889764</v>
      </c>
      <c r="K512" s="3" t="n">
        <f aca="false">IF(D512&gt;E512,1,0)</f>
        <v>0</v>
      </c>
      <c r="L512" s="3" t="n">
        <f aca="false">IF(OR(F512="Y",G512="Y",H512="Y"),1,0)</f>
        <v>0</v>
      </c>
      <c r="M512" s="3" t="n">
        <f aca="false">IF(H512="Y",1,0)</f>
        <v>0</v>
      </c>
      <c r="N512" s="3" t="n">
        <f aca="false">IF(I512="Y",1,0)</f>
        <v>0</v>
      </c>
    </row>
    <row r="513" customFormat="false" ht="15" hidden="false" customHeight="true" outlineLevel="0" collapsed="false">
      <c r="A513" s="7" t="s">
        <v>56</v>
      </c>
      <c r="B513" s="7" t="n">
        <v>1894</v>
      </c>
      <c r="C513" s="7" t="s">
        <v>561</v>
      </c>
      <c r="D513" s="7" t="n">
        <v>57</v>
      </c>
      <c r="E513" s="7" t="n">
        <v>75</v>
      </c>
      <c r="F513" s="7"/>
      <c r="G513" s="7"/>
      <c r="H513" s="7" t="s">
        <v>546</v>
      </c>
      <c r="I513" s="7"/>
      <c r="J513" s="21" t="n">
        <f aca="false">D513/(D513+E513)</f>
        <v>0.431818181818182</v>
      </c>
      <c r="K513" s="3" t="n">
        <f aca="false">IF(D513&gt;E513,1,0)</f>
        <v>0</v>
      </c>
      <c r="L513" s="3" t="n">
        <f aca="false">IF(OR(F513="Y",G513="Y",H513="Y"),1,0)</f>
        <v>0</v>
      </c>
      <c r="M513" s="3" t="n">
        <f aca="false">IF(H513="Y",1,0)</f>
        <v>0</v>
      </c>
      <c r="N513" s="3" t="n">
        <f aca="false">IF(I513="Y",1,0)</f>
        <v>0</v>
      </c>
    </row>
    <row r="514" customFormat="false" ht="15" hidden="false" customHeight="true" outlineLevel="0" collapsed="false">
      <c r="A514" s="7" t="s">
        <v>56</v>
      </c>
      <c r="B514" s="7" t="n">
        <v>1895</v>
      </c>
      <c r="C514" s="7" t="s">
        <v>561</v>
      </c>
      <c r="D514" s="7" t="n">
        <v>72</v>
      </c>
      <c r="E514" s="7" t="n">
        <v>58</v>
      </c>
      <c r="F514" s="7"/>
      <c r="G514" s="7"/>
      <c r="H514" s="7" t="s">
        <v>546</v>
      </c>
      <c r="I514" s="7"/>
      <c r="J514" s="21" t="n">
        <f aca="false">D514/(D514+E514)</f>
        <v>0.553846153846154</v>
      </c>
      <c r="K514" s="3" t="n">
        <f aca="false">IF(D514&gt;E514,1,0)</f>
        <v>1</v>
      </c>
      <c r="L514" s="3" t="n">
        <f aca="false">IF(OR(F514="Y",G514="Y",H514="Y"),1,0)</f>
        <v>0</v>
      </c>
      <c r="M514" s="3" t="n">
        <f aca="false">IF(H514="Y",1,0)</f>
        <v>0</v>
      </c>
      <c r="N514" s="3" t="n">
        <f aca="false">IF(I514="Y",1,0)</f>
        <v>0</v>
      </c>
    </row>
    <row r="515" customFormat="false" ht="15" hidden="false" customHeight="true" outlineLevel="0" collapsed="false">
      <c r="A515" s="7" t="s">
        <v>56</v>
      </c>
      <c r="B515" s="7" t="n">
        <v>1896</v>
      </c>
      <c r="C515" s="7" t="s">
        <v>561</v>
      </c>
      <c r="D515" s="7" t="n">
        <v>71</v>
      </c>
      <c r="E515" s="7" t="n">
        <v>57</v>
      </c>
      <c r="F515" s="7"/>
      <c r="G515" s="7"/>
      <c r="H515" s="7" t="s">
        <v>546</v>
      </c>
      <c r="I515" s="7"/>
      <c r="J515" s="21" t="n">
        <f aca="false">D515/(D515+E515)</f>
        <v>0.5546875</v>
      </c>
      <c r="K515" s="3" t="n">
        <f aca="false">IF(D515&gt;E515,1,0)</f>
        <v>1</v>
      </c>
      <c r="L515" s="3" t="n">
        <f aca="false">IF(OR(F515="Y",G515="Y",H515="Y"),1,0)</f>
        <v>0</v>
      </c>
      <c r="M515" s="3" t="n">
        <f aca="false">IF(H515="Y",1,0)</f>
        <v>0</v>
      </c>
      <c r="N515" s="3" t="n">
        <f aca="false">IF(I515="Y",1,0)</f>
        <v>0</v>
      </c>
    </row>
    <row r="516" customFormat="false" ht="15" hidden="false" customHeight="true" outlineLevel="0" collapsed="false">
      <c r="A516" s="7" t="s">
        <v>56</v>
      </c>
      <c r="B516" s="7" t="n">
        <v>1897</v>
      </c>
      <c r="C516" s="7" t="s">
        <v>561</v>
      </c>
      <c r="D516" s="7" t="n">
        <v>59</v>
      </c>
      <c r="E516" s="7" t="n">
        <v>73</v>
      </c>
      <c r="F516" s="7"/>
      <c r="G516" s="7"/>
      <c r="H516" s="7" t="s">
        <v>546</v>
      </c>
      <c r="I516" s="7"/>
      <c r="J516" s="21" t="n">
        <f aca="false">D516/(D516+E516)</f>
        <v>0.446969696969697</v>
      </c>
      <c r="K516" s="3" t="n">
        <f aca="false">IF(D516&gt;E516,1,0)</f>
        <v>0</v>
      </c>
      <c r="L516" s="3" t="n">
        <f aca="false">IF(OR(F516="Y",G516="Y",H516="Y"),1,0)</f>
        <v>0</v>
      </c>
      <c r="M516" s="3" t="n">
        <f aca="false">IF(H516="Y",1,0)</f>
        <v>0</v>
      </c>
      <c r="N516" s="3" t="n">
        <f aca="false">IF(I516="Y",1,0)</f>
        <v>0</v>
      </c>
    </row>
    <row r="517" customFormat="false" ht="15" hidden="false" customHeight="true" outlineLevel="0" collapsed="false">
      <c r="A517" s="7" t="s">
        <v>56</v>
      </c>
      <c r="B517" s="7" t="n">
        <v>1898</v>
      </c>
      <c r="C517" s="7" t="s">
        <v>562</v>
      </c>
      <c r="D517" s="7" t="n">
        <v>85</v>
      </c>
      <c r="E517" s="7" t="n">
        <v>65</v>
      </c>
      <c r="F517" s="7"/>
      <c r="G517" s="7"/>
      <c r="H517" s="7" t="s">
        <v>546</v>
      </c>
      <c r="I517" s="7"/>
      <c r="J517" s="21" t="n">
        <f aca="false">D517/(D517+E517)</f>
        <v>0.566666666666667</v>
      </c>
      <c r="K517" s="3" t="n">
        <f aca="false">IF(D517&gt;E517,1,0)</f>
        <v>1</v>
      </c>
      <c r="L517" s="3" t="n">
        <f aca="false">IF(OR(F517="Y",G517="Y",H517="Y"),1,0)</f>
        <v>0</v>
      </c>
      <c r="M517" s="3" t="n">
        <f aca="false">IF(H517="Y",1,0)</f>
        <v>0</v>
      </c>
      <c r="N517" s="3" t="n">
        <f aca="false">IF(I517="Y",1,0)</f>
        <v>0</v>
      </c>
    </row>
    <row r="518" customFormat="false" ht="15" hidden="false" customHeight="true" outlineLevel="0" collapsed="false">
      <c r="A518" s="7" t="s">
        <v>56</v>
      </c>
      <c r="B518" s="7" t="n">
        <v>1899</v>
      </c>
      <c r="C518" s="7" t="s">
        <v>562</v>
      </c>
      <c r="D518" s="7" t="n">
        <v>75</v>
      </c>
      <c r="E518" s="7" t="n">
        <v>73</v>
      </c>
      <c r="F518" s="7"/>
      <c r="G518" s="7"/>
      <c r="H518" s="7" t="s">
        <v>546</v>
      </c>
      <c r="I518" s="7"/>
      <c r="J518" s="21" t="n">
        <f aca="false">D518/(D518+E518)</f>
        <v>0.506756756756757</v>
      </c>
      <c r="K518" s="3" t="n">
        <f aca="false">IF(D518&gt;E518,1,0)</f>
        <v>1</v>
      </c>
      <c r="L518" s="3" t="n">
        <f aca="false">IF(OR(F518="Y",G518="Y",H518="Y"),1,0)</f>
        <v>0</v>
      </c>
      <c r="M518" s="3" t="n">
        <f aca="false">IF(H518="Y",1,0)</f>
        <v>0</v>
      </c>
      <c r="N518" s="3" t="n">
        <f aca="false">IF(I518="Y",1,0)</f>
        <v>0</v>
      </c>
    </row>
    <row r="519" customFormat="false" ht="15" hidden="false" customHeight="true" outlineLevel="0" collapsed="false">
      <c r="A519" s="7" t="s">
        <v>56</v>
      </c>
      <c r="B519" s="7" t="n">
        <v>1900</v>
      </c>
      <c r="C519" s="7" t="s">
        <v>562</v>
      </c>
      <c r="D519" s="7" t="n">
        <v>65</v>
      </c>
      <c r="E519" s="7" t="n">
        <v>75</v>
      </c>
      <c r="F519" s="7"/>
      <c r="G519" s="7"/>
      <c r="H519" s="7" t="s">
        <v>546</v>
      </c>
      <c r="I519" s="7"/>
      <c r="J519" s="21" t="n">
        <f aca="false">D519/(D519+E519)</f>
        <v>0.464285714285714</v>
      </c>
      <c r="K519" s="3" t="n">
        <f aca="false">IF(D519&gt;E519,1,0)</f>
        <v>0</v>
      </c>
      <c r="L519" s="3" t="n">
        <f aca="false">IF(OR(F519="Y",G519="Y",H519="Y"),1,0)</f>
        <v>0</v>
      </c>
      <c r="M519" s="3" t="n">
        <f aca="false">IF(H519="Y",1,0)</f>
        <v>0</v>
      </c>
      <c r="N519" s="3" t="n">
        <f aca="false">IF(I519="Y",1,0)</f>
        <v>0</v>
      </c>
    </row>
    <row r="520" customFormat="false" ht="15" hidden="false" customHeight="true" outlineLevel="0" collapsed="false">
      <c r="A520" s="7" t="s">
        <v>56</v>
      </c>
      <c r="B520" s="7" t="n">
        <v>1901</v>
      </c>
      <c r="C520" s="7" t="s">
        <v>562</v>
      </c>
      <c r="D520" s="7" t="n">
        <v>53</v>
      </c>
      <c r="E520" s="7" t="n">
        <v>86</v>
      </c>
      <c r="F520" s="7"/>
      <c r="G520" s="7"/>
      <c r="H520" s="7" t="s">
        <v>546</v>
      </c>
      <c r="I520" s="7"/>
      <c r="J520" s="21" t="n">
        <f aca="false">D520/(D520+E520)</f>
        <v>0.381294964028777</v>
      </c>
      <c r="K520" s="3" t="n">
        <f aca="false">IF(D520&gt;E520,1,0)</f>
        <v>0</v>
      </c>
      <c r="L520" s="3" t="n">
        <f aca="false">IF(OR(F520="Y",G520="Y",H520="Y"),1,0)</f>
        <v>0</v>
      </c>
      <c r="M520" s="3" t="n">
        <f aca="false">IF(H520="Y",1,0)</f>
        <v>0</v>
      </c>
      <c r="N520" s="3" t="n">
        <f aca="false">IF(I520="Y",1,0)</f>
        <v>0</v>
      </c>
    </row>
    <row r="521" customFormat="false" ht="15" hidden="false" customHeight="true" outlineLevel="0" collapsed="false">
      <c r="A521" s="7" t="s">
        <v>56</v>
      </c>
      <c r="B521" s="7" t="n">
        <v>1902</v>
      </c>
      <c r="C521" s="7" t="s">
        <v>562</v>
      </c>
      <c r="D521" s="7" t="n">
        <v>68</v>
      </c>
      <c r="E521" s="7" t="n">
        <v>69</v>
      </c>
      <c r="F521" s="7"/>
      <c r="G521" s="7"/>
      <c r="H521" s="7" t="s">
        <v>546</v>
      </c>
      <c r="I521" s="7"/>
      <c r="J521" s="21" t="n">
        <f aca="false">D521/(D521+E521)</f>
        <v>0.496350364963504</v>
      </c>
      <c r="K521" s="3" t="n">
        <f aca="false">IF(D521&gt;E521,1,0)</f>
        <v>0</v>
      </c>
      <c r="L521" s="3" t="n">
        <f aca="false">IF(OR(F521="Y",G521="Y",H521="Y"),1,0)</f>
        <v>0</v>
      </c>
      <c r="M521" s="3" t="n">
        <f aca="false">IF(H521="Y",1,0)</f>
        <v>0</v>
      </c>
      <c r="N521" s="3" t="n">
        <f aca="false">IF(I521="Y",1,0)</f>
        <v>0</v>
      </c>
    </row>
    <row r="522" customFormat="false" ht="15" hidden="false" customHeight="true" outlineLevel="0" collapsed="false">
      <c r="A522" s="7" t="s">
        <v>56</v>
      </c>
      <c r="B522" s="7" t="n">
        <v>1903</v>
      </c>
      <c r="C522" s="7" t="s">
        <v>357</v>
      </c>
      <c r="D522" s="7" t="n">
        <v>82</v>
      </c>
      <c r="E522" s="7" t="n">
        <v>56</v>
      </c>
      <c r="F522" s="7"/>
      <c r="G522" s="7"/>
      <c r="H522" s="7" t="s">
        <v>546</v>
      </c>
      <c r="I522" s="7" t="s">
        <v>546</v>
      </c>
      <c r="J522" s="21" t="n">
        <f aca="false">D522/(D522+E522)</f>
        <v>0.594202898550725</v>
      </c>
      <c r="K522" s="3" t="n">
        <f aca="false">IF(D522&gt;E522,1,0)</f>
        <v>1</v>
      </c>
      <c r="L522" s="3" t="n">
        <f aca="false">IF(OR(F522="Y",G522="Y",H522="Y"),1,0)</f>
        <v>0</v>
      </c>
      <c r="M522" s="3" t="n">
        <f aca="false">IF(H522="Y",1,0)</f>
        <v>0</v>
      </c>
      <c r="N522" s="3" t="n">
        <f aca="false">IF(I522="Y",1,0)</f>
        <v>0</v>
      </c>
    </row>
    <row r="523" customFormat="false" ht="15" hidden="false" customHeight="true" outlineLevel="0" collapsed="false">
      <c r="A523" s="7" t="s">
        <v>56</v>
      </c>
      <c r="B523" s="7" t="n">
        <v>1904</v>
      </c>
      <c r="C523" s="7" t="s">
        <v>357</v>
      </c>
      <c r="D523" s="7" t="n">
        <v>93</v>
      </c>
      <c r="E523" s="7" t="n">
        <v>60</v>
      </c>
      <c r="F523" s="7"/>
      <c r="G523" s="7"/>
      <c r="H523" s="7" t="s">
        <v>546</v>
      </c>
      <c r="I523" s="7"/>
      <c r="J523" s="21" t="n">
        <f aca="false">D523/(D523+E523)</f>
        <v>0.607843137254902</v>
      </c>
      <c r="K523" s="3" t="n">
        <f aca="false">IF(D523&gt;E523,1,0)</f>
        <v>1</v>
      </c>
      <c r="L523" s="3" t="n">
        <f aca="false">IF(OR(F523="Y",G523="Y",H523="Y"),1,0)</f>
        <v>0</v>
      </c>
      <c r="M523" s="3" t="n">
        <f aca="false">IF(H523="Y",1,0)</f>
        <v>0</v>
      </c>
      <c r="N523" s="3" t="n">
        <f aca="false">IF(I523="Y",1,0)</f>
        <v>0</v>
      </c>
    </row>
    <row r="524" customFormat="false" ht="15" hidden="false" customHeight="true" outlineLevel="0" collapsed="false">
      <c r="A524" s="7" t="s">
        <v>56</v>
      </c>
      <c r="B524" s="7" t="n">
        <v>1905</v>
      </c>
      <c r="C524" s="7" t="s">
        <v>357</v>
      </c>
      <c r="D524" s="7" t="n">
        <v>92</v>
      </c>
      <c r="E524" s="7" t="n">
        <v>61</v>
      </c>
      <c r="F524" s="7"/>
      <c r="G524" s="7"/>
      <c r="H524" s="7" t="s">
        <v>546</v>
      </c>
      <c r="I524" s="7" t="s">
        <v>546</v>
      </c>
      <c r="J524" s="21" t="n">
        <f aca="false">D524/(D524+E524)</f>
        <v>0.601307189542484</v>
      </c>
      <c r="K524" s="3" t="n">
        <f aca="false">IF(D524&gt;E524,1,0)</f>
        <v>1</v>
      </c>
      <c r="L524" s="3" t="n">
        <f aca="false">IF(OR(F524="Y",G524="Y",H524="Y"),1,0)</f>
        <v>0</v>
      </c>
      <c r="M524" s="3" t="n">
        <f aca="false">IF(H524="Y",1,0)</f>
        <v>0</v>
      </c>
      <c r="N524" s="3" t="n">
        <f aca="false">IF(I524="Y",1,0)</f>
        <v>0</v>
      </c>
    </row>
    <row r="525" customFormat="false" ht="15" hidden="false" customHeight="true" outlineLevel="0" collapsed="false">
      <c r="A525" s="7" t="s">
        <v>56</v>
      </c>
      <c r="B525" s="7" t="n">
        <v>1906</v>
      </c>
      <c r="C525" s="7" t="s">
        <v>357</v>
      </c>
      <c r="D525" s="7" t="n">
        <v>116</v>
      </c>
      <c r="E525" s="7" t="n">
        <v>36</v>
      </c>
      <c r="F525" s="7"/>
      <c r="G525" s="7"/>
      <c r="H525" s="7" t="s">
        <v>548</v>
      </c>
      <c r="I525" s="7" t="s">
        <v>546</v>
      </c>
      <c r="J525" s="21" t="n">
        <f aca="false">D525/(D525+E525)</f>
        <v>0.763157894736842</v>
      </c>
      <c r="K525" s="3" t="n">
        <f aca="false">IF(D525&gt;E525,1,0)</f>
        <v>1</v>
      </c>
      <c r="L525" s="3" t="n">
        <f aca="false">IF(OR(F525="Y",G525="Y",H525="Y"),1,0)</f>
        <v>1</v>
      </c>
      <c r="M525" s="3" t="n">
        <f aca="false">IF(H525="Y",1,0)</f>
        <v>1</v>
      </c>
      <c r="N525" s="3" t="n">
        <f aca="false">IF(I525="Y",1,0)</f>
        <v>0</v>
      </c>
    </row>
    <row r="526" customFormat="false" ht="15" hidden="false" customHeight="true" outlineLevel="0" collapsed="false">
      <c r="A526" s="7" t="s">
        <v>56</v>
      </c>
      <c r="B526" s="7" t="n">
        <v>1907</v>
      </c>
      <c r="C526" s="7" t="s">
        <v>357</v>
      </c>
      <c r="D526" s="7" t="n">
        <v>107</v>
      </c>
      <c r="E526" s="7" t="n">
        <v>45</v>
      </c>
      <c r="F526" s="7"/>
      <c r="G526" s="7"/>
      <c r="H526" s="7" t="s">
        <v>548</v>
      </c>
      <c r="I526" s="7" t="s">
        <v>548</v>
      </c>
      <c r="J526" s="21" t="n">
        <f aca="false">D526/(D526+E526)</f>
        <v>0.703947368421053</v>
      </c>
      <c r="K526" s="3" t="n">
        <f aca="false">IF(D526&gt;E526,1,0)</f>
        <v>1</v>
      </c>
      <c r="L526" s="3" t="n">
        <f aca="false">IF(OR(F526="Y",G526="Y",H526="Y"),1,0)</f>
        <v>1</v>
      </c>
      <c r="M526" s="3" t="n">
        <f aca="false">IF(H526="Y",1,0)</f>
        <v>1</v>
      </c>
      <c r="N526" s="3" t="n">
        <f aca="false">IF(I526="Y",1,0)</f>
        <v>1</v>
      </c>
    </row>
    <row r="527" customFormat="false" ht="15" hidden="false" customHeight="true" outlineLevel="0" collapsed="false">
      <c r="A527" s="7" t="s">
        <v>56</v>
      </c>
      <c r="B527" s="7" t="n">
        <v>1908</v>
      </c>
      <c r="C527" s="7" t="s">
        <v>357</v>
      </c>
      <c r="D527" s="7" t="n">
        <v>99</v>
      </c>
      <c r="E527" s="7" t="n">
        <v>55</v>
      </c>
      <c r="F527" s="7"/>
      <c r="G527" s="7"/>
      <c r="H527" s="7" t="s">
        <v>548</v>
      </c>
      <c r="I527" s="7" t="s">
        <v>548</v>
      </c>
      <c r="J527" s="21" t="n">
        <f aca="false">D527/(D527+E527)</f>
        <v>0.642857142857143</v>
      </c>
      <c r="K527" s="3" t="n">
        <f aca="false">IF(D527&gt;E527,1,0)</f>
        <v>1</v>
      </c>
      <c r="L527" s="3" t="n">
        <f aca="false">IF(OR(F527="Y",G527="Y",H527="Y"),1,0)</f>
        <v>1</v>
      </c>
      <c r="M527" s="3" t="n">
        <f aca="false">IF(H527="Y",1,0)</f>
        <v>1</v>
      </c>
      <c r="N527" s="3" t="n">
        <f aca="false">IF(I527="Y",1,0)</f>
        <v>1</v>
      </c>
    </row>
    <row r="528" customFormat="false" ht="15" hidden="false" customHeight="true" outlineLevel="0" collapsed="false">
      <c r="A528" s="7" t="s">
        <v>56</v>
      </c>
      <c r="B528" s="7" t="n">
        <v>1909</v>
      </c>
      <c r="C528" s="7" t="s">
        <v>357</v>
      </c>
      <c r="D528" s="7" t="n">
        <v>104</v>
      </c>
      <c r="E528" s="7" t="n">
        <v>49</v>
      </c>
      <c r="F528" s="7"/>
      <c r="G528" s="7"/>
      <c r="H528" s="7" t="s">
        <v>546</v>
      </c>
      <c r="I528" s="7" t="s">
        <v>546</v>
      </c>
      <c r="J528" s="21" t="n">
        <f aca="false">D528/(D528+E528)</f>
        <v>0.679738562091503</v>
      </c>
      <c r="K528" s="3" t="n">
        <f aca="false">IF(D528&gt;E528,1,0)</f>
        <v>1</v>
      </c>
      <c r="L528" s="3" t="n">
        <f aca="false">IF(OR(F528="Y",G528="Y",H528="Y"),1,0)</f>
        <v>0</v>
      </c>
      <c r="M528" s="3" t="n">
        <f aca="false">IF(H528="Y",1,0)</f>
        <v>0</v>
      </c>
      <c r="N528" s="3" t="n">
        <f aca="false">IF(I528="Y",1,0)</f>
        <v>0</v>
      </c>
    </row>
    <row r="529" customFormat="false" ht="15" hidden="false" customHeight="true" outlineLevel="0" collapsed="false">
      <c r="A529" s="7" t="s">
        <v>56</v>
      </c>
      <c r="B529" s="7" t="n">
        <v>1910</v>
      </c>
      <c r="C529" s="7" t="s">
        <v>357</v>
      </c>
      <c r="D529" s="7" t="n">
        <v>104</v>
      </c>
      <c r="E529" s="7" t="n">
        <v>50</v>
      </c>
      <c r="F529" s="7"/>
      <c r="G529" s="7"/>
      <c r="H529" s="7" t="s">
        <v>548</v>
      </c>
      <c r="I529" s="7" t="s">
        <v>546</v>
      </c>
      <c r="J529" s="21" t="n">
        <f aca="false">D529/(D529+E529)</f>
        <v>0.675324675324675</v>
      </c>
      <c r="K529" s="3" t="n">
        <f aca="false">IF(D529&gt;E529,1,0)</f>
        <v>1</v>
      </c>
      <c r="L529" s="3" t="n">
        <f aca="false">IF(OR(F529="Y",G529="Y",H529="Y"),1,0)</f>
        <v>1</v>
      </c>
      <c r="M529" s="3" t="n">
        <f aca="false">IF(H529="Y",1,0)</f>
        <v>1</v>
      </c>
      <c r="N529" s="3" t="n">
        <f aca="false">IF(I529="Y",1,0)</f>
        <v>0</v>
      </c>
    </row>
    <row r="530" customFormat="false" ht="15" hidden="false" customHeight="true" outlineLevel="0" collapsed="false">
      <c r="A530" s="7" t="s">
        <v>56</v>
      </c>
      <c r="B530" s="7" t="n">
        <v>1911</v>
      </c>
      <c r="C530" s="7" t="s">
        <v>357</v>
      </c>
      <c r="D530" s="7" t="n">
        <v>92</v>
      </c>
      <c r="E530" s="7" t="n">
        <v>62</v>
      </c>
      <c r="F530" s="7"/>
      <c r="G530" s="7"/>
      <c r="H530" s="7" t="s">
        <v>546</v>
      </c>
      <c r="I530" s="7" t="s">
        <v>546</v>
      </c>
      <c r="J530" s="21" t="n">
        <f aca="false">D530/(D530+E530)</f>
        <v>0.597402597402597</v>
      </c>
      <c r="K530" s="3" t="n">
        <f aca="false">IF(D530&gt;E530,1,0)</f>
        <v>1</v>
      </c>
      <c r="L530" s="3" t="n">
        <f aca="false">IF(OR(F530="Y",G530="Y",H530="Y"),1,0)</f>
        <v>0</v>
      </c>
      <c r="M530" s="3" t="n">
        <f aca="false">IF(H530="Y",1,0)</f>
        <v>0</v>
      </c>
      <c r="N530" s="3" t="n">
        <f aca="false">IF(I530="Y",1,0)</f>
        <v>0</v>
      </c>
    </row>
    <row r="531" customFormat="false" ht="15" hidden="false" customHeight="true" outlineLevel="0" collapsed="false">
      <c r="A531" s="7" t="s">
        <v>56</v>
      </c>
      <c r="B531" s="7" t="n">
        <v>1912</v>
      </c>
      <c r="C531" s="7" t="s">
        <v>357</v>
      </c>
      <c r="D531" s="7" t="n">
        <v>91</v>
      </c>
      <c r="E531" s="7" t="n">
        <v>59</v>
      </c>
      <c r="F531" s="7"/>
      <c r="G531" s="7"/>
      <c r="H531" s="7" t="s">
        <v>546</v>
      </c>
      <c r="I531" s="7" t="s">
        <v>546</v>
      </c>
      <c r="J531" s="21" t="n">
        <f aca="false">D531/(D531+E531)</f>
        <v>0.606666666666667</v>
      </c>
      <c r="K531" s="3" t="n">
        <f aca="false">IF(D531&gt;E531,1,0)</f>
        <v>1</v>
      </c>
      <c r="L531" s="3" t="n">
        <f aca="false">IF(OR(F531="Y",G531="Y",H531="Y"),1,0)</f>
        <v>0</v>
      </c>
      <c r="M531" s="3" t="n">
        <f aca="false">IF(H531="Y",1,0)</f>
        <v>0</v>
      </c>
      <c r="N531" s="3" t="n">
        <f aca="false">IF(I531="Y",1,0)</f>
        <v>0</v>
      </c>
    </row>
    <row r="532" customFormat="false" ht="15" hidden="false" customHeight="true" outlineLevel="0" collapsed="false">
      <c r="A532" s="7" t="s">
        <v>56</v>
      </c>
      <c r="B532" s="7" t="n">
        <v>1913</v>
      </c>
      <c r="C532" s="7" t="s">
        <v>357</v>
      </c>
      <c r="D532" s="7" t="n">
        <v>88</v>
      </c>
      <c r="E532" s="7" t="n">
        <v>65</v>
      </c>
      <c r="F532" s="7"/>
      <c r="G532" s="7"/>
      <c r="H532" s="7" t="s">
        <v>546</v>
      </c>
      <c r="I532" s="7" t="s">
        <v>546</v>
      </c>
      <c r="J532" s="21" t="n">
        <f aca="false">D532/(D532+E532)</f>
        <v>0.57516339869281</v>
      </c>
      <c r="K532" s="3" t="n">
        <f aca="false">IF(D532&gt;E532,1,0)</f>
        <v>1</v>
      </c>
      <c r="L532" s="3" t="n">
        <f aca="false">IF(OR(F532="Y",G532="Y",H532="Y"),1,0)</f>
        <v>0</v>
      </c>
      <c r="M532" s="3" t="n">
        <f aca="false">IF(H532="Y",1,0)</f>
        <v>0</v>
      </c>
      <c r="N532" s="3" t="n">
        <f aca="false">IF(I532="Y",1,0)</f>
        <v>0</v>
      </c>
    </row>
    <row r="533" customFormat="false" ht="15" hidden="false" customHeight="true" outlineLevel="0" collapsed="false">
      <c r="A533" s="7" t="s">
        <v>56</v>
      </c>
      <c r="B533" s="7" t="n">
        <v>1914</v>
      </c>
      <c r="C533" s="7" t="s">
        <v>357</v>
      </c>
      <c r="D533" s="7" t="n">
        <v>78</v>
      </c>
      <c r="E533" s="7" t="n">
        <v>76</v>
      </c>
      <c r="F533" s="7"/>
      <c r="G533" s="7"/>
      <c r="H533" s="7" t="s">
        <v>546</v>
      </c>
      <c r="I533" s="7" t="s">
        <v>546</v>
      </c>
      <c r="J533" s="21" t="n">
        <f aca="false">D533/(D533+E533)</f>
        <v>0.506493506493506</v>
      </c>
      <c r="K533" s="3" t="n">
        <f aca="false">IF(D533&gt;E533,1,0)</f>
        <v>1</v>
      </c>
      <c r="L533" s="3" t="n">
        <f aca="false">IF(OR(F533="Y",G533="Y",H533="Y"),1,0)</f>
        <v>0</v>
      </c>
      <c r="M533" s="3" t="n">
        <f aca="false">IF(H533="Y",1,0)</f>
        <v>0</v>
      </c>
      <c r="N533" s="3" t="n">
        <f aca="false">IF(I533="Y",1,0)</f>
        <v>0</v>
      </c>
    </row>
    <row r="534" customFormat="false" ht="15" hidden="false" customHeight="true" outlineLevel="0" collapsed="false">
      <c r="A534" s="7" t="s">
        <v>56</v>
      </c>
      <c r="B534" s="7" t="n">
        <v>1915</v>
      </c>
      <c r="C534" s="7" t="s">
        <v>357</v>
      </c>
      <c r="D534" s="7" t="n">
        <v>73</v>
      </c>
      <c r="E534" s="7" t="n">
        <v>80</v>
      </c>
      <c r="F534" s="7"/>
      <c r="G534" s="7"/>
      <c r="H534" s="7" t="s">
        <v>546</v>
      </c>
      <c r="I534" s="7" t="s">
        <v>546</v>
      </c>
      <c r="J534" s="21" t="n">
        <f aca="false">D534/(D534+E534)</f>
        <v>0.477124183006536</v>
      </c>
      <c r="K534" s="3" t="n">
        <f aca="false">IF(D534&gt;E534,1,0)</f>
        <v>0</v>
      </c>
      <c r="L534" s="3" t="n">
        <f aca="false">IF(OR(F534="Y",G534="Y",H534="Y"),1,0)</f>
        <v>0</v>
      </c>
      <c r="M534" s="3" t="n">
        <f aca="false">IF(H534="Y",1,0)</f>
        <v>0</v>
      </c>
      <c r="N534" s="3" t="n">
        <f aca="false">IF(I534="Y",1,0)</f>
        <v>0</v>
      </c>
    </row>
    <row r="535" customFormat="false" ht="15" hidden="false" customHeight="true" outlineLevel="0" collapsed="false">
      <c r="A535" s="7" t="s">
        <v>56</v>
      </c>
      <c r="B535" s="7" t="n">
        <v>1916</v>
      </c>
      <c r="C535" s="7" t="s">
        <v>357</v>
      </c>
      <c r="D535" s="7" t="n">
        <v>67</v>
      </c>
      <c r="E535" s="7" t="n">
        <v>86</v>
      </c>
      <c r="F535" s="7"/>
      <c r="G535" s="7"/>
      <c r="H535" s="7" t="s">
        <v>546</v>
      </c>
      <c r="I535" s="7" t="s">
        <v>546</v>
      </c>
      <c r="J535" s="21" t="n">
        <f aca="false">D535/(D535+E535)</f>
        <v>0.437908496732026</v>
      </c>
      <c r="K535" s="3" t="n">
        <f aca="false">IF(D535&gt;E535,1,0)</f>
        <v>0</v>
      </c>
      <c r="L535" s="3" t="n">
        <f aca="false">IF(OR(F535="Y",G535="Y",H535="Y"),1,0)</f>
        <v>0</v>
      </c>
      <c r="M535" s="3" t="n">
        <f aca="false">IF(H535="Y",1,0)</f>
        <v>0</v>
      </c>
      <c r="N535" s="3" t="n">
        <f aca="false">IF(I535="Y",1,0)</f>
        <v>0</v>
      </c>
    </row>
    <row r="536" customFormat="false" ht="15" hidden="false" customHeight="true" outlineLevel="0" collapsed="false">
      <c r="A536" s="7" t="s">
        <v>56</v>
      </c>
      <c r="B536" s="7" t="n">
        <v>1917</v>
      </c>
      <c r="C536" s="7" t="s">
        <v>357</v>
      </c>
      <c r="D536" s="7" t="n">
        <v>74</v>
      </c>
      <c r="E536" s="7" t="n">
        <v>80</v>
      </c>
      <c r="F536" s="7"/>
      <c r="G536" s="7"/>
      <c r="H536" s="7" t="s">
        <v>546</v>
      </c>
      <c r="I536" s="7" t="s">
        <v>546</v>
      </c>
      <c r="J536" s="21" t="n">
        <f aca="false">D536/(D536+E536)</f>
        <v>0.480519480519481</v>
      </c>
      <c r="K536" s="3" t="n">
        <f aca="false">IF(D536&gt;E536,1,0)</f>
        <v>0</v>
      </c>
      <c r="L536" s="3" t="n">
        <f aca="false">IF(OR(F536="Y",G536="Y",H536="Y"),1,0)</f>
        <v>0</v>
      </c>
      <c r="M536" s="3" t="n">
        <f aca="false">IF(H536="Y",1,0)</f>
        <v>0</v>
      </c>
      <c r="N536" s="3" t="n">
        <f aca="false">IF(I536="Y",1,0)</f>
        <v>0</v>
      </c>
    </row>
    <row r="537" customFormat="false" ht="15" hidden="false" customHeight="true" outlineLevel="0" collapsed="false">
      <c r="A537" s="7" t="s">
        <v>56</v>
      </c>
      <c r="B537" s="7" t="n">
        <v>1918</v>
      </c>
      <c r="C537" s="7" t="s">
        <v>357</v>
      </c>
      <c r="D537" s="7" t="n">
        <v>84</v>
      </c>
      <c r="E537" s="7" t="n">
        <v>45</v>
      </c>
      <c r="F537" s="7"/>
      <c r="G537" s="7"/>
      <c r="H537" s="7" t="s">
        <v>548</v>
      </c>
      <c r="I537" s="7" t="s">
        <v>546</v>
      </c>
      <c r="J537" s="21" t="n">
        <f aca="false">D537/(D537+E537)</f>
        <v>0.651162790697675</v>
      </c>
      <c r="K537" s="3" t="n">
        <f aca="false">IF(D537&gt;E537,1,0)</f>
        <v>1</v>
      </c>
      <c r="L537" s="3" t="n">
        <f aca="false">IF(OR(F537="Y",G537="Y",H537="Y"),1,0)</f>
        <v>1</v>
      </c>
      <c r="M537" s="3" t="n">
        <f aca="false">IF(H537="Y",1,0)</f>
        <v>1</v>
      </c>
      <c r="N537" s="3" t="n">
        <f aca="false">IF(I537="Y",1,0)</f>
        <v>0</v>
      </c>
    </row>
    <row r="538" customFormat="false" ht="15" hidden="false" customHeight="true" outlineLevel="0" collapsed="false">
      <c r="A538" s="7" t="s">
        <v>56</v>
      </c>
      <c r="B538" s="7" t="n">
        <v>1919</v>
      </c>
      <c r="C538" s="7" t="s">
        <v>357</v>
      </c>
      <c r="D538" s="7" t="n">
        <v>75</v>
      </c>
      <c r="E538" s="7" t="n">
        <v>65</v>
      </c>
      <c r="F538" s="7"/>
      <c r="G538" s="7"/>
      <c r="H538" s="7" t="s">
        <v>546</v>
      </c>
      <c r="I538" s="7" t="s">
        <v>546</v>
      </c>
      <c r="J538" s="21" t="n">
        <f aca="false">D538/(D538+E538)</f>
        <v>0.535714285714286</v>
      </c>
      <c r="K538" s="3" t="n">
        <f aca="false">IF(D538&gt;E538,1,0)</f>
        <v>1</v>
      </c>
      <c r="L538" s="3" t="n">
        <f aca="false">IF(OR(F538="Y",G538="Y",H538="Y"),1,0)</f>
        <v>0</v>
      </c>
      <c r="M538" s="3" t="n">
        <f aca="false">IF(H538="Y",1,0)</f>
        <v>0</v>
      </c>
      <c r="N538" s="3" t="n">
        <f aca="false">IF(I538="Y",1,0)</f>
        <v>0</v>
      </c>
    </row>
    <row r="539" customFormat="false" ht="15" hidden="false" customHeight="true" outlineLevel="0" collapsed="false">
      <c r="A539" s="7" t="s">
        <v>56</v>
      </c>
      <c r="B539" s="7" t="n">
        <v>1920</v>
      </c>
      <c r="C539" s="7" t="s">
        <v>357</v>
      </c>
      <c r="D539" s="7" t="n">
        <v>75</v>
      </c>
      <c r="E539" s="7" t="n">
        <v>79</v>
      </c>
      <c r="F539" s="7"/>
      <c r="G539" s="7"/>
      <c r="H539" s="7" t="s">
        <v>546</v>
      </c>
      <c r="I539" s="7" t="s">
        <v>546</v>
      </c>
      <c r="J539" s="21" t="n">
        <f aca="false">D539/(D539+E539)</f>
        <v>0.487012987012987</v>
      </c>
      <c r="K539" s="3" t="n">
        <f aca="false">IF(D539&gt;E539,1,0)</f>
        <v>0</v>
      </c>
      <c r="L539" s="3" t="n">
        <f aca="false">IF(OR(F539="Y",G539="Y",H539="Y"),1,0)</f>
        <v>0</v>
      </c>
      <c r="M539" s="3" t="n">
        <f aca="false">IF(H539="Y",1,0)</f>
        <v>0</v>
      </c>
      <c r="N539" s="3" t="n">
        <f aca="false">IF(I539="Y",1,0)</f>
        <v>0</v>
      </c>
    </row>
    <row r="540" customFormat="false" ht="15" hidden="false" customHeight="true" outlineLevel="0" collapsed="false">
      <c r="A540" s="7" t="s">
        <v>56</v>
      </c>
      <c r="B540" s="7" t="n">
        <v>1921</v>
      </c>
      <c r="C540" s="7" t="s">
        <v>357</v>
      </c>
      <c r="D540" s="7" t="n">
        <v>64</v>
      </c>
      <c r="E540" s="7" t="n">
        <v>89</v>
      </c>
      <c r="F540" s="7"/>
      <c r="G540" s="7"/>
      <c r="H540" s="7" t="s">
        <v>546</v>
      </c>
      <c r="I540" s="7" t="s">
        <v>546</v>
      </c>
      <c r="J540" s="21" t="n">
        <f aca="false">D540/(D540+E540)</f>
        <v>0.418300653594771</v>
      </c>
      <c r="K540" s="3" t="n">
        <f aca="false">IF(D540&gt;E540,1,0)</f>
        <v>0</v>
      </c>
      <c r="L540" s="3" t="n">
        <f aca="false">IF(OR(F540="Y",G540="Y",H540="Y"),1,0)</f>
        <v>0</v>
      </c>
      <c r="M540" s="3" t="n">
        <f aca="false">IF(H540="Y",1,0)</f>
        <v>0</v>
      </c>
      <c r="N540" s="3" t="n">
        <f aca="false">IF(I540="Y",1,0)</f>
        <v>0</v>
      </c>
    </row>
    <row r="541" customFormat="false" ht="15" hidden="false" customHeight="true" outlineLevel="0" collapsed="false">
      <c r="A541" s="7" t="s">
        <v>56</v>
      </c>
      <c r="B541" s="7" t="n">
        <v>1922</v>
      </c>
      <c r="C541" s="7" t="s">
        <v>357</v>
      </c>
      <c r="D541" s="7" t="n">
        <v>80</v>
      </c>
      <c r="E541" s="7" t="n">
        <v>74</v>
      </c>
      <c r="F541" s="7"/>
      <c r="G541" s="7"/>
      <c r="H541" s="7" t="s">
        <v>546</v>
      </c>
      <c r="I541" s="7" t="s">
        <v>546</v>
      </c>
      <c r="J541" s="21" t="n">
        <f aca="false">D541/(D541+E541)</f>
        <v>0.519480519480519</v>
      </c>
      <c r="K541" s="3" t="n">
        <f aca="false">IF(D541&gt;E541,1,0)</f>
        <v>1</v>
      </c>
      <c r="L541" s="3" t="n">
        <f aca="false">IF(OR(F541="Y",G541="Y",H541="Y"),1,0)</f>
        <v>0</v>
      </c>
      <c r="M541" s="3" t="n">
        <f aca="false">IF(H541="Y",1,0)</f>
        <v>0</v>
      </c>
      <c r="N541" s="3" t="n">
        <f aca="false">IF(I541="Y",1,0)</f>
        <v>0</v>
      </c>
    </row>
    <row r="542" customFormat="false" ht="15" hidden="false" customHeight="true" outlineLevel="0" collapsed="false">
      <c r="A542" s="7" t="s">
        <v>56</v>
      </c>
      <c r="B542" s="7" t="n">
        <v>1923</v>
      </c>
      <c r="C542" s="7" t="s">
        <v>357</v>
      </c>
      <c r="D542" s="7" t="n">
        <v>83</v>
      </c>
      <c r="E542" s="7" t="n">
        <v>71</v>
      </c>
      <c r="F542" s="7"/>
      <c r="G542" s="7"/>
      <c r="H542" s="7" t="s">
        <v>546</v>
      </c>
      <c r="I542" s="7" t="s">
        <v>546</v>
      </c>
      <c r="J542" s="21" t="n">
        <f aca="false">D542/(D542+E542)</f>
        <v>0.538961038961039</v>
      </c>
      <c r="K542" s="3" t="n">
        <f aca="false">IF(D542&gt;E542,1,0)</f>
        <v>1</v>
      </c>
      <c r="L542" s="3" t="n">
        <f aca="false">IF(OR(F542="Y",G542="Y",H542="Y"),1,0)</f>
        <v>0</v>
      </c>
      <c r="M542" s="3" t="n">
        <f aca="false">IF(H542="Y",1,0)</f>
        <v>0</v>
      </c>
      <c r="N542" s="3" t="n">
        <f aca="false">IF(I542="Y",1,0)</f>
        <v>0</v>
      </c>
    </row>
    <row r="543" customFormat="false" ht="15" hidden="false" customHeight="true" outlineLevel="0" collapsed="false">
      <c r="A543" s="7" t="s">
        <v>56</v>
      </c>
      <c r="B543" s="7" t="n">
        <v>1924</v>
      </c>
      <c r="C543" s="7" t="s">
        <v>357</v>
      </c>
      <c r="D543" s="7" t="n">
        <v>81</v>
      </c>
      <c r="E543" s="7" t="n">
        <v>72</v>
      </c>
      <c r="F543" s="7"/>
      <c r="G543" s="7"/>
      <c r="H543" s="7" t="s">
        <v>546</v>
      </c>
      <c r="I543" s="7" t="s">
        <v>546</v>
      </c>
      <c r="J543" s="21" t="n">
        <f aca="false">D543/(D543+E543)</f>
        <v>0.529411764705882</v>
      </c>
      <c r="K543" s="3" t="n">
        <f aca="false">IF(D543&gt;E543,1,0)</f>
        <v>1</v>
      </c>
      <c r="L543" s="3" t="n">
        <f aca="false">IF(OR(F543="Y",G543="Y",H543="Y"),1,0)</f>
        <v>0</v>
      </c>
      <c r="M543" s="3" t="n">
        <f aca="false">IF(H543="Y",1,0)</f>
        <v>0</v>
      </c>
      <c r="N543" s="3" t="n">
        <f aca="false">IF(I543="Y",1,0)</f>
        <v>0</v>
      </c>
    </row>
    <row r="544" customFormat="false" ht="15" hidden="false" customHeight="true" outlineLevel="0" collapsed="false">
      <c r="A544" s="7" t="s">
        <v>56</v>
      </c>
      <c r="B544" s="7" t="n">
        <v>1925</v>
      </c>
      <c r="C544" s="7" t="s">
        <v>357</v>
      </c>
      <c r="D544" s="7" t="n">
        <v>68</v>
      </c>
      <c r="E544" s="7" t="n">
        <v>86</v>
      </c>
      <c r="F544" s="7"/>
      <c r="G544" s="7"/>
      <c r="H544" s="7" t="s">
        <v>546</v>
      </c>
      <c r="I544" s="7" t="s">
        <v>546</v>
      </c>
      <c r="J544" s="21" t="n">
        <f aca="false">D544/(D544+E544)</f>
        <v>0.441558441558442</v>
      </c>
      <c r="K544" s="3" t="n">
        <f aca="false">IF(D544&gt;E544,1,0)</f>
        <v>0</v>
      </c>
      <c r="L544" s="3" t="n">
        <f aca="false">IF(OR(F544="Y",G544="Y",H544="Y"),1,0)</f>
        <v>0</v>
      </c>
      <c r="M544" s="3" t="n">
        <f aca="false">IF(H544="Y",1,0)</f>
        <v>0</v>
      </c>
      <c r="N544" s="3" t="n">
        <f aca="false">IF(I544="Y",1,0)</f>
        <v>0</v>
      </c>
    </row>
    <row r="545" customFormat="false" ht="15" hidden="false" customHeight="true" outlineLevel="0" collapsed="false">
      <c r="A545" s="7" t="s">
        <v>56</v>
      </c>
      <c r="B545" s="7" t="n">
        <v>1926</v>
      </c>
      <c r="C545" s="7" t="s">
        <v>357</v>
      </c>
      <c r="D545" s="7" t="n">
        <v>82</v>
      </c>
      <c r="E545" s="7" t="n">
        <v>72</v>
      </c>
      <c r="F545" s="7"/>
      <c r="G545" s="7"/>
      <c r="H545" s="7" t="s">
        <v>546</v>
      </c>
      <c r="I545" s="7" t="s">
        <v>546</v>
      </c>
      <c r="J545" s="21" t="n">
        <f aca="false">D545/(D545+E545)</f>
        <v>0.532467532467532</v>
      </c>
      <c r="K545" s="3" t="n">
        <f aca="false">IF(D545&gt;E545,1,0)</f>
        <v>1</v>
      </c>
      <c r="L545" s="3" t="n">
        <f aca="false">IF(OR(F545="Y",G545="Y",H545="Y"),1,0)</f>
        <v>0</v>
      </c>
      <c r="M545" s="3" t="n">
        <f aca="false">IF(H545="Y",1,0)</f>
        <v>0</v>
      </c>
      <c r="N545" s="3" t="n">
        <f aca="false">IF(I545="Y",1,0)</f>
        <v>0</v>
      </c>
    </row>
    <row r="546" customFormat="false" ht="15" hidden="false" customHeight="true" outlineLevel="0" collapsed="false">
      <c r="A546" s="7" t="s">
        <v>56</v>
      </c>
      <c r="B546" s="7" t="n">
        <v>1927</v>
      </c>
      <c r="C546" s="7" t="s">
        <v>357</v>
      </c>
      <c r="D546" s="7" t="n">
        <v>85</v>
      </c>
      <c r="E546" s="7" t="n">
        <v>68</v>
      </c>
      <c r="F546" s="7"/>
      <c r="G546" s="7"/>
      <c r="H546" s="7" t="s">
        <v>546</v>
      </c>
      <c r="I546" s="7" t="s">
        <v>546</v>
      </c>
      <c r="J546" s="21" t="n">
        <f aca="false">D546/(D546+E546)</f>
        <v>0.555555555555556</v>
      </c>
      <c r="K546" s="3" t="n">
        <f aca="false">IF(D546&gt;E546,1,0)</f>
        <v>1</v>
      </c>
      <c r="L546" s="3" t="n">
        <f aca="false">IF(OR(F546="Y",G546="Y",H546="Y"),1,0)</f>
        <v>0</v>
      </c>
      <c r="M546" s="3" t="n">
        <f aca="false">IF(H546="Y",1,0)</f>
        <v>0</v>
      </c>
      <c r="N546" s="3" t="n">
        <f aca="false">IF(I546="Y",1,0)</f>
        <v>0</v>
      </c>
    </row>
    <row r="547" customFormat="false" ht="15" hidden="false" customHeight="true" outlineLevel="0" collapsed="false">
      <c r="A547" s="7" t="s">
        <v>56</v>
      </c>
      <c r="B547" s="7" t="n">
        <v>1928</v>
      </c>
      <c r="C547" s="7" t="s">
        <v>357</v>
      </c>
      <c r="D547" s="7" t="n">
        <v>91</v>
      </c>
      <c r="E547" s="7" t="n">
        <v>63</v>
      </c>
      <c r="F547" s="7"/>
      <c r="G547" s="7"/>
      <c r="H547" s="7" t="s">
        <v>546</v>
      </c>
      <c r="I547" s="7" t="s">
        <v>546</v>
      </c>
      <c r="J547" s="21" t="n">
        <f aca="false">D547/(D547+E547)</f>
        <v>0.590909090909091</v>
      </c>
      <c r="K547" s="3" t="n">
        <f aca="false">IF(D547&gt;E547,1,0)</f>
        <v>1</v>
      </c>
      <c r="L547" s="3" t="n">
        <f aca="false">IF(OR(F547="Y",G547="Y",H547="Y"),1,0)</f>
        <v>0</v>
      </c>
      <c r="M547" s="3" t="n">
        <f aca="false">IF(H547="Y",1,0)</f>
        <v>0</v>
      </c>
      <c r="N547" s="3" t="n">
        <f aca="false">IF(I547="Y",1,0)</f>
        <v>0</v>
      </c>
    </row>
    <row r="548" customFormat="false" ht="15" hidden="false" customHeight="true" outlineLevel="0" collapsed="false">
      <c r="A548" s="7" t="s">
        <v>56</v>
      </c>
      <c r="B548" s="7" t="n">
        <v>1929</v>
      </c>
      <c r="C548" s="7" t="s">
        <v>357</v>
      </c>
      <c r="D548" s="7" t="n">
        <v>98</v>
      </c>
      <c r="E548" s="7" t="n">
        <v>54</v>
      </c>
      <c r="F548" s="7"/>
      <c r="G548" s="7"/>
      <c r="H548" s="7" t="s">
        <v>548</v>
      </c>
      <c r="I548" s="7" t="s">
        <v>546</v>
      </c>
      <c r="J548" s="21" t="n">
        <f aca="false">D548/(D548+E548)</f>
        <v>0.644736842105263</v>
      </c>
      <c r="K548" s="3" t="n">
        <f aca="false">IF(D548&gt;E548,1,0)</f>
        <v>1</v>
      </c>
      <c r="L548" s="3" t="n">
        <f aca="false">IF(OR(F548="Y",G548="Y",H548="Y"),1,0)</f>
        <v>1</v>
      </c>
      <c r="M548" s="3" t="n">
        <f aca="false">IF(H548="Y",1,0)</f>
        <v>1</v>
      </c>
      <c r="N548" s="3" t="n">
        <f aca="false">IF(I548="Y",1,0)</f>
        <v>0</v>
      </c>
    </row>
    <row r="549" customFormat="false" ht="15" hidden="false" customHeight="true" outlineLevel="0" collapsed="false">
      <c r="A549" s="7" t="s">
        <v>56</v>
      </c>
      <c r="B549" s="7" t="n">
        <v>1930</v>
      </c>
      <c r="C549" s="7" t="s">
        <v>357</v>
      </c>
      <c r="D549" s="7" t="n">
        <v>90</v>
      </c>
      <c r="E549" s="7" t="n">
        <v>64</v>
      </c>
      <c r="F549" s="7"/>
      <c r="G549" s="7"/>
      <c r="H549" s="7" t="s">
        <v>546</v>
      </c>
      <c r="I549" s="7" t="s">
        <v>546</v>
      </c>
      <c r="J549" s="21" t="n">
        <f aca="false">D549/(D549+E549)</f>
        <v>0.584415584415584</v>
      </c>
      <c r="K549" s="3" t="n">
        <f aca="false">IF(D549&gt;E549,1,0)</f>
        <v>1</v>
      </c>
      <c r="L549" s="3" t="n">
        <f aca="false">IF(OR(F549="Y",G549="Y",H549="Y"),1,0)</f>
        <v>0</v>
      </c>
      <c r="M549" s="3" t="n">
        <f aca="false">IF(H549="Y",1,0)</f>
        <v>0</v>
      </c>
      <c r="N549" s="3" t="n">
        <f aca="false">IF(I549="Y",1,0)</f>
        <v>0</v>
      </c>
    </row>
    <row r="550" customFormat="false" ht="15" hidden="false" customHeight="true" outlineLevel="0" collapsed="false">
      <c r="A550" s="7" t="s">
        <v>56</v>
      </c>
      <c r="B550" s="7" t="n">
        <v>1931</v>
      </c>
      <c r="C550" s="7" t="s">
        <v>357</v>
      </c>
      <c r="D550" s="7" t="n">
        <v>84</v>
      </c>
      <c r="E550" s="7" t="n">
        <v>70</v>
      </c>
      <c r="F550" s="7"/>
      <c r="G550" s="7"/>
      <c r="H550" s="7" t="s">
        <v>546</v>
      </c>
      <c r="I550" s="7" t="s">
        <v>546</v>
      </c>
      <c r="J550" s="21" t="n">
        <f aca="false">D550/(D550+E550)</f>
        <v>0.545454545454545</v>
      </c>
      <c r="K550" s="3" t="n">
        <f aca="false">IF(D550&gt;E550,1,0)</f>
        <v>1</v>
      </c>
      <c r="L550" s="3" t="n">
        <f aca="false">IF(OR(F550="Y",G550="Y",H550="Y"),1,0)</f>
        <v>0</v>
      </c>
      <c r="M550" s="3" t="n">
        <f aca="false">IF(H550="Y",1,0)</f>
        <v>0</v>
      </c>
      <c r="N550" s="3" t="n">
        <f aca="false">IF(I550="Y",1,0)</f>
        <v>0</v>
      </c>
    </row>
    <row r="551" customFormat="false" ht="15" hidden="false" customHeight="true" outlineLevel="0" collapsed="false">
      <c r="A551" s="7" t="s">
        <v>56</v>
      </c>
      <c r="B551" s="7" t="n">
        <v>1932</v>
      </c>
      <c r="C551" s="7" t="s">
        <v>357</v>
      </c>
      <c r="D551" s="7" t="n">
        <v>90</v>
      </c>
      <c r="E551" s="7" t="n">
        <v>64</v>
      </c>
      <c r="F551" s="7"/>
      <c r="G551" s="7"/>
      <c r="H551" s="7" t="s">
        <v>548</v>
      </c>
      <c r="I551" s="7" t="s">
        <v>546</v>
      </c>
      <c r="J551" s="21" t="n">
        <f aca="false">D551/(D551+E551)</f>
        <v>0.584415584415584</v>
      </c>
      <c r="K551" s="3" t="n">
        <f aca="false">IF(D551&gt;E551,1,0)</f>
        <v>1</v>
      </c>
      <c r="L551" s="3" t="n">
        <f aca="false">IF(OR(F551="Y",G551="Y",H551="Y"),1,0)</f>
        <v>1</v>
      </c>
      <c r="M551" s="3" t="n">
        <f aca="false">IF(H551="Y",1,0)</f>
        <v>1</v>
      </c>
      <c r="N551" s="3" t="n">
        <f aca="false">IF(I551="Y",1,0)</f>
        <v>0</v>
      </c>
    </row>
    <row r="552" customFormat="false" ht="15" hidden="false" customHeight="true" outlineLevel="0" collapsed="false">
      <c r="A552" s="7" t="s">
        <v>56</v>
      </c>
      <c r="B552" s="7" t="n">
        <v>1933</v>
      </c>
      <c r="C552" s="7" t="s">
        <v>357</v>
      </c>
      <c r="D552" s="7" t="n">
        <v>86</v>
      </c>
      <c r="E552" s="7" t="n">
        <v>68</v>
      </c>
      <c r="F552" s="7"/>
      <c r="G552" s="7"/>
      <c r="H552" s="7" t="s">
        <v>546</v>
      </c>
      <c r="I552" s="7" t="s">
        <v>546</v>
      </c>
      <c r="J552" s="21" t="n">
        <f aca="false">D552/(D552+E552)</f>
        <v>0.558441558441558</v>
      </c>
      <c r="K552" s="3" t="n">
        <f aca="false">IF(D552&gt;E552,1,0)</f>
        <v>1</v>
      </c>
      <c r="L552" s="3" t="n">
        <f aca="false">IF(OR(F552="Y",G552="Y",H552="Y"),1,0)</f>
        <v>0</v>
      </c>
      <c r="M552" s="3" t="n">
        <f aca="false">IF(H552="Y",1,0)</f>
        <v>0</v>
      </c>
      <c r="N552" s="3" t="n">
        <f aca="false">IF(I552="Y",1,0)</f>
        <v>0</v>
      </c>
    </row>
    <row r="553" customFormat="false" ht="15" hidden="false" customHeight="true" outlineLevel="0" collapsed="false">
      <c r="A553" s="7" t="s">
        <v>56</v>
      </c>
      <c r="B553" s="7" t="n">
        <v>1934</v>
      </c>
      <c r="C553" s="7" t="s">
        <v>357</v>
      </c>
      <c r="D553" s="7" t="n">
        <v>86</v>
      </c>
      <c r="E553" s="7" t="n">
        <v>65</v>
      </c>
      <c r="F553" s="7"/>
      <c r="G553" s="7"/>
      <c r="H553" s="7" t="s">
        <v>546</v>
      </c>
      <c r="I553" s="7" t="s">
        <v>546</v>
      </c>
      <c r="J553" s="21" t="n">
        <f aca="false">D553/(D553+E553)</f>
        <v>0.56953642384106</v>
      </c>
      <c r="K553" s="3" t="n">
        <f aca="false">IF(D553&gt;E553,1,0)</f>
        <v>1</v>
      </c>
      <c r="L553" s="3" t="n">
        <f aca="false">IF(OR(F553="Y",G553="Y",H553="Y"),1,0)</f>
        <v>0</v>
      </c>
      <c r="M553" s="3" t="n">
        <f aca="false">IF(H553="Y",1,0)</f>
        <v>0</v>
      </c>
      <c r="N553" s="3" t="n">
        <f aca="false">IF(I553="Y",1,0)</f>
        <v>0</v>
      </c>
    </row>
    <row r="554" customFormat="false" ht="15" hidden="false" customHeight="true" outlineLevel="0" collapsed="false">
      <c r="A554" s="7" t="s">
        <v>56</v>
      </c>
      <c r="B554" s="7" t="n">
        <v>1935</v>
      </c>
      <c r="C554" s="7" t="s">
        <v>357</v>
      </c>
      <c r="D554" s="7" t="n">
        <v>100</v>
      </c>
      <c r="E554" s="7" t="n">
        <v>54</v>
      </c>
      <c r="F554" s="7"/>
      <c r="G554" s="7"/>
      <c r="H554" s="7" t="s">
        <v>548</v>
      </c>
      <c r="I554" s="7" t="s">
        <v>546</v>
      </c>
      <c r="J554" s="21" t="n">
        <f aca="false">D554/(D554+E554)</f>
        <v>0.649350649350649</v>
      </c>
      <c r="K554" s="3" t="n">
        <f aca="false">IF(D554&gt;E554,1,0)</f>
        <v>1</v>
      </c>
      <c r="L554" s="3" t="n">
        <f aca="false">IF(OR(F554="Y",G554="Y",H554="Y"),1,0)</f>
        <v>1</v>
      </c>
      <c r="M554" s="3" t="n">
        <f aca="false">IF(H554="Y",1,0)</f>
        <v>1</v>
      </c>
      <c r="N554" s="3" t="n">
        <f aca="false">IF(I554="Y",1,0)</f>
        <v>0</v>
      </c>
    </row>
    <row r="555" customFormat="false" ht="15" hidden="false" customHeight="true" outlineLevel="0" collapsed="false">
      <c r="A555" s="7" t="s">
        <v>56</v>
      </c>
      <c r="B555" s="7" t="n">
        <v>1936</v>
      </c>
      <c r="C555" s="7" t="s">
        <v>357</v>
      </c>
      <c r="D555" s="7" t="n">
        <v>87</v>
      </c>
      <c r="E555" s="7" t="n">
        <v>67</v>
      </c>
      <c r="F555" s="7"/>
      <c r="G555" s="7"/>
      <c r="H555" s="7" t="s">
        <v>546</v>
      </c>
      <c r="I555" s="7" t="s">
        <v>546</v>
      </c>
      <c r="J555" s="21" t="n">
        <f aca="false">D555/(D555+E555)</f>
        <v>0.564935064935065</v>
      </c>
      <c r="K555" s="3" t="n">
        <f aca="false">IF(D555&gt;E555,1,0)</f>
        <v>1</v>
      </c>
      <c r="L555" s="3" t="n">
        <f aca="false">IF(OR(F555="Y",G555="Y",H555="Y"),1,0)</f>
        <v>0</v>
      </c>
      <c r="M555" s="3" t="n">
        <f aca="false">IF(H555="Y",1,0)</f>
        <v>0</v>
      </c>
      <c r="N555" s="3" t="n">
        <f aca="false">IF(I555="Y",1,0)</f>
        <v>0</v>
      </c>
    </row>
    <row r="556" customFormat="false" ht="15" hidden="false" customHeight="true" outlineLevel="0" collapsed="false">
      <c r="A556" s="7" t="s">
        <v>56</v>
      </c>
      <c r="B556" s="7" t="n">
        <v>1937</v>
      </c>
      <c r="C556" s="7" t="s">
        <v>357</v>
      </c>
      <c r="D556" s="7" t="n">
        <v>93</v>
      </c>
      <c r="E556" s="7" t="n">
        <v>61</v>
      </c>
      <c r="F556" s="7"/>
      <c r="G556" s="7"/>
      <c r="H556" s="7" t="s">
        <v>546</v>
      </c>
      <c r="I556" s="7" t="s">
        <v>546</v>
      </c>
      <c r="J556" s="21" t="n">
        <f aca="false">D556/(D556+E556)</f>
        <v>0.603896103896104</v>
      </c>
      <c r="K556" s="3" t="n">
        <f aca="false">IF(D556&gt;E556,1,0)</f>
        <v>1</v>
      </c>
      <c r="L556" s="3" t="n">
        <f aca="false">IF(OR(F556="Y",G556="Y",H556="Y"),1,0)</f>
        <v>0</v>
      </c>
      <c r="M556" s="3" t="n">
        <f aca="false">IF(H556="Y",1,0)</f>
        <v>0</v>
      </c>
      <c r="N556" s="3" t="n">
        <f aca="false">IF(I556="Y",1,0)</f>
        <v>0</v>
      </c>
    </row>
    <row r="557" customFormat="false" ht="15" hidden="false" customHeight="true" outlineLevel="0" collapsed="false">
      <c r="A557" s="7" t="s">
        <v>56</v>
      </c>
      <c r="B557" s="7" t="n">
        <v>1938</v>
      </c>
      <c r="C557" s="7" t="s">
        <v>357</v>
      </c>
      <c r="D557" s="7" t="n">
        <v>89</v>
      </c>
      <c r="E557" s="7" t="n">
        <v>63</v>
      </c>
      <c r="F557" s="7"/>
      <c r="G557" s="7"/>
      <c r="H557" s="7" t="s">
        <v>548</v>
      </c>
      <c r="I557" s="7" t="s">
        <v>546</v>
      </c>
      <c r="J557" s="21" t="n">
        <f aca="false">D557/(D557+E557)</f>
        <v>0.585526315789474</v>
      </c>
      <c r="K557" s="3" t="n">
        <f aca="false">IF(D557&gt;E557,1,0)</f>
        <v>1</v>
      </c>
      <c r="L557" s="3" t="n">
        <f aca="false">IF(OR(F557="Y",G557="Y",H557="Y"),1,0)</f>
        <v>1</v>
      </c>
      <c r="M557" s="3" t="n">
        <f aca="false">IF(H557="Y",1,0)</f>
        <v>1</v>
      </c>
      <c r="N557" s="3" t="n">
        <f aca="false">IF(I557="Y",1,0)</f>
        <v>0</v>
      </c>
    </row>
    <row r="558" customFormat="false" ht="15" hidden="false" customHeight="true" outlineLevel="0" collapsed="false">
      <c r="A558" s="7" t="s">
        <v>56</v>
      </c>
      <c r="B558" s="7" t="n">
        <v>1939</v>
      </c>
      <c r="C558" s="7" t="s">
        <v>357</v>
      </c>
      <c r="D558" s="7" t="n">
        <v>84</v>
      </c>
      <c r="E558" s="7" t="n">
        <v>70</v>
      </c>
      <c r="F558" s="7"/>
      <c r="G558" s="7"/>
      <c r="H558" s="7" t="s">
        <v>546</v>
      </c>
      <c r="I558" s="7" t="s">
        <v>546</v>
      </c>
      <c r="J558" s="21" t="n">
        <f aca="false">D558/(D558+E558)</f>
        <v>0.545454545454545</v>
      </c>
      <c r="K558" s="3" t="n">
        <f aca="false">IF(D558&gt;E558,1,0)</f>
        <v>1</v>
      </c>
      <c r="L558" s="3" t="n">
        <f aca="false">IF(OR(F558="Y",G558="Y",H558="Y"),1,0)</f>
        <v>0</v>
      </c>
      <c r="M558" s="3" t="n">
        <f aca="false">IF(H558="Y",1,0)</f>
        <v>0</v>
      </c>
      <c r="N558" s="3" t="n">
        <f aca="false">IF(I558="Y",1,0)</f>
        <v>0</v>
      </c>
    </row>
    <row r="559" customFormat="false" ht="15" hidden="false" customHeight="true" outlineLevel="0" collapsed="false">
      <c r="A559" s="7" t="s">
        <v>56</v>
      </c>
      <c r="B559" s="7" t="n">
        <v>1940</v>
      </c>
      <c r="C559" s="7" t="s">
        <v>357</v>
      </c>
      <c r="D559" s="7" t="n">
        <v>75</v>
      </c>
      <c r="E559" s="7" t="n">
        <v>79</v>
      </c>
      <c r="F559" s="7"/>
      <c r="G559" s="7"/>
      <c r="H559" s="7" t="s">
        <v>546</v>
      </c>
      <c r="I559" s="7" t="s">
        <v>546</v>
      </c>
      <c r="J559" s="21" t="n">
        <f aca="false">D559/(D559+E559)</f>
        <v>0.487012987012987</v>
      </c>
      <c r="K559" s="3" t="n">
        <f aca="false">IF(D559&gt;E559,1,0)</f>
        <v>0</v>
      </c>
      <c r="L559" s="3" t="n">
        <f aca="false">IF(OR(F559="Y",G559="Y",H559="Y"),1,0)</f>
        <v>0</v>
      </c>
      <c r="M559" s="3" t="n">
        <f aca="false">IF(H559="Y",1,0)</f>
        <v>0</v>
      </c>
      <c r="N559" s="3" t="n">
        <f aca="false">IF(I559="Y",1,0)</f>
        <v>0</v>
      </c>
    </row>
    <row r="560" customFormat="false" ht="15" hidden="false" customHeight="true" outlineLevel="0" collapsed="false">
      <c r="A560" s="7" t="s">
        <v>56</v>
      </c>
      <c r="B560" s="7" t="n">
        <v>1941</v>
      </c>
      <c r="C560" s="7" t="s">
        <v>357</v>
      </c>
      <c r="D560" s="7" t="n">
        <v>70</v>
      </c>
      <c r="E560" s="7" t="n">
        <v>84</v>
      </c>
      <c r="F560" s="7"/>
      <c r="G560" s="7"/>
      <c r="H560" s="7" t="s">
        <v>546</v>
      </c>
      <c r="I560" s="7" t="s">
        <v>546</v>
      </c>
      <c r="J560" s="21" t="n">
        <f aca="false">D560/(D560+E560)</f>
        <v>0.454545454545455</v>
      </c>
      <c r="K560" s="3" t="n">
        <f aca="false">IF(D560&gt;E560,1,0)</f>
        <v>0</v>
      </c>
      <c r="L560" s="3" t="n">
        <f aca="false">IF(OR(F560="Y",G560="Y",H560="Y"),1,0)</f>
        <v>0</v>
      </c>
      <c r="M560" s="3" t="n">
        <f aca="false">IF(H560="Y",1,0)</f>
        <v>0</v>
      </c>
      <c r="N560" s="3" t="n">
        <f aca="false">IF(I560="Y",1,0)</f>
        <v>0</v>
      </c>
    </row>
    <row r="561" customFormat="false" ht="15" hidden="false" customHeight="true" outlineLevel="0" collapsed="false">
      <c r="A561" s="7" t="s">
        <v>56</v>
      </c>
      <c r="B561" s="7" t="n">
        <v>1942</v>
      </c>
      <c r="C561" s="7" t="s">
        <v>357</v>
      </c>
      <c r="D561" s="7" t="n">
        <v>68</v>
      </c>
      <c r="E561" s="7" t="n">
        <v>86</v>
      </c>
      <c r="F561" s="7"/>
      <c r="G561" s="7"/>
      <c r="H561" s="7" t="s">
        <v>546</v>
      </c>
      <c r="I561" s="7" t="s">
        <v>546</v>
      </c>
      <c r="J561" s="21" t="n">
        <f aca="false">D561/(D561+E561)</f>
        <v>0.441558441558442</v>
      </c>
      <c r="K561" s="3" t="n">
        <f aca="false">IF(D561&gt;E561,1,0)</f>
        <v>0</v>
      </c>
      <c r="L561" s="3" t="n">
        <f aca="false">IF(OR(F561="Y",G561="Y",H561="Y"),1,0)</f>
        <v>0</v>
      </c>
      <c r="M561" s="3" t="n">
        <f aca="false">IF(H561="Y",1,0)</f>
        <v>0</v>
      </c>
      <c r="N561" s="3" t="n">
        <f aca="false">IF(I561="Y",1,0)</f>
        <v>0</v>
      </c>
    </row>
    <row r="562" customFormat="false" ht="15" hidden="false" customHeight="true" outlineLevel="0" collapsed="false">
      <c r="A562" s="7" t="s">
        <v>56</v>
      </c>
      <c r="B562" s="7" t="n">
        <v>1943</v>
      </c>
      <c r="C562" s="7" t="s">
        <v>357</v>
      </c>
      <c r="D562" s="7" t="n">
        <v>74</v>
      </c>
      <c r="E562" s="7" t="n">
        <v>79</v>
      </c>
      <c r="F562" s="7"/>
      <c r="G562" s="7"/>
      <c r="H562" s="7" t="s">
        <v>546</v>
      </c>
      <c r="I562" s="7" t="s">
        <v>546</v>
      </c>
      <c r="J562" s="21" t="n">
        <f aca="false">D562/(D562+E562)</f>
        <v>0.483660130718954</v>
      </c>
      <c r="K562" s="3" t="n">
        <f aca="false">IF(D562&gt;E562,1,0)</f>
        <v>0</v>
      </c>
      <c r="L562" s="3" t="n">
        <f aca="false">IF(OR(F562="Y",G562="Y",H562="Y"),1,0)</f>
        <v>0</v>
      </c>
      <c r="M562" s="3" t="n">
        <f aca="false">IF(H562="Y",1,0)</f>
        <v>0</v>
      </c>
      <c r="N562" s="3" t="n">
        <f aca="false">IF(I562="Y",1,0)</f>
        <v>0</v>
      </c>
    </row>
    <row r="563" customFormat="false" ht="15" hidden="false" customHeight="true" outlineLevel="0" collapsed="false">
      <c r="A563" s="7" t="s">
        <v>56</v>
      </c>
      <c r="B563" s="7" t="n">
        <v>1944</v>
      </c>
      <c r="C563" s="7" t="s">
        <v>357</v>
      </c>
      <c r="D563" s="7" t="n">
        <v>75</v>
      </c>
      <c r="E563" s="7" t="n">
        <v>79</v>
      </c>
      <c r="F563" s="7"/>
      <c r="G563" s="7"/>
      <c r="H563" s="7" t="s">
        <v>546</v>
      </c>
      <c r="I563" s="7" t="s">
        <v>546</v>
      </c>
      <c r="J563" s="21" t="n">
        <f aca="false">D563/(D563+E563)</f>
        <v>0.487012987012987</v>
      </c>
      <c r="K563" s="3" t="n">
        <f aca="false">IF(D563&gt;E563,1,0)</f>
        <v>0</v>
      </c>
      <c r="L563" s="3" t="n">
        <f aca="false">IF(OR(F563="Y",G563="Y",H563="Y"),1,0)</f>
        <v>0</v>
      </c>
      <c r="M563" s="3" t="n">
        <f aca="false">IF(H563="Y",1,0)</f>
        <v>0</v>
      </c>
      <c r="N563" s="3" t="n">
        <f aca="false">IF(I563="Y",1,0)</f>
        <v>0</v>
      </c>
    </row>
    <row r="564" customFormat="false" ht="15" hidden="false" customHeight="true" outlineLevel="0" collapsed="false">
      <c r="A564" s="7" t="s">
        <v>56</v>
      </c>
      <c r="B564" s="7" t="n">
        <v>1945</v>
      </c>
      <c r="C564" s="7" t="s">
        <v>357</v>
      </c>
      <c r="D564" s="7" t="n">
        <v>98</v>
      </c>
      <c r="E564" s="7" t="n">
        <v>56</v>
      </c>
      <c r="F564" s="7"/>
      <c r="G564" s="7"/>
      <c r="H564" s="7" t="s">
        <v>548</v>
      </c>
      <c r="I564" s="7" t="s">
        <v>546</v>
      </c>
      <c r="J564" s="21" t="n">
        <f aca="false">D564/(D564+E564)</f>
        <v>0.636363636363636</v>
      </c>
      <c r="K564" s="3" t="n">
        <f aca="false">IF(D564&gt;E564,1,0)</f>
        <v>1</v>
      </c>
      <c r="L564" s="3" t="n">
        <f aca="false">IF(OR(F564="Y",G564="Y",H564="Y"),1,0)</f>
        <v>1</v>
      </c>
      <c r="M564" s="3" t="n">
        <f aca="false">IF(H564="Y",1,0)</f>
        <v>1</v>
      </c>
      <c r="N564" s="3" t="n">
        <f aca="false">IF(I564="Y",1,0)</f>
        <v>0</v>
      </c>
    </row>
    <row r="565" customFormat="false" ht="15" hidden="false" customHeight="true" outlineLevel="0" collapsed="false">
      <c r="A565" s="7" t="s">
        <v>56</v>
      </c>
      <c r="B565" s="7" t="n">
        <v>1946</v>
      </c>
      <c r="C565" s="7" t="s">
        <v>357</v>
      </c>
      <c r="D565" s="7" t="n">
        <v>82</v>
      </c>
      <c r="E565" s="7" t="n">
        <v>71</v>
      </c>
      <c r="F565" s="7"/>
      <c r="G565" s="7"/>
      <c r="H565" s="7" t="s">
        <v>546</v>
      </c>
      <c r="I565" s="7" t="s">
        <v>546</v>
      </c>
      <c r="J565" s="21" t="n">
        <f aca="false">D565/(D565+E565)</f>
        <v>0.535947712418301</v>
      </c>
      <c r="K565" s="3" t="n">
        <f aca="false">IF(D565&gt;E565,1,0)</f>
        <v>1</v>
      </c>
      <c r="L565" s="3" t="n">
        <f aca="false">IF(OR(F565="Y",G565="Y",H565="Y"),1,0)</f>
        <v>0</v>
      </c>
      <c r="M565" s="3" t="n">
        <f aca="false">IF(H565="Y",1,0)</f>
        <v>0</v>
      </c>
      <c r="N565" s="3" t="n">
        <f aca="false">IF(I565="Y",1,0)</f>
        <v>0</v>
      </c>
    </row>
    <row r="566" customFormat="false" ht="15" hidden="false" customHeight="true" outlineLevel="0" collapsed="false">
      <c r="A566" s="7" t="s">
        <v>56</v>
      </c>
      <c r="B566" s="7" t="n">
        <v>1947</v>
      </c>
      <c r="C566" s="7" t="s">
        <v>357</v>
      </c>
      <c r="D566" s="7" t="n">
        <v>69</v>
      </c>
      <c r="E566" s="7" t="n">
        <v>85</v>
      </c>
      <c r="F566" s="7"/>
      <c r="G566" s="7"/>
      <c r="H566" s="7" t="s">
        <v>546</v>
      </c>
      <c r="I566" s="7" t="s">
        <v>546</v>
      </c>
      <c r="J566" s="21" t="n">
        <f aca="false">D566/(D566+E566)</f>
        <v>0.448051948051948</v>
      </c>
      <c r="K566" s="3" t="n">
        <f aca="false">IF(D566&gt;E566,1,0)</f>
        <v>0</v>
      </c>
      <c r="L566" s="3" t="n">
        <f aca="false">IF(OR(F566="Y",G566="Y",H566="Y"),1,0)</f>
        <v>0</v>
      </c>
      <c r="M566" s="3" t="n">
        <f aca="false">IF(H566="Y",1,0)</f>
        <v>0</v>
      </c>
      <c r="N566" s="3" t="n">
        <f aca="false">IF(I566="Y",1,0)</f>
        <v>0</v>
      </c>
    </row>
    <row r="567" customFormat="false" ht="15" hidden="false" customHeight="true" outlineLevel="0" collapsed="false">
      <c r="A567" s="7" t="s">
        <v>56</v>
      </c>
      <c r="B567" s="7" t="n">
        <v>1948</v>
      </c>
      <c r="C567" s="7" t="s">
        <v>357</v>
      </c>
      <c r="D567" s="7" t="n">
        <v>64</v>
      </c>
      <c r="E567" s="7" t="n">
        <v>90</v>
      </c>
      <c r="F567" s="7"/>
      <c r="G567" s="7"/>
      <c r="H567" s="7" t="s">
        <v>546</v>
      </c>
      <c r="I567" s="7" t="s">
        <v>546</v>
      </c>
      <c r="J567" s="21" t="n">
        <f aca="false">D567/(D567+E567)</f>
        <v>0.415584415584416</v>
      </c>
      <c r="K567" s="3" t="n">
        <f aca="false">IF(D567&gt;E567,1,0)</f>
        <v>0</v>
      </c>
      <c r="L567" s="3" t="n">
        <f aca="false">IF(OR(F567="Y",G567="Y",H567="Y"),1,0)</f>
        <v>0</v>
      </c>
      <c r="M567" s="3" t="n">
        <f aca="false">IF(H567="Y",1,0)</f>
        <v>0</v>
      </c>
      <c r="N567" s="3" t="n">
        <f aca="false">IF(I567="Y",1,0)</f>
        <v>0</v>
      </c>
    </row>
    <row r="568" customFormat="false" ht="15" hidden="false" customHeight="true" outlineLevel="0" collapsed="false">
      <c r="A568" s="7" t="s">
        <v>56</v>
      </c>
      <c r="B568" s="7" t="n">
        <v>1949</v>
      </c>
      <c r="C568" s="7" t="s">
        <v>357</v>
      </c>
      <c r="D568" s="7" t="n">
        <v>61</v>
      </c>
      <c r="E568" s="7" t="n">
        <v>93</v>
      </c>
      <c r="F568" s="7"/>
      <c r="G568" s="7"/>
      <c r="H568" s="7" t="s">
        <v>546</v>
      </c>
      <c r="I568" s="7" t="s">
        <v>546</v>
      </c>
      <c r="J568" s="21" t="n">
        <f aca="false">D568/(D568+E568)</f>
        <v>0.396103896103896</v>
      </c>
      <c r="K568" s="3" t="n">
        <f aca="false">IF(D568&gt;E568,1,0)</f>
        <v>0</v>
      </c>
      <c r="L568" s="3" t="n">
        <f aca="false">IF(OR(F568="Y",G568="Y",H568="Y"),1,0)</f>
        <v>0</v>
      </c>
      <c r="M568" s="3" t="n">
        <f aca="false">IF(H568="Y",1,0)</f>
        <v>0</v>
      </c>
      <c r="N568" s="3" t="n">
        <f aca="false">IF(I568="Y",1,0)</f>
        <v>0</v>
      </c>
    </row>
    <row r="569" customFormat="false" ht="15" hidden="false" customHeight="true" outlineLevel="0" collapsed="false">
      <c r="A569" s="7" t="s">
        <v>56</v>
      </c>
      <c r="B569" s="7" t="n">
        <v>1950</v>
      </c>
      <c r="C569" s="7" t="s">
        <v>357</v>
      </c>
      <c r="D569" s="7" t="n">
        <v>64</v>
      </c>
      <c r="E569" s="7" t="n">
        <v>89</v>
      </c>
      <c r="F569" s="7"/>
      <c r="G569" s="7"/>
      <c r="H569" s="7" t="s">
        <v>546</v>
      </c>
      <c r="I569" s="7" t="s">
        <v>546</v>
      </c>
      <c r="J569" s="21" t="n">
        <f aca="false">D569/(D569+E569)</f>
        <v>0.418300653594771</v>
      </c>
      <c r="K569" s="3" t="n">
        <f aca="false">IF(D569&gt;E569,1,0)</f>
        <v>0</v>
      </c>
      <c r="L569" s="3" t="n">
        <f aca="false">IF(OR(F569="Y",G569="Y",H569="Y"),1,0)</f>
        <v>0</v>
      </c>
      <c r="M569" s="3" t="n">
        <f aca="false">IF(H569="Y",1,0)</f>
        <v>0</v>
      </c>
      <c r="N569" s="3" t="n">
        <f aca="false">IF(I569="Y",1,0)</f>
        <v>0</v>
      </c>
    </row>
    <row r="570" customFormat="false" ht="15" hidden="false" customHeight="true" outlineLevel="0" collapsed="false">
      <c r="A570" s="7" t="s">
        <v>56</v>
      </c>
      <c r="B570" s="7" t="n">
        <v>1951</v>
      </c>
      <c r="C570" s="7" t="s">
        <v>357</v>
      </c>
      <c r="D570" s="7" t="n">
        <v>62</v>
      </c>
      <c r="E570" s="7" t="n">
        <v>92</v>
      </c>
      <c r="F570" s="7"/>
      <c r="G570" s="7"/>
      <c r="H570" s="7" t="s">
        <v>546</v>
      </c>
      <c r="I570" s="7" t="s">
        <v>546</v>
      </c>
      <c r="J570" s="21" t="n">
        <f aca="false">D570/(D570+E570)</f>
        <v>0.402597402597403</v>
      </c>
      <c r="K570" s="3" t="n">
        <f aca="false">IF(D570&gt;E570,1,0)</f>
        <v>0</v>
      </c>
      <c r="L570" s="3" t="n">
        <f aca="false">IF(OR(F570="Y",G570="Y",H570="Y"),1,0)</f>
        <v>0</v>
      </c>
      <c r="M570" s="3" t="n">
        <f aca="false">IF(H570="Y",1,0)</f>
        <v>0</v>
      </c>
      <c r="N570" s="3" t="n">
        <f aca="false">IF(I570="Y",1,0)</f>
        <v>0</v>
      </c>
    </row>
    <row r="571" customFormat="false" ht="15" hidden="false" customHeight="true" outlineLevel="0" collapsed="false">
      <c r="A571" s="7" t="s">
        <v>56</v>
      </c>
      <c r="B571" s="7" t="n">
        <v>1952</v>
      </c>
      <c r="C571" s="7" t="s">
        <v>357</v>
      </c>
      <c r="D571" s="7" t="n">
        <v>77</v>
      </c>
      <c r="E571" s="7" t="n">
        <v>77</v>
      </c>
      <c r="F571" s="7"/>
      <c r="G571" s="7"/>
      <c r="H571" s="7" t="s">
        <v>546</v>
      </c>
      <c r="I571" s="7" t="s">
        <v>546</v>
      </c>
      <c r="J571" s="21" t="n">
        <f aca="false">D571/(D571+E571)</f>
        <v>0.5</v>
      </c>
      <c r="K571" s="3" t="n">
        <f aca="false">IF(D571&gt;E571,1,0)</f>
        <v>0</v>
      </c>
      <c r="L571" s="3" t="n">
        <f aca="false">IF(OR(F571="Y",G571="Y",H571="Y"),1,0)</f>
        <v>0</v>
      </c>
      <c r="M571" s="3" t="n">
        <f aca="false">IF(H571="Y",1,0)</f>
        <v>0</v>
      </c>
      <c r="N571" s="3" t="n">
        <f aca="false">IF(I571="Y",1,0)</f>
        <v>0</v>
      </c>
    </row>
    <row r="572" customFormat="false" ht="15" hidden="false" customHeight="true" outlineLevel="0" collapsed="false">
      <c r="A572" s="7" t="s">
        <v>56</v>
      </c>
      <c r="B572" s="7" t="n">
        <v>1953</v>
      </c>
      <c r="C572" s="7" t="s">
        <v>357</v>
      </c>
      <c r="D572" s="7" t="n">
        <v>65</v>
      </c>
      <c r="E572" s="7" t="n">
        <v>89</v>
      </c>
      <c r="F572" s="7"/>
      <c r="G572" s="7"/>
      <c r="H572" s="7" t="s">
        <v>546</v>
      </c>
      <c r="I572" s="7" t="s">
        <v>546</v>
      </c>
      <c r="J572" s="21" t="n">
        <f aca="false">D572/(D572+E572)</f>
        <v>0.422077922077922</v>
      </c>
      <c r="K572" s="3" t="n">
        <f aca="false">IF(D572&gt;E572,1,0)</f>
        <v>0</v>
      </c>
      <c r="L572" s="3" t="n">
        <f aca="false">IF(OR(F572="Y",G572="Y",H572="Y"),1,0)</f>
        <v>0</v>
      </c>
      <c r="M572" s="3" t="n">
        <f aca="false">IF(H572="Y",1,0)</f>
        <v>0</v>
      </c>
      <c r="N572" s="3" t="n">
        <f aca="false">IF(I572="Y",1,0)</f>
        <v>0</v>
      </c>
    </row>
    <row r="573" customFormat="false" ht="15" hidden="false" customHeight="true" outlineLevel="0" collapsed="false">
      <c r="A573" s="7" t="s">
        <v>56</v>
      </c>
      <c r="B573" s="7" t="n">
        <v>1954</v>
      </c>
      <c r="C573" s="7" t="s">
        <v>357</v>
      </c>
      <c r="D573" s="7" t="n">
        <v>64</v>
      </c>
      <c r="E573" s="7" t="n">
        <v>90</v>
      </c>
      <c r="F573" s="7"/>
      <c r="G573" s="7"/>
      <c r="H573" s="7" t="s">
        <v>546</v>
      </c>
      <c r="I573" s="7" t="s">
        <v>546</v>
      </c>
      <c r="J573" s="21" t="n">
        <f aca="false">D573/(D573+E573)</f>
        <v>0.415584415584416</v>
      </c>
      <c r="K573" s="3" t="n">
        <f aca="false">IF(D573&gt;E573,1,0)</f>
        <v>0</v>
      </c>
      <c r="L573" s="3" t="n">
        <f aca="false">IF(OR(F573="Y",G573="Y",H573="Y"),1,0)</f>
        <v>0</v>
      </c>
      <c r="M573" s="3" t="n">
        <f aca="false">IF(H573="Y",1,0)</f>
        <v>0</v>
      </c>
      <c r="N573" s="3" t="n">
        <f aca="false">IF(I573="Y",1,0)</f>
        <v>0</v>
      </c>
    </row>
    <row r="574" customFormat="false" ht="15" hidden="false" customHeight="true" outlineLevel="0" collapsed="false">
      <c r="A574" s="7" t="s">
        <v>56</v>
      </c>
      <c r="B574" s="7" t="n">
        <v>1955</v>
      </c>
      <c r="C574" s="7" t="s">
        <v>357</v>
      </c>
      <c r="D574" s="7" t="n">
        <v>72</v>
      </c>
      <c r="E574" s="7" t="n">
        <v>81</v>
      </c>
      <c r="F574" s="7"/>
      <c r="G574" s="7"/>
      <c r="H574" s="7" t="s">
        <v>546</v>
      </c>
      <c r="I574" s="7" t="s">
        <v>546</v>
      </c>
      <c r="J574" s="21" t="n">
        <f aca="false">D574/(D574+E574)</f>
        <v>0.470588235294118</v>
      </c>
      <c r="K574" s="3" t="n">
        <f aca="false">IF(D574&gt;E574,1,0)</f>
        <v>0</v>
      </c>
      <c r="L574" s="3" t="n">
        <f aca="false">IF(OR(F574="Y",G574="Y",H574="Y"),1,0)</f>
        <v>0</v>
      </c>
      <c r="M574" s="3" t="n">
        <f aca="false">IF(H574="Y",1,0)</f>
        <v>0</v>
      </c>
      <c r="N574" s="3" t="n">
        <f aca="false">IF(I574="Y",1,0)</f>
        <v>0</v>
      </c>
    </row>
    <row r="575" customFormat="false" ht="15" hidden="false" customHeight="true" outlineLevel="0" collapsed="false">
      <c r="A575" s="7" t="s">
        <v>56</v>
      </c>
      <c r="B575" s="7" t="n">
        <v>1956</v>
      </c>
      <c r="C575" s="7" t="s">
        <v>357</v>
      </c>
      <c r="D575" s="7" t="n">
        <v>60</v>
      </c>
      <c r="E575" s="7" t="n">
        <v>94</v>
      </c>
      <c r="F575" s="7"/>
      <c r="G575" s="7"/>
      <c r="H575" s="7" t="s">
        <v>546</v>
      </c>
      <c r="I575" s="7" t="s">
        <v>546</v>
      </c>
      <c r="J575" s="21" t="n">
        <f aca="false">D575/(D575+E575)</f>
        <v>0.38961038961039</v>
      </c>
      <c r="K575" s="3" t="n">
        <f aca="false">IF(D575&gt;E575,1,0)</f>
        <v>0</v>
      </c>
      <c r="L575" s="3" t="n">
        <f aca="false">IF(OR(F575="Y",G575="Y",H575="Y"),1,0)</f>
        <v>0</v>
      </c>
      <c r="M575" s="3" t="n">
        <f aca="false">IF(H575="Y",1,0)</f>
        <v>0</v>
      </c>
      <c r="N575" s="3" t="n">
        <f aca="false">IF(I575="Y",1,0)</f>
        <v>0</v>
      </c>
    </row>
    <row r="576" customFormat="false" ht="15" hidden="false" customHeight="true" outlineLevel="0" collapsed="false">
      <c r="A576" s="7" t="s">
        <v>56</v>
      </c>
      <c r="B576" s="7" t="n">
        <v>1957</v>
      </c>
      <c r="C576" s="7" t="s">
        <v>357</v>
      </c>
      <c r="D576" s="7" t="n">
        <v>62</v>
      </c>
      <c r="E576" s="7" t="n">
        <v>92</v>
      </c>
      <c r="F576" s="7"/>
      <c r="G576" s="7"/>
      <c r="H576" s="7" t="s">
        <v>546</v>
      </c>
      <c r="I576" s="7" t="s">
        <v>546</v>
      </c>
      <c r="J576" s="21" t="n">
        <f aca="false">D576/(D576+E576)</f>
        <v>0.402597402597403</v>
      </c>
      <c r="K576" s="3" t="n">
        <f aca="false">IF(D576&gt;E576,1,0)</f>
        <v>0</v>
      </c>
      <c r="L576" s="3" t="n">
        <f aca="false">IF(OR(F576="Y",G576="Y",H576="Y"),1,0)</f>
        <v>0</v>
      </c>
      <c r="M576" s="3" t="n">
        <f aca="false">IF(H576="Y",1,0)</f>
        <v>0</v>
      </c>
      <c r="N576" s="3" t="n">
        <f aca="false">IF(I576="Y",1,0)</f>
        <v>0</v>
      </c>
    </row>
    <row r="577" customFormat="false" ht="15" hidden="false" customHeight="true" outlineLevel="0" collapsed="false">
      <c r="A577" s="7" t="s">
        <v>56</v>
      </c>
      <c r="B577" s="7" t="n">
        <v>1958</v>
      </c>
      <c r="C577" s="7" t="s">
        <v>357</v>
      </c>
      <c r="D577" s="7" t="n">
        <v>72</v>
      </c>
      <c r="E577" s="7" t="n">
        <v>82</v>
      </c>
      <c r="F577" s="7"/>
      <c r="G577" s="7"/>
      <c r="H577" s="7" t="s">
        <v>546</v>
      </c>
      <c r="I577" s="7" t="s">
        <v>546</v>
      </c>
      <c r="J577" s="21" t="n">
        <f aca="false">D577/(D577+E577)</f>
        <v>0.467532467532468</v>
      </c>
      <c r="K577" s="3" t="n">
        <f aca="false">IF(D577&gt;E577,1,0)</f>
        <v>0</v>
      </c>
      <c r="L577" s="3" t="n">
        <f aca="false">IF(OR(F577="Y",G577="Y",H577="Y"),1,0)</f>
        <v>0</v>
      </c>
      <c r="M577" s="3" t="n">
        <f aca="false">IF(H577="Y",1,0)</f>
        <v>0</v>
      </c>
      <c r="N577" s="3" t="n">
        <f aca="false">IF(I577="Y",1,0)</f>
        <v>0</v>
      </c>
    </row>
    <row r="578" customFormat="false" ht="15" hidden="false" customHeight="true" outlineLevel="0" collapsed="false">
      <c r="A578" s="7" t="s">
        <v>56</v>
      </c>
      <c r="B578" s="7" t="n">
        <v>1959</v>
      </c>
      <c r="C578" s="7" t="s">
        <v>357</v>
      </c>
      <c r="D578" s="7" t="n">
        <v>74</v>
      </c>
      <c r="E578" s="7" t="n">
        <v>80</v>
      </c>
      <c r="F578" s="7"/>
      <c r="G578" s="7"/>
      <c r="H578" s="7" t="s">
        <v>546</v>
      </c>
      <c r="I578" s="7" t="s">
        <v>546</v>
      </c>
      <c r="J578" s="21" t="n">
        <f aca="false">D578/(D578+E578)</f>
        <v>0.480519480519481</v>
      </c>
      <c r="K578" s="3" t="n">
        <f aca="false">IF(D578&gt;E578,1,0)</f>
        <v>0</v>
      </c>
      <c r="L578" s="3" t="n">
        <f aca="false">IF(OR(F578="Y",G578="Y",H578="Y"),1,0)</f>
        <v>0</v>
      </c>
      <c r="M578" s="3" t="n">
        <f aca="false">IF(H578="Y",1,0)</f>
        <v>0</v>
      </c>
      <c r="N578" s="3" t="n">
        <f aca="false">IF(I578="Y",1,0)</f>
        <v>0</v>
      </c>
    </row>
    <row r="579" customFormat="false" ht="15" hidden="false" customHeight="true" outlineLevel="0" collapsed="false">
      <c r="A579" s="7" t="s">
        <v>56</v>
      </c>
      <c r="B579" s="7" t="n">
        <v>1960</v>
      </c>
      <c r="C579" s="7" t="s">
        <v>357</v>
      </c>
      <c r="D579" s="7" t="n">
        <v>60</v>
      </c>
      <c r="E579" s="7" t="n">
        <v>94</v>
      </c>
      <c r="F579" s="7"/>
      <c r="G579" s="7"/>
      <c r="H579" s="7" t="s">
        <v>546</v>
      </c>
      <c r="I579" s="7" t="s">
        <v>546</v>
      </c>
      <c r="J579" s="21" t="n">
        <f aca="false">D579/(D579+E579)</f>
        <v>0.38961038961039</v>
      </c>
      <c r="K579" s="3" t="n">
        <f aca="false">IF(D579&gt;E579,1,0)</f>
        <v>0</v>
      </c>
      <c r="L579" s="3" t="n">
        <f aca="false">IF(OR(F579="Y",G579="Y",H579="Y"),1,0)</f>
        <v>0</v>
      </c>
      <c r="M579" s="3" t="n">
        <f aca="false">IF(H579="Y",1,0)</f>
        <v>0</v>
      </c>
      <c r="N579" s="3" t="n">
        <f aca="false">IF(I579="Y",1,0)</f>
        <v>0</v>
      </c>
    </row>
    <row r="580" customFormat="false" ht="15" hidden="false" customHeight="true" outlineLevel="0" collapsed="false">
      <c r="A580" s="7" t="s">
        <v>56</v>
      </c>
      <c r="B580" s="7" t="n">
        <v>1961</v>
      </c>
      <c r="C580" s="7" t="s">
        <v>357</v>
      </c>
      <c r="D580" s="7" t="n">
        <v>64</v>
      </c>
      <c r="E580" s="7" t="n">
        <v>90</v>
      </c>
      <c r="F580" s="7"/>
      <c r="G580" s="7"/>
      <c r="H580" s="7" t="s">
        <v>546</v>
      </c>
      <c r="I580" s="7" t="s">
        <v>546</v>
      </c>
      <c r="J580" s="21" t="n">
        <f aca="false">D580/(D580+E580)</f>
        <v>0.415584415584416</v>
      </c>
      <c r="K580" s="3" t="n">
        <f aca="false">IF(D580&gt;E580,1,0)</f>
        <v>0</v>
      </c>
      <c r="L580" s="3" t="n">
        <f aca="false">IF(OR(F580="Y",G580="Y",H580="Y"),1,0)</f>
        <v>0</v>
      </c>
      <c r="M580" s="3" t="n">
        <f aca="false">IF(H580="Y",1,0)</f>
        <v>0</v>
      </c>
      <c r="N580" s="3" t="n">
        <f aca="false">IF(I580="Y",1,0)</f>
        <v>0</v>
      </c>
    </row>
    <row r="581" customFormat="false" ht="15" hidden="false" customHeight="true" outlineLevel="0" collapsed="false">
      <c r="A581" s="7" t="s">
        <v>56</v>
      </c>
      <c r="B581" s="7" t="n">
        <v>1962</v>
      </c>
      <c r="C581" s="7" t="s">
        <v>357</v>
      </c>
      <c r="D581" s="7" t="n">
        <v>59</v>
      </c>
      <c r="E581" s="7" t="n">
        <v>103</v>
      </c>
      <c r="F581" s="7"/>
      <c r="G581" s="7"/>
      <c r="H581" s="7" t="s">
        <v>546</v>
      </c>
      <c r="I581" s="7" t="s">
        <v>546</v>
      </c>
      <c r="J581" s="21" t="n">
        <f aca="false">D581/(D581+E581)</f>
        <v>0.364197530864198</v>
      </c>
      <c r="K581" s="3" t="n">
        <f aca="false">IF(D581&gt;E581,1,0)</f>
        <v>0</v>
      </c>
      <c r="L581" s="3" t="n">
        <f aca="false">IF(OR(F581="Y",G581="Y",H581="Y"),1,0)</f>
        <v>0</v>
      </c>
      <c r="M581" s="3" t="n">
        <f aca="false">IF(H581="Y",1,0)</f>
        <v>0</v>
      </c>
      <c r="N581" s="3" t="n">
        <f aca="false">IF(I581="Y",1,0)</f>
        <v>0</v>
      </c>
    </row>
    <row r="582" customFormat="false" ht="15" hidden="false" customHeight="true" outlineLevel="0" collapsed="false">
      <c r="A582" s="7" t="s">
        <v>56</v>
      </c>
      <c r="B582" s="7" t="n">
        <v>1963</v>
      </c>
      <c r="C582" s="7" t="s">
        <v>357</v>
      </c>
      <c r="D582" s="7" t="n">
        <v>82</v>
      </c>
      <c r="E582" s="7" t="n">
        <v>80</v>
      </c>
      <c r="F582" s="7"/>
      <c r="G582" s="7"/>
      <c r="H582" s="7" t="s">
        <v>546</v>
      </c>
      <c r="I582" s="7" t="s">
        <v>546</v>
      </c>
      <c r="J582" s="21" t="n">
        <f aca="false">D582/(D582+E582)</f>
        <v>0.506172839506173</v>
      </c>
      <c r="K582" s="3" t="n">
        <f aca="false">IF(D582&gt;E582,1,0)</f>
        <v>1</v>
      </c>
      <c r="L582" s="3" t="n">
        <f aca="false">IF(OR(F582="Y",G582="Y",H582="Y"),1,0)</f>
        <v>0</v>
      </c>
      <c r="M582" s="3" t="n">
        <f aca="false">IF(H582="Y",1,0)</f>
        <v>0</v>
      </c>
      <c r="N582" s="3" t="n">
        <f aca="false">IF(I582="Y",1,0)</f>
        <v>0</v>
      </c>
    </row>
    <row r="583" customFormat="false" ht="15" hidden="false" customHeight="true" outlineLevel="0" collapsed="false">
      <c r="A583" s="7" t="s">
        <v>56</v>
      </c>
      <c r="B583" s="7" t="n">
        <v>1964</v>
      </c>
      <c r="C583" s="7" t="s">
        <v>357</v>
      </c>
      <c r="D583" s="7" t="n">
        <v>76</v>
      </c>
      <c r="E583" s="7" t="n">
        <v>86</v>
      </c>
      <c r="F583" s="7"/>
      <c r="G583" s="7"/>
      <c r="H583" s="7" t="s">
        <v>546</v>
      </c>
      <c r="I583" s="7" t="s">
        <v>546</v>
      </c>
      <c r="J583" s="21" t="n">
        <f aca="false">D583/(D583+E583)</f>
        <v>0.469135802469136</v>
      </c>
      <c r="K583" s="3" t="n">
        <f aca="false">IF(D583&gt;E583,1,0)</f>
        <v>0</v>
      </c>
      <c r="L583" s="3" t="n">
        <f aca="false">IF(OR(F583="Y",G583="Y",H583="Y"),1,0)</f>
        <v>0</v>
      </c>
      <c r="M583" s="3" t="n">
        <f aca="false">IF(H583="Y",1,0)</f>
        <v>0</v>
      </c>
      <c r="N583" s="3" t="n">
        <f aca="false">IF(I583="Y",1,0)</f>
        <v>0</v>
      </c>
    </row>
    <row r="584" customFormat="false" ht="15" hidden="false" customHeight="true" outlineLevel="0" collapsed="false">
      <c r="A584" s="7" t="s">
        <v>56</v>
      </c>
      <c r="B584" s="7" t="n">
        <v>1965</v>
      </c>
      <c r="C584" s="7" t="s">
        <v>357</v>
      </c>
      <c r="D584" s="7" t="n">
        <v>72</v>
      </c>
      <c r="E584" s="7" t="n">
        <v>90</v>
      </c>
      <c r="F584" s="7"/>
      <c r="G584" s="7"/>
      <c r="H584" s="7" t="s">
        <v>546</v>
      </c>
      <c r="I584" s="7" t="s">
        <v>546</v>
      </c>
      <c r="J584" s="21" t="n">
        <f aca="false">D584/(D584+E584)</f>
        <v>0.444444444444444</v>
      </c>
      <c r="K584" s="3" t="n">
        <f aca="false">IF(D584&gt;E584,1,0)</f>
        <v>0</v>
      </c>
      <c r="L584" s="3" t="n">
        <f aca="false">IF(OR(F584="Y",G584="Y",H584="Y"),1,0)</f>
        <v>0</v>
      </c>
      <c r="M584" s="3" t="n">
        <f aca="false">IF(H584="Y",1,0)</f>
        <v>0</v>
      </c>
      <c r="N584" s="3" t="n">
        <f aca="false">IF(I584="Y",1,0)</f>
        <v>0</v>
      </c>
    </row>
    <row r="585" customFormat="false" ht="15" hidden="false" customHeight="true" outlineLevel="0" collapsed="false">
      <c r="A585" s="7" t="s">
        <v>56</v>
      </c>
      <c r="B585" s="7" t="n">
        <v>1966</v>
      </c>
      <c r="C585" s="7" t="s">
        <v>357</v>
      </c>
      <c r="D585" s="7" t="n">
        <v>59</v>
      </c>
      <c r="E585" s="7" t="n">
        <v>103</v>
      </c>
      <c r="F585" s="7"/>
      <c r="G585" s="7"/>
      <c r="H585" s="7" t="s">
        <v>546</v>
      </c>
      <c r="I585" s="7" t="s">
        <v>546</v>
      </c>
      <c r="J585" s="21" t="n">
        <f aca="false">D585/(D585+E585)</f>
        <v>0.364197530864198</v>
      </c>
      <c r="K585" s="3" t="n">
        <f aca="false">IF(D585&gt;E585,1,0)</f>
        <v>0</v>
      </c>
      <c r="L585" s="3" t="n">
        <f aca="false">IF(OR(F585="Y",G585="Y",H585="Y"),1,0)</f>
        <v>0</v>
      </c>
      <c r="M585" s="3" t="n">
        <f aca="false">IF(H585="Y",1,0)</f>
        <v>0</v>
      </c>
      <c r="N585" s="3" t="n">
        <f aca="false">IF(I585="Y",1,0)</f>
        <v>0</v>
      </c>
    </row>
    <row r="586" customFormat="false" ht="15" hidden="false" customHeight="true" outlineLevel="0" collapsed="false">
      <c r="A586" s="7" t="s">
        <v>56</v>
      </c>
      <c r="B586" s="7" t="n">
        <v>1967</v>
      </c>
      <c r="C586" s="7" t="s">
        <v>357</v>
      </c>
      <c r="D586" s="7" t="n">
        <v>87</v>
      </c>
      <c r="E586" s="7" t="n">
        <v>74</v>
      </c>
      <c r="F586" s="7"/>
      <c r="G586" s="7"/>
      <c r="H586" s="7" t="s">
        <v>546</v>
      </c>
      <c r="I586" s="7" t="s">
        <v>546</v>
      </c>
      <c r="J586" s="21" t="n">
        <f aca="false">D586/(D586+E586)</f>
        <v>0.540372670807453</v>
      </c>
      <c r="K586" s="3" t="n">
        <f aca="false">IF(D586&gt;E586,1,0)</f>
        <v>1</v>
      </c>
      <c r="L586" s="3" t="n">
        <f aca="false">IF(OR(F586="Y",G586="Y",H586="Y"),1,0)</f>
        <v>0</v>
      </c>
      <c r="M586" s="3" t="n">
        <f aca="false">IF(H586="Y",1,0)</f>
        <v>0</v>
      </c>
      <c r="N586" s="3" t="n">
        <f aca="false">IF(I586="Y",1,0)</f>
        <v>0</v>
      </c>
    </row>
    <row r="587" customFormat="false" ht="15" hidden="false" customHeight="true" outlineLevel="0" collapsed="false">
      <c r="A587" s="7" t="s">
        <v>56</v>
      </c>
      <c r="B587" s="7" t="n">
        <v>1968</v>
      </c>
      <c r="C587" s="7" t="s">
        <v>357</v>
      </c>
      <c r="D587" s="7" t="n">
        <v>84</v>
      </c>
      <c r="E587" s="7" t="n">
        <v>78</v>
      </c>
      <c r="F587" s="7"/>
      <c r="G587" s="7"/>
      <c r="H587" s="7" t="s">
        <v>546</v>
      </c>
      <c r="I587" s="7" t="s">
        <v>546</v>
      </c>
      <c r="J587" s="21" t="n">
        <f aca="false">D587/(D587+E587)</f>
        <v>0.518518518518519</v>
      </c>
      <c r="K587" s="3" t="n">
        <f aca="false">IF(D587&gt;E587,1,0)</f>
        <v>1</v>
      </c>
      <c r="L587" s="3" t="n">
        <f aca="false">IF(OR(F587="Y",G587="Y",H587="Y"),1,0)</f>
        <v>0</v>
      </c>
      <c r="M587" s="3" t="n">
        <f aca="false">IF(H587="Y",1,0)</f>
        <v>0</v>
      </c>
      <c r="N587" s="3" t="n">
        <f aca="false">IF(I587="Y",1,0)</f>
        <v>0</v>
      </c>
    </row>
    <row r="588" customFormat="false" ht="15" hidden="false" customHeight="true" outlineLevel="0" collapsed="false">
      <c r="A588" s="7" t="s">
        <v>56</v>
      </c>
      <c r="B588" s="7" t="n">
        <v>1969</v>
      </c>
      <c r="C588" s="7" t="s">
        <v>357</v>
      </c>
      <c r="D588" s="7" t="n">
        <v>92</v>
      </c>
      <c r="E588" s="7" t="n">
        <v>70</v>
      </c>
      <c r="F588" s="7" t="s">
        <v>546</v>
      </c>
      <c r="G588" s="7"/>
      <c r="H588" s="7" t="s">
        <v>546</v>
      </c>
      <c r="I588" s="7" t="s">
        <v>546</v>
      </c>
      <c r="J588" s="21" t="n">
        <f aca="false">D588/(D588+E588)</f>
        <v>0.567901234567901</v>
      </c>
      <c r="K588" s="3" t="n">
        <f aca="false">IF(D588&gt;E588,1,0)</f>
        <v>1</v>
      </c>
      <c r="L588" s="3" t="n">
        <f aca="false">IF(OR(F588="Y",G588="Y",H588="Y"),1,0)</f>
        <v>0</v>
      </c>
      <c r="M588" s="3" t="n">
        <f aca="false">IF(H588="Y",1,0)</f>
        <v>0</v>
      </c>
      <c r="N588" s="3" t="n">
        <f aca="false">IF(I588="Y",1,0)</f>
        <v>0</v>
      </c>
    </row>
    <row r="589" customFormat="false" ht="15" hidden="false" customHeight="true" outlineLevel="0" collapsed="false">
      <c r="A589" s="7" t="s">
        <v>56</v>
      </c>
      <c r="B589" s="7" t="n">
        <v>1970</v>
      </c>
      <c r="C589" s="7" t="s">
        <v>357</v>
      </c>
      <c r="D589" s="7" t="n">
        <v>84</v>
      </c>
      <c r="E589" s="7" t="n">
        <v>78</v>
      </c>
      <c r="F589" s="7" t="s">
        <v>546</v>
      </c>
      <c r="G589" s="7"/>
      <c r="H589" s="7" t="s">
        <v>546</v>
      </c>
      <c r="I589" s="7" t="s">
        <v>546</v>
      </c>
      <c r="J589" s="21" t="n">
        <f aca="false">D589/(D589+E589)</f>
        <v>0.518518518518519</v>
      </c>
      <c r="K589" s="3" t="n">
        <f aca="false">IF(D589&gt;E589,1,0)</f>
        <v>1</v>
      </c>
      <c r="L589" s="3" t="n">
        <f aca="false">IF(OR(F589="Y",G589="Y",H589="Y"),1,0)</f>
        <v>0</v>
      </c>
      <c r="M589" s="3" t="n">
        <f aca="false">IF(H589="Y",1,0)</f>
        <v>0</v>
      </c>
      <c r="N589" s="3" t="n">
        <f aca="false">IF(I589="Y",1,0)</f>
        <v>0</v>
      </c>
    </row>
    <row r="590" customFormat="false" ht="15" hidden="false" customHeight="true" outlineLevel="0" collapsed="false">
      <c r="A590" s="7" t="s">
        <v>56</v>
      </c>
      <c r="B590" s="7" t="n">
        <v>1971</v>
      </c>
      <c r="C590" s="7" t="s">
        <v>357</v>
      </c>
      <c r="D590" s="7" t="n">
        <v>83</v>
      </c>
      <c r="E590" s="7" t="n">
        <v>79</v>
      </c>
      <c r="F590" s="7" t="s">
        <v>546</v>
      </c>
      <c r="G590" s="7"/>
      <c r="H590" s="7" t="s">
        <v>546</v>
      </c>
      <c r="I590" s="7" t="s">
        <v>546</v>
      </c>
      <c r="J590" s="21" t="n">
        <f aca="false">D590/(D590+E590)</f>
        <v>0.512345679012346</v>
      </c>
      <c r="K590" s="3" t="n">
        <f aca="false">IF(D590&gt;E590,1,0)</f>
        <v>1</v>
      </c>
      <c r="L590" s="3" t="n">
        <f aca="false">IF(OR(F590="Y",G590="Y",H590="Y"),1,0)</f>
        <v>0</v>
      </c>
      <c r="M590" s="3" t="n">
        <f aca="false">IF(H590="Y",1,0)</f>
        <v>0</v>
      </c>
      <c r="N590" s="3" t="n">
        <f aca="false">IF(I590="Y",1,0)</f>
        <v>0</v>
      </c>
    </row>
    <row r="591" customFormat="false" ht="15" hidden="false" customHeight="true" outlineLevel="0" collapsed="false">
      <c r="A591" s="7" t="s">
        <v>56</v>
      </c>
      <c r="B591" s="7" t="n">
        <v>1972</v>
      </c>
      <c r="C591" s="7" t="s">
        <v>357</v>
      </c>
      <c r="D591" s="7" t="n">
        <v>85</v>
      </c>
      <c r="E591" s="7" t="n">
        <v>70</v>
      </c>
      <c r="F591" s="7" t="s">
        <v>546</v>
      </c>
      <c r="G591" s="7"/>
      <c r="H591" s="7" t="s">
        <v>546</v>
      </c>
      <c r="I591" s="7" t="s">
        <v>546</v>
      </c>
      <c r="J591" s="21" t="n">
        <f aca="false">D591/(D591+E591)</f>
        <v>0.548387096774194</v>
      </c>
      <c r="K591" s="3" t="n">
        <f aca="false">IF(D591&gt;E591,1,0)</f>
        <v>1</v>
      </c>
      <c r="L591" s="3" t="n">
        <f aca="false">IF(OR(F591="Y",G591="Y",H591="Y"),1,0)</f>
        <v>0</v>
      </c>
      <c r="M591" s="3" t="n">
        <f aca="false">IF(H591="Y",1,0)</f>
        <v>0</v>
      </c>
      <c r="N591" s="3" t="n">
        <f aca="false">IF(I591="Y",1,0)</f>
        <v>0</v>
      </c>
    </row>
    <row r="592" customFormat="false" ht="15" hidden="false" customHeight="true" outlineLevel="0" collapsed="false">
      <c r="A592" s="7" t="s">
        <v>56</v>
      </c>
      <c r="B592" s="7" t="n">
        <v>1973</v>
      </c>
      <c r="C592" s="7" t="s">
        <v>357</v>
      </c>
      <c r="D592" s="7" t="n">
        <v>77</v>
      </c>
      <c r="E592" s="7" t="n">
        <v>84</v>
      </c>
      <c r="F592" s="7" t="s">
        <v>546</v>
      </c>
      <c r="G592" s="7"/>
      <c r="H592" s="7" t="s">
        <v>546</v>
      </c>
      <c r="I592" s="7" t="s">
        <v>546</v>
      </c>
      <c r="J592" s="21" t="n">
        <f aca="false">D592/(D592+E592)</f>
        <v>0.478260869565217</v>
      </c>
      <c r="K592" s="3" t="n">
        <f aca="false">IF(D592&gt;E592,1,0)</f>
        <v>0</v>
      </c>
      <c r="L592" s="3" t="n">
        <f aca="false">IF(OR(F592="Y",G592="Y",H592="Y"),1,0)</f>
        <v>0</v>
      </c>
      <c r="M592" s="3" t="n">
        <f aca="false">IF(H592="Y",1,0)</f>
        <v>0</v>
      </c>
      <c r="N592" s="3" t="n">
        <f aca="false">IF(I592="Y",1,0)</f>
        <v>0</v>
      </c>
    </row>
    <row r="593" customFormat="false" ht="15" hidden="false" customHeight="true" outlineLevel="0" collapsed="false">
      <c r="A593" s="7" t="s">
        <v>56</v>
      </c>
      <c r="B593" s="7" t="n">
        <v>1974</v>
      </c>
      <c r="C593" s="7" t="s">
        <v>357</v>
      </c>
      <c r="D593" s="7" t="n">
        <v>66</v>
      </c>
      <c r="E593" s="7" t="n">
        <v>96</v>
      </c>
      <c r="F593" s="7" t="s">
        <v>546</v>
      </c>
      <c r="G593" s="7"/>
      <c r="H593" s="7" t="s">
        <v>546</v>
      </c>
      <c r="I593" s="7" t="s">
        <v>546</v>
      </c>
      <c r="J593" s="21" t="n">
        <f aca="false">D593/(D593+E593)</f>
        <v>0.407407407407407</v>
      </c>
      <c r="K593" s="3" t="n">
        <f aca="false">IF(D593&gt;E593,1,0)</f>
        <v>0</v>
      </c>
      <c r="L593" s="3" t="n">
        <f aca="false">IF(OR(F593="Y",G593="Y",H593="Y"),1,0)</f>
        <v>0</v>
      </c>
      <c r="M593" s="3" t="n">
        <f aca="false">IF(H593="Y",1,0)</f>
        <v>0</v>
      </c>
      <c r="N593" s="3" t="n">
        <f aca="false">IF(I593="Y",1,0)</f>
        <v>0</v>
      </c>
    </row>
    <row r="594" customFormat="false" ht="15" hidden="false" customHeight="true" outlineLevel="0" collapsed="false">
      <c r="A594" s="7" t="s">
        <v>56</v>
      </c>
      <c r="B594" s="7" t="n">
        <v>1975</v>
      </c>
      <c r="C594" s="7" t="s">
        <v>357</v>
      </c>
      <c r="D594" s="7" t="n">
        <v>75</v>
      </c>
      <c r="E594" s="7" t="n">
        <v>87</v>
      </c>
      <c r="F594" s="7" t="s">
        <v>546</v>
      </c>
      <c r="G594" s="7"/>
      <c r="H594" s="7" t="s">
        <v>546</v>
      </c>
      <c r="I594" s="7" t="s">
        <v>546</v>
      </c>
      <c r="J594" s="21" t="n">
        <f aca="false">D594/(D594+E594)</f>
        <v>0.462962962962963</v>
      </c>
      <c r="K594" s="3" t="n">
        <f aca="false">IF(D594&gt;E594,1,0)</f>
        <v>0</v>
      </c>
      <c r="L594" s="3" t="n">
        <f aca="false">IF(OR(F594="Y",G594="Y",H594="Y"),1,0)</f>
        <v>0</v>
      </c>
      <c r="M594" s="3" t="n">
        <f aca="false">IF(H594="Y",1,0)</f>
        <v>0</v>
      </c>
      <c r="N594" s="3" t="n">
        <f aca="false">IF(I594="Y",1,0)</f>
        <v>0</v>
      </c>
    </row>
    <row r="595" customFormat="false" ht="15" hidden="false" customHeight="true" outlineLevel="0" collapsed="false">
      <c r="A595" s="7" t="s">
        <v>56</v>
      </c>
      <c r="B595" s="7" t="n">
        <v>1976</v>
      </c>
      <c r="C595" s="7" t="s">
        <v>357</v>
      </c>
      <c r="D595" s="7" t="n">
        <v>75</v>
      </c>
      <c r="E595" s="7" t="n">
        <v>87</v>
      </c>
      <c r="F595" s="7" t="s">
        <v>546</v>
      </c>
      <c r="G595" s="7"/>
      <c r="H595" s="7" t="s">
        <v>546</v>
      </c>
      <c r="I595" s="7" t="s">
        <v>546</v>
      </c>
      <c r="J595" s="21" t="n">
        <f aca="false">D595/(D595+E595)</f>
        <v>0.462962962962963</v>
      </c>
      <c r="K595" s="3" t="n">
        <f aca="false">IF(D595&gt;E595,1,0)</f>
        <v>0</v>
      </c>
      <c r="L595" s="3" t="n">
        <f aca="false">IF(OR(F595="Y",G595="Y",H595="Y"),1,0)</f>
        <v>0</v>
      </c>
      <c r="M595" s="3" t="n">
        <f aca="false">IF(H595="Y",1,0)</f>
        <v>0</v>
      </c>
      <c r="N595" s="3" t="n">
        <f aca="false">IF(I595="Y",1,0)</f>
        <v>0</v>
      </c>
    </row>
    <row r="596" customFormat="false" ht="15" hidden="false" customHeight="true" outlineLevel="0" collapsed="false">
      <c r="A596" s="7" t="s">
        <v>56</v>
      </c>
      <c r="B596" s="7" t="n">
        <v>1977</v>
      </c>
      <c r="C596" s="7" t="s">
        <v>357</v>
      </c>
      <c r="D596" s="7" t="n">
        <v>81</v>
      </c>
      <c r="E596" s="7" t="n">
        <v>81</v>
      </c>
      <c r="F596" s="7" t="s">
        <v>546</v>
      </c>
      <c r="G596" s="7"/>
      <c r="H596" s="7" t="s">
        <v>546</v>
      </c>
      <c r="I596" s="7" t="s">
        <v>546</v>
      </c>
      <c r="J596" s="21" t="n">
        <f aca="false">D596/(D596+E596)</f>
        <v>0.5</v>
      </c>
      <c r="K596" s="3" t="n">
        <f aca="false">IF(D596&gt;E596,1,0)</f>
        <v>0</v>
      </c>
      <c r="L596" s="3" t="n">
        <f aca="false">IF(OR(F596="Y",G596="Y",H596="Y"),1,0)</f>
        <v>0</v>
      </c>
      <c r="M596" s="3" t="n">
        <f aca="false">IF(H596="Y",1,0)</f>
        <v>0</v>
      </c>
      <c r="N596" s="3" t="n">
        <f aca="false">IF(I596="Y",1,0)</f>
        <v>0</v>
      </c>
    </row>
    <row r="597" customFormat="false" ht="15" hidden="false" customHeight="true" outlineLevel="0" collapsed="false">
      <c r="A597" s="7" t="s">
        <v>56</v>
      </c>
      <c r="B597" s="7" t="n">
        <v>1978</v>
      </c>
      <c r="C597" s="7" t="s">
        <v>357</v>
      </c>
      <c r="D597" s="7" t="n">
        <v>79</v>
      </c>
      <c r="E597" s="7" t="n">
        <v>83</v>
      </c>
      <c r="F597" s="7" t="s">
        <v>546</v>
      </c>
      <c r="G597" s="7"/>
      <c r="H597" s="7" t="s">
        <v>546</v>
      </c>
      <c r="I597" s="7" t="s">
        <v>546</v>
      </c>
      <c r="J597" s="21" t="n">
        <f aca="false">D597/(D597+E597)</f>
        <v>0.487654320987654</v>
      </c>
      <c r="K597" s="3" t="n">
        <f aca="false">IF(D597&gt;E597,1,0)</f>
        <v>0</v>
      </c>
      <c r="L597" s="3" t="n">
        <f aca="false">IF(OR(F597="Y",G597="Y",H597="Y"),1,0)</f>
        <v>0</v>
      </c>
      <c r="M597" s="3" t="n">
        <f aca="false">IF(H597="Y",1,0)</f>
        <v>0</v>
      </c>
      <c r="N597" s="3" t="n">
        <f aca="false">IF(I597="Y",1,0)</f>
        <v>0</v>
      </c>
    </row>
    <row r="598" customFormat="false" ht="15" hidden="false" customHeight="true" outlineLevel="0" collapsed="false">
      <c r="A598" s="7" t="s">
        <v>56</v>
      </c>
      <c r="B598" s="7" t="n">
        <v>1979</v>
      </c>
      <c r="C598" s="7" t="s">
        <v>357</v>
      </c>
      <c r="D598" s="7" t="n">
        <v>80</v>
      </c>
      <c r="E598" s="7" t="n">
        <v>82</v>
      </c>
      <c r="F598" s="7" t="s">
        <v>546</v>
      </c>
      <c r="G598" s="7"/>
      <c r="H598" s="7" t="s">
        <v>546</v>
      </c>
      <c r="I598" s="7" t="s">
        <v>546</v>
      </c>
      <c r="J598" s="21" t="n">
        <f aca="false">D598/(D598+E598)</f>
        <v>0.493827160493827</v>
      </c>
      <c r="K598" s="3" t="n">
        <f aca="false">IF(D598&gt;E598,1,0)</f>
        <v>0</v>
      </c>
      <c r="L598" s="3" t="n">
        <f aca="false">IF(OR(F598="Y",G598="Y",H598="Y"),1,0)</f>
        <v>0</v>
      </c>
      <c r="M598" s="3" t="n">
        <f aca="false">IF(H598="Y",1,0)</f>
        <v>0</v>
      </c>
      <c r="N598" s="3" t="n">
        <f aca="false">IF(I598="Y",1,0)</f>
        <v>0</v>
      </c>
    </row>
    <row r="599" customFormat="false" ht="15" hidden="false" customHeight="true" outlineLevel="0" collapsed="false">
      <c r="A599" s="7" t="s">
        <v>56</v>
      </c>
      <c r="B599" s="7" t="n">
        <v>1980</v>
      </c>
      <c r="C599" s="7" t="s">
        <v>357</v>
      </c>
      <c r="D599" s="7" t="n">
        <v>64</v>
      </c>
      <c r="E599" s="7" t="n">
        <v>98</v>
      </c>
      <c r="F599" s="7" t="s">
        <v>546</v>
      </c>
      <c r="G599" s="7"/>
      <c r="H599" s="7" t="s">
        <v>546</v>
      </c>
      <c r="I599" s="7" t="s">
        <v>546</v>
      </c>
      <c r="J599" s="21" t="n">
        <f aca="false">D599/(D599+E599)</f>
        <v>0.395061728395062</v>
      </c>
      <c r="K599" s="3" t="n">
        <f aca="false">IF(D599&gt;E599,1,0)</f>
        <v>0</v>
      </c>
      <c r="L599" s="3" t="n">
        <f aca="false">IF(OR(F599="Y",G599="Y",H599="Y"),1,0)</f>
        <v>0</v>
      </c>
      <c r="M599" s="3" t="n">
        <f aca="false">IF(H599="Y",1,0)</f>
        <v>0</v>
      </c>
      <c r="N599" s="3" t="n">
        <f aca="false">IF(I599="Y",1,0)</f>
        <v>0</v>
      </c>
    </row>
    <row r="600" customFormat="false" ht="15" hidden="false" customHeight="true" outlineLevel="0" collapsed="false">
      <c r="A600" s="7" t="s">
        <v>56</v>
      </c>
      <c r="B600" s="7" t="n">
        <v>1981</v>
      </c>
      <c r="C600" s="7" t="s">
        <v>357</v>
      </c>
      <c r="D600" s="7" t="n">
        <v>38</v>
      </c>
      <c r="E600" s="7" t="n">
        <v>65</v>
      </c>
      <c r="F600" s="7" t="s">
        <v>546</v>
      </c>
      <c r="G600" s="7"/>
      <c r="H600" s="7" t="s">
        <v>546</v>
      </c>
      <c r="I600" s="7" t="s">
        <v>546</v>
      </c>
      <c r="J600" s="21" t="n">
        <f aca="false">D600/(D600+E600)</f>
        <v>0.368932038834951</v>
      </c>
      <c r="K600" s="3" t="n">
        <f aca="false">IF(D600&gt;E600,1,0)</f>
        <v>0</v>
      </c>
      <c r="L600" s="3" t="n">
        <f aca="false">IF(OR(F600="Y",G600="Y",H600="Y"),1,0)</f>
        <v>0</v>
      </c>
      <c r="M600" s="3" t="n">
        <f aca="false">IF(H600="Y",1,0)</f>
        <v>0</v>
      </c>
      <c r="N600" s="3" t="n">
        <f aca="false">IF(I600="Y",1,0)</f>
        <v>0</v>
      </c>
    </row>
    <row r="601" customFormat="false" ht="15" hidden="false" customHeight="true" outlineLevel="0" collapsed="false">
      <c r="A601" s="7" t="s">
        <v>56</v>
      </c>
      <c r="B601" s="7" t="n">
        <v>1982</v>
      </c>
      <c r="C601" s="7" t="s">
        <v>357</v>
      </c>
      <c r="D601" s="7" t="n">
        <v>73</v>
      </c>
      <c r="E601" s="7" t="n">
        <v>89</v>
      </c>
      <c r="F601" s="7" t="s">
        <v>546</v>
      </c>
      <c r="G601" s="7"/>
      <c r="H601" s="7" t="s">
        <v>546</v>
      </c>
      <c r="I601" s="7" t="s">
        <v>546</v>
      </c>
      <c r="J601" s="21" t="n">
        <f aca="false">D601/(D601+E601)</f>
        <v>0.450617283950617</v>
      </c>
      <c r="K601" s="3" t="n">
        <f aca="false">IF(D601&gt;E601,1,0)</f>
        <v>0</v>
      </c>
      <c r="L601" s="3" t="n">
        <f aca="false">IF(OR(F601="Y",G601="Y",H601="Y"),1,0)</f>
        <v>0</v>
      </c>
      <c r="M601" s="3" t="n">
        <f aca="false">IF(H601="Y",1,0)</f>
        <v>0</v>
      </c>
      <c r="N601" s="3" t="n">
        <f aca="false">IF(I601="Y",1,0)</f>
        <v>0</v>
      </c>
    </row>
    <row r="602" customFormat="false" ht="15" hidden="false" customHeight="true" outlineLevel="0" collapsed="false">
      <c r="A602" s="7" t="s">
        <v>56</v>
      </c>
      <c r="B602" s="7" t="n">
        <v>1983</v>
      </c>
      <c r="C602" s="7" t="s">
        <v>357</v>
      </c>
      <c r="D602" s="7" t="n">
        <v>71</v>
      </c>
      <c r="E602" s="7" t="n">
        <v>91</v>
      </c>
      <c r="F602" s="7" t="s">
        <v>546</v>
      </c>
      <c r="G602" s="7"/>
      <c r="H602" s="7" t="s">
        <v>546</v>
      </c>
      <c r="I602" s="7" t="s">
        <v>546</v>
      </c>
      <c r="J602" s="21" t="n">
        <f aca="false">D602/(D602+E602)</f>
        <v>0.438271604938272</v>
      </c>
      <c r="K602" s="3" t="n">
        <f aca="false">IF(D602&gt;E602,1,0)</f>
        <v>0</v>
      </c>
      <c r="L602" s="3" t="n">
        <f aca="false">IF(OR(F602="Y",G602="Y",H602="Y"),1,0)</f>
        <v>0</v>
      </c>
      <c r="M602" s="3" t="n">
        <f aca="false">IF(H602="Y",1,0)</f>
        <v>0</v>
      </c>
      <c r="N602" s="3" t="n">
        <f aca="false">IF(I602="Y",1,0)</f>
        <v>0</v>
      </c>
    </row>
    <row r="603" customFormat="false" ht="15" hidden="false" customHeight="true" outlineLevel="0" collapsed="false">
      <c r="A603" s="7" t="s">
        <v>56</v>
      </c>
      <c r="B603" s="7" t="n">
        <v>1984</v>
      </c>
      <c r="C603" s="7" t="s">
        <v>357</v>
      </c>
      <c r="D603" s="7" t="n">
        <v>96</v>
      </c>
      <c r="E603" s="7" t="n">
        <v>65</v>
      </c>
      <c r="F603" s="7" t="s">
        <v>548</v>
      </c>
      <c r="G603" s="7"/>
      <c r="H603" s="7" t="s">
        <v>546</v>
      </c>
      <c r="I603" s="7" t="s">
        <v>546</v>
      </c>
      <c r="J603" s="21" t="n">
        <f aca="false">D603/(D603+E603)</f>
        <v>0.596273291925466</v>
      </c>
      <c r="K603" s="3" t="n">
        <f aca="false">IF(D603&gt;E603,1,0)</f>
        <v>1</v>
      </c>
      <c r="L603" s="3" t="n">
        <f aca="false">IF(OR(F603="Y",G603="Y",H603="Y"),1,0)</f>
        <v>1</v>
      </c>
      <c r="M603" s="3" t="n">
        <f aca="false">IF(H603="Y",1,0)</f>
        <v>0</v>
      </c>
      <c r="N603" s="3" t="n">
        <f aca="false">IF(I603="Y",1,0)</f>
        <v>0</v>
      </c>
    </row>
    <row r="604" customFormat="false" ht="15" hidden="false" customHeight="true" outlineLevel="0" collapsed="false">
      <c r="A604" s="7" t="s">
        <v>56</v>
      </c>
      <c r="B604" s="7" t="n">
        <v>1985</v>
      </c>
      <c r="C604" s="7" t="s">
        <v>357</v>
      </c>
      <c r="D604" s="7" t="n">
        <v>77</v>
      </c>
      <c r="E604" s="7" t="n">
        <v>84</v>
      </c>
      <c r="F604" s="7" t="s">
        <v>546</v>
      </c>
      <c r="G604" s="7"/>
      <c r="H604" s="7" t="s">
        <v>546</v>
      </c>
      <c r="I604" s="7" t="s">
        <v>546</v>
      </c>
      <c r="J604" s="21" t="n">
        <f aca="false">D604/(D604+E604)</f>
        <v>0.478260869565217</v>
      </c>
      <c r="K604" s="3" t="n">
        <f aca="false">IF(D604&gt;E604,1,0)</f>
        <v>0</v>
      </c>
      <c r="L604" s="3" t="n">
        <f aca="false">IF(OR(F604="Y",G604="Y",H604="Y"),1,0)</f>
        <v>0</v>
      </c>
      <c r="M604" s="3" t="n">
        <f aca="false">IF(H604="Y",1,0)</f>
        <v>0</v>
      </c>
      <c r="N604" s="3" t="n">
        <f aca="false">IF(I604="Y",1,0)</f>
        <v>0</v>
      </c>
    </row>
    <row r="605" customFormat="false" ht="15" hidden="false" customHeight="true" outlineLevel="0" collapsed="false">
      <c r="A605" s="7" t="s">
        <v>56</v>
      </c>
      <c r="B605" s="7" t="n">
        <v>1986</v>
      </c>
      <c r="C605" s="7" t="s">
        <v>357</v>
      </c>
      <c r="D605" s="7" t="n">
        <v>70</v>
      </c>
      <c r="E605" s="7" t="n">
        <v>90</v>
      </c>
      <c r="F605" s="7" t="s">
        <v>546</v>
      </c>
      <c r="G605" s="7"/>
      <c r="H605" s="7" t="s">
        <v>546</v>
      </c>
      <c r="I605" s="7" t="s">
        <v>546</v>
      </c>
      <c r="J605" s="21" t="n">
        <f aca="false">D605/(D605+E605)</f>
        <v>0.4375</v>
      </c>
      <c r="K605" s="3" t="n">
        <f aca="false">IF(D605&gt;E605,1,0)</f>
        <v>0</v>
      </c>
      <c r="L605" s="3" t="n">
        <f aca="false">IF(OR(F605="Y",G605="Y",H605="Y"),1,0)</f>
        <v>0</v>
      </c>
      <c r="M605" s="3" t="n">
        <f aca="false">IF(H605="Y",1,0)</f>
        <v>0</v>
      </c>
      <c r="N605" s="3" t="n">
        <f aca="false">IF(I605="Y",1,0)</f>
        <v>0</v>
      </c>
    </row>
    <row r="606" customFormat="false" ht="15" hidden="false" customHeight="true" outlineLevel="0" collapsed="false">
      <c r="A606" s="7" t="s">
        <v>56</v>
      </c>
      <c r="B606" s="7" t="n">
        <v>1987</v>
      </c>
      <c r="C606" s="7" t="s">
        <v>357</v>
      </c>
      <c r="D606" s="7" t="n">
        <v>76</v>
      </c>
      <c r="E606" s="7" t="n">
        <v>85</v>
      </c>
      <c r="F606" s="7" t="s">
        <v>546</v>
      </c>
      <c r="G606" s="7"/>
      <c r="H606" s="7" t="s">
        <v>546</v>
      </c>
      <c r="I606" s="7" t="s">
        <v>546</v>
      </c>
      <c r="J606" s="21" t="n">
        <f aca="false">D606/(D606+E606)</f>
        <v>0.472049689440994</v>
      </c>
      <c r="K606" s="3" t="n">
        <f aca="false">IF(D606&gt;E606,1,0)</f>
        <v>0</v>
      </c>
      <c r="L606" s="3" t="n">
        <f aca="false">IF(OR(F606="Y",G606="Y",H606="Y"),1,0)</f>
        <v>0</v>
      </c>
      <c r="M606" s="3" t="n">
        <f aca="false">IF(H606="Y",1,0)</f>
        <v>0</v>
      </c>
      <c r="N606" s="3" t="n">
        <f aca="false">IF(I606="Y",1,0)</f>
        <v>0</v>
      </c>
    </row>
    <row r="607" customFormat="false" ht="15" hidden="false" customHeight="true" outlineLevel="0" collapsed="false">
      <c r="A607" s="7" t="s">
        <v>56</v>
      </c>
      <c r="B607" s="7" t="n">
        <v>1988</v>
      </c>
      <c r="C607" s="7" t="s">
        <v>357</v>
      </c>
      <c r="D607" s="7" t="n">
        <v>77</v>
      </c>
      <c r="E607" s="7" t="n">
        <v>85</v>
      </c>
      <c r="F607" s="7" t="s">
        <v>546</v>
      </c>
      <c r="G607" s="7"/>
      <c r="H607" s="7" t="s">
        <v>546</v>
      </c>
      <c r="I607" s="7" t="s">
        <v>546</v>
      </c>
      <c r="J607" s="21" t="n">
        <f aca="false">D607/(D607+E607)</f>
        <v>0.475308641975309</v>
      </c>
      <c r="K607" s="3" t="n">
        <f aca="false">IF(D607&gt;E607,1,0)</f>
        <v>0</v>
      </c>
      <c r="L607" s="3" t="n">
        <f aca="false">IF(OR(F607="Y",G607="Y",H607="Y"),1,0)</f>
        <v>0</v>
      </c>
      <c r="M607" s="3" t="n">
        <f aca="false">IF(H607="Y",1,0)</f>
        <v>0</v>
      </c>
      <c r="N607" s="3" t="n">
        <f aca="false">IF(I607="Y",1,0)</f>
        <v>0</v>
      </c>
    </row>
    <row r="608" customFormat="false" ht="15" hidden="false" customHeight="true" outlineLevel="0" collapsed="false">
      <c r="A608" s="7" t="s">
        <v>56</v>
      </c>
      <c r="B608" s="7" t="n">
        <v>1989</v>
      </c>
      <c r="C608" s="7" t="s">
        <v>357</v>
      </c>
      <c r="D608" s="7" t="n">
        <v>93</v>
      </c>
      <c r="E608" s="7" t="n">
        <v>69</v>
      </c>
      <c r="F608" s="7" t="s">
        <v>548</v>
      </c>
      <c r="G608" s="7"/>
      <c r="H608" s="7" t="s">
        <v>546</v>
      </c>
      <c r="I608" s="7" t="s">
        <v>546</v>
      </c>
      <c r="J608" s="21" t="n">
        <f aca="false">D608/(D608+E608)</f>
        <v>0.574074074074074</v>
      </c>
      <c r="K608" s="3" t="n">
        <f aca="false">IF(D608&gt;E608,1,0)</f>
        <v>1</v>
      </c>
      <c r="L608" s="3" t="n">
        <f aca="false">IF(OR(F608="Y",G608="Y",H608="Y"),1,0)</f>
        <v>1</v>
      </c>
      <c r="M608" s="3" t="n">
        <f aca="false">IF(H608="Y",1,0)</f>
        <v>0</v>
      </c>
      <c r="N608" s="3" t="n">
        <f aca="false">IF(I608="Y",1,0)</f>
        <v>0</v>
      </c>
    </row>
    <row r="609" customFormat="false" ht="15" hidden="false" customHeight="true" outlineLevel="0" collapsed="false">
      <c r="A609" s="7" t="s">
        <v>56</v>
      </c>
      <c r="B609" s="7" t="n">
        <v>1990</v>
      </c>
      <c r="C609" s="7" t="s">
        <v>357</v>
      </c>
      <c r="D609" s="7" t="n">
        <v>77</v>
      </c>
      <c r="E609" s="7" t="n">
        <v>85</v>
      </c>
      <c r="F609" s="7" t="s">
        <v>546</v>
      </c>
      <c r="G609" s="7"/>
      <c r="H609" s="7" t="s">
        <v>546</v>
      </c>
      <c r="I609" s="7" t="s">
        <v>546</v>
      </c>
      <c r="J609" s="21" t="n">
        <f aca="false">D609/(D609+E609)</f>
        <v>0.475308641975309</v>
      </c>
      <c r="K609" s="3" t="n">
        <f aca="false">IF(D609&gt;E609,1,0)</f>
        <v>0</v>
      </c>
      <c r="L609" s="3" t="n">
        <f aca="false">IF(OR(F609="Y",G609="Y",H609="Y"),1,0)</f>
        <v>0</v>
      </c>
      <c r="M609" s="3" t="n">
        <f aca="false">IF(H609="Y",1,0)</f>
        <v>0</v>
      </c>
      <c r="N609" s="3" t="n">
        <f aca="false">IF(I609="Y",1,0)</f>
        <v>0</v>
      </c>
    </row>
    <row r="610" customFormat="false" ht="15" hidden="false" customHeight="true" outlineLevel="0" collapsed="false">
      <c r="A610" s="7" t="s">
        <v>56</v>
      </c>
      <c r="B610" s="7" t="n">
        <v>1991</v>
      </c>
      <c r="C610" s="7" t="s">
        <v>357</v>
      </c>
      <c r="D610" s="7" t="n">
        <v>77</v>
      </c>
      <c r="E610" s="7" t="n">
        <v>83</v>
      </c>
      <c r="F610" s="7" t="s">
        <v>546</v>
      </c>
      <c r="G610" s="7"/>
      <c r="H610" s="7" t="s">
        <v>546</v>
      </c>
      <c r="I610" s="7" t="s">
        <v>546</v>
      </c>
      <c r="J610" s="21" t="n">
        <f aca="false">D610/(D610+E610)</f>
        <v>0.48125</v>
      </c>
      <c r="K610" s="3" t="n">
        <f aca="false">IF(D610&gt;E610,1,0)</f>
        <v>0</v>
      </c>
      <c r="L610" s="3" t="n">
        <f aca="false">IF(OR(F610="Y",G610="Y",H610="Y"),1,0)</f>
        <v>0</v>
      </c>
      <c r="M610" s="3" t="n">
        <f aca="false">IF(H610="Y",1,0)</f>
        <v>0</v>
      </c>
      <c r="N610" s="3" t="n">
        <f aca="false">IF(I610="Y",1,0)</f>
        <v>0</v>
      </c>
    </row>
    <row r="611" customFormat="false" ht="15" hidden="false" customHeight="true" outlineLevel="0" collapsed="false">
      <c r="A611" s="7" t="s">
        <v>56</v>
      </c>
      <c r="B611" s="7" t="n">
        <v>1992</v>
      </c>
      <c r="C611" s="7" t="s">
        <v>357</v>
      </c>
      <c r="D611" s="7" t="n">
        <v>78</v>
      </c>
      <c r="E611" s="7" t="n">
        <v>84</v>
      </c>
      <c r="F611" s="7" t="s">
        <v>546</v>
      </c>
      <c r="G611" s="7"/>
      <c r="H611" s="7" t="s">
        <v>546</v>
      </c>
      <c r="I611" s="7" t="s">
        <v>546</v>
      </c>
      <c r="J611" s="21" t="n">
        <f aca="false">D611/(D611+E611)</f>
        <v>0.481481481481481</v>
      </c>
      <c r="K611" s="3" t="n">
        <f aca="false">IF(D611&gt;E611,1,0)</f>
        <v>0</v>
      </c>
      <c r="L611" s="3" t="n">
        <f aca="false">IF(OR(F611="Y",G611="Y",H611="Y"),1,0)</f>
        <v>0</v>
      </c>
      <c r="M611" s="3" t="n">
        <f aca="false">IF(H611="Y",1,0)</f>
        <v>0</v>
      </c>
      <c r="N611" s="3" t="n">
        <f aca="false">IF(I611="Y",1,0)</f>
        <v>0</v>
      </c>
    </row>
    <row r="612" customFormat="false" ht="15" hidden="false" customHeight="true" outlineLevel="0" collapsed="false">
      <c r="A612" s="7" t="s">
        <v>56</v>
      </c>
      <c r="B612" s="7" t="n">
        <v>1993</v>
      </c>
      <c r="C612" s="7" t="s">
        <v>357</v>
      </c>
      <c r="D612" s="7" t="n">
        <v>84</v>
      </c>
      <c r="E612" s="7" t="n">
        <v>78</v>
      </c>
      <c r="F612" s="7" t="s">
        <v>546</v>
      </c>
      <c r="G612" s="7"/>
      <c r="H612" s="7" t="s">
        <v>546</v>
      </c>
      <c r="I612" s="7" t="s">
        <v>546</v>
      </c>
      <c r="J612" s="21" t="n">
        <f aca="false">D612/(D612+E612)</f>
        <v>0.518518518518519</v>
      </c>
      <c r="K612" s="3" t="n">
        <f aca="false">IF(D612&gt;E612,1,0)</f>
        <v>1</v>
      </c>
      <c r="L612" s="3" t="n">
        <f aca="false">IF(OR(F612="Y",G612="Y",H612="Y"),1,0)</f>
        <v>0</v>
      </c>
      <c r="M612" s="3" t="n">
        <f aca="false">IF(H612="Y",1,0)</f>
        <v>0</v>
      </c>
      <c r="N612" s="3" t="n">
        <f aca="false">IF(I612="Y",1,0)</f>
        <v>0</v>
      </c>
    </row>
    <row r="613" customFormat="false" ht="15" hidden="false" customHeight="true" outlineLevel="0" collapsed="false">
      <c r="A613" s="7" t="s">
        <v>56</v>
      </c>
      <c r="B613" s="7" t="n">
        <v>1994</v>
      </c>
      <c r="C613" s="7" t="s">
        <v>357</v>
      </c>
      <c r="D613" s="7" t="n">
        <v>49</v>
      </c>
      <c r="E613" s="7" t="n">
        <v>64</v>
      </c>
      <c r="F613" s="7"/>
      <c r="G613" s="7"/>
      <c r="H613" s="7"/>
      <c r="I613" s="7"/>
      <c r="J613" s="21" t="n">
        <f aca="false">D613/(D613+E613)</f>
        <v>0.433628318584071</v>
      </c>
      <c r="K613" s="3" t="n">
        <f aca="false">IF(D613&gt;E613,1,0)</f>
        <v>0</v>
      </c>
      <c r="L613" s="3" t="n">
        <f aca="false">IF(OR(F613="Y",G613="Y",H613="Y"),1,0)</f>
        <v>0</v>
      </c>
      <c r="M613" s="3" t="n">
        <f aca="false">IF(H613="Y",1,0)</f>
        <v>0</v>
      </c>
      <c r="N613" s="3" t="n">
        <f aca="false">IF(I613="Y",1,0)</f>
        <v>0</v>
      </c>
    </row>
    <row r="614" customFormat="false" ht="15" hidden="false" customHeight="true" outlineLevel="0" collapsed="false">
      <c r="A614" s="7" t="s">
        <v>56</v>
      </c>
      <c r="B614" s="7" t="n">
        <v>1995</v>
      </c>
      <c r="C614" s="7" t="s">
        <v>357</v>
      </c>
      <c r="D614" s="7" t="n">
        <v>73</v>
      </c>
      <c r="E614" s="7" t="n">
        <v>71</v>
      </c>
      <c r="F614" s="7" t="s">
        <v>546</v>
      </c>
      <c r="G614" s="7" t="s">
        <v>546</v>
      </c>
      <c r="H614" s="7" t="s">
        <v>546</v>
      </c>
      <c r="I614" s="7" t="s">
        <v>546</v>
      </c>
      <c r="J614" s="21" t="n">
        <f aca="false">D614/(D614+E614)</f>
        <v>0.506944444444444</v>
      </c>
      <c r="K614" s="3" t="n">
        <f aca="false">IF(D614&gt;E614,1,0)</f>
        <v>1</v>
      </c>
      <c r="L614" s="3" t="n">
        <f aca="false">IF(OR(F614="Y",G614="Y",H614="Y"),1,0)</f>
        <v>0</v>
      </c>
      <c r="M614" s="3" t="n">
        <f aca="false">IF(H614="Y",1,0)</f>
        <v>0</v>
      </c>
      <c r="N614" s="3" t="n">
        <f aca="false">IF(I614="Y",1,0)</f>
        <v>0</v>
      </c>
    </row>
    <row r="615" customFormat="false" ht="15" hidden="false" customHeight="true" outlineLevel="0" collapsed="false">
      <c r="A615" s="7" t="s">
        <v>56</v>
      </c>
      <c r="B615" s="7" t="n">
        <v>1996</v>
      </c>
      <c r="C615" s="7" t="s">
        <v>357</v>
      </c>
      <c r="D615" s="7" t="n">
        <v>76</v>
      </c>
      <c r="E615" s="7" t="n">
        <v>86</v>
      </c>
      <c r="F615" s="7" t="s">
        <v>546</v>
      </c>
      <c r="G615" s="7" t="s">
        <v>546</v>
      </c>
      <c r="H615" s="7" t="s">
        <v>546</v>
      </c>
      <c r="I615" s="7" t="s">
        <v>546</v>
      </c>
      <c r="J615" s="21" t="n">
        <f aca="false">D615/(D615+E615)</f>
        <v>0.469135802469136</v>
      </c>
      <c r="K615" s="3" t="n">
        <f aca="false">IF(D615&gt;E615,1,0)</f>
        <v>0</v>
      </c>
      <c r="L615" s="3" t="n">
        <f aca="false">IF(OR(F615="Y",G615="Y",H615="Y"),1,0)</f>
        <v>0</v>
      </c>
      <c r="M615" s="3" t="n">
        <f aca="false">IF(H615="Y",1,0)</f>
        <v>0</v>
      </c>
      <c r="N615" s="3" t="n">
        <f aca="false">IF(I615="Y",1,0)</f>
        <v>0</v>
      </c>
    </row>
    <row r="616" customFormat="false" ht="15" hidden="false" customHeight="true" outlineLevel="0" collapsed="false">
      <c r="A616" s="7" t="s">
        <v>56</v>
      </c>
      <c r="B616" s="7" t="n">
        <v>1997</v>
      </c>
      <c r="C616" s="7" t="s">
        <v>357</v>
      </c>
      <c r="D616" s="7" t="n">
        <v>68</v>
      </c>
      <c r="E616" s="7" t="n">
        <v>94</v>
      </c>
      <c r="F616" s="7" t="s">
        <v>546</v>
      </c>
      <c r="G616" s="7" t="s">
        <v>546</v>
      </c>
      <c r="H616" s="7" t="s">
        <v>546</v>
      </c>
      <c r="I616" s="7" t="s">
        <v>546</v>
      </c>
      <c r="J616" s="21" t="n">
        <f aca="false">D616/(D616+E616)</f>
        <v>0.419753086419753</v>
      </c>
      <c r="K616" s="3" t="n">
        <f aca="false">IF(D616&gt;E616,1,0)</f>
        <v>0</v>
      </c>
      <c r="L616" s="3" t="n">
        <f aca="false">IF(OR(F616="Y",G616="Y",H616="Y"),1,0)</f>
        <v>0</v>
      </c>
      <c r="M616" s="3" t="n">
        <f aca="false">IF(H616="Y",1,0)</f>
        <v>0</v>
      </c>
      <c r="N616" s="3" t="n">
        <f aca="false">IF(I616="Y",1,0)</f>
        <v>0</v>
      </c>
    </row>
    <row r="617" customFormat="false" ht="15" hidden="false" customHeight="true" outlineLevel="0" collapsed="false">
      <c r="A617" s="7" t="s">
        <v>56</v>
      </c>
      <c r="B617" s="7" t="n">
        <v>1998</v>
      </c>
      <c r="C617" s="7" t="s">
        <v>357</v>
      </c>
      <c r="D617" s="7" t="n">
        <v>90</v>
      </c>
      <c r="E617" s="7" t="n">
        <v>73</v>
      </c>
      <c r="F617" s="7" t="s">
        <v>546</v>
      </c>
      <c r="G617" s="7" t="s">
        <v>548</v>
      </c>
      <c r="H617" s="7" t="s">
        <v>546</v>
      </c>
      <c r="I617" s="7" t="s">
        <v>546</v>
      </c>
      <c r="J617" s="21" t="n">
        <f aca="false">D617/(D617+E617)</f>
        <v>0.552147239263804</v>
      </c>
      <c r="K617" s="3" t="n">
        <f aca="false">IF(D617&gt;E617,1,0)</f>
        <v>1</v>
      </c>
      <c r="L617" s="3" t="n">
        <f aca="false">IF(OR(F617="Y",G617="Y",H617="Y"),1,0)</f>
        <v>1</v>
      </c>
      <c r="M617" s="3" t="n">
        <f aca="false">IF(H617="Y",1,0)</f>
        <v>0</v>
      </c>
      <c r="N617" s="3" t="n">
        <f aca="false">IF(I617="Y",1,0)</f>
        <v>0</v>
      </c>
    </row>
    <row r="618" customFormat="false" ht="15" hidden="false" customHeight="true" outlineLevel="0" collapsed="false">
      <c r="A618" s="7" t="s">
        <v>56</v>
      </c>
      <c r="B618" s="7" t="n">
        <v>1999</v>
      </c>
      <c r="C618" s="7" t="s">
        <v>357</v>
      </c>
      <c r="D618" s="7" t="n">
        <v>67</v>
      </c>
      <c r="E618" s="7" t="n">
        <v>95</v>
      </c>
      <c r="F618" s="7" t="s">
        <v>546</v>
      </c>
      <c r="G618" s="7" t="s">
        <v>546</v>
      </c>
      <c r="H618" s="7" t="s">
        <v>546</v>
      </c>
      <c r="I618" s="7" t="s">
        <v>546</v>
      </c>
      <c r="J618" s="21" t="n">
        <f aca="false">D618/(D618+E618)</f>
        <v>0.41358024691358</v>
      </c>
      <c r="K618" s="3" t="n">
        <f aca="false">IF(D618&gt;E618,1,0)</f>
        <v>0</v>
      </c>
      <c r="L618" s="3" t="n">
        <f aca="false">IF(OR(F618="Y",G618="Y",H618="Y"),1,0)</f>
        <v>0</v>
      </c>
      <c r="M618" s="3" t="n">
        <f aca="false">IF(H618="Y",1,0)</f>
        <v>0</v>
      </c>
      <c r="N618" s="3" t="n">
        <f aca="false">IF(I618="Y",1,0)</f>
        <v>0</v>
      </c>
    </row>
    <row r="619" customFormat="false" ht="15" hidden="false" customHeight="true" outlineLevel="0" collapsed="false">
      <c r="A619" s="7" t="s">
        <v>56</v>
      </c>
      <c r="B619" s="7" t="n">
        <v>2000</v>
      </c>
      <c r="C619" s="7" t="s">
        <v>357</v>
      </c>
      <c r="D619" s="7" t="n">
        <v>65</v>
      </c>
      <c r="E619" s="7" t="n">
        <v>97</v>
      </c>
      <c r="F619" s="7" t="s">
        <v>546</v>
      </c>
      <c r="G619" s="7" t="s">
        <v>546</v>
      </c>
      <c r="H619" s="7" t="s">
        <v>546</v>
      </c>
      <c r="I619" s="7" t="s">
        <v>546</v>
      </c>
      <c r="J619" s="21" t="n">
        <f aca="false">D619/(D619+E619)</f>
        <v>0.401234567901235</v>
      </c>
      <c r="K619" s="3" t="n">
        <f aca="false">IF(D619&gt;E619,1,0)</f>
        <v>0</v>
      </c>
      <c r="L619" s="3" t="n">
        <f aca="false">IF(OR(F619="Y",G619="Y",H619="Y"),1,0)</f>
        <v>0</v>
      </c>
      <c r="M619" s="3" t="n">
        <f aca="false">IF(H619="Y",1,0)</f>
        <v>0</v>
      </c>
      <c r="N619" s="3" t="n">
        <f aca="false">IF(I619="Y",1,0)</f>
        <v>0</v>
      </c>
    </row>
    <row r="620" customFormat="false" ht="15" hidden="false" customHeight="true" outlineLevel="0" collapsed="false">
      <c r="A620" s="7" t="s">
        <v>56</v>
      </c>
      <c r="B620" s="7" t="n">
        <v>2001</v>
      </c>
      <c r="C620" s="7" t="s">
        <v>357</v>
      </c>
      <c r="D620" s="7" t="n">
        <v>88</v>
      </c>
      <c r="E620" s="7" t="n">
        <v>74</v>
      </c>
      <c r="F620" s="7" t="s">
        <v>546</v>
      </c>
      <c r="G620" s="7" t="s">
        <v>546</v>
      </c>
      <c r="H620" s="7" t="s">
        <v>546</v>
      </c>
      <c r="I620" s="7" t="s">
        <v>546</v>
      </c>
      <c r="J620" s="21" t="n">
        <f aca="false">D620/(D620+E620)</f>
        <v>0.54320987654321</v>
      </c>
      <c r="K620" s="3" t="n">
        <f aca="false">IF(D620&gt;E620,1,0)</f>
        <v>1</v>
      </c>
      <c r="L620" s="3" t="n">
        <f aca="false">IF(OR(F620="Y",G620="Y",H620="Y"),1,0)</f>
        <v>0</v>
      </c>
      <c r="M620" s="3" t="n">
        <f aca="false">IF(H620="Y",1,0)</f>
        <v>0</v>
      </c>
      <c r="N620" s="3" t="n">
        <f aca="false">IF(I620="Y",1,0)</f>
        <v>0</v>
      </c>
    </row>
    <row r="621" customFormat="false" ht="15" hidden="false" customHeight="true" outlineLevel="0" collapsed="false">
      <c r="A621" s="7" t="s">
        <v>56</v>
      </c>
      <c r="B621" s="7" t="n">
        <v>2002</v>
      </c>
      <c r="C621" s="7" t="s">
        <v>357</v>
      </c>
      <c r="D621" s="7" t="n">
        <v>67</v>
      </c>
      <c r="E621" s="7" t="n">
        <v>95</v>
      </c>
      <c r="F621" s="7" t="s">
        <v>546</v>
      </c>
      <c r="G621" s="7" t="s">
        <v>546</v>
      </c>
      <c r="H621" s="7" t="s">
        <v>546</v>
      </c>
      <c r="I621" s="7" t="s">
        <v>546</v>
      </c>
      <c r="J621" s="21" t="n">
        <f aca="false">D621/(D621+E621)</f>
        <v>0.41358024691358</v>
      </c>
      <c r="K621" s="3" t="n">
        <f aca="false">IF(D621&gt;E621,1,0)</f>
        <v>0</v>
      </c>
      <c r="L621" s="3" t="n">
        <f aca="false">IF(OR(F621="Y",G621="Y",H621="Y"),1,0)</f>
        <v>0</v>
      </c>
      <c r="M621" s="3" t="n">
        <f aca="false">IF(H621="Y",1,0)</f>
        <v>0</v>
      </c>
      <c r="N621" s="3" t="n">
        <f aca="false">IF(I621="Y",1,0)</f>
        <v>0</v>
      </c>
    </row>
    <row r="622" customFormat="false" ht="15" hidden="false" customHeight="true" outlineLevel="0" collapsed="false">
      <c r="A622" s="7" t="s">
        <v>56</v>
      </c>
      <c r="B622" s="7" t="n">
        <v>2003</v>
      </c>
      <c r="C622" s="7" t="s">
        <v>357</v>
      </c>
      <c r="D622" s="7" t="n">
        <v>88</v>
      </c>
      <c r="E622" s="7" t="n">
        <v>74</v>
      </c>
      <c r="F622" s="7" t="s">
        <v>548</v>
      </c>
      <c r="G622" s="7" t="s">
        <v>546</v>
      </c>
      <c r="H622" s="7" t="s">
        <v>546</v>
      </c>
      <c r="I622" s="7" t="s">
        <v>546</v>
      </c>
      <c r="J622" s="21" t="n">
        <f aca="false">D622/(D622+E622)</f>
        <v>0.54320987654321</v>
      </c>
      <c r="K622" s="3" t="n">
        <f aca="false">IF(D622&gt;E622,1,0)</f>
        <v>1</v>
      </c>
      <c r="L622" s="3" t="n">
        <f aca="false">IF(OR(F622="Y",G622="Y",H622="Y"),1,0)</f>
        <v>1</v>
      </c>
      <c r="M622" s="3" t="n">
        <f aca="false">IF(H622="Y",1,0)</f>
        <v>0</v>
      </c>
      <c r="N622" s="3" t="n">
        <f aca="false">IF(I622="Y",1,0)</f>
        <v>0</v>
      </c>
    </row>
    <row r="623" customFormat="false" ht="15" hidden="false" customHeight="true" outlineLevel="0" collapsed="false">
      <c r="A623" s="7" t="s">
        <v>56</v>
      </c>
      <c r="B623" s="7" t="n">
        <v>2004</v>
      </c>
      <c r="C623" s="7" t="s">
        <v>357</v>
      </c>
      <c r="D623" s="7" t="n">
        <v>89</v>
      </c>
      <c r="E623" s="7" t="n">
        <v>73</v>
      </c>
      <c r="F623" s="7" t="s">
        <v>546</v>
      </c>
      <c r="G623" s="7" t="s">
        <v>546</v>
      </c>
      <c r="H623" s="7" t="s">
        <v>546</v>
      </c>
      <c r="I623" s="7" t="s">
        <v>546</v>
      </c>
      <c r="J623" s="21" t="n">
        <f aca="false">D623/(D623+E623)</f>
        <v>0.549382716049383</v>
      </c>
      <c r="K623" s="3" t="n">
        <f aca="false">IF(D623&gt;E623,1,0)</f>
        <v>1</v>
      </c>
      <c r="L623" s="3" t="n">
        <f aca="false">IF(OR(F623="Y",G623="Y",H623="Y"),1,0)</f>
        <v>0</v>
      </c>
      <c r="M623" s="3" t="n">
        <f aca="false">IF(H623="Y",1,0)</f>
        <v>0</v>
      </c>
      <c r="N623" s="3" t="n">
        <f aca="false">IF(I623="Y",1,0)</f>
        <v>0</v>
      </c>
    </row>
    <row r="624" customFormat="false" ht="15" hidden="false" customHeight="true" outlineLevel="0" collapsed="false">
      <c r="A624" s="7" t="s">
        <v>56</v>
      </c>
      <c r="B624" s="7" t="n">
        <v>2005</v>
      </c>
      <c r="C624" s="7" t="s">
        <v>357</v>
      </c>
      <c r="D624" s="7" t="n">
        <v>79</v>
      </c>
      <c r="E624" s="7" t="n">
        <v>83</v>
      </c>
      <c r="F624" s="7" t="s">
        <v>546</v>
      </c>
      <c r="G624" s="7" t="s">
        <v>546</v>
      </c>
      <c r="H624" s="7" t="s">
        <v>546</v>
      </c>
      <c r="I624" s="7" t="s">
        <v>546</v>
      </c>
      <c r="J624" s="21" t="n">
        <f aca="false">D624/(D624+E624)</f>
        <v>0.487654320987654</v>
      </c>
      <c r="K624" s="3" t="n">
        <f aca="false">IF(D624&gt;E624,1,0)</f>
        <v>0</v>
      </c>
      <c r="L624" s="3" t="n">
        <f aca="false">IF(OR(F624="Y",G624="Y",H624="Y"),1,0)</f>
        <v>0</v>
      </c>
      <c r="M624" s="3" t="n">
        <f aca="false">IF(H624="Y",1,0)</f>
        <v>0</v>
      </c>
      <c r="N624" s="3" t="n">
        <f aca="false">IF(I624="Y",1,0)</f>
        <v>0</v>
      </c>
    </row>
    <row r="625" customFormat="false" ht="15" hidden="false" customHeight="true" outlineLevel="0" collapsed="false">
      <c r="A625" s="7" t="s">
        <v>56</v>
      </c>
      <c r="B625" s="7" t="n">
        <v>2006</v>
      </c>
      <c r="C625" s="7" t="s">
        <v>357</v>
      </c>
      <c r="D625" s="7" t="n">
        <v>66</v>
      </c>
      <c r="E625" s="7" t="n">
        <v>96</v>
      </c>
      <c r="F625" s="7" t="s">
        <v>546</v>
      </c>
      <c r="G625" s="7" t="s">
        <v>546</v>
      </c>
      <c r="H625" s="7" t="s">
        <v>546</v>
      </c>
      <c r="I625" s="7" t="s">
        <v>546</v>
      </c>
      <c r="J625" s="21" t="n">
        <f aca="false">D625/(D625+E625)</f>
        <v>0.407407407407407</v>
      </c>
      <c r="K625" s="3" t="n">
        <f aca="false">IF(D625&gt;E625,1,0)</f>
        <v>0</v>
      </c>
      <c r="L625" s="3" t="n">
        <f aca="false">IF(OR(F625="Y",G625="Y",H625="Y"),1,0)</f>
        <v>0</v>
      </c>
      <c r="M625" s="3" t="n">
        <f aca="false">IF(H625="Y",1,0)</f>
        <v>0</v>
      </c>
      <c r="N625" s="3" t="n">
        <f aca="false">IF(I625="Y",1,0)</f>
        <v>0</v>
      </c>
    </row>
    <row r="626" customFormat="false" ht="15" hidden="false" customHeight="true" outlineLevel="0" collapsed="false">
      <c r="A626" s="7" t="s">
        <v>56</v>
      </c>
      <c r="B626" s="7" t="n">
        <v>2007</v>
      </c>
      <c r="C626" s="7" t="s">
        <v>357</v>
      </c>
      <c r="D626" s="7" t="n">
        <v>85</v>
      </c>
      <c r="E626" s="7" t="n">
        <v>77</v>
      </c>
      <c r="F626" s="7" t="s">
        <v>548</v>
      </c>
      <c r="G626" s="7" t="s">
        <v>546</v>
      </c>
      <c r="H626" s="7" t="s">
        <v>546</v>
      </c>
      <c r="I626" s="7" t="s">
        <v>546</v>
      </c>
      <c r="J626" s="21" t="n">
        <f aca="false">D626/(D626+E626)</f>
        <v>0.524691358024691</v>
      </c>
      <c r="K626" s="3" t="n">
        <f aca="false">IF(D626&gt;E626,1,0)</f>
        <v>1</v>
      </c>
      <c r="L626" s="3" t="n">
        <f aca="false">IF(OR(F626="Y",G626="Y",H626="Y"),1,0)</f>
        <v>1</v>
      </c>
      <c r="M626" s="3" t="n">
        <f aca="false">IF(H626="Y",1,0)</f>
        <v>0</v>
      </c>
      <c r="N626" s="3" t="n">
        <f aca="false">IF(I626="Y",1,0)</f>
        <v>0</v>
      </c>
    </row>
    <row r="627" customFormat="false" ht="15" hidden="false" customHeight="true" outlineLevel="0" collapsed="false">
      <c r="A627" s="7" t="s">
        <v>56</v>
      </c>
      <c r="B627" s="7" t="n">
        <v>2008</v>
      </c>
      <c r="C627" s="7" t="s">
        <v>357</v>
      </c>
      <c r="D627" s="7" t="n">
        <v>97</v>
      </c>
      <c r="E627" s="7" t="n">
        <v>64</v>
      </c>
      <c r="F627" s="7" t="s">
        <v>548</v>
      </c>
      <c r="G627" s="7" t="s">
        <v>546</v>
      </c>
      <c r="H627" s="7" t="s">
        <v>546</v>
      </c>
      <c r="I627" s="7" t="s">
        <v>546</v>
      </c>
      <c r="J627" s="21" t="n">
        <f aca="false">D627/(D627+E627)</f>
        <v>0.60248447204969</v>
      </c>
      <c r="K627" s="3" t="n">
        <f aca="false">IF(D627&gt;E627,1,0)</f>
        <v>1</v>
      </c>
      <c r="L627" s="3" t="n">
        <f aca="false">IF(OR(F627="Y",G627="Y",H627="Y"),1,0)</f>
        <v>1</v>
      </c>
      <c r="M627" s="3" t="n">
        <f aca="false">IF(H627="Y",1,0)</f>
        <v>0</v>
      </c>
      <c r="N627" s="3" t="n">
        <f aca="false">IF(I627="Y",1,0)</f>
        <v>0</v>
      </c>
    </row>
    <row r="628" customFormat="false" ht="15" hidden="false" customHeight="true" outlineLevel="0" collapsed="false">
      <c r="A628" s="7" t="s">
        <v>56</v>
      </c>
      <c r="B628" s="7" t="n">
        <v>2009</v>
      </c>
      <c r="C628" s="7" t="s">
        <v>357</v>
      </c>
      <c r="D628" s="7" t="n">
        <v>83</v>
      </c>
      <c r="E628" s="7" t="n">
        <v>78</v>
      </c>
      <c r="F628" s="7" t="s">
        <v>546</v>
      </c>
      <c r="G628" s="7" t="s">
        <v>546</v>
      </c>
      <c r="H628" s="7" t="s">
        <v>546</v>
      </c>
      <c r="I628" s="7" t="s">
        <v>546</v>
      </c>
      <c r="J628" s="21" t="n">
        <f aca="false">D628/(D628+E628)</f>
        <v>0.515527950310559</v>
      </c>
      <c r="K628" s="3" t="n">
        <f aca="false">IF(D628&gt;E628,1,0)</f>
        <v>1</v>
      </c>
      <c r="L628" s="3" t="n">
        <f aca="false">IF(OR(F628="Y",G628="Y",H628="Y"),1,0)</f>
        <v>0</v>
      </c>
      <c r="M628" s="3" t="n">
        <f aca="false">IF(H628="Y",1,0)</f>
        <v>0</v>
      </c>
      <c r="N628" s="3" t="n">
        <f aca="false">IF(I628="Y",1,0)</f>
        <v>0</v>
      </c>
    </row>
    <row r="629" customFormat="false" ht="15" hidden="false" customHeight="true" outlineLevel="0" collapsed="false">
      <c r="A629" s="7" t="s">
        <v>56</v>
      </c>
      <c r="B629" s="7" t="n">
        <v>2010</v>
      </c>
      <c r="C629" s="7" t="s">
        <v>357</v>
      </c>
      <c r="D629" s="7" t="n">
        <v>75</v>
      </c>
      <c r="E629" s="7" t="n">
        <v>87</v>
      </c>
      <c r="F629" s="7" t="s">
        <v>546</v>
      </c>
      <c r="G629" s="7" t="s">
        <v>546</v>
      </c>
      <c r="H629" s="7" t="s">
        <v>546</v>
      </c>
      <c r="I629" s="7" t="s">
        <v>546</v>
      </c>
      <c r="J629" s="21" t="n">
        <f aca="false">D629/(D629+E629)</f>
        <v>0.462962962962963</v>
      </c>
      <c r="K629" s="3" t="n">
        <f aca="false">IF(D629&gt;E629,1,0)</f>
        <v>0</v>
      </c>
      <c r="L629" s="3" t="n">
        <f aca="false">IF(OR(F629="Y",G629="Y",H629="Y"),1,0)</f>
        <v>0</v>
      </c>
      <c r="M629" s="3" t="n">
        <f aca="false">IF(H629="Y",1,0)</f>
        <v>0</v>
      </c>
      <c r="N629" s="3" t="n">
        <f aca="false">IF(I629="Y",1,0)</f>
        <v>0</v>
      </c>
    </row>
    <row r="630" customFormat="false" ht="15" hidden="false" customHeight="true" outlineLevel="0" collapsed="false">
      <c r="A630" s="7" t="s">
        <v>56</v>
      </c>
      <c r="B630" s="7" t="n">
        <v>2011</v>
      </c>
      <c r="C630" s="7" t="s">
        <v>357</v>
      </c>
      <c r="D630" s="7" t="n">
        <v>71</v>
      </c>
      <c r="E630" s="7" t="n">
        <v>91</v>
      </c>
      <c r="F630" s="7" t="s">
        <v>546</v>
      </c>
      <c r="G630" s="7" t="s">
        <v>546</v>
      </c>
      <c r="H630" s="7" t="s">
        <v>546</v>
      </c>
      <c r="I630" s="7" t="s">
        <v>546</v>
      </c>
      <c r="J630" s="21" t="n">
        <f aca="false">D630/(D630+E630)</f>
        <v>0.438271604938272</v>
      </c>
      <c r="K630" s="3" t="n">
        <f aca="false">IF(D630&gt;E630,1,0)</f>
        <v>0</v>
      </c>
      <c r="L630" s="3" t="n">
        <f aca="false">IF(OR(F630="Y",G630="Y",H630="Y"),1,0)</f>
        <v>0</v>
      </c>
      <c r="M630" s="3" t="n">
        <f aca="false">IF(H630="Y",1,0)</f>
        <v>0</v>
      </c>
      <c r="N630" s="3" t="n">
        <f aca="false">IF(I630="Y",1,0)</f>
        <v>0</v>
      </c>
    </row>
    <row r="631" customFormat="false" ht="15" hidden="false" customHeight="true" outlineLevel="0" collapsed="false">
      <c r="A631" s="7" t="s">
        <v>56</v>
      </c>
      <c r="B631" s="7" t="n">
        <v>2012</v>
      </c>
      <c r="C631" s="7" t="s">
        <v>357</v>
      </c>
      <c r="D631" s="7" t="n">
        <v>61</v>
      </c>
      <c r="E631" s="7" t="n">
        <v>101</v>
      </c>
      <c r="F631" s="7" t="s">
        <v>546</v>
      </c>
      <c r="G631" s="7" t="s">
        <v>546</v>
      </c>
      <c r="H631" s="7" t="s">
        <v>546</v>
      </c>
      <c r="I631" s="7" t="s">
        <v>546</v>
      </c>
      <c r="J631" s="21" t="n">
        <f aca="false">D631/(D631+E631)</f>
        <v>0.376543209876543</v>
      </c>
      <c r="K631" s="3" t="n">
        <f aca="false">IF(D631&gt;E631,1,0)</f>
        <v>0</v>
      </c>
      <c r="L631" s="3" t="n">
        <f aca="false">IF(OR(F631="Y",G631="Y",H631="Y"),1,0)</f>
        <v>0</v>
      </c>
      <c r="M631" s="3" t="n">
        <f aca="false">IF(H631="Y",1,0)</f>
        <v>0</v>
      </c>
      <c r="N631" s="3" t="n">
        <f aca="false">IF(I631="Y",1,0)</f>
        <v>0</v>
      </c>
    </row>
    <row r="632" customFormat="false" ht="15" hidden="false" customHeight="true" outlineLevel="0" collapsed="false">
      <c r="A632" s="7" t="s">
        <v>56</v>
      </c>
      <c r="B632" s="7" t="n">
        <v>2013</v>
      </c>
      <c r="C632" s="7" t="s">
        <v>357</v>
      </c>
      <c r="D632" s="7" t="n">
        <v>66</v>
      </c>
      <c r="E632" s="7" t="n">
        <v>96</v>
      </c>
      <c r="F632" s="7" t="s">
        <v>546</v>
      </c>
      <c r="G632" s="7" t="s">
        <v>546</v>
      </c>
      <c r="H632" s="7" t="s">
        <v>546</v>
      </c>
      <c r="I632" s="7" t="s">
        <v>546</v>
      </c>
      <c r="J632" s="21" t="n">
        <f aca="false">D632/(D632+E632)</f>
        <v>0.407407407407407</v>
      </c>
      <c r="K632" s="3" t="n">
        <f aca="false">IF(D632&gt;E632,1,0)</f>
        <v>0</v>
      </c>
      <c r="L632" s="3" t="n">
        <f aca="false">IF(OR(F632="Y",G632="Y",H632="Y"),1,0)</f>
        <v>0</v>
      </c>
      <c r="M632" s="3" t="n">
        <f aca="false">IF(H632="Y",1,0)</f>
        <v>0</v>
      </c>
      <c r="N632" s="3" t="n">
        <f aca="false">IF(I632="Y",1,0)</f>
        <v>0</v>
      </c>
    </row>
    <row r="633" customFormat="false" ht="15" hidden="false" customHeight="true" outlineLevel="0" collapsed="false">
      <c r="A633" s="7" t="s">
        <v>56</v>
      </c>
      <c r="B633" s="7" t="n">
        <v>2014</v>
      </c>
      <c r="C633" s="7" t="s">
        <v>357</v>
      </c>
      <c r="D633" s="7" t="n">
        <v>73</v>
      </c>
      <c r="E633" s="7" t="n">
        <v>89</v>
      </c>
      <c r="F633" s="7" t="s">
        <v>546</v>
      </c>
      <c r="G633" s="7" t="s">
        <v>546</v>
      </c>
      <c r="H633" s="7" t="s">
        <v>546</v>
      </c>
      <c r="I633" s="7" t="s">
        <v>546</v>
      </c>
      <c r="J633" s="21" t="n">
        <f aca="false">D633/(D633+E633)</f>
        <v>0.450617283950617</v>
      </c>
      <c r="K633" s="3" t="n">
        <f aca="false">IF(D633&gt;E633,1,0)</f>
        <v>0</v>
      </c>
      <c r="L633" s="3" t="n">
        <f aca="false">IF(OR(F633="Y",G633="Y",H633="Y"),1,0)</f>
        <v>0</v>
      </c>
      <c r="M633" s="3" t="n">
        <f aca="false">IF(H633="Y",1,0)</f>
        <v>0</v>
      </c>
      <c r="N633" s="3" t="n">
        <f aca="false">IF(I633="Y",1,0)</f>
        <v>0</v>
      </c>
    </row>
    <row r="634" customFormat="false" ht="15" hidden="false" customHeight="true" outlineLevel="0" collapsed="false">
      <c r="A634" s="7" t="s">
        <v>56</v>
      </c>
      <c r="B634" s="7" t="n">
        <v>2015</v>
      </c>
      <c r="C634" s="7" t="s">
        <v>357</v>
      </c>
      <c r="D634" s="7" t="n">
        <v>97</v>
      </c>
      <c r="E634" s="7" t="n">
        <v>65</v>
      </c>
      <c r="F634" s="7" t="s">
        <v>546</v>
      </c>
      <c r="G634" s="7" t="s">
        <v>548</v>
      </c>
      <c r="H634" s="7" t="s">
        <v>546</v>
      </c>
      <c r="I634" s="7" t="s">
        <v>546</v>
      </c>
      <c r="J634" s="21" t="n">
        <f aca="false">D634/(D634+E634)</f>
        <v>0.598765432098765</v>
      </c>
      <c r="K634" s="3" t="n">
        <f aca="false">IF(D634&gt;E634,1,0)</f>
        <v>1</v>
      </c>
      <c r="L634" s="3" t="n">
        <f aca="false">IF(OR(F634="Y",G634="Y",H634="Y"),1,0)</f>
        <v>1</v>
      </c>
      <c r="M634" s="3" t="n">
        <f aca="false">IF(H634="Y",1,0)</f>
        <v>0</v>
      </c>
      <c r="N634" s="3" t="n">
        <f aca="false">IF(I634="Y",1,0)</f>
        <v>0</v>
      </c>
    </row>
    <row r="635" customFormat="false" ht="15" hidden="false" customHeight="true" outlineLevel="0" collapsed="false">
      <c r="A635" s="7" t="s">
        <v>56</v>
      </c>
      <c r="B635" s="7" t="n">
        <v>2016</v>
      </c>
      <c r="C635" s="7" t="s">
        <v>357</v>
      </c>
      <c r="D635" s="7" t="n">
        <v>103</v>
      </c>
      <c r="E635" s="7" t="n">
        <v>58</v>
      </c>
      <c r="F635" s="7" t="s">
        <v>548</v>
      </c>
      <c r="G635" s="7" t="s">
        <v>546</v>
      </c>
      <c r="H635" s="7" t="s">
        <v>548</v>
      </c>
      <c r="I635" s="7" t="s">
        <v>548</v>
      </c>
      <c r="J635" s="21" t="n">
        <f aca="false">D635/(D635+E635)</f>
        <v>0.639751552795031</v>
      </c>
      <c r="K635" s="3" t="n">
        <f aca="false">IF(D635&gt;E635,1,0)</f>
        <v>1</v>
      </c>
      <c r="L635" s="3" t="n">
        <f aca="false">IF(OR(F635="Y",G635="Y",H635="Y"),1,0)</f>
        <v>1</v>
      </c>
      <c r="M635" s="3" t="n">
        <f aca="false">IF(H635="Y",1,0)</f>
        <v>1</v>
      </c>
      <c r="N635" s="3" t="n">
        <f aca="false">IF(I635="Y",1,0)</f>
        <v>1</v>
      </c>
    </row>
    <row r="636" customFormat="false" ht="15" hidden="false" customHeight="true" outlineLevel="0" collapsed="false">
      <c r="A636" s="7" t="s">
        <v>56</v>
      </c>
      <c r="B636" s="7" t="n">
        <v>2017</v>
      </c>
      <c r="C636" s="7" t="s">
        <v>357</v>
      </c>
      <c r="D636" s="7" t="n">
        <v>92</v>
      </c>
      <c r="E636" s="7" t="n">
        <v>70</v>
      </c>
      <c r="F636" s="7" t="s">
        <v>548</v>
      </c>
      <c r="G636" s="7" t="s">
        <v>546</v>
      </c>
      <c r="H636" s="7" t="s">
        <v>546</v>
      </c>
      <c r="I636" s="7" t="s">
        <v>546</v>
      </c>
      <c r="J636" s="21" t="n">
        <f aca="false">D636/(D636+E636)</f>
        <v>0.567901234567901</v>
      </c>
      <c r="K636" s="3" t="n">
        <f aca="false">IF(D636&gt;E636,1,0)</f>
        <v>1</v>
      </c>
      <c r="L636" s="3" t="n">
        <f aca="false">IF(OR(F636="Y",G636="Y",H636="Y"),1,0)</f>
        <v>1</v>
      </c>
      <c r="M636" s="3" t="n">
        <f aca="false">IF(H636="Y",1,0)</f>
        <v>0</v>
      </c>
      <c r="N636" s="3" t="n">
        <f aca="false">IF(I636="Y",1,0)</f>
        <v>0</v>
      </c>
    </row>
    <row r="637" customFormat="false" ht="15" hidden="false" customHeight="true" outlineLevel="0" collapsed="false">
      <c r="A637" s="7" t="s">
        <v>56</v>
      </c>
      <c r="B637" s="7" t="n">
        <v>2018</v>
      </c>
      <c r="C637" s="7" t="s">
        <v>357</v>
      </c>
      <c r="D637" s="7" t="n">
        <v>95</v>
      </c>
      <c r="E637" s="7" t="n">
        <v>68</v>
      </c>
      <c r="F637" s="7" t="s">
        <v>546</v>
      </c>
      <c r="G637" s="7" t="s">
        <v>548</v>
      </c>
      <c r="H637" s="7" t="s">
        <v>546</v>
      </c>
      <c r="I637" s="7" t="s">
        <v>546</v>
      </c>
      <c r="J637" s="21" t="n">
        <f aca="false">D637/(D637+E637)</f>
        <v>0.582822085889571</v>
      </c>
      <c r="K637" s="3" t="n">
        <f aca="false">IF(D637&gt;E637,1,0)</f>
        <v>1</v>
      </c>
      <c r="L637" s="3" t="n">
        <f aca="false">IF(OR(F637="Y",G637="Y",H637="Y"),1,0)</f>
        <v>1</v>
      </c>
      <c r="M637" s="3" t="n">
        <f aca="false">IF(H637="Y",1,0)</f>
        <v>0</v>
      </c>
      <c r="N637" s="3" t="n">
        <f aca="false">IF(I637="Y",1,0)</f>
        <v>0</v>
      </c>
    </row>
    <row r="638" customFormat="false" ht="15" hidden="false" customHeight="true" outlineLevel="0" collapsed="false">
      <c r="A638" s="7" t="s">
        <v>56</v>
      </c>
      <c r="B638" s="7" t="n">
        <v>2019</v>
      </c>
      <c r="C638" s="7" t="s">
        <v>357</v>
      </c>
      <c r="D638" s="7" t="n">
        <v>84</v>
      </c>
      <c r="E638" s="7" t="n">
        <v>78</v>
      </c>
      <c r="F638" s="7" t="s">
        <v>546</v>
      </c>
      <c r="G638" s="7" t="s">
        <v>546</v>
      </c>
      <c r="H638" s="7" t="s">
        <v>546</v>
      </c>
      <c r="I638" s="7" t="s">
        <v>546</v>
      </c>
      <c r="J638" s="21" t="n">
        <f aca="false">D638/(D638+E638)</f>
        <v>0.518518518518519</v>
      </c>
      <c r="K638" s="3" t="n">
        <f aca="false">IF(D638&gt;E638,1,0)</f>
        <v>1</v>
      </c>
      <c r="L638" s="3" t="n">
        <f aca="false">IF(OR(F638="Y",G638="Y",H638="Y"),1,0)</f>
        <v>0</v>
      </c>
      <c r="M638" s="3" t="n">
        <f aca="false">IF(H638="Y",1,0)</f>
        <v>0</v>
      </c>
      <c r="N638" s="3" t="n">
        <f aca="false">IF(I638="Y",1,0)</f>
        <v>0</v>
      </c>
    </row>
    <row r="639" customFormat="false" ht="15" hidden="false" customHeight="true" outlineLevel="0" collapsed="false">
      <c r="A639" s="7" t="s">
        <v>56</v>
      </c>
      <c r="B639" s="7" t="n">
        <v>2020</v>
      </c>
      <c r="C639" s="7" t="s">
        <v>357</v>
      </c>
      <c r="D639" s="7" t="n">
        <v>34</v>
      </c>
      <c r="E639" s="7" t="n">
        <v>26</v>
      </c>
      <c r="F639" s="7" t="s">
        <v>548</v>
      </c>
      <c r="G639" s="7" t="s">
        <v>546</v>
      </c>
      <c r="H639" s="7" t="s">
        <v>546</v>
      </c>
      <c r="I639" s="7" t="s">
        <v>546</v>
      </c>
      <c r="J639" s="21" t="n">
        <f aca="false">D639/(D639+E639)</f>
        <v>0.566666666666667</v>
      </c>
      <c r="K639" s="3" t="n">
        <f aca="false">IF(D639&gt;E639,1,0)</f>
        <v>1</v>
      </c>
      <c r="L639" s="3" t="n">
        <f aca="false">IF(OR(F639="Y",G639="Y",H639="Y"),1,0)</f>
        <v>1</v>
      </c>
      <c r="M639" s="3" t="n">
        <f aca="false">IF(H639="Y",1,0)</f>
        <v>0</v>
      </c>
      <c r="N639" s="3" t="n">
        <f aca="false">IF(I639="Y",1,0)</f>
        <v>0</v>
      </c>
    </row>
    <row r="640" customFormat="false" ht="15" hidden="false" customHeight="true" outlineLevel="0" collapsed="false">
      <c r="A640" s="7" t="s">
        <v>56</v>
      </c>
      <c r="B640" s="7" t="n">
        <v>2021</v>
      </c>
      <c r="C640" s="7" t="s">
        <v>357</v>
      </c>
      <c r="D640" s="7" t="n">
        <v>71</v>
      </c>
      <c r="E640" s="7" t="n">
        <v>91</v>
      </c>
      <c r="F640" s="7" t="s">
        <v>546</v>
      </c>
      <c r="G640" s="7" t="s">
        <v>546</v>
      </c>
      <c r="H640" s="7" t="s">
        <v>546</v>
      </c>
      <c r="I640" s="7" t="s">
        <v>546</v>
      </c>
      <c r="J640" s="21" t="n">
        <f aca="false">D640/(D640+E640)</f>
        <v>0.438271604938272</v>
      </c>
      <c r="K640" s="3" t="n">
        <f aca="false">IF(D640&gt;E640,1,0)</f>
        <v>0</v>
      </c>
      <c r="L640" s="3" t="n">
        <f aca="false">IF(OR(F640="Y",G640="Y",H640="Y"),1,0)</f>
        <v>0</v>
      </c>
      <c r="M640" s="3" t="n">
        <f aca="false">IF(H640="Y",1,0)</f>
        <v>0</v>
      </c>
      <c r="N640" s="3" t="n">
        <f aca="false">IF(I640="Y",1,0)</f>
        <v>0</v>
      </c>
    </row>
    <row r="641" customFormat="false" ht="15" hidden="false" customHeight="true" outlineLevel="0" collapsed="false">
      <c r="A641" s="7" t="s">
        <v>56</v>
      </c>
      <c r="B641" s="7" t="n">
        <v>2022</v>
      </c>
      <c r="C641" s="7" t="s">
        <v>357</v>
      </c>
      <c r="D641" s="7" t="n">
        <v>74</v>
      </c>
      <c r="E641" s="7" t="n">
        <v>88</v>
      </c>
      <c r="F641" s="7" t="s">
        <v>546</v>
      </c>
      <c r="G641" s="7" t="s">
        <v>546</v>
      </c>
      <c r="H641" s="7" t="s">
        <v>546</v>
      </c>
      <c r="I641" s="7" t="s">
        <v>546</v>
      </c>
      <c r="J641" s="21" t="n">
        <f aca="false">D641/(D641+E641)</f>
        <v>0.45679012345679</v>
      </c>
      <c r="K641" s="3" t="n">
        <f aca="false">IF(D641&gt;E641,1,0)</f>
        <v>0</v>
      </c>
      <c r="L641" s="3" t="n">
        <f aca="false">IF(OR(F641="Y",G641="Y",H641="Y"),1,0)</f>
        <v>0</v>
      </c>
      <c r="M641" s="3" t="n">
        <f aca="false">IF(H641="Y",1,0)</f>
        <v>0</v>
      </c>
      <c r="N641" s="3" t="n">
        <f aca="false">IF(I641="Y",1,0)</f>
        <v>0</v>
      </c>
    </row>
    <row r="642" customFormat="false" ht="15" hidden="false" customHeight="true" outlineLevel="0" collapsed="false">
      <c r="A642" s="7" t="s">
        <v>56</v>
      </c>
      <c r="B642" s="7" t="n">
        <v>2023</v>
      </c>
      <c r="C642" s="7" t="s">
        <v>357</v>
      </c>
      <c r="D642" s="7" t="n">
        <v>83</v>
      </c>
      <c r="E642" s="7" t="n">
        <v>79</v>
      </c>
      <c r="F642" s="7" t="s">
        <v>546</v>
      </c>
      <c r="G642" s="7" t="s">
        <v>546</v>
      </c>
      <c r="H642" s="7" t="s">
        <v>546</v>
      </c>
      <c r="I642" s="7" t="s">
        <v>546</v>
      </c>
      <c r="J642" s="21" t="n">
        <f aca="false">D642/(D642+E642)</f>
        <v>0.512345679012346</v>
      </c>
      <c r="K642" s="3" t="n">
        <f aca="false">IF(D642&gt;E642,1,0)</f>
        <v>1</v>
      </c>
      <c r="L642" s="3" t="n">
        <f aca="false">IF(OR(F642="Y",G642="Y",H642="Y"),1,0)</f>
        <v>0</v>
      </c>
      <c r="M642" s="3" t="n">
        <f aca="false">IF(H642="Y",1,0)</f>
        <v>0</v>
      </c>
      <c r="N642" s="3" t="n">
        <f aca="false">IF(I642="Y",1,0)</f>
        <v>0</v>
      </c>
    </row>
    <row r="643" customFormat="false" ht="15" hidden="false" customHeight="true" outlineLevel="0" collapsed="false">
      <c r="A643" s="7" t="s">
        <v>56</v>
      </c>
      <c r="B643" s="7" t="n">
        <v>2024</v>
      </c>
      <c r="C643" s="7" t="s">
        <v>357</v>
      </c>
      <c r="D643" s="7" t="n">
        <v>83</v>
      </c>
      <c r="E643" s="7" t="n">
        <v>79</v>
      </c>
      <c r="F643" s="7" t="s">
        <v>546</v>
      </c>
      <c r="G643" s="7" t="s">
        <v>546</v>
      </c>
      <c r="H643" s="7" t="s">
        <v>546</v>
      </c>
      <c r="I643" s="7" t="s">
        <v>546</v>
      </c>
      <c r="J643" s="21" t="n">
        <f aca="false">D643/(D643+E643)</f>
        <v>0.512345679012346</v>
      </c>
      <c r="K643" s="3" t="n">
        <f aca="false">IF(D643&gt;E643,1,0)</f>
        <v>1</v>
      </c>
      <c r="L643" s="3" t="n">
        <f aca="false">IF(OR(F643="Y",G643="Y",H643="Y"),1,0)</f>
        <v>0</v>
      </c>
      <c r="M643" s="3" t="n">
        <f aca="false">IF(H643="Y",1,0)</f>
        <v>0</v>
      </c>
      <c r="N643" s="3" t="n">
        <f aca="false">IF(I643="Y",1,0)</f>
        <v>0</v>
      </c>
    </row>
    <row r="644" customFormat="false" ht="15" hidden="false" customHeight="true" outlineLevel="0" collapsed="false">
      <c r="A644" s="7" t="s">
        <v>56</v>
      </c>
      <c r="B644" s="7" t="n">
        <v>2025</v>
      </c>
      <c r="C644" s="7" t="s">
        <v>357</v>
      </c>
      <c r="D644" s="7" t="n">
        <v>92</v>
      </c>
      <c r="E644" s="7" t="n">
        <v>70</v>
      </c>
      <c r="F644" s="7" t="s">
        <v>546</v>
      </c>
      <c r="G644" s="7" t="s">
        <v>548</v>
      </c>
      <c r="H644" s="7" t="s">
        <v>546</v>
      </c>
      <c r="I644" s="7" t="s">
        <v>546</v>
      </c>
      <c r="J644" s="21" t="n">
        <f aca="false">D644/(D644+E644)</f>
        <v>0.567901234567901</v>
      </c>
      <c r="K644" s="3" t="n">
        <f aca="false">IF(D644&gt;E644,1,0)</f>
        <v>1</v>
      </c>
      <c r="L644" s="3" t="n">
        <f aca="false">IF(OR(F644="Y",G644="Y",H644="Y"),1,0)</f>
        <v>1</v>
      </c>
      <c r="M644" s="3" t="n">
        <f aca="false">IF(H644="Y",1,0)</f>
        <v>0</v>
      </c>
      <c r="N644" s="3" t="n">
        <f aca="false">IF(I644="Y",1,0)</f>
        <v>0</v>
      </c>
    </row>
    <row r="645" customFormat="false" ht="15" hidden="false" customHeight="true" outlineLevel="0" collapsed="false">
      <c r="A645" s="7" t="s">
        <v>65</v>
      </c>
      <c r="B645" s="7" t="n">
        <v>1901</v>
      </c>
      <c r="C645" s="7" t="s">
        <v>366</v>
      </c>
      <c r="D645" s="7" t="n">
        <v>83</v>
      </c>
      <c r="E645" s="7" t="n">
        <v>53</v>
      </c>
      <c r="F645" s="7"/>
      <c r="G645" s="7"/>
      <c r="H645" s="7" t="s">
        <v>548</v>
      </c>
      <c r="I645" s="7"/>
      <c r="J645" s="21" t="n">
        <f aca="false">D645/(D645+E645)</f>
        <v>0.610294117647059</v>
      </c>
      <c r="K645" s="3" t="n">
        <f aca="false">IF(D645&gt;E645,1,0)</f>
        <v>1</v>
      </c>
      <c r="L645" s="3" t="n">
        <f aca="false">IF(OR(F645="Y",G645="Y",H645="Y"),1,0)</f>
        <v>1</v>
      </c>
      <c r="M645" s="3" t="n">
        <f aca="false">IF(H645="Y",1,0)</f>
        <v>1</v>
      </c>
      <c r="N645" s="3" t="n">
        <f aca="false">IF(I645="Y",1,0)</f>
        <v>0</v>
      </c>
    </row>
    <row r="646" customFormat="false" ht="15" hidden="false" customHeight="true" outlineLevel="0" collapsed="false">
      <c r="A646" s="7" t="s">
        <v>65</v>
      </c>
      <c r="B646" s="7" t="n">
        <v>1902</v>
      </c>
      <c r="C646" s="7" t="s">
        <v>366</v>
      </c>
      <c r="D646" s="7" t="n">
        <v>74</v>
      </c>
      <c r="E646" s="7" t="n">
        <v>60</v>
      </c>
      <c r="F646" s="7"/>
      <c r="G646" s="7"/>
      <c r="H646" s="7" t="s">
        <v>546</v>
      </c>
      <c r="I646" s="7"/>
      <c r="J646" s="21" t="n">
        <f aca="false">D646/(D646+E646)</f>
        <v>0.552238805970149</v>
      </c>
      <c r="K646" s="3" t="n">
        <f aca="false">IF(D646&gt;E646,1,0)</f>
        <v>1</v>
      </c>
      <c r="L646" s="3" t="n">
        <f aca="false">IF(OR(F646="Y",G646="Y",H646="Y"),1,0)</f>
        <v>0</v>
      </c>
      <c r="M646" s="3" t="n">
        <f aca="false">IF(H646="Y",1,0)</f>
        <v>0</v>
      </c>
      <c r="N646" s="3" t="n">
        <f aca="false">IF(I646="Y",1,0)</f>
        <v>0</v>
      </c>
    </row>
    <row r="647" customFormat="false" ht="15" hidden="false" customHeight="true" outlineLevel="0" collapsed="false">
      <c r="A647" s="7" t="s">
        <v>65</v>
      </c>
      <c r="B647" s="7" t="n">
        <v>1903</v>
      </c>
      <c r="C647" s="7" t="s">
        <v>366</v>
      </c>
      <c r="D647" s="7" t="n">
        <v>60</v>
      </c>
      <c r="E647" s="7" t="n">
        <v>77</v>
      </c>
      <c r="F647" s="7"/>
      <c r="G647" s="7"/>
      <c r="H647" s="7" t="s">
        <v>546</v>
      </c>
      <c r="I647" s="7" t="s">
        <v>546</v>
      </c>
      <c r="J647" s="21" t="n">
        <f aca="false">D647/(D647+E647)</f>
        <v>0.437956204379562</v>
      </c>
      <c r="K647" s="3" t="n">
        <f aca="false">IF(D647&gt;E647,1,0)</f>
        <v>0</v>
      </c>
      <c r="L647" s="3" t="n">
        <f aca="false">IF(OR(F647="Y",G647="Y",H647="Y"),1,0)</f>
        <v>0</v>
      </c>
      <c r="M647" s="3" t="n">
        <f aca="false">IF(H647="Y",1,0)</f>
        <v>0</v>
      </c>
      <c r="N647" s="3" t="n">
        <f aca="false">IF(I647="Y",1,0)</f>
        <v>0</v>
      </c>
    </row>
    <row r="648" customFormat="false" ht="15" hidden="false" customHeight="true" outlineLevel="0" collapsed="false">
      <c r="A648" s="7" t="s">
        <v>65</v>
      </c>
      <c r="B648" s="7" t="n">
        <v>1904</v>
      </c>
      <c r="C648" s="7" t="s">
        <v>366</v>
      </c>
      <c r="D648" s="7" t="n">
        <v>89</v>
      </c>
      <c r="E648" s="7" t="n">
        <v>65</v>
      </c>
      <c r="F648" s="7"/>
      <c r="G648" s="7"/>
      <c r="H648" s="7" t="s">
        <v>546</v>
      </c>
      <c r="I648" s="7"/>
      <c r="J648" s="21" t="n">
        <f aca="false">D648/(D648+E648)</f>
        <v>0.577922077922078</v>
      </c>
      <c r="K648" s="3" t="n">
        <f aca="false">IF(D648&gt;E648,1,0)</f>
        <v>1</v>
      </c>
      <c r="L648" s="3" t="n">
        <f aca="false">IF(OR(F648="Y",G648="Y",H648="Y"),1,0)</f>
        <v>0</v>
      </c>
      <c r="M648" s="3" t="n">
        <f aca="false">IF(H648="Y",1,0)</f>
        <v>0</v>
      </c>
      <c r="N648" s="3" t="n">
        <f aca="false">IF(I648="Y",1,0)</f>
        <v>0</v>
      </c>
    </row>
    <row r="649" customFormat="false" ht="15" hidden="false" customHeight="true" outlineLevel="0" collapsed="false">
      <c r="A649" s="7" t="s">
        <v>65</v>
      </c>
      <c r="B649" s="7" t="n">
        <v>1905</v>
      </c>
      <c r="C649" s="7" t="s">
        <v>366</v>
      </c>
      <c r="D649" s="7" t="n">
        <v>92</v>
      </c>
      <c r="E649" s="7" t="n">
        <v>60</v>
      </c>
      <c r="F649" s="7"/>
      <c r="G649" s="7"/>
      <c r="H649" s="7" t="s">
        <v>546</v>
      </c>
      <c r="I649" s="7" t="s">
        <v>546</v>
      </c>
      <c r="J649" s="21" t="n">
        <f aca="false">D649/(D649+E649)</f>
        <v>0.605263157894737</v>
      </c>
      <c r="K649" s="3" t="n">
        <f aca="false">IF(D649&gt;E649,1,0)</f>
        <v>1</v>
      </c>
      <c r="L649" s="3" t="n">
        <f aca="false">IF(OR(F649="Y",G649="Y",H649="Y"),1,0)</f>
        <v>0</v>
      </c>
      <c r="M649" s="3" t="n">
        <f aca="false">IF(H649="Y",1,0)</f>
        <v>0</v>
      </c>
      <c r="N649" s="3" t="n">
        <f aca="false">IF(I649="Y",1,0)</f>
        <v>0</v>
      </c>
    </row>
    <row r="650" customFormat="false" ht="15" hidden="false" customHeight="true" outlineLevel="0" collapsed="false">
      <c r="A650" s="7" t="s">
        <v>65</v>
      </c>
      <c r="B650" s="7" t="n">
        <v>1906</v>
      </c>
      <c r="C650" s="7" t="s">
        <v>366</v>
      </c>
      <c r="D650" s="7" t="n">
        <v>93</v>
      </c>
      <c r="E650" s="7" t="n">
        <v>58</v>
      </c>
      <c r="F650" s="7"/>
      <c r="G650" s="7"/>
      <c r="H650" s="7" t="s">
        <v>548</v>
      </c>
      <c r="I650" s="7" t="s">
        <v>548</v>
      </c>
      <c r="J650" s="21" t="n">
        <f aca="false">D650/(D650+E650)</f>
        <v>0.615894039735099</v>
      </c>
      <c r="K650" s="3" t="n">
        <f aca="false">IF(D650&gt;E650,1,0)</f>
        <v>1</v>
      </c>
      <c r="L650" s="3" t="n">
        <f aca="false">IF(OR(F650="Y",G650="Y",H650="Y"),1,0)</f>
        <v>1</v>
      </c>
      <c r="M650" s="3" t="n">
        <f aca="false">IF(H650="Y",1,0)</f>
        <v>1</v>
      </c>
      <c r="N650" s="3" t="n">
        <f aca="false">IF(I650="Y",1,0)</f>
        <v>1</v>
      </c>
    </row>
    <row r="651" customFormat="false" ht="15" hidden="false" customHeight="true" outlineLevel="0" collapsed="false">
      <c r="A651" s="7" t="s">
        <v>65</v>
      </c>
      <c r="B651" s="7" t="n">
        <v>1907</v>
      </c>
      <c r="C651" s="7" t="s">
        <v>366</v>
      </c>
      <c r="D651" s="7" t="n">
        <v>87</v>
      </c>
      <c r="E651" s="7" t="n">
        <v>64</v>
      </c>
      <c r="F651" s="7"/>
      <c r="G651" s="7"/>
      <c r="H651" s="7" t="s">
        <v>546</v>
      </c>
      <c r="I651" s="7" t="s">
        <v>546</v>
      </c>
      <c r="J651" s="21" t="n">
        <f aca="false">D651/(D651+E651)</f>
        <v>0.576158940397351</v>
      </c>
      <c r="K651" s="3" t="n">
        <f aca="false">IF(D651&gt;E651,1,0)</f>
        <v>1</v>
      </c>
      <c r="L651" s="3" t="n">
        <f aca="false">IF(OR(F651="Y",G651="Y",H651="Y"),1,0)</f>
        <v>0</v>
      </c>
      <c r="M651" s="3" t="n">
        <f aca="false">IF(H651="Y",1,0)</f>
        <v>0</v>
      </c>
      <c r="N651" s="3" t="n">
        <f aca="false">IF(I651="Y",1,0)</f>
        <v>0</v>
      </c>
    </row>
    <row r="652" customFormat="false" ht="15" hidden="false" customHeight="true" outlineLevel="0" collapsed="false">
      <c r="A652" s="7" t="s">
        <v>65</v>
      </c>
      <c r="B652" s="7" t="n">
        <v>1908</v>
      </c>
      <c r="C652" s="7" t="s">
        <v>366</v>
      </c>
      <c r="D652" s="7" t="n">
        <v>88</v>
      </c>
      <c r="E652" s="7" t="n">
        <v>64</v>
      </c>
      <c r="F652" s="7"/>
      <c r="G652" s="7"/>
      <c r="H652" s="7" t="s">
        <v>546</v>
      </c>
      <c r="I652" s="7" t="s">
        <v>546</v>
      </c>
      <c r="J652" s="21" t="n">
        <f aca="false">D652/(D652+E652)</f>
        <v>0.578947368421053</v>
      </c>
      <c r="K652" s="3" t="n">
        <f aca="false">IF(D652&gt;E652,1,0)</f>
        <v>1</v>
      </c>
      <c r="L652" s="3" t="n">
        <f aca="false">IF(OR(F652="Y",G652="Y",H652="Y"),1,0)</f>
        <v>0</v>
      </c>
      <c r="M652" s="3" t="n">
        <f aca="false">IF(H652="Y",1,0)</f>
        <v>0</v>
      </c>
      <c r="N652" s="3" t="n">
        <f aca="false">IF(I652="Y",1,0)</f>
        <v>0</v>
      </c>
    </row>
    <row r="653" customFormat="false" ht="15" hidden="false" customHeight="true" outlineLevel="0" collapsed="false">
      <c r="A653" s="7" t="s">
        <v>65</v>
      </c>
      <c r="B653" s="7" t="n">
        <v>1909</v>
      </c>
      <c r="C653" s="7" t="s">
        <v>366</v>
      </c>
      <c r="D653" s="7" t="n">
        <v>78</v>
      </c>
      <c r="E653" s="7" t="n">
        <v>74</v>
      </c>
      <c r="F653" s="7"/>
      <c r="G653" s="7"/>
      <c r="H653" s="7" t="s">
        <v>546</v>
      </c>
      <c r="I653" s="7" t="s">
        <v>546</v>
      </c>
      <c r="J653" s="21" t="n">
        <f aca="false">D653/(D653+E653)</f>
        <v>0.513157894736842</v>
      </c>
      <c r="K653" s="3" t="n">
        <f aca="false">IF(D653&gt;E653,1,0)</f>
        <v>1</v>
      </c>
      <c r="L653" s="3" t="n">
        <f aca="false">IF(OR(F653="Y",G653="Y",H653="Y"),1,0)</f>
        <v>0</v>
      </c>
      <c r="M653" s="3" t="n">
        <f aca="false">IF(H653="Y",1,0)</f>
        <v>0</v>
      </c>
      <c r="N653" s="3" t="n">
        <f aca="false">IF(I653="Y",1,0)</f>
        <v>0</v>
      </c>
    </row>
    <row r="654" customFormat="false" ht="15" hidden="false" customHeight="true" outlineLevel="0" collapsed="false">
      <c r="A654" s="7" t="s">
        <v>65</v>
      </c>
      <c r="B654" s="7" t="n">
        <v>1910</v>
      </c>
      <c r="C654" s="7" t="s">
        <v>366</v>
      </c>
      <c r="D654" s="7" t="n">
        <v>68</v>
      </c>
      <c r="E654" s="7" t="n">
        <v>85</v>
      </c>
      <c r="F654" s="7"/>
      <c r="G654" s="7"/>
      <c r="H654" s="7" t="s">
        <v>546</v>
      </c>
      <c r="I654" s="7" t="s">
        <v>546</v>
      </c>
      <c r="J654" s="21" t="n">
        <f aca="false">D654/(D654+E654)</f>
        <v>0.444444444444444</v>
      </c>
      <c r="K654" s="3" t="n">
        <f aca="false">IF(D654&gt;E654,1,0)</f>
        <v>0</v>
      </c>
      <c r="L654" s="3" t="n">
        <f aca="false">IF(OR(F654="Y",G654="Y",H654="Y"),1,0)</f>
        <v>0</v>
      </c>
      <c r="M654" s="3" t="n">
        <f aca="false">IF(H654="Y",1,0)</f>
        <v>0</v>
      </c>
      <c r="N654" s="3" t="n">
        <f aca="false">IF(I654="Y",1,0)</f>
        <v>0</v>
      </c>
    </row>
    <row r="655" customFormat="false" ht="15" hidden="false" customHeight="true" outlineLevel="0" collapsed="false">
      <c r="A655" s="7" t="s">
        <v>65</v>
      </c>
      <c r="B655" s="7" t="n">
        <v>1911</v>
      </c>
      <c r="C655" s="7" t="s">
        <v>366</v>
      </c>
      <c r="D655" s="7" t="n">
        <v>77</v>
      </c>
      <c r="E655" s="7" t="n">
        <v>74</v>
      </c>
      <c r="F655" s="7"/>
      <c r="G655" s="7"/>
      <c r="H655" s="7" t="s">
        <v>546</v>
      </c>
      <c r="I655" s="7" t="s">
        <v>546</v>
      </c>
      <c r="J655" s="21" t="n">
        <f aca="false">D655/(D655+E655)</f>
        <v>0.509933774834437</v>
      </c>
      <c r="K655" s="3" t="n">
        <f aca="false">IF(D655&gt;E655,1,0)</f>
        <v>1</v>
      </c>
      <c r="L655" s="3" t="n">
        <f aca="false">IF(OR(F655="Y",G655="Y",H655="Y"),1,0)</f>
        <v>0</v>
      </c>
      <c r="M655" s="3" t="n">
        <f aca="false">IF(H655="Y",1,0)</f>
        <v>0</v>
      </c>
      <c r="N655" s="3" t="n">
        <f aca="false">IF(I655="Y",1,0)</f>
        <v>0</v>
      </c>
    </row>
    <row r="656" customFormat="false" ht="15" hidden="false" customHeight="true" outlineLevel="0" collapsed="false">
      <c r="A656" s="7" t="s">
        <v>65</v>
      </c>
      <c r="B656" s="7" t="n">
        <v>1912</v>
      </c>
      <c r="C656" s="7" t="s">
        <v>366</v>
      </c>
      <c r="D656" s="7" t="n">
        <v>78</v>
      </c>
      <c r="E656" s="7" t="n">
        <v>76</v>
      </c>
      <c r="F656" s="7"/>
      <c r="G656" s="7"/>
      <c r="H656" s="7" t="s">
        <v>546</v>
      </c>
      <c r="I656" s="7" t="s">
        <v>546</v>
      </c>
      <c r="J656" s="21" t="n">
        <f aca="false">D656/(D656+E656)</f>
        <v>0.506493506493506</v>
      </c>
      <c r="K656" s="3" t="n">
        <f aca="false">IF(D656&gt;E656,1,0)</f>
        <v>1</v>
      </c>
      <c r="L656" s="3" t="n">
        <f aca="false">IF(OR(F656="Y",G656="Y",H656="Y"),1,0)</f>
        <v>0</v>
      </c>
      <c r="M656" s="3" t="n">
        <f aca="false">IF(H656="Y",1,0)</f>
        <v>0</v>
      </c>
      <c r="N656" s="3" t="n">
        <f aca="false">IF(I656="Y",1,0)</f>
        <v>0</v>
      </c>
    </row>
    <row r="657" customFormat="false" ht="15" hidden="false" customHeight="true" outlineLevel="0" collapsed="false">
      <c r="A657" s="7" t="s">
        <v>65</v>
      </c>
      <c r="B657" s="7" t="n">
        <v>1913</v>
      </c>
      <c r="C657" s="7" t="s">
        <v>366</v>
      </c>
      <c r="D657" s="7" t="n">
        <v>78</v>
      </c>
      <c r="E657" s="7" t="n">
        <v>74</v>
      </c>
      <c r="F657" s="7"/>
      <c r="G657" s="7"/>
      <c r="H657" s="7" t="s">
        <v>546</v>
      </c>
      <c r="I657" s="7" t="s">
        <v>546</v>
      </c>
      <c r="J657" s="21" t="n">
        <f aca="false">D657/(D657+E657)</f>
        <v>0.513157894736842</v>
      </c>
      <c r="K657" s="3" t="n">
        <f aca="false">IF(D657&gt;E657,1,0)</f>
        <v>1</v>
      </c>
      <c r="L657" s="3" t="n">
        <f aca="false">IF(OR(F657="Y",G657="Y",H657="Y"),1,0)</f>
        <v>0</v>
      </c>
      <c r="M657" s="3" t="n">
        <f aca="false">IF(H657="Y",1,0)</f>
        <v>0</v>
      </c>
      <c r="N657" s="3" t="n">
        <f aca="false">IF(I657="Y",1,0)</f>
        <v>0</v>
      </c>
    </row>
    <row r="658" customFormat="false" ht="15" hidden="false" customHeight="true" outlineLevel="0" collapsed="false">
      <c r="A658" s="7" t="s">
        <v>65</v>
      </c>
      <c r="B658" s="7" t="n">
        <v>1914</v>
      </c>
      <c r="C658" s="7" t="s">
        <v>366</v>
      </c>
      <c r="D658" s="7" t="n">
        <v>70</v>
      </c>
      <c r="E658" s="7" t="n">
        <v>84</v>
      </c>
      <c r="F658" s="7"/>
      <c r="G658" s="7"/>
      <c r="H658" s="7" t="s">
        <v>546</v>
      </c>
      <c r="I658" s="7" t="s">
        <v>546</v>
      </c>
      <c r="J658" s="21" t="n">
        <f aca="false">D658/(D658+E658)</f>
        <v>0.454545454545455</v>
      </c>
      <c r="K658" s="3" t="n">
        <f aca="false">IF(D658&gt;E658,1,0)</f>
        <v>0</v>
      </c>
      <c r="L658" s="3" t="n">
        <f aca="false">IF(OR(F658="Y",G658="Y",H658="Y"),1,0)</f>
        <v>0</v>
      </c>
      <c r="M658" s="3" t="n">
        <f aca="false">IF(H658="Y",1,0)</f>
        <v>0</v>
      </c>
      <c r="N658" s="3" t="n">
        <f aca="false">IF(I658="Y",1,0)</f>
        <v>0</v>
      </c>
    </row>
    <row r="659" customFormat="false" ht="15" hidden="false" customHeight="true" outlineLevel="0" collapsed="false">
      <c r="A659" s="7" t="s">
        <v>65</v>
      </c>
      <c r="B659" s="7" t="n">
        <v>1915</v>
      </c>
      <c r="C659" s="7" t="s">
        <v>366</v>
      </c>
      <c r="D659" s="7" t="n">
        <v>93</v>
      </c>
      <c r="E659" s="7" t="n">
        <v>61</v>
      </c>
      <c r="F659" s="7"/>
      <c r="G659" s="7"/>
      <c r="H659" s="7" t="s">
        <v>546</v>
      </c>
      <c r="I659" s="7" t="s">
        <v>546</v>
      </c>
      <c r="J659" s="21" t="n">
        <f aca="false">D659/(D659+E659)</f>
        <v>0.603896103896104</v>
      </c>
      <c r="K659" s="3" t="n">
        <f aca="false">IF(D659&gt;E659,1,0)</f>
        <v>1</v>
      </c>
      <c r="L659" s="3" t="n">
        <f aca="false">IF(OR(F659="Y",G659="Y",H659="Y"),1,0)</f>
        <v>0</v>
      </c>
      <c r="M659" s="3" t="n">
        <f aca="false">IF(H659="Y",1,0)</f>
        <v>0</v>
      </c>
      <c r="N659" s="3" t="n">
        <f aca="false">IF(I659="Y",1,0)</f>
        <v>0</v>
      </c>
    </row>
    <row r="660" customFormat="false" ht="15" hidden="false" customHeight="true" outlineLevel="0" collapsed="false">
      <c r="A660" s="7" t="s">
        <v>65</v>
      </c>
      <c r="B660" s="7" t="n">
        <v>1916</v>
      </c>
      <c r="C660" s="7" t="s">
        <v>366</v>
      </c>
      <c r="D660" s="7" t="n">
        <v>89</v>
      </c>
      <c r="E660" s="7" t="n">
        <v>65</v>
      </c>
      <c r="F660" s="7"/>
      <c r="G660" s="7"/>
      <c r="H660" s="7" t="s">
        <v>546</v>
      </c>
      <c r="I660" s="7" t="s">
        <v>546</v>
      </c>
      <c r="J660" s="21" t="n">
        <f aca="false">D660/(D660+E660)</f>
        <v>0.577922077922078</v>
      </c>
      <c r="K660" s="3" t="n">
        <f aca="false">IF(D660&gt;E660,1,0)</f>
        <v>1</v>
      </c>
      <c r="L660" s="3" t="n">
        <f aca="false">IF(OR(F660="Y",G660="Y",H660="Y"),1,0)</f>
        <v>0</v>
      </c>
      <c r="M660" s="3" t="n">
        <f aca="false">IF(H660="Y",1,0)</f>
        <v>0</v>
      </c>
      <c r="N660" s="3" t="n">
        <f aca="false">IF(I660="Y",1,0)</f>
        <v>0</v>
      </c>
    </row>
    <row r="661" customFormat="false" ht="15" hidden="false" customHeight="true" outlineLevel="0" collapsed="false">
      <c r="A661" s="7" t="s">
        <v>65</v>
      </c>
      <c r="B661" s="7" t="n">
        <v>1917</v>
      </c>
      <c r="C661" s="7" t="s">
        <v>366</v>
      </c>
      <c r="D661" s="7" t="n">
        <v>100</v>
      </c>
      <c r="E661" s="7" t="n">
        <v>54</v>
      </c>
      <c r="F661" s="7"/>
      <c r="G661" s="7"/>
      <c r="H661" s="7" t="s">
        <v>548</v>
      </c>
      <c r="I661" s="7" t="s">
        <v>548</v>
      </c>
      <c r="J661" s="21" t="n">
        <f aca="false">D661/(D661+E661)</f>
        <v>0.649350649350649</v>
      </c>
      <c r="K661" s="3" t="n">
        <f aca="false">IF(D661&gt;E661,1,0)</f>
        <v>1</v>
      </c>
      <c r="L661" s="3" t="n">
        <f aca="false">IF(OR(F661="Y",G661="Y",H661="Y"),1,0)</f>
        <v>1</v>
      </c>
      <c r="M661" s="3" t="n">
        <f aca="false">IF(H661="Y",1,0)</f>
        <v>1</v>
      </c>
      <c r="N661" s="3" t="n">
        <f aca="false">IF(I661="Y",1,0)</f>
        <v>1</v>
      </c>
    </row>
    <row r="662" customFormat="false" ht="15" hidden="false" customHeight="true" outlineLevel="0" collapsed="false">
      <c r="A662" s="7" t="s">
        <v>65</v>
      </c>
      <c r="B662" s="7" t="n">
        <v>1918</v>
      </c>
      <c r="C662" s="7" t="s">
        <v>366</v>
      </c>
      <c r="D662" s="7" t="n">
        <v>57</v>
      </c>
      <c r="E662" s="7" t="n">
        <v>67</v>
      </c>
      <c r="F662" s="7"/>
      <c r="G662" s="7"/>
      <c r="H662" s="7" t="s">
        <v>546</v>
      </c>
      <c r="I662" s="7" t="s">
        <v>546</v>
      </c>
      <c r="J662" s="21" t="n">
        <f aca="false">D662/(D662+E662)</f>
        <v>0.459677419354839</v>
      </c>
      <c r="K662" s="3" t="n">
        <f aca="false">IF(D662&gt;E662,1,0)</f>
        <v>0</v>
      </c>
      <c r="L662" s="3" t="n">
        <f aca="false">IF(OR(F662="Y",G662="Y",H662="Y"),1,0)</f>
        <v>0</v>
      </c>
      <c r="M662" s="3" t="n">
        <f aca="false">IF(H662="Y",1,0)</f>
        <v>0</v>
      </c>
      <c r="N662" s="3" t="n">
        <f aca="false">IF(I662="Y",1,0)</f>
        <v>0</v>
      </c>
    </row>
    <row r="663" customFormat="false" ht="15" hidden="false" customHeight="true" outlineLevel="0" collapsed="false">
      <c r="A663" s="7" t="s">
        <v>65</v>
      </c>
      <c r="B663" s="7" t="n">
        <v>1919</v>
      </c>
      <c r="C663" s="7" t="s">
        <v>366</v>
      </c>
      <c r="D663" s="7" t="n">
        <v>88</v>
      </c>
      <c r="E663" s="7" t="n">
        <v>52</v>
      </c>
      <c r="F663" s="7"/>
      <c r="G663" s="7"/>
      <c r="H663" s="7" t="s">
        <v>548</v>
      </c>
      <c r="I663" s="7" t="s">
        <v>546</v>
      </c>
      <c r="J663" s="21" t="n">
        <f aca="false">D663/(D663+E663)</f>
        <v>0.628571428571429</v>
      </c>
      <c r="K663" s="3" t="n">
        <f aca="false">IF(D663&gt;E663,1,0)</f>
        <v>1</v>
      </c>
      <c r="L663" s="3" t="n">
        <f aca="false">IF(OR(F663="Y",G663="Y",H663="Y"),1,0)</f>
        <v>1</v>
      </c>
      <c r="M663" s="3" t="n">
        <f aca="false">IF(H663="Y",1,0)</f>
        <v>1</v>
      </c>
      <c r="N663" s="3" t="n">
        <f aca="false">IF(I663="Y",1,0)</f>
        <v>0</v>
      </c>
    </row>
    <row r="664" customFormat="false" ht="15" hidden="false" customHeight="true" outlineLevel="0" collapsed="false">
      <c r="A664" s="7" t="s">
        <v>65</v>
      </c>
      <c r="B664" s="7" t="n">
        <v>1920</v>
      </c>
      <c r="C664" s="7" t="s">
        <v>366</v>
      </c>
      <c r="D664" s="7" t="n">
        <v>96</v>
      </c>
      <c r="E664" s="7" t="n">
        <v>58</v>
      </c>
      <c r="F664" s="7"/>
      <c r="G664" s="7"/>
      <c r="H664" s="7" t="s">
        <v>546</v>
      </c>
      <c r="I664" s="7" t="s">
        <v>546</v>
      </c>
      <c r="J664" s="21" t="n">
        <f aca="false">D664/(D664+E664)</f>
        <v>0.623376623376623</v>
      </c>
      <c r="K664" s="3" t="n">
        <f aca="false">IF(D664&gt;E664,1,0)</f>
        <v>1</v>
      </c>
      <c r="L664" s="3" t="n">
        <f aca="false">IF(OR(F664="Y",G664="Y",H664="Y"),1,0)</f>
        <v>0</v>
      </c>
      <c r="M664" s="3" t="n">
        <f aca="false">IF(H664="Y",1,0)</f>
        <v>0</v>
      </c>
      <c r="N664" s="3" t="n">
        <f aca="false">IF(I664="Y",1,0)</f>
        <v>0</v>
      </c>
    </row>
    <row r="665" customFormat="false" ht="15" hidden="false" customHeight="true" outlineLevel="0" collapsed="false">
      <c r="A665" s="7" t="s">
        <v>65</v>
      </c>
      <c r="B665" s="7" t="n">
        <v>1921</v>
      </c>
      <c r="C665" s="7" t="s">
        <v>366</v>
      </c>
      <c r="D665" s="7" t="n">
        <v>62</v>
      </c>
      <c r="E665" s="7" t="n">
        <v>92</v>
      </c>
      <c r="F665" s="7"/>
      <c r="G665" s="7"/>
      <c r="H665" s="7" t="s">
        <v>546</v>
      </c>
      <c r="I665" s="7" t="s">
        <v>546</v>
      </c>
      <c r="J665" s="21" t="n">
        <f aca="false">D665/(D665+E665)</f>
        <v>0.402597402597403</v>
      </c>
      <c r="K665" s="3" t="n">
        <f aca="false">IF(D665&gt;E665,1,0)</f>
        <v>0</v>
      </c>
      <c r="L665" s="3" t="n">
        <f aca="false">IF(OR(F665="Y",G665="Y",H665="Y"),1,0)</f>
        <v>0</v>
      </c>
      <c r="M665" s="3" t="n">
        <f aca="false">IF(H665="Y",1,0)</f>
        <v>0</v>
      </c>
      <c r="N665" s="3" t="n">
        <f aca="false">IF(I665="Y",1,0)</f>
        <v>0</v>
      </c>
    </row>
    <row r="666" customFormat="false" ht="15" hidden="false" customHeight="true" outlineLevel="0" collapsed="false">
      <c r="A666" s="7" t="s">
        <v>65</v>
      </c>
      <c r="B666" s="7" t="n">
        <v>1922</v>
      </c>
      <c r="C666" s="7" t="s">
        <v>366</v>
      </c>
      <c r="D666" s="7" t="n">
        <v>77</v>
      </c>
      <c r="E666" s="7" t="n">
        <v>77</v>
      </c>
      <c r="F666" s="7"/>
      <c r="G666" s="7"/>
      <c r="H666" s="7" t="s">
        <v>546</v>
      </c>
      <c r="I666" s="7" t="s">
        <v>546</v>
      </c>
      <c r="J666" s="21" t="n">
        <f aca="false">D666/(D666+E666)</f>
        <v>0.5</v>
      </c>
      <c r="K666" s="3" t="n">
        <f aca="false">IF(D666&gt;E666,1,0)</f>
        <v>0</v>
      </c>
      <c r="L666" s="3" t="n">
        <f aca="false">IF(OR(F666="Y",G666="Y",H666="Y"),1,0)</f>
        <v>0</v>
      </c>
      <c r="M666" s="3" t="n">
        <f aca="false">IF(H666="Y",1,0)</f>
        <v>0</v>
      </c>
      <c r="N666" s="3" t="n">
        <f aca="false">IF(I666="Y",1,0)</f>
        <v>0</v>
      </c>
    </row>
    <row r="667" customFormat="false" ht="15" hidden="false" customHeight="true" outlineLevel="0" collapsed="false">
      <c r="A667" s="7" t="s">
        <v>65</v>
      </c>
      <c r="B667" s="7" t="n">
        <v>1923</v>
      </c>
      <c r="C667" s="7" t="s">
        <v>366</v>
      </c>
      <c r="D667" s="7" t="n">
        <v>69</v>
      </c>
      <c r="E667" s="7" t="n">
        <v>85</v>
      </c>
      <c r="F667" s="7"/>
      <c r="G667" s="7"/>
      <c r="H667" s="7" t="s">
        <v>546</v>
      </c>
      <c r="I667" s="7" t="s">
        <v>546</v>
      </c>
      <c r="J667" s="21" t="n">
        <f aca="false">D667/(D667+E667)</f>
        <v>0.448051948051948</v>
      </c>
      <c r="K667" s="3" t="n">
        <f aca="false">IF(D667&gt;E667,1,0)</f>
        <v>0</v>
      </c>
      <c r="L667" s="3" t="n">
        <f aca="false">IF(OR(F667="Y",G667="Y",H667="Y"),1,0)</f>
        <v>0</v>
      </c>
      <c r="M667" s="3" t="n">
        <f aca="false">IF(H667="Y",1,0)</f>
        <v>0</v>
      </c>
      <c r="N667" s="3" t="n">
        <f aca="false">IF(I667="Y",1,0)</f>
        <v>0</v>
      </c>
    </row>
    <row r="668" customFormat="false" ht="15" hidden="false" customHeight="true" outlineLevel="0" collapsed="false">
      <c r="A668" s="7" t="s">
        <v>65</v>
      </c>
      <c r="B668" s="7" t="n">
        <v>1924</v>
      </c>
      <c r="C668" s="7" t="s">
        <v>366</v>
      </c>
      <c r="D668" s="7" t="n">
        <v>66</v>
      </c>
      <c r="E668" s="7" t="n">
        <v>87</v>
      </c>
      <c r="F668" s="7"/>
      <c r="G668" s="7"/>
      <c r="H668" s="7" t="s">
        <v>546</v>
      </c>
      <c r="I668" s="7" t="s">
        <v>546</v>
      </c>
      <c r="J668" s="21" t="n">
        <f aca="false">D668/(D668+E668)</f>
        <v>0.431372549019608</v>
      </c>
      <c r="K668" s="3" t="n">
        <f aca="false">IF(D668&gt;E668,1,0)</f>
        <v>0</v>
      </c>
      <c r="L668" s="3" t="n">
        <f aca="false">IF(OR(F668="Y",G668="Y",H668="Y"),1,0)</f>
        <v>0</v>
      </c>
      <c r="M668" s="3" t="n">
        <f aca="false">IF(H668="Y",1,0)</f>
        <v>0</v>
      </c>
      <c r="N668" s="3" t="n">
        <f aca="false">IF(I668="Y",1,0)</f>
        <v>0</v>
      </c>
    </row>
    <row r="669" customFormat="false" ht="15" hidden="false" customHeight="true" outlineLevel="0" collapsed="false">
      <c r="A669" s="7" t="s">
        <v>65</v>
      </c>
      <c r="B669" s="7" t="n">
        <v>1925</v>
      </c>
      <c r="C669" s="7" t="s">
        <v>366</v>
      </c>
      <c r="D669" s="7" t="n">
        <v>79</v>
      </c>
      <c r="E669" s="7" t="n">
        <v>75</v>
      </c>
      <c r="F669" s="7"/>
      <c r="G669" s="7"/>
      <c r="H669" s="7" t="s">
        <v>546</v>
      </c>
      <c r="I669" s="7" t="s">
        <v>546</v>
      </c>
      <c r="J669" s="21" t="n">
        <f aca="false">D669/(D669+E669)</f>
        <v>0.512987012987013</v>
      </c>
      <c r="K669" s="3" t="n">
        <f aca="false">IF(D669&gt;E669,1,0)</f>
        <v>1</v>
      </c>
      <c r="L669" s="3" t="n">
        <f aca="false">IF(OR(F669="Y",G669="Y",H669="Y"),1,0)</f>
        <v>0</v>
      </c>
      <c r="M669" s="3" t="n">
        <f aca="false">IF(H669="Y",1,0)</f>
        <v>0</v>
      </c>
      <c r="N669" s="3" t="n">
        <f aca="false">IF(I669="Y",1,0)</f>
        <v>0</v>
      </c>
    </row>
    <row r="670" customFormat="false" ht="15" hidden="false" customHeight="true" outlineLevel="0" collapsed="false">
      <c r="A670" s="7" t="s">
        <v>65</v>
      </c>
      <c r="B670" s="7" t="n">
        <v>1926</v>
      </c>
      <c r="C670" s="7" t="s">
        <v>366</v>
      </c>
      <c r="D670" s="7" t="n">
        <v>81</v>
      </c>
      <c r="E670" s="7" t="n">
        <v>72</v>
      </c>
      <c r="F670" s="7"/>
      <c r="G670" s="7"/>
      <c r="H670" s="7" t="s">
        <v>546</v>
      </c>
      <c r="I670" s="7" t="s">
        <v>546</v>
      </c>
      <c r="J670" s="21" t="n">
        <f aca="false">D670/(D670+E670)</f>
        <v>0.529411764705882</v>
      </c>
      <c r="K670" s="3" t="n">
        <f aca="false">IF(D670&gt;E670,1,0)</f>
        <v>1</v>
      </c>
      <c r="L670" s="3" t="n">
        <f aca="false">IF(OR(F670="Y",G670="Y",H670="Y"),1,0)</f>
        <v>0</v>
      </c>
      <c r="M670" s="3" t="n">
        <f aca="false">IF(H670="Y",1,0)</f>
        <v>0</v>
      </c>
      <c r="N670" s="3" t="n">
        <f aca="false">IF(I670="Y",1,0)</f>
        <v>0</v>
      </c>
    </row>
    <row r="671" customFormat="false" ht="15" hidden="false" customHeight="true" outlineLevel="0" collapsed="false">
      <c r="A671" s="7" t="s">
        <v>65</v>
      </c>
      <c r="B671" s="7" t="n">
        <v>1927</v>
      </c>
      <c r="C671" s="7" t="s">
        <v>366</v>
      </c>
      <c r="D671" s="7" t="n">
        <v>70</v>
      </c>
      <c r="E671" s="7" t="n">
        <v>83</v>
      </c>
      <c r="F671" s="7"/>
      <c r="G671" s="7"/>
      <c r="H671" s="7" t="s">
        <v>546</v>
      </c>
      <c r="I671" s="7" t="s">
        <v>546</v>
      </c>
      <c r="J671" s="21" t="n">
        <f aca="false">D671/(D671+E671)</f>
        <v>0.457516339869281</v>
      </c>
      <c r="K671" s="3" t="n">
        <f aca="false">IF(D671&gt;E671,1,0)</f>
        <v>0</v>
      </c>
      <c r="L671" s="3" t="n">
        <f aca="false">IF(OR(F671="Y",G671="Y",H671="Y"),1,0)</f>
        <v>0</v>
      </c>
      <c r="M671" s="3" t="n">
        <f aca="false">IF(H671="Y",1,0)</f>
        <v>0</v>
      </c>
      <c r="N671" s="3" t="n">
        <f aca="false">IF(I671="Y",1,0)</f>
        <v>0</v>
      </c>
    </row>
    <row r="672" customFormat="false" ht="15" hidden="false" customHeight="true" outlineLevel="0" collapsed="false">
      <c r="A672" s="7" t="s">
        <v>65</v>
      </c>
      <c r="B672" s="7" t="n">
        <v>1928</v>
      </c>
      <c r="C672" s="7" t="s">
        <v>366</v>
      </c>
      <c r="D672" s="7" t="n">
        <v>72</v>
      </c>
      <c r="E672" s="7" t="n">
        <v>82</v>
      </c>
      <c r="F672" s="7"/>
      <c r="G672" s="7"/>
      <c r="H672" s="7" t="s">
        <v>546</v>
      </c>
      <c r="I672" s="7" t="s">
        <v>546</v>
      </c>
      <c r="J672" s="21" t="n">
        <f aca="false">D672/(D672+E672)</f>
        <v>0.467532467532468</v>
      </c>
      <c r="K672" s="3" t="n">
        <f aca="false">IF(D672&gt;E672,1,0)</f>
        <v>0</v>
      </c>
      <c r="L672" s="3" t="n">
        <f aca="false">IF(OR(F672="Y",G672="Y",H672="Y"),1,0)</f>
        <v>0</v>
      </c>
      <c r="M672" s="3" t="n">
        <f aca="false">IF(H672="Y",1,0)</f>
        <v>0</v>
      </c>
      <c r="N672" s="3" t="n">
        <f aca="false">IF(I672="Y",1,0)</f>
        <v>0</v>
      </c>
    </row>
    <row r="673" customFormat="false" ht="15" hidden="false" customHeight="true" outlineLevel="0" collapsed="false">
      <c r="A673" s="7" t="s">
        <v>65</v>
      </c>
      <c r="B673" s="7" t="n">
        <v>1929</v>
      </c>
      <c r="C673" s="7" t="s">
        <v>366</v>
      </c>
      <c r="D673" s="7" t="n">
        <v>59</v>
      </c>
      <c r="E673" s="7" t="n">
        <v>93</v>
      </c>
      <c r="F673" s="7"/>
      <c r="G673" s="7"/>
      <c r="H673" s="7" t="s">
        <v>546</v>
      </c>
      <c r="I673" s="7" t="s">
        <v>546</v>
      </c>
      <c r="J673" s="21" t="n">
        <f aca="false">D673/(D673+E673)</f>
        <v>0.388157894736842</v>
      </c>
      <c r="K673" s="3" t="n">
        <f aca="false">IF(D673&gt;E673,1,0)</f>
        <v>0</v>
      </c>
      <c r="L673" s="3" t="n">
        <f aca="false">IF(OR(F673="Y",G673="Y",H673="Y"),1,0)</f>
        <v>0</v>
      </c>
      <c r="M673" s="3" t="n">
        <f aca="false">IF(H673="Y",1,0)</f>
        <v>0</v>
      </c>
      <c r="N673" s="3" t="n">
        <f aca="false">IF(I673="Y",1,0)</f>
        <v>0</v>
      </c>
    </row>
    <row r="674" customFormat="false" ht="15" hidden="false" customHeight="true" outlineLevel="0" collapsed="false">
      <c r="A674" s="7" t="s">
        <v>65</v>
      </c>
      <c r="B674" s="7" t="n">
        <v>1930</v>
      </c>
      <c r="C674" s="7" t="s">
        <v>366</v>
      </c>
      <c r="D674" s="7" t="n">
        <v>62</v>
      </c>
      <c r="E674" s="7" t="n">
        <v>92</v>
      </c>
      <c r="F674" s="7"/>
      <c r="G674" s="7"/>
      <c r="H674" s="7" t="s">
        <v>546</v>
      </c>
      <c r="I674" s="7" t="s">
        <v>546</v>
      </c>
      <c r="J674" s="21" t="n">
        <f aca="false">D674/(D674+E674)</f>
        <v>0.402597402597403</v>
      </c>
      <c r="K674" s="3" t="n">
        <f aca="false">IF(D674&gt;E674,1,0)</f>
        <v>0</v>
      </c>
      <c r="L674" s="3" t="n">
        <f aca="false">IF(OR(F674="Y",G674="Y",H674="Y"),1,0)</f>
        <v>0</v>
      </c>
      <c r="M674" s="3" t="n">
        <f aca="false">IF(H674="Y",1,0)</f>
        <v>0</v>
      </c>
      <c r="N674" s="3" t="n">
        <f aca="false">IF(I674="Y",1,0)</f>
        <v>0</v>
      </c>
    </row>
    <row r="675" customFormat="false" ht="15" hidden="false" customHeight="true" outlineLevel="0" collapsed="false">
      <c r="A675" s="7" t="s">
        <v>65</v>
      </c>
      <c r="B675" s="7" t="n">
        <v>1931</v>
      </c>
      <c r="C675" s="7" t="s">
        <v>366</v>
      </c>
      <c r="D675" s="7" t="n">
        <v>56</v>
      </c>
      <c r="E675" s="7" t="n">
        <v>97</v>
      </c>
      <c r="F675" s="7"/>
      <c r="G675" s="7"/>
      <c r="H675" s="7" t="s">
        <v>546</v>
      </c>
      <c r="I675" s="7" t="s">
        <v>546</v>
      </c>
      <c r="J675" s="21" t="n">
        <f aca="false">D675/(D675+E675)</f>
        <v>0.366013071895425</v>
      </c>
      <c r="K675" s="3" t="n">
        <f aca="false">IF(D675&gt;E675,1,0)</f>
        <v>0</v>
      </c>
      <c r="L675" s="3" t="n">
        <f aca="false">IF(OR(F675="Y",G675="Y",H675="Y"),1,0)</f>
        <v>0</v>
      </c>
      <c r="M675" s="3" t="n">
        <f aca="false">IF(H675="Y",1,0)</f>
        <v>0</v>
      </c>
      <c r="N675" s="3" t="n">
        <f aca="false">IF(I675="Y",1,0)</f>
        <v>0</v>
      </c>
    </row>
    <row r="676" customFormat="false" ht="15" hidden="false" customHeight="true" outlineLevel="0" collapsed="false">
      <c r="A676" s="7" t="s">
        <v>65</v>
      </c>
      <c r="B676" s="7" t="n">
        <v>1932</v>
      </c>
      <c r="C676" s="7" t="s">
        <v>366</v>
      </c>
      <c r="D676" s="7" t="n">
        <v>49</v>
      </c>
      <c r="E676" s="7" t="n">
        <v>102</v>
      </c>
      <c r="F676" s="7"/>
      <c r="G676" s="7"/>
      <c r="H676" s="7" t="s">
        <v>546</v>
      </c>
      <c r="I676" s="7" t="s">
        <v>546</v>
      </c>
      <c r="J676" s="21" t="n">
        <f aca="false">D676/(D676+E676)</f>
        <v>0.324503311258278</v>
      </c>
      <c r="K676" s="3" t="n">
        <f aca="false">IF(D676&gt;E676,1,0)</f>
        <v>0</v>
      </c>
      <c r="L676" s="3" t="n">
        <f aca="false">IF(OR(F676="Y",G676="Y",H676="Y"),1,0)</f>
        <v>0</v>
      </c>
      <c r="M676" s="3" t="n">
        <f aca="false">IF(H676="Y",1,0)</f>
        <v>0</v>
      </c>
      <c r="N676" s="3" t="n">
        <f aca="false">IF(I676="Y",1,0)</f>
        <v>0</v>
      </c>
    </row>
    <row r="677" customFormat="false" ht="15" hidden="false" customHeight="true" outlineLevel="0" collapsed="false">
      <c r="A677" s="7" t="s">
        <v>65</v>
      </c>
      <c r="B677" s="7" t="n">
        <v>1933</v>
      </c>
      <c r="C677" s="7" t="s">
        <v>366</v>
      </c>
      <c r="D677" s="7" t="n">
        <v>67</v>
      </c>
      <c r="E677" s="7" t="n">
        <v>83</v>
      </c>
      <c r="F677" s="7"/>
      <c r="G677" s="7"/>
      <c r="H677" s="7" t="s">
        <v>546</v>
      </c>
      <c r="I677" s="7" t="s">
        <v>546</v>
      </c>
      <c r="J677" s="21" t="n">
        <f aca="false">D677/(D677+E677)</f>
        <v>0.446666666666667</v>
      </c>
      <c r="K677" s="3" t="n">
        <f aca="false">IF(D677&gt;E677,1,0)</f>
        <v>0</v>
      </c>
      <c r="L677" s="3" t="n">
        <f aca="false">IF(OR(F677="Y",G677="Y",H677="Y"),1,0)</f>
        <v>0</v>
      </c>
      <c r="M677" s="3" t="n">
        <f aca="false">IF(H677="Y",1,0)</f>
        <v>0</v>
      </c>
      <c r="N677" s="3" t="n">
        <f aca="false">IF(I677="Y",1,0)</f>
        <v>0</v>
      </c>
    </row>
    <row r="678" customFormat="false" ht="15" hidden="false" customHeight="true" outlineLevel="0" collapsed="false">
      <c r="A678" s="7" t="s">
        <v>65</v>
      </c>
      <c r="B678" s="7" t="n">
        <v>1934</v>
      </c>
      <c r="C678" s="7" t="s">
        <v>366</v>
      </c>
      <c r="D678" s="7" t="n">
        <v>53</v>
      </c>
      <c r="E678" s="7" t="n">
        <v>99</v>
      </c>
      <c r="F678" s="7"/>
      <c r="G678" s="7"/>
      <c r="H678" s="7" t="s">
        <v>546</v>
      </c>
      <c r="I678" s="7" t="s">
        <v>546</v>
      </c>
      <c r="J678" s="21" t="n">
        <f aca="false">D678/(D678+E678)</f>
        <v>0.348684210526316</v>
      </c>
      <c r="K678" s="3" t="n">
        <f aca="false">IF(D678&gt;E678,1,0)</f>
        <v>0</v>
      </c>
      <c r="L678" s="3" t="n">
        <f aca="false">IF(OR(F678="Y",G678="Y",H678="Y"),1,0)</f>
        <v>0</v>
      </c>
      <c r="M678" s="3" t="n">
        <f aca="false">IF(H678="Y",1,0)</f>
        <v>0</v>
      </c>
      <c r="N678" s="3" t="n">
        <f aca="false">IF(I678="Y",1,0)</f>
        <v>0</v>
      </c>
    </row>
    <row r="679" customFormat="false" ht="15" hidden="false" customHeight="true" outlineLevel="0" collapsed="false">
      <c r="A679" s="7" t="s">
        <v>65</v>
      </c>
      <c r="B679" s="7" t="n">
        <v>1935</v>
      </c>
      <c r="C679" s="7" t="s">
        <v>366</v>
      </c>
      <c r="D679" s="7" t="n">
        <v>74</v>
      </c>
      <c r="E679" s="7" t="n">
        <v>78</v>
      </c>
      <c r="F679" s="7"/>
      <c r="G679" s="7"/>
      <c r="H679" s="7" t="s">
        <v>546</v>
      </c>
      <c r="I679" s="7" t="s">
        <v>546</v>
      </c>
      <c r="J679" s="21" t="n">
        <f aca="false">D679/(D679+E679)</f>
        <v>0.486842105263158</v>
      </c>
      <c r="K679" s="3" t="n">
        <f aca="false">IF(D679&gt;E679,1,0)</f>
        <v>0</v>
      </c>
      <c r="L679" s="3" t="n">
        <f aca="false">IF(OR(F679="Y",G679="Y",H679="Y"),1,0)</f>
        <v>0</v>
      </c>
      <c r="M679" s="3" t="n">
        <f aca="false">IF(H679="Y",1,0)</f>
        <v>0</v>
      </c>
      <c r="N679" s="3" t="n">
        <f aca="false">IF(I679="Y",1,0)</f>
        <v>0</v>
      </c>
    </row>
    <row r="680" customFormat="false" ht="15" hidden="false" customHeight="true" outlineLevel="0" collapsed="false">
      <c r="A680" s="7" t="s">
        <v>65</v>
      </c>
      <c r="B680" s="7" t="n">
        <v>1936</v>
      </c>
      <c r="C680" s="7" t="s">
        <v>366</v>
      </c>
      <c r="D680" s="7" t="n">
        <v>81</v>
      </c>
      <c r="E680" s="7" t="n">
        <v>70</v>
      </c>
      <c r="F680" s="7"/>
      <c r="G680" s="7"/>
      <c r="H680" s="7" t="s">
        <v>546</v>
      </c>
      <c r="I680" s="7" t="s">
        <v>546</v>
      </c>
      <c r="J680" s="21" t="n">
        <f aca="false">D680/(D680+E680)</f>
        <v>0.536423841059603</v>
      </c>
      <c r="K680" s="3" t="n">
        <f aca="false">IF(D680&gt;E680,1,0)</f>
        <v>1</v>
      </c>
      <c r="L680" s="3" t="n">
        <f aca="false">IF(OR(F680="Y",G680="Y",H680="Y"),1,0)</f>
        <v>0</v>
      </c>
      <c r="M680" s="3" t="n">
        <f aca="false">IF(H680="Y",1,0)</f>
        <v>0</v>
      </c>
      <c r="N680" s="3" t="n">
        <f aca="false">IF(I680="Y",1,0)</f>
        <v>0</v>
      </c>
    </row>
    <row r="681" customFormat="false" ht="15" hidden="false" customHeight="true" outlineLevel="0" collapsed="false">
      <c r="A681" s="7" t="s">
        <v>65</v>
      </c>
      <c r="B681" s="7" t="n">
        <v>1937</v>
      </c>
      <c r="C681" s="7" t="s">
        <v>366</v>
      </c>
      <c r="D681" s="7" t="n">
        <v>86</v>
      </c>
      <c r="E681" s="7" t="n">
        <v>68</v>
      </c>
      <c r="F681" s="7"/>
      <c r="G681" s="7"/>
      <c r="H681" s="7" t="s">
        <v>546</v>
      </c>
      <c r="I681" s="7" t="s">
        <v>546</v>
      </c>
      <c r="J681" s="21" t="n">
        <f aca="false">D681/(D681+E681)</f>
        <v>0.558441558441558</v>
      </c>
      <c r="K681" s="3" t="n">
        <f aca="false">IF(D681&gt;E681,1,0)</f>
        <v>1</v>
      </c>
      <c r="L681" s="3" t="n">
        <f aca="false">IF(OR(F681="Y",G681="Y",H681="Y"),1,0)</f>
        <v>0</v>
      </c>
      <c r="M681" s="3" t="n">
        <f aca="false">IF(H681="Y",1,0)</f>
        <v>0</v>
      </c>
      <c r="N681" s="3" t="n">
        <f aca="false">IF(I681="Y",1,0)</f>
        <v>0</v>
      </c>
    </row>
    <row r="682" customFormat="false" ht="15" hidden="false" customHeight="true" outlineLevel="0" collapsed="false">
      <c r="A682" s="7" t="s">
        <v>65</v>
      </c>
      <c r="B682" s="7" t="n">
        <v>1938</v>
      </c>
      <c r="C682" s="7" t="s">
        <v>366</v>
      </c>
      <c r="D682" s="7" t="n">
        <v>65</v>
      </c>
      <c r="E682" s="7" t="n">
        <v>83</v>
      </c>
      <c r="F682" s="7"/>
      <c r="G682" s="7"/>
      <c r="H682" s="7" t="s">
        <v>546</v>
      </c>
      <c r="I682" s="7" t="s">
        <v>546</v>
      </c>
      <c r="J682" s="21" t="n">
        <f aca="false">D682/(D682+E682)</f>
        <v>0.439189189189189</v>
      </c>
      <c r="K682" s="3" t="n">
        <f aca="false">IF(D682&gt;E682,1,0)</f>
        <v>0</v>
      </c>
      <c r="L682" s="3" t="n">
        <f aca="false">IF(OR(F682="Y",G682="Y",H682="Y"),1,0)</f>
        <v>0</v>
      </c>
      <c r="M682" s="3" t="n">
        <f aca="false">IF(H682="Y",1,0)</f>
        <v>0</v>
      </c>
      <c r="N682" s="3" t="n">
        <f aca="false">IF(I682="Y",1,0)</f>
        <v>0</v>
      </c>
    </row>
    <row r="683" customFormat="false" ht="15" hidden="false" customHeight="true" outlineLevel="0" collapsed="false">
      <c r="A683" s="7" t="s">
        <v>65</v>
      </c>
      <c r="B683" s="7" t="n">
        <v>1939</v>
      </c>
      <c r="C683" s="7" t="s">
        <v>366</v>
      </c>
      <c r="D683" s="7" t="n">
        <v>85</v>
      </c>
      <c r="E683" s="7" t="n">
        <v>69</v>
      </c>
      <c r="F683" s="7"/>
      <c r="G683" s="7"/>
      <c r="H683" s="7" t="s">
        <v>546</v>
      </c>
      <c r="I683" s="7" t="s">
        <v>546</v>
      </c>
      <c r="J683" s="21" t="n">
        <f aca="false">D683/(D683+E683)</f>
        <v>0.551948051948052</v>
      </c>
      <c r="K683" s="3" t="n">
        <f aca="false">IF(D683&gt;E683,1,0)</f>
        <v>1</v>
      </c>
      <c r="L683" s="3" t="n">
        <f aca="false">IF(OR(F683="Y",G683="Y",H683="Y"),1,0)</f>
        <v>0</v>
      </c>
      <c r="M683" s="3" t="n">
        <f aca="false">IF(H683="Y",1,0)</f>
        <v>0</v>
      </c>
      <c r="N683" s="3" t="n">
        <f aca="false">IF(I683="Y",1,0)</f>
        <v>0</v>
      </c>
    </row>
    <row r="684" customFormat="false" ht="15" hidden="false" customHeight="true" outlineLevel="0" collapsed="false">
      <c r="A684" s="7" t="s">
        <v>65</v>
      </c>
      <c r="B684" s="7" t="n">
        <v>1940</v>
      </c>
      <c r="C684" s="7" t="s">
        <v>366</v>
      </c>
      <c r="D684" s="7" t="n">
        <v>82</v>
      </c>
      <c r="E684" s="7" t="n">
        <v>72</v>
      </c>
      <c r="F684" s="7"/>
      <c r="G684" s="7"/>
      <c r="H684" s="7" t="s">
        <v>546</v>
      </c>
      <c r="I684" s="7" t="s">
        <v>546</v>
      </c>
      <c r="J684" s="21" t="n">
        <f aca="false">D684/(D684+E684)</f>
        <v>0.532467532467532</v>
      </c>
      <c r="K684" s="3" t="n">
        <f aca="false">IF(D684&gt;E684,1,0)</f>
        <v>1</v>
      </c>
      <c r="L684" s="3" t="n">
        <f aca="false">IF(OR(F684="Y",G684="Y",H684="Y"),1,0)</f>
        <v>0</v>
      </c>
      <c r="M684" s="3" t="n">
        <f aca="false">IF(H684="Y",1,0)</f>
        <v>0</v>
      </c>
      <c r="N684" s="3" t="n">
        <f aca="false">IF(I684="Y",1,0)</f>
        <v>0</v>
      </c>
    </row>
    <row r="685" customFormat="false" ht="15" hidden="false" customHeight="true" outlineLevel="0" collapsed="false">
      <c r="A685" s="7" t="s">
        <v>65</v>
      </c>
      <c r="B685" s="7" t="n">
        <v>1941</v>
      </c>
      <c r="C685" s="7" t="s">
        <v>366</v>
      </c>
      <c r="D685" s="7" t="n">
        <v>77</v>
      </c>
      <c r="E685" s="7" t="n">
        <v>77</v>
      </c>
      <c r="F685" s="7"/>
      <c r="G685" s="7"/>
      <c r="H685" s="7" t="s">
        <v>546</v>
      </c>
      <c r="I685" s="7" t="s">
        <v>546</v>
      </c>
      <c r="J685" s="21" t="n">
        <f aca="false">D685/(D685+E685)</f>
        <v>0.5</v>
      </c>
      <c r="K685" s="3" t="n">
        <f aca="false">IF(D685&gt;E685,1,0)</f>
        <v>0</v>
      </c>
      <c r="L685" s="3" t="n">
        <f aca="false">IF(OR(F685="Y",G685="Y",H685="Y"),1,0)</f>
        <v>0</v>
      </c>
      <c r="M685" s="3" t="n">
        <f aca="false">IF(H685="Y",1,0)</f>
        <v>0</v>
      </c>
      <c r="N685" s="3" t="n">
        <f aca="false">IF(I685="Y",1,0)</f>
        <v>0</v>
      </c>
    </row>
    <row r="686" customFormat="false" ht="15" hidden="false" customHeight="true" outlineLevel="0" collapsed="false">
      <c r="A686" s="7" t="s">
        <v>65</v>
      </c>
      <c r="B686" s="7" t="n">
        <v>1942</v>
      </c>
      <c r="C686" s="7" t="s">
        <v>366</v>
      </c>
      <c r="D686" s="7" t="n">
        <v>66</v>
      </c>
      <c r="E686" s="7" t="n">
        <v>82</v>
      </c>
      <c r="F686" s="7"/>
      <c r="G686" s="7"/>
      <c r="H686" s="7" t="s">
        <v>546</v>
      </c>
      <c r="I686" s="7" t="s">
        <v>546</v>
      </c>
      <c r="J686" s="21" t="n">
        <f aca="false">D686/(D686+E686)</f>
        <v>0.445945945945946</v>
      </c>
      <c r="K686" s="3" t="n">
        <f aca="false">IF(D686&gt;E686,1,0)</f>
        <v>0</v>
      </c>
      <c r="L686" s="3" t="n">
        <f aca="false">IF(OR(F686="Y",G686="Y",H686="Y"),1,0)</f>
        <v>0</v>
      </c>
      <c r="M686" s="3" t="n">
        <f aca="false">IF(H686="Y",1,0)</f>
        <v>0</v>
      </c>
      <c r="N686" s="3" t="n">
        <f aca="false">IF(I686="Y",1,0)</f>
        <v>0</v>
      </c>
    </row>
    <row r="687" customFormat="false" ht="15" hidden="false" customHeight="true" outlineLevel="0" collapsed="false">
      <c r="A687" s="7" t="s">
        <v>65</v>
      </c>
      <c r="B687" s="7" t="n">
        <v>1943</v>
      </c>
      <c r="C687" s="7" t="s">
        <v>366</v>
      </c>
      <c r="D687" s="7" t="n">
        <v>82</v>
      </c>
      <c r="E687" s="7" t="n">
        <v>72</v>
      </c>
      <c r="F687" s="7"/>
      <c r="G687" s="7"/>
      <c r="H687" s="7" t="s">
        <v>546</v>
      </c>
      <c r="I687" s="7" t="s">
        <v>546</v>
      </c>
      <c r="J687" s="21" t="n">
        <f aca="false">D687/(D687+E687)</f>
        <v>0.532467532467532</v>
      </c>
      <c r="K687" s="3" t="n">
        <f aca="false">IF(D687&gt;E687,1,0)</f>
        <v>1</v>
      </c>
      <c r="L687" s="3" t="n">
        <f aca="false">IF(OR(F687="Y",G687="Y",H687="Y"),1,0)</f>
        <v>0</v>
      </c>
      <c r="M687" s="3" t="n">
        <f aca="false">IF(H687="Y",1,0)</f>
        <v>0</v>
      </c>
      <c r="N687" s="3" t="n">
        <f aca="false">IF(I687="Y",1,0)</f>
        <v>0</v>
      </c>
    </row>
    <row r="688" customFormat="false" ht="15" hidden="false" customHeight="true" outlineLevel="0" collapsed="false">
      <c r="A688" s="7" t="s">
        <v>65</v>
      </c>
      <c r="B688" s="7" t="n">
        <v>1944</v>
      </c>
      <c r="C688" s="7" t="s">
        <v>366</v>
      </c>
      <c r="D688" s="7" t="n">
        <v>71</v>
      </c>
      <c r="E688" s="7" t="n">
        <v>83</v>
      </c>
      <c r="F688" s="7"/>
      <c r="G688" s="7"/>
      <c r="H688" s="7" t="s">
        <v>546</v>
      </c>
      <c r="I688" s="7" t="s">
        <v>546</v>
      </c>
      <c r="J688" s="21" t="n">
        <f aca="false">D688/(D688+E688)</f>
        <v>0.461038961038961</v>
      </c>
      <c r="K688" s="3" t="n">
        <f aca="false">IF(D688&gt;E688,1,0)</f>
        <v>0</v>
      </c>
      <c r="L688" s="3" t="n">
        <f aca="false">IF(OR(F688="Y",G688="Y",H688="Y"),1,0)</f>
        <v>0</v>
      </c>
      <c r="M688" s="3" t="n">
        <f aca="false">IF(H688="Y",1,0)</f>
        <v>0</v>
      </c>
      <c r="N688" s="3" t="n">
        <f aca="false">IF(I688="Y",1,0)</f>
        <v>0</v>
      </c>
    </row>
    <row r="689" customFormat="false" ht="15" hidden="false" customHeight="true" outlineLevel="0" collapsed="false">
      <c r="A689" s="7" t="s">
        <v>65</v>
      </c>
      <c r="B689" s="7" t="n">
        <v>1945</v>
      </c>
      <c r="C689" s="7" t="s">
        <v>366</v>
      </c>
      <c r="D689" s="7" t="n">
        <v>71</v>
      </c>
      <c r="E689" s="7" t="n">
        <v>78</v>
      </c>
      <c r="F689" s="7"/>
      <c r="G689" s="7"/>
      <c r="H689" s="7" t="s">
        <v>546</v>
      </c>
      <c r="I689" s="7" t="s">
        <v>546</v>
      </c>
      <c r="J689" s="21" t="n">
        <f aca="false">D689/(D689+E689)</f>
        <v>0.476510067114094</v>
      </c>
      <c r="K689" s="3" t="n">
        <f aca="false">IF(D689&gt;E689,1,0)</f>
        <v>0</v>
      </c>
      <c r="L689" s="3" t="n">
        <f aca="false">IF(OR(F689="Y",G689="Y",H689="Y"),1,0)</f>
        <v>0</v>
      </c>
      <c r="M689" s="3" t="n">
        <f aca="false">IF(H689="Y",1,0)</f>
        <v>0</v>
      </c>
      <c r="N689" s="3" t="n">
        <f aca="false">IF(I689="Y",1,0)</f>
        <v>0</v>
      </c>
    </row>
    <row r="690" customFormat="false" ht="15" hidden="false" customHeight="true" outlineLevel="0" collapsed="false">
      <c r="A690" s="7" t="s">
        <v>65</v>
      </c>
      <c r="B690" s="7" t="n">
        <v>1946</v>
      </c>
      <c r="C690" s="7" t="s">
        <v>366</v>
      </c>
      <c r="D690" s="7" t="n">
        <v>74</v>
      </c>
      <c r="E690" s="7" t="n">
        <v>80</v>
      </c>
      <c r="F690" s="7"/>
      <c r="G690" s="7"/>
      <c r="H690" s="7" t="s">
        <v>546</v>
      </c>
      <c r="I690" s="7" t="s">
        <v>546</v>
      </c>
      <c r="J690" s="21" t="n">
        <f aca="false">D690/(D690+E690)</f>
        <v>0.480519480519481</v>
      </c>
      <c r="K690" s="3" t="n">
        <f aca="false">IF(D690&gt;E690,1,0)</f>
        <v>0</v>
      </c>
      <c r="L690" s="3" t="n">
        <f aca="false">IF(OR(F690="Y",G690="Y",H690="Y"),1,0)</f>
        <v>0</v>
      </c>
      <c r="M690" s="3" t="n">
        <f aca="false">IF(H690="Y",1,0)</f>
        <v>0</v>
      </c>
      <c r="N690" s="3" t="n">
        <f aca="false">IF(I690="Y",1,0)</f>
        <v>0</v>
      </c>
    </row>
    <row r="691" customFormat="false" ht="15" hidden="false" customHeight="true" outlineLevel="0" collapsed="false">
      <c r="A691" s="7" t="s">
        <v>65</v>
      </c>
      <c r="B691" s="7" t="n">
        <v>1947</v>
      </c>
      <c r="C691" s="7" t="s">
        <v>366</v>
      </c>
      <c r="D691" s="7" t="n">
        <v>70</v>
      </c>
      <c r="E691" s="7" t="n">
        <v>84</v>
      </c>
      <c r="F691" s="7"/>
      <c r="G691" s="7"/>
      <c r="H691" s="7" t="s">
        <v>546</v>
      </c>
      <c r="I691" s="7" t="s">
        <v>546</v>
      </c>
      <c r="J691" s="21" t="n">
        <f aca="false">D691/(D691+E691)</f>
        <v>0.454545454545455</v>
      </c>
      <c r="K691" s="3" t="n">
        <f aca="false">IF(D691&gt;E691,1,0)</f>
        <v>0</v>
      </c>
      <c r="L691" s="3" t="n">
        <f aca="false">IF(OR(F691="Y",G691="Y",H691="Y"),1,0)</f>
        <v>0</v>
      </c>
      <c r="M691" s="3" t="n">
        <f aca="false">IF(H691="Y",1,0)</f>
        <v>0</v>
      </c>
      <c r="N691" s="3" t="n">
        <f aca="false">IF(I691="Y",1,0)</f>
        <v>0</v>
      </c>
    </row>
    <row r="692" customFormat="false" ht="15" hidden="false" customHeight="true" outlineLevel="0" collapsed="false">
      <c r="A692" s="7" t="s">
        <v>65</v>
      </c>
      <c r="B692" s="7" t="n">
        <v>1948</v>
      </c>
      <c r="C692" s="7" t="s">
        <v>366</v>
      </c>
      <c r="D692" s="7" t="n">
        <v>51</v>
      </c>
      <c r="E692" s="7" t="n">
        <v>101</v>
      </c>
      <c r="F692" s="7"/>
      <c r="G692" s="7"/>
      <c r="H692" s="7" t="s">
        <v>546</v>
      </c>
      <c r="I692" s="7" t="s">
        <v>546</v>
      </c>
      <c r="J692" s="21" t="n">
        <f aca="false">D692/(D692+E692)</f>
        <v>0.335526315789474</v>
      </c>
      <c r="K692" s="3" t="n">
        <f aca="false">IF(D692&gt;E692,1,0)</f>
        <v>0</v>
      </c>
      <c r="L692" s="3" t="n">
        <f aca="false">IF(OR(F692="Y",G692="Y",H692="Y"),1,0)</f>
        <v>0</v>
      </c>
      <c r="M692" s="3" t="n">
        <f aca="false">IF(H692="Y",1,0)</f>
        <v>0</v>
      </c>
      <c r="N692" s="3" t="n">
        <f aca="false">IF(I692="Y",1,0)</f>
        <v>0</v>
      </c>
    </row>
    <row r="693" customFormat="false" ht="15" hidden="false" customHeight="true" outlineLevel="0" collapsed="false">
      <c r="A693" s="7" t="s">
        <v>65</v>
      </c>
      <c r="B693" s="7" t="n">
        <v>1949</v>
      </c>
      <c r="C693" s="7" t="s">
        <v>366</v>
      </c>
      <c r="D693" s="7" t="n">
        <v>63</v>
      </c>
      <c r="E693" s="7" t="n">
        <v>91</v>
      </c>
      <c r="F693" s="7"/>
      <c r="G693" s="7"/>
      <c r="H693" s="7" t="s">
        <v>546</v>
      </c>
      <c r="I693" s="7" t="s">
        <v>546</v>
      </c>
      <c r="J693" s="21" t="n">
        <f aca="false">D693/(D693+E693)</f>
        <v>0.409090909090909</v>
      </c>
      <c r="K693" s="3" t="n">
        <f aca="false">IF(D693&gt;E693,1,0)</f>
        <v>0</v>
      </c>
      <c r="L693" s="3" t="n">
        <f aca="false">IF(OR(F693="Y",G693="Y",H693="Y"),1,0)</f>
        <v>0</v>
      </c>
      <c r="M693" s="3" t="n">
        <f aca="false">IF(H693="Y",1,0)</f>
        <v>0</v>
      </c>
      <c r="N693" s="3" t="n">
        <f aca="false">IF(I693="Y",1,0)</f>
        <v>0</v>
      </c>
    </row>
    <row r="694" customFormat="false" ht="15" hidden="false" customHeight="true" outlineLevel="0" collapsed="false">
      <c r="A694" s="7" t="s">
        <v>65</v>
      </c>
      <c r="B694" s="7" t="n">
        <v>1950</v>
      </c>
      <c r="C694" s="7" t="s">
        <v>366</v>
      </c>
      <c r="D694" s="7" t="n">
        <v>60</v>
      </c>
      <c r="E694" s="7" t="n">
        <v>94</v>
      </c>
      <c r="F694" s="7"/>
      <c r="G694" s="7"/>
      <c r="H694" s="7" t="s">
        <v>546</v>
      </c>
      <c r="I694" s="7" t="s">
        <v>546</v>
      </c>
      <c r="J694" s="21" t="n">
        <f aca="false">D694/(D694+E694)</f>
        <v>0.38961038961039</v>
      </c>
      <c r="K694" s="3" t="n">
        <f aca="false">IF(D694&gt;E694,1,0)</f>
        <v>0</v>
      </c>
      <c r="L694" s="3" t="n">
        <f aca="false">IF(OR(F694="Y",G694="Y",H694="Y"),1,0)</f>
        <v>0</v>
      </c>
      <c r="M694" s="3" t="n">
        <f aca="false">IF(H694="Y",1,0)</f>
        <v>0</v>
      </c>
      <c r="N694" s="3" t="n">
        <f aca="false">IF(I694="Y",1,0)</f>
        <v>0</v>
      </c>
    </row>
    <row r="695" customFormat="false" ht="15" hidden="false" customHeight="true" outlineLevel="0" collapsed="false">
      <c r="A695" s="7" t="s">
        <v>65</v>
      </c>
      <c r="B695" s="7" t="n">
        <v>1951</v>
      </c>
      <c r="C695" s="7" t="s">
        <v>366</v>
      </c>
      <c r="D695" s="7" t="n">
        <v>81</v>
      </c>
      <c r="E695" s="7" t="n">
        <v>73</v>
      </c>
      <c r="F695" s="7"/>
      <c r="G695" s="7"/>
      <c r="H695" s="7" t="s">
        <v>546</v>
      </c>
      <c r="I695" s="7" t="s">
        <v>546</v>
      </c>
      <c r="J695" s="21" t="n">
        <f aca="false">D695/(D695+E695)</f>
        <v>0.525974025974026</v>
      </c>
      <c r="K695" s="3" t="n">
        <f aca="false">IF(D695&gt;E695,1,0)</f>
        <v>1</v>
      </c>
      <c r="L695" s="3" t="n">
        <f aca="false">IF(OR(F695="Y",G695="Y",H695="Y"),1,0)</f>
        <v>0</v>
      </c>
      <c r="M695" s="3" t="n">
        <f aca="false">IF(H695="Y",1,0)</f>
        <v>0</v>
      </c>
      <c r="N695" s="3" t="n">
        <f aca="false">IF(I695="Y",1,0)</f>
        <v>0</v>
      </c>
    </row>
    <row r="696" customFormat="false" ht="15" hidden="false" customHeight="true" outlineLevel="0" collapsed="false">
      <c r="A696" s="7" t="s">
        <v>65</v>
      </c>
      <c r="B696" s="7" t="n">
        <v>1952</v>
      </c>
      <c r="C696" s="7" t="s">
        <v>366</v>
      </c>
      <c r="D696" s="7" t="n">
        <v>81</v>
      </c>
      <c r="E696" s="7" t="n">
        <v>73</v>
      </c>
      <c r="F696" s="7"/>
      <c r="G696" s="7"/>
      <c r="H696" s="7" t="s">
        <v>546</v>
      </c>
      <c r="I696" s="7" t="s">
        <v>546</v>
      </c>
      <c r="J696" s="21" t="n">
        <f aca="false">D696/(D696+E696)</f>
        <v>0.525974025974026</v>
      </c>
      <c r="K696" s="3" t="n">
        <f aca="false">IF(D696&gt;E696,1,0)</f>
        <v>1</v>
      </c>
      <c r="L696" s="3" t="n">
        <f aca="false">IF(OR(F696="Y",G696="Y",H696="Y"),1,0)</f>
        <v>0</v>
      </c>
      <c r="M696" s="3" t="n">
        <f aca="false">IF(H696="Y",1,0)</f>
        <v>0</v>
      </c>
      <c r="N696" s="3" t="n">
        <f aca="false">IF(I696="Y",1,0)</f>
        <v>0</v>
      </c>
    </row>
    <row r="697" customFormat="false" ht="15" hidden="false" customHeight="true" outlineLevel="0" collapsed="false">
      <c r="A697" s="7" t="s">
        <v>65</v>
      </c>
      <c r="B697" s="7" t="n">
        <v>1953</v>
      </c>
      <c r="C697" s="7" t="s">
        <v>366</v>
      </c>
      <c r="D697" s="7" t="n">
        <v>89</v>
      </c>
      <c r="E697" s="7" t="n">
        <v>65</v>
      </c>
      <c r="F697" s="7"/>
      <c r="G697" s="7"/>
      <c r="H697" s="7" t="s">
        <v>546</v>
      </c>
      <c r="I697" s="7" t="s">
        <v>546</v>
      </c>
      <c r="J697" s="21" t="n">
        <f aca="false">D697/(D697+E697)</f>
        <v>0.577922077922078</v>
      </c>
      <c r="K697" s="3" t="n">
        <f aca="false">IF(D697&gt;E697,1,0)</f>
        <v>1</v>
      </c>
      <c r="L697" s="3" t="n">
        <f aca="false">IF(OR(F697="Y",G697="Y",H697="Y"),1,0)</f>
        <v>0</v>
      </c>
      <c r="M697" s="3" t="n">
        <f aca="false">IF(H697="Y",1,0)</f>
        <v>0</v>
      </c>
      <c r="N697" s="3" t="n">
        <f aca="false">IF(I697="Y",1,0)</f>
        <v>0</v>
      </c>
    </row>
    <row r="698" customFormat="false" ht="15" hidden="false" customHeight="true" outlineLevel="0" collapsed="false">
      <c r="A698" s="7" t="s">
        <v>65</v>
      </c>
      <c r="B698" s="7" t="n">
        <v>1954</v>
      </c>
      <c r="C698" s="7" t="s">
        <v>366</v>
      </c>
      <c r="D698" s="7" t="n">
        <v>94</v>
      </c>
      <c r="E698" s="7" t="n">
        <v>60</v>
      </c>
      <c r="F698" s="7"/>
      <c r="G698" s="7"/>
      <c r="H698" s="7" t="s">
        <v>546</v>
      </c>
      <c r="I698" s="7" t="s">
        <v>546</v>
      </c>
      <c r="J698" s="21" t="n">
        <f aca="false">D698/(D698+E698)</f>
        <v>0.61038961038961</v>
      </c>
      <c r="K698" s="3" t="n">
        <f aca="false">IF(D698&gt;E698,1,0)</f>
        <v>1</v>
      </c>
      <c r="L698" s="3" t="n">
        <f aca="false">IF(OR(F698="Y",G698="Y",H698="Y"),1,0)</f>
        <v>0</v>
      </c>
      <c r="M698" s="3" t="n">
        <f aca="false">IF(H698="Y",1,0)</f>
        <v>0</v>
      </c>
      <c r="N698" s="3" t="n">
        <f aca="false">IF(I698="Y",1,0)</f>
        <v>0</v>
      </c>
    </row>
    <row r="699" customFormat="false" ht="15" hidden="false" customHeight="true" outlineLevel="0" collapsed="false">
      <c r="A699" s="7" t="s">
        <v>65</v>
      </c>
      <c r="B699" s="7" t="n">
        <v>1955</v>
      </c>
      <c r="C699" s="7" t="s">
        <v>366</v>
      </c>
      <c r="D699" s="7" t="n">
        <v>91</v>
      </c>
      <c r="E699" s="7" t="n">
        <v>63</v>
      </c>
      <c r="F699" s="7"/>
      <c r="G699" s="7"/>
      <c r="H699" s="7" t="s">
        <v>546</v>
      </c>
      <c r="I699" s="7" t="s">
        <v>546</v>
      </c>
      <c r="J699" s="21" t="n">
        <f aca="false">D699/(D699+E699)</f>
        <v>0.590909090909091</v>
      </c>
      <c r="K699" s="3" t="n">
        <f aca="false">IF(D699&gt;E699,1,0)</f>
        <v>1</v>
      </c>
      <c r="L699" s="3" t="n">
        <f aca="false">IF(OR(F699="Y",G699="Y",H699="Y"),1,0)</f>
        <v>0</v>
      </c>
      <c r="M699" s="3" t="n">
        <f aca="false">IF(H699="Y",1,0)</f>
        <v>0</v>
      </c>
      <c r="N699" s="3" t="n">
        <f aca="false">IF(I699="Y",1,0)</f>
        <v>0</v>
      </c>
    </row>
    <row r="700" customFormat="false" ht="15" hidden="false" customHeight="true" outlineLevel="0" collapsed="false">
      <c r="A700" s="7" t="s">
        <v>65</v>
      </c>
      <c r="B700" s="7" t="n">
        <v>1956</v>
      </c>
      <c r="C700" s="7" t="s">
        <v>366</v>
      </c>
      <c r="D700" s="7" t="n">
        <v>85</v>
      </c>
      <c r="E700" s="7" t="n">
        <v>69</v>
      </c>
      <c r="F700" s="7"/>
      <c r="G700" s="7"/>
      <c r="H700" s="7" t="s">
        <v>546</v>
      </c>
      <c r="I700" s="7" t="s">
        <v>546</v>
      </c>
      <c r="J700" s="21" t="n">
        <f aca="false">D700/(D700+E700)</f>
        <v>0.551948051948052</v>
      </c>
      <c r="K700" s="3" t="n">
        <f aca="false">IF(D700&gt;E700,1,0)</f>
        <v>1</v>
      </c>
      <c r="L700" s="3" t="n">
        <f aca="false">IF(OR(F700="Y",G700="Y",H700="Y"),1,0)</f>
        <v>0</v>
      </c>
      <c r="M700" s="3" t="n">
        <f aca="false">IF(H700="Y",1,0)</f>
        <v>0</v>
      </c>
      <c r="N700" s="3" t="n">
        <f aca="false">IF(I700="Y",1,0)</f>
        <v>0</v>
      </c>
    </row>
    <row r="701" customFormat="false" ht="15" hidden="false" customHeight="true" outlineLevel="0" collapsed="false">
      <c r="A701" s="7" t="s">
        <v>65</v>
      </c>
      <c r="B701" s="7" t="n">
        <v>1957</v>
      </c>
      <c r="C701" s="7" t="s">
        <v>366</v>
      </c>
      <c r="D701" s="7" t="n">
        <v>90</v>
      </c>
      <c r="E701" s="7" t="n">
        <v>64</v>
      </c>
      <c r="F701" s="7"/>
      <c r="G701" s="7"/>
      <c r="H701" s="7" t="s">
        <v>546</v>
      </c>
      <c r="I701" s="7" t="s">
        <v>546</v>
      </c>
      <c r="J701" s="21" t="n">
        <f aca="false">D701/(D701+E701)</f>
        <v>0.584415584415584</v>
      </c>
      <c r="K701" s="3" t="n">
        <f aca="false">IF(D701&gt;E701,1,0)</f>
        <v>1</v>
      </c>
      <c r="L701" s="3" t="n">
        <f aca="false">IF(OR(F701="Y",G701="Y",H701="Y"),1,0)</f>
        <v>0</v>
      </c>
      <c r="M701" s="3" t="n">
        <f aca="false">IF(H701="Y",1,0)</f>
        <v>0</v>
      </c>
      <c r="N701" s="3" t="n">
        <f aca="false">IF(I701="Y",1,0)</f>
        <v>0</v>
      </c>
    </row>
    <row r="702" customFormat="false" ht="15" hidden="false" customHeight="true" outlineLevel="0" collapsed="false">
      <c r="A702" s="7" t="s">
        <v>65</v>
      </c>
      <c r="B702" s="7" t="n">
        <v>1958</v>
      </c>
      <c r="C702" s="7" t="s">
        <v>366</v>
      </c>
      <c r="D702" s="7" t="n">
        <v>82</v>
      </c>
      <c r="E702" s="7" t="n">
        <v>72</v>
      </c>
      <c r="F702" s="7"/>
      <c r="G702" s="7"/>
      <c r="H702" s="7" t="s">
        <v>546</v>
      </c>
      <c r="I702" s="7" t="s">
        <v>546</v>
      </c>
      <c r="J702" s="21" t="n">
        <f aca="false">D702/(D702+E702)</f>
        <v>0.532467532467532</v>
      </c>
      <c r="K702" s="3" t="n">
        <f aca="false">IF(D702&gt;E702,1,0)</f>
        <v>1</v>
      </c>
      <c r="L702" s="3" t="n">
        <f aca="false">IF(OR(F702="Y",G702="Y",H702="Y"),1,0)</f>
        <v>0</v>
      </c>
      <c r="M702" s="3" t="n">
        <f aca="false">IF(H702="Y",1,0)</f>
        <v>0</v>
      </c>
      <c r="N702" s="3" t="n">
        <f aca="false">IF(I702="Y",1,0)</f>
        <v>0</v>
      </c>
    </row>
    <row r="703" customFormat="false" ht="15" hidden="false" customHeight="true" outlineLevel="0" collapsed="false">
      <c r="A703" s="7" t="s">
        <v>65</v>
      </c>
      <c r="B703" s="7" t="n">
        <v>1959</v>
      </c>
      <c r="C703" s="7" t="s">
        <v>366</v>
      </c>
      <c r="D703" s="7" t="n">
        <v>94</v>
      </c>
      <c r="E703" s="7" t="n">
        <v>60</v>
      </c>
      <c r="F703" s="7"/>
      <c r="G703" s="7"/>
      <c r="H703" s="7" t="s">
        <v>548</v>
      </c>
      <c r="I703" s="7" t="s">
        <v>546</v>
      </c>
      <c r="J703" s="21" t="n">
        <f aca="false">D703/(D703+E703)</f>
        <v>0.61038961038961</v>
      </c>
      <c r="K703" s="3" t="n">
        <f aca="false">IF(D703&gt;E703,1,0)</f>
        <v>1</v>
      </c>
      <c r="L703" s="3" t="n">
        <f aca="false">IF(OR(F703="Y",G703="Y",H703="Y"),1,0)</f>
        <v>1</v>
      </c>
      <c r="M703" s="3" t="n">
        <f aca="false">IF(H703="Y",1,0)</f>
        <v>1</v>
      </c>
      <c r="N703" s="3" t="n">
        <f aca="false">IF(I703="Y",1,0)</f>
        <v>0</v>
      </c>
    </row>
    <row r="704" customFormat="false" ht="15" hidden="false" customHeight="true" outlineLevel="0" collapsed="false">
      <c r="A704" s="7" t="s">
        <v>65</v>
      </c>
      <c r="B704" s="7" t="n">
        <v>1960</v>
      </c>
      <c r="C704" s="7" t="s">
        <v>366</v>
      </c>
      <c r="D704" s="7" t="n">
        <v>87</v>
      </c>
      <c r="E704" s="7" t="n">
        <v>67</v>
      </c>
      <c r="F704" s="7"/>
      <c r="G704" s="7"/>
      <c r="H704" s="7" t="s">
        <v>546</v>
      </c>
      <c r="I704" s="7" t="s">
        <v>546</v>
      </c>
      <c r="J704" s="21" t="n">
        <f aca="false">D704/(D704+E704)</f>
        <v>0.564935064935065</v>
      </c>
      <c r="K704" s="3" t="n">
        <f aca="false">IF(D704&gt;E704,1,0)</f>
        <v>1</v>
      </c>
      <c r="L704" s="3" t="n">
        <f aca="false">IF(OR(F704="Y",G704="Y",H704="Y"),1,0)</f>
        <v>0</v>
      </c>
      <c r="M704" s="3" t="n">
        <f aca="false">IF(H704="Y",1,0)</f>
        <v>0</v>
      </c>
      <c r="N704" s="3" t="n">
        <f aca="false">IF(I704="Y",1,0)</f>
        <v>0</v>
      </c>
    </row>
    <row r="705" customFormat="false" ht="15" hidden="false" customHeight="true" outlineLevel="0" collapsed="false">
      <c r="A705" s="7" t="s">
        <v>65</v>
      </c>
      <c r="B705" s="7" t="n">
        <v>1961</v>
      </c>
      <c r="C705" s="7" t="s">
        <v>366</v>
      </c>
      <c r="D705" s="7" t="n">
        <v>86</v>
      </c>
      <c r="E705" s="7" t="n">
        <v>76</v>
      </c>
      <c r="F705" s="7"/>
      <c r="G705" s="7"/>
      <c r="H705" s="7" t="s">
        <v>546</v>
      </c>
      <c r="I705" s="7" t="s">
        <v>546</v>
      </c>
      <c r="J705" s="21" t="n">
        <f aca="false">D705/(D705+E705)</f>
        <v>0.530864197530864</v>
      </c>
      <c r="K705" s="3" t="n">
        <f aca="false">IF(D705&gt;E705,1,0)</f>
        <v>1</v>
      </c>
      <c r="L705" s="3" t="n">
        <f aca="false">IF(OR(F705="Y",G705="Y",H705="Y"),1,0)</f>
        <v>0</v>
      </c>
      <c r="M705" s="3" t="n">
        <f aca="false">IF(H705="Y",1,0)</f>
        <v>0</v>
      </c>
      <c r="N705" s="3" t="n">
        <f aca="false">IF(I705="Y",1,0)</f>
        <v>0</v>
      </c>
    </row>
    <row r="706" customFormat="false" ht="15" hidden="false" customHeight="true" outlineLevel="0" collapsed="false">
      <c r="A706" s="7" t="s">
        <v>65</v>
      </c>
      <c r="B706" s="7" t="n">
        <v>1962</v>
      </c>
      <c r="C706" s="7" t="s">
        <v>366</v>
      </c>
      <c r="D706" s="7" t="n">
        <v>85</v>
      </c>
      <c r="E706" s="7" t="n">
        <v>77</v>
      </c>
      <c r="F706" s="7"/>
      <c r="G706" s="7"/>
      <c r="H706" s="7" t="s">
        <v>546</v>
      </c>
      <c r="I706" s="7" t="s">
        <v>546</v>
      </c>
      <c r="J706" s="21" t="n">
        <f aca="false">D706/(D706+E706)</f>
        <v>0.524691358024691</v>
      </c>
      <c r="K706" s="3" t="n">
        <f aca="false">IF(D706&gt;E706,1,0)</f>
        <v>1</v>
      </c>
      <c r="L706" s="3" t="n">
        <f aca="false">IF(OR(F706="Y",G706="Y",H706="Y"),1,0)</f>
        <v>0</v>
      </c>
      <c r="M706" s="3" t="n">
        <f aca="false">IF(H706="Y",1,0)</f>
        <v>0</v>
      </c>
      <c r="N706" s="3" t="n">
        <f aca="false">IF(I706="Y",1,0)</f>
        <v>0</v>
      </c>
    </row>
    <row r="707" customFormat="false" ht="15" hidden="false" customHeight="true" outlineLevel="0" collapsed="false">
      <c r="A707" s="7" t="s">
        <v>65</v>
      </c>
      <c r="B707" s="7" t="n">
        <v>1963</v>
      </c>
      <c r="C707" s="7" t="s">
        <v>366</v>
      </c>
      <c r="D707" s="7" t="n">
        <v>94</v>
      </c>
      <c r="E707" s="7" t="n">
        <v>68</v>
      </c>
      <c r="F707" s="7"/>
      <c r="G707" s="7"/>
      <c r="H707" s="7" t="s">
        <v>546</v>
      </c>
      <c r="I707" s="7" t="s">
        <v>546</v>
      </c>
      <c r="J707" s="21" t="n">
        <f aca="false">D707/(D707+E707)</f>
        <v>0.580246913580247</v>
      </c>
      <c r="K707" s="3" t="n">
        <f aca="false">IF(D707&gt;E707,1,0)</f>
        <v>1</v>
      </c>
      <c r="L707" s="3" t="n">
        <f aca="false">IF(OR(F707="Y",G707="Y",H707="Y"),1,0)</f>
        <v>0</v>
      </c>
      <c r="M707" s="3" t="n">
        <f aca="false">IF(H707="Y",1,0)</f>
        <v>0</v>
      </c>
      <c r="N707" s="3" t="n">
        <f aca="false">IF(I707="Y",1,0)</f>
        <v>0</v>
      </c>
    </row>
    <row r="708" customFormat="false" ht="15" hidden="false" customHeight="true" outlineLevel="0" collapsed="false">
      <c r="A708" s="7" t="s">
        <v>65</v>
      </c>
      <c r="B708" s="7" t="n">
        <v>1964</v>
      </c>
      <c r="C708" s="7" t="s">
        <v>366</v>
      </c>
      <c r="D708" s="7" t="n">
        <v>98</v>
      </c>
      <c r="E708" s="7" t="n">
        <v>64</v>
      </c>
      <c r="F708" s="7"/>
      <c r="G708" s="7"/>
      <c r="H708" s="7" t="s">
        <v>546</v>
      </c>
      <c r="I708" s="7" t="s">
        <v>546</v>
      </c>
      <c r="J708" s="21" t="n">
        <f aca="false">D708/(D708+E708)</f>
        <v>0.604938271604938</v>
      </c>
      <c r="K708" s="3" t="n">
        <f aca="false">IF(D708&gt;E708,1,0)</f>
        <v>1</v>
      </c>
      <c r="L708" s="3" t="n">
        <f aca="false">IF(OR(F708="Y",G708="Y",H708="Y"),1,0)</f>
        <v>0</v>
      </c>
      <c r="M708" s="3" t="n">
        <f aca="false">IF(H708="Y",1,0)</f>
        <v>0</v>
      </c>
      <c r="N708" s="3" t="n">
        <f aca="false">IF(I708="Y",1,0)</f>
        <v>0</v>
      </c>
    </row>
    <row r="709" customFormat="false" ht="15" hidden="false" customHeight="true" outlineLevel="0" collapsed="false">
      <c r="A709" s="7" t="s">
        <v>65</v>
      </c>
      <c r="B709" s="7" t="n">
        <v>1965</v>
      </c>
      <c r="C709" s="7" t="s">
        <v>366</v>
      </c>
      <c r="D709" s="7" t="n">
        <v>95</v>
      </c>
      <c r="E709" s="7" t="n">
        <v>67</v>
      </c>
      <c r="F709" s="7"/>
      <c r="G709" s="7"/>
      <c r="H709" s="7" t="s">
        <v>546</v>
      </c>
      <c r="I709" s="7" t="s">
        <v>546</v>
      </c>
      <c r="J709" s="21" t="n">
        <f aca="false">D709/(D709+E709)</f>
        <v>0.58641975308642</v>
      </c>
      <c r="K709" s="3" t="n">
        <f aca="false">IF(D709&gt;E709,1,0)</f>
        <v>1</v>
      </c>
      <c r="L709" s="3" t="n">
        <f aca="false">IF(OR(F709="Y",G709="Y",H709="Y"),1,0)</f>
        <v>0</v>
      </c>
      <c r="M709" s="3" t="n">
        <f aca="false">IF(H709="Y",1,0)</f>
        <v>0</v>
      </c>
      <c r="N709" s="3" t="n">
        <f aca="false">IF(I709="Y",1,0)</f>
        <v>0</v>
      </c>
    </row>
    <row r="710" customFormat="false" ht="15" hidden="false" customHeight="true" outlineLevel="0" collapsed="false">
      <c r="A710" s="7" t="s">
        <v>65</v>
      </c>
      <c r="B710" s="7" t="n">
        <v>1966</v>
      </c>
      <c r="C710" s="7" t="s">
        <v>366</v>
      </c>
      <c r="D710" s="7" t="n">
        <v>83</v>
      </c>
      <c r="E710" s="7" t="n">
        <v>79</v>
      </c>
      <c r="F710" s="7"/>
      <c r="G710" s="7"/>
      <c r="H710" s="7" t="s">
        <v>546</v>
      </c>
      <c r="I710" s="7" t="s">
        <v>546</v>
      </c>
      <c r="J710" s="21" t="n">
        <f aca="false">D710/(D710+E710)</f>
        <v>0.512345679012346</v>
      </c>
      <c r="K710" s="3" t="n">
        <f aca="false">IF(D710&gt;E710,1,0)</f>
        <v>1</v>
      </c>
      <c r="L710" s="3" t="n">
        <f aca="false">IF(OR(F710="Y",G710="Y",H710="Y"),1,0)</f>
        <v>0</v>
      </c>
      <c r="M710" s="3" t="n">
        <f aca="false">IF(H710="Y",1,0)</f>
        <v>0</v>
      </c>
      <c r="N710" s="3" t="n">
        <f aca="false">IF(I710="Y",1,0)</f>
        <v>0</v>
      </c>
    </row>
    <row r="711" customFormat="false" ht="15" hidden="false" customHeight="true" outlineLevel="0" collapsed="false">
      <c r="A711" s="7" t="s">
        <v>65</v>
      </c>
      <c r="B711" s="7" t="n">
        <v>1967</v>
      </c>
      <c r="C711" s="7" t="s">
        <v>366</v>
      </c>
      <c r="D711" s="7" t="n">
        <v>89</v>
      </c>
      <c r="E711" s="7" t="n">
        <v>73</v>
      </c>
      <c r="F711" s="7"/>
      <c r="G711" s="7"/>
      <c r="H711" s="7" t="s">
        <v>546</v>
      </c>
      <c r="I711" s="7" t="s">
        <v>546</v>
      </c>
      <c r="J711" s="21" t="n">
        <f aca="false">D711/(D711+E711)</f>
        <v>0.549382716049383</v>
      </c>
      <c r="K711" s="3" t="n">
        <f aca="false">IF(D711&gt;E711,1,0)</f>
        <v>1</v>
      </c>
      <c r="L711" s="3" t="n">
        <f aca="false">IF(OR(F711="Y",G711="Y",H711="Y"),1,0)</f>
        <v>0</v>
      </c>
      <c r="M711" s="3" t="n">
        <f aca="false">IF(H711="Y",1,0)</f>
        <v>0</v>
      </c>
      <c r="N711" s="3" t="n">
        <f aca="false">IF(I711="Y",1,0)</f>
        <v>0</v>
      </c>
    </row>
    <row r="712" customFormat="false" ht="15" hidden="false" customHeight="true" outlineLevel="0" collapsed="false">
      <c r="A712" s="7" t="s">
        <v>65</v>
      </c>
      <c r="B712" s="7" t="n">
        <v>1968</v>
      </c>
      <c r="C712" s="7" t="s">
        <v>366</v>
      </c>
      <c r="D712" s="7" t="n">
        <v>67</v>
      </c>
      <c r="E712" s="7" t="n">
        <v>95</v>
      </c>
      <c r="F712" s="7"/>
      <c r="G712" s="7"/>
      <c r="H712" s="7" t="s">
        <v>546</v>
      </c>
      <c r="I712" s="7" t="s">
        <v>546</v>
      </c>
      <c r="J712" s="21" t="n">
        <f aca="false">D712/(D712+E712)</f>
        <v>0.41358024691358</v>
      </c>
      <c r="K712" s="3" t="n">
        <f aca="false">IF(D712&gt;E712,1,0)</f>
        <v>0</v>
      </c>
      <c r="L712" s="3" t="n">
        <f aca="false">IF(OR(F712="Y",G712="Y",H712="Y"),1,0)</f>
        <v>0</v>
      </c>
      <c r="M712" s="3" t="n">
        <f aca="false">IF(H712="Y",1,0)</f>
        <v>0</v>
      </c>
      <c r="N712" s="3" t="n">
        <f aca="false">IF(I712="Y",1,0)</f>
        <v>0</v>
      </c>
    </row>
    <row r="713" customFormat="false" ht="15" hidden="false" customHeight="true" outlineLevel="0" collapsed="false">
      <c r="A713" s="7" t="s">
        <v>65</v>
      </c>
      <c r="B713" s="7" t="n">
        <v>1969</v>
      </c>
      <c r="C713" s="7" t="s">
        <v>366</v>
      </c>
      <c r="D713" s="7" t="n">
        <v>68</v>
      </c>
      <c r="E713" s="7" t="n">
        <v>94</v>
      </c>
      <c r="F713" s="7" t="s">
        <v>546</v>
      </c>
      <c r="G713" s="7"/>
      <c r="H713" s="7" t="s">
        <v>546</v>
      </c>
      <c r="I713" s="7" t="s">
        <v>546</v>
      </c>
      <c r="J713" s="21" t="n">
        <f aca="false">D713/(D713+E713)</f>
        <v>0.419753086419753</v>
      </c>
      <c r="K713" s="3" t="n">
        <f aca="false">IF(D713&gt;E713,1,0)</f>
        <v>0</v>
      </c>
      <c r="L713" s="3" t="n">
        <f aca="false">IF(OR(F713="Y",G713="Y",H713="Y"),1,0)</f>
        <v>0</v>
      </c>
      <c r="M713" s="3" t="n">
        <f aca="false">IF(H713="Y",1,0)</f>
        <v>0</v>
      </c>
      <c r="N713" s="3" t="n">
        <f aca="false">IF(I713="Y",1,0)</f>
        <v>0</v>
      </c>
    </row>
    <row r="714" customFormat="false" ht="15" hidden="false" customHeight="true" outlineLevel="0" collapsed="false">
      <c r="A714" s="7" t="s">
        <v>65</v>
      </c>
      <c r="B714" s="7" t="n">
        <v>1970</v>
      </c>
      <c r="C714" s="7" t="s">
        <v>366</v>
      </c>
      <c r="D714" s="7" t="n">
        <v>56</v>
      </c>
      <c r="E714" s="7" t="n">
        <v>106</v>
      </c>
      <c r="F714" s="7" t="s">
        <v>546</v>
      </c>
      <c r="G714" s="7"/>
      <c r="H714" s="7" t="s">
        <v>546</v>
      </c>
      <c r="I714" s="7" t="s">
        <v>546</v>
      </c>
      <c r="J714" s="21" t="n">
        <f aca="false">D714/(D714+E714)</f>
        <v>0.345679012345679</v>
      </c>
      <c r="K714" s="3" t="n">
        <f aca="false">IF(D714&gt;E714,1,0)</f>
        <v>0</v>
      </c>
      <c r="L714" s="3" t="n">
        <f aca="false">IF(OR(F714="Y",G714="Y",H714="Y"),1,0)</f>
        <v>0</v>
      </c>
      <c r="M714" s="3" t="n">
        <f aca="false">IF(H714="Y",1,0)</f>
        <v>0</v>
      </c>
      <c r="N714" s="3" t="n">
        <f aca="false">IF(I714="Y",1,0)</f>
        <v>0</v>
      </c>
    </row>
    <row r="715" customFormat="false" ht="15" hidden="false" customHeight="true" outlineLevel="0" collapsed="false">
      <c r="A715" s="7" t="s">
        <v>65</v>
      </c>
      <c r="B715" s="7" t="n">
        <v>1971</v>
      </c>
      <c r="C715" s="7" t="s">
        <v>366</v>
      </c>
      <c r="D715" s="7" t="n">
        <v>79</v>
      </c>
      <c r="E715" s="7" t="n">
        <v>83</v>
      </c>
      <c r="F715" s="7" t="s">
        <v>546</v>
      </c>
      <c r="G715" s="7"/>
      <c r="H715" s="7" t="s">
        <v>546</v>
      </c>
      <c r="I715" s="7" t="s">
        <v>546</v>
      </c>
      <c r="J715" s="21" t="n">
        <f aca="false">D715/(D715+E715)</f>
        <v>0.487654320987654</v>
      </c>
      <c r="K715" s="3" t="n">
        <f aca="false">IF(D715&gt;E715,1,0)</f>
        <v>0</v>
      </c>
      <c r="L715" s="3" t="n">
        <f aca="false">IF(OR(F715="Y",G715="Y",H715="Y"),1,0)</f>
        <v>0</v>
      </c>
      <c r="M715" s="3" t="n">
        <f aca="false">IF(H715="Y",1,0)</f>
        <v>0</v>
      </c>
      <c r="N715" s="3" t="n">
        <f aca="false">IF(I715="Y",1,0)</f>
        <v>0</v>
      </c>
    </row>
    <row r="716" customFormat="false" ht="15" hidden="false" customHeight="true" outlineLevel="0" collapsed="false">
      <c r="A716" s="7" t="s">
        <v>65</v>
      </c>
      <c r="B716" s="7" t="n">
        <v>1972</v>
      </c>
      <c r="C716" s="7" t="s">
        <v>366</v>
      </c>
      <c r="D716" s="7" t="n">
        <v>87</v>
      </c>
      <c r="E716" s="7" t="n">
        <v>67</v>
      </c>
      <c r="F716" s="7" t="s">
        <v>546</v>
      </c>
      <c r="G716" s="7"/>
      <c r="H716" s="7" t="s">
        <v>546</v>
      </c>
      <c r="I716" s="7" t="s">
        <v>546</v>
      </c>
      <c r="J716" s="21" t="n">
        <f aca="false">D716/(D716+E716)</f>
        <v>0.564935064935065</v>
      </c>
      <c r="K716" s="3" t="n">
        <f aca="false">IF(D716&gt;E716,1,0)</f>
        <v>1</v>
      </c>
      <c r="L716" s="3" t="n">
        <f aca="false">IF(OR(F716="Y",G716="Y",H716="Y"),1,0)</f>
        <v>0</v>
      </c>
      <c r="M716" s="3" t="n">
        <f aca="false">IF(H716="Y",1,0)</f>
        <v>0</v>
      </c>
      <c r="N716" s="3" t="n">
        <f aca="false">IF(I716="Y",1,0)</f>
        <v>0</v>
      </c>
    </row>
    <row r="717" customFormat="false" ht="15" hidden="false" customHeight="true" outlineLevel="0" collapsed="false">
      <c r="A717" s="7" t="s">
        <v>65</v>
      </c>
      <c r="B717" s="7" t="n">
        <v>1973</v>
      </c>
      <c r="C717" s="7" t="s">
        <v>366</v>
      </c>
      <c r="D717" s="7" t="n">
        <v>77</v>
      </c>
      <c r="E717" s="7" t="n">
        <v>85</v>
      </c>
      <c r="F717" s="7" t="s">
        <v>546</v>
      </c>
      <c r="G717" s="7"/>
      <c r="H717" s="7" t="s">
        <v>546</v>
      </c>
      <c r="I717" s="7" t="s">
        <v>546</v>
      </c>
      <c r="J717" s="21" t="n">
        <f aca="false">D717/(D717+E717)</f>
        <v>0.475308641975309</v>
      </c>
      <c r="K717" s="3" t="n">
        <f aca="false">IF(D717&gt;E717,1,0)</f>
        <v>0</v>
      </c>
      <c r="L717" s="3" t="n">
        <f aca="false">IF(OR(F717="Y",G717="Y",H717="Y"),1,0)</f>
        <v>0</v>
      </c>
      <c r="M717" s="3" t="n">
        <f aca="false">IF(H717="Y",1,0)</f>
        <v>0</v>
      </c>
      <c r="N717" s="3" t="n">
        <f aca="false">IF(I717="Y",1,0)</f>
        <v>0</v>
      </c>
    </row>
    <row r="718" customFormat="false" ht="15" hidden="false" customHeight="true" outlineLevel="0" collapsed="false">
      <c r="A718" s="7" t="s">
        <v>65</v>
      </c>
      <c r="B718" s="7" t="n">
        <v>1974</v>
      </c>
      <c r="C718" s="7" t="s">
        <v>366</v>
      </c>
      <c r="D718" s="7" t="n">
        <v>80</v>
      </c>
      <c r="E718" s="7" t="n">
        <v>80</v>
      </c>
      <c r="F718" s="7" t="s">
        <v>546</v>
      </c>
      <c r="G718" s="7"/>
      <c r="H718" s="7" t="s">
        <v>546</v>
      </c>
      <c r="I718" s="7" t="s">
        <v>546</v>
      </c>
      <c r="J718" s="21" t="n">
        <f aca="false">D718/(D718+E718)</f>
        <v>0.5</v>
      </c>
      <c r="K718" s="3" t="n">
        <f aca="false">IF(D718&gt;E718,1,0)</f>
        <v>0</v>
      </c>
      <c r="L718" s="3" t="n">
        <f aca="false">IF(OR(F718="Y",G718="Y",H718="Y"),1,0)</f>
        <v>0</v>
      </c>
      <c r="M718" s="3" t="n">
        <f aca="false">IF(H718="Y",1,0)</f>
        <v>0</v>
      </c>
      <c r="N718" s="3" t="n">
        <f aca="false">IF(I718="Y",1,0)</f>
        <v>0</v>
      </c>
    </row>
    <row r="719" customFormat="false" ht="15" hidden="false" customHeight="true" outlineLevel="0" collapsed="false">
      <c r="A719" s="7" t="s">
        <v>65</v>
      </c>
      <c r="B719" s="7" t="n">
        <v>1975</v>
      </c>
      <c r="C719" s="7" t="s">
        <v>366</v>
      </c>
      <c r="D719" s="7" t="n">
        <v>75</v>
      </c>
      <c r="E719" s="7" t="n">
        <v>86</v>
      </c>
      <c r="F719" s="7" t="s">
        <v>546</v>
      </c>
      <c r="G719" s="7"/>
      <c r="H719" s="7" t="s">
        <v>546</v>
      </c>
      <c r="I719" s="7" t="s">
        <v>546</v>
      </c>
      <c r="J719" s="21" t="n">
        <f aca="false">D719/(D719+E719)</f>
        <v>0.46583850931677</v>
      </c>
      <c r="K719" s="3" t="n">
        <f aca="false">IF(D719&gt;E719,1,0)</f>
        <v>0</v>
      </c>
      <c r="L719" s="3" t="n">
        <f aca="false">IF(OR(F719="Y",G719="Y",H719="Y"),1,0)</f>
        <v>0</v>
      </c>
      <c r="M719" s="3" t="n">
        <f aca="false">IF(H719="Y",1,0)</f>
        <v>0</v>
      </c>
      <c r="N719" s="3" t="n">
        <f aca="false">IF(I719="Y",1,0)</f>
        <v>0</v>
      </c>
    </row>
    <row r="720" customFormat="false" ht="15" hidden="false" customHeight="true" outlineLevel="0" collapsed="false">
      <c r="A720" s="7" t="s">
        <v>65</v>
      </c>
      <c r="B720" s="7" t="n">
        <v>1976</v>
      </c>
      <c r="C720" s="7" t="s">
        <v>366</v>
      </c>
      <c r="D720" s="7" t="n">
        <v>64</v>
      </c>
      <c r="E720" s="7" t="n">
        <v>97</v>
      </c>
      <c r="F720" s="7" t="s">
        <v>546</v>
      </c>
      <c r="G720" s="7"/>
      <c r="H720" s="7" t="s">
        <v>546</v>
      </c>
      <c r="I720" s="7" t="s">
        <v>546</v>
      </c>
      <c r="J720" s="21" t="n">
        <f aca="false">D720/(D720+E720)</f>
        <v>0.397515527950311</v>
      </c>
      <c r="K720" s="3" t="n">
        <f aca="false">IF(D720&gt;E720,1,0)</f>
        <v>0</v>
      </c>
      <c r="L720" s="3" t="n">
        <f aca="false">IF(OR(F720="Y",G720="Y",H720="Y"),1,0)</f>
        <v>0</v>
      </c>
      <c r="M720" s="3" t="n">
        <f aca="false">IF(H720="Y",1,0)</f>
        <v>0</v>
      </c>
      <c r="N720" s="3" t="n">
        <f aca="false">IF(I720="Y",1,0)</f>
        <v>0</v>
      </c>
    </row>
    <row r="721" customFormat="false" ht="15" hidden="false" customHeight="true" outlineLevel="0" collapsed="false">
      <c r="A721" s="7" t="s">
        <v>65</v>
      </c>
      <c r="B721" s="7" t="n">
        <v>1977</v>
      </c>
      <c r="C721" s="7" t="s">
        <v>366</v>
      </c>
      <c r="D721" s="7" t="n">
        <v>90</v>
      </c>
      <c r="E721" s="7" t="n">
        <v>72</v>
      </c>
      <c r="F721" s="7" t="s">
        <v>546</v>
      </c>
      <c r="G721" s="7"/>
      <c r="H721" s="7" t="s">
        <v>546</v>
      </c>
      <c r="I721" s="7" t="s">
        <v>546</v>
      </c>
      <c r="J721" s="21" t="n">
        <f aca="false">D721/(D721+E721)</f>
        <v>0.555555555555556</v>
      </c>
      <c r="K721" s="3" t="n">
        <f aca="false">IF(D721&gt;E721,1,0)</f>
        <v>1</v>
      </c>
      <c r="L721" s="3" t="n">
        <f aca="false">IF(OR(F721="Y",G721="Y",H721="Y"),1,0)</f>
        <v>0</v>
      </c>
      <c r="M721" s="3" t="n">
        <f aca="false">IF(H721="Y",1,0)</f>
        <v>0</v>
      </c>
      <c r="N721" s="3" t="n">
        <f aca="false">IF(I721="Y",1,0)</f>
        <v>0</v>
      </c>
    </row>
    <row r="722" customFormat="false" ht="15" hidden="false" customHeight="true" outlineLevel="0" collapsed="false">
      <c r="A722" s="7" t="s">
        <v>65</v>
      </c>
      <c r="B722" s="7" t="n">
        <v>1978</v>
      </c>
      <c r="C722" s="7" t="s">
        <v>366</v>
      </c>
      <c r="D722" s="7" t="n">
        <v>71</v>
      </c>
      <c r="E722" s="7" t="n">
        <v>90</v>
      </c>
      <c r="F722" s="7" t="s">
        <v>546</v>
      </c>
      <c r="G722" s="7"/>
      <c r="H722" s="7" t="s">
        <v>546</v>
      </c>
      <c r="I722" s="7" t="s">
        <v>546</v>
      </c>
      <c r="J722" s="21" t="n">
        <f aca="false">D722/(D722+E722)</f>
        <v>0.440993788819876</v>
      </c>
      <c r="K722" s="3" t="n">
        <f aca="false">IF(D722&gt;E722,1,0)</f>
        <v>0</v>
      </c>
      <c r="L722" s="3" t="n">
        <f aca="false">IF(OR(F722="Y",G722="Y",H722="Y"),1,0)</f>
        <v>0</v>
      </c>
      <c r="M722" s="3" t="n">
        <f aca="false">IF(H722="Y",1,0)</f>
        <v>0</v>
      </c>
      <c r="N722" s="3" t="n">
        <f aca="false">IF(I722="Y",1,0)</f>
        <v>0</v>
      </c>
    </row>
    <row r="723" customFormat="false" ht="15" hidden="false" customHeight="true" outlineLevel="0" collapsed="false">
      <c r="A723" s="7" t="s">
        <v>65</v>
      </c>
      <c r="B723" s="7" t="n">
        <v>1979</v>
      </c>
      <c r="C723" s="7" t="s">
        <v>366</v>
      </c>
      <c r="D723" s="7" t="n">
        <v>73</v>
      </c>
      <c r="E723" s="7" t="n">
        <v>87</v>
      </c>
      <c r="F723" s="7" t="s">
        <v>546</v>
      </c>
      <c r="G723" s="7"/>
      <c r="H723" s="7" t="s">
        <v>546</v>
      </c>
      <c r="I723" s="7" t="s">
        <v>546</v>
      </c>
      <c r="J723" s="21" t="n">
        <f aca="false">D723/(D723+E723)</f>
        <v>0.45625</v>
      </c>
      <c r="K723" s="3" t="n">
        <f aca="false">IF(D723&gt;E723,1,0)</f>
        <v>0</v>
      </c>
      <c r="L723" s="3" t="n">
        <f aca="false">IF(OR(F723="Y",G723="Y",H723="Y"),1,0)</f>
        <v>0</v>
      </c>
      <c r="M723" s="3" t="n">
        <f aca="false">IF(H723="Y",1,0)</f>
        <v>0</v>
      </c>
      <c r="N723" s="3" t="n">
        <f aca="false">IF(I723="Y",1,0)</f>
        <v>0</v>
      </c>
    </row>
    <row r="724" customFormat="false" ht="15" hidden="false" customHeight="true" outlineLevel="0" collapsed="false">
      <c r="A724" s="7" t="s">
        <v>65</v>
      </c>
      <c r="B724" s="7" t="n">
        <v>1980</v>
      </c>
      <c r="C724" s="7" t="s">
        <v>366</v>
      </c>
      <c r="D724" s="7" t="n">
        <v>70</v>
      </c>
      <c r="E724" s="7" t="n">
        <v>90</v>
      </c>
      <c r="F724" s="7" t="s">
        <v>546</v>
      </c>
      <c r="G724" s="7"/>
      <c r="H724" s="7" t="s">
        <v>546</v>
      </c>
      <c r="I724" s="7" t="s">
        <v>546</v>
      </c>
      <c r="J724" s="21" t="n">
        <f aca="false">D724/(D724+E724)</f>
        <v>0.4375</v>
      </c>
      <c r="K724" s="3" t="n">
        <f aca="false">IF(D724&gt;E724,1,0)</f>
        <v>0</v>
      </c>
      <c r="L724" s="3" t="n">
        <f aca="false">IF(OR(F724="Y",G724="Y",H724="Y"),1,0)</f>
        <v>0</v>
      </c>
      <c r="M724" s="3" t="n">
        <f aca="false">IF(H724="Y",1,0)</f>
        <v>0</v>
      </c>
      <c r="N724" s="3" t="n">
        <f aca="false">IF(I724="Y",1,0)</f>
        <v>0</v>
      </c>
    </row>
    <row r="725" customFormat="false" ht="15" hidden="false" customHeight="true" outlineLevel="0" collapsed="false">
      <c r="A725" s="7" t="s">
        <v>65</v>
      </c>
      <c r="B725" s="7" t="n">
        <v>1981</v>
      </c>
      <c r="C725" s="7" t="s">
        <v>366</v>
      </c>
      <c r="D725" s="7" t="n">
        <v>54</v>
      </c>
      <c r="E725" s="7" t="n">
        <v>52</v>
      </c>
      <c r="F725" s="7" t="s">
        <v>546</v>
      </c>
      <c r="G725" s="7"/>
      <c r="H725" s="7" t="s">
        <v>546</v>
      </c>
      <c r="I725" s="7" t="s">
        <v>546</v>
      </c>
      <c r="J725" s="21" t="n">
        <f aca="false">D725/(D725+E725)</f>
        <v>0.509433962264151</v>
      </c>
      <c r="K725" s="3" t="n">
        <f aca="false">IF(D725&gt;E725,1,0)</f>
        <v>1</v>
      </c>
      <c r="L725" s="3" t="n">
        <f aca="false">IF(OR(F725="Y",G725="Y",H725="Y"),1,0)</f>
        <v>0</v>
      </c>
      <c r="M725" s="3" t="n">
        <f aca="false">IF(H725="Y",1,0)</f>
        <v>0</v>
      </c>
      <c r="N725" s="3" t="n">
        <f aca="false">IF(I725="Y",1,0)</f>
        <v>0</v>
      </c>
    </row>
    <row r="726" customFormat="false" ht="15" hidden="false" customHeight="true" outlineLevel="0" collapsed="false">
      <c r="A726" s="7" t="s">
        <v>65</v>
      </c>
      <c r="B726" s="7" t="n">
        <v>1982</v>
      </c>
      <c r="C726" s="7" t="s">
        <v>366</v>
      </c>
      <c r="D726" s="7" t="n">
        <v>87</v>
      </c>
      <c r="E726" s="7" t="n">
        <v>75</v>
      </c>
      <c r="F726" s="7" t="s">
        <v>546</v>
      </c>
      <c r="G726" s="7"/>
      <c r="H726" s="7" t="s">
        <v>546</v>
      </c>
      <c r="I726" s="7" t="s">
        <v>546</v>
      </c>
      <c r="J726" s="21" t="n">
        <f aca="false">D726/(D726+E726)</f>
        <v>0.537037037037037</v>
      </c>
      <c r="K726" s="3" t="n">
        <f aca="false">IF(D726&gt;E726,1,0)</f>
        <v>1</v>
      </c>
      <c r="L726" s="3" t="n">
        <f aca="false">IF(OR(F726="Y",G726="Y",H726="Y"),1,0)</f>
        <v>0</v>
      </c>
      <c r="M726" s="3" t="n">
        <f aca="false">IF(H726="Y",1,0)</f>
        <v>0</v>
      </c>
      <c r="N726" s="3" t="n">
        <f aca="false">IF(I726="Y",1,0)</f>
        <v>0</v>
      </c>
    </row>
    <row r="727" customFormat="false" ht="15" hidden="false" customHeight="true" outlineLevel="0" collapsed="false">
      <c r="A727" s="7" t="s">
        <v>65</v>
      </c>
      <c r="B727" s="7" t="n">
        <v>1983</v>
      </c>
      <c r="C727" s="7" t="s">
        <v>366</v>
      </c>
      <c r="D727" s="7" t="n">
        <v>99</v>
      </c>
      <c r="E727" s="7" t="n">
        <v>63</v>
      </c>
      <c r="F727" s="7" t="s">
        <v>548</v>
      </c>
      <c r="G727" s="7"/>
      <c r="H727" s="7" t="s">
        <v>546</v>
      </c>
      <c r="I727" s="7" t="s">
        <v>546</v>
      </c>
      <c r="J727" s="21" t="n">
        <f aca="false">D727/(D727+E727)</f>
        <v>0.611111111111111</v>
      </c>
      <c r="K727" s="3" t="n">
        <f aca="false">IF(D727&gt;E727,1,0)</f>
        <v>1</v>
      </c>
      <c r="L727" s="3" t="n">
        <f aca="false">IF(OR(F727="Y",G727="Y",H727="Y"),1,0)</f>
        <v>1</v>
      </c>
      <c r="M727" s="3" t="n">
        <f aca="false">IF(H727="Y",1,0)</f>
        <v>0</v>
      </c>
      <c r="N727" s="3" t="n">
        <f aca="false">IF(I727="Y",1,0)</f>
        <v>0</v>
      </c>
    </row>
    <row r="728" customFormat="false" ht="15" hidden="false" customHeight="true" outlineLevel="0" collapsed="false">
      <c r="A728" s="7" t="s">
        <v>65</v>
      </c>
      <c r="B728" s="7" t="n">
        <v>1984</v>
      </c>
      <c r="C728" s="7" t="s">
        <v>366</v>
      </c>
      <c r="D728" s="7" t="n">
        <v>74</v>
      </c>
      <c r="E728" s="7" t="n">
        <v>88</v>
      </c>
      <c r="F728" s="7" t="s">
        <v>546</v>
      </c>
      <c r="G728" s="7"/>
      <c r="H728" s="7" t="s">
        <v>546</v>
      </c>
      <c r="I728" s="7" t="s">
        <v>546</v>
      </c>
      <c r="J728" s="21" t="n">
        <f aca="false">D728/(D728+E728)</f>
        <v>0.45679012345679</v>
      </c>
      <c r="K728" s="3" t="n">
        <f aca="false">IF(D728&gt;E728,1,0)</f>
        <v>0</v>
      </c>
      <c r="L728" s="3" t="n">
        <f aca="false">IF(OR(F728="Y",G728="Y",H728="Y"),1,0)</f>
        <v>0</v>
      </c>
      <c r="M728" s="3" t="n">
        <f aca="false">IF(H728="Y",1,0)</f>
        <v>0</v>
      </c>
      <c r="N728" s="3" t="n">
        <f aca="false">IF(I728="Y",1,0)</f>
        <v>0</v>
      </c>
    </row>
    <row r="729" customFormat="false" ht="15" hidden="false" customHeight="true" outlineLevel="0" collapsed="false">
      <c r="A729" s="7" t="s">
        <v>65</v>
      </c>
      <c r="B729" s="7" t="n">
        <v>1985</v>
      </c>
      <c r="C729" s="7" t="s">
        <v>366</v>
      </c>
      <c r="D729" s="7" t="n">
        <v>85</v>
      </c>
      <c r="E729" s="7" t="n">
        <v>77</v>
      </c>
      <c r="F729" s="7" t="s">
        <v>546</v>
      </c>
      <c r="G729" s="7"/>
      <c r="H729" s="7" t="s">
        <v>546</v>
      </c>
      <c r="I729" s="7" t="s">
        <v>546</v>
      </c>
      <c r="J729" s="21" t="n">
        <f aca="false">D729/(D729+E729)</f>
        <v>0.524691358024691</v>
      </c>
      <c r="K729" s="3" t="n">
        <f aca="false">IF(D729&gt;E729,1,0)</f>
        <v>1</v>
      </c>
      <c r="L729" s="3" t="n">
        <f aca="false">IF(OR(F729="Y",G729="Y",H729="Y"),1,0)</f>
        <v>0</v>
      </c>
      <c r="M729" s="3" t="n">
        <f aca="false">IF(H729="Y",1,0)</f>
        <v>0</v>
      </c>
      <c r="N729" s="3" t="n">
        <f aca="false">IF(I729="Y",1,0)</f>
        <v>0</v>
      </c>
    </row>
    <row r="730" customFormat="false" ht="15" hidden="false" customHeight="true" outlineLevel="0" collapsed="false">
      <c r="A730" s="7" t="s">
        <v>65</v>
      </c>
      <c r="B730" s="7" t="n">
        <v>1986</v>
      </c>
      <c r="C730" s="7" t="s">
        <v>366</v>
      </c>
      <c r="D730" s="7" t="n">
        <v>72</v>
      </c>
      <c r="E730" s="7" t="n">
        <v>90</v>
      </c>
      <c r="F730" s="7" t="s">
        <v>546</v>
      </c>
      <c r="G730" s="7"/>
      <c r="H730" s="7" t="s">
        <v>546</v>
      </c>
      <c r="I730" s="7" t="s">
        <v>546</v>
      </c>
      <c r="J730" s="21" t="n">
        <f aca="false">D730/(D730+E730)</f>
        <v>0.444444444444444</v>
      </c>
      <c r="K730" s="3" t="n">
        <f aca="false">IF(D730&gt;E730,1,0)</f>
        <v>0</v>
      </c>
      <c r="L730" s="3" t="n">
        <f aca="false">IF(OR(F730="Y",G730="Y",H730="Y"),1,0)</f>
        <v>0</v>
      </c>
      <c r="M730" s="3" t="n">
        <f aca="false">IF(H730="Y",1,0)</f>
        <v>0</v>
      </c>
      <c r="N730" s="3" t="n">
        <f aca="false">IF(I730="Y",1,0)</f>
        <v>0</v>
      </c>
    </row>
    <row r="731" customFormat="false" ht="15" hidden="false" customHeight="true" outlineLevel="0" collapsed="false">
      <c r="A731" s="7" t="s">
        <v>65</v>
      </c>
      <c r="B731" s="7" t="n">
        <v>1987</v>
      </c>
      <c r="C731" s="7" t="s">
        <v>366</v>
      </c>
      <c r="D731" s="7" t="n">
        <v>77</v>
      </c>
      <c r="E731" s="7" t="n">
        <v>85</v>
      </c>
      <c r="F731" s="7" t="s">
        <v>546</v>
      </c>
      <c r="G731" s="7"/>
      <c r="H731" s="7" t="s">
        <v>546</v>
      </c>
      <c r="I731" s="7" t="s">
        <v>546</v>
      </c>
      <c r="J731" s="21" t="n">
        <f aca="false">D731/(D731+E731)</f>
        <v>0.475308641975309</v>
      </c>
      <c r="K731" s="3" t="n">
        <f aca="false">IF(D731&gt;E731,1,0)</f>
        <v>0</v>
      </c>
      <c r="L731" s="3" t="n">
        <f aca="false">IF(OR(F731="Y",G731="Y",H731="Y"),1,0)</f>
        <v>0</v>
      </c>
      <c r="M731" s="3" t="n">
        <f aca="false">IF(H731="Y",1,0)</f>
        <v>0</v>
      </c>
      <c r="N731" s="3" t="n">
        <f aca="false">IF(I731="Y",1,0)</f>
        <v>0</v>
      </c>
    </row>
    <row r="732" customFormat="false" ht="15" hidden="false" customHeight="true" outlineLevel="0" collapsed="false">
      <c r="A732" s="7" t="s">
        <v>65</v>
      </c>
      <c r="B732" s="7" t="n">
        <v>1988</v>
      </c>
      <c r="C732" s="7" t="s">
        <v>366</v>
      </c>
      <c r="D732" s="7" t="n">
        <v>71</v>
      </c>
      <c r="E732" s="7" t="n">
        <v>90</v>
      </c>
      <c r="F732" s="7" t="s">
        <v>546</v>
      </c>
      <c r="G732" s="7"/>
      <c r="H732" s="7" t="s">
        <v>546</v>
      </c>
      <c r="I732" s="7" t="s">
        <v>546</v>
      </c>
      <c r="J732" s="21" t="n">
        <f aca="false">D732/(D732+E732)</f>
        <v>0.440993788819876</v>
      </c>
      <c r="K732" s="3" t="n">
        <f aca="false">IF(D732&gt;E732,1,0)</f>
        <v>0</v>
      </c>
      <c r="L732" s="3" t="n">
        <f aca="false">IF(OR(F732="Y",G732="Y",H732="Y"),1,0)</f>
        <v>0</v>
      </c>
      <c r="M732" s="3" t="n">
        <f aca="false">IF(H732="Y",1,0)</f>
        <v>0</v>
      </c>
      <c r="N732" s="3" t="n">
        <f aca="false">IF(I732="Y",1,0)</f>
        <v>0</v>
      </c>
    </row>
    <row r="733" customFormat="false" ht="15" hidden="false" customHeight="true" outlineLevel="0" collapsed="false">
      <c r="A733" s="7" t="s">
        <v>65</v>
      </c>
      <c r="B733" s="7" t="n">
        <v>1989</v>
      </c>
      <c r="C733" s="7" t="s">
        <v>366</v>
      </c>
      <c r="D733" s="7" t="n">
        <v>69</v>
      </c>
      <c r="E733" s="7" t="n">
        <v>92</v>
      </c>
      <c r="F733" s="7" t="s">
        <v>546</v>
      </c>
      <c r="G733" s="7"/>
      <c r="H733" s="7" t="s">
        <v>546</v>
      </c>
      <c r="I733" s="7" t="s">
        <v>546</v>
      </c>
      <c r="J733" s="21" t="n">
        <f aca="false">D733/(D733+E733)</f>
        <v>0.428571428571429</v>
      </c>
      <c r="K733" s="3" t="n">
        <f aca="false">IF(D733&gt;E733,1,0)</f>
        <v>0</v>
      </c>
      <c r="L733" s="3" t="n">
        <f aca="false">IF(OR(F733="Y",G733="Y",H733="Y"),1,0)</f>
        <v>0</v>
      </c>
      <c r="M733" s="3" t="n">
        <f aca="false">IF(H733="Y",1,0)</f>
        <v>0</v>
      </c>
      <c r="N733" s="3" t="n">
        <f aca="false">IF(I733="Y",1,0)</f>
        <v>0</v>
      </c>
    </row>
    <row r="734" customFormat="false" ht="15" hidden="false" customHeight="true" outlineLevel="0" collapsed="false">
      <c r="A734" s="7" t="s">
        <v>65</v>
      </c>
      <c r="B734" s="7" t="n">
        <v>1990</v>
      </c>
      <c r="C734" s="7" t="s">
        <v>366</v>
      </c>
      <c r="D734" s="7" t="n">
        <v>94</v>
      </c>
      <c r="E734" s="7" t="n">
        <v>68</v>
      </c>
      <c r="F734" s="7" t="s">
        <v>546</v>
      </c>
      <c r="G734" s="7"/>
      <c r="H734" s="7" t="s">
        <v>546</v>
      </c>
      <c r="I734" s="7" t="s">
        <v>546</v>
      </c>
      <c r="J734" s="21" t="n">
        <f aca="false">D734/(D734+E734)</f>
        <v>0.580246913580247</v>
      </c>
      <c r="K734" s="3" t="n">
        <f aca="false">IF(D734&gt;E734,1,0)</f>
        <v>1</v>
      </c>
      <c r="L734" s="3" t="n">
        <f aca="false">IF(OR(F734="Y",G734="Y",H734="Y"),1,0)</f>
        <v>0</v>
      </c>
      <c r="M734" s="3" t="n">
        <f aca="false">IF(H734="Y",1,0)</f>
        <v>0</v>
      </c>
      <c r="N734" s="3" t="n">
        <f aca="false">IF(I734="Y",1,0)</f>
        <v>0</v>
      </c>
    </row>
    <row r="735" customFormat="false" ht="15" hidden="false" customHeight="true" outlineLevel="0" collapsed="false">
      <c r="A735" s="7" t="s">
        <v>65</v>
      </c>
      <c r="B735" s="7" t="n">
        <v>1991</v>
      </c>
      <c r="C735" s="7" t="s">
        <v>366</v>
      </c>
      <c r="D735" s="7" t="n">
        <v>87</v>
      </c>
      <c r="E735" s="7" t="n">
        <v>75</v>
      </c>
      <c r="F735" s="7" t="s">
        <v>546</v>
      </c>
      <c r="G735" s="7"/>
      <c r="H735" s="7" t="s">
        <v>546</v>
      </c>
      <c r="I735" s="7" t="s">
        <v>546</v>
      </c>
      <c r="J735" s="21" t="n">
        <f aca="false">D735/(D735+E735)</f>
        <v>0.537037037037037</v>
      </c>
      <c r="K735" s="3" t="n">
        <f aca="false">IF(D735&gt;E735,1,0)</f>
        <v>1</v>
      </c>
      <c r="L735" s="3" t="n">
        <f aca="false">IF(OR(F735="Y",G735="Y",H735="Y"),1,0)</f>
        <v>0</v>
      </c>
      <c r="M735" s="3" t="n">
        <f aca="false">IF(H735="Y",1,0)</f>
        <v>0</v>
      </c>
      <c r="N735" s="3" t="n">
        <f aca="false">IF(I735="Y",1,0)</f>
        <v>0</v>
      </c>
    </row>
    <row r="736" customFormat="false" ht="15" hidden="false" customHeight="true" outlineLevel="0" collapsed="false">
      <c r="A736" s="7" t="s">
        <v>65</v>
      </c>
      <c r="B736" s="7" t="n">
        <v>1992</v>
      </c>
      <c r="C736" s="7" t="s">
        <v>366</v>
      </c>
      <c r="D736" s="7" t="n">
        <v>86</v>
      </c>
      <c r="E736" s="7" t="n">
        <v>76</v>
      </c>
      <c r="F736" s="7" t="s">
        <v>546</v>
      </c>
      <c r="G736" s="7"/>
      <c r="H736" s="7" t="s">
        <v>546</v>
      </c>
      <c r="I736" s="7" t="s">
        <v>546</v>
      </c>
      <c r="J736" s="21" t="n">
        <f aca="false">D736/(D736+E736)</f>
        <v>0.530864197530864</v>
      </c>
      <c r="K736" s="3" t="n">
        <f aca="false">IF(D736&gt;E736,1,0)</f>
        <v>1</v>
      </c>
      <c r="L736" s="3" t="n">
        <f aca="false">IF(OR(F736="Y",G736="Y",H736="Y"),1,0)</f>
        <v>0</v>
      </c>
      <c r="M736" s="3" t="n">
        <f aca="false">IF(H736="Y",1,0)</f>
        <v>0</v>
      </c>
      <c r="N736" s="3" t="n">
        <f aca="false">IF(I736="Y",1,0)</f>
        <v>0</v>
      </c>
    </row>
    <row r="737" customFormat="false" ht="15" hidden="false" customHeight="true" outlineLevel="0" collapsed="false">
      <c r="A737" s="7" t="s">
        <v>65</v>
      </c>
      <c r="B737" s="7" t="n">
        <v>1993</v>
      </c>
      <c r="C737" s="7" t="s">
        <v>366</v>
      </c>
      <c r="D737" s="7" t="n">
        <v>94</v>
      </c>
      <c r="E737" s="7" t="n">
        <v>68</v>
      </c>
      <c r="F737" s="7" t="s">
        <v>548</v>
      </c>
      <c r="G737" s="7"/>
      <c r="H737" s="7" t="s">
        <v>546</v>
      </c>
      <c r="I737" s="7" t="s">
        <v>546</v>
      </c>
      <c r="J737" s="21" t="n">
        <f aca="false">D737/(D737+E737)</f>
        <v>0.580246913580247</v>
      </c>
      <c r="K737" s="3" t="n">
        <f aca="false">IF(D737&gt;E737,1,0)</f>
        <v>1</v>
      </c>
      <c r="L737" s="3" t="n">
        <f aca="false">IF(OR(F737="Y",G737="Y",H737="Y"),1,0)</f>
        <v>1</v>
      </c>
      <c r="M737" s="3" t="n">
        <f aca="false">IF(H737="Y",1,0)</f>
        <v>0</v>
      </c>
      <c r="N737" s="3" t="n">
        <f aca="false">IF(I737="Y",1,0)</f>
        <v>0</v>
      </c>
    </row>
    <row r="738" customFormat="false" ht="15" hidden="false" customHeight="true" outlineLevel="0" collapsed="false">
      <c r="A738" s="7" t="s">
        <v>65</v>
      </c>
      <c r="B738" s="7" t="n">
        <v>1994</v>
      </c>
      <c r="C738" s="7" t="s">
        <v>366</v>
      </c>
      <c r="D738" s="7" t="n">
        <v>67</v>
      </c>
      <c r="E738" s="7" t="n">
        <v>46</v>
      </c>
      <c r="F738" s="7"/>
      <c r="G738" s="7"/>
      <c r="H738" s="7"/>
      <c r="I738" s="7"/>
      <c r="J738" s="21" t="n">
        <f aca="false">D738/(D738+E738)</f>
        <v>0.592920353982301</v>
      </c>
      <c r="K738" s="3" t="n">
        <f aca="false">IF(D738&gt;E738,1,0)</f>
        <v>1</v>
      </c>
      <c r="L738" s="3" t="n">
        <f aca="false">IF(OR(F738="Y",G738="Y",H738="Y"),1,0)</f>
        <v>0</v>
      </c>
      <c r="M738" s="3" t="n">
        <f aca="false">IF(H738="Y",1,0)</f>
        <v>0</v>
      </c>
      <c r="N738" s="3" t="n">
        <f aca="false">IF(I738="Y",1,0)</f>
        <v>0</v>
      </c>
    </row>
    <row r="739" customFormat="false" ht="15" hidden="false" customHeight="true" outlineLevel="0" collapsed="false">
      <c r="A739" s="7" t="s">
        <v>65</v>
      </c>
      <c r="B739" s="7" t="n">
        <v>1995</v>
      </c>
      <c r="C739" s="7" t="s">
        <v>366</v>
      </c>
      <c r="D739" s="7" t="n">
        <v>68</v>
      </c>
      <c r="E739" s="7" t="n">
        <v>76</v>
      </c>
      <c r="F739" s="7" t="s">
        <v>546</v>
      </c>
      <c r="G739" s="7" t="s">
        <v>546</v>
      </c>
      <c r="H739" s="7" t="s">
        <v>546</v>
      </c>
      <c r="I739" s="7" t="s">
        <v>546</v>
      </c>
      <c r="J739" s="21" t="n">
        <f aca="false">D739/(D739+E739)</f>
        <v>0.472222222222222</v>
      </c>
      <c r="K739" s="3" t="n">
        <f aca="false">IF(D739&gt;E739,1,0)</f>
        <v>0</v>
      </c>
      <c r="L739" s="3" t="n">
        <f aca="false">IF(OR(F739="Y",G739="Y",H739="Y"),1,0)</f>
        <v>0</v>
      </c>
      <c r="M739" s="3" t="n">
        <f aca="false">IF(H739="Y",1,0)</f>
        <v>0</v>
      </c>
      <c r="N739" s="3" t="n">
        <f aca="false">IF(I739="Y",1,0)</f>
        <v>0</v>
      </c>
    </row>
    <row r="740" customFormat="false" ht="15" hidden="false" customHeight="true" outlineLevel="0" collapsed="false">
      <c r="A740" s="7" t="s">
        <v>65</v>
      </c>
      <c r="B740" s="7" t="n">
        <v>1996</v>
      </c>
      <c r="C740" s="7" t="s">
        <v>366</v>
      </c>
      <c r="D740" s="7" t="n">
        <v>85</v>
      </c>
      <c r="E740" s="7" t="n">
        <v>77</v>
      </c>
      <c r="F740" s="7" t="s">
        <v>546</v>
      </c>
      <c r="G740" s="7" t="s">
        <v>546</v>
      </c>
      <c r="H740" s="7" t="s">
        <v>546</v>
      </c>
      <c r="I740" s="7" t="s">
        <v>546</v>
      </c>
      <c r="J740" s="21" t="n">
        <f aca="false">D740/(D740+E740)</f>
        <v>0.524691358024691</v>
      </c>
      <c r="K740" s="3" t="n">
        <f aca="false">IF(D740&gt;E740,1,0)</f>
        <v>1</v>
      </c>
      <c r="L740" s="3" t="n">
        <f aca="false">IF(OR(F740="Y",G740="Y",H740="Y"),1,0)</f>
        <v>0</v>
      </c>
      <c r="M740" s="3" t="n">
        <f aca="false">IF(H740="Y",1,0)</f>
        <v>0</v>
      </c>
      <c r="N740" s="3" t="n">
        <f aca="false">IF(I740="Y",1,0)</f>
        <v>0</v>
      </c>
    </row>
    <row r="741" customFormat="false" ht="15" hidden="false" customHeight="true" outlineLevel="0" collapsed="false">
      <c r="A741" s="7" t="s">
        <v>65</v>
      </c>
      <c r="B741" s="7" t="n">
        <v>1997</v>
      </c>
      <c r="C741" s="7" t="s">
        <v>366</v>
      </c>
      <c r="D741" s="7" t="n">
        <v>80</v>
      </c>
      <c r="E741" s="7" t="n">
        <v>81</v>
      </c>
      <c r="F741" s="7" t="s">
        <v>546</v>
      </c>
      <c r="G741" s="7" t="s">
        <v>546</v>
      </c>
      <c r="H741" s="7" t="s">
        <v>546</v>
      </c>
      <c r="I741" s="7" t="s">
        <v>546</v>
      </c>
      <c r="J741" s="21" t="n">
        <f aca="false">D741/(D741+E741)</f>
        <v>0.496894409937888</v>
      </c>
      <c r="K741" s="3" t="n">
        <f aca="false">IF(D741&gt;E741,1,0)</f>
        <v>0</v>
      </c>
      <c r="L741" s="3" t="n">
        <f aca="false">IF(OR(F741="Y",G741="Y",H741="Y"),1,0)</f>
        <v>0</v>
      </c>
      <c r="M741" s="3" t="n">
        <f aca="false">IF(H741="Y",1,0)</f>
        <v>0</v>
      </c>
      <c r="N741" s="3" t="n">
        <f aca="false">IF(I741="Y",1,0)</f>
        <v>0</v>
      </c>
    </row>
    <row r="742" customFormat="false" ht="15" hidden="false" customHeight="true" outlineLevel="0" collapsed="false">
      <c r="A742" s="7" t="s">
        <v>65</v>
      </c>
      <c r="B742" s="7" t="n">
        <v>1998</v>
      </c>
      <c r="C742" s="7" t="s">
        <v>366</v>
      </c>
      <c r="D742" s="7" t="n">
        <v>80</v>
      </c>
      <c r="E742" s="7" t="n">
        <v>82</v>
      </c>
      <c r="F742" s="7" t="s">
        <v>546</v>
      </c>
      <c r="G742" s="7" t="s">
        <v>546</v>
      </c>
      <c r="H742" s="7" t="s">
        <v>546</v>
      </c>
      <c r="I742" s="7" t="s">
        <v>546</v>
      </c>
      <c r="J742" s="21" t="n">
        <f aca="false">D742/(D742+E742)</f>
        <v>0.493827160493827</v>
      </c>
      <c r="K742" s="3" t="n">
        <f aca="false">IF(D742&gt;E742,1,0)</f>
        <v>0</v>
      </c>
      <c r="L742" s="3" t="n">
        <f aca="false">IF(OR(F742="Y",G742="Y",H742="Y"),1,0)</f>
        <v>0</v>
      </c>
      <c r="M742" s="3" t="n">
        <f aca="false">IF(H742="Y",1,0)</f>
        <v>0</v>
      </c>
      <c r="N742" s="3" t="n">
        <f aca="false">IF(I742="Y",1,0)</f>
        <v>0</v>
      </c>
    </row>
    <row r="743" customFormat="false" ht="15" hidden="false" customHeight="true" outlineLevel="0" collapsed="false">
      <c r="A743" s="7" t="s">
        <v>65</v>
      </c>
      <c r="B743" s="7" t="n">
        <v>1999</v>
      </c>
      <c r="C743" s="7" t="s">
        <v>366</v>
      </c>
      <c r="D743" s="7" t="n">
        <v>75</v>
      </c>
      <c r="E743" s="7" t="n">
        <v>86</v>
      </c>
      <c r="F743" s="7" t="s">
        <v>546</v>
      </c>
      <c r="G743" s="7" t="s">
        <v>546</v>
      </c>
      <c r="H743" s="7" t="s">
        <v>546</v>
      </c>
      <c r="I743" s="7" t="s">
        <v>546</v>
      </c>
      <c r="J743" s="21" t="n">
        <f aca="false">D743/(D743+E743)</f>
        <v>0.46583850931677</v>
      </c>
      <c r="K743" s="3" t="n">
        <f aca="false">IF(D743&gt;E743,1,0)</f>
        <v>0</v>
      </c>
      <c r="L743" s="3" t="n">
        <f aca="false">IF(OR(F743="Y",G743="Y",H743="Y"),1,0)</f>
        <v>0</v>
      </c>
      <c r="M743" s="3" t="n">
        <f aca="false">IF(H743="Y",1,0)</f>
        <v>0</v>
      </c>
      <c r="N743" s="3" t="n">
        <f aca="false">IF(I743="Y",1,0)</f>
        <v>0</v>
      </c>
    </row>
    <row r="744" customFormat="false" ht="15" hidden="false" customHeight="true" outlineLevel="0" collapsed="false">
      <c r="A744" s="7" t="s">
        <v>65</v>
      </c>
      <c r="B744" s="7" t="n">
        <v>2000</v>
      </c>
      <c r="C744" s="7" t="s">
        <v>366</v>
      </c>
      <c r="D744" s="7" t="n">
        <v>95</v>
      </c>
      <c r="E744" s="7" t="n">
        <v>67</v>
      </c>
      <c r="F744" s="7" t="s">
        <v>548</v>
      </c>
      <c r="G744" s="7" t="s">
        <v>546</v>
      </c>
      <c r="H744" s="7" t="s">
        <v>546</v>
      </c>
      <c r="I744" s="7" t="s">
        <v>546</v>
      </c>
      <c r="J744" s="21" t="n">
        <f aca="false">D744/(D744+E744)</f>
        <v>0.58641975308642</v>
      </c>
      <c r="K744" s="3" t="n">
        <f aca="false">IF(D744&gt;E744,1,0)</f>
        <v>1</v>
      </c>
      <c r="L744" s="3" t="n">
        <f aca="false">IF(OR(F744="Y",G744="Y",H744="Y"),1,0)</f>
        <v>1</v>
      </c>
      <c r="M744" s="3" t="n">
        <f aca="false">IF(H744="Y",1,0)</f>
        <v>0</v>
      </c>
      <c r="N744" s="3" t="n">
        <f aca="false">IF(I744="Y",1,0)</f>
        <v>0</v>
      </c>
    </row>
    <row r="745" customFormat="false" ht="15" hidden="false" customHeight="true" outlineLevel="0" collapsed="false">
      <c r="A745" s="7" t="s">
        <v>65</v>
      </c>
      <c r="B745" s="7" t="n">
        <v>2001</v>
      </c>
      <c r="C745" s="7" t="s">
        <v>366</v>
      </c>
      <c r="D745" s="7" t="n">
        <v>83</v>
      </c>
      <c r="E745" s="7" t="n">
        <v>79</v>
      </c>
      <c r="F745" s="7" t="s">
        <v>546</v>
      </c>
      <c r="G745" s="7" t="s">
        <v>546</v>
      </c>
      <c r="H745" s="7" t="s">
        <v>546</v>
      </c>
      <c r="I745" s="7" t="s">
        <v>546</v>
      </c>
      <c r="J745" s="21" t="n">
        <f aca="false">D745/(D745+E745)</f>
        <v>0.512345679012346</v>
      </c>
      <c r="K745" s="3" t="n">
        <f aca="false">IF(D745&gt;E745,1,0)</f>
        <v>1</v>
      </c>
      <c r="L745" s="3" t="n">
        <f aca="false">IF(OR(F745="Y",G745="Y",H745="Y"),1,0)</f>
        <v>0</v>
      </c>
      <c r="M745" s="3" t="n">
        <f aca="false">IF(H745="Y",1,0)</f>
        <v>0</v>
      </c>
      <c r="N745" s="3" t="n">
        <f aca="false">IF(I745="Y",1,0)</f>
        <v>0</v>
      </c>
    </row>
    <row r="746" customFormat="false" ht="15" hidden="false" customHeight="true" outlineLevel="0" collapsed="false">
      <c r="A746" s="7" t="s">
        <v>65</v>
      </c>
      <c r="B746" s="7" t="n">
        <v>2002</v>
      </c>
      <c r="C746" s="7" t="s">
        <v>366</v>
      </c>
      <c r="D746" s="7" t="n">
        <v>81</v>
      </c>
      <c r="E746" s="7" t="n">
        <v>81</v>
      </c>
      <c r="F746" s="7" t="s">
        <v>546</v>
      </c>
      <c r="G746" s="7" t="s">
        <v>546</v>
      </c>
      <c r="H746" s="7" t="s">
        <v>546</v>
      </c>
      <c r="I746" s="7" t="s">
        <v>546</v>
      </c>
      <c r="J746" s="21" t="n">
        <f aca="false">D746/(D746+E746)</f>
        <v>0.5</v>
      </c>
      <c r="K746" s="3" t="n">
        <f aca="false">IF(D746&gt;E746,1,0)</f>
        <v>0</v>
      </c>
      <c r="L746" s="3" t="n">
        <f aca="false">IF(OR(F746="Y",G746="Y",H746="Y"),1,0)</f>
        <v>0</v>
      </c>
      <c r="M746" s="3" t="n">
        <f aca="false">IF(H746="Y",1,0)</f>
        <v>0</v>
      </c>
      <c r="N746" s="3" t="n">
        <f aca="false">IF(I746="Y",1,0)</f>
        <v>0</v>
      </c>
    </row>
    <row r="747" customFormat="false" ht="15" hidden="false" customHeight="true" outlineLevel="0" collapsed="false">
      <c r="A747" s="7" t="s">
        <v>65</v>
      </c>
      <c r="B747" s="7" t="n">
        <v>2003</v>
      </c>
      <c r="C747" s="7" t="s">
        <v>366</v>
      </c>
      <c r="D747" s="7" t="n">
        <v>86</v>
      </c>
      <c r="E747" s="7" t="n">
        <v>76</v>
      </c>
      <c r="F747" s="7" t="s">
        <v>546</v>
      </c>
      <c r="G747" s="7" t="s">
        <v>546</v>
      </c>
      <c r="H747" s="7" t="s">
        <v>546</v>
      </c>
      <c r="I747" s="7" t="s">
        <v>546</v>
      </c>
      <c r="J747" s="21" t="n">
        <f aca="false">D747/(D747+E747)</f>
        <v>0.530864197530864</v>
      </c>
      <c r="K747" s="3" t="n">
        <f aca="false">IF(D747&gt;E747,1,0)</f>
        <v>1</v>
      </c>
      <c r="L747" s="3" t="n">
        <f aca="false">IF(OR(F747="Y",G747="Y",H747="Y"),1,0)</f>
        <v>0</v>
      </c>
      <c r="M747" s="3" t="n">
        <f aca="false">IF(H747="Y",1,0)</f>
        <v>0</v>
      </c>
      <c r="N747" s="3" t="n">
        <f aca="false">IF(I747="Y",1,0)</f>
        <v>0</v>
      </c>
    </row>
    <row r="748" customFormat="false" ht="15" hidden="false" customHeight="true" outlineLevel="0" collapsed="false">
      <c r="A748" s="7" t="s">
        <v>65</v>
      </c>
      <c r="B748" s="7" t="n">
        <v>2004</v>
      </c>
      <c r="C748" s="7" t="s">
        <v>366</v>
      </c>
      <c r="D748" s="7" t="n">
        <v>83</v>
      </c>
      <c r="E748" s="7" t="n">
        <v>79</v>
      </c>
      <c r="F748" s="7" t="s">
        <v>546</v>
      </c>
      <c r="G748" s="7" t="s">
        <v>546</v>
      </c>
      <c r="H748" s="7" t="s">
        <v>546</v>
      </c>
      <c r="I748" s="7" t="s">
        <v>546</v>
      </c>
      <c r="J748" s="21" t="n">
        <f aca="false">D748/(D748+E748)</f>
        <v>0.512345679012346</v>
      </c>
      <c r="K748" s="3" t="n">
        <f aca="false">IF(D748&gt;E748,1,0)</f>
        <v>1</v>
      </c>
      <c r="L748" s="3" t="n">
        <f aca="false">IF(OR(F748="Y",G748="Y",H748="Y"),1,0)</f>
        <v>0</v>
      </c>
      <c r="M748" s="3" t="n">
        <f aca="false">IF(H748="Y",1,0)</f>
        <v>0</v>
      </c>
      <c r="N748" s="3" t="n">
        <f aca="false">IF(I748="Y",1,0)</f>
        <v>0</v>
      </c>
    </row>
    <row r="749" customFormat="false" ht="15" hidden="false" customHeight="true" outlineLevel="0" collapsed="false">
      <c r="A749" s="7" t="s">
        <v>65</v>
      </c>
      <c r="B749" s="7" t="n">
        <v>2005</v>
      </c>
      <c r="C749" s="7" t="s">
        <v>366</v>
      </c>
      <c r="D749" s="7" t="n">
        <v>99</v>
      </c>
      <c r="E749" s="7" t="n">
        <v>63</v>
      </c>
      <c r="F749" s="7" t="s">
        <v>548</v>
      </c>
      <c r="G749" s="7" t="s">
        <v>546</v>
      </c>
      <c r="H749" s="7" t="s">
        <v>548</v>
      </c>
      <c r="I749" s="7" t="s">
        <v>548</v>
      </c>
      <c r="J749" s="21" t="n">
        <f aca="false">D749/(D749+E749)</f>
        <v>0.611111111111111</v>
      </c>
      <c r="K749" s="3" t="n">
        <f aca="false">IF(D749&gt;E749,1,0)</f>
        <v>1</v>
      </c>
      <c r="L749" s="3" t="n">
        <f aca="false">IF(OR(F749="Y",G749="Y",H749="Y"),1,0)</f>
        <v>1</v>
      </c>
      <c r="M749" s="3" t="n">
        <f aca="false">IF(H749="Y",1,0)</f>
        <v>1</v>
      </c>
      <c r="N749" s="3" t="n">
        <f aca="false">IF(I749="Y",1,0)</f>
        <v>1</v>
      </c>
    </row>
    <row r="750" customFormat="false" ht="15" hidden="false" customHeight="true" outlineLevel="0" collapsed="false">
      <c r="A750" s="7" t="s">
        <v>65</v>
      </c>
      <c r="B750" s="7" t="n">
        <v>2006</v>
      </c>
      <c r="C750" s="7" t="s">
        <v>366</v>
      </c>
      <c r="D750" s="7" t="n">
        <v>90</v>
      </c>
      <c r="E750" s="7" t="n">
        <v>72</v>
      </c>
      <c r="F750" s="7" t="s">
        <v>546</v>
      </c>
      <c r="G750" s="7" t="s">
        <v>546</v>
      </c>
      <c r="H750" s="7" t="s">
        <v>546</v>
      </c>
      <c r="I750" s="7" t="s">
        <v>546</v>
      </c>
      <c r="J750" s="21" t="n">
        <f aca="false">D750/(D750+E750)</f>
        <v>0.555555555555556</v>
      </c>
      <c r="K750" s="3" t="n">
        <f aca="false">IF(D750&gt;E750,1,0)</f>
        <v>1</v>
      </c>
      <c r="L750" s="3" t="n">
        <f aca="false">IF(OR(F750="Y",G750="Y",H750="Y"),1,0)</f>
        <v>0</v>
      </c>
      <c r="M750" s="3" t="n">
        <f aca="false">IF(H750="Y",1,0)</f>
        <v>0</v>
      </c>
      <c r="N750" s="3" t="n">
        <f aca="false">IF(I750="Y",1,0)</f>
        <v>0</v>
      </c>
    </row>
    <row r="751" customFormat="false" ht="15" hidden="false" customHeight="true" outlineLevel="0" collapsed="false">
      <c r="A751" s="7" t="s">
        <v>65</v>
      </c>
      <c r="B751" s="7" t="n">
        <v>2007</v>
      </c>
      <c r="C751" s="7" t="s">
        <v>366</v>
      </c>
      <c r="D751" s="7" t="n">
        <v>72</v>
      </c>
      <c r="E751" s="7" t="n">
        <v>90</v>
      </c>
      <c r="F751" s="7" t="s">
        <v>546</v>
      </c>
      <c r="G751" s="7" t="s">
        <v>546</v>
      </c>
      <c r="H751" s="7" t="s">
        <v>546</v>
      </c>
      <c r="I751" s="7" t="s">
        <v>546</v>
      </c>
      <c r="J751" s="21" t="n">
        <f aca="false">D751/(D751+E751)</f>
        <v>0.444444444444444</v>
      </c>
      <c r="K751" s="3" t="n">
        <f aca="false">IF(D751&gt;E751,1,0)</f>
        <v>0</v>
      </c>
      <c r="L751" s="3" t="n">
        <f aca="false">IF(OR(F751="Y",G751="Y",H751="Y"),1,0)</f>
        <v>0</v>
      </c>
      <c r="M751" s="3" t="n">
        <f aca="false">IF(H751="Y",1,0)</f>
        <v>0</v>
      </c>
      <c r="N751" s="3" t="n">
        <f aca="false">IF(I751="Y",1,0)</f>
        <v>0</v>
      </c>
    </row>
    <row r="752" customFormat="false" ht="15" hidden="false" customHeight="true" outlineLevel="0" collapsed="false">
      <c r="A752" s="7" t="s">
        <v>65</v>
      </c>
      <c r="B752" s="7" t="n">
        <v>2008</v>
      </c>
      <c r="C752" s="7" t="s">
        <v>366</v>
      </c>
      <c r="D752" s="7" t="n">
        <v>89</v>
      </c>
      <c r="E752" s="7" t="n">
        <v>74</v>
      </c>
      <c r="F752" s="7" t="s">
        <v>548</v>
      </c>
      <c r="G752" s="7" t="s">
        <v>546</v>
      </c>
      <c r="H752" s="7" t="s">
        <v>546</v>
      </c>
      <c r="I752" s="7" t="s">
        <v>546</v>
      </c>
      <c r="J752" s="21" t="n">
        <f aca="false">D752/(D752+E752)</f>
        <v>0.54601226993865</v>
      </c>
      <c r="K752" s="3" t="n">
        <f aca="false">IF(D752&gt;E752,1,0)</f>
        <v>1</v>
      </c>
      <c r="L752" s="3" t="n">
        <f aca="false">IF(OR(F752="Y",G752="Y",H752="Y"),1,0)</f>
        <v>1</v>
      </c>
      <c r="M752" s="3" t="n">
        <f aca="false">IF(H752="Y",1,0)</f>
        <v>0</v>
      </c>
      <c r="N752" s="3" t="n">
        <f aca="false">IF(I752="Y",1,0)</f>
        <v>0</v>
      </c>
    </row>
    <row r="753" customFormat="false" ht="15" hidden="false" customHeight="true" outlineLevel="0" collapsed="false">
      <c r="A753" s="7" t="s">
        <v>65</v>
      </c>
      <c r="B753" s="7" t="n">
        <v>2009</v>
      </c>
      <c r="C753" s="7" t="s">
        <v>366</v>
      </c>
      <c r="D753" s="7" t="n">
        <v>79</v>
      </c>
      <c r="E753" s="7" t="n">
        <v>83</v>
      </c>
      <c r="F753" s="7" t="s">
        <v>546</v>
      </c>
      <c r="G753" s="7" t="s">
        <v>546</v>
      </c>
      <c r="H753" s="7" t="s">
        <v>546</v>
      </c>
      <c r="I753" s="7" t="s">
        <v>546</v>
      </c>
      <c r="J753" s="21" t="n">
        <f aca="false">D753/(D753+E753)</f>
        <v>0.487654320987654</v>
      </c>
      <c r="K753" s="3" t="n">
        <f aca="false">IF(D753&gt;E753,1,0)</f>
        <v>0</v>
      </c>
      <c r="L753" s="3" t="n">
        <f aca="false">IF(OR(F753="Y",G753="Y",H753="Y"),1,0)</f>
        <v>0</v>
      </c>
      <c r="M753" s="3" t="n">
        <f aca="false">IF(H753="Y",1,0)</f>
        <v>0</v>
      </c>
      <c r="N753" s="3" t="n">
        <f aca="false">IF(I753="Y",1,0)</f>
        <v>0</v>
      </c>
    </row>
    <row r="754" customFormat="false" ht="15" hidden="false" customHeight="true" outlineLevel="0" collapsed="false">
      <c r="A754" s="7" t="s">
        <v>65</v>
      </c>
      <c r="B754" s="7" t="n">
        <v>2010</v>
      </c>
      <c r="C754" s="7" t="s">
        <v>366</v>
      </c>
      <c r="D754" s="7" t="n">
        <v>88</v>
      </c>
      <c r="E754" s="7" t="n">
        <v>74</v>
      </c>
      <c r="F754" s="7" t="s">
        <v>546</v>
      </c>
      <c r="G754" s="7" t="s">
        <v>546</v>
      </c>
      <c r="H754" s="7" t="s">
        <v>546</v>
      </c>
      <c r="I754" s="7" t="s">
        <v>546</v>
      </c>
      <c r="J754" s="21" t="n">
        <f aca="false">D754/(D754+E754)</f>
        <v>0.54320987654321</v>
      </c>
      <c r="K754" s="3" t="n">
        <f aca="false">IF(D754&gt;E754,1,0)</f>
        <v>1</v>
      </c>
      <c r="L754" s="3" t="n">
        <f aca="false">IF(OR(F754="Y",G754="Y",H754="Y"),1,0)</f>
        <v>0</v>
      </c>
      <c r="M754" s="3" t="n">
        <f aca="false">IF(H754="Y",1,0)</f>
        <v>0</v>
      </c>
      <c r="N754" s="3" t="n">
        <f aca="false">IF(I754="Y",1,0)</f>
        <v>0</v>
      </c>
    </row>
    <row r="755" customFormat="false" ht="15" hidden="false" customHeight="true" outlineLevel="0" collapsed="false">
      <c r="A755" s="7" t="s">
        <v>65</v>
      </c>
      <c r="B755" s="7" t="n">
        <v>2011</v>
      </c>
      <c r="C755" s="7" t="s">
        <v>366</v>
      </c>
      <c r="D755" s="7" t="n">
        <v>79</v>
      </c>
      <c r="E755" s="7" t="n">
        <v>83</v>
      </c>
      <c r="F755" s="7" t="s">
        <v>546</v>
      </c>
      <c r="G755" s="7" t="s">
        <v>546</v>
      </c>
      <c r="H755" s="7" t="s">
        <v>546</v>
      </c>
      <c r="I755" s="7" t="s">
        <v>546</v>
      </c>
      <c r="J755" s="21" t="n">
        <f aca="false">D755/(D755+E755)</f>
        <v>0.487654320987654</v>
      </c>
      <c r="K755" s="3" t="n">
        <f aca="false">IF(D755&gt;E755,1,0)</f>
        <v>0</v>
      </c>
      <c r="L755" s="3" t="n">
        <f aca="false">IF(OR(F755="Y",G755="Y",H755="Y"),1,0)</f>
        <v>0</v>
      </c>
      <c r="M755" s="3" t="n">
        <f aca="false">IF(H755="Y",1,0)</f>
        <v>0</v>
      </c>
      <c r="N755" s="3" t="n">
        <f aca="false">IF(I755="Y",1,0)</f>
        <v>0</v>
      </c>
    </row>
    <row r="756" customFormat="false" ht="15" hidden="false" customHeight="true" outlineLevel="0" collapsed="false">
      <c r="A756" s="7" t="s">
        <v>65</v>
      </c>
      <c r="B756" s="7" t="n">
        <v>2012</v>
      </c>
      <c r="C756" s="7" t="s">
        <v>366</v>
      </c>
      <c r="D756" s="7" t="n">
        <v>85</v>
      </c>
      <c r="E756" s="7" t="n">
        <v>77</v>
      </c>
      <c r="F756" s="7" t="s">
        <v>546</v>
      </c>
      <c r="G756" s="7" t="s">
        <v>546</v>
      </c>
      <c r="H756" s="7" t="s">
        <v>546</v>
      </c>
      <c r="I756" s="7" t="s">
        <v>546</v>
      </c>
      <c r="J756" s="21" t="n">
        <f aca="false">D756/(D756+E756)</f>
        <v>0.524691358024691</v>
      </c>
      <c r="K756" s="3" t="n">
        <f aca="false">IF(D756&gt;E756,1,0)</f>
        <v>1</v>
      </c>
      <c r="L756" s="3" t="n">
        <f aca="false">IF(OR(F756="Y",G756="Y",H756="Y"),1,0)</f>
        <v>0</v>
      </c>
      <c r="M756" s="3" t="n">
        <f aca="false">IF(H756="Y",1,0)</f>
        <v>0</v>
      </c>
      <c r="N756" s="3" t="n">
        <f aca="false">IF(I756="Y",1,0)</f>
        <v>0</v>
      </c>
    </row>
    <row r="757" customFormat="false" ht="15" hidden="false" customHeight="true" outlineLevel="0" collapsed="false">
      <c r="A757" s="7" t="s">
        <v>65</v>
      </c>
      <c r="B757" s="7" t="n">
        <v>2013</v>
      </c>
      <c r="C757" s="7" t="s">
        <v>366</v>
      </c>
      <c r="D757" s="7" t="n">
        <v>63</v>
      </c>
      <c r="E757" s="7" t="n">
        <v>99</v>
      </c>
      <c r="F757" s="7" t="s">
        <v>546</v>
      </c>
      <c r="G757" s="7" t="s">
        <v>546</v>
      </c>
      <c r="H757" s="7" t="s">
        <v>546</v>
      </c>
      <c r="I757" s="7" t="s">
        <v>546</v>
      </c>
      <c r="J757" s="21" t="n">
        <f aca="false">D757/(D757+E757)</f>
        <v>0.388888888888889</v>
      </c>
      <c r="K757" s="3" t="n">
        <f aca="false">IF(D757&gt;E757,1,0)</f>
        <v>0</v>
      </c>
      <c r="L757" s="3" t="n">
        <f aca="false">IF(OR(F757="Y",G757="Y",H757="Y"),1,0)</f>
        <v>0</v>
      </c>
      <c r="M757" s="3" t="n">
        <f aca="false">IF(H757="Y",1,0)</f>
        <v>0</v>
      </c>
      <c r="N757" s="3" t="n">
        <f aca="false">IF(I757="Y",1,0)</f>
        <v>0</v>
      </c>
    </row>
    <row r="758" customFormat="false" ht="15" hidden="false" customHeight="true" outlineLevel="0" collapsed="false">
      <c r="A758" s="7" t="s">
        <v>65</v>
      </c>
      <c r="B758" s="7" t="n">
        <v>2014</v>
      </c>
      <c r="C758" s="7" t="s">
        <v>366</v>
      </c>
      <c r="D758" s="7" t="n">
        <v>73</v>
      </c>
      <c r="E758" s="7" t="n">
        <v>89</v>
      </c>
      <c r="F758" s="7" t="s">
        <v>546</v>
      </c>
      <c r="G758" s="7" t="s">
        <v>546</v>
      </c>
      <c r="H758" s="7" t="s">
        <v>546</v>
      </c>
      <c r="I758" s="7" t="s">
        <v>546</v>
      </c>
      <c r="J758" s="21" t="n">
        <f aca="false">D758/(D758+E758)</f>
        <v>0.450617283950617</v>
      </c>
      <c r="K758" s="3" t="n">
        <f aca="false">IF(D758&gt;E758,1,0)</f>
        <v>0</v>
      </c>
      <c r="L758" s="3" t="n">
        <f aca="false">IF(OR(F758="Y",G758="Y",H758="Y"),1,0)</f>
        <v>0</v>
      </c>
      <c r="M758" s="3" t="n">
        <f aca="false">IF(H758="Y",1,0)</f>
        <v>0</v>
      </c>
      <c r="N758" s="3" t="n">
        <f aca="false">IF(I758="Y",1,0)</f>
        <v>0</v>
      </c>
    </row>
    <row r="759" customFormat="false" ht="15" hidden="false" customHeight="true" outlineLevel="0" collapsed="false">
      <c r="A759" s="7" t="s">
        <v>65</v>
      </c>
      <c r="B759" s="7" t="n">
        <v>2015</v>
      </c>
      <c r="C759" s="7" t="s">
        <v>366</v>
      </c>
      <c r="D759" s="7" t="n">
        <v>76</v>
      </c>
      <c r="E759" s="7" t="n">
        <v>86</v>
      </c>
      <c r="F759" s="7" t="s">
        <v>546</v>
      </c>
      <c r="G759" s="7" t="s">
        <v>546</v>
      </c>
      <c r="H759" s="7" t="s">
        <v>546</v>
      </c>
      <c r="I759" s="7" t="s">
        <v>546</v>
      </c>
      <c r="J759" s="21" t="n">
        <f aca="false">D759/(D759+E759)</f>
        <v>0.469135802469136</v>
      </c>
      <c r="K759" s="3" t="n">
        <f aca="false">IF(D759&gt;E759,1,0)</f>
        <v>0</v>
      </c>
      <c r="L759" s="3" t="n">
        <f aca="false">IF(OR(F759="Y",G759="Y",H759="Y"),1,0)</f>
        <v>0</v>
      </c>
      <c r="M759" s="3" t="n">
        <f aca="false">IF(H759="Y",1,0)</f>
        <v>0</v>
      </c>
      <c r="N759" s="3" t="n">
        <f aca="false">IF(I759="Y",1,0)</f>
        <v>0</v>
      </c>
    </row>
    <row r="760" customFormat="false" ht="15" hidden="false" customHeight="true" outlineLevel="0" collapsed="false">
      <c r="A760" s="7" t="s">
        <v>65</v>
      </c>
      <c r="B760" s="7" t="n">
        <v>2016</v>
      </c>
      <c r="C760" s="7" t="s">
        <v>366</v>
      </c>
      <c r="D760" s="7" t="n">
        <v>78</v>
      </c>
      <c r="E760" s="7" t="n">
        <v>84</v>
      </c>
      <c r="F760" s="7" t="s">
        <v>546</v>
      </c>
      <c r="G760" s="7" t="s">
        <v>546</v>
      </c>
      <c r="H760" s="7" t="s">
        <v>546</v>
      </c>
      <c r="I760" s="7" t="s">
        <v>546</v>
      </c>
      <c r="J760" s="21" t="n">
        <f aca="false">D760/(D760+E760)</f>
        <v>0.481481481481481</v>
      </c>
      <c r="K760" s="3" t="n">
        <f aca="false">IF(D760&gt;E760,1,0)</f>
        <v>0</v>
      </c>
      <c r="L760" s="3" t="n">
        <f aca="false">IF(OR(F760="Y",G760="Y",H760="Y"),1,0)</f>
        <v>0</v>
      </c>
      <c r="M760" s="3" t="n">
        <f aca="false">IF(H760="Y",1,0)</f>
        <v>0</v>
      </c>
      <c r="N760" s="3" t="n">
        <f aca="false">IF(I760="Y",1,0)</f>
        <v>0</v>
      </c>
    </row>
    <row r="761" customFormat="false" ht="15" hidden="false" customHeight="true" outlineLevel="0" collapsed="false">
      <c r="A761" s="7" t="s">
        <v>65</v>
      </c>
      <c r="B761" s="7" t="n">
        <v>2017</v>
      </c>
      <c r="C761" s="7" t="s">
        <v>366</v>
      </c>
      <c r="D761" s="7" t="n">
        <v>67</v>
      </c>
      <c r="E761" s="7" t="n">
        <v>95</v>
      </c>
      <c r="F761" s="7" t="s">
        <v>546</v>
      </c>
      <c r="G761" s="7" t="s">
        <v>546</v>
      </c>
      <c r="H761" s="7" t="s">
        <v>546</v>
      </c>
      <c r="I761" s="7" t="s">
        <v>546</v>
      </c>
      <c r="J761" s="21" t="n">
        <f aca="false">D761/(D761+E761)</f>
        <v>0.41358024691358</v>
      </c>
      <c r="K761" s="3" t="n">
        <f aca="false">IF(D761&gt;E761,1,0)</f>
        <v>0</v>
      </c>
      <c r="L761" s="3" t="n">
        <f aca="false">IF(OR(F761="Y",G761="Y",H761="Y"),1,0)</f>
        <v>0</v>
      </c>
      <c r="M761" s="3" t="n">
        <f aca="false">IF(H761="Y",1,0)</f>
        <v>0</v>
      </c>
      <c r="N761" s="3" t="n">
        <f aca="false">IF(I761="Y",1,0)</f>
        <v>0</v>
      </c>
    </row>
    <row r="762" customFormat="false" ht="15" hidden="false" customHeight="true" outlineLevel="0" collapsed="false">
      <c r="A762" s="7" t="s">
        <v>65</v>
      </c>
      <c r="B762" s="7" t="n">
        <v>2018</v>
      </c>
      <c r="C762" s="7" t="s">
        <v>366</v>
      </c>
      <c r="D762" s="7" t="n">
        <v>62</v>
      </c>
      <c r="E762" s="7" t="n">
        <v>100</v>
      </c>
      <c r="F762" s="7" t="s">
        <v>546</v>
      </c>
      <c r="G762" s="7" t="s">
        <v>546</v>
      </c>
      <c r="H762" s="7" t="s">
        <v>546</v>
      </c>
      <c r="I762" s="7" t="s">
        <v>546</v>
      </c>
      <c r="J762" s="21" t="n">
        <f aca="false">D762/(D762+E762)</f>
        <v>0.382716049382716</v>
      </c>
      <c r="K762" s="3" t="n">
        <f aca="false">IF(D762&gt;E762,1,0)</f>
        <v>0</v>
      </c>
      <c r="L762" s="3" t="n">
        <f aca="false">IF(OR(F762="Y",G762="Y",H762="Y"),1,0)</f>
        <v>0</v>
      </c>
      <c r="M762" s="3" t="n">
        <f aca="false">IF(H762="Y",1,0)</f>
        <v>0</v>
      </c>
      <c r="N762" s="3" t="n">
        <f aca="false">IF(I762="Y",1,0)</f>
        <v>0</v>
      </c>
    </row>
    <row r="763" customFormat="false" ht="15" hidden="false" customHeight="true" outlineLevel="0" collapsed="false">
      <c r="A763" s="7" t="s">
        <v>65</v>
      </c>
      <c r="B763" s="7" t="n">
        <v>2019</v>
      </c>
      <c r="C763" s="7" t="s">
        <v>366</v>
      </c>
      <c r="D763" s="7" t="n">
        <v>72</v>
      </c>
      <c r="E763" s="7" t="n">
        <v>89</v>
      </c>
      <c r="F763" s="7" t="s">
        <v>546</v>
      </c>
      <c r="G763" s="7" t="s">
        <v>546</v>
      </c>
      <c r="H763" s="7" t="s">
        <v>546</v>
      </c>
      <c r="I763" s="7" t="s">
        <v>546</v>
      </c>
      <c r="J763" s="21" t="n">
        <f aca="false">D763/(D763+E763)</f>
        <v>0.447204968944099</v>
      </c>
      <c r="K763" s="3" t="n">
        <f aca="false">IF(D763&gt;E763,1,0)</f>
        <v>0</v>
      </c>
      <c r="L763" s="3" t="n">
        <f aca="false">IF(OR(F763="Y",G763="Y",H763="Y"),1,0)</f>
        <v>0</v>
      </c>
      <c r="M763" s="3" t="n">
        <f aca="false">IF(H763="Y",1,0)</f>
        <v>0</v>
      </c>
      <c r="N763" s="3" t="n">
        <f aca="false">IF(I763="Y",1,0)</f>
        <v>0</v>
      </c>
    </row>
    <row r="764" customFormat="false" ht="15" hidden="false" customHeight="true" outlineLevel="0" collapsed="false">
      <c r="A764" s="7" t="s">
        <v>65</v>
      </c>
      <c r="B764" s="7" t="n">
        <v>2020</v>
      </c>
      <c r="C764" s="7" t="s">
        <v>366</v>
      </c>
      <c r="D764" s="7" t="n">
        <v>35</v>
      </c>
      <c r="E764" s="7" t="n">
        <v>25</v>
      </c>
      <c r="F764" s="7" t="s">
        <v>546</v>
      </c>
      <c r="G764" s="7" t="s">
        <v>548</v>
      </c>
      <c r="H764" s="7" t="s">
        <v>546</v>
      </c>
      <c r="I764" s="7" t="s">
        <v>546</v>
      </c>
      <c r="J764" s="21" t="n">
        <f aca="false">D764/(D764+E764)</f>
        <v>0.583333333333333</v>
      </c>
      <c r="K764" s="3" t="n">
        <f aca="false">IF(D764&gt;E764,1,0)</f>
        <v>1</v>
      </c>
      <c r="L764" s="3" t="n">
        <f aca="false">IF(OR(F764="Y",G764="Y",H764="Y"),1,0)</f>
        <v>1</v>
      </c>
      <c r="M764" s="3" t="n">
        <f aca="false">IF(H764="Y",1,0)</f>
        <v>0</v>
      </c>
      <c r="N764" s="3" t="n">
        <f aca="false">IF(I764="Y",1,0)</f>
        <v>0</v>
      </c>
    </row>
    <row r="765" customFormat="false" ht="15" hidden="false" customHeight="true" outlineLevel="0" collapsed="false">
      <c r="A765" s="7" t="s">
        <v>65</v>
      </c>
      <c r="B765" s="7" t="n">
        <v>2021</v>
      </c>
      <c r="C765" s="7" t="s">
        <v>366</v>
      </c>
      <c r="D765" s="7" t="n">
        <v>93</v>
      </c>
      <c r="E765" s="7" t="n">
        <v>69</v>
      </c>
      <c r="F765" s="7" t="s">
        <v>548</v>
      </c>
      <c r="G765" s="7" t="s">
        <v>546</v>
      </c>
      <c r="H765" s="7" t="s">
        <v>546</v>
      </c>
      <c r="I765" s="7" t="s">
        <v>546</v>
      </c>
      <c r="J765" s="21" t="n">
        <f aca="false">D765/(D765+E765)</f>
        <v>0.574074074074074</v>
      </c>
      <c r="K765" s="3" t="n">
        <f aca="false">IF(D765&gt;E765,1,0)</f>
        <v>1</v>
      </c>
      <c r="L765" s="3" t="n">
        <f aca="false">IF(OR(F765="Y",G765="Y",H765="Y"),1,0)</f>
        <v>1</v>
      </c>
      <c r="M765" s="3" t="n">
        <f aca="false">IF(H765="Y",1,0)</f>
        <v>0</v>
      </c>
      <c r="N765" s="3" t="n">
        <f aca="false">IF(I765="Y",1,0)</f>
        <v>0</v>
      </c>
    </row>
    <row r="766" customFormat="false" ht="15" hidden="false" customHeight="true" outlineLevel="0" collapsed="false">
      <c r="A766" s="7" t="s">
        <v>65</v>
      </c>
      <c r="B766" s="7" t="n">
        <v>2022</v>
      </c>
      <c r="C766" s="7" t="s">
        <v>366</v>
      </c>
      <c r="D766" s="7" t="n">
        <v>81</v>
      </c>
      <c r="E766" s="7" t="n">
        <v>81</v>
      </c>
      <c r="F766" s="7" t="s">
        <v>546</v>
      </c>
      <c r="G766" s="7" t="s">
        <v>546</v>
      </c>
      <c r="H766" s="7" t="s">
        <v>546</v>
      </c>
      <c r="I766" s="7" t="s">
        <v>546</v>
      </c>
      <c r="J766" s="21" t="n">
        <f aca="false">D766/(D766+E766)</f>
        <v>0.5</v>
      </c>
      <c r="K766" s="3" t="n">
        <f aca="false">IF(D766&gt;E766,1,0)</f>
        <v>0</v>
      </c>
      <c r="L766" s="3" t="n">
        <f aca="false">IF(OR(F766="Y",G766="Y",H766="Y"),1,0)</f>
        <v>0</v>
      </c>
      <c r="M766" s="3" t="n">
        <f aca="false">IF(H766="Y",1,0)</f>
        <v>0</v>
      </c>
      <c r="N766" s="3" t="n">
        <f aca="false">IF(I766="Y",1,0)</f>
        <v>0</v>
      </c>
    </row>
    <row r="767" customFormat="false" ht="15" hidden="false" customHeight="true" outlineLevel="0" collapsed="false">
      <c r="A767" s="7" t="s">
        <v>65</v>
      </c>
      <c r="B767" s="7" t="n">
        <v>2023</v>
      </c>
      <c r="C767" s="7" t="s">
        <v>366</v>
      </c>
      <c r="D767" s="7" t="n">
        <v>61</v>
      </c>
      <c r="E767" s="7" t="n">
        <v>101</v>
      </c>
      <c r="F767" s="7" t="s">
        <v>546</v>
      </c>
      <c r="G767" s="7" t="s">
        <v>546</v>
      </c>
      <c r="H767" s="7" t="s">
        <v>546</v>
      </c>
      <c r="I767" s="7" t="s">
        <v>546</v>
      </c>
      <c r="J767" s="21" t="n">
        <f aca="false">D767/(D767+E767)</f>
        <v>0.376543209876543</v>
      </c>
      <c r="K767" s="3" t="n">
        <f aca="false">IF(D767&gt;E767,1,0)</f>
        <v>0</v>
      </c>
      <c r="L767" s="3" t="n">
        <f aca="false">IF(OR(F767="Y",G767="Y",H767="Y"),1,0)</f>
        <v>0</v>
      </c>
      <c r="M767" s="3" t="n">
        <f aca="false">IF(H767="Y",1,0)</f>
        <v>0</v>
      </c>
      <c r="N767" s="3" t="n">
        <f aca="false">IF(I767="Y",1,0)</f>
        <v>0</v>
      </c>
    </row>
    <row r="768" customFormat="false" ht="15" hidden="false" customHeight="true" outlineLevel="0" collapsed="false">
      <c r="A768" s="7" t="s">
        <v>65</v>
      </c>
      <c r="B768" s="7" t="n">
        <v>2024</v>
      </c>
      <c r="C768" s="7" t="s">
        <v>366</v>
      </c>
      <c r="D768" s="7" t="n">
        <v>41</v>
      </c>
      <c r="E768" s="7" t="n">
        <v>121</v>
      </c>
      <c r="F768" s="7" t="s">
        <v>546</v>
      </c>
      <c r="G768" s="7" t="s">
        <v>546</v>
      </c>
      <c r="H768" s="7" t="s">
        <v>546</v>
      </c>
      <c r="I768" s="7" t="s">
        <v>546</v>
      </c>
      <c r="J768" s="21" t="n">
        <f aca="false">D768/(D768+E768)</f>
        <v>0.253086419753086</v>
      </c>
      <c r="K768" s="3" t="n">
        <f aca="false">IF(D768&gt;E768,1,0)</f>
        <v>0</v>
      </c>
      <c r="L768" s="3" t="n">
        <f aca="false">IF(OR(F768="Y",G768="Y",H768="Y"),1,0)</f>
        <v>0</v>
      </c>
      <c r="M768" s="3" t="n">
        <f aca="false">IF(H768="Y",1,0)</f>
        <v>0</v>
      </c>
      <c r="N768" s="3" t="n">
        <f aca="false">IF(I768="Y",1,0)</f>
        <v>0</v>
      </c>
    </row>
    <row r="769" customFormat="false" ht="15" hidden="false" customHeight="true" outlineLevel="0" collapsed="false">
      <c r="A769" s="7" t="s">
        <v>65</v>
      </c>
      <c r="B769" s="7" t="n">
        <v>2025</v>
      </c>
      <c r="C769" s="7" t="s">
        <v>366</v>
      </c>
      <c r="D769" s="7" t="n">
        <v>60</v>
      </c>
      <c r="E769" s="7" t="n">
        <v>102</v>
      </c>
      <c r="F769" s="7" t="s">
        <v>546</v>
      </c>
      <c r="G769" s="7" t="s">
        <v>546</v>
      </c>
      <c r="H769" s="7" t="s">
        <v>546</v>
      </c>
      <c r="I769" s="7" t="s">
        <v>546</v>
      </c>
      <c r="J769" s="21" t="n">
        <f aca="false">D769/(D769+E769)</f>
        <v>0.37037037037037</v>
      </c>
      <c r="K769" s="3" t="n">
        <f aca="false">IF(D769&gt;E769,1,0)</f>
        <v>0</v>
      </c>
      <c r="L769" s="3" t="n">
        <f aca="false">IF(OR(F769="Y",G769="Y",H769="Y"),1,0)</f>
        <v>0</v>
      </c>
      <c r="M769" s="3" t="n">
        <f aca="false">IF(H769="Y",1,0)</f>
        <v>0</v>
      </c>
      <c r="N769" s="3" t="n">
        <f aca="false">IF(I769="Y",1,0)</f>
        <v>0</v>
      </c>
    </row>
    <row r="770" customFormat="false" ht="15" hidden="false" customHeight="true" outlineLevel="0" collapsed="false">
      <c r="A770" s="7" t="s">
        <v>57</v>
      </c>
      <c r="B770" s="7" t="n">
        <v>1882</v>
      </c>
      <c r="C770" s="7" t="s">
        <v>563</v>
      </c>
      <c r="D770" s="7" t="n">
        <v>55</v>
      </c>
      <c r="E770" s="7" t="n">
        <v>25</v>
      </c>
      <c r="F770" s="7"/>
      <c r="G770" s="7"/>
      <c r="H770" s="7" t="s">
        <v>548</v>
      </c>
      <c r="I770" s="7"/>
      <c r="J770" s="21" t="n">
        <f aca="false">D770/(D770+E770)</f>
        <v>0.6875</v>
      </c>
      <c r="K770" s="3" t="n">
        <f aca="false">IF(D770&gt;E770,1,0)</f>
        <v>1</v>
      </c>
      <c r="L770" s="3" t="n">
        <f aca="false">IF(OR(F770="Y",G770="Y",H770="Y"),1,0)</f>
        <v>1</v>
      </c>
      <c r="M770" s="3" t="n">
        <f aca="false">IF(H770="Y",1,0)</f>
        <v>1</v>
      </c>
      <c r="N770" s="3" t="n">
        <f aca="false">IF(I770="Y",1,0)</f>
        <v>0</v>
      </c>
    </row>
    <row r="771" customFormat="false" ht="15" hidden="false" customHeight="true" outlineLevel="0" collapsed="false">
      <c r="A771" s="7" t="s">
        <v>57</v>
      </c>
      <c r="B771" s="7" t="n">
        <v>1883</v>
      </c>
      <c r="C771" s="7" t="s">
        <v>563</v>
      </c>
      <c r="D771" s="7" t="n">
        <v>61</v>
      </c>
      <c r="E771" s="7" t="n">
        <v>37</v>
      </c>
      <c r="F771" s="7"/>
      <c r="G771" s="7"/>
      <c r="H771" s="7" t="s">
        <v>546</v>
      </c>
      <c r="I771" s="7"/>
      <c r="J771" s="21" t="n">
        <f aca="false">D771/(D771+E771)</f>
        <v>0.622448979591837</v>
      </c>
      <c r="K771" s="3" t="n">
        <f aca="false">IF(D771&gt;E771,1,0)</f>
        <v>1</v>
      </c>
      <c r="L771" s="3" t="n">
        <f aca="false">IF(OR(F771="Y",G771="Y",H771="Y"),1,0)</f>
        <v>0</v>
      </c>
      <c r="M771" s="3" t="n">
        <f aca="false">IF(H771="Y",1,0)</f>
        <v>0</v>
      </c>
      <c r="N771" s="3" t="n">
        <f aca="false">IF(I771="Y",1,0)</f>
        <v>0</v>
      </c>
    </row>
    <row r="772" customFormat="false" ht="15" hidden="false" customHeight="true" outlineLevel="0" collapsed="false">
      <c r="A772" s="7" t="s">
        <v>57</v>
      </c>
      <c r="B772" s="7" t="n">
        <v>1884</v>
      </c>
      <c r="C772" s="7" t="s">
        <v>563</v>
      </c>
      <c r="D772" s="7" t="n">
        <v>68</v>
      </c>
      <c r="E772" s="7" t="n">
        <v>41</v>
      </c>
      <c r="F772" s="7"/>
      <c r="G772" s="7"/>
      <c r="H772" s="7" t="s">
        <v>546</v>
      </c>
      <c r="I772" s="7" t="s">
        <v>546</v>
      </c>
      <c r="J772" s="21" t="n">
        <f aca="false">D772/(D772+E772)</f>
        <v>0.623853211009174</v>
      </c>
      <c r="K772" s="3" t="n">
        <f aca="false">IF(D772&gt;E772,1,0)</f>
        <v>1</v>
      </c>
      <c r="L772" s="3" t="n">
        <f aca="false">IF(OR(F772="Y",G772="Y",H772="Y"),1,0)</f>
        <v>0</v>
      </c>
      <c r="M772" s="3" t="n">
        <f aca="false">IF(H772="Y",1,0)</f>
        <v>0</v>
      </c>
      <c r="N772" s="3" t="n">
        <f aca="false">IF(I772="Y",1,0)</f>
        <v>0</v>
      </c>
    </row>
    <row r="773" customFormat="false" ht="15" hidden="false" customHeight="true" outlineLevel="0" collapsed="false">
      <c r="A773" s="7" t="s">
        <v>57</v>
      </c>
      <c r="B773" s="7" t="n">
        <v>1885</v>
      </c>
      <c r="C773" s="7" t="s">
        <v>563</v>
      </c>
      <c r="D773" s="7" t="n">
        <v>63</v>
      </c>
      <c r="E773" s="7" t="n">
        <v>49</v>
      </c>
      <c r="F773" s="7"/>
      <c r="G773" s="7"/>
      <c r="H773" s="7" t="s">
        <v>546</v>
      </c>
      <c r="I773" s="7" t="s">
        <v>546</v>
      </c>
      <c r="J773" s="21" t="n">
        <f aca="false">D773/(D773+E773)</f>
        <v>0.5625</v>
      </c>
      <c r="K773" s="3" t="n">
        <f aca="false">IF(D773&gt;E773,1,0)</f>
        <v>1</v>
      </c>
      <c r="L773" s="3" t="n">
        <f aca="false">IF(OR(F773="Y",G773="Y",H773="Y"),1,0)</f>
        <v>0</v>
      </c>
      <c r="M773" s="3" t="n">
        <f aca="false">IF(H773="Y",1,0)</f>
        <v>0</v>
      </c>
      <c r="N773" s="3" t="n">
        <f aca="false">IF(I773="Y",1,0)</f>
        <v>0</v>
      </c>
    </row>
    <row r="774" customFormat="false" ht="15" hidden="false" customHeight="true" outlineLevel="0" collapsed="false">
      <c r="A774" s="7" t="s">
        <v>57</v>
      </c>
      <c r="B774" s="7" t="n">
        <v>1886</v>
      </c>
      <c r="C774" s="7" t="s">
        <v>563</v>
      </c>
      <c r="D774" s="7" t="n">
        <v>65</v>
      </c>
      <c r="E774" s="7" t="n">
        <v>73</v>
      </c>
      <c r="F774" s="7"/>
      <c r="G774" s="7"/>
      <c r="H774" s="7" t="s">
        <v>546</v>
      </c>
      <c r="I774" s="7" t="s">
        <v>546</v>
      </c>
      <c r="J774" s="21" t="n">
        <f aca="false">D774/(D774+E774)</f>
        <v>0.471014492753623</v>
      </c>
      <c r="K774" s="3" t="n">
        <f aca="false">IF(D774&gt;E774,1,0)</f>
        <v>0</v>
      </c>
      <c r="L774" s="3" t="n">
        <f aca="false">IF(OR(F774="Y",G774="Y",H774="Y"),1,0)</f>
        <v>0</v>
      </c>
      <c r="M774" s="3" t="n">
        <f aca="false">IF(H774="Y",1,0)</f>
        <v>0</v>
      </c>
      <c r="N774" s="3" t="n">
        <f aca="false">IF(I774="Y",1,0)</f>
        <v>0</v>
      </c>
    </row>
    <row r="775" customFormat="false" ht="15" hidden="false" customHeight="true" outlineLevel="0" collapsed="false">
      <c r="A775" s="7" t="s">
        <v>57</v>
      </c>
      <c r="B775" s="7" t="n">
        <v>1887</v>
      </c>
      <c r="C775" s="7" t="s">
        <v>563</v>
      </c>
      <c r="D775" s="7" t="n">
        <v>81</v>
      </c>
      <c r="E775" s="7" t="n">
        <v>54</v>
      </c>
      <c r="F775" s="7"/>
      <c r="G775" s="7"/>
      <c r="H775" s="7" t="s">
        <v>546</v>
      </c>
      <c r="I775" s="7" t="s">
        <v>546</v>
      </c>
      <c r="J775" s="21" t="n">
        <f aca="false">D775/(D775+E775)</f>
        <v>0.6</v>
      </c>
      <c r="K775" s="3" t="n">
        <f aca="false">IF(D775&gt;E775,1,0)</f>
        <v>1</v>
      </c>
      <c r="L775" s="3" t="n">
        <f aca="false">IF(OR(F775="Y",G775="Y",H775="Y"),1,0)</f>
        <v>0</v>
      </c>
      <c r="M775" s="3" t="n">
        <f aca="false">IF(H775="Y",1,0)</f>
        <v>0</v>
      </c>
      <c r="N775" s="3" t="n">
        <f aca="false">IF(I775="Y",1,0)</f>
        <v>0</v>
      </c>
    </row>
    <row r="776" customFormat="false" ht="15" hidden="false" customHeight="true" outlineLevel="0" collapsed="false">
      <c r="A776" s="7" t="s">
        <v>57</v>
      </c>
      <c r="B776" s="7" t="n">
        <v>1888</v>
      </c>
      <c r="C776" s="7" t="s">
        <v>563</v>
      </c>
      <c r="D776" s="7" t="n">
        <v>80</v>
      </c>
      <c r="E776" s="7" t="n">
        <v>54</v>
      </c>
      <c r="F776" s="7"/>
      <c r="G776" s="7"/>
      <c r="H776" s="7" t="s">
        <v>546</v>
      </c>
      <c r="I776" s="7" t="s">
        <v>546</v>
      </c>
      <c r="J776" s="21" t="n">
        <f aca="false">D776/(D776+E776)</f>
        <v>0.597014925373134</v>
      </c>
      <c r="K776" s="3" t="n">
        <f aca="false">IF(D776&gt;E776,1,0)</f>
        <v>1</v>
      </c>
      <c r="L776" s="3" t="n">
        <f aca="false">IF(OR(F776="Y",G776="Y",H776="Y"),1,0)</f>
        <v>0</v>
      </c>
      <c r="M776" s="3" t="n">
        <f aca="false">IF(H776="Y",1,0)</f>
        <v>0</v>
      </c>
      <c r="N776" s="3" t="n">
        <f aca="false">IF(I776="Y",1,0)</f>
        <v>0</v>
      </c>
    </row>
    <row r="777" customFormat="false" ht="15" hidden="false" customHeight="true" outlineLevel="0" collapsed="false">
      <c r="A777" s="7" t="s">
        <v>57</v>
      </c>
      <c r="B777" s="7" t="n">
        <v>1889</v>
      </c>
      <c r="C777" s="7" t="s">
        <v>563</v>
      </c>
      <c r="D777" s="7" t="n">
        <v>76</v>
      </c>
      <c r="E777" s="7" t="n">
        <v>63</v>
      </c>
      <c r="F777" s="7"/>
      <c r="G777" s="7"/>
      <c r="H777" s="7" t="s">
        <v>546</v>
      </c>
      <c r="I777" s="7" t="s">
        <v>546</v>
      </c>
      <c r="J777" s="21" t="n">
        <f aca="false">D777/(D777+E777)</f>
        <v>0.546762589928058</v>
      </c>
      <c r="K777" s="3" t="n">
        <f aca="false">IF(D777&gt;E777,1,0)</f>
        <v>1</v>
      </c>
      <c r="L777" s="3" t="n">
        <f aca="false">IF(OR(F777="Y",G777="Y",H777="Y"),1,0)</f>
        <v>0</v>
      </c>
      <c r="M777" s="3" t="n">
        <f aca="false">IF(H777="Y",1,0)</f>
        <v>0</v>
      </c>
      <c r="N777" s="3" t="n">
        <f aca="false">IF(I777="Y",1,0)</f>
        <v>0</v>
      </c>
    </row>
    <row r="778" customFormat="false" ht="15" hidden="false" customHeight="true" outlineLevel="0" collapsed="false">
      <c r="A778" s="7" t="s">
        <v>57</v>
      </c>
      <c r="B778" s="7" t="n">
        <v>1890</v>
      </c>
      <c r="C778" s="7" t="s">
        <v>358</v>
      </c>
      <c r="D778" s="7" t="n">
        <v>77</v>
      </c>
      <c r="E778" s="7" t="n">
        <v>55</v>
      </c>
      <c r="F778" s="7"/>
      <c r="G778" s="7"/>
      <c r="H778" s="7" t="s">
        <v>546</v>
      </c>
      <c r="I778" s="7" t="s">
        <v>546</v>
      </c>
      <c r="J778" s="21" t="n">
        <f aca="false">D778/(D778+E778)</f>
        <v>0.583333333333333</v>
      </c>
      <c r="K778" s="3" t="n">
        <f aca="false">IF(D778&gt;E778,1,0)</f>
        <v>1</v>
      </c>
      <c r="L778" s="3" t="n">
        <f aca="false">IF(OR(F778="Y",G778="Y",H778="Y"),1,0)</f>
        <v>0</v>
      </c>
      <c r="M778" s="3" t="n">
        <f aca="false">IF(H778="Y",1,0)</f>
        <v>0</v>
      </c>
      <c r="N778" s="3" t="n">
        <f aca="false">IF(I778="Y",1,0)</f>
        <v>0</v>
      </c>
    </row>
    <row r="779" customFormat="false" ht="15" hidden="false" customHeight="true" outlineLevel="0" collapsed="false">
      <c r="A779" s="7" t="s">
        <v>57</v>
      </c>
      <c r="B779" s="7" t="n">
        <v>1891</v>
      </c>
      <c r="C779" s="7" t="s">
        <v>358</v>
      </c>
      <c r="D779" s="7" t="n">
        <v>56</v>
      </c>
      <c r="E779" s="7" t="n">
        <v>81</v>
      </c>
      <c r="F779" s="7"/>
      <c r="G779" s="7"/>
      <c r="H779" s="7" t="s">
        <v>546</v>
      </c>
      <c r="I779" s="7"/>
      <c r="J779" s="21" t="n">
        <f aca="false">D779/(D779+E779)</f>
        <v>0.408759124087591</v>
      </c>
      <c r="K779" s="3" t="n">
        <f aca="false">IF(D779&gt;E779,1,0)</f>
        <v>0</v>
      </c>
      <c r="L779" s="3" t="n">
        <f aca="false">IF(OR(F779="Y",G779="Y",H779="Y"),1,0)</f>
        <v>0</v>
      </c>
      <c r="M779" s="3" t="n">
        <f aca="false">IF(H779="Y",1,0)</f>
        <v>0</v>
      </c>
      <c r="N779" s="3" t="n">
        <f aca="false">IF(I779="Y",1,0)</f>
        <v>0</v>
      </c>
    </row>
    <row r="780" customFormat="false" ht="15" hidden="false" customHeight="true" outlineLevel="0" collapsed="false">
      <c r="A780" s="7" t="s">
        <v>57</v>
      </c>
      <c r="B780" s="7" t="n">
        <v>1892</v>
      </c>
      <c r="C780" s="7" t="s">
        <v>358</v>
      </c>
      <c r="D780" s="7" t="n">
        <v>82</v>
      </c>
      <c r="E780" s="7" t="n">
        <v>68</v>
      </c>
      <c r="F780" s="7"/>
      <c r="G780" s="7"/>
      <c r="H780" s="7" t="s">
        <v>546</v>
      </c>
      <c r="I780" s="7"/>
      <c r="J780" s="21" t="n">
        <f aca="false">D780/(D780+E780)</f>
        <v>0.546666666666667</v>
      </c>
      <c r="K780" s="3" t="n">
        <f aca="false">IF(D780&gt;E780,1,0)</f>
        <v>1</v>
      </c>
      <c r="L780" s="3" t="n">
        <f aca="false">IF(OR(F780="Y",G780="Y",H780="Y"),1,0)</f>
        <v>0</v>
      </c>
      <c r="M780" s="3" t="n">
        <f aca="false">IF(H780="Y",1,0)</f>
        <v>0</v>
      </c>
      <c r="N780" s="3" t="n">
        <f aca="false">IF(I780="Y",1,0)</f>
        <v>0</v>
      </c>
    </row>
    <row r="781" customFormat="false" ht="15" hidden="false" customHeight="true" outlineLevel="0" collapsed="false">
      <c r="A781" s="7" t="s">
        <v>57</v>
      </c>
      <c r="B781" s="7" t="n">
        <v>1893</v>
      </c>
      <c r="C781" s="7" t="s">
        <v>358</v>
      </c>
      <c r="D781" s="7" t="n">
        <v>65</v>
      </c>
      <c r="E781" s="7" t="n">
        <v>63</v>
      </c>
      <c r="F781" s="7"/>
      <c r="G781" s="7"/>
      <c r="H781" s="7" t="s">
        <v>546</v>
      </c>
      <c r="I781" s="7"/>
      <c r="J781" s="21" t="n">
        <f aca="false">D781/(D781+E781)</f>
        <v>0.5078125</v>
      </c>
      <c r="K781" s="3" t="n">
        <f aca="false">IF(D781&gt;E781,1,0)</f>
        <v>1</v>
      </c>
      <c r="L781" s="3" t="n">
        <f aca="false">IF(OR(F781="Y",G781="Y",H781="Y"),1,0)</f>
        <v>0</v>
      </c>
      <c r="M781" s="3" t="n">
        <f aca="false">IF(H781="Y",1,0)</f>
        <v>0</v>
      </c>
      <c r="N781" s="3" t="n">
        <f aca="false">IF(I781="Y",1,0)</f>
        <v>0</v>
      </c>
    </row>
    <row r="782" customFormat="false" ht="15" hidden="false" customHeight="true" outlineLevel="0" collapsed="false">
      <c r="A782" s="7" t="s">
        <v>57</v>
      </c>
      <c r="B782" s="7" t="n">
        <v>1894</v>
      </c>
      <c r="C782" s="7" t="s">
        <v>358</v>
      </c>
      <c r="D782" s="7" t="n">
        <v>55</v>
      </c>
      <c r="E782" s="7" t="n">
        <v>75</v>
      </c>
      <c r="F782" s="7"/>
      <c r="G782" s="7"/>
      <c r="H782" s="7" t="s">
        <v>546</v>
      </c>
      <c r="I782" s="7"/>
      <c r="J782" s="21" t="n">
        <f aca="false">D782/(D782+E782)</f>
        <v>0.423076923076923</v>
      </c>
      <c r="K782" s="3" t="n">
        <f aca="false">IF(D782&gt;E782,1,0)</f>
        <v>0</v>
      </c>
      <c r="L782" s="3" t="n">
        <f aca="false">IF(OR(F782="Y",G782="Y",H782="Y"),1,0)</f>
        <v>0</v>
      </c>
      <c r="M782" s="3" t="n">
        <f aca="false">IF(H782="Y",1,0)</f>
        <v>0</v>
      </c>
      <c r="N782" s="3" t="n">
        <f aca="false">IF(I782="Y",1,0)</f>
        <v>0</v>
      </c>
    </row>
    <row r="783" customFormat="false" ht="15" hidden="false" customHeight="true" outlineLevel="0" collapsed="false">
      <c r="A783" s="7" t="s">
        <v>57</v>
      </c>
      <c r="B783" s="7" t="n">
        <v>1895</v>
      </c>
      <c r="C783" s="7" t="s">
        <v>358</v>
      </c>
      <c r="D783" s="7" t="n">
        <v>66</v>
      </c>
      <c r="E783" s="7" t="n">
        <v>64</v>
      </c>
      <c r="F783" s="7"/>
      <c r="G783" s="7"/>
      <c r="H783" s="7" t="s">
        <v>546</v>
      </c>
      <c r="I783" s="7"/>
      <c r="J783" s="21" t="n">
        <f aca="false">D783/(D783+E783)</f>
        <v>0.507692307692308</v>
      </c>
      <c r="K783" s="3" t="n">
        <f aca="false">IF(D783&gt;E783,1,0)</f>
        <v>1</v>
      </c>
      <c r="L783" s="3" t="n">
        <f aca="false">IF(OR(F783="Y",G783="Y",H783="Y"),1,0)</f>
        <v>0</v>
      </c>
      <c r="M783" s="3" t="n">
        <f aca="false">IF(H783="Y",1,0)</f>
        <v>0</v>
      </c>
      <c r="N783" s="3" t="n">
        <f aca="false">IF(I783="Y",1,0)</f>
        <v>0</v>
      </c>
    </row>
    <row r="784" customFormat="false" ht="15" hidden="false" customHeight="true" outlineLevel="0" collapsed="false">
      <c r="A784" s="7" t="s">
        <v>57</v>
      </c>
      <c r="B784" s="7" t="n">
        <v>1896</v>
      </c>
      <c r="C784" s="7" t="s">
        <v>358</v>
      </c>
      <c r="D784" s="7" t="n">
        <v>77</v>
      </c>
      <c r="E784" s="7" t="n">
        <v>50</v>
      </c>
      <c r="F784" s="7"/>
      <c r="G784" s="7"/>
      <c r="H784" s="7" t="s">
        <v>546</v>
      </c>
      <c r="I784" s="7"/>
      <c r="J784" s="21" t="n">
        <f aca="false">D784/(D784+E784)</f>
        <v>0.606299212598425</v>
      </c>
      <c r="K784" s="3" t="n">
        <f aca="false">IF(D784&gt;E784,1,0)</f>
        <v>1</v>
      </c>
      <c r="L784" s="3" t="n">
        <f aca="false">IF(OR(F784="Y",G784="Y",H784="Y"),1,0)</f>
        <v>0</v>
      </c>
      <c r="M784" s="3" t="n">
        <f aca="false">IF(H784="Y",1,0)</f>
        <v>0</v>
      </c>
      <c r="N784" s="3" t="n">
        <f aca="false">IF(I784="Y",1,0)</f>
        <v>0</v>
      </c>
    </row>
    <row r="785" customFormat="false" ht="15" hidden="false" customHeight="true" outlineLevel="0" collapsed="false">
      <c r="A785" s="7" t="s">
        <v>57</v>
      </c>
      <c r="B785" s="7" t="n">
        <v>1897</v>
      </c>
      <c r="C785" s="7" t="s">
        <v>358</v>
      </c>
      <c r="D785" s="7" t="n">
        <v>76</v>
      </c>
      <c r="E785" s="7" t="n">
        <v>56</v>
      </c>
      <c r="F785" s="7"/>
      <c r="G785" s="7"/>
      <c r="H785" s="7" t="s">
        <v>546</v>
      </c>
      <c r="I785" s="7"/>
      <c r="J785" s="21" t="n">
        <f aca="false">D785/(D785+E785)</f>
        <v>0.575757575757576</v>
      </c>
      <c r="K785" s="3" t="n">
        <f aca="false">IF(D785&gt;E785,1,0)</f>
        <v>1</v>
      </c>
      <c r="L785" s="3" t="n">
        <f aca="false">IF(OR(F785="Y",G785="Y",H785="Y"),1,0)</f>
        <v>0</v>
      </c>
      <c r="M785" s="3" t="n">
        <f aca="false">IF(H785="Y",1,0)</f>
        <v>0</v>
      </c>
      <c r="N785" s="3" t="n">
        <f aca="false">IF(I785="Y",1,0)</f>
        <v>0</v>
      </c>
    </row>
    <row r="786" customFormat="false" ht="15" hidden="false" customHeight="true" outlineLevel="0" collapsed="false">
      <c r="A786" s="7" t="s">
        <v>57</v>
      </c>
      <c r="B786" s="7" t="n">
        <v>1898</v>
      </c>
      <c r="C786" s="7" t="s">
        <v>358</v>
      </c>
      <c r="D786" s="7" t="n">
        <v>92</v>
      </c>
      <c r="E786" s="7" t="n">
        <v>60</v>
      </c>
      <c r="F786" s="7"/>
      <c r="G786" s="7"/>
      <c r="H786" s="7" t="s">
        <v>546</v>
      </c>
      <c r="I786" s="7"/>
      <c r="J786" s="21" t="n">
        <f aca="false">D786/(D786+E786)</f>
        <v>0.605263157894737</v>
      </c>
      <c r="K786" s="3" t="n">
        <f aca="false">IF(D786&gt;E786,1,0)</f>
        <v>1</v>
      </c>
      <c r="L786" s="3" t="n">
        <f aca="false">IF(OR(F786="Y",G786="Y",H786="Y"),1,0)</f>
        <v>0</v>
      </c>
      <c r="M786" s="3" t="n">
        <f aca="false">IF(H786="Y",1,0)</f>
        <v>0</v>
      </c>
      <c r="N786" s="3" t="n">
        <f aca="false">IF(I786="Y",1,0)</f>
        <v>0</v>
      </c>
    </row>
    <row r="787" customFormat="false" ht="15" hidden="false" customHeight="true" outlineLevel="0" collapsed="false">
      <c r="A787" s="7" t="s">
        <v>57</v>
      </c>
      <c r="B787" s="7" t="n">
        <v>1899</v>
      </c>
      <c r="C787" s="7" t="s">
        <v>358</v>
      </c>
      <c r="D787" s="7" t="n">
        <v>83</v>
      </c>
      <c r="E787" s="7" t="n">
        <v>67</v>
      </c>
      <c r="F787" s="7"/>
      <c r="G787" s="7"/>
      <c r="H787" s="7" t="s">
        <v>546</v>
      </c>
      <c r="I787" s="7"/>
      <c r="J787" s="21" t="n">
        <f aca="false">D787/(D787+E787)</f>
        <v>0.553333333333333</v>
      </c>
      <c r="K787" s="3" t="n">
        <f aca="false">IF(D787&gt;E787,1,0)</f>
        <v>1</v>
      </c>
      <c r="L787" s="3" t="n">
        <f aca="false">IF(OR(F787="Y",G787="Y",H787="Y"),1,0)</f>
        <v>0</v>
      </c>
      <c r="M787" s="3" t="n">
        <f aca="false">IF(H787="Y",1,0)</f>
        <v>0</v>
      </c>
      <c r="N787" s="3" t="n">
        <f aca="false">IF(I787="Y",1,0)</f>
        <v>0</v>
      </c>
    </row>
    <row r="788" customFormat="false" ht="15" hidden="false" customHeight="true" outlineLevel="0" collapsed="false">
      <c r="A788" s="7" t="s">
        <v>57</v>
      </c>
      <c r="B788" s="7" t="n">
        <v>1900</v>
      </c>
      <c r="C788" s="7" t="s">
        <v>358</v>
      </c>
      <c r="D788" s="7" t="n">
        <v>62</v>
      </c>
      <c r="E788" s="7" t="n">
        <v>77</v>
      </c>
      <c r="F788" s="7"/>
      <c r="G788" s="7"/>
      <c r="H788" s="7" t="s">
        <v>546</v>
      </c>
      <c r="I788" s="7"/>
      <c r="J788" s="21" t="n">
        <f aca="false">D788/(D788+E788)</f>
        <v>0.446043165467626</v>
      </c>
      <c r="K788" s="3" t="n">
        <f aca="false">IF(D788&gt;E788,1,0)</f>
        <v>0</v>
      </c>
      <c r="L788" s="3" t="n">
        <f aca="false">IF(OR(F788="Y",G788="Y",H788="Y"),1,0)</f>
        <v>0</v>
      </c>
      <c r="M788" s="3" t="n">
        <f aca="false">IF(H788="Y",1,0)</f>
        <v>0</v>
      </c>
      <c r="N788" s="3" t="n">
        <f aca="false">IF(I788="Y",1,0)</f>
        <v>0</v>
      </c>
    </row>
    <row r="789" customFormat="false" ht="15" hidden="false" customHeight="true" outlineLevel="0" collapsed="false">
      <c r="A789" s="7" t="s">
        <v>57</v>
      </c>
      <c r="B789" s="7" t="n">
        <v>1901</v>
      </c>
      <c r="C789" s="7" t="s">
        <v>358</v>
      </c>
      <c r="D789" s="7" t="n">
        <v>52</v>
      </c>
      <c r="E789" s="7" t="n">
        <v>87</v>
      </c>
      <c r="F789" s="7"/>
      <c r="G789" s="7"/>
      <c r="H789" s="7" t="s">
        <v>546</v>
      </c>
      <c r="I789" s="7"/>
      <c r="J789" s="21" t="n">
        <f aca="false">D789/(D789+E789)</f>
        <v>0.37410071942446</v>
      </c>
      <c r="K789" s="3" t="n">
        <f aca="false">IF(D789&gt;E789,1,0)</f>
        <v>0</v>
      </c>
      <c r="L789" s="3" t="n">
        <f aca="false">IF(OR(F789="Y",G789="Y",H789="Y"),1,0)</f>
        <v>0</v>
      </c>
      <c r="M789" s="3" t="n">
        <f aca="false">IF(H789="Y",1,0)</f>
        <v>0</v>
      </c>
      <c r="N789" s="3" t="n">
        <f aca="false">IF(I789="Y",1,0)</f>
        <v>0</v>
      </c>
    </row>
    <row r="790" customFormat="false" ht="15" hidden="false" customHeight="true" outlineLevel="0" collapsed="false">
      <c r="A790" s="7" t="s">
        <v>57</v>
      </c>
      <c r="B790" s="7" t="n">
        <v>1902</v>
      </c>
      <c r="C790" s="7" t="s">
        <v>358</v>
      </c>
      <c r="D790" s="7" t="n">
        <v>70</v>
      </c>
      <c r="E790" s="7" t="n">
        <v>70</v>
      </c>
      <c r="F790" s="7"/>
      <c r="G790" s="7"/>
      <c r="H790" s="7" t="s">
        <v>546</v>
      </c>
      <c r="I790" s="7"/>
      <c r="J790" s="21" t="n">
        <f aca="false">D790/(D790+E790)</f>
        <v>0.5</v>
      </c>
      <c r="K790" s="3" t="n">
        <f aca="false">IF(D790&gt;E790,1,0)</f>
        <v>0</v>
      </c>
      <c r="L790" s="3" t="n">
        <f aca="false">IF(OR(F790="Y",G790="Y",H790="Y"),1,0)</f>
        <v>0</v>
      </c>
      <c r="M790" s="3" t="n">
        <f aca="false">IF(H790="Y",1,0)</f>
        <v>0</v>
      </c>
      <c r="N790" s="3" t="n">
        <f aca="false">IF(I790="Y",1,0)</f>
        <v>0</v>
      </c>
    </row>
    <row r="791" customFormat="false" ht="15" hidden="false" customHeight="true" outlineLevel="0" collapsed="false">
      <c r="A791" s="7" t="s">
        <v>57</v>
      </c>
      <c r="B791" s="7" t="n">
        <v>1903</v>
      </c>
      <c r="C791" s="7" t="s">
        <v>358</v>
      </c>
      <c r="D791" s="7" t="n">
        <v>74</v>
      </c>
      <c r="E791" s="7" t="n">
        <v>65</v>
      </c>
      <c r="F791" s="7"/>
      <c r="G791" s="7"/>
      <c r="H791" s="7" t="s">
        <v>546</v>
      </c>
      <c r="I791" s="7" t="s">
        <v>546</v>
      </c>
      <c r="J791" s="21" t="n">
        <f aca="false">D791/(D791+E791)</f>
        <v>0.532374100719425</v>
      </c>
      <c r="K791" s="3" t="n">
        <f aca="false">IF(D791&gt;E791,1,0)</f>
        <v>1</v>
      </c>
      <c r="L791" s="3" t="n">
        <f aca="false">IF(OR(F791="Y",G791="Y",H791="Y"),1,0)</f>
        <v>0</v>
      </c>
      <c r="M791" s="3" t="n">
        <f aca="false">IF(H791="Y",1,0)</f>
        <v>0</v>
      </c>
      <c r="N791" s="3" t="n">
        <f aca="false">IF(I791="Y",1,0)</f>
        <v>0</v>
      </c>
    </row>
    <row r="792" customFormat="false" ht="15" hidden="false" customHeight="true" outlineLevel="0" collapsed="false">
      <c r="A792" s="7" t="s">
        <v>57</v>
      </c>
      <c r="B792" s="7" t="n">
        <v>1904</v>
      </c>
      <c r="C792" s="7" t="s">
        <v>358</v>
      </c>
      <c r="D792" s="7" t="n">
        <v>88</v>
      </c>
      <c r="E792" s="7" t="n">
        <v>65</v>
      </c>
      <c r="F792" s="7"/>
      <c r="G792" s="7"/>
      <c r="H792" s="7" t="s">
        <v>546</v>
      </c>
      <c r="I792" s="7"/>
      <c r="J792" s="21" t="n">
        <f aca="false">D792/(D792+E792)</f>
        <v>0.57516339869281</v>
      </c>
      <c r="K792" s="3" t="n">
        <f aca="false">IF(D792&gt;E792,1,0)</f>
        <v>1</v>
      </c>
      <c r="L792" s="3" t="n">
        <f aca="false">IF(OR(F792="Y",G792="Y",H792="Y"),1,0)</f>
        <v>0</v>
      </c>
      <c r="M792" s="3" t="n">
        <f aca="false">IF(H792="Y",1,0)</f>
        <v>0</v>
      </c>
      <c r="N792" s="3" t="n">
        <f aca="false">IF(I792="Y",1,0)</f>
        <v>0</v>
      </c>
    </row>
    <row r="793" customFormat="false" ht="15" hidden="false" customHeight="true" outlineLevel="0" collapsed="false">
      <c r="A793" s="7" t="s">
        <v>57</v>
      </c>
      <c r="B793" s="7" t="n">
        <v>1905</v>
      </c>
      <c r="C793" s="7" t="s">
        <v>358</v>
      </c>
      <c r="D793" s="7" t="n">
        <v>79</v>
      </c>
      <c r="E793" s="7" t="n">
        <v>74</v>
      </c>
      <c r="F793" s="7"/>
      <c r="G793" s="7"/>
      <c r="H793" s="7" t="s">
        <v>546</v>
      </c>
      <c r="I793" s="7" t="s">
        <v>546</v>
      </c>
      <c r="J793" s="21" t="n">
        <f aca="false">D793/(D793+E793)</f>
        <v>0.516339869281046</v>
      </c>
      <c r="K793" s="3" t="n">
        <f aca="false">IF(D793&gt;E793,1,0)</f>
        <v>1</v>
      </c>
      <c r="L793" s="3" t="n">
        <f aca="false">IF(OR(F793="Y",G793="Y",H793="Y"),1,0)</f>
        <v>0</v>
      </c>
      <c r="M793" s="3" t="n">
        <f aca="false">IF(H793="Y",1,0)</f>
        <v>0</v>
      </c>
      <c r="N793" s="3" t="n">
        <f aca="false">IF(I793="Y",1,0)</f>
        <v>0</v>
      </c>
    </row>
    <row r="794" customFormat="false" ht="15" hidden="false" customHeight="true" outlineLevel="0" collapsed="false">
      <c r="A794" s="7" t="s">
        <v>57</v>
      </c>
      <c r="B794" s="7" t="n">
        <v>1906</v>
      </c>
      <c r="C794" s="7" t="s">
        <v>358</v>
      </c>
      <c r="D794" s="7" t="n">
        <v>64</v>
      </c>
      <c r="E794" s="7" t="n">
        <v>87</v>
      </c>
      <c r="F794" s="7"/>
      <c r="G794" s="7"/>
      <c r="H794" s="7" t="s">
        <v>546</v>
      </c>
      <c r="I794" s="7" t="s">
        <v>546</v>
      </c>
      <c r="J794" s="21" t="n">
        <f aca="false">D794/(D794+E794)</f>
        <v>0.423841059602649</v>
      </c>
      <c r="K794" s="3" t="n">
        <f aca="false">IF(D794&gt;E794,1,0)</f>
        <v>0</v>
      </c>
      <c r="L794" s="3" t="n">
        <f aca="false">IF(OR(F794="Y",G794="Y",H794="Y"),1,0)</f>
        <v>0</v>
      </c>
      <c r="M794" s="3" t="n">
        <f aca="false">IF(H794="Y",1,0)</f>
        <v>0</v>
      </c>
      <c r="N794" s="3" t="n">
        <f aca="false">IF(I794="Y",1,0)</f>
        <v>0</v>
      </c>
    </row>
    <row r="795" customFormat="false" ht="15" hidden="false" customHeight="true" outlineLevel="0" collapsed="false">
      <c r="A795" s="7" t="s">
        <v>57</v>
      </c>
      <c r="B795" s="7" t="n">
        <v>1907</v>
      </c>
      <c r="C795" s="7" t="s">
        <v>358</v>
      </c>
      <c r="D795" s="7" t="n">
        <v>66</v>
      </c>
      <c r="E795" s="7" t="n">
        <v>87</v>
      </c>
      <c r="F795" s="7"/>
      <c r="G795" s="7"/>
      <c r="H795" s="7" t="s">
        <v>546</v>
      </c>
      <c r="I795" s="7" t="s">
        <v>546</v>
      </c>
      <c r="J795" s="21" t="n">
        <f aca="false">D795/(D795+E795)</f>
        <v>0.431372549019608</v>
      </c>
      <c r="K795" s="3" t="n">
        <f aca="false">IF(D795&gt;E795,1,0)</f>
        <v>0</v>
      </c>
      <c r="L795" s="3" t="n">
        <f aca="false">IF(OR(F795="Y",G795="Y",H795="Y"),1,0)</f>
        <v>0</v>
      </c>
      <c r="M795" s="3" t="n">
        <f aca="false">IF(H795="Y",1,0)</f>
        <v>0</v>
      </c>
      <c r="N795" s="3" t="n">
        <f aca="false">IF(I795="Y",1,0)</f>
        <v>0</v>
      </c>
    </row>
    <row r="796" customFormat="false" ht="15" hidden="false" customHeight="true" outlineLevel="0" collapsed="false">
      <c r="A796" s="7" t="s">
        <v>57</v>
      </c>
      <c r="B796" s="7" t="n">
        <v>1908</v>
      </c>
      <c r="C796" s="7" t="s">
        <v>358</v>
      </c>
      <c r="D796" s="7" t="n">
        <v>73</v>
      </c>
      <c r="E796" s="7" t="n">
        <v>81</v>
      </c>
      <c r="F796" s="7"/>
      <c r="G796" s="7"/>
      <c r="H796" s="7" t="s">
        <v>546</v>
      </c>
      <c r="I796" s="7" t="s">
        <v>546</v>
      </c>
      <c r="J796" s="21" t="n">
        <f aca="false">D796/(D796+E796)</f>
        <v>0.474025974025974</v>
      </c>
      <c r="K796" s="3" t="n">
        <f aca="false">IF(D796&gt;E796,1,0)</f>
        <v>0</v>
      </c>
      <c r="L796" s="3" t="n">
        <f aca="false">IF(OR(F796="Y",G796="Y",H796="Y"),1,0)</f>
        <v>0</v>
      </c>
      <c r="M796" s="3" t="n">
        <f aca="false">IF(H796="Y",1,0)</f>
        <v>0</v>
      </c>
      <c r="N796" s="3" t="n">
        <f aca="false">IF(I796="Y",1,0)</f>
        <v>0</v>
      </c>
    </row>
    <row r="797" customFormat="false" ht="15" hidden="false" customHeight="true" outlineLevel="0" collapsed="false">
      <c r="A797" s="7" t="s">
        <v>57</v>
      </c>
      <c r="B797" s="7" t="n">
        <v>1909</v>
      </c>
      <c r="C797" s="7" t="s">
        <v>358</v>
      </c>
      <c r="D797" s="7" t="n">
        <v>77</v>
      </c>
      <c r="E797" s="7" t="n">
        <v>76</v>
      </c>
      <c r="F797" s="7"/>
      <c r="G797" s="7"/>
      <c r="H797" s="7" t="s">
        <v>546</v>
      </c>
      <c r="I797" s="7" t="s">
        <v>546</v>
      </c>
      <c r="J797" s="21" t="n">
        <f aca="false">D797/(D797+E797)</f>
        <v>0.503267973856209</v>
      </c>
      <c r="K797" s="3" t="n">
        <f aca="false">IF(D797&gt;E797,1,0)</f>
        <v>1</v>
      </c>
      <c r="L797" s="3" t="n">
        <f aca="false">IF(OR(F797="Y",G797="Y",H797="Y"),1,0)</f>
        <v>0</v>
      </c>
      <c r="M797" s="3" t="n">
        <f aca="false">IF(H797="Y",1,0)</f>
        <v>0</v>
      </c>
      <c r="N797" s="3" t="n">
        <f aca="false">IF(I797="Y",1,0)</f>
        <v>0</v>
      </c>
    </row>
    <row r="798" customFormat="false" ht="15" hidden="false" customHeight="true" outlineLevel="0" collapsed="false">
      <c r="A798" s="7" t="s">
        <v>57</v>
      </c>
      <c r="B798" s="7" t="n">
        <v>1910</v>
      </c>
      <c r="C798" s="7" t="s">
        <v>358</v>
      </c>
      <c r="D798" s="7" t="n">
        <v>75</v>
      </c>
      <c r="E798" s="7" t="n">
        <v>79</v>
      </c>
      <c r="F798" s="7"/>
      <c r="G798" s="7"/>
      <c r="H798" s="7" t="s">
        <v>546</v>
      </c>
      <c r="I798" s="7" t="s">
        <v>546</v>
      </c>
      <c r="J798" s="21" t="n">
        <f aca="false">D798/(D798+E798)</f>
        <v>0.487012987012987</v>
      </c>
      <c r="K798" s="3" t="n">
        <f aca="false">IF(D798&gt;E798,1,0)</f>
        <v>0</v>
      </c>
      <c r="L798" s="3" t="n">
        <f aca="false">IF(OR(F798="Y",G798="Y",H798="Y"),1,0)</f>
        <v>0</v>
      </c>
      <c r="M798" s="3" t="n">
        <f aca="false">IF(H798="Y",1,0)</f>
        <v>0</v>
      </c>
      <c r="N798" s="3" t="n">
        <f aca="false">IF(I798="Y",1,0)</f>
        <v>0</v>
      </c>
    </row>
    <row r="799" customFormat="false" ht="15" hidden="false" customHeight="true" outlineLevel="0" collapsed="false">
      <c r="A799" s="7" t="s">
        <v>57</v>
      </c>
      <c r="B799" s="7" t="n">
        <v>1911</v>
      </c>
      <c r="C799" s="7" t="s">
        <v>358</v>
      </c>
      <c r="D799" s="7" t="n">
        <v>70</v>
      </c>
      <c r="E799" s="7" t="n">
        <v>83</v>
      </c>
      <c r="F799" s="7"/>
      <c r="G799" s="7"/>
      <c r="H799" s="7" t="s">
        <v>546</v>
      </c>
      <c r="I799" s="7" t="s">
        <v>546</v>
      </c>
      <c r="J799" s="21" t="n">
        <f aca="false">D799/(D799+E799)</f>
        <v>0.457516339869281</v>
      </c>
      <c r="K799" s="3" t="n">
        <f aca="false">IF(D799&gt;E799,1,0)</f>
        <v>0</v>
      </c>
      <c r="L799" s="3" t="n">
        <f aca="false">IF(OR(F799="Y",G799="Y",H799="Y"),1,0)</f>
        <v>0</v>
      </c>
      <c r="M799" s="3" t="n">
        <f aca="false">IF(H799="Y",1,0)</f>
        <v>0</v>
      </c>
      <c r="N799" s="3" t="n">
        <f aca="false">IF(I799="Y",1,0)</f>
        <v>0</v>
      </c>
    </row>
    <row r="800" customFormat="false" ht="15" hidden="false" customHeight="true" outlineLevel="0" collapsed="false">
      <c r="A800" s="7" t="s">
        <v>57</v>
      </c>
      <c r="B800" s="7" t="n">
        <v>1912</v>
      </c>
      <c r="C800" s="7" t="s">
        <v>358</v>
      </c>
      <c r="D800" s="7" t="n">
        <v>75</v>
      </c>
      <c r="E800" s="7" t="n">
        <v>78</v>
      </c>
      <c r="F800" s="7"/>
      <c r="G800" s="7"/>
      <c r="H800" s="7" t="s">
        <v>546</v>
      </c>
      <c r="I800" s="7" t="s">
        <v>546</v>
      </c>
      <c r="J800" s="21" t="n">
        <f aca="false">D800/(D800+E800)</f>
        <v>0.490196078431373</v>
      </c>
      <c r="K800" s="3" t="n">
        <f aca="false">IF(D800&gt;E800,1,0)</f>
        <v>0</v>
      </c>
      <c r="L800" s="3" t="n">
        <f aca="false">IF(OR(F800="Y",G800="Y",H800="Y"),1,0)</f>
        <v>0</v>
      </c>
      <c r="M800" s="3" t="n">
        <f aca="false">IF(H800="Y",1,0)</f>
        <v>0</v>
      </c>
      <c r="N800" s="3" t="n">
        <f aca="false">IF(I800="Y",1,0)</f>
        <v>0</v>
      </c>
    </row>
    <row r="801" customFormat="false" ht="15" hidden="false" customHeight="true" outlineLevel="0" collapsed="false">
      <c r="A801" s="7" t="s">
        <v>57</v>
      </c>
      <c r="B801" s="7" t="n">
        <v>1913</v>
      </c>
      <c r="C801" s="7" t="s">
        <v>358</v>
      </c>
      <c r="D801" s="7" t="n">
        <v>64</v>
      </c>
      <c r="E801" s="7" t="n">
        <v>89</v>
      </c>
      <c r="F801" s="7"/>
      <c r="G801" s="7"/>
      <c r="H801" s="7" t="s">
        <v>546</v>
      </c>
      <c r="I801" s="7" t="s">
        <v>546</v>
      </c>
      <c r="J801" s="21" t="n">
        <f aca="false">D801/(D801+E801)</f>
        <v>0.418300653594771</v>
      </c>
      <c r="K801" s="3" t="n">
        <f aca="false">IF(D801&gt;E801,1,0)</f>
        <v>0</v>
      </c>
      <c r="L801" s="3" t="n">
        <f aca="false">IF(OR(F801="Y",G801="Y",H801="Y"),1,0)</f>
        <v>0</v>
      </c>
      <c r="M801" s="3" t="n">
        <f aca="false">IF(H801="Y",1,0)</f>
        <v>0</v>
      </c>
      <c r="N801" s="3" t="n">
        <f aca="false">IF(I801="Y",1,0)</f>
        <v>0</v>
      </c>
    </row>
    <row r="802" customFormat="false" ht="15" hidden="false" customHeight="true" outlineLevel="0" collapsed="false">
      <c r="A802" s="7" t="s">
        <v>57</v>
      </c>
      <c r="B802" s="7" t="n">
        <v>1914</v>
      </c>
      <c r="C802" s="7" t="s">
        <v>358</v>
      </c>
      <c r="D802" s="7" t="n">
        <v>60</v>
      </c>
      <c r="E802" s="7" t="n">
        <v>94</v>
      </c>
      <c r="F802" s="7"/>
      <c r="G802" s="7"/>
      <c r="H802" s="7" t="s">
        <v>546</v>
      </c>
      <c r="I802" s="7" t="s">
        <v>546</v>
      </c>
      <c r="J802" s="21" t="n">
        <f aca="false">D802/(D802+E802)</f>
        <v>0.38961038961039</v>
      </c>
      <c r="K802" s="3" t="n">
        <f aca="false">IF(D802&gt;E802,1,0)</f>
        <v>0</v>
      </c>
      <c r="L802" s="3" t="n">
        <f aca="false">IF(OR(F802="Y",G802="Y",H802="Y"),1,0)</f>
        <v>0</v>
      </c>
      <c r="M802" s="3" t="n">
        <f aca="false">IF(H802="Y",1,0)</f>
        <v>0</v>
      </c>
      <c r="N802" s="3" t="n">
        <f aca="false">IF(I802="Y",1,0)</f>
        <v>0</v>
      </c>
    </row>
    <row r="803" customFormat="false" ht="15" hidden="false" customHeight="true" outlineLevel="0" collapsed="false">
      <c r="A803" s="7" t="s">
        <v>57</v>
      </c>
      <c r="B803" s="7" t="n">
        <v>1915</v>
      </c>
      <c r="C803" s="7" t="s">
        <v>358</v>
      </c>
      <c r="D803" s="7" t="n">
        <v>71</v>
      </c>
      <c r="E803" s="7" t="n">
        <v>83</v>
      </c>
      <c r="F803" s="7"/>
      <c r="G803" s="7"/>
      <c r="H803" s="7" t="s">
        <v>546</v>
      </c>
      <c r="I803" s="7" t="s">
        <v>546</v>
      </c>
      <c r="J803" s="21" t="n">
        <f aca="false">D803/(D803+E803)</f>
        <v>0.461038961038961</v>
      </c>
      <c r="K803" s="3" t="n">
        <f aca="false">IF(D803&gt;E803,1,0)</f>
        <v>0</v>
      </c>
      <c r="L803" s="3" t="n">
        <f aca="false">IF(OR(F803="Y",G803="Y",H803="Y"),1,0)</f>
        <v>0</v>
      </c>
      <c r="M803" s="3" t="n">
        <f aca="false">IF(H803="Y",1,0)</f>
        <v>0</v>
      </c>
      <c r="N803" s="3" t="n">
        <f aca="false">IF(I803="Y",1,0)</f>
        <v>0</v>
      </c>
    </row>
    <row r="804" customFormat="false" ht="15" hidden="false" customHeight="true" outlineLevel="0" collapsed="false">
      <c r="A804" s="7" t="s">
        <v>57</v>
      </c>
      <c r="B804" s="7" t="n">
        <v>1916</v>
      </c>
      <c r="C804" s="7" t="s">
        <v>358</v>
      </c>
      <c r="D804" s="7" t="n">
        <v>60</v>
      </c>
      <c r="E804" s="7" t="n">
        <v>93</v>
      </c>
      <c r="F804" s="7"/>
      <c r="G804" s="7"/>
      <c r="H804" s="7" t="s">
        <v>546</v>
      </c>
      <c r="I804" s="7" t="s">
        <v>546</v>
      </c>
      <c r="J804" s="21" t="n">
        <f aca="false">D804/(D804+E804)</f>
        <v>0.392156862745098</v>
      </c>
      <c r="K804" s="3" t="n">
        <f aca="false">IF(D804&gt;E804,1,0)</f>
        <v>0</v>
      </c>
      <c r="L804" s="3" t="n">
        <f aca="false">IF(OR(F804="Y",G804="Y",H804="Y"),1,0)</f>
        <v>0</v>
      </c>
      <c r="M804" s="3" t="n">
        <f aca="false">IF(H804="Y",1,0)</f>
        <v>0</v>
      </c>
      <c r="N804" s="3" t="n">
        <f aca="false">IF(I804="Y",1,0)</f>
        <v>0</v>
      </c>
    </row>
    <row r="805" customFormat="false" ht="15" hidden="false" customHeight="true" outlineLevel="0" collapsed="false">
      <c r="A805" s="7" t="s">
        <v>57</v>
      </c>
      <c r="B805" s="7" t="n">
        <v>1917</v>
      </c>
      <c r="C805" s="7" t="s">
        <v>358</v>
      </c>
      <c r="D805" s="7" t="n">
        <v>78</v>
      </c>
      <c r="E805" s="7" t="n">
        <v>76</v>
      </c>
      <c r="F805" s="7"/>
      <c r="G805" s="7"/>
      <c r="H805" s="7" t="s">
        <v>546</v>
      </c>
      <c r="I805" s="7" t="s">
        <v>546</v>
      </c>
      <c r="J805" s="21" t="n">
        <f aca="false">D805/(D805+E805)</f>
        <v>0.506493506493506</v>
      </c>
      <c r="K805" s="3" t="n">
        <f aca="false">IF(D805&gt;E805,1,0)</f>
        <v>1</v>
      </c>
      <c r="L805" s="3" t="n">
        <f aca="false">IF(OR(F805="Y",G805="Y",H805="Y"),1,0)</f>
        <v>0</v>
      </c>
      <c r="M805" s="3" t="n">
        <f aca="false">IF(H805="Y",1,0)</f>
        <v>0</v>
      </c>
      <c r="N805" s="3" t="n">
        <f aca="false">IF(I805="Y",1,0)</f>
        <v>0</v>
      </c>
    </row>
    <row r="806" customFormat="false" ht="15" hidden="false" customHeight="true" outlineLevel="0" collapsed="false">
      <c r="A806" s="7" t="s">
        <v>57</v>
      </c>
      <c r="B806" s="7" t="n">
        <v>1918</v>
      </c>
      <c r="C806" s="7" t="s">
        <v>358</v>
      </c>
      <c r="D806" s="7" t="n">
        <v>68</v>
      </c>
      <c r="E806" s="7" t="n">
        <v>60</v>
      </c>
      <c r="F806" s="7"/>
      <c r="G806" s="7"/>
      <c r="H806" s="7" t="s">
        <v>546</v>
      </c>
      <c r="I806" s="7" t="s">
        <v>546</v>
      </c>
      <c r="J806" s="21" t="n">
        <f aca="false">D806/(D806+E806)</f>
        <v>0.53125</v>
      </c>
      <c r="K806" s="3" t="n">
        <f aca="false">IF(D806&gt;E806,1,0)</f>
        <v>1</v>
      </c>
      <c r="L806" s="3" t="n">
        <f aca="false">IF(OR(F806="Y",G806="Y",H806="Y"),1,0)</f>
        <v>0</v>
      </c>
      <c r="M806" s="3" t="n">
        <f aca="false">IF(H806="Y",1,0)</f>
        <v>0</v>
      </c>
      <c r="N806" s="3" t="n">
        <f aca="false">IF(I806="Y",1,0)</f>
        <v>0</v>
      </c>
    </row>
    <row r="807" customFormat="false" ht="15" hidden="false" customHeight="true" outlineLevel="0" collapsed="false">
      <c r="A807" s="7" t="s">
        <v>57</v>
      </c>
      <c r="B807" s="7" t="n">
        <v>1919</v>
      </c>
      <c r="C807" s="7" t="s">
        <v>358</v>
      </c>
      <c r="D807" s="7" t="n">
        <v>96</v>
      </c>
      <c r="E807" s="7" t="n">
        <v>44</v>
      </c>
      <c r="F807" s="7"/>
      <c r="G807" s="7"/>
      <c r="H807" s="7" t="s">
        <v>548</v>
      </c>
      <c r="I807" s="7" t="s">
        <v>548</v>
      </c>
      <c r="J807" s="21" t="n">
        <f aca="false">D807/(D807+E807)</f>
        <v>0.685714285714286</v>
      </c>
      <c r="K807" s="3" t="n">
        <f aca="false">IF(D807&gt;E807,1,0)</f>
        <v>1</v>
      </c>
      <c r="L807" s="3" t="n">
        <f aca="false">IF(OR(F807="Y",G807="Y",H807="Y"),1,0)</f>
        <v>1</v>
      </c>
      <c r="M807" s="3" t="n">
        <f aca="false">IF(H807="Y",1,0)</f>
        <v>1</v>
      </c>
      <c r="N807" s="3" t="n">
        <f aca="false">IF(I807="Y",1,0)</f>
        <v>1</v>
      </c>
    </row>
    <row r="808" customFormat="false" ht="15" hidden="false" customHeight="true" outlineLevel="0" collapsed="false">
      <c r="A808" s="7" t="s">
        <v>57</v>
      </c>
      <c r="B808" s="7" t="n">
        <v>1920</v>
      </c>
      <c r="C808" s="7" t="s">
        <v>358</v>
      </c>
      <c r="D808" s="7" t="n">
        <v>82</v>
      </c>
      <c r="E808" s="7" t="n">
        <v>71</v>
      </c>
      <c r="F808" s="7"/>
      <c r="G808" s="7"/>
      <c r="H808" s="7" t="s">
        <v>546</v>
      </c>
      <c r="I808" s="7" t="s">
        <v>546</v>
      </c>
      <c r="J808" s="21" t="n">
        <f aca="false">D808/(D808+E808)</f>
        <v>0.535947712418301</v>
      </c>
      <c r="K808" s="3" t="n">
        <f aca="false">IF(D808&gt;E808,1,0)</f>
        <v>1</v>
      </c>
      <c r="L808" s="3" t="n">
        <f aca="false">IF(OR(F808="Y",G808="Y",H808="Y"),1,0)</f>
        <v>0</v>
      </c>
      <c r="M808" s="3" t="n">
        <f aca="false">IF(H808="Y",1,0)</f>
        <v>0</v>
      </c>
      <c r="N808" s="3" t="n">
        <f aca="false">IF(I808="Y",1,0)</f>
        <v>0</v>
      </c>
    </row>
    <row r="809" customFormat="false" ht="15" hidden="false" customHeight="true" outlineLevel="0" collapsed="false">
      <c r="A809" s="7" t="s">
        <v>57</v>
      </c>
      <c r="B809" s="7" t="n">
        <v>1921</v>
      </c>
      <c r="C809" s="7" t="s">
        <v>358</v>
      </c>
      <c r="D809" s="7" t="n">
        <v>70</v>
      </c>
      <c r="E809" s="7" t="n">
        <v>83</v>
      </c>
      <c r="F809" s="7"/>
      <c r="G809" s="7"/>
      <c r="H809" s="7" t="s">
        <v>546</v>
      </c>
      <c r="I809" s="7" t="s">
        <v>546</v>
      </c>
      <c r="J809" s="21" t="n">
        <f aca="false">D809/(D809+E809)</f>
        <v>0.457516339869281</v>
      </c>
      <c r="K809" s="3" t="n">
        <f aca="false">IF(D809&gt;E809,1,0)</f>
        <v>0</v>
      </c>
      <c r="L809" s="3" t="n">
        <f aca="false">IF(OR(F809="Y",G809="Y",H809="Y"),1,0)</f>
        <v>0</v>
      </c>
      <c r="M809" s="3" t="n">
        <f aca="false">IF(H809="Y",1,0)</f>
        <v>0</v>
      </c>
      <c r="N809" s="3" t="n">
        <f aca="false">IF(I809="Y",1,0)</f>
        <v>0</v>
      </c>
    </row>
    <row r="810" customFormat="false" ht="15" hidden="false" customHeight="true" outlineLevel="0" collapsed="false">
      <c r="A810" s="7" t="s">
        <v>57</v>
      </c>
      <c r="B810" s="7" t="n">
        <v>1922</v>
      </c>
      <c r="C810" s="7" t="s">
        <v>358</v>
      </c>
      <c r="D810" s="7" t="n">
        <v>86</v>
      </c>
      <c r="E810" s="7" t="n">
        <v>68</v>
      </c>
      <c r="F810" s="7"/>
      <c r="G810" s="7"/>
      <c r="H810" s="7" t="s">
        <v>546</v>
      </c>
      <c r="I810" s="7" t="s">
        <v>546</v>
      </c>
      <c r="J810" s="21" t="n">
        <f aca="false">D810/(D810+E810)</f>
        <v>0.558441558441558</v>
      </c>
      <c r="K810" s="3" t="n">
        <f aca="false">IF(D810&gt;E810,1,0)</f>
        <v>1</v>
      </c>
      <c r="L810" s="3" t="n">
        <f aca="false">IF(OR(F810="Y",G810="Y",H810="Y"),1,0)</f>
        <v>0</v>
      </c>
      <c r="M810" s="3" t="n">
        <f aca="false">IF(H810="Y",1,0)</f>
        <v>0</v>
      </c>
      <c r="N810" s="3" t="n">
        <f aca="false">IF(I810="Y",1,0)</f>
        <v>0</v>
      </c>
    </row>
    <row r="811" customFormat="false" ht="15" hidden="false" customHeight="true" outlineLevel="0" collapsed="false">
      <c r="A811" s="7" t="s">
        <v>57</v>
      </c>
      <c r="B811" s="7" t="n">
        <v>1923</v>
      </c>
      <c r="C811" s="7" t="s">
        <v>358</v>
      </c>
      <c r="D811" s="7" t="n">
        <v>91</v>
      </c>
      <c r="E811" s="7" t="n">
        <v>63</v>
      </c>
      <c r="F811" s="7"/>
      <c r="G811" s="7"/>
      <c r="H811" s="7" t="s">
        <v>546</v>
      </c>
      <c r="I811" s="7" t="s">
        <v>546</v>
      </c>
      <c r="J811" s="21" t="n">
        <f aca="false">D811/(D811+E811)</f>
        <v>0.590909090909091</v>
      </c>
      <c r="K811" s="3" t="n">
        <f aca="false">IF(D811&gt;E811,1,0)</f>
        <v>1</v>
      </c>
      <c r="L811" s="3" t="n">
        <f aca="false">IF(OR(F811="Y",G811="Y",H811="Y"),1,0)</f>
        <v>0</v>
      </c>
      <c r="M811" s="3" t="n">
        <f aca="false">IF(H811="Y",1,0)</f>
        <v>0</v>
      </c>
      <c r="N811" s="3" t="n">
        <f aca="false">IF(I811="Y",1,0)</f>
        <v>0</v>
      </c>
    </row>
    <row r="812" customFormat="false" ht="15" hidden="false" customHeight="true" outlineLevel="0" collapsed="false">
      <c r="A812" s="7" t="s">
        <v>57</v>
      </c>
      <c r="B812" s="7" t="n">
        <v>1924</v>
      </c>
      <c r="C812" s="7" t="s">
        <v>358</v>
      </c>
      <c r="D812" s="7" t="n">
        <v>83</v>
      </c>
      <c r="E812" s="7" t="n">
        <v>70</v>
      </c>
      <c r="F812" s="7"/>
      <c r="G812" s="7"/>
      <c r="H812" s="7" t="s">
        <v>546</v>
      </c>
      <c r="I812" s="7" t="s">
        <v>546</v>
      </c>
      <c r="J812" s="21" t="n">
        <f aca="false">D812/(D812+E812)</f>
        <v>0.542483660130719</v>
      </c>
      <c r="K812" s="3" t="n">
        <f aca="false">IF(D812&gt;E812,1,0)</f>
        <v>1</v>
      </c>
      <c r="L812" s="3" t="n">
        <f aca="false">IF(OR(F812="Y",G812="Y",H812="Y"),1,0)</f>
        <v>0</v>
      </c>
      <c r="M812" s="3" t="n">
        <f aca="false">IF(H812="Y",1,0)</f>
        <v>0</v>
      </c>
      <c r="N812" s="3" t="n">
        <f aca="false">IF(I812="Y",1,0)</f>
        <v>0</v>
      </c>
    </row>
    <row r="813" customFormat="false" ht="15" hidden="false" customHeight="true" outlineLevel="0" collapsed="false">
      <c r="A813" s="7" t="s">
        <v>57</v>
      </c>
      <c r="B813" s="7" t="n">
        <v>1925</v>
      </c>
      <c r="C813" s="7" t="s">
        <v>358</v>
      </c>
      <c r="D813" s="7" t="n">
        <v>80</v>
      </c>
      <c r="E813" s="7" t="n">
        <v>73</v>
      </c>
      <c r="F813" s="7"/>
      <c r="G813" s="7"/>
      <c r="H813" s="7" t="s">
        <v>546</v>
      </c>
      <c r="I813" s="7" t="s">
        <v>546</v>
      </c>
      <c r="J813" s="21" t="n">
        <f aca="false">D813/(D813+E813)</f>
        <v>0.522875816993464</v>
      </c>
      <c r="K813" s="3" t="n">
        <f aca="false">IF(D813&gt;E813,1,0)</f>
        <v>1</v>
      </c>
      <c r="L813" s="3" t="n">
        <f aca="false">IF(OR(F813="Y",G813="Y",H813="Y"),1,0)</f>
        <v>0</v>
      </c>
      <c r="M813" s="3" t="n">
        <f aca="false">IF(H813="Y",1,0)</f>
        <v>0</v>
      </c>
      <c r="N813" s="3" t="n">
        <f aca="false">IF(I813="Y",1,0)</f>
        <v>0</v>
      </c>
    </row>
    <row r="814" customFormat="false" ht="15" hidden="false" customHeight="true" outlineLevel="0" collapsed="false">
      <c r="A814" s="7" t="s">
        <v>57</v>
      </c>
      <c r="B814" s="7" t="n">
        <v>1926</v>
      </c>
      <c r="C814" s="7" t="s">
        <v>358</v>
      </c>
      <c r="D814" s="7" t="n">
        <v>87</v>
      </c>
      <c r="E814" s="7" t="n">
        <v>67</v>
      </c>
      <c r="F814" s="7"/>
      <c r="G814" s="7"/>
      <c r="H814" s="7" t="s">
        <v>546</v>
      </c>
      <c r="I814" s="7" t="s">
        <v>546</v>
      </c>
      <c r="J814" s="21" t="n">
        <f aca="false">D814/(D814+E814)</f>
        <v>0.564935064935065</v>
      </c>
      <c r="K814" s="3" t="n">
        <f aca="false">IF(D814&gt;E814,1,0)</f>
        <v>1</v>
      </c>
      <c r="L814" s="3" t="n">
        <f aca="false">IF(OR(F814="Y",G814="Y",H814="Y"),1,0)</f>
        <v>0</v>
      </c>
      <c r="M814" s="3" t="n">
        <f aca="false">IF(H814="Y",1,0)</f>
        <v>0</v>
      </c>
      <c r="N814" s="3" t="n">
        <f aca="false">IF(I814="Y",1,0)</f>
        <v>0</v>
      </c>
    </row>
    <row r="815" customFormat="false" ht="15" hidden="false" customHeight="true" outlineLevel="0" collapsed="false">
      <c r="A815" s="7" t="s">
        <v>57</v>
      </c>
      <c r="B815" s="7" t="n">
        <v>1927</v>
      </c>
      <c r="C815" s="7" t="s">
        <v>358</v>
      </c>
      <c r="D815" s="7" t="n">
        <v>75</v>
      </c>
      <c r="E815" s="7" t="n">
        <v>78</v>
      </c>
      <c r="F815" s="7"/>
      <c r="G815" s="7"/>
      <c r="H815" s="7" t="s">
        <v>546</v>
      </c>
      <c r="I815" s="7" t="s">
        <v>546</v>
      </c>
      <c r="J815" s="21" t="n">
        <f aca="false">D815/(D815+E815)</f>
        <v>0.490196078431373</v>
      </c>
      <c r="K815" s="3" t="n">
        <f aca="false">IF(D815&gt;E815,1,0)</f>
        <v>0</v>
      </c>
      <c r="L815" s="3" t="n">
        <f aca="false">IF(OR(F815="Y",G815="Y",H815="Y"),1,0)</f>
        <v>0</v>
      </c>
      <c r="M815" s="3" t="n">
        <f aca="false">IF(H815="Y",1,0)</f>
        <v>0</v>
      </c>
      <c r="N815" s="3" t="n">
        <f aca="false">IF(I815="Y",1,0)</f>
        <v>0</v>
      </c>
    </row>
    <row r="816" customFormat="false" ht="15" hidden="false" customHeight="true" outlineLevel="0" collapsed="false">
      <c r="A816" s="7" t="s">
        <v>57</v>
      </c>
      <c r="B816" s="7" t="n">
        <v>1928</v>
      </c>
      <c r="C816" s="7" t="s">
        <v>358</v>
      </c>
      <c r="D816" s="7" t="n">
        <v>78</v>
      </c>
      <c r="E816" s="7" t="n">
        <v>74</v>
      </c>
      <c r="F816" s="7"/>
      <c r="G816" s="7"/>
      <c r="H816" s="7" t="s">
        <v>546</v>
      </c>
      <c r="I816" s="7" t="s">
        <v>546</v>
      </c>
      <c r="J816" s="21" t="n">
        <f aca="false">D816/(D816+E816)</f>
        <v>0.513157894736842</v>
      </c>
      <c r="K816" s="3" t="n">
        <f aca="false">IF(D816&gt;E816,1,0)</f>
        <v>1</v>
      </c>
      <c r="L816" s="3" t="n">
        <f aca="false">IF(OR(F816="Y",G816="Y",H816="Y"),1,0)</f>
        <v>0</v>
      </c>
      <c r="M816" s="3" t="n">
        <f aca="false">IF(H816="Y",1,0)</f>
        <v>0</v>
      </c>
      <c r="N816" s="3" t="n">
        <f aca="false">IF(I816="Y",1,0)</f>
        <v>0</v>
      </c>
    </row>
    <row r="817" customFormat="false" ht="15" hidden="false" customHeight="true" outlineLevel="0" collapsed="false">
      <c r="A817" s="7" t="s">
        <v>57</v>
      </c>
      <c r="B817" s="7" t="n">
        <v>1929</v>
      </c>
      <c r="C817" s="7" t="s">
        <v>358</v>
      </c>
      <c r="D817" s="7" t="n">
        <v>66</v>
      </c>
      <c r="E817" s="7" t="n">
        <v>88</v>
      </c>
      <c r="F817" s="7"/>
      <c r="G817" s="7"/>
      <c r="H817" s="7" t="s">
        <v>546</v>
      </c>
      <c r="I817" s="7" t="s">
        <v>546</v>
      </c>
      <c r="J817" s="21" t="n">
        <f aca="false">D817/(D817+E817)</f>
        <v>0.428571428571429</v>
      </c>
      <c r="K817" s="3" t="n">
        <f aca="false">IF(D817&gt;E817,1,0)</f>
        <v>0</v>
      </c>
      <c r="L817" s="3" t="n">
        <f aca="false">IF(OR(F817="Y",G817="Y",H817="Y"),1,0)</f>
        <v>0</v>
      </c>
      <c r="M817" s="3" t="n">
        <f aca="false">IF(H817="Y",1,0)</f>
        <v>0</v>
      </c>
      <c r="N817" s="3" t="n">
        <f aca="false">IF(I817="Y",1,0)</f>
        <v>0</v>
      </c>
    </row>
    <row r="818" customFormat="false" ht="15" hidden="false" customHeight="true" outlineLevel="0" collapsed="false">
      <c r="A818" s="7" t="s">
        <v>57</v>
      </c>
      <c r="B818" s="7" t="n">
        <v>1930</v>
      </c>
      <c r="C818" s="7" t="s">
        <v>358</v>
      </c>
      <c r="D818" s="7" t="n">
        <v>59</v>
      </c>
      <c r="E818" s="7" t="n">
        <v>95</v>
      </c>
      <c r="F818" s="7"/>
      <c r="G818" s="7"/>
      <c r="H818" s="7" t="s">
        <v>546</v>
      </c>
      <c r="I818" s="7" t="s">
        <v>546</v>
      </c>
      <c r="J818" s="21" t="n">
        <f aca="false">D818/(D818+E818)</f>
        <v>0.383116883116883</v>
      </c>
      <c r="K818" s="3" t="n">
        <f aca="false">IF(D818&gt;E818,1,0)</f>
        <v>0</v>
      </c>
      <c r="L818" s="3" t="n">
        <f aca="false">IF(OR(F818="Y",G818="Y",H818="Y"),1,0)</f>
        <v>0</v>
      </c>
      <c r="M818" s="3" t="n">
        <f aca="false">IF(H818="Y",1,0)</f>
        <v>0</v>
      </c>
      <c r="N818" s="3" t="n">
        <f aca="false">IF(I818="Y",1,0)</f>
        <v>0</v>
      </c>
    </row>
    <row r="819" customFormat="false" ht="15" hidden="false" customHeight="true" outlineLevel="0" collapsed="false">
      <c r="A819" s="7" t="s">
        <v>57</v>
      </c>
      <c r="B819" s="7" t="n">
        <v>1931</v>
      </c>
      <c r="C819" s="7" t="s">
        <v>358</v>
      </c>
      <c r="D819" s="7" t="n">
        <v>58</v>
      </c>
      <c r="E819" s="7" t="n">
        <v>96</v>
      </c>
      <c r="F819" s="7"/>
      <c r="G819" s="7"/>
      <c r="H819" s="7" t="s">
        <v>546</v>
      </c>
      <c r="I819" s="7" t="s">
        <v>546</v>
      </c>
      <c r="J819" s="21" t="n">
        <f aca="false">D819/(D819+E819)</f>
        <v>0.376623376623377</v>
      </c>
      <c r="K819" s="3" t="n">
        <f aca="false">IF(D819&gt;E819,1,0)</f>
        <v>0</v>
      </c>
      <c r="L819" s="3" t="n">
        <f aca="false">IF(OR(F819="Y",G819="Y",H819="Y"),1,0)</f>
        <v>0</v>
      </c>
      <c r="M819" s="3" t="n">
        <f aca="false">IF(H819="Y",1,0)</f>
        <v>0</v>
      </c>
      <c r="N819" s="3" t="n">
        <f aca="false">IF(I819="Y",1,0)</f>
        <v>0</v>
      </c>
    </row>
    <row r="820" customFormat="false" ht="15" hidden="false" customHeight="true" outlineLevel="0" collapsed="false">
      <c r="A820" s="7" t="s">
        <v>57</v>
      </c>
      <c r="B820" s="7" t="n">
        <v>1932</v>
      </c>
      <c r="C820" s="7" t="s">
        <v>358</v>
      </c>
      <c r="D820" s="7" t="n">
        <v>60</v>
      </c>
      <c r="E820" s="7" t="n">
        <v>94</v>
      </c>
      <c r="F820" s="7"/>
      <c r="G820" s="7"/>
      <c r="H820" s="7" t="s">
        <v>546</v>
      </c>
      <c r="I820" s="7" t="s">
        <v>546</v>
      </c>
      <c r="J820" s="21" t="n">
        <f aca="false">D820/(D820+E820)</f>
        <v>0.38961038961039</v>
      </c>
      <c r="K820" s="3" t="n">
        <f aca="false">IF(D820&gt;E820,1,0)</f>
        <v>0</v>
      </c>
      <c r="L820" s="3" t="n">
        <f aca="false">IF(OR(F820="Y",G820="Y",H820="Y"),1,0)</f>
        <v>0</v>
      </c>
      <c r="M820" s="3" t="n">
        <f aca="false">IF(H820="Y",1,0)</f>
        <v>0</v>
      </c>
      <c r="N820" s="3" t="n">
        <f aca="false">IF(I820="Y",1,0)</f>
        <v>0</v>
      </c>
    </row>
    <row r="821" customFormat="false" ht="15" hidden="false" customHeight="true" outlineLevel="0" collapsed="false">
      <c r="A821" s="7" t="s">
        <v>57</v>
      </c>
      <c r="B821" s="7" t="n">
        <v>1933</v>
      </c>
      <c r="C821" s="7" t="s">
        <v>358</v>
      </c>
      <c r="D821" s="7" t="n">
        <v>58</v>
      </c>
      <c r="E821" s="7" t="n">
        <v>94</v>
      </c>
      <c r="F821" s="7"/>
      <c r="G821" s="7"/>
      <c r="H821" s="7" t="s">
        <v>546</v>
      </c>
      <c r="I821" s="7" t="s">
        <v>546</v>
      </c>
      <c r="J821" s="21" t="n">
        <f aca="false">D821/(D821+E821)</f>
        <v>0.381578947368421</v>
      </c>
      <c r="K821" s="3" t="n">
        <f aca="false">IF(D821&gt;E821,1,0)</f>
        <v>0</v>
      </c>
      <c r="L821" s="3" t="n">
        <f aca="false">IF(OR(F821="Y",G821="Y",H821="Y"),1,0)</f>
        <v>0</v>
      </c>
      <c r="M821" s="3" t="n">
        <f aca="false">IF(H821="Y",1,0)</f>
        <v>0</v>
      </c>
      <c r="N821" s="3" t="n">
        <f aca="false">IF(I821="Y",1,0)</f>
        <v>0</v>
      </c>
    </row>
    <row r="822" customFormat="false" ht="15" hidden="false" customHeight="true" outlineLevel="0" collapsed="false">
      <c r="A822" s="7" t="s">
        <v>57</v>
      </c>
      <c r="B822" s="7" t="n">
        <v>1934</v>
      </c>
      <c r="C822" s="7" t="s">
        <v>358</v>
      </c>
      <c r="D822" s="7" t="n">
        <v>52</v>
      </c>
      <c r="E822" s="7" t="n">
        <v>99</v>
      </c>
      <c r="F822" s="7"/>
      <c r="G822" s="7"/>
      <c r="H822" s="7" t="s">
        <v>546</v>
      </c>
      <c r="I822" s="7" t="s">
        <v>546</v>
      </c>
      <c r="J822" s="21" t="n">
        <f aca="false">D822/(D822+E822)</f>
        <v>0.344370860927152</v>
      </c>
      <c r="K822" s="3" t="n">
        <f aca="false">IF(D822&gt;E822,1,0)</f>
        <v>0</v>
      </c>
      <c r="L822" s="3" t="n">
        <f aca="false">IF(OR(F822="Y",G822="Y",H822="Y"),1,0)</f>
        <v>0</v>
      </c>
      <c r="M822" s="3" t="n">
        <f aca="false">IF(H822="Y",1,0)</f>
        <v>0</v>
      </c>
      <c r="N822" s="3" t="n">
        <f aca="false">IF(I822="Y",1,0)</f>
        <v>0</v>
      </c>
    </row>
    <row r="823" customFormat="false" ht="15" hidden="false" customHeight="true" outlineLevel="0" collapsed="false">
      <c r="A823" s="7" t="s">
        <v>57</v>
      </c>
      <c r="B823" s="7" t="n">
        <v>1935</v>
      </c>
      <c r="C823" s="7" t="s">
        <v>358</v>
      </c>
      <c r="D823" s="7" t="n">
        <v>68</v>
      </c>
      <c r="E823" s="7" t="n">
        <v>85</v>
      </c>
      <c r="F823" s="7"/>
      <c r="G823" s="7"/>
      <c r="H823" s="7" t="s">
        <v>546</v>
      </c>
      <c r="I823" s="7" t="s">
        <v>546</v>
      </c>
      <c r="J823" s="21" t="n">
        <f aca="false">D823/(D823+E823)</f>
        <v>0.444444444444444</v>
      </c>
      <c r="K823" s="3" t="n">
        <f aca="false">IF(D823&gt;E823,1,0)</f>
        <v>0</v>
      </c>
      <c r="L823" s="3" t="n">
        <f aca="false">IF(OR(F823="Y",G823="Y",H823="Y"),1,0)</f>
        <v>0</v>
      </c>
      <c r="M823" s="3" t="n">
        <f aca="false">IF(H823="Y",1,0)</f>
        <v>0</v>
      </c>
      <c r="N823" s="3" t="n">
        <f aca="false">IF(I823="Y",1,0)</f>
        <v>0</v>
      </c>
    </row>
    <row r="824" customFormat="false" ht="15" hidden="false" customHeight="true" outlineLevel="0" collapsed="false">
      <c r="A824" s="7" t="s">
        <v>57</v>
      </c>
      <c r="B824" s="7" t="n">
        <v>1936</v>
      </c>
      <c r="C824" s="7" t="s">
        <v>358</v>
      </c>
      <c r="D824" s="7" t="n">
        <v>74</v>
      </c>
      <c r="E824" s="7" t="n">
        <v>80</v>
      </c>
      <c r="F824" s="7"/>
      <c r="G824" s="7"/>
      <c r="H824" s="7" t="s">
        <v>546</v>
      </c>
      <c r="I824" s="7" t="s">
        <v>546</v>
      </c>
      <c r="J824" s="21" t="n">
        <f aca="false">D824/(D824+E824)</f>
        <v>0.480519480519481</v>
      </c>
      <c r="K824" s="3" t="n">
        <f aca="false">IF(D824&gt;E824,1,0)</f>
        <v>0</v>
      </c>
      <c r="L824" s="3" t="n">
        <f aca="false">IF(OR(F824="Y",G824="Y",H824="Y"),1,0)</f>
        <v>0</v>
      </c>
      <c r="M824" s="3" t="n">
        <f aca="false">IF(H824="Y",1,0)</f>
        <v>0</v>
      </c>
      <c r="N824" s="3" t="n">
        <f aca="false">IF(I824="Y",1,0)</f>
        <v>0</v>
      </c>
    </row>
    <row r="825" customFormat="false" ht="15" hidden="false" customHeight="true" outlineLevel="0" collapsed="false">
      <c r="A825" s="7" t="s">
        <v>57</v>
      </c>
      <c r="B825" s="7" t="n">
        <v>1937</v>
      </c>
      <c r="C825" s="7" t="s">
        <v>358</v>
      </c>
      <c r="D825" s="7" t="n">
        <v>56</v>
      </c>
      <c r="E825" s="7" t="n">
        <v>98</v>
      </c>
      <c r="F825" s="7"/>
      <c r="G825" s="7"/>
      <c r="H825" s="7" t="s">
        <v>546</v>
      </c>
      <c r="I825" s="7" t="s">
        <v>546</v>
      </c>
      <c r="J825" s="21" t="n">
        <f aca="false">D825/(D825+E825)</f>
        <v>0.363636363636364</v>
      </c>
      <c r="K825" s="3" t="n">
        <f aca="false">IF(D825&gt;E825,1,0)</f>
        <v>0</v>
      </c>
      <c r="L825" s="3" t="n">
        <f aca="false">IF(OR(F825="Y",G825="Y",H825="Y"),1,0)</f>
        <v>0</v>
      </c>
      <c r="M825" s="3" t="n">
        <f aca="false">IF(H825="Y",1,0)</f>
        <v>0</v>
      </c>
      <c r="N825" s="3" t="n">
        <f aca="false">IF(I825="Y",1,0)</f>
        <v>0</v>
      </c>
    </row>
    <row r="826" customFormat="false" ht="15" hidden="false" customHeight="true" outlineLevel="0" collapsed="false">
      <c r="A826" s="7" t="s">
        <v>57</v>
      </c>
      <c r="B826" s="7" t="n">
        <v>1938</v>
      </c>
      <c r="C826" s="7" t="s">
        <v>358</v>
      </c>
      <c r="D826" s="7" t="n">
        <v>82</v>
      </c>
      <c r="E826" s="7" t="n">
        <v>68</v>
      </c>
      <c r="F826" s="7"/>
      <c r="G826" s="7"/>
      <c r="H826" s="7" t="s">
        <v>546</v>
      </c>
      <c r="I826" s="7" t="s">
        <v>546</v>
      </c>
      <c r="J826" s="21" t="n">
        <f aca="false">D826/(D826+E826)</f>
        <v>0.546666666666667</v>
      </c>
      <c r="K826" s="3" t="n">
        <f aca="false">IF(D826&gt;E826,1,0)</f>
        <v>1</v>
      </c>
      <c r="L826" s="3" t="n">
        <f aca="false">IF(OR(F826="Y",G826="Y",H826="Y"),1,0)</f>
        <v>0</v>
      </c>
      <c r="M826" s="3" t="n">
        <f aca="false">IF(H826="Y",1,0)</f>
        <v>0</v>
      </c>
      <c r="N826" s="3" t="n">
        <f aca="false">IF(I826="Y",1,0)</f>
        <v>0</v>
      </c>
    </row>
    <row r="827" customFormat="false" ht="15" hidden="false" customHeight="true" outlineLevel="0" collapsed="false">
      <c r="A827" s="7" t="s">
        <v>57</v>
      </c>
      <c r="B827" s="7" t="n">
        <v>1939</v>
      </c>
      <c r="C827" s="7" t="s">
        <v>358</v>
      </c>
      <c r="D827" s="7" t="n">
        <v>97</v>
      </c>
      <c r="E827" s="7" t="n">
        <v>57</v>
      </c>
      <c r="F827" s="7"/>
      <c r="G827" s="7"/>
      <c r="H827" s="7" t="s">
        <v>548</v>
      </c>
      <c r="I827" s="7" t="s">
        <v>546</v>
      </c>
      <c r="J827" s="21" t="n">
        <f aca="false">D827/(D827+E827)</f>
        <v>0.62987012987013</v>
      </c>
      <c r="K827" s="3" t="n">
        <f aca="false">IF(D827&gt;E827,1,0)</f>
        <v>1</v>
      </c>
      <c r="L827" s="3" t="n">
        <f aca="false">IF(OR(F827="Y",G827="Y",H827="Y"),1,0)</f>
        <v>1</v>
      </c>
      <c r="M827" s="3" t="n">
        <f aca="false">IF(H827="Y",1,0)</f>
        <v>1</v>
      </c>
      <c r="N827" s="3" t="n">
        <f aca="false">IF(I827="Y",1,0)</f>
        <v>0</v>
      </c>
    </row>
    <row r="828" customFormat="false" ht="15" hidden="false" customHeight="true" outlineLevel="0" collapsed="false">
      <c r="A828" s="7" t="s">
        <v>57</v>
      </c>
      <c r="B828" s="7" t="n">
        <v>1940</v>
      </c>
      <c r="C828" s="7" t="s">
        <v>358</v>
      </c>
      <c r="D828" s="7" t="n">
        <v>100</v>
      </c>
      <c r="E828" s="7" t="n">
        <v>53</v>
      </c>
      <c r="F828" s="7"/>
      <c r="G828" s="7"/>
      <c r="H828" s="7" t="s">
        <v>548</v>
      </c>
      <c r="I828" s="7" t="s">
        <v>548</v>
      </c>
      <c r="J828" s="21" t="n">
        <f aca="false">D828/(D828+E828)</f>
        <v>0.65359477124183</v>
      </c>
      <c r="K828" s="3" t="n">
        <f aca="false">IF(D828&gt;E828,1,0)</f>
        <v>1</v>
      </c>
      <c r="L828" s="3" t="n">
        <f aca="false">IF(OR(F828="Y",G828="Y",H828="Y"),1,0)</f>
        <v>1</v>
      </c>
      <c r="M828" s="3" t="n">
        <f aca="false">IF(H828="Y",1,0)</f>
        <v>1</v>
      </c>
      <c r="N828" s="3" t="n">
        <f aca="false">IF(I828="Y",1,0)</f>
        <v>1</v>
      </c>
    </row>
    <row r="829" customFormat="false" ht="15" hidden="false" customHeight="true" outlineLevel="0" collapsed="false">
      <c r="A829" s="7" t="s">
        <v>57</v>
      </c>
      <c r="B829" s="7" t="n">
        <v>1941</v>
      </c>
      <c r="C829" s="7" t="s">
        <v>358</v>
      </c>
      <c r="D829" s="7" t="n">
        <v>88</v>
      </c>
      <c r="E829" s="7" t="n">
        <v>66</v>
      </c>
      <c r="F829" s="7"/>
      <c r="G829" s="7"/>
      <c r="H829" s="7" t="s">
        <v>546</v>
      </c>
      <c r="I829" s="7" t="s">
        <v>546</v>
      </c>
      <c r="J829" s="21" t="n">
        <f aca="false">D829/(D829+E829)</f>
        <v>0.571428571428571</v>
      </c>
      <c r="K829" s="3" t="n">
        <f aca="false">IF(D829&gt;E829,1,0)</f>
        <v>1</v>
      </c>
      <c r="L829" s="3" t="n">
        <f aca="false">IF(OR(F829="Y",G829="Y",H829="Y"),1,0)</f>
        <v>0</v>
      </c>
      <c r="M829" s="3" t="n">
        <f aca="false">IF(H829="Y",1,0)</f>
        <v>0</v>
      </c>
      <c r="N829" s="3" t="n">
        <f aca="false">IF(I829="Y",1,0)</f>
        <v>0</v>
      </c>
    </row>
    <row r="830" customFormat="false" ht="15" hidden="false" customHeight="true" outlineLevel="0" collapsed="false">
      <c r="A830" s="7" t="s">
        <v>57</v>
      </c>
      <c r="B830" s="7" t="n">
        <v>1942</v>
      </c>
      <c r="C830" s="7" t="s">
        <v>358</v>
      </c>
      <c r="D830" s="7" t="n">
        <v>76</v>
      </c>
      <c r="E830" s="7" t="n">
        <v>76</v>
      </c>
      <c r="F830" s="7"/>
      <c r="G830" s="7"/>
      <c r="H830" s="7" t="s">
        <v>546</v>
      </c>
      <c r="I830" s="7" t="s">
        <v>546</v>
      </c>
      <c r="J830" s="21" t="n">
        <f aca="false">D830/(D830+E830)</f>
        <v>0.5</v>
      </c>
      <c r="K830" s="3" t="n">
        <f aca="false">IF(D830&gt;E830,1,0)</f>
        <v>0</v>
      </c>
      <c r="L830" s="3" t="n">
        <f aca="false">IF(OR(F830="Y",G830="Y",H830="Y"),1,0)</f>
        <v>0</v>
      </c>
      <c r="M830" s="3" t="n">
        <f aca="false">IF(H830="Y",1,0)</f>
        <v>0</v>
      </c>
      <c r="N830" s="3" t="n">
        <f aca="false">IF(I830="Y",1,0)</f>
        <v>0</v>
      </c>
    </row>
    <row r="831" customFormat="false" ht="15" hidden="false" customHeight="true" outlineLevel="0" collapsed="false">
      <c r="A831" s="7" t="s">
        <v>57</v>
      </c>
      <c r="B831" s="7" t="n">
        <v>1943</v>
      </c>
      <c r="C831" s="7" t="s">
        <v>358</v>
      </c>
      <c r="D831" s="7" t="n">
        <v>87</v>
      </c>
      <c r="E831" s="7" t="n">
        <v>67</v>
      </c>
      <c r="F831" s="7"/>
      <c r="G831" s="7"/>
      <c r="H831" s="7" t="s">
        <v>546</v>
      </c>
      <c r="I831" s="7" t="s">
        <v>546</v>
      </c>
      <c r="J831" s="21" t="n">
        <f aca="false">D831/(D831+E831)</f>
        <v>0.564935064935065</v>
      </c>
      <c r="K831" s="3" t="n">
        <f aca="false">IF(D831&gt;E831,1,0)</f>
        <v>1</v>
      </c>
      <c r="L831" s="3" t="n">
        <f aca="false">IF(OR(F831="Y",G831="Y",H831="Y"),1,0)</f>
        <v>0</v>
      </c>
      <c r="M831" s="3" t="n">
        <f aca="false">IF(H831="Y",1,0)</f>
        <v>0</v>
      </c>
      <c r="N831" s="3" t="n">
        <f aca="false">IF(I831="Y",1,0)</f>
        <v>0</v>
      </c>
    </row>
    <row r="832" customFormat="false" ht="15" hidden="false" customHeight="true" outlineLevel="0" collapsed="false">
      <c r="A832" s="7" t="s">
        <v>57</v>
      </c>
      <c r="B832" s="7" t="n">
        <v>1944</v>
      </c>
      <c r="C832" s="7" t="s">
        <v>358</v>
      </c>
      <c r="D832" s="7" t="n">
        <v>89</v>
      </c>
      <c r="E832" s="7" t="n">
        <v>65</v>
      </c>
      <c r="F832" s="7"/>
      <c r="G832" s="7"/>
      <c r="H832" s="7" t="s">
        <v>546</v>
      </c>
      <c r="I832" s="7" t="s">
        <v>546</v>
      </c>
      <c r="J832" s="21" t="n">
        <f aca="false">D832/(D832+E832)</f>
        <v>0.577922077922078</v>
      </c>
      <c r="K832" s="3" t="n">
        <f aca="false">IF(D832&gt;E832,1,0)</f>
        <v>1</v>
      </c>
      <c r="L832" s="3" t="n">
        <f aca="false">IF(OR(F832="Y",G832="Y",H832="Y"),1,0)</f>
        <v>0</v>
      </c>
      <c r="M832" s="3" t="n">
        <f aca="false">IF(H832="Y",1,0)</f>
        <v>0</v>
      </c>
      <c r="N832" s="3" t="n">
        <f aca="false">IF(I832="Y",1,0)</f>
        <v>0</v>
      </c>
    </row>
    <row r="833" customFormat="false" ht="15" hidden="false" customHeight="true" outlineLevel="0" collapsed="false">
      <c r="A833" s="7" t="s">
        <v>57</v>
      </c>
      <c r="B833" s="7" t="n">
        <v>1945</v>
      </c>
      <c r="C833" s="7" t="s">
        <v>358</v>
      </c>
      <c r="D833" s="7" t="n">
        <v>61</v>
      </c>
      <c r="E833" s="7" t="n">
        <v>93</v>
      </c>
      <c r="F833" s="7"/>
      <c r="G833" s="7"/>
      <c r="H833" s="7" t="s">
        <v>546</v>
      </c>
      <c r="I833" s="7" t="s">
        <v>546</v>
      </c>
      <c r="J833" s="21" t="n">
        <f aca="false">D833/(D833+E833)</f>
        <v>0.396103896103896</v>
      </c>
      <c r="K833" s="3" t="n">
        <f aca="false">IF(D833&gt;E833,1,0)</f>
        <v>0</v>
      </c>
      <c r="L833" s="3" t="n">
        <f aca="false">IF(OR(F833="Y",G833="Y",H833="Y"),1,0)</f>
        <v>0</v>
      </c>
      <c r="M833" s="3" t="n">
        <f aca="false">IF(H833="Y",1,0)</f>
        <v>0</v>
      </c>
      <c r="N833" s="3" t="n">
        <f aca="false">IF(I833="Y",1,0)</f>
        <v>0</v>
      </c>
    </row>
    <row r="834" customFormat="false" ht="15" hidden="false" customHeight="true" outlineLevel="0" collapsed="false">
      <c r="A834" s="7" t="s">
        <v>57</v>
      </c>
      <c r="B834" s="7" t="n">
        <v>1946</v>
      </c>
      <c r="C834" s="7" t="s">
        <v>358</v>
      </c>
      <c r="D834" s="7" t="n">
        <v>67</v>
      </c>
      <c r="E834" s="7" t="n">
        <v>87</v>
      </c>
      <c r="F834" s="7"/>
      <c r="G834" s="7"/>
      <c r="H834" s="7" t="s">
        <v>546</v>
      </c>
      <c r="I834" s="7" t="s">
        <v>546</v>
      </c>
      <c r="J834" s="21" t="n">
        <f aca="false">D834/(D834+E834)</f>
        <v>0.435064935064935</v>
      </c>
      <c r="K834" s="3" t="n">
        <f aca="false">IF(D834&gt;E834,1,0)</f>
        <v>0</v>
      </c>
      <c r="L834" s="3" t="n">
        <f aca="false">IF(OR(F834="Y",G834="Y",H834="Y"),1,0)</f>
        <v>0</v>
      </c>
      <c r="M834" s="3" t="n">
        <f aca="false">IF(H834="Y",1,0)</f>
        <v>0</v>
      </c>
      <c r="N834" s="3" t="n">
        <f aca="false">IF(I834="Y",1,0)</f>
        <v>0</v>
      </c>
    </row>
    <row r="835" customFormat="false" ht="15" hidden="false" customHeight="true" outlineLevel="0" collapsed="false">
      <c r="A835" s="7" t="s">
        <v>57</v>
      </c>
      <c r="B835" s="7" t="n">
        <v>1947</v>
      </c>
      <c r="C835" s="7" t="s">
        <v>358</v>
      </c>
      <c r="D835" s="7" t="n">
        <v>73</v>
      </c>
      <c r="E835" s="7" t="n">
        <v>81</v>
      </c>
      <c r="F835" s="7"/>
      <c r="G835" s="7"/>
      <c r="H835" s="7" t="s">
        <v>546</v>
      </c>
      <c r="I835" s="7" t="s">
        <v>546</v>
      </c>
      <c r="J835" s="21" t="n">
        <f aca="false">D835/(D835+E835)</f>
        <v>0.474025974025974</v>
      </c>
      <c r="K835" s="3" t="n">
        <f aca="false">IF(D835&gt;E835,1,0)</f>
        <v>0</v>
      </c>
      <c r="L835" s="3" t="n">
        <f aca="false">IF(OR(F835="Y",G835="Y",H835="Y"),1,0)</f>
        <v>0</v>
      </c>
      <c r="M835" s="3" t="n">
        <f aca="false">IF(H835="Y",1,0)</f>
        <v>0</v>
      </c>
      <c r="N835" s="3" t="n">
        <f aca="false">IF(I835="Y",1,0)</f>
        <v>0</v>
      </c>
    </row>
    <row r="836" customFormat="false" ht="15" hidden="false" customHeight="true" outlineLevel="0" collapsed="false">
      <c r="A836" s="7" t="s">
        <v>57</v>
      </c>
      <c r="B836" s="7" t="n">
        <v>1948</v>
      </c>
      <c r="C836" s="7" t="s">
        <v>358</v>
      </c>
      <c r="D836" s="7" t="n">
        <v>64</v>
      </c>
      <c r="E836" s="7" t="n">
        <v>89</v>
      </c>
      <c r="F836" s="7"/>
      <c r="G836" s="7"/>
      <c r="H836" s="7" t="s">
        <v>546</v>
      </c>
      <c r="I836" s="7" t="s">
        <v>546</v>
      </c>
      <c r="J836" s="21" t="n">
        <f aca="false">D836/(D836+E836)</f>
        <v>0.418300653594771</v>
      </c>
      <c r="K836" s="3" t="n">
        <f aca="false">IF(D836&gt;E836,1,0)</f>
        <v>0</v>
      </c>
      <c r="L836" s="3" t="n">
        <f aca="false">IF(OR(F836="Y",G836="Y",H836="Y"),1,0)</f>
        <v>0</v>
      </c>
      <c r="M836" s="3" t="n">
        <f aca="false">IF(H836="Y",1,0)</f>
        <v>0</v>
      </c>
      <c r="N836" s="3" t="n">
        <f aca="false">IF(I836="Y",1,0)</f>
        <v>0</v>
      </c>
    </row>
    <row r="837" customFormat="false" ht="15" hidden="false" customHeight="true" outlineLevel="0" collapsed="false">
      <c r="A837" s="7" t="s">
        <v>57</v>
      </c>
      <c r="B837" s="7" t="n">
        <v>1949</v>
      </c>
      <c r="C837" s="7" t="s">
        <v>358</v>
      </c>
      <c r="D837" s="7" t="n">
        <v>62</v>
      </c>
      <c r="E837" s="7" t="n">
        <v>92</v>
      </c>
      <c r="F837" s="7"/>
      <c r="G837" s="7"/>
      <c r="H837" s="7" t="s">
        <v>546</v>
      </c>
      <c r="I837" s="7" t="s">
        <v>546</v>
      </c>
      <c r="J837" s="21" t="n">
        <f aca="false">D837/(D837+E837)</f>
        <v>0.402597402597403</v>
      </c>
      <c r="K837" s="3" t="n">
        <f aca="false">IF(D837&gt;E837,1,0)</f>
        <v>0</v>
      </c>
      <c r="L837" s="3" t="n">
        <f aca="false">IF(OR(F837="Y",G837="Y",H837="Y"),1,0)</f>
        <v>0</v>
      </c>
      <c r="M837" s="3" t="n">
        <f aca="false">IF(H837="Y",1,0)</f>
        <v>0</v>
      </c>
      <c r="N837" s="3" t="n">
        <f aca="false">IF(I837="Y",1,0)</f>
        <v>0</v>
      </c>
    </row>
    <row r="838" customFormat="false" ht="15" hidden="false" customHeight="true" outlineLevel="0" collapsed="false">
      <c r="A838" s="7" t="s">
        <v>57</v>
      </c>
      <c r="B838" s="7" t="n">
        <v>1950</v>
      </c>
      <c r="C838" s="7" t="s">
        <v>358</v>
      </c>
      <c r="D838" s="7" t="n">
        <v>66</v>
      </c>
      <c r="E838" s="7" t="n">
        <v>87</v>
      </c>
      <c r="F838" s="7"/>
      <c r="G838" s="7"/>
      <c r="H838" s="7" t="s">
        <v>546</v>
      </c>
      <c r="I838" s="7" t="s">
        <v>546</v>
      </c>
      <c r="J838" s="21" t="n">
        <f aca="false">D838/(D838+E838)</f>
        <v>0.431372549019608</v>
      </c>
      <c r="K838" s="3" t="n">
        <f aca="false">IF(D838&gt;E838,1,0)</f>
        <v>0</v>
      </c>
      <c r="L838" s="3" t="n">
        <f aca="false">IF(OR(F838="Y",G838="Y",H838="Y"),1,0)</f>
        <v>0</v>
      </c>
      <c r="M838" s="3" t="n">
        <f aca="false">IF(H838="Y",1,0)</f>
        <v>0</v>
      </c>
      <c r="N838" s="3" t="n">
        <f aca="false">IF(I838="Y",1,0)</f>
        <v>0</v>
      </c>
    </row>
    <row r="839" customFormat="false" ht="15" hidden="false" customHeight="true" outlineLevel="0" collapsed="false">
      <c r="A839" s="7" t="s">
        <v>57</v>
      </c>
      <c r="B839" s="7" t="n">
        <v>1951</v>
      </c>
      <c r="C839" s="7" t="s">
        <v>358</v>
      </c>
      <c r="D839" s="7" t="n">
        <v>68</v>
      </c>
      <c r="E839" s="7" t="n">
        <v>86</v>
      </c>
      <c r="F839" s="7"/>
      <c r="G839" s="7"/>
      <c r="H839" s="7" t="s">
        <v>546</v>
      </c>
      <c r="I839" s="7" t="s">
        <v>546</v>
      </c>
      <c r="J839" s="21" t="n">
        <f aca="false">D839/(D839+E839)</f>
        <v>0.441558441558442</v>
      </c>
      <c r="K839" s="3" t="n">
        <f aca="false">IF(D839&gt;E839,1,0)</f>
        <v>0</v>
      </c>
      <c r="L839" s="3" t="n">
        <f aca="false">IF(OR(F839="Y",G839="Y",H839="Y"),1,0)</f>
        <v>0</v>
      </c>
      <c r="M839" s="3" t="n">
        <f aca="false">IF(H839="Y",1,0)</f>
        <v>0</v>
      </c>
      <c r="N839" s="3" t="n">
        <f aca="false">IF(I839="Y",1,0)</f>
        <v>0</v>
      </c>
    </row>
    <row r="840" customFormat="false" ht="15" hidden="false" customHeight="true" outlineLevel="0" collapsed="false">
      <c r="A840" s="7" t="s">
        <v>57</v>
      </c>
      <c r="B840" s="7" t="n">
        <v>1952</v>
      </c>
      <c r="C840" s="7" t="s">
        <v>358</v>
      </c>
      <c r="D840" s="7" t="n">
        <v>69</v>
      </c>
      <c r="E840" s="7" t="n">
        <v>85</v>
      </c>
      <c r="F840" s="7"/>
      <c r="G840" s="7"/>
      <c r="H840" s="7" t="s">
        <v>546</v>
      </c>
      <c r="I840" s="7" t="s">
        <v>546</v>
      </c>
      <c r="J840" s="21" t="n">
        <f aca="false">D840/(D840+E840)</f>
        <v>0.448051948051948</v>
      </c>
      <c r="K840" s="3" t="n">
        <f aca="false">IF(D840&gt;E840,1,0)</f>
        <v>0</v>
      </c>
      <c r="L840" s="3" t="n">
        <f aca="false">IF(OR(F840="Y",G840="Y",H840="Y"),1,0)</f>
        <v>0</v>
      </c>
      <c r="M840" s="3" t="n">
        <f aca="false">IF(H840="Y",1,0)</f>
        <v>0</v>
      </c>
      <c r="N840" s="3" t="n">
        <f aca="false">IF(I840="Y",1,0)</f>
        <v>0</v>
      </c>
    </row>
    <row r="841" customFormat="false" ht="15" hidden="false" customHeight="true" outlineLevel="0" collapsed="false">
      <c r="A841" s="7" t="s">
        <v>57</v>
      </c>
      <c r="B841" s="7" t="n">
        <v>1953</v>
      </c>
      <c r="C841" s="7" t="s">
        <v>358</v>
      </c>
      <c r="D841" s="7" t="n">
        <v>68</v>
      </c>
      <c r="E841" s="7" t="n">
        <v>86</v>
      </c>
      <c r="F841" s="7"/>
      <c r="G841" s="7"/>
      <c r="H841" s="7" t="s">
        <v>546</v>
      </c>
      <c r="I841" s="7" t="s">
        <v>546</v>
      </c>
      <c r="J841" s="21" t="n">
        <f aca="false">D841/(D841+E841)</f>
        <v>0.441558441558442</v>
      </c>
      <c r="K841" s="3" t="n">
        <f aca="false">IF(D841&gt;E841,1,0)</f>
        <v>0</v>
      </c>
      <c r="L841" s="3" t="n">
        <f aca="false">IF(OR(F841="Y",G841="Y",H841="Y"),1,0)</f>
        <v>0</v>
      </c>
      <c r="M841" s="3" t="n">
        <f aca="false">IF(H841="Y",1,0)</f>
        <v>0</v>
      </c>
      <c r="N841" s="3" t="n">
        <f aca="false">IF(I841="Y",1,0)</f>
        <v>0</v>
      </c>
    </row>
    <row r="842" customFormat="false" ht="15" hidden="false" customHeight="true" outlineLevel="0" collapsed="false">
      <c r="A842" s="7" t="s">
        <v>57</v>
      </c>
      <c r="B842" s="7" t="n">
        <v>1954</v>
      </c>
      <c r="C842" s="7" t="s">
        <v>564</v>
      </c>
      <c r="D842" s="7" t="n">
        <v>74</v>
      </c>
      <c r="E842" s="7" t="n">
        <v>80</v>
      </c>
      <c r="F842" s="7"/>
      <c r="G842" s="7"/>
      <c r="H842" s="7" t="s">
        <v>546</v>
      </c>
      <c r="I842" s="7" t="s">
        <v>546</v>
      </c>
      <c r="J842" s="21" t="n">
        <f aca="false">D842/(D842+E842)</f>
        <v>0.480519480519481</v>
      </c>
      <c r="K842" s="3" t="n">
        <f aca="false">IF(D842&gt;E842,1,0)</f>
        <v>0</v>
      </c>
      <c r="L842" s="3" t="n">
        <f aca="false">IF(OR(F842="Y",G842="Y",H842="Y"),1,0)</f>
        <v>0</v>
      </c>
      <c r="M842" s="3" t="n">
        <f aca="false">IF(H842="Y",1,0)</f>
        <v>0</v>
      </c>
      <c r="N842" s="3" t="n">
        <f aca="false">IF(I842="Y",1,0)</f>
        <v>0</v>
      </c>
    </row>
    <row r="843" customFormat="false" ht="15" hidden="false" customHeight="true" outlineLevel="0" collapsed="false">
      <c r="A843" s="7" t="s">
        <v>57</v>
      </c>
      <c r="B843" s="7" t="n">
        <v>1955</v>
      </c>
      <c r="C843" s="7" t="s">
        <v>564</v>
      </c>
      <c r="D843" s="7" t="n">
        <v>75</v>
      </c>
      <c r="E843" s="7" t="n">
        <v>79</v>
      </c>
      <c r="F843" s="7"/>
      <c r="G843" s="7"/>
      <c r="H843" s="7" t="s">
        <v>546</v>
      </c>
      <c r="I843" s="7" t="s">
        <v>546</v>
      </c>
      <c r="J843" s="21" t="n">
        <f aca="false">D843/(D843+E843)</f>
        <v>0.487012987012987</v>
      </c>
      <c r="K843" s="3" t="n">
        <f aca="false">IF(D843&gt;E843,1,0)</f>
        <v>0</v>
      </c>
      <c r="L843" s="3" t="n">
        <f aca="false">IF(OR(F843="Y",G843="Y",H843="Y"),1,0)</f>
        <v>0</v>
      </c>
      <c r="M843" s="3" t="n">
        <f aca="false">IF(H843="Y",1,0)</f>
        <v>0</v>
      </c>
      <c r="N843" s="3" t="n">
        <f aca="false">IF(I843="Y",1,0)</f>
        <v>0</v>
      </c>
    </row>
    <row r="844" customFormat="false" ht="15" hidden="false" customHeight="true" outlineLevel="0" collapsed="false">
      <c r="A844" s="7" t="s">
        <v>57</v>
      </c>
      <c r="B844" s="7" t="n">
        <v>1956</v>
      </c>
      <c r="C844" s="7" t="s">
        <v>564</v>
      </c>
      <c r="D844" s="7" t="n">
        <v>91</v>
      </c>
      <c r="E844" s="7" t="n">
        <v>63</v>
      </c>
      <c r="F844" s="7"/>
      <c r="G844" s="7"/>
      <c r="H844" s="7" t="s">
        <v>546</v>
      </c>
      <c r="I844" s="7" t="s">
        <v>546</v>
      </c>
      <c r="J844" s="21" t="n">
        <f aca="false">D844/(D844+E844)</f>
        <v>0.590909090909091</v>
      </c>
      <c r="K844" s="3" t="n">
        <f aca="false">IF(D844&gt;E844,1,0)</f>
        <v>1</v>
      </c>
      <c r="L844" s="3" t="n">
        <f aca="false">IF(OR(F844="Y",G844="Y",H844="Y"),1,0)</f>
        <v>0</v>
      </c>
      <c r="M844" s="3" t="n">
        <f aca="false">IF(H844="Y",1,0)</f>
        <v>0</v>
      </c>
      <c r="N844" s="3" t="n">
        <f aca="false">IF(I844="Y",1,0)</f>
        <v>0</v>
      </c>
    </row>
    <row r="845" customFormat="false" ht="15" hidden="false" customHeight="true" outlineLevel="0" collapsed="false">
      <c r="A845" s="7" t="s">
        <v>57</v>
      </c>
      <c r="B845" s="7" t="n">
        <v>1957</v>
      </c>
      <c r="C845" s="7" t="s">
        <v>564</v>
      </c>
      <c r="D845" s="7" t="n">
        <v>80</v>
      </c>
      <c r="E845" s="7" t="n">
        <v>74</v>
      </c>
      <c r="F845" s="7"/>
      <c r="G845" s="7"/>
      <c r="H845" s="7" t="s">
        <v>546</v>
      </c>
      <c r="I845" s="7" t="s">
        <v>546</v>
      </c>
      <c r="J845" s="21" t="n">
        <f aca="false">D845/(D845+E845)</f>
        <v>0.519480519480519</v>
      </c>
      <c r="K845" s="3" t="n">
        <f aca="false">IF(D845&gt;E845,1,0)</f>
        <v>1</v>
      </c>
      <c r="L845" s="3" t="n">
        <f aca="false">IF(OR(F845="Y",G845="Y",H845="Y"),1,0)</f>
        <v>0</v>
      </c>
      <c r="M845" s="3" t="n">
        <f aca="false">IF(H845="Y",1,0)</f>
        <v>0</v>
      </c>
      <c r="N845" s="3" t="n">
        <f aca="false">IF(I845="Y",1,0)</f>
        <v>0</v>
      </c>
    </row>
    <row r="846" customFormat="false" ht="15" hidden="false" customHeight="true" outlineLevel="0" collapsed="false">
      <c r="A846" s="7" t="s">
        <v>57</v>
      </c>
      <c r="B846" s="7" t="n">
        <v>1958</v>
      </c>
      <c r="C846" s="7" t="s">
        <v>564</v>
      </c>
      <c r="D846" s="7" t="n">
        <v>76</v>
      </c>
      <c r="E846" s="7" t="n">
        <v>78</v>
      </c>
      <c r="F846" s="7"/>
      <c r="G846" s="7"/>
      <c r="H846" s="7" t="s">
        <v>546</v>
      </c>
      <c r="I846" s="7" t="s">
        <v>546</v>
      </c>
      <c r="J846" s="21" t="n">
        <f aca="false">D846/(D846+E846)</f>
        <v>0.493506493506494</v>
      </c>
      <c r="K846" s="3" t="n">
        <f aca="false">IF(D846&gt;E846,1,0)</f>
        <v>0</v>
      </c>
      <c r="L846" s="3" t="n">
        <f aca="false">IF(OR(F846="Y",G846="Y",H846="Y"),1,0)</f>
        <v>0</v>
      </c>
      <c r="M846" s="3" t="n">
        <f aca="false">IF(H846="Y",1,0)</f>
        <v>0</v>
      </c>
      <c r="N846" s="3" t="n">
        <f aca="false">IF(I846="Y",1,0)</f>
        <v>0</v>
      </c>
    </row>
    <row r="847" customFormat="false" ht="15" hidden="false" customHeight="true" outlineLevel="0" collapsed="false">
      <c r="A847" s="7" t="s">
        <v>57</v>
      </c>
      <c r="B847" s="7" t="n">
        <v>1959</v>
      </c>
      <c r="C847" s="7" t="s">
        <v>564</v>
      </c>
      <c r="D847" s="7" t="n">
        <v>74</v>
      </c>
      <c r="E847" s="7" t="n">
        <v>80</v>
      </c>
      <c r="F847" s="7"/>
      <c r="G847" s="7"/>
      <c r="H847" s="7" t="s">
        <v>546</v>
      </c>
      <c r="I847" s="7" t="s">
        <v>546</v>
      </c>
      <c r="J847" s="21" t="n">
        <f aca="false">D847/(D847+E847)</f>
        <v>0.480519480519481</v>
      </c>
      <c r="K847" s="3" t="n">
        <f aca="false">IF(D847&gt;E847,1,0)</f>
        <v>0</v>
      </c>
      <c r="L847" s="3" t="n">
        <f aca="false">IF(OR(F847="Y",G847="Y",H847="Y"),1,0)</f>
        <v>0</v>
      </c>
      <c r="M847" s="3" t="n">
        <f aca="false">IF(H847="Y",1,0)</f>
        <v>0</v>
      </c>
      <c r="N847" s="3" t="n">
        <f aca="false">IF(I847="Y",1,0)</f>
        <v>0</v>
      </c>
    </row>
    <row r="848" customFormat="false" ht="15" hidden="false" customHeight="true" outlineLevel="0" collapsed="false">
      <c r="A848" s="7" t="s">
        <v>57</v>
      </c>
      <c r="B848" s="7" t="n">
        <v>1960</v>
      </c>
      <c r="C848" s="7" t="s">
        <v>358</v>
      </c>
      <c r="D848" s="7" t="n">
        <v>67</v>
      </c>
      <c r="E848" s="7" t="n">
        <v>87</v>
      </c>
      <c r="F848" s="7"/>
      <c r="G848" s="7"/>
      <c r="H848" s="7" t="s">
        <v>546</v>
      </c>
      <c r="I848" s="7" t="s">
        <v>546</v>
      </c>
      <c r="J848" s="21" t="n">
        <f aca="false">D848/(D848+E848)</f>
        <v>0.435064935064935</v>
      </c>
      <c r="K848" s="3" t="n">
        <f aca="false">IF(D848&gt;E848,1,0)</f>
        <v>0</v>
      </c>
      <c r="L848" s="3" t="n">
        <f aca="false">IF(OR(F848="Y",G848="Y",H848="Y"),1,0)</f>
        <v>0</v>
      </c>
      <c r="M848" s="3" t="n">
        <f aca="false">IF(H848="Y",1,0)</f>
        <v>0</v>
      </c>
      <c r="N848" s="3" t="n">
        <f aca="false">IF(I848="Y",1,0)</f>
        <v>0</v>
      </c>
    </row>
    <row r="849" customFormat="false" ht="15" hidden="false" customHeight="true" outlineLevel="0" collapsed="false">
      <c r="A849" s="7" t="s">
        <v>57</v>
      </c>
      <c r="B849" s="7" t="n">
        <v>1961</v>
      </c>
      <c r="C849" s="7" t="s">
        <v>358</v>
      </c>
      <c r="D849" s="7" t="n">
        <v>93</v>
      </c>
      <c r="E849" s="7" t="n">
        <v>61</v>
      </c>
      <c r="F849" s="7"/>
      <c r="G849" s="7"/>
      <c r="H849" s="7" t="s">
        <v>548</v>
      </c>
      <c r="I849" s="7" t="s">
        <v>546</v>
      </c>
      <c r="J849" s="21" t="n">
        <f aca="false">D849/(D849+E849)</f>
        <v>0.603896103896104</v>
      </c>
      <c r="K849" s="3" t="n">
        <f aca="false">IF(D849&gt;E849,1,0)</f>
        <v>1</v>
      </c>
      <c r="L849" s="3" t="n">
        <f aca="false">IF(OR(F849="Y",G849="Y",H849="Y"),1,0)</f>
        <v>1</v>
      </c>
      <c r="M849" s="3" t="n">
        <f aca="false">IF(H849="Y",1,0)</f>
        <v>1</v>
      </c>
      <c r="N849" s="3" t="n">
        <f aca="false">IF(I849="Y",1,0)</f>
        <v>0</v>
      </c>
    </row>
    <row r="850" customFormat="false" ht="15" hidden="false" customHeight="true" outlineLevel="0" collapsed="false">
      <c r="A850" s="7" t="s">
        <v>57</v>
      </c>
      <c r="B850" s="7" t="n">
        <v>1962</v>
      </c>
      <c r="C850" s="7" t="s">
        <v>358</v>
      </c>
      <c r="D850" s="7" t="n">
        <v>98</v>
      </c>
      <c r="E850" s="7" t="n">
        <v>64</v>
      </c>
      <c r="F850" s="7"/>
      <c r="G850" s="7"/>
      <c r="H850" s="7" t="s">
        <v>546</v>
      </c>
      <c r="I850" s="7" t="s">
        <v>546</v>
      </c>
      <c r="J850" s="21" t="n">
        <f aca="false">D850/(D850+E850)</f>
        <v>0.604938271604938</v>
      </c>
      <c r="K850" s="3" t="n">
        <f aca="false">IF(D850&gt;E850,1,0)</f>
        <v>1</v>
      </c>
      <c r="L850" s="3" t="n">
        <f aca="false">IF(OR(F850="Y",G850="Y",H850="Y"),1,0)</f>
        <v>0</v>
      </c>
      <c r="M850" s="3" t="n">
        <f aca="false">IF(H850="Y",1,0)</f>
        <v>0</v>
      </c>
      <c r="N850" s="3" t="n">
        <f aca="false">IF(I850="Y",1,0)</f>
        <v>0</v>
      </c>
    </row>
    <row r="851" customFormat="false" ht="15" hidden="false" customHeight="true" outlineLevel="0" collapsed="false">
      <c r="A851" s="7" t="s">
        <v>57</v>
      </c>
      <c r="B851" s="7" t="n">
        <v>1963</v>
      </c>
      <c r="C851" s="7" t="s">
        <v>358</v>
      </c>
      <c r="D851" s="7" t="n">
        <v>86</v>
      </c>
      <c r="E851" s="7" t="n">
        <v>76</v>
      </c>
      <c r="F851" s="7"/>
      <c r="G851" s="7"/>
      <c r="H851" s="7" t="s">
        <v>546</v>
      </c>
      <c r="I851" s="7" t="s">
        <v>546</v>
      </c>
      <c r="J851" s="21" t="n">
        <f aca="false">D851/(D851+E851)</f>
        <v>0.530864197530864</v>
      </c>
      <c r="K851" s="3" t="n">
        <f aca="false">IF(D851&gt;E851,1,0)</f>
        <v>1</v>
      </c>
      <c r="L851" s="3" t="n">
        <f aca="false">IF(OR(F851="Y",G851="Y",H851="Y"),1,0)</f>
        <v>0</v>
      </c>
      <c r="M851" s="3" t="n">
        <f aca="false">IF(H851="Y",1,0)</f>
        <v>0</v>
      </c>
      <c r="N851" s="3" t="n">
        <f aca="false">IF(I851="Y",1,0)</f>
        <v>0</v>
      </c>
    </row>
    <row r="852" customFormat="false" ht="15" hidden="false" customHeight="true" outlineLevel="0" collapsed="false">
      <c r="A852" s="7" t="s">
        <v>57</v>
      </c>
      <c r="B852" s="7" t="n">
        <v>1964</v>
      </c>
      <c r="C852" s="7" t="s">
        <v>358</v>
      </c>
      <c r="D852" s="7" t="n">
        <v>92</v>
      </c>
      <c r="E852" s="7" t="n">
        <v>70</v>
      </c>
      <c r="F852" s="7"/>
      <c r="G852" s="7"/>
      <c r="H852" s="7" t="s">
        <v>546</v>
      </c>
      <c r="I852" s="7" t="s">
        <v>546</v>
      </c>
      <c r="J852" s="21" t="n">
        <f aca="false">D852/(D852+E852)</f>
        <v>0.567901234567901</v>
      </c>
      <c r="K852" s="3" t="n">
        <f aca="false">IF(D852&gt;E852,1,0)</f>
        <v>1</v>
      </c>
      <c r="L852" s="3" t="n">
        <f aca="false">IF(OR(F852="Y",G852="Y",H852="Y"),1,0)</f>
        <v>0</v>
      </c>
      <c r="M852" s="3" t="n">
        <f aca="false">IF(H852="Y",1,0)</f>
        <v>0</v>
      </c>
      <c r="N852" s="3" t="n">
        <f aca="false">IF(I852="Y",1,0)</f>
        <v>0</v>
      </c>
    </row>
    <row r="853" customFormat="false" ht="15" hidden="false" customHeight="true" outlineLevel="0" collapsed="false">
      <c r="A853" s="7" t="s">
        <v>57</v>
      </c>
      <c r="B853" s="7" t="n">
        <v>1965</v>
      </c>
      <c r="C853" s="7" t="s">
        <v>358</v>
      </c>
      <c r="D853" s="7" t="n">
        <v>89</v>
      </c>
      <c r="E853" s="7" t="n">
        <v>73</v>
      </c>
      <c r="F853" s="7"/>
      <c r="G853" s="7"/>
      <c r="H853" s="7" t="s">
        <v>546</v>
      </c>
      <c r="I853" s="7" t="s">
        <v>546</v>
      </c>
      <c r="J853" s="21" t="n">
        <f aca="false">D853/(D853+E853)</f>
        <v>0.549382716049383</v>
      </c>
      <c r="K853" s="3" t="n">
        <f aca="false">IF(D853&gt;E853,1,0)</f>
        <v>1</v>
      </c>
      <c r="L853" s="3" t="n">
        <f aca="false">IF(OR(F853="Y",G853="Y",H853="Y"),1,0)</f>
        <v>0</v>
      </c>
      <c r="M853" s="3" t="n">
        <f aca="false">IF(H853="Y",1,0)</f>
        <v>0</v>
      </c>
      <c r="N853" s="3" t="n">
        <f aca="false">IF(I853="Y",1,0)</f>
        <v>0</v>
      </c>
    </row>
    <row r="854" customFormat="false" ht="15" hidden="false" customHeight="true" outlineLevel="0" collapsed="false">
      <c r="A854" s="7" t="s">
        <v>57</v>
      </c>
      <c r="B854" s="7" t="n">
        <v>1966</v>
      </c>
      <c r="C854" s="7" t="s">
        <v>358</v>
      </c>
      <c r="D854" s="7" t="n">
        <v>76</v>
      </c>
      <c r="E854" s="7" t="n">
        <v>84</v>
      </c>
      <c r="F854" s="7"/>
      <c r="G854" s="7"/>
      <c r="H854" s="7" t="s">
        <v>546</v>
      </c>
      <c r="I854" s="7" t="s">
        <v>546</v>
      </c>
      <c r="J854" s="21" t="n">
        <f aca="false">D854/(D854+E854)</f>
        <v>0.475</v>
      </c>
      <c r="K854" s="3" t="n">
        <f aca="false">IF(D854&gt;E854,1,0)</f>
        <v>0</v>
      </c>
      <c r="L854" s="3" t="n">
        <f aca="false">IF(OR(F854="Y",G854="Y",H854="Y"),1,0)</f>
        <v>0</v>
      </c>
      <c r="M854" s="3" t="n">
        <f aca="false">IF(H854="Y",1,0)</f>
        <v>0</v>
      </c>
      <c r="N854" s="3" t="n">
        <f aca="false">IF(I854="Y",1,0)</f>
        <v>0</v>
      </c>
    </row>
    <row r="855" customFormat="false" ht="15" hidden="false" customHeight="true" outlineLevel="0" collapsed="false">
      <c r="A855" s="7" t="s">
        <v>57</v>
      </c>
      <c r="B855" s="7" t="n">
        <v>1967</v>
      </c>
      <c r="C855" s="7" t="s">
        <v>358</v>
      </c>
      <c r="D855" s="7" t="n">
        <v>87</v>
      </c>
      <c r="E855" s="7" t="n">
        <v>75</v>
      </c>
      <c r="F855" s="7"/>
      <c r="G855" s="7"/>
      <c r="H855" s="7" t="s">
        <v>546</v>
      </c>
      <c r="I855" s="7" t="s">
        <v>546</v>
      </c>
      <c r="J855" s="21" t="n">
        <f aca="false">D855/(D855+E855)</f>
        <v>0.537037037037037</v>
      </c>
      <c r="K855" s="3" t="n">
        <f aca="false">IF(D855&gt;E855,1,0)</f>
        <v>1</v>
      </c>
      <c r="L855" s="3" t="n">
        <f aca="false">IF(OR(F855="Y",G855="Y",H855="Y"),1,0)</f>
        <v>0</v>
      </c>
      <c r="M855" s="3" t="n">
        <f aca="false">IF(H855="Y",1,0)</f>
        <v>0</v>
      </c>
      <c r="N855" s="3" t="n">
        <f aca="false">IF(I855="Y",1,0)</f>
        <v>0</v>
      </c>
    </row>
    <row r="856" customFormat="false" ht="15" hidden="false" customHeight="true" outlineLevel="0" collapsed="false">
      <c r="A856" s="7" t="s">
        <v>57</v>
      </c>
      <c r="B856" s="7" t="n">
        <v>1968</v>
      </c>
      <c r="C856" s="7" t="s">
        <v>358</v>
      </c>
      <c r="D856" s="7" t="n">
        <v>83</v>
      </c>
      <c r="E856" s="7" t="n">
        <v>79</v>
      </c>
      <c r="F856" s="7"/>
      <c r="G856" s="7"/>
      <c r="H856" s="7" t="s">
        <v>546</v>
      </c>
      <c r="I856" s="7" t="s">
        <v>546</v>
      </c>
      <c r="J856" s="21" t="n">
        <f aca="false">D856/(D856+E856)</f>
        <v>0.512345679012346</v>
      </c>
      <c r="K856" s="3" t="n">
        <f aca="false">IF(D856&gt;E856,1,0)</f>
        <v>1</v>
      </c>
      <c r="L856" s="3" t="n">
        <f aca="false">IF(OR(F856="Y",G856="Y",H856="Y"),1,0)</f>
        <v>0</v>
      </c>
      <c r="M856" s="3" t="n">
        <f aca="false">IF(H856="Y",1,0)</f>
        <v>0</v>
      </c>
      <c r="N856" s="3" t="n">
        <f aca="false">IF(I856="Y",1,0)</f>
        <v>0</v>
      </c>
    </row>
    <row r="857" customFormat="false" ht="15" hidden="false" customHeight="true" outlineLevel="0" collapsed="false">
      <c r="A857" s="7" t="s">
        <v>57</v>
      </c>
      <c r="B857" s="7" t="n">
        <v>1969</v>
      </c>
      <c r="C857" s="7" t="s">
        <v>358</v>
      </c>
      <c r="D857" s="7" t="n">
        <v>89</v>
      </c>
      <c r="E857" s="7" t="n">
        <v>73</v>
      </c>
      <c r="F857" s="7" t="s">
        <v>546</v>
      </c>
      <c r="G857" s="7"/>
      <c r="H857" s="7" t="s">
        <v>546</v>
      </c>
      <c r="I857" s="7" t="s">
        <v>546</v>
      </c>
      <c r="J857" s="21" t="n">
        <f aca="false">D857/(D857+E857)</f>
        <v>0.549382716049383</v>
      </c>
      <c r="K857" s="3" t="n">
        <f aca="false">IF(D857&gt;E857,1,0)</f>
        <v>1</v>
      </c>
      <c r="L857" s="3" t="n">
        <f aca="false">IF(OR(F857="Y",G857="Y",H857="Y"),1,0)</f>
        <v>0</v>
      </c>
      <c r="M857" s="3" t="n">
        <f aca="false">IF(H857="Y",1,0)</f>
        <v>0</v>
      </c>
      <c r="N857" s="3" t="n">
        <f aca="false">IF(I857="Y",1,0)</f>
        <v>0</v>
      </c>
    </row>
    <row r="858" customFormat="false" ht="15" hidden="false" customHeight="true" outlineLevel="0" collapsed="false">
      <c r="A858" s="7" t="s">
        <v>57</v>
      </c>
      <c r="B858" s="7" t="n">
        <v>1970</v>
      </c>
      <c r="C858" s="7" t="s">
        <v>358</v>
      </c>
      <c r="D858" s="7" t="n">
        <v>102</v>
      </c>
      <c r="E858" s="7" t="n">
        <v>60</v>
      </c>
      <c r="F858" s="7" t="s">
        <v>548</v>
      </c>
      <c r="G858" s="7"/>
      <c r="H858" s="7" t="s">
        <v>548</v>
      </c>
      <c r="I858" s="7" t="s">
        <v>546</v>
      </c>
      <c r="J858" s="21" t="n">
        <f aca="false">D858/(D858+E858)</f>
        <v>0.62962962962963</v>
      </c>
      <c r="K858" s="3" t="n">
        <f aca="false">IF(D858&gt;E858,1,0)</f>
        <v>1</v>
      </c>
      <c r="L858" s="3" t="n">
        <f aca="false">IF(OR(F858="Y",G858="Y",H858="Y"),1,0)</f>
        <v>1</v>
      </c>
      <c r="M858" s="3" t="n">
        <f aca="false">IF(H858="Y",1,0)</f>
        <v>1</v>
      </c>
      <c r="N858" s="3" t="n">
        <f aca="false">IF(I858="Y",1,0)</f>
        <v>0</v>
      </c>
    </row>
    <row r="859" customFormat="false" ht="15" hidden="false" customHeight="true" outlineLevel="0" collapsed="false">
      <c r="A859" s="7" t="s">
        <v>57</v>
      </c>
      <c r="B859" s="7" t="n">
        <v>1971</v>
      </c>
      <c r="C859" s="7" t="s">
        <v>358</v>
      </c>
      <c r="D859" s="7" t="n">
        <v>79</v>
      </c>
      <c r="E859" s="7" t="n">
        <v>83</v>
      </c>
      <c r="F859" s="7" t="s">
        <v>546</v>
      </c>
      <c r="G859" s="7"/>
      <c r="H859" s="7" t="s">
        <v>546</v>
      </c>
      <c r="I859" s="7" t="s">
        <v>546</v>
      </c>
      <c r="J859" s="21" t="n">
        <f aca="false">D859/(D859+E859)</f>
        <v>0.487654320987654</v>
      </c>
      <c r="K859" s="3" t="n">
        <f aca="false">IF(D859&gt;E859,1,0)</f>
        <v>0</v>
      </c>
      <c r="L859" s="3" t="n">
        <f aca="false">IF(OR(F859="Y",G859="Y",H859="Y"),1,0)</f>
        <v>0</v>
      </c>
      <c r="M859" s="3" t="n">
        <f aca="false">IF(H859="Y",1,0)</f>
        <v>0</v>
      </c>
      <c r="N859" s="3" t="n">
        <f aca="false">IF(I859="Y",1,0)</f>
        <v>0</v>
      </c>
    </row>
    <row r="860" customFormat="false" ht="15" hidden="false" customHeight="true" outlineLevel="0" collapsed="false">
      <c r="A860" s="7" t="s">
        <v>57</v>
      </c>
      <c r="B860" s="7" t="n">
        <v>1972</v>
      </c>
      <c r="C860" s="7" t="s">
        <v>358</v>
      </c>
      <c r="D860" s="7" t="n">
        <v>95</v>
      </c>
      <c r="E860" s="7" t="n">
        <v>59</v>
      </c>
      <c r="F860" s="7" t="s">
        <v>548</v>
      </c>
      <c r="G860" s="7"/>
      <c r="H860" s="7" t="s">
        <v>548</v>
      </c>
      <c r="I860" s="7" t="s">
        <v>546</v>
      </c>
      <c r="J860" s="21" t="n">
        <f aca="false">D860/(D860+E860)</f>
        <v>0.616883116883117</v>
      </c>
      <c r="K860" s="3" t="n">
        <f aca="false">IF(D860&gt;E860,1,0)</f>
        <v>1</v>
      </c>
      <c r="L860" s="3" t="n">
        <f aca="false">IF(OR(F860="Y",G860="Y",H860="Y"),1,0)</f>
        <v>1</v>
      </c>
      <c r="M860" s="3" t="n">
        <f aca="false">IF(H860="Y",1,0)</f>
        <v>1</v>
      </c>
      <c r="N860" s="3" t="n">
        <f aca="false">IF(I860="Y",1,0)</f>
        <v>0</v>
      </c>
    </row>
    <row r="861" customFormat="false" ht="15" hidden="false" customHeight="true" outlineLevel="0" collapsed="false">
      <c r="A861" s="7" t="s">
        <v>57</v>
      </c>
      <c r="B861" s="7" t="n">
        <v>1973</v>
      </c>
      <c r="C861" s="7" t="s">
        <v>358</v>
      </c>
      <c r="D861" s="7" t="n">
        <v>99</v>
      </c>
      <c r="E861" s="7" t="n">
        <v>63</v>
      </c>
      <c r="F861" s="7" t="s">
        <v>548</v>
      </c>
      <c r="G861" s="7"/>
      <c r="H861" s="7" t="s">
        <v>546</v>
      </c>
      <c r="I861" s="7" t="s">
        <v>546</v>
      </c>
      <c r="J861" s="21" t="n">
        <f aca="false">D861/(D861+E861)</f>
        <v>0.611111111111111</v>
      </c>
      <c r="K861" s="3" t="n">
        <f aca="false">IF(D861&gt;E861,1,0)</f>
        <v>1</v>
      </c>
      <c r="L861" s="3" t="n">
        <f aca="false">IF(OR(F861="Y",G861="Y",H861="Y"),1,0)</f>
        <v>1</v>
      </c>
      <c r="M861" s="3" t="n">
        <f aca="false">IF(H861="Y",1,0)</f>
        <v>0</v>
      </c>
      <c r="N861" s="3" t="n">
        <f aca="false">IF(I861="Y",1,0)</f>
        <v>0</v>
      </c>
    </row>
    <row r="862" customFormat="false" ht="15" hidden="false" customHeight="true" outlineLevel="0" collapsed="false">
      <c r="A862" s="7" t="s">
        <v>57</v>
      </c>
      <c r="B862" s="7" t="n">
        <v>1974</v>
      </c>
      <c r="C862" s="7" t="s">
        <v>358</v>
      </c>
      <c r="D862" s="7" t="n">
        <v>98</v>
      </c>
      <c r="E862" s="7" t="n">
        <v>64</v>
      </c>
      <c r="F862" s="7" t="s">
        <v>546</v>
      </c>
      <c r="G862" s="7"/>
      <c r="H862" s="7" t="s">
        <v>546</v>
      </c>
      <c r="I862" s="7" t="s">
        <v>546</v>
      </c>
      <c r="J862" s="21" t="n">
        <f aca="false">D862/(D862+E862)</f>
        <v>0.604938271604938</v>
      </c>
      <c r="K862" s="3" t="n">
        <f aca="false">IF(D862&gt;E862,1,0)</f>
        <v>1</v>
      </c>
      <c r="L862" s="3" t="n">
        <f aca="false">IF(OR(F862="Y",G862="Y",H862="Y"),1,0)</f>
        <v>0</v>
      </c>
      <c r="M862" s="3" t="n">
        <f aca="false">IF(H862="Y",1,0)</f>
        <v>0</v>
      </c>
      <c r="N862" s="3" t="n">
        <f aca="false">IF(I862="Y",1,0)</f>
        <v>0</v>
      </c>
    </row>
    <row r="863" customFormat="false" ht="15" hidden="false" customHeight="true" outlineLevel="0" collapsed="false">
      <c r="A863" s="7" t="s">
        <v>57</v>
      </c>
      <c r="B863" s="7" t="n">
        <v>1975</v>
      </c>
      <c r="C863" s="7" t="s">
        <v>358</v>
      </c>
      <c r="D863" s="7" t="n">
        <v>108</v>
      </c>
      <c r="E863" s="7" t="n">
        <v>54</v>
      </c>
      <c r="F863" s="7" t="s">
        <v>548</v>
      </c>
      <c r="G863" s="7"/>
      <c r="H863" s="7" t="s">
        <v>548</v>
      </c>
      <c r="I863" s="7" t="s">
        <v>548</v>
      </c>
      <c r="J863" s="21" t="n">
        <f aca="false">D863/(D863+E863)</f>
        <v>0.666666666666667</v>
      </c>
      <c r="K863" s="3" t="n">
        <f aca="false">IF(D863&gt;E863,1,0)</f>
        <v>1</v>
      </c>
      <c r="L863" s="3" t="n">
        <f aca="false">IF(OR(F863="Y",G863="Y",H863="Y"),1,0)</f>
        <v>1</v>
      </c>
      <c r="M863" s="3" t="n">
        <f aca="false">IF(H863="Y",1,0)</f>
        <v>1</v>
      </c>
      <c r="N863" s="3" t="n">
        <f aca="false">IF(I863="Y",1,0)</f>
        <v>1</v>
      </c>
    </row>
    <row r="864" customFormat="false" ht="15" hidden="false" customHeight="true" outlineLevel="0" collapsed="false">
      <c r="A864" s="7" t="s">
        <v>57</v>
      </c>
      <c r="B864" s="7" t="n">
        <v>1976</v>
      </c>
      <c r="C864" s="7" t="s">
        <v>358</v>
      </c>
      <c r="D864" s="7" t="n">
        <v>102</v>
      </c>
      <c r="E864" s="7" t="n">
        <v>60</v>
      </c>
      <c r="F864" s="7" t="s">
        <v>548</v>
      </c>
      <c r="G864" s="7"/>
      <c r="H864" s="7" t="s">
        <v>548</v>
      </c>
      <c r="I864" s="7" t="s">
        <v>548</v>
      </c>
      <c r="J864" s="21" t="n">
        <f aca="false">D864/(D864+E864)</f>
        <v>0.62962962962963</v>
      </c>
      <c r="K864" s="3" t="n">
        <f aca="false">IF(D864&gt;E864,1,0)</f>
        <v>1</v>
      </c>
      <c r="L864" s="3" t="n">
        <f aca="false">IF(OR(F864="Y",G864="Y",H864="Y"),1,0)</f>
        <v>1</v>
      </c>
      <c r="M864" s="3" t="n">
        <f aca="false">IF(H864="Y",1,0)</f>
        <v>1</v>
      </c>
      <c r="N864" s="3" t="n">
        <f aca="false">IF(I864="Y",1,0)</f>
        <v>1</v>
      </c>
    </row>
    <row r="865" customFormat="false" ht="15" hidden="false" customHeight="true" outlineLevel="0" collapsed="false">
      <c r="A865" s="7" t="s">
        <v>57</v>
      </c>
      <c r="B865" s="7" t="n">
        <v>1977</v>
      </c>
      <c r="C865" s="7" t="s">
        <v>358</v>
      </c>
      <c r="D865" s="7" t="n">
        <v>88</v>
      </c>
      <c r="E865" s="7" t="n">
        <v>74</v>
      </c>
      <c r="F865" s="7" t="s">
        <v>546</v>
      </c>
      <c r="G865" s="7"/>
      <c r="H865" s="7" t="s">
        <v>546</v>
      </c>
      <c r="I865" s="7" t="s">
        <v>546</v>
      </c>
      <c r="J865" s="21" t="n">
        <f aca="false">D865/(D865+E865)</f>
        <v>0.54320987654321</v>
      </c>
      <c r="K865" s="3" t="n">
        <f aca="false">IF(D865&gt;E865,1,0)</f>
        <v>1</v>
      </c>
      <c r="L865" s="3" t="n">
        <f aca="false">IF(OR(F865="Y",G865="Y",H865="Y"),1,0)</f>
        <v>0</v>
      </c>
      <c r="M865" s="3" t="n">
        <f aca="false">IF(H865="Y",1,0)</f>
        <v>0</v>
      </c>
      <c r="N865" s="3" t="n">
        <f aca="false">IF(I865="Y",1,0)</f>
        <v>0</v>
      </c>
    </row>
    <row r="866" customFormat="false" ht="15" hidden="false" customHeight="true" outlineLevel="0" collapsed="false">
      <c r="A866" s="7" t="s">
        <v>57</v>
      </c>
      <c r="B866" s="7" t="n">
        <v>1978</v>
      </c>
      <c r="C866" s="7" t="s">
        <v>358</v>
      </c>
      <c r="D866" s="7" t="n">
        <v>92</v>
      </c>
      <c r="E866" s="7" t="n">
        <v>69</v>
      </c>
      <c r="F866" s="7" t="s">
        <v>546</v>
      </c>
      <c r="G866" s="7"/>
      <c r="H866" s="7" t="s">
        <v>546</v>
      </c>
      <c r="I866" s="7" t="s">
        <v>546</v>
      </c>
      <c r="J866" s="21" t="n">
        <f aca="false">D866/(D866+E866)</f>
        <v>0.571428571428571</v>
      </c>
      <c r="K866" s="3" t="n">
        <f aca="false">IF(D866&gt;E866,1,0)</f>
        <v>1</v>
      </c>
      <c r="L866" s="3" t="n">
        <f aca="false">IF(OR(F866="Y",G866="Y",H866="Y"),1,0)</f>
        <v>0</v>
      </c>
      <c r="M866" s="3" t="n">
        <f aca="false">IF(H866="Y",1,0)</f>
        <v>0</v>
      </c>
      <c r="N866" s="3" t="n">
        <f aca="false">IF(I866="Y",1,0)</f>
        <v>0</v>
      </c>
    </row>
    <row r="867" customFormat="false" ht="15" hidden="false" customHeight="true" outlineLevel="0" collapsed="false">
      <c r="A867" s="7" t="s">
        <v>57</v>
      </c>
      <c r="B867" s="7" t="n">
        <v>1979</v>
      </c>
      <c r="C867" s="7" t="s">
        <v>358</v>
      </c>
      <c r="D867" s="7" t="n">
        <v>90</v>
      </c>
      <c r="E867" s="7" t="n">
        <v>71</v>
      </c>
      <c r="F867" s="7" t="s">
        <v>548</v>
      </c>
      <c r="G867" s="7"/>
      <c r="H867" s="7" t="s">
        <v>546</v>
      </c>
      <c r="I867" s="7" t="s">
        <v>546</v>
      </c>
      <c r="J867" s="21" t="n">
        <f aca="false">D867/(D867+E867)</f>
        <v>0.559006211180124</v>
      </c>
      <c r="K867" s="3" t="n">
        <f aca="false">IF(D867&gt;E867,1,0)</f>
        <v>1</v>
      </c>
      <c r="L867" s="3" t="n">
        <f aca="false">IF(OR(F867="Y",G867="Y",H867="Y"),1,0)</f>
        <v>1</v>
      </c>
      <c r="M867" s="3" t="n">
        <f aca="false">IF(H867="Y",1,0)</f>
        <v>0</v>
      </c>
      <c r="N867" s="3" t="n">
        <f aca="false">IF(I867="Y",1,0)</f>
        <v>0</v>
      </c>
    </row>
    <row r="868" customFormat="false" ht="15" hidden="false" customHeight="true" outlineLevel="0" collapsed="false">
      <c r="A868" s="7" t="s">
        <v>57</v>
      </c>
      <c r="B868" s="7" t="n">
        <v>1980</v>
      </c>
      <c r="C868" s="7" t="s">
        <v>358</v>
      </c>
      <c r="D868" s="7" t="n">
        <v>89</v>
      </c>
      <c r="E868" s="7" t="n">
        <v>73</v>
      </c>
      <c r="F868" s="7" t="s">
        <v>546</v>
      </c>
      <c r="G868" s="7"/>
      <c r="H868" s="7" t="s">
        <v>546</v>
      </c>
      <c r="I868" s="7" t="s">
        <v>546</v>
      </c>
      <c r="J868" s="21" t="n">
        <f aca="false">D868/(D868+E868)</f>
        <v>0.549382716049383</v>
      </c>
      <c r="K868" s="3" t="n">
        <f aca="false">IF(D868&gt;E868,1,0)</f>
        <v>1</v>
      </c>
      <c r="L868" s="3" t="n">
        <f aca="false">IF(OR(F868="Y",G868="Y",H868="Y"),1,0)</f>
        <v>0</v>
      </c>
      <c r="M868" s="3" t="n">
        <f aca="false">IF(H868="Y",1,0)</f>
        <v>0</v>
      </c>
      <c r="N868" s="3" t="n">
        <f aca="false">IF(I868="Y",1,0)</f>
        <v>0</v>
      </c>
    </row>
    <row r="869" customFormat="false" ht="15" hidden="false" customHeight="true" outlineLevel="0" collapsed="false">
      <c r="A869" s="7" t="s">
        <v>57</v>
      </c>
      <c r="B869" s="7" t="n">
        <v>1981</v>
      </c>
      <c r="C869" s="7" t="s">
        <v>358</v>
      </c>
      <c r="D869" s="7" t="n">
        <v>66</v>
      </c>
      <c r="E869" s="7" t="n">
        <v>42</v>
      </c>
      <c r="F869" s="7" t="s">
        <v>546</v>
      </c>
      <c r="G869" s="7"/>
      <c r="H869" s="7" t="s">
        <v>546</v>
      </c>
      <c r="I869" s="7" t="s">
        <v>546</v>
      </c>
      <c r="J869" s="21" t="n">
        <f aca="false">D869/(D869+E869)</f>
        <v>0.611111111111111</v>
      </c>
      <c r="K869" s="3" t="n">
        <f aca="false">IF(D869&gt;E869,1,0)</f>
        <v>1</v>
      </c>
      <c r="L869" s="3" t="n">
        <f aca="false">IF(OR(F869="Y",G869="Y",H869="Y"),1,0)</f>
        <v>0</v>
      </c>
      <c r="M869" s="3" t="n">
        <f aca="false">IF(H869="Y",1,0)</f>
        <v>0</v>
      </c>
      <c r="N869" s="3" t="n">
        <f aca="false">IF(I869="Y",1,0)</f>
        <v>0</v>
      </c>
    </row>
    <row r="870" customFormat="false" ht="15" hidden="false" customHeight="true" outlineLevel="0" collapsed="false">
      <c r="A870" s="7" t="s">
        <v>57</v>
      </c>
      <c r="B870" s="7" t="n">
        <v>1982</v>
      </c>
      <c r="C870" s="7" t="s">
        <v>358</v>
      </c>
      <c r="D870" s="7" t="n">
        <v>61</v>
      </c>
      <c r="E870" s="7" t="n">
        <v>101</v>
      </c>
      <c r="F870" s="7" t="s">
        <v>546</v>
      </c>
      <c r="G870" s="7"/>
      <c r="H870" s="7" t="s">
        <v>546</v>
      </c>
      <c r="I870" s="7" t="s">
        <v>546</v>
      </c>
      <c r="J870" s="21" t="n">
        <f aca="false">D870/(D870+E870)</f>
        <v>0.376543209876543</v>
      </c>
      <c r="K870" s="3" t="n">
        <f aca="false">IF(D870&gt;E870,1,0)</f>
        <v>0</v>
      </c>
      <c r="L870" s="3" t="n">
        <f aca="false">IF(OR(F870="Y",G870="Y",H870="Y"),1,0)</f>
        <v>0</v>
      </c>
      <c r="M870" s="3" t="n">
        <f aca="false">IF(H870="Y",1,0)</f>
        <v>0</v>
      </c>
      <c r="N870" s="3" t="n">
        <f aca="false">IF(I870="Y",1,0)</f>
        <v>0</v>
      </c>
    </row>
    <row r="871" customFormat="false" ht="15" hidden="false" customHeight="true" outlineLevel="0" collapsed="false">
      <c r="A871" s="7" t="s">
        <v>57</v>
      </c>
      <c r="B871" s="7" t="n">
        <v>1983</v>
      </c>
      <c r="C871" s="7" t="s">
        <v>358</v>
      </c>
      <c r="D871" s="7" t="n">
        <v>74</v>
      </c>
      <c r="E871" s="7" t="n">
        <v>88</v>
      </c>
      <c r="F871" s="7" t="s">
        <v>546</v>
      </c>
      <c r="G871" s="7"/>
      <c r="H871" s="7" t="s">
        <v>546</v>
      </c>
      <c r="I871" s="7" t="s">
        <v>546</v>
      </c>
      <c r="J871" s="21" t="n">
        <f aca="false">D871/(D871+E871)</f>
        <v>0.45679012345679</v>
      </c>
      <c r="K871" s="3" t="n">
        <f aca="false">IF(D871&gt;E871,1,0)</f>
        <v>0</v>
      </c>
      <c r="L871" s="3" t="n">
        <f aca="false">IF(OR(F871="Y",G871="Y",H871="Y"),1,0)</f>
        <v>0</v>
      </c>
      <c r="M871" s="3" t="n">
        <f aca="false">IF(H871="Y",1,0)</f>
        <v>0</v>
      </c>
      <c r="N871" s="3" t="n">
        <f aca="false">IF(I871="Y",1,0)</f>
        <v>0</v>
      </c>
    </row>
    <row r="872" customFormat="false" ht="15" hidden="false" customHeight="true" outlineLevel="0" collapsed="false">
      <c r="A872" s="7" t="s">
        <v>57</v>
      </c>
      <c r="B872" s="7" t="n">
        <v>1984</v>
      </c>
      <c r="C872" s="7" t="s">
        <v>358</v>
      </c>
      <c r="D872" s="7" t="n">
        <v>70</v>
      </c>
      <c r="E872" s="7" t="n">
        <v>92</v>
      </c>
      <c r="F872" s="7" t="s">
        <v>546</v>
      </c>
      <c r="G872" s="7"/>
      <c r="H872" s="7" t="s">
        <v>546</v>
      </c>
      <c r="I872" s="7" t="s">
        <v>546</v>
      </c>
      <c r="J872" s="21" t="n">
        <f aca="false">D872/(D872+E872)</f>
        <v>0.432098765432099</v>
      </c>
      <c r="K872" s="3" t="n">
        <f aca="false">IF(D872&gt;E872,1,0)</f>
        <v>0</v>
      </c>
      <c r="L872" s="3" t="n">
        <f aca="false">IF(OR(F872="Y",G872="Y",H872="Y"),1,0)</f>
        <v>0</v>
      </c>
      <c r="M872" s="3" t="n">
        <f aca="false">IF(H872="Y",1,0)</f>
        <v>0</v>
      </c>
      <c r="N872" s="3" t="n">
        <f aca="false">IF(I872="Y",1,0)</f>
        <v>0</v>
      </c>
    </row>
    <row r="873" customFormat="false" ht="15" hidden="false" customHeight="true" outlineLevel="0" collapsed="false">
      <c r="A873" s="7" t="s">
        <v>57</v>
      </c>
      <c r="B873" s="7" t="n">
        <v>1985</v>
      </c>
      <c r="C873" s="7" t="s">
        <v>358</v>
      </c>
      <c r="D873" s="7" t="n">
        <v>89</v>
      </c>
      <c r="E873" s="7" t="n">
        <v>72</v>
      </c>
      <c r="F873" s="7" t="s">
        <v>546</v>
      </c>
      <c r="G873" s="7"/>
      <c r="H873" s="7" t="s">
        <v>546</v>
      </c>
      <c r="I873" s="7" t="s">
        <v>546</v>
      </c>
      <c r="J873" s="21" t="n">
        <f aca="false">D873/(D873+E873)</f>
        <v>0.552795031055901</v>
      </c>
      <c r="K873" s="3" t="n">
        <f aca="false">IF(D873&gt;E873,1,0)</f>
        <v>1</v>
      </c>
      <c r="L873" s="3" t="n">
        <f aca="false">IF(OR(F873="Y",G873="Y",H873="Y"),1,0)</f>
        <v>0</v>
      </c>
      <c r="M873" s="3" t="n">
        <f aca="false">IF(H873="Y",1,0)</f>
        <v>0</v>
      </c>
      <c r="N873" s="3" t="n">
        <f aca="false">IF(I873="Y",1,0)</f>
        <v>0</v>
      </c>
    </row>
    <row r="874" customFormat="false" ht="15" hidden="false" customHeight="true" outlineLevel="0" collapsed="false">
      <c r="A874" s="7" t="s">
        <v>57</v>
      </c>
      <c r="B874" s="7" t="n">
        <v>1986</v>
      </c>
      <c r="C874" s="7" t="s">
        <v>358</v>
      </c>
      <c r="D874" s="7" t="n">
        <v>86</v>
      </c>
      <c r="E874" s="7" t="n">
        <v>76</v>
      </c>
      <c r="F874" s="7" t="s">
        <v>546</v>
      </c>
      <c r="G874" s="7"/>
      <c r="H874" s="7" t="s">
        <v>546</v>
      </c>
      <c r="I874" s="7" t="s">
        <v>546</v>
      </c>
      <c r="J874" s="21" t="n">
        <f aca="false">D874/(D874+E874)</f>
        <v>0.530864197530864</v>
      </c>
      <c r="K874" s="3" t="n">
        <f aca="false">IF(D874&gt;E874,1,0)</f>
        <v>1</v>
      </c>
      <c r="L874" s="3" t="n">
        <f aca="false">IF(OR(F874="Y",G874="Y",H874="Y"),1,0)</f>
        <v>0</v>
      </c>
      <c r="M874" s="3" t="n">
        <f aca="false">IF(H874="Y",1,0)</f>
        <v>0</v>
      </c>
      <c r="N874" s="3" t="n">
        <f aca="false">IF(I874="Y",1,0)</f>
        <v>0</v>
      </c>
    </row>
    <row r="875" customFormat="false" ht="15" hidden="false" customHeight="true" outlineLevel="0" collapsed="false">
      <c r="A875" s="7" t="s">
        <v>57</v>
      </c>
      <c r="B875" s="7" t="n">
        <v>1987</v>
      </c>
      <c r="C875" s="7" t="s">
        <v>358</v>
      </c>
      <c r="D875" s="7" t="n">
        <v>84</v>
      </c>
      <c r="E875" s="7" t="n">
        <v>78</v>
      </c>
      <c r="F875" s="7" t="s">
        <v>546</v>
      </c>
      <c r="G875" s="7"/>
      <c r="H875" s="7" t="s">
        <v>546</v>
      </c>
      <c r="I875" s="7" t="s">
        <v>546</v>
      </c>
      <c r="J875" s="21" t="n">
        <f aca="false">D875/(D875+E875)</f>
        <v>0.518518518518519</v>
      </c>
      <c r="K875" s="3" t="n">
        <f aca="false">IF(D875&gt;E875,1,0)</f>
        <v>1</v>
      </c>
      <c r="L875" s="3" t="n">
        <f aca="false">IF(OR(F875="Y",G875="Y",H875="Y"),1,0)</f>
        <v>0</v>
      </c>
      <c r="M875" s="3" t="n">
        <f aca="false">IF(H875="Y",1,0)</f>
        <v>0</v>
      </c>
      <c r="N875" s="3" t="n">
        <f aca="false">IF(I875="Y",1,0)</f>
        <v>0</v>
      </c>
    </row>
    <row r="876" customFormat="false" ht="15" hidden="false" customHeight="true" outlineLevel="0" collapsed="false">
      <c r="A876" s="7" t="s">
        <v>57</v>
      </c>
      <c r="B876" s="7" t="n">
        <v>1988</v>
      </c>
      <c r="C876" s="7" t="s">
        <v>358</v>
      </c>
      <c r="D876" s="7" t="n">
        <v>87</v>
      </c>
      <c r="E876" s="7" t="n">
        <v>74</v>
      </c>
      <c r="F876" s="7" t="s">
        <v>546</v>
      </c>
      <c r="G876" s="7"/>
      <c r="H876" s="7" t="s">
        <v>546</v>
      </c>
      <c r="I876" s="7" t="s">
        <v>546</v>
      </c>
      <c r="J876" s="21" t="n">
        <f aca="false">D876/(D876+E876)</f>
        <v>0.540372670807453</v>
      </c>
      <c r="K876" s="3" t="n">
        <f aca="false">IF(D876&gt;E876,1,0)</f>
        <v>1</v>
      </c>
      <c r="L876" s="3" t="n">
        <f aca="false">IF(OR(F876="Y",G876="Y",H876="Y"),1,0)</f>
        <v>0</v>
      </c>
      <c r="M876" s="3" t="n">
        <f aca="false">IF(H876="Y",1,0)</f>
        <v>0</v>
      </c>
      <c r="N876" s="3" t="n">
        <f aca="false">IF(I876="Y",1,0)</f>
        <v>0</v>
      </c>
    </row>
    <row r="877" customFormat="false" ht="15" hidden="false" customHeight="true" outlineLevel="0" collapsed="false">
      <c r="A877" s="7" t="s">
        <v>57</v>
      </c>
      <c r="B877" s="7" t="n">
        <v>1989</v>
      </c>
      <c r="C877" s="7" t="s">
        <v>358</v>
      </c>
      <c r="D877" s="7" t="n">
        <v>75</v>
      </c>
      <c r="E877" s="7" t="n">
        <v>87</v>
      </c>
      <c r="F877" s="7" t="s">
        <v>546</v>
      </c>
      <c r="G877" s="7"/>
      <c r="H877" s="7" t="s">
        <v>546</v>
      </c>
      <c r="I877" s="7" t="s">
        <v>546</v>
      </c>
      <c r="J877" s="21" t="n">
        <f aca="false">D877/(D877+E877)</f>
        <v>0.462962962962963</v>
      </c>
      <c r="K877" s="3" t="n">
        <f aca="false">IF(D877&gt;E877,1,0)</f>
        <v>0</v>
      </c>
      <c r="L877" s="3" t="n">
        <f aca="false">IF(OR(F877="Y",G877="Y",H877="Y"),1,0)</f>
        <v>0</v>
      </c>
      <c r="M877" s="3" t="n">
        <f aca="false">IF(H877="Y",1,0)</f>
        <v>0</v>
      </c>
      <c r="N877" s="3" t="n">
        <f aca="false">IF(I877="Y",1,0)</f>
        <v>0</v>
      </c>
    </row>
    <row r="878" customFormat="false" ht="15" hidden="false" customHeight="true" outlineLevel="0" collapsed="false">
      <c r="A878" s="7" t="s">
        <v>57</v>
      </c>
      <c r="B878" s="7" t="n">
        <v>1990</v>
      </c>
      <c r="C878" s="7" t="s">
        <v>358</v>
      </c>
      <c r="D878" s="7" t="n">
        <v>91</v>
      </c>
      <c r="E878" s="7" t="n">
        <v>71</v>
      </c>
      <c r="F878" s="7" t="s">
        <v>548</v>
      </c>
      <c r="G878" s="7"/>
      <c r="H878" s="7" t="s">
        <v>548</v>
      </c>
      <c r="I878" s="7" t="s">
        <v>548</v>
      </c>
      <c r="J878" s="21" t="n">
        <f aca="false">D878/(D878+E878)</f>
        <v>0.561728395061728</v>
      </c>
      <c r="K878" s="3" t="n">
        <f aca="false">IF(D878&gt;E878,1,0)</f>
        <v>1</v>
      </c>
      <c r="L878" s="3" t="n">
        <f aca="false">IF(OR(F878="Y",G878="Y",H878="Y"),1,0)</f>
        <v>1</v>
      </c>
      <c r="M878" s="3" t="n">
        <f aca="false">IF(H878="Y",1,0)</f>
        <v>1</v>
      </c>
      <c r="N878" s="3" t="n">
        <f aca="false">IF(I878="Y",1,0)</f>
        <v>1</v>
      </c>
    </row>
    <row r="879" customFormat="false" ht="15" hidden="false" customHeight="true" outlineLevel="0" collapsed="false">
      <c r="A879" s="7" t="s">
        <v>57</v>
      </c>
      <c r="B879" s="7" t="n">
        <v>1991</v>
      </c>
      <c r="C879" s="7" t="s">
        <v>358</v>
      </c>
      <c r="D879" s="7" t="n">
        <v>74</v>
      </c>
      <c r="E879" s="7" t="n">
        <v>88</v>
      </c>
      <c r="F879" s="7" t="s">
        <v>546</v>
      </c>
      <c r="G879" s="7"/>
      <c r="H879" s="7" t="s">
        <v>546</v>
      </c>
      <c r="I879" s="7" t="s">
        <v>546</v>
      </c>
      <c r="J879" s="21" t="n">
        <f aca="false">D879/(D879+E879)</f>
        <v>0.45679012345679</v>
      </c>
      <c r="K879" s="3" t="n">
        <f aca="false">IF(D879&gt;E879,1,0)</f>
        <v>0</v>
      </c>
      <c r="L879" s="3" t="n">
        <f aca="false">IF(OR(F879="Y",G879="Y",H879="Y"),1,0)</f>
        <v>0</v>
      </c>
      <c r="M879" s="3" t="n">
        <f aca="false">IF(H879="Y",1,0)</f>
        <v>0</v>
      </c>
      <c r="N879" s="3" t="n">
        <f aca="false">IF(I879="Y",1,0)</f>
        <v>0</v>
      </c>
    </row>
    <row r="880" customFormat="false" ht="15" hidden="false" customHeight="true" outlineLevel="0" collapsed="false">
      <c r="A880" s="7" t="s">
        <v>57</v>
      </c>
      <c r="B880" s="7" t="n">
        <v>1992</v>
      </c>
      <c r="C880" s="7" t="s">
        <v>358</v>
      </c>
      <c r="D880" s="7" t="n">
        <v>90</v>
      </c>
      <c r="E880" s="7" t="n">
        <v>72</v>
      </c>
      <c r="F880" s="7" t="s">
        <v>546</v>
      </c>
      <c r="G880" s="7"/>
      <c r="H880" s="7" t="s">
        <v>546</v>
      </c>
      <c r="I880" s="7" t="s">
        <v>546</v>
      </c>
      <c r="J880" s="21" t="n">
        <f aca="false">D880/(D880+E880)</f>
        <v>0.555555555555556</v>
      </c>
      <c r="K880" s="3" t="n">
        <f aca="false">IF(D880&gt;E880,1,0)</f>
        <v>1</v>
      </c>
      <c r="L880" s="3" t="n">
        <f aca="false">IF(OR(F880="Y",G880="Y",H880="Y"),1,0)</f>
        <v>0</v>
      </c>
      <c r="M880" s="3" t="n">
        <f aca="false">IF(H880="Y",1,0)</f>
        <v>0</v>
      </c>
      <c r="N880" s="3" t="n">
        <f aca="false">IF(I880="Y",1,0)</f>
        <v>0</v>
      </c>
    </row>
    <row r="881" customFormat="false" ht="15" hidden="false" customHeight="true" outlineLevel="0" collapsed="false">
      <c r="A881" s="7" t="s">
        <v>57</v>
      </c>
      <c r="B881" s="7" t="n">
        <v>1993</v>
      </c>
      <c r="C881" s="7" t="s">
        <v>358</v>
      </c>
      <c r="D881" s="7" t="n">
        <v>73</v>
      </c>
      <c r="E881" s="7" t="n">
        <v>89</v>
      </c>
      <c r="F881" s="7" t="s">
        <v>546</v>
      </c>
      <c r="G881" s="7"/>
      <c r="H881" s="7" t="s">
        <v>546</v>
      </c>
      <c r="I881" s="7" t="s">
        <v>546</v>
      </c>
      <c r="J881" s="21" t="n">
        <f aca="false">D881/(D881+E881)</f>
        <v>0.450617283950617</v>
      </c>
      <c r="K881" s="3" t="n">
        <f aca="false">IF(D881&gt;E881,1,0)</f>
        <v>0</v>
      </c>
      <c r="L881" s="3" t="n">
        <f aca="false">IF(OR(F881="Y",G881="Y",H881="Y"),1,0)</f>
        <v>0</v>
      </c>
      <c r="M881" s="3" t="n">
        <f aca="false">IF(H881="Y",1,0)</f>
        <v>0</v>
      </c>
      <c r="N881" s="3" t="n">
        <f aca="false">IF(I881="Y",1,0)</f>
        <v>0</v>
      </c>
    </row>
    <row r="882" customFormat="false" ht="15" hidden="false" customHeight="true" outlineLevel="0" collapsed="false">
      <c r="A882" s="7" t="s">
        <v>57</v>
      </c>
      <c r="B882" s="7" t="n">
        <v>1994</v>
      </c>
      <c r="C882" s="7" t="s">
        <v>358</v>
      </c>
      <c r="D882" s="7" t="n">
        <v>66</v>
      </c>
      <c r="E882" s="7" t="n">
        <v>48</v>
      </c>
      <c r="F882" s="7"/>
      <c r="G882" s="7"/>
      <c r="H882" s="7"/>
      <c r="I882" s="7"/>
      <c r="J882" s="21" t="n">
        <f aca="false">D882/(D882+E882)</f>
        <v>0.578947368421053</v>
      </c>
      <c r="K882" s="3" t="n">
        <f aca="false">IF(D882&gt;E882,1,0)</f>
        <v>1</v>
      </c>
      <c r="L882" s="3" t="n">
        <f aca="false">IF(OR(F882="Y",G882="Y",H882="Y"),1,0)</f>
        <v>0</v>
      </c>
      <c r="M882" s="3" t="n">
        <f aca="false">IF(H882="Y",1,0)</f>
        <v>0</v>
      </c>
      <c r="N882" s="3" t="n">
        <f aca="false">IF(I882="Y",1,0)</f>
        <v>0</v>
      </c>
    </row>
    <row r="883" customFormat="false" ht="15" hidden="false" customHeight="true" outlineLevel="0" collapsed="false">
      <c r="A883" s="7" t="s">
        <v>57</v>
      </c>
      <c r="B883" s="7" t="n">
        <v>1995</v>
      </c>
      <c r="C883" s="7" t="s">
        <v>358</v>
      </c>
      <c r="D883" s="7" t="n">
        <v>85</v>
      </c>
      <c r="E883" s="7" t="n">
        <v>59</v>
      </c>
      <c r="F883" s="7" t="s">
        <v>548</v>
      </c>
      <c r="G883" s="7" t="s">
        <v>546</v>
      </c>
      <c r="H883" s="7" t="s">
        <v>546</v>
      </c>
      <c r="I883" s="7" t="s">
        <v>546</v>
      </c>
      <c r="J883" s="21" t="n">
        <f aca="false">D883/(D883+E883)</f>
        <v>0.590277777777778</v>
      </c>
      <c r="K883" s="3" t="n">
        <f aca="false">IF(D883&gt;E883,1,0)</f>
        <v>1</v>
      </c>
      <c r="L883" s="3" t="n">
        <f aca="false">IF(OR(F883="Y",G883="Y",H883="Y"),1,0)</f>
        <v>1</v>
      </c>
      <c r="M883" s="3" t="n">
        <f aca="false">IF(H883="Y",1,0)</f>
        <v>0</v>
      </c>
      <c r="N883" s="3" t="n">
        <f aca="false">IF(I883="Y",1,0)</f>
        <v>0</v>
      </c>
    </row>
    <row r="884" customFormat="false" ht="15" hidden="false" customHeight="true" outlineLevel="0" collapsed="false">
      <c r="A884" s="7" t="s">
        <v>57</v>
      </c>
      <c r="B884" s="7" t="n">
        <v>1996</v>
      </c>
      <c r="C884" s="7" t="s">
        <v>358</v>
      </c>
      <c r="D884" s="7" t="n">
        <v>81</v>
      </c>
      <c r="E884" s="7" t="n">
        <v>81</v>
      </c>
      <c r="F884" s="7" t="s">
        <v>546</v>
      </c>
      <c r="G884" s="7" t="s">
        <v>546</v>
      </c>
      <c r="H884" s="7" t="s">
        <v>546</v>
      </c>
      <c r="I884" s="7" t="s">
        <v>546</v>
      </c>
      <c r="J884" s="21" t="n">
        <f aca="false">D884/(D884+E884)</f>
        <v>0.5</v>
      </c>
      <c r="K884" s="3" t="n">
        <f aca="false">IF(D884&gt;E884,1,0)</f>
        <v>0</v>
      </c>
      <c r="L884" s="3" t="n">
        <f aca="false">IF(OR(F884="Y",G884="Y",H884="Y"),1,0)</f>
        <v>0</v>
      </c>
      <c r="M884" s="3" t="n">
        <f aca="false">IF(H884="Y",1,0)</f>
        <v>0</v>
      </c>
      <c r="N884" s="3" t="n">
        <f aca="false">IF(I884="Y",1,0)</f>
        <v>0</v>
      </c>
    </row>
    <row r="885" customFormat="false" ht="15" hidden="false" customHeight="true" outlineLevel="0" collapsed="false">
      <c r="A885" s="7" t="s">
        <v>57</v>
      </c>
      <c r="B885" s="7" t="n">
        <v>1997</v>
      </c>
      <c r="C885" s="7" t="s">
        <v>358</v>
      </c>
      <c r="D885" s="7" t="n">
        <v>76</v>
      </c>
      <c r="E885" s="7" t="n">
        <v>86</v>
      </c>
      <c r="F885" s="7" t="s">
        <v>546</v>
      </c>
      <c r="G885" s="7" t="s">
        <v>546</v>
      </c>
      <c r="H885" s="7" t="s">
        <v>546</v>
      </c>
      <c r="I885" s="7" t="s">
        <v>546</v>
      </c>
      <c r="J885" s="21" t="n">
        <f aca="false">D885/(D885+E885)</f>
        <v>0.469135802469136</v>
      </c>
      <c r="K885" s="3" t="n">
        <f aca="false">IF(D885&gt;E885,1,0)</f>
        <v>0</v>
      </c>
      <c r="L885" s="3" t="n">
        <f aca="false">IF(OR(F885="Y",G885="Y",H885="Y"),1,0)</f>
        <v>0</v>
      </c>
      <c r="M885" s="3" t="n">
        <f aca="false">IF(H885="Y",1,0)</f>
        <v>0</v>
      </c>
      <c r="N885" s="3" t="n">
        <f aca="false">IF(I885="Y",1,0)</f>
        <v>0</v>
      </c>
    </row>
    <row r="886" customFormat="false" ht="15" hidden="false" customHeight="true" outlineLevel="0" collapsed="false">
      <c r="A886" s="7" t="s">
        <v>57</v>
      </c>
      <c r="B886" s="7" t="n">
        <v>1998</v>
      </c>
      <c r="C886" s="7" t="s">
        <v>358</v>
      </c>
      <c r="D886" s="7" t="n">
        <v>77</v>
      </c>
      <c r="E886" s="7" t="n">
        <v>85</v>
      </c>
      <c r="F886" s="7" t="s">
        <v>546</v>
      </c>
      <c r="G886" s="7" t="s">
        <v>546</v>
      </c>
      <c r="H886" s="7" t="s">
        <v>546</v>
      </c>
      <c r="I886" s="7" t="s">
        <v>546</v>
      </c>
      <c r="J886" s="21" t="n">
        <f aca="false">D886/(D886+E886)</f>
        <v>0.475308641975309</v>
      </c>
      <c r="K886" s="3" t="n">
        <f aca="false">IF(D886&gt;E886,1,0)</f>
        <v>0</v>
      </c>
      <c r="L886" s="3" t="n">
        <f aca="false">IF(OR(F886="Y",G886="Y",H886="Y"),1,0)</f>
        <v>0</v>
      </c>
      <c r="M886" s="3" t="n">
        <f aca="false">IF(H886="Y",1,0)</f>
        <v>0</v>
      </c>
      <c r="N886" s="3" t="n">
        <f aca="false">IF(I886="Y",1,0)</f>
        <v>0</v>
      </c>
    </row>
    <row r="887" customFormat="false" ht="15" hidden="false" customHeight="true" outlineLevel="0" collapsed="false">
      <c r="A887" s="7" t="s">
        <v>57</v>
      </c>
      <c r="B887" s="7" t="n">
        <v>1999</v>
      </c>
      <c r="C887" s="7" t="s">
        <v>358</v>
      </c>
      <c r="D887" s="7" t="n">
        <v>96</v>
      </c>
      <c r="E887" s="7" t="n">
        <v>67</v>
      </c>
      <c r="F887" s="7" t="s">
        <v>546</v>
      </c>
      <c r="G887" s="7" t="s">
        <v>546</v>
      </c>
      <c r="H887" s="7" t="s">
        <v>546</v>
      </c>
      <c r="I887" s="7" t="s">
        <v>546</v>
      </c>
      <c r="J887" s="21" t="n">
        <f aca="false">D887/(D887+E887)</f>
        <v>0.588957055214724</v>
      </c>
      <c r="K887" s="3" t="n">
        <f aca="false">IF(D887&gt;E887,1,0)</f>
        <v>1</v>
      </c>
      <c r="L887" s="3" t="n">
        <f aca="false">IF(OR(F887="Y",G887="Y",H887="Y"),1,0)</f>
        <v>0</v>
      </c>
      <c r="M887" s="3" t="n">
        <f aca="false">IF(H887="Y",1,0)</f>
        <v>0</v>
      </c>
      <c r="N887" s="3" t="n">
        <f aca="false">IF(I887="Y",1,0)</f>
        <v>0</v>
      </c>
    </row>
    <row r="888" customFormat="false" ht="15" hidden="false" customHeight="true" outlineLevel="0" collapsed="false">
      <c r="A888" s="7" t="s">
        <v>57</v>
      </c>
      <c r="B888" s="7" t="n">
        <v>2000</v>
      </c>
      <c r="C888" s="7" t="s">
        <v>358</v>
      </c>
      <c r="D888" s="7" t="n">
        <v>85</v>
      </c>
      <c r="E888" s="7" t="n">
        <v>77</v>
      </c>
      <c r="F888" s="7" t="s">
        <v>546</v>
      </c>
      <c r="G888" s="7" t="s">
        <v>546</v>
      </c>
      <c r="H888" s="7" t="s">
        <v>546</v>
      </c>
      <c r="I888" s="7" t="s">
        <v>546</v>
      </c>
      <c r="J888" s="21" t="n">
        <f aca="false">D888/(D888+E888)</f>
        <v>0.524691358024691</v>
      </c>
      <c r="K888" s="3" t="n">
        <f aca="false">IF(D888&gt;E888,1,0)</f>
        <v>1</v>
      </c>
      <c r="L888" s="3" t="n">
        <f aca="false">IF(OR(F888="Y",G888="Y",H888="Y"),1,0)</f>
        <v>0</v>
      </c>
      <c r="M888" s="3" t="n">
        <f aca="false">IF(H888="Y",1,0)</f>
        <v>0</v>
      </c>
      <c r="N888" s="3" t="n">
        <f aca="false">IF(I888="Y",1,0)</f>
        <v>0</v>
      </c>
    </row>
    <row r="889" customFormat="false" ht="15" hidden="false" customHeight="true" outlineLevel="0" collapsed="false">
      <c r="A889" s="7" t="s">
        <v>57</v>
      </c>
      <c r="B889" s="7" t="n">
        <v>2001</v>
      </c>
      <c r="C889" s="7" t="s">
        <v>358</v>
      </c>
      <c r="D889" s="7" t="n">
        <v>66</v>
      </c>
      <c r="E889" s="7" t="n">
        <v>96</v>
      </c>
      <c r="F889" s="7" t="s">
        <v>546</v>
      </c>
      <c r="G889" s="7" t="s">
        <v>546</v>
      </c>
      <c r="H889" s="7" t="s">
        <v>546</v>
      </c>
      <c r="I889" s="7" t="s">
        <v>546</v>
      </c>
      <c r="J889" s="21" t="n">
        <f aca="false">D889/(D889+E889)</f>
        <v>0.407407407407407</v>
      </c>
      <c r="K889" s="3" t="n">
        <f aca="false">IF(D889&gt;E889,1,0)</f>
        <v>0</v>
      </c>
      <c r="L889" s="3" t="n">
        <f aca="false">IF(OR(F889="Y",G889="Y",H889="Y"),1,0)</f>
        <v>0</v>
      </c>
      <c r="M889" s="3" t="n">
        <f aca="false">IF(H889="Y",1,0)</f>
        <v>0</v>
      </c>
      <c r="N889" s="3" t="n">
        <f aca="false">IF(I889="Y",1,0)</f>
        <v>0</v>
      </c>
    </row>
    <row r="890" customFormat="false" ht="15" hidden="false" customHeight="true" outlineLevel="0" collapsed="false">
      <c r="A890" s="7" t="s">
        <v>57</v>
      </c>
      <c r="B890" s="7" t="n">
        <v>2002</v>
      </c>
      <c r="C890" s="7" t="s">
        <v>358</v>
      </c>
      <c r="D890" s="7" t="n">
        <v>78</v>
      </c>
      <c r="E890" s="7" t="n">
        <v>84</v>
      </c>
      <c r="F890" s="7" t="s">
        <v>546</v>
      </c>
      <c r="G890" s="7" t="s">
        <v>546</v>
      </c>
      <c r="H890" s="7" t="s">
        <v>546</v>
      </c>
      <c r="I890" s="7" t="s">
        <v>546</v>
      </c>
      <c r="J890" s="21" t="n">
        <f aca="false">D890/(D890+E890)</f>
        <v>0.481481481481481</v>
      </c>
      <c r="K890" s="3" t="n">
        <f aca="false">IF(D890&gt;E890,1,0)</f>
        <v>0</v>
      </c>
      <c r="L890" s="3" t="n">
        <f aca="false">IF(OR(F890="Y",G890="Y",H890="Y"),1,0)</f>
        <v>0</v>
      </c>
      <c r="M890" s="3" t="n">
        <f aca="false">IF(H890="Y",1,0)</f>
        <v>0</v>
      </c>
      <c r="N890" s="3" t="n">
        <f aca="false">IF(I890="Y",1,0)</f>
        <v>0</v>
      </c>
    </row>
    <row r="891" customFormat="false" ht="15" hidden="false" customHeight="true" outlineLevel="0" collapsed="false">
      <c r="A891" s="7" t="s">
        <v>57</v>
      </c>
      <c r="B891" s="7" t="n">
        <v>2003</v>
      </c>
      <c r="C891" s="7" t="s">
        <v>358</v>
      </c>
      <c r="D891" s="7" t="n">
        <v>69</v>
      </c>
      <c r="E891" s="7" t="n">
        <v>93</v>
      </c>
      <c r="F891" s="7" t="s">
        <v>546</v>
      </c>
      <c r="G891" s="7" t="s">
        <v>546</v>
      </c>
      <c r="H891" s="7" t="s">
        <v>546</v>
      </c>
      <c r="I891" s="7" t="s">
        <v>546</v>
      </c>
      <c r="J891" s="21" t="n">
        <f aca="false">D891/(D891+E891)</f>
        <v>0.425925925925926</v>
      </c>
      <c r="K891" s="3" t="n">
        <f aca="false">IF(D891&gt;E891,1,0)</f>
        <v>0</v>
      </c>
      <c r="L891" s="3" t="n">
        <f aca="false">IF(OR(F891="Y",G891="Y",H891="Y"),1,0)</f>
        <v>0</v>
      </c>
      <c r="M891" s="3" t="n">
        <f aca="false">IF(H891="Y",1,0)</f>
        <v>0</v>
      </c>
      <c r="N891" s="3" t="n">
        <f aca="false">IF(I891="Y",1,0)</f>
        <v>0</v>
      </c>
    </row>
    <row r="892" customFormat="false" ht="15" hidden="false" customHeight="true" outlineLevel="0" collapsed="false">
      <c r="A892" s="7" t="s">
        <v>57</v>
      </c>
      <c r="B892" s="7" t="n">
        <v>2004</v>
      </c>
      <c r="C892" s="7" t="s">
        <v>358</v>
      </c>
      <c r="D892" s="7" t="n">
        <v>76</v>
      </c>
      <c r="E892" s="7" t="n">
        <v>86</v>
      </c>
      <c r="F892" s="7" t="s">
        <v>546</v>
      </c>
      <c r="G892" s="7" t="s">
        <v>546</v>
      </c>
      <c r="H892" s="7" t="s">
        <v>546</v>
      </c>
      <c r="I892" s="7" t="s">
        <v>546</v>
      </c>
      <c r="J892" s="21" t="n">
        <f aca="false">D892/(D892+E892)</f>
        <v>0.469135802469136</v>
      </c>
      <c r="K892" s="3" t="n">
        <f aca="false">IF(D892&gt;E892,1,0)</f>
        <v>0</v>
      </c>
      <c r="L892" s="3" t="n">
        <f aca="false">IF(OR(F892="Y",G892="Y",H892="Y"),1,0)</f>
        <v>0</v>
      </c>
      <c r="M892" s="3" t="n">
        <f aca="false">IF(H892="Y",1,0)</f>
        <v>0</v>
      </c>
      <c r="N892" s="3" t="n">
        <f aca="false">IF(I892="Y",1,0)</f>
        <v>0</v>
      </c>
    </row>
    <row r="893" customFormat="false" ht="15" hidden="false" customHeight="true" outlineLevel="0" collapsed="false">
      <c r="A893" s="7" t="s">
        <v>57</v>
      </c>
      <c r="B893" s="7" t="n">
        <v>2005</v>
      </c>
      <c r="C893" s="7" t="s">
        <v>358</v>
      </c>
      <c r="D893" s="7" t="n">
        <v>73</v>
      </c>
      <c r="E893" s="7" t="n">
        <v>89</v>
      </c>
      <c r="F893" s="7" t="s">
        <v>546</v>
      </c>
      <c r="G893" s="7" t="s">
        <v>546</v>
      </c>
      <c r="H893" s="7" t="s">
        <v>546</v>
      </c>
      <c r="I893" s="7" t="s">
        <v>546</v>
      </c>
      <c r="J893" s="21" t="n">
        <f aca="false">D893/(D893+E893)</f>
        <v>0.450617283950617</v>
      </c>
      <c r="K893" s="3" t="n">
        <f aca="false">IF(D893&gt;E893,1,0)</f>
        <v>0</v>
      </c>
      <c r="L893" s="3" t="n">
        <f aca="false">IF(OR(F893="Y",G893="Y",H893="Y"),1,0)</f>
        <v>0</v>
      </c>
      <c r="M893" s="3" t="n">
        <f aca="false">IF(H893="Y",1,0)</f>
        <v>0</v>
      </c>
      <c r="N893" s="3" t="n">
        <f aca="false">IF(I893="Y",1,0)</f>
        <v>0</v>
      </c>
    </row>
    <row r="894" customFormat="false" ht="15" hidden="false" customHeight="true" outlineLevel="0" collapsed="false">
      <c r="A894" s="7" t="s">
        <v>57</v>
      </c>
      <c r="B894" s="7" t="n">
        <v>2006</v>
      </c>
      <c r="C894" s="7" t="s">
        <v>358</v>
      </c>
      <c r="D894" s="7" t="n">
        <v>80</v>
      </c>
      <c r="E894" s="7" t="n">
        <v>82</v>
      </c>
      <c r="F894" s="7" t="s">
        <v>546</v>
      </c>
      <c r="G894" s="7" t="s">
        <v>546</v>
      </c>
      <c r="H894" s="7" t="s">
        <v>546</v>
      </c>
      <c r="I894" s="7" t="s">
        <v>546</v>
      </c>
      <c r="J894" s="21" t="n">
        <f aca="false">D894/(D894+E894)</f>
        <v>0.493827160493827</v>
      </c>
      <c r="K894" s="3" t="n">
        <f aca="false">IF(D894&gt;E894,1,0)</f>
        <v>0</v>
      </c>
      <c r="L894" s="3" t="n">
        <f aca="false">IF(OR(F894="Y",G894="Y",H894="Y"),1,0)</f>
        <v>0</v>
      </c>
      <c r="M894" s="3" t="n">
        <f aca="false">IF(H894="Y",1,0)</f>
        <v>0</v>
      </c>
      <c r="N894" s="3" t="n">
        <f aca="false">IF(I894="Y",1,0)</f>
        <v>0</v>
      </c>
    </row>
    <row r="895" customFormat="false" ht="15" hidden="false" customHeight="true" outlineLevel="0" collapsed="false">
      <c r="A895" s="7" t="s">
        <v>57</v>
      </c>
      <c r="B895" s="7" t="n">
        <v>2007</v>
      </c>
      <c r="C895" s="7" t="s">
        <v>358</v>
      </c>
      <c r="D895" s="7" t="n">
        <v>72</v>
      </c>
      <c r="E895" s="7" t="n">
        <v>90</v>
      </c>
      <c r="F895" s="7" t="s">
        <v>546</v>
      </c>
      <c r="G895" s="7" t="s">
        <v>546</v>
      </c>
      <c r="H895" s="7" t="s">
        <v>546</v>
      </c>
      <c r="I895" s="7" t="s">
        <v>546</v>
      </c>
      <c r="J895" s="21" t="n">
        <f aca="false">D895/(D895+E895)</f>
        <v>0.444444444444444</v>
      </c>
      <c r="K895" s="3" t="n">
        <f aca="false">IF(D895&gt;E895,1,0)</f>
        <v>0</v>
      </c>
      <c r="L895" s="3" t="n">
        <f aca="false">IF(OR(F895="Y",G895="Y",H895="Y"),1,0)</f>
        <v>0</v>
      </c>
      <c r="M895" s="3" t="n">
        <f aca="false">IF(H895="Y",1,0)</f>
        <v>0</v>
      </c>
      <c r="N895" s="3" t="n">
        <f aca="false">IF(I895="Y",1,0)</f>
        <v>0</v>
      </c>
    </row>
    <row r="896" customFormat="false" ht="15" hidden="false" customHeight="true" outlineLevel="0" collapsed="false">
      <c r="A896" s="7" t="s">
        <v>57</v>
      </c>
      <c r="B896" s="7" t="n">
        <v>2008</v>
      </c>
      <c r="C896" s="7" t="s">
        <v>358</v>
      </c>
      <c r="D896" s="7" t="n">
        <v>74</v>
      </c>
      <c r="E896" s="7" t="n">
        <v>88</v>
      </c>
      <c r="F896" s="7" t="s">
        <v>546</v>
      </c>
      <c r="G896" s="7" t="s">
        <v>546</v>
      </c>
      <c r="H896" s="7" t="s">
        <v>546</v>
      </c>
      <c r="I896" s="7" t="s">
        <v>546</v>
      </c>
      <c r="J896" s="21" t="n">
        <f aca="false">D896/(D896+E896)</f>
        <v>0.45679012345679</v>
      </c>
      <c r="K896" s="3" t="n">
        <f aca="false">IF(D896&gt;E896,1,0)</f>
        <v>0</v>
      </c>
      <c r="L896" s="3" t="n">
        <f aca="false">IF(OR(F896="Y",G896="Y",H896="Y"),1,0)</f>
        <v>0</v>
      </c>
      <c r="M896" s="3" t="n">
        <f aca="false">IF(H896="Y",1,0)</f>
        <v>0</v>
      </c>
      <c r="N896" s="3" t="n">
        <f aca="false">IF(I896="Y",1,0)</f>
        <v>0</v>
      </c>
    </row>
    <row r="897" customFormat="false" ht="15" hidden="false" customHeight="true" outlineLevel="0" collapsed="false">
      <c r="A897" s="7" t="s">
        <v>57</v>
      </c>
      <c r="B897" s="7" t="n">
        <v>2009</v>
      </c>
      <c r="C897" s="7" t="s">
        <v>358</v>
      </c>
      <c r="D897" s="7" t="n">
        <v>78</v>
      </c>
      <c r="E897" s="7" t="n">
        <v>84</v>
      </c>
      <c r="F897" s="7" t="s">
        <v>546</v>
      </c>
      <c r="G897" s="7" t="s">
        <v>546</v>
      </c>
      <c r="H897" s="7" t="s">
        <v>546</v>
      </c>
      <c r="I897" s="7" t="s">
        <v>546</v>
      </c>
      <c r="J897" s="21" t="n">
        <f aca="false">D897/(D897+E897)</f>
        <v>0.481481481481481</v>
      </c>
      <c r="K897" s="3" t="n">
        <f aca="false">IF(D897&gt;E897,1,0)</f>
        <v>0</v>
      </c>
      <c r="L897" s="3" t="n">
        <f aca="false">IF(OR(F897="Y",G897="Y",H897="Y"),1,0)</f>
        <v>0</v>
      </c>
      <c r="M897" s="3" t="n">
        <f aca="false">IF(H897="Y",1,0)</f>
        <v>0</v>
      </c>
      <c r="N897" s="3" t="n">
        <f aca="false">IF(I897="Y",1,0)</f>
        <v>0</v>
      </c>
    </row>
    <row r="898" customFormat="false" ht="15" hidden="false" customHeight="true" outlineLevel="0" collapsed="false">
      <c r="A898" s="7" t="s">
        <v>57</v>
      </c>
      <c r="B898" s="7" t="n">
        <v>2010</v>
      </c>
      <c r="C898" s="7" t="s">
        <v>358</v>
      </c>
      <c r="D898" s="7" t="n">
        <v>91</v>
      </c>
      <c r="E898" s="7" t="n">
        <v>71</v>
      </c>
      <c r="F898" s="7" t="s">
        <v>548</v>
      </c>
      <c r="G898" s="7" t="s">
        <v>546</v>
      </c>
      <c r="H898" s="7" t="s">
        <v>546</v>
      </c>
      <c r="I898" s="7" t="s">
        <v>546</v>
      </c>
      <c r="J898" s="21" t="n">
        <f aca="false">D898/(D898+E898)</f>
        <v>0.561728395061728</v>
      </c>
      <c r="K898" s="3" t="n">
        <f aca="false">IF(D898&gt;E898,1,0)</f>
        <v>1</v>
      </c>
      <c r="L898" s="3" t="n">
        <f aca="false">IF(OR(F898="Y",G898="Y",H898="Y"),1,0)</f>
        <v>1</v>
      </c>
      <c r="M898" s="3" t="n">
        <f aca="false">IF(H898="Y",1,0)</f>
        <v>0</v>
      </c>
      <c r="N898" s="3" t="n">
        <f aca="false">IF(I898="Y",1,0)</f>
        <v>0</v>
      </c>
    </row>
    <row r="899" customFormat="false" ht="15" hidden="false" customHeight="true" outlineLevel="0" collapsed="false">
      <c r="A899" s="7" t="s">
        <v>57</v>
      </c>
      <c r="B899" s="7" t="n">
        <v>2011</v>
      </c>
      <c r="C899" s="7" t="s">
        <v>358</v>
      </c>
      <c r="D899" s="7" t="n">
        <v>79</v>
      </c>
      <c r="E899" s="7" t="n">
        <v>83</v>
      </c>
      <c r="F899" s="7" t="s">
        <v>546</v>
      </c>
      <c r="G899" s="7" t="s">
        <v>546</v>
      </c>
      <c r="H899" s="7" t="s">
        <v>546</v>
      </c>
      <c r="I899" s="7" t="s">
        <v>546</v>
      </c>
      <c r="J899" s="21" t="n">
        <f aca="false">D899/(D899+E899)</f>
        <v>0.487654320987654</v>
      </c>
      <c r="K899" s="3" t="n">
        <f aca="false">IF(D899&gt;E899,1,0)</f>
        <v>0</v>
      </c>
      <c r="L899" s="3" t="n">
        <f aca="false">IF(OR(F899="Y",G899="Y",H899="Y"),1,0)</f>
        <v>0</v>
      </c>
      <c r="M899" s="3" t="n">
        <f aca="false">IF(H899="Y",1,0)</f>
        <v>0</v>
      </c>
      <c r="N899" s="3" t="n">
        <f aca="false">IF(I899="Y",1,0)</f>
        <v>0</v>
      </c>
    </row>
    <row r="900" customFormat="false" ht="15" hidden="false" customHeight="true" outlineLevel="0" collapsed="false">
      <c r="A900" s="7" t="s">
        <v>57</v>
      </c>
      <c r="B900" s="7" t="n">
        <v>2012</v>
      </c>
      <c r="C900" s="7" t="s">
        <v>358</v>
      </c>
      <c r="D900" s="7" t="n">
        <v>97</v>
      </c>
      <c r="E900" s="7" t="n">
        <v>65</v>
      </c>
      <c r="F900" s="7" t="s">
        <v>548</v>
      </c>
      <c r="G900" s="7" t="s">
        <v>546</v>
      </c>
      <c r="H900" s="7" t="s">
        <v>546</v>
      </c>
      <c r="I900" s="7" t="s">
        <v>546</v>
      </c>
      <c r="J900" s="21" t="n">
        <f aca="false">D900/(D900+E900)</f>
        <v>0.598765432098765</v>
      </c>
      <c r="K900" s="3" t="n">
        <f aca="false">IF(D900&gt;E900,1,0)</f>
        <v>1</v>
      </c>
      <c r="L900" s="3" t="n">
        <f aca="false">IF(OR(F900="Y",G900="Y",H900="Y"),1,0)</f>
        <v>1</v>
      </c>
      <c r="M900" s="3" t="n">
        <f aca="false">IF(H900="Y",1,0)</f>
        <v>0</v>
      </c>
      <c r="N900" s="3" t="n">
        <f aca="false">IF(I900="Y",1,0)</f>
        <v>0</v>
      </c>
    </row>
    <row r="901" customFormat="false" ht="15" hidden="false" customHeight="true" outlineLevel="0" collapsed="false">
      <c r="A901" s="7" t="s">
        <v>57</v>
      </c>
      <c r="B901" s="7" t="n">
        <v>2013</v>
      </c>
      <c r="C901" s="7" t="s">
        <v>358</v>
      </c>
      <c r="D901" s="7" t="n">
        <v>90</v>
      </c>
      <c r="E901" s="7" t="n">
        <v>72</v>
      </c>
      <c r="F901" s="7" t="s">
        <v>546</v>
      </c>
      <c r="G901" s="7" t="s">
        <v>548</v>
      </c>
      <c r="H901" s="7" t="s">
        <v>546</v>
      </c>
      <c r="I901" s="7" t="s">
        <v>546</v>
      </c>
      <c r="J901" s="21" t="n">
        <f aca="false">D901/(D901+E901)</f>
        <v>0.555555555555556</v>
      </c>
      <c r="K901" s="3" t="n">
        <f aca="false">IF(D901&gt;E901,1,0)</f>
        <v>1</v>
      </c>
      <c r="L901" s="3" t="n">
        <f aca="false">IF(OR(F901="Y",G901="Y",H901="Y"),1,0)</f>
        <v>1</v>
      </c>
      <c r="M901" s="3" t="n">
        <f aca="false">IF(H901="Y",1,0)</f>
        <v>0</v>
      </c>
      <c r="N901" s="3" t="n">
        <f aca="false">IF(I901="Y",1,0)</f>
        <v>0</v>
      </c>
    </row>
    <row r="902" customFormat="false" ht="15" hidden="false" customHeight="true" outlineLevel="0" collapsed="false">
      <c r="A902" s="7" t="s">
        <v>57</v>
      </c>
      <c r="B902" s="7" t="n">
        <v>2014</v>
      </c>
      <c r="C902" s="7" t="s">
        <v>358</v>
      </c>
      <c r="D902" s="7" t="n">
        <v>76</v>
      </c>
      <c r="E902" s="7" t="n">
        <v>86</v>
      </c>
      <c r="F902" s="7" t="s">
        <v>546</v>
      </c>
      <c r="G902" s="7" t="s">
        <v>546</v>
      </c>
      <c r="H902" s="7" t="s">
        <v>546</v>
      </c>
      <c r="I902" s="7" t="s">
        <v>546</v>
      </c>
      <c r="J902" s="21" t="n">
        <f aca="false">D902/(D902+E902)</f>
        <v>0.469135802469136</v>
      </c>
      <c r="K902" s="3" t="n">
        <f aca="false">IF(D902&gt;E902,1,0)</f>
        <v>0</v>
      </c>
      <c r="L902" s="3" t="n">
        <f aca="false">IF(OR(F902="Y",G902="Y",H902="Y"),1,0)</f>
        <v>0</v>
      </c>
      <c r="M902" s="3" t="n">
        <f aca="false">IF(H902="Y",1,0)</f>
        <v>0</v>
      </c>
      <c r="N902" s="3" t="n">
        <f aca="false">IF(I902="Y",1,0)</f>
        <v>0</v>
      </c>
    </row>
    <row r="903" customFormat="false" ht="15" hidden="false" customHeight="true" outlineLevel="0" collapsed="false">
      <c r="A903" s="7" t="s">
        <v>57</v>
      </c>
      <c r="B903" s="7" t="n">
        <v>2015</v>
      </c>
      <c r="C903" s="7" t="s">
        <v>358</v>
      </c>
      <c r="D903" s="7" t="n">
        <v>64</v>
      </c>
      <c r="E903" s="7" t="n">
        <v>98</v>
      </c>
      <c r="F903" s="7" t="s">
        <v>546</v>
      </c>
      <c r="G903" s="7" t="s">
        <v>546</v>
      </c>
      <c r="H903" s="7" t="s">
        <v>546</v>
      </c>
      <c r="I903" s="7" t="s">
        <v>546</v>
      </c>
      <c r="J903" s="21" t="n">
        <f aca="false">D903/(D903+E903)</f>
        <v>0.395061728395062</v>
      </c>
      <c r="K903" s="3" t="n">
        <f aca="false">IF(D903&gt;E903,1,0)</f>
        <v>0</v>
      </c>
      <c r="L903" s="3" t="n">
        <f aca="false">IF(OR(F903="Y",G903="Y",H903="Y"),1,0)</f>
        <v>0</v>
      </c>
      <c r="M903" s="3" t="n">
        <f aca="false">IF(H903="Y",1,0)</f>
        <v>0</v>
      </c>
      <c r="N903" s="3" t="n">
        <f aca="false">IF(I903="Y",1,0)</f>
        <v>0</v>
      </c>
    </row>
    <row r="904" customFormat="false" ht="15" hidden="false" customHeight="true" outlineLevel="0" collapsed="false">
      <c r="A904" s="7" t="s">
        <v>57</v>
      </c>
      <c r="B904" s="7" t="n">
        <v>2016</v>
      </c>
      <c r="C904" s="7" t="s">
        <v>358</v>
      </c>
      <c r="D904" s="7" t="n">
        <v>68</v>
      </c>
      <c r="E904" s="7" t="n">
        <v>94</v>
      </c>
      <c r="F904" s="7" t="s">
        <v>546</v>
      </c>
      <c r="G904" s="7" t="s">
        <v>546</v>
      </c>
      <c r="H904" s="7" t="s">
        <v>546</v>
      </c>
      <c r="I904" s="7" t="s">
        <v>546</v>
      </c>
      <c r="J904" s="21" t="n">
        <f aca="false">D904/(D904+E904)</f>
        <v>0.419753086419753</v>
      </c>
      <c r="K904" s="3" t="n">
        <f aca="false">IF(D904&gt;E904,1,0)</f>
        <v>0</v>
      </c>
      <c r="L904" s="3" t="n">
        <f aca="false">IF(OR(F904="Y",G904="Y",H904="Y"),1,0)</f>
        <v>0</v>
      </c>
      <c r="M904" s="3" t="n">
        <f aca="false">IF(H904="Y",1,0)</f>
        <v>0</v>
      </c>
      <c r="N904" s="3" t="n">
        <f aca="false">IF(I904="Y",1,0)</f>
        <v>0</v>
      </c>
    </row>
    <row r="905" customFormat="false" ht="15" hidden="false" customHeight="true" outlineLevel="0" collapsed="false">
      <c r="A905" s="7" t="s">
        <v>57</v>
      </c>
      <c r="B905" s="7" t="n">
        <v>2017</v>
      </c>
      <c r="C905" s="7" t="s">
        <v>358</v>
      </c>
      <c r="D905" s="7" t="n">
        <v>68</v>
      </c>
      <c r="E905" s="7" t="n">
        <v>94</v>
      </c>
      <c r="F905" s="7" t="s">
        <v>546</v>
      </c>
      <c r="G905" s="7" t="s">
        <v>546</v>
      </c>
      <c r="H905" s="7" t="s">
        <v>546</v>
      </c>
      <c r="I905" s="7" t="s">
        <v>546</v>
      </c>
      <c r="J905" s="21" t="n">
        <f aca="false">D905/(D905+E905)</f>
        <v>0.419753086419753</v>
      </c>
      <c r="K905" s="3" t="n">
        <f aca="false">IF(D905&gt;E905,1,0)</f>
        <v>0</v>
      </c>
      <c r="L905" s="3" t="n">
        <f aca="false">IF(OR(F905="Y",G905="Y",H905="Y"),1,0)</f>
        <v>0</v>
      </c>
      <c r="M905" s="3" t="n">
        <f aca="false">IF(H905="Y",1,0)</f>
        <v>0</v>
      </c>
      <c r="N905" s="3" t="n">
        <f aca="false">IF(I905="Y",1,0)</f>
        <v>0</v>
      </c>
    </row>
    <row r="906" customFormat="false" ht="15" hidden="false" customHeight="true" outlineLevel="0" collapsed="false">
      <c r="A906" s="7" t="s">
        <v>57</v>
      </c>
      <c r="B906" s="7" t="n">
        <v>2018</v>
      </c>
      <c r="C906" s="7" t="s">
        <v>358</v>
      </c>
      <c r="D906" s="7" t="n">
        <v>67</v>
      </c>
      <c r="E906" s="7" t="n">
        <v>95</v>
      </c>
      <c r="F906" s="7" t="s">
        <v>546</v>
      </c>
      <c r="G906" s="7" t="s">
        <v>546</v>
      </c>
      <c r="H906" s="7" t="s">
        <v>546</v>
      </c>
      <c r="I906" s="7" t="s">
        <v>546</v>
      </c>
      <c r="J906" s="21" t="n">
        <f aca="false">D906/(D906+E906)</f>
        <v>0.41358024691358</v>
      </c>
      <c r="K906" s="3" t="n">
        <f aca="false">IF(D906&gt;E906,1,0)</f>
        <v>0</v>
      </c>
      <c r="L906" s="3" t="n">
        <f aca="false">IF(OR(F906="Y",G906="Y",H906="Y"),1,0)</f>
        <v>0</v>
      </c>
      <c r="M906" s="3" t="n">
        <f aca="false">IF(H906="Y",1,0)</f>
        <v>0</v>
      </c>
      <c r="N906" s="3" t="n">
        <f aca="false">IF(I906="Y",1,0)</f>
        <v>0</v>
      </c>
    </row>
    <row r="907" customFormat="false" ht="15" hidden="false" customHeight="true" outlineLevel="0" collapsed="false">
      <c r="A907" s="7" t="s">
        <v>57</v>
      </c>
      <c r="B907" s="7" t="n">
        <v>2019</v>
      </c>
      <c r="C907" s="7" t="s">
        <v>358</v>
      </c>
      <c r="D907" s="7" t="n">
        <v>75</v>
      </c>
      <c r="E907" s="7" t="n">
        <v>87</v>
      </c>
      <c r="F907" s="7" t="s">
        <v>546</v>
      </c>
      <c r="G907" s="7" t="s">
        <v>546</v>
      </c>
      <c r="H907" s="7" t="s">
        <v>546</v>
      </c>
      <c r="I907" s="7" t="s">
        <v>546</v>
      </c>
      <c r="J907" s="21" t="n">
        <f aca="false">D907/(D907+E907)</f>
        <v>0.462962962962963</v>
      </c>
      <c r="K907" s="3" t="n">
        <f aca="false">IF(D907&gt;E907,1,0)</f>
        <v>0</v>
      </c>
      <c r="L907" s="3" t="n">
        <f aca="false">IF(OR(F907="Y",G907="Y",H907="Y"),1,0)</f>
        <v>0</v>
      </c>
      <c r="M907" s="3" t="n">
        <f aca="false">IF(H907="Y",1,0)</f>
        <v>0</v>
      </c>
      <c r="N907" s="3" t="n">
        <f aca="false">IF(I907="Y",1,0)</f>
        <v>0</v>
      </c>
    </row>
    <row r="908" customFormat="false" ht="15" hidden="false" customHeight="true" outlineLevel="0" collapsed="false">
      <c r="A908" s="7" t="s">
        <v>57</v>
      </c>
      <c r="B908" s="7" t="n">
        <v>2020</v>
      </c>
      <c r="C908" s="7" t="s">
        <v>358</v>
      </c>
      <c r="D908" s="7" t="n">
        <v>31</v>
      </c>
      <c r="E908" s="7" t="n">
        <v>29</v>
      </c>
      <c r="F908" s="7" t="s">
        <v>546</v>
      </c>
      <c r="G908" s="7" t="s">
        <v>548</v>
      </c>
      <c r="H908" s="7" t="s">
        <v>546</v>
      </c>
      <c r="I908" s="7" t="s">
        <v>546</v>
      </c>
      <c r="J908" s="21" t="n">
        <f aca="false">D908/(D908+E908)</f>
        <v>0.516666666666667</v>
      </c>
      <c r="K908" s="3" t="n">
        <f aca="false">IF(D908&gt;E908,1,0)</f>
        <v>1</v>
      </c>
      <c r="L908" s="3" t="n">
        <f aca="false">IF(OR(F908="Y",G908="Y",H908="Y"),1,0)</f>
        <v>1</v>
      </c>
      <c r="M908" s="3" t="n">
        <f aca="false">IF(H908="Y",1,0)</f>
        <v>0</v>
      </c>
      <c r="N908" s="3" t="n">
        <f aca="false">IF(I908="Y",1,0)</f>
        <v>0</v>
      </c>
    </row>
    <row r="909" customFormat="false" ht="15" hidden="false" customHeight="true" outlineLevel="0" collapsed="false">
      <c r="A909" s="7" t="s">
        <v>57</v>
      </c>
      <c r="B909" s="7" t="n">
        <v>2021</v>
      </c>
      <c r="C909" s="7" t="s">
        <v>358</v>
      </c>
      <c r="D909" s="7" t="n">
        <v>83</v>
      </c>
      <c r="E909" s="7" t="n">
        <v>79</v>
      </c>
      <c r="F909" s="7" t="s">
        <v>546</v>
      </c>
      <c r="G909" s="7" t="s">
        <v>546</v>
      </c>
      <c r="H909" s="7" t="s">
        <v>546</v>
      </c>
      <c r="I909" s="7" t="s">
        <v>546</v>
      </c>
      <c r="J909" s="21" t="n">
        <f aca="false">D909/(D909+E909)</f>
        <v>0.512345679012346</v>
      </c>
      <c r="K909" s="3" t="n">
        <f aca="false">IF(D909&gt;E909,1,0)</f>
        <v>1</v>
      </c>
      <c r="L909" s="3" t="n">
        <f aca="false">IF(OR(F909="Y",G909="Y",H909="Y"),1,0)</f>
        <v>0</v>
      </c>
      <c r="M909" s="3" t="n">
        <f aca="false">IF(H909="Y",1,0)</f>
        <v>0</v>
      </c>
      <c r="N909" s="3" t="n">
        <f aca="false">IF(I909="Y",1,0)</f>
        <v>0</v>
      </c>
    </row>
    <row r="910" customFormat="false" ht="15" hidden="false" customHeight="true" outlineLevel="0" collapsed="false">
      <c r="A910" s="7" t="s">
        <v>57</v>
      </c>
      <c r="B910" s="7" t="n">
        <v>2022</v>
      </c>
      <c r="C910" s="7" t="s">
        <v>358</v>
      </c>
      <c r="D910" s="7" t="n">
        <v>62</v>
      </c>
      <c r="E910" s="7" t="n">
        <v>100</v>
      </c>
      <c r="F910" s="7" t="s">
        <v>546</v>
      </c>
      <c r="G910" s="7" t="s">
        <v>546</v>
      </c>
      <c r="H910" s="7" t="s">
        <v>546</v>
      </c>
      <c r="I910" s="7" t="s">
        <v>546</v>
      </c>
      <c r="J910" s="21" t="n">
        <f aca="false">D910/(D910+E910)</f>
        <v>0.382716049382716</v>
      </c>
      <c r="K910" s="3" t="n">
        <f aca="false">IF(D910&gt;E910,1,0)</f>
        <v>0</v>
      </c>
      <c r="L910" s="3" t="n">
        <f aca="false">IF(OR(F910="Y",G910="Y",H910="Y"),1,0)</f>
        <v>0</v>
      </c>
      <c r="M910" s="3" t="n">
        <f aca="false">IF(H910="Y",1,0)</f>
        <v>0</v>
      </c>
      <c r="N910" s="3" t="n">
        <f aca="false">IF(I910="Y",1,0)</f>
        <v>0</v>
      </c>
    </row>
    <row r="911" customFormat="false" ht="15" hidden="false" customHeight="true" outlineLevel="0" collapsed="false">
      <c r="A911" s="7" t="s">
        <v>57</v>
      </c>
      <c r="B911" s="7" t="n">
        <v>2023</v>
      </c>
      <c r="C911" s="7" t="s">
        <v>358</v>
      </c>
      <c r="D911" s="7" t="n">
        <v>82</v>
      </c>
      <c r="E911" s="7" t="n">
        <v>80</v>
      </c>
      <c r="F911" s="7" t="s">
        <v>546</v>
      </c>
      <c r="G911" s="7" t="s">
        <v>546</v>
      </c>
      <c r="H911" s="7" t="s">
        <v>546</v>
      </c>
      <c r="I911" s="7" t="s">
        <v>546</v>
      </c>
      <c r="J911" s="21" t="n">
        <f aca="false">D911/(D911+E911)</f>
        <v>0.506172839506173</v>
      </c>
      <c r="K911" s="3" t="n">
        <f aca="false">IF(D911&gt;E911,1,0)</f>
        <v>1</v>
      </c>
      <c r="L911" s="3" t="n">
        <f aca="false">IF(OR(F911="Y",G911="Y",H911="Y"),1,0)</f>
        <v>0</v>
      </c>
      <c r="M911" s="3" t="n">
        <f aca="false">IF(H911="Y",1,0)</f>
        <v>0</v>
      </c>
      <c r="N911" s="3" t="n">
        <f aca="false">IF(I911="Y",1,0)</f>
        <v>0</v>
      </c>
    </row>
    <row r="912" customFormat="false" ht="15" hidden="false" customHeight="true" outlineLevel="0" collapsed="false">
      <c r="A912" s="7" t="s">
        <v>57</v>
      </c>
      <c r="B912" s="7" t="n">
        <v>2024</v>
      </c>
      <c r="C912" s="7" t="s">
        <v>358</v>
      </c>
      <c r="D912" s="7" t="n">
        <v>77</v>
      </c>
      <c r="E912" s="7" t="n">
        <v>85</v>
      </c>
      <c r="F912" s="7" t="s">
        <v>546</v>
      </c>
      <c r="G912" s="7" t="s">
        <v>546</v>
      </c>
      <c r="H912" s="7" t="s">
        <v>546</v>
      </c>
      <c r="I912" s="7" t="s">
        <v>546</v>
      </c>
      <c r="J912" s="21" t="n">
        <f aca="false">D912/(D912+E912)</f>
        <v>0.475308641975309</v>
      </c>
      <c r="K912" s="3" t="n">
        <f aca="false">IF(D912&gt;E912,1,0)</f>
        <v>0</v>
      </c>
      <c r="L912" s="3" t="n">
        <f aca="false">IF(OR(F912="Y",G912="Y",H912="Y"),1,0)</f>
        <v>0</v>
      </c>
      <c r="M912" s="3" t="n">
        <f aca="false">IF(H912="Y",1,0)</f>
        <v>0</v>
      </c>
      <c r="N912" s="3" t="n">
        <f aca="false">IF(I912="Y",1,0)</f>
        <v>0</v>
      </c>
    </row>
    <row r="913" customFormat="false" ht="15" hidden="false" customHeight="true" outlineLevel="0" collapsed="false">
      <c r="A913" s="7" t="s">
        <v>57</v>
      </c>
      <c r="B913" s="7" t="n">
        <v>2025</v>
      </c>
      <c r="C913" s="7" t="s">
        <v>358</v>
      </c>
      <c r="D913" s="7" t="n">
        <v>83</v>
      </c>
      <c r="E913" s="7" t="n">
        <v>79</v>
      </c>
      <c r="F913" s="7" t="s">
        <v>546</v>
      </c>
      <c r="G913" s="7" t="s">
        <v>548</v>
      </c>
      <c r="H913" s="7" t="s">
        <v>546</v>
      </c>
      <c r="I913" s="7" t="s">
        <v>546</v>
      </c>
      <c r="J913" s="21" t="n">
        <f aca="false">D913/(D913+E913)</f>
        <v>0.512345679012346</v>
      </c>
      <c r="K913" s="3" t="n">
        <f aca="false">IF(D913&gt;E913,1,0)</f>
        <v>1</v>
      </c>
      <c r="L913" s="3" t="n">
        <f aca="false">IF(OR(F913="Y",G913="Y",H913="Y"),1,0)</f>
        <v>1</v>
      </c>
      <c r="M913" s="3" t="n">
        <f aca="false">IF(H913="Y",1,0)</f>
        <v>0</v>
      </c>
      <c r="N913" s="3" t="n">
        <f aca="false">IF(I913="Y",1,0)</f>
        <v>0</v>
      </c>
    </row>
    <row r="914" customFormat="false" ht="15" hidden="false" customHeight="true" outlineLevel="0" collapsed="false">
      <c r="A914" s="7" t="s">
        <v>66</v>
      </c>
      <c r="B914" s="7" t="n">
        <v>1901</v>
      </c>
      <c r="C914" s="7" t="s">
        <v>425</v>
      </c>
      <c r="D914" s="7" t="n">
        <v>54</v>
      </c>
      <c r="E914" s="7" t="n">
        <v>82</v>
      </c>
      <c r="F914" s="7"/>
      <c r="G914" s="7"/>
      <c r="H914" s="7" t="s">
        <v>546</v>
      </c>
      <c r="I914" s="7"/>
      <c r="J914" s="21" t="n">
        <f aca="false">D914/(D914+E914)</f>
        <v>0.397058823529412</v>
      </c>
      <c r="K914" s="3" t="n">
        <f aca="false">IF(D914&gt;E914,1,0)</f>
        <v>0</v>
      </c>
      <c r="L914" s="3" t="n">
        <f aca="false">IF(OR(F914="Y",G914="Y",H914="Y"),1,0)</f>
        <v>0</v>
      </c>
      <c r="M914" s="3" t="n">
        <f aca="false">IF(H914="Y",1,0)</f>
        <v>0</v>
      </c>
      <c r="N914" s="3" t="n">
        <f aca="false">IF(I914="Y",1,0)</f>
        <v>0</v>
      </c>
    </row>
    <row r="915" customFormat="false" ht="15" hidden="false" customHeight="true" outlineLevel="0" collapsed="false">
      <c r="A915" s="7" t="s">
        <v>66</v>
      </c>
      <c r="B915" s="7" t="n">
        <v>1902</v>
      </c>
      <c r="C915" s="7" t="s">
        <v>565</v>
      </c>
      <c r="D915" s="7" t="n">
        <v>69</v>
      </c>
      <c r="E915" s="7" t="n">
        <v>67</v>
      </c>
      <c r="F915" s="7"/>
      <c r="G915" s="7"/>
      <c r="H915" s="7" t="s">
        <v>546</v>
      </c>
      <c r="I915" s="7"/>
      <c r="J915" s="21" t="n">
        <f aca="false">D915/(D915+E915)</f>
        <v>0.507352941176471</v>
      </c>
      <c r="K915" s="3" t="n">
        <f aca="false">IF(D915&gt;E915,1,0)</f>
        <v>1</v>
      </c>
      <c r="L915" s="3" t="n">
        <f aca="false">IF(OR(F915="Y",G915="Y",H915="Y"),1,0)</f>
        <v>0</v>
      </c>
      <c r="M915" s="3" t="n">
        <f aca="false">IF(H915="Y",1,0)</f>
        <v>0</v>
      </c>
      <c r="N915" s="3" t="n">
        <f aca="false">IF(I915="Y",1,0)</f>
        <v>0</v>
      </c>
    </row>
    <row r="916" customFormat="false" ht="15" hidden="false" customHeight="true" outlineLevel="0" collapsed="false">
      <c r="A916" s="7" t="s">
        <v>66</v>
      </c>
      <c r="B916" s="7" t="n">
        <v>1903</v>
      </c>
      <c r="C916" s="7" t="s">
        <v>566</v>
      </c>
      <c r="D916" s="7" t="n">
        <v>77</v>
      </c>
      <c r="E916" s="7" t="n">
        <v>63</v>
      </c>
      <c r="F916" s="7"/>
      <c r="G916" s="7"/>
      <c r="H916" s="7" t="s">
        <v>546</v>
      </c>
      <c r="I916" s="7" t="s">
        <v>546</v>
      </c>
      <c r="J916" s="21" t="n">
        <f aca="false">D916/(D916+E916)</f>
        <v>0.55</v>
      </c>
      <c r="K916" s="3" t="n">
        <f aca="false">IF(D916&gt;E916,1,0)</f>
        <v>1</v>
      </c>
      <c r="L916" s="3" t="n">
        <f aca="false">IF(OR(F916="Y",G916="Y",H916="Y"),1,0)</f>
        <v>0</v>
      </c>
      <c r="M916" s="3" t="n">
        <f aca="false">IF(H916="Y",1,0)</f>
        <v>0</v>
      </c>
      <c r="N916" s="3" t="n">
        <f aca="false">IF(I916="Y",1,0)</f>
        <v>0</v>
      </c>
    </row>
    <row r="917" customFormat="false" ht="15" hidden="false" customHeight="true" outlineLevel="0" collapsed="false">
      <c r="A917" s="7" t="s">
        <v>66</v>
      </c>
      <c r="B917" s="7" t="n">
        <v>1904</v>
      </c>
      <c r="C917" s="7" t="s">
        <v>566</v>
      </c>
      <c r="D917" s="7" t="n">
        <v>86</v>
      </c>
      <c r="E917" s="7" t="n">
        <v>65</v>
      </c>
      <c r="F917" s="7"/>
      <c r="G917" s="7"/>
      <c r="H917" s="7" t="s">
        <v>546</v>
      </c>
      <c r="I917" s="7"/>
      <c r="J917" s="21" t="n">
        <f aca="false">D917/(D917+E917)</f>
        <v>0.56953642384106</v>
      </c>
      <c r="K917" s="3" t="n">
        <f aca="false">IF(D917&gt;E917,1,0)</f>
        <v>1</v>
      </c>
      <c r="L917" s="3" t="n">
        <f aca="false">IF(OR(F917="Y",G917="Y",H917="Y"),1,0)</f>
        <v>0</v>
      </c>
      <c r="M917" s="3" t="n">
        <f aca="false">IF(H917="Y",1,0)</f>
        <v>0</v>
      </c>
      <c r="N917" s="3" t="n">
        <f aca="false">IF(I917="Y",1,0)</f>
        <v>0</v>
      </c>
    </row>
    <row r="918" customFormat="false" ht="15" hidden="false" customHeight="true" outlineLevel="0" collapsed="false">
      <c r="A918" s="7" t="s">
        <v>66</v>
      </c>
      <c r="B918" s="7" t="n">
        <v>1905</v>
      </c>
      <c r="C918" s="7" t="s">
        <v>566</v>
      </c>
      <c r="D918" s="7" t="n">
        <v>76</v>
      </c>
      <c r="E918" s="7" t="n">
        <v>78</v>
      </c>
      <c r="F918" s="7"/>
      <c r="G918" s="7"/>
      <c r="H918" s="7" t="s">
        <v>546</v>
      </c>
      <c r="I918" s="7" t="s">
        <v>546</v>
      </c>
      <c r="J918" s="21" t="n">
        <f aca="false">D918/(D918+E918)</f>
        <v>0.493506493506494</v>
      </c>
      <c r="K918" s="3" t="n">
        <f aca="false">IF(D918&gt;E918,1,0)</f>
        <v>0</v>
      </c>
      <c r="L918" s="3" t="n">
        <f aca="false">IF(OR(F918="Y",G918="Y",H918="Y"),1,0)</f>
        <v>0</v>
      </c>
      <c r="M918" s="3" t="n">
        <f aca="false">IF(H918="Y",1,0)</f>
        <v>0</v>
      </c>
      <c r="N918" s="3" t="n">
        <f aca="false">IF(I918="Y",1,0)</f>
        <v>0</v>
      </c>
    </row>
    <row r="919" customFormat="false" ht="15" hidden="false" customHeight="true" outlineLevel="0" collapsed="false">
      <c r="A919" s="7" t="s">
        <v>66</v>
      </c>
      <c r="B919" s="7" t="n">
        <v>1906</v>
      </c>
      <c r="C919" s="7" t="s">
        <v>566</v>
      </c>
      <c r="D919" s="7" t="n">
        <v>89</v>
      </c>
      <c r="E919" s="7" t="n">
        <v>64</v>
      </c>
      <c r="F919" s="7"/>
      <c r="G919" s="7"/>
      <c r="H919" s="7" t="s">
        <v>546</v>
      </c>
      <c r="I919" s="7" t="s">
        <v>546</v>
      </c>
      <c r="J919" s="21" t="n">
        <f aca="false">D919/(D919+E919)</f>
        <v>0.581699346405229</v>
      </c>
      <c r="K919" s="3" t="n">
        <f aca="false">IF(D919&gt;E919,1,0)</f>
        <v>1</v>
      </c>
      <c r="L919" s="3" t="n">
        <f aca="false">IF(OR(F919="Y",G919="Y",H919="Y"),1,0)</f>
        <v>0</v>
      </c>
      <c r="M919" s="3" t="n">
        <f aca="false">IF(H919="Y",1,0)</f>
        <v>0</v>
      </c>
      <c r="N919" s="3" t="n">
        <f aca="false">IF(I919="Y",1,0)</f>
        <v>0</v>
      </c>
    </row>
    <row r="920" customFormat="false" ht="15" hidden="false" customHeight="true" outlineLevel="0" collapsed="false">
      <c r="A920" s="7" t="s">
        <v>66</v>
      </c>
      <c r="B920" s="7" t="n">
        <v>1907</v>
      </c>
      <c r="C920" s="7" t="s">
        <v>566</v>
      </c>
      <c r="D920" s="7" t="n">
        <v>85</v>
      </c>
      <c r="E920" s="7" t="n">
        <v>67</v>
      </c>
      <c r="F920" s="7"/>
      <c r="G920" s="7"/>
      <c r="H920" s="7" t="s">
        <v>546</v>
      </c>
      <c r="I920" s="7" t="s">
        <v>546</v>
      </c>
      <c r="J920" s="21" t="n">
        <f aca="false">D920/(D920+E920)</f>
        <v>0.55921052631579</v>
      </c>
      <c r="K920" s="3" t="n">
        <f aca="false">IF(D920&gt;E920,1,0)</f>
        <v>1</v>
      </c>
      <c r="L920" s="3" t="n">
        <f aca="false">IF(OR(F920="Y",G920="Y",H920="Y"),1,0)</f>
        <v>0</v>
      </c>
      <c r="M920" s="3" t="n">
        <f aca="false">IF(H920="Y",1,0)</f>
        <v>0</v>
      </c>
      <c r="N920" s="3" t="n">
        <f aca="false">IF(I920="Y",1,0)</f>
        <v>0</v>
      </c>
    </row>
    <row r="921" customFormat="false" ht="15" hidden="false" customHeight="true" outlineLevel="0" collapsed="false">
      <c r="A921" s="7" t="s">
        <v>66</v>
      </c>
      <c r="B921" s="7" t="n">
        <v>1908</v>
      </c>
      <c r="C921" s="7" t="s">
        <v>566</v>
      </c>
      <c r="D921" s="7" t="n">
        <v>90</v>
      </c>
      <c r="E921" s="7" t="n">
        <v>64</v>
      </c>
      <c r="F921" s="7"/>
      <c r="G921" s="7"/>
      <c r="H921" s="7" t="s">
        <v>546</v>
      </c>
      <c r="I921" s="7" t="s">
        <v>546</v>
      </c>
      <c r="J921" s="21" t="n">
        <f aca="false">D921/(D921+E921)</f>
        <v>0.584415584415584</v>
      </c>
      <c r="K921" s="3" t="n">
        <f aca="false">IF(D921&gt;E921,1,0)</f>
        <v>1</v>
      </c>
      <c r="L921" s="3" t="n">
        <f aca="false">IF(OR(F921="Y",G921="Y",H921="Y"),1,0)</f>
        <v>0</v>
      </c>
      <c r="M921" s="3" t="n">
        <f aca="false">IF(H921="Y",1,0)</f>
        <v>0</v>
      </c>
      <c r="N921" s="3" t="n">
        <f aca="false">IF(I921="Y",1,0)</f>
        <v>0</v>
      </c>
    </row>
    <row r="922" customFormat="false" ht="15" hidden="false" customHeight="true" outlineLevel="0" collapsed="false">
      <c r="A922" s="7" t="s">
        <v>66</v>
      </c>
      <c r="B922" s="7" t="n">
        <v>1909</v>
      </c>
      <c r="C922" s="7" t="s">
        <v>566</v>
      </c>
      <c r="D922" s="7" t="n">
        <v>71</v>
      </c>
      <c r="E922" s="7" t="n">
        <v>82</v>
      </c>
      <c r="F922" s="7"/>
      <c r="G922" s="7"/>
      <c r="H922" s="7" t="s">
        <v>546</v>
      </c>
      <c r="I922" s="7" t="s">
        <v>546</v>
      </c>
      <c r="J922" s="21" t="n">
        <f aca="false">D922/(D922+E922)</f>
        <v>0.464052287581699</v>
      </c>
      <c r="K922" s="3" t="n">
        <f aca="false">IF(D922&gt;E922,1,0)</f>
        <v>0</v>
      </c>
      <c r="L922" s="3" t="n">
        <f aca="false">IF(OR(F922="Y",G922="Y",H922="Y"),1,0)</f>
        <v>0</v>
      </c>
      <c r="M922" s="3" t="n">
        <f aca="false">IF(H922="Y",1,0)</f>
        <v>0</v>
      </c>
      <c r="N922" s="3" t="n">
        <f aca="false">IF(I922="Y",1,0)</f>
        <v>0</v>
      </c>
    </row>
    <row r="923" customFormat="false" ht="15" hidden="false" customHeight="true" outlineLevel="0" collapsed="false">
      <c r="A923" s="7" t="s">
        <v>66</v>
      </c>
      <c r="B923" s="7" t="n">
        <v>1910</v>
      </c>
      <c r="C923" s="7" t="s">
        <v>566</v>
      </c>
      <c r="D923" s="7" t="n">
        <v>71</v>
      </c>
      <c r="E923" s="7" t="n">
        <v>81</v>
      </c>
      <c r="F923" s="7"/>
      <c r="G923" s="7"/>
      <c r="H923" s="7" t="s">
        <v>546</v>
      </c>
      <c r="I923" s="7" t="s">
        <v>546</v>
      </c>
      <c r="J923" s="21" t="n">
        <f aca="false">D923/(D923+E923)</f>
        <v>0.467105263157895</v>
      </c>
      <c r="K923" s="3" t="n">
        <f aca="false">IF(D923&gt;E923,1,0)</f>
        <v>0</v>
      </c>
      <c r="L923" s="3" t="n">
        <f aca="false">IF(OR(F923="Y",G923="Y",H923="Y"),1,0)</f>
        <v>0</v>
      </c>
      <c r="M923" s="3" t="n">
        <f aca="false">IF(H923="Y",1,0)</f>
        <v>0</v>
      </c>
      <c r="N923" s="3" t="n">
        <f aca="false">IF(I923="Y",1,0)</f>
        <v>0</v>
      </c>
    </row>
    <row r="924" customFormat="false" ht="15" hidden="false" customHeight="true" outlineLevel="0" collapsed="false">
      <c r="A924" s="7" t="s">
        <v>66</v>
      </c>
      <c r="B924" s="7" t="n">
        <v>1911</v>
      </c>
      <c r="C924" s="7" t="s">
        <v>566</v>
      </c>
      <c r="D924" s="7" t="n">
        <v>80</v>
      </c>
      <c r="E924" s="7" t="n">
        <v>73</v>
      </c>
      <c r="F924" s="7"/>
      <c r="G924" s="7"/>
      <c r="H924" s="7" t="s">
        <v>546</v>
      </c>
      <c r="I924" s="7" t="s">
        <v>546</v>
      </c>
      <c r="J924" s="21" t="n">
        <f aca="false">D924/(D924+E924)</f>
        <v>0.522875816993464</v>
      </c>
      <c r="K924" s="3" t="n">
        <f aca="false">IF(D924&gt;E924,1,0)</f>
        <v>1</v>
      </c>
      <c r="L924" s="3" t="n">
        <f aca="false">IF(OR(F924="Y",G924="Y",H924="Y"),1,0)</f>
        <v>0</v>
      </c>
      <c r="M924" s="3" t="n">
        <f aca="false">IF(H924="Y",1,0)</f>
        <v>0</v>
      </c>
      <c r="N924" s="3" t="n">
        <f aca="false">IF(I924="Y",1,0)</f>
        <v>0</v>
      </c>
    </row>
    <row r="925" customFormat="false" ht="15" hidden="false" customHeight="true" outlineLevel="0" collapsed="false">
      <c r="A925" s="7" t="s">
        <v>66</v>
      </c>
      <c r="B925" s="7" t="n">
        <v>1912</v>
      </c>
      <c r="C925" s="7" t="s">
        <v>566</v>
      </c>
      <c r="D925" s="7" t="n">
        <v>75</v>
      </c>
      <c r="E925" s="7" t="n">
        <v>78</v>
      </c>
      <c r="F925" s="7"/>
      <c r="G925" s="7"/>
      <c r="H925" s="7" t="s">
        <v>546</v>
      </c>
      <c r="I925" s="7" t="s">
        <v>546</v>
      </c>
      <c r="J925" s="21" t="n">
        <f aca="false">D925/(D925+E925)</f>
        <v>0.490196078431373</v>
      </c>
      <c r="K925" s="3" t="n">
        <f aca="false">IF(D925&gt;E925,1,0)</f>
        <v>0</v>
      </c>
      <c r="L925" s="3" t="n">
        <f aca="false">IF(OR(F925="Y",G925="Y",H925="Y"),1,0)</f>
        <v>0</v>
      </c>
      <c r="M925" s="3" t="n">
        <f aca="false">IF(H925="Y",1,0)</f>
        <v>0</v>
      </c>
      <c r="N925" s="3" t="n">
        <f aca="false">IF(I925="Y",1,0)</f>
        <v>0</v>
      </c>
    </row>
    <row r="926" customFormat="false" ht="15" hidden="false" customHeight="true" outlineLevel="0" collapsed="false">
      <c r="A926" s="7" t="s">
        <v>66</v>
      </c>
      <c r="B926" s="7" t="n">
        <v>1913</v>
      </c>
      <c r="C926" s="7" t="s">
        <v>566</v>
      </c>
      <c r="D926" s="7" t="n">
        <v>86</v>
      </c>
      <c r="E926" s="7" t="n">
        <v>66</v>
      </c>
      <c r="F926" s="7"/>
      <c r="G926" s="7"/>
      <c r="H926" s="7" t="s">
        <v>546</v>
      </c>
      <c r="I926" s="7" t="s">
        <v>546</v>
      </c>
      <c r="J926" s="21" t="n">
        <f aca="false">D926/(D926+E926)</f>
        <v>0.565789473684211</v>
      </c>
      <c r="K926" s="3" t="n">
        <f aca="false">IF(D926&gt;E926,1,0)</f>
        <v>1</v>
      </c>
      <c r="L926" s="3" t="n">
        <f aca="false">IF(OR(F926="Y",G926="Y",H926="Y"),1,0)</f>
        <v>0</v>
      </c>
      <c r="M926" s="3" t="n">
        <f aca="false">IF(H926="Y",1,0)</f>
        <v>0</v>
      </c>
      <c r="N926" s="3" t="n">
        <f aca="false">IF(I926="Y",1,0)</f>
        <v>0</v>
      </c>
    </row>
    <row r="927" customFormat="false" ht="15" hidden="false" customHeight="true" outlineLevel="0" collapsed="false">
      <c r="A927" s="7" t="s">
        <v>66</v>
      </c>
      <c r="B927" s="7" t="n">
        <v>1914</v>
      </c>
      <c r="C927" s="7" t="s">
        <v>566</v>
      </c>
      <c r="D927" s="7" t="n">
        <v>51</v>
      </c>
      <c r="E927" s="7" t="n">
        <v>102</v>
      </c>
      <c r="F927" s="7"/>
      <c r="G927" s="7"/>
      <c r="H927" s="7" t="s">
        <v>546</v>
      </c>
      <c r="I927" s="7" t="s">
        <v>546</v>
      </c>
      <c r="J927" s="21" t="n">
        <f aca="false">D927/(D927+E927)</f>
        <v>0.333333333333333</v>
      </c>
      <c r="K927" s="3" t="n">
        <f aca="false">IF(D927&gt;E927,1,0)</f>
        <v>0</v>
      </c>
      <c r="L927" s="3" t="n">
        <f aca="false">IF(OR(F927="Y",G927="Y",H927="Y"),1,0)</f>
        <v>0</v>
      </c>
      <c r="M927" s="3" t="n">
        <f aca="false">IF(H927="Y",1,0)</f>
        <v>0</v>
      </c>
      <c r="N927" s="3" t="n">
        <f aca="false">IF(I927="Y",1,0)</f>
        <v>0</v>
      </c>
    </row>
    <row r="928" customFormat="false" ht="15" hidden="false" customHeight="true" outlineLevel="0" collapsed="false">
      <c r="A928" s="7" t="s">
        <v>66</v>
      </c>
      <c r="B928" s="7" t="n">
        <v>1915</v>
      </c>
      <c r="C928" s="7" t="s">
        <v>567</v>
      </c>
      <c r="D928" s="7" t="n">
        <v>57</v>
      </c>
      <c r="E928" s="7" t="n">
        <v>95</v>
      </c>
      <c r="F928" s="7"/>
      <c r="G928" s="7"/>
      <c r="H928" s="7" t="s">
        <v>546</v>
      </c>
      <c r="I928" s="7" t="s">
        <v>546</v>
      </c>
      <c r="J928" s="21" t="n">
        <f aca="false">D928/(D928+E928)</f>
        <v>0.375</v>
      </c>
      <c r="K928" s="3" t="n">
        <f aca="false">IF(D928&gt;E928,1,0)</f>
        <v>0</v>
      </c>
      <c r="L928" s="3" t="n">
        <f aca="false">IF(OR(F928="Y",G928="Y",H928="Y"),1,0)</f>
        <v>0</v>
      </c>
      <c r="M928" s="3" t="n">
        <f aca="false">IF(H928="Y",1,0)</f>
        <v>0</v>
      </c>
      <c r="N928" s="3" t="n">
        <f aca="false">IF(I928="Y",1,0)</f>
        <v>0</v>
      </c>
    </row>
    <row r="929" customFormat="false" ht="15" hidden="false" customHeight="true" outlineLevel="0" collapsed="false">
      <c r="A929" s="7" t="s">
        <v>66</v>
      </c>
      <c r="B929" s="7" t="n">
        <v>1916</v>
      </c>
      <c r="C929" s="7" t="s">
        <v>567</v>
      </c>
      <c r="D929" s="7" t="n">
        <v>77</v>
      </c>
      <c r="E929" s="7" t="n">
        <v>77</v>
      </c>
      <c r="F929" s="7"/>
      <c r="G929" s="7"/>
      <c r="H929" s="7" t="s">
        <v>546</v>
      </c>
      <c r="I929" s="7" t="s">
        <v>546</v>
      </c>
      <c r="J929" s="21" t="n">
        <f aca="false">D929/(D929+E929)</f>
        <v>0.5</v>
      </c>
      <c r="K929" s="3" t="n">
        <f aca="false">IF(D929&gt;E929,1,0)</f>
        <v>0</v>
      </c>
      <c r="L929" s="3" t="n">
        <f aca="false">IF(OR(F929="Y",G929="Y",H929="Y"),1,0)</f>
        <v>0</v>
      </c>
      <c r="M929" s="3" t="n">
        <f aca="false">IF(H929="Y",1,0)</f>
        <v>0</v>
      </c>
      <c r="N929" s="3" t="n">
        <f aca="false">IF(I929="Y",1,0)</f>
        <v>0</v>
      </c>
    </row>
    <row r="930" customFormat="false" ht="15" hidden="false" customHeight="true" outlineLevel="0" collapsed="false">
      <c r="A930" s="7" t="s">
        <v>66</v>
      </c>
      <c r="B930" s="7" t="n">
        <v>1917</v>
      </c>
      <c r="C930" s="7" t="s">
        <v>567</v>
      </c>
      <c r="D930" s="7" t="n">
        <v>88</v>
      </c>
      <c r="E930" s="7" t="n">
        <v>66</v>
      </c>
      <c r="F930" s="7"/>
      <c r="G930" s="7"/>
      <c r="H930" s="7" t="s">
        <v>546</v>
      </c>
      <c r="I930" s="7" t="s">
        <v>546</v>
      </c>
      <c r="J930" s="21" t="n">
        <f aca="false">D930/(D930+E930)</f>
        <v>0.571428571428571</v>
      </c>
      <c r="K930" s="3" t="n">
        <f aca="false">IF(D930&gt;E930,1,0)</f>
        <v>1</v>
      </c>
      <c r="L930" s="3" t="n">
        <f aca="false">IF(OR(F930="Y",G930="Y",H930="Y"),1,0)</f>
        <v>0</v>
      </c>
      <c r="M930" s="3" t="n">
        <f aca="false">IF(H930="Y",1,0)</f>
        <v>0</v>
      </c>
      <c r="N930" s="3" t="n">
        <f aca="false">IF(I930="Y",1,0)</f>
        <v>0</v>
      </c>
    </row>
    <row r="931" customFormat="false" ht="15" hidden="false" customHeight="true" outlineLevel="0" collapsed="false">
      <c r="A931" s="7" t="s">
        <v>66</v>
      </c>
      <c r="B931" s="7" t="n">
        <v>1918</v>
      </c>
      <c r="C931" s="7" t="s">
        <v>567</v>
      </c>
      <c r="D931" s="7" t="n">
        <v>73</v>
      </c>
      <c r="E931" s="7" t="n">
        <v>54</v>
      </c>
      <c r="F931" s="7"/>
      <c r="G931" s="7"/>
      <c r="H931" s="7" t="s">
        <v>546</v>
      </c>
      <c r="I931" s="7" t="s">
        <v>546</v>
      </c>
      <c r="J931" s="21" t="n">
        <f aca="false">D931/(D931+E931)</f>
        <v>0.574803149606299</v>
      </c>
      <c r="K931" s="3" t="n">
        <f aca="false">IF(D931&gt;E931,1,0)</f>
        <v>1</v>
      </c>
      <c r="L931" s="3" t="n">
        <f aca="false">IF(OR(F931="Y",G931="Y",H931="Y"),1,0)</f>
        <v>0</v>
      </c>
      <c r="M931" s="3" t="n">
        <f aca="false">IF(H931="Y",1,0)</f>
        <v>0</v>
      </c>
      <c r="N931" s="3" t="n">
        <f aca="false">IF(I931="Y",1,0)</f>
        <v>0</v>
      </c>
    </row>
    <row r="932" customFormat="false" ht="15" hidden="false" customHeight="true" outlineLevel="0" collapsed="false">
      <c r="A932" s="7" t="s">
        <v>66</v>
      </c>
      <c r="B932" s="7" t="n">
        <v>1919</v>
      </c>
      <c r="C932" s="7" t="s">
        <v>567</v>
      </c>
      <c r="D932" s="7" t="n">
        <v>84</v>
      </c>
      <c r="E932" s="7" t="n">
        <v>55</v>
      </c>
      <c r="F932" s="7"/>
      <c r="G932" s="7"/>
      <c r="H932" s="7" t="s">
        <v>546</v>
      </c>
      <c r="I932" s="7" t="s">
        <v>546</v>
      </c>
      <c r="J932" s="21" t="n">
        <f aca="false">D932/(D932+E932)</f>
        <v>0.60431654676259</v>
      </c>
      <c r="K932" s="3" t="n">
        <f aca="false">IF(D932&gt;E932,1,0)</f>
        <v>1</v>
      </c>
      <c r="L932" s="3" t="n">
        <f aca="false">IF(OR(F932="Y",G932="Y",H932="Y"),1,0)</f>
        <v>0</v>
      </c>
      <c r="M932" s="3" t="n">
        <f aca="false">IF(H932="Y",1,0)</f>
        <v>0</v>
      </c>
      <c r="N932" s="3" t="n">
        <f aca="false">IF(I932="Y",1,0)</f>
        <v>0</v>
      </c>
    </row>
    <row r="933" customFormat="false" ht="15" hidden="false" customHeight="true" outlineLevel="0" collapsed="false">
      <c r="A933" s="7" t="s">
        <v>66</v>
      </c>
      <c r="B933" s="7" t="n">
        <v>1920</v>
      </c>
      <c r="C933" s="7" t="s">
        <v>567</v>
      </c>
      <c r="D933" s="7" t="n">
        <v>98</v>
      </c>
      <c r="E933" s="7" t="n">
        <v>56</v>
      </c>
      <c r="F933" s="7"/>
      <c r="G933" s="7"/>
      <c r="H933" s="7" t="s">
        <v>548</v>
      </c>
      <c r="I933" s="7" t="s">
        <v>548</v>
      </c>
      <c r="J933" s="21" t="n">
        <f aca="false">D933/(D933+E933)</f>
        <v>0.636363636363636</v>
      </c>
      <c r="K933" s="3" t="n">
        <f aca="false">IF(D933&gt;E933,1,0)</f>
        <v>1</v>
      </c>
      <c r="L933" s="3" t="n">
        <f aca="false">IF(OR(F933="Y",G933="Y",H933="Y"),1,0)</f>
        <v>1</v>
      </c>
      <c r="M933" s="3" t="n">
        <f aca="false">IF(H933="Y",1,0)</f>
        <v>1</v>
      </c>
      <c r="N933" s="3" t="n">
        <f aca="false">IF(I933="Y",1,0)</f>
        <v>1</v>
      </c>
    </row>
    <row r="934" customFormat="false" ht="15" hidden="false" customHeight="true" outlineLevel="0" collapsed="false">
      <c r="A934" s="7" t="s">
        <v>66</v>
      </c>
      <c r="B934" s="7" t="n">
        <v>1921</v>
      </c>
      <c r="C934" s="7" t="s">
        <v>567</v>
      </c>
      <c r="D934" s="7" t="n">
        <v>94</v>
      </c>
      <c r="E934" s="7" t="n">
        <v>60</v>
      </c>
      <c r="F934" s="7"/>
      <c r="G934" s="7"/>
      <c r="H934" s="7" t="s">
        <v>546</v>
      </c>
      <c r="I934" s="7" t="s">
        <v>546</v>
      </c>
      <c r="J934" s="21" t="n">
        <f aca="false">D934/(D934+E934)</f>
        <v>0.61038961038961</v>
      </c>
      <c r="K934" s="3" t="n">
        <f aca="false">IF(D934&gt;E934,1,0)</f>
        <v>1</v>
      </c>
      <c r="L934" s="3" t="n">
        <f aca="false">IF(OR(F934="Y",G934="Y",H934="Y"),1,0)</f>
        <v>0</v>
      </c>
      <c r="M934" s="3" t="n">
        <f aca="false">IF(H934="Y",1,0)</f>
        <v>0</v>
      </c>
      <c r="N934" s="3" t="n">
        <f aca="false">IF(I934="Y",1,0)</f>
        <v>0</v>
      </c>
    </row>
    <row r="935" customFormat="false" ht="15" hidden="false" customHeight="true" outlineLevel="0" collapsed="false">
      <c r="A935" s="7" t="s">
        <v>66</v>
      </c>
      <c r="B935" s="7" t="n">
        <v>1922</v>
      </c>
      <c r="C935" s="7" t="s">
        <v>567</v>
      </c>
      <c r="D935" s="7" t="n">
        <v>78</v>
      </c>
      <c r="E935" s="7" t="n">
        <v>76</v>
      </c>
      <c r="F935" s="7"/>
      <c r="G935" s="7"/>
      <c r="H935" s="7" t="s">
        <v>546</v>
      </c>
      <c r="I935" s="7" t="s">
        <v>546</v>
      </c>
      <c r="J935" s="21" t="n">
        <f aca="false">D935/(D935+E935)</f>
        <v>0.506493506493506</v>
      </c>
      <c r="K935" s="3" t="n">
        <f aca="false">IF(D935&gt;E935,1,0)</f>
        <v>1</v>
      </c>
      <c r="L935" s="3" t="n">
        <f aca="false">IF(OR(F935="Y",G935="Y",H935="Y"),1,0)</f>
        <v>0</v>
      </c>
      <c r="M935" s="3" t="n">
        <f aca="false">IF(H935="Y",1,0)</f>
        <v>0</v>
      </c>
      <c r="N935" s="3" t="n">
        <f aca="false">IF(I935="Y",1,0)</f>
        <v>0</v>
      </c>
    </row>
    <row r="936" customFormat="false" ht="15" hidden="false" customHeight="true" outlineLevel="0" collapsed="false">
      <c r="A936" s="7" t="s">
        <v>66</v>
      </c>
      <c r="B936" s="7" t="n">
        <v>1923</v>
      </c>
      <c r="C936" s="7" t="s">
        <v>567</v>
      </c>
      <c r="D936" s="7" t="n">
        <v>82</v>
      </c>
      <c r="E936" s="7" t="n">
        <v>71</v>
      </c>
      <c r="F936" s="7"/>
      <c r="G936" s="7"/>
      <c r="H936" s="7" t="s">
        <v>546</v>
      </c>
      <c r="I936" s="7" t="s">
        <v>546</v>
      </c>
      <c r="J936" s="21" t="n">
        <f aca="false">D936/(D936+E936)</f>
        <v>0.535947712418301</v>
      </c>
      <c r="K936" s="3" t="n">
        <f aca="false">IF(D936&gt;E936,1,0)</f>
        <v>1</v>
      </c>
      <c r="L936" s="3" t="n">
        <f aca="false">IF(OR(F936="Y",G936="Y",H936="Y"),1,0)</f>
        <v>0</v>
      </c>
      <c r="M936" s="3" t="n">
        <f aca="false">IF(H936="Y",1,0)</f>
        <v>0</v>
      </c>
      <c r="N936" s="3" t="n">
        <f aca="false">IF(I936="Y",1,0)</f>
        <v>0</v>
      </c>
    </row>
    <row r="937" customFormat="false" ht="15" hidden="false" customHeight="true" outlineLevel="0" collapsed="false">
      <c r="A937" s="7" t="s">
        <v>66</v>
      </c>
      <c r="B937" s="7" t="n">
        <v>1924</v>
      </c>
      <c r="C937" s="7" t="s">
        <v>567</v>
      </c>
      <c r="D937" s="7" t="n">
        <v>67</v>
      </c>
      <c r="E937" s="7" t="n">
        <v>86</v>
      </c>
      <c r="F937" s="7"/>
      <c r="G937" s="7"/>
      <c r="H937" s="7" t="s">
        <v>546</v>
      </c>
      <c r="I937" s="7" t="s">
        <v>546</v>
      </c>
      <c r="J937" s="21" t="n">
        <f aca="false">D937/(D937+E937)</f>
        <v>0.437908496732026</v>
      </c>
      <c r="K937" s="3" t="n">
        <f aca="false">IF(D937&gt;E937,1,0)</f>
        <v>0</v>
      </c>
      <c r="L937" s="3" t="n">
        <f aca="false">IF(OR(F937="Y",G937="Y",H937="Y"),1,0)</f>
        <v>0</v>
      </c>
      <c r="M937" s="3" t="n">
        <f aca="false">IF(H937="Y",1,0)</f>
        <v>0</v>
      </c>
      <c r="N937" s="3" t="n">
        <f aca="false">IF(I937="Y",1,0)</f>
        <v>0</v>
      </c>
    </row>
    <row r="938" customFormat="false" ht="15" hidden="false" customHeight="true" outlineLevel="0" collapsed="false">
      <c r="A938" s="7" t="s">
        <v>66</v>
      </c>
      <c r="B938" s="7" t="n">
        <v>1925</v>
      </c>
      <c r="C938" s="7" t="s">
        <v>567</v>
      </c>
      <c r="D938" s="7" t="n">
        <v>70</v>
      </c>
      <c r="E938" s="7" t="n">
        <v>84</v>
      </c>
      <c r="F938" s="7"/>
      <c r="G938" s="7"/>
      <c r="H938" s="7" t="s">
        <v>546</v>
      </c>
      <c r="I938" s="7" t="s">
        <v>546</v>
      </c>
      <c r="J938" s="21" t="n">
        <f aca="false">D938/(D938+E938)</f>
        <v>0.454545454545455</v>
      </c>
      <c r="K938" s="3" t="n">
        <f aca="false">IF(D938&gt;E938,1,0)</f>
        <v>0</v>
      </c>
      <c r="L938" s="3" t="n">
        <f aca="false">IF(OR(F938="Y",G938="Y",H938="Y"),1,0)</f>
        <v>0</v>
      </c>
      <c r="M938" s="3" t="n">
        <f aca="false">IF(H938="Y",1,0)</f>
        <v>0</v>
      </c>
      <c r="N938" s="3" t="n">
        <f aca="false">IF(I938="Y",1,0)</f>
        <v>0</v>
      </c>
    </row>
    <row r="939" customFormat="false" ht="15" hidden="false" customHeight="true" outlineLevel="0" collapsed="false">
      <c r="A939" s="7" t="s">
        <v>66</v>
      </c>
      <c r="B939" s="7" t="n">
        <v>1926</v>
      </c>
      <c r="C939" s="7" t="s">
        <v>567</v>
      </c>
      <c r="D939" s="7" t="n">
        <v>88</v>
      </c>
      <c r="E939" s="7" t="n">
        <v>66</v>
      </c>
      <c r="F939" s="7"/>
      <c r="G939" s="7"/>
      <c r="H939" s="7" t="s">
        <v>546</v>
      </c>
      <c r="I939" s="7" t="s">
        <v>546</v>
      </c>
      <c r="J939" s="21" t="n">
        <f aca="false">D939/(D939+E939)</f>
        <v>0.571428571428571</v>
      </c>
      <c r="K939" s="3" t="n">
        <f aca="false">IF(D939&gt;E939,1,0)</f>
        <v>1</v>
      </c>
      <c r="L939" s="3" t="n">
        <f aca="false">IF(OR(F939="Y",G939="Y",H939="Y"),1,0)</f>
        <v>0</v>
      </c>
      <c r="M939" s="3" t="n">
        <f aca="false">IF(H939="Y",1,0)</f>
        <v>0</v>
      </c>
      <c r="N939" s="3" t="n">
        <f aca="false">IF(I939="Y",1,0)</f>
        <v>0</v>
      </c>
    </row>
    <row r="940" customFormat="false" ht="15" hidden="false" customHeight="true" outlineLevel="0" collapsed="false">
      <c r="A940" s="7" t="s">
        <v>66</v>
      </c>
      <c r="B940" s="7" t="n">
        <v>1927</v>
      </c>
      <c r="C940" s="7" t="s">
        <v>567</v>
      </c>
      <c r="D940" s="7" t="n">
        <v>66</v>
      </c>
      <c r="E940" s="7" t="n">
        <v>87</v>
      </c>
      <c r="F940" s="7"/>
      <c r="G940" s="7"/>
      <c r="H940" s="7" t="s">
        <v>546</v>
      </c>
      <c r="I940" s="7" t="s">
        <v>546</v>
      </c>
      <c r="J940" s="21" t="n">
        <f aca="false">D940/(D940+E940)</f>
        <v>0.431372549019608</v>
      </c>
      <c r="K940" s="3" t="n">
        <f aca="false">IF(D940&gt;E940,1,0)</f>
        <v>0</v>
      </c>
      <c r="L940" s="3" t="n">
        <f aca="false">IF(OR(F940="Y",G940="Y",H940="Y"),1,0)</f>
        <v>0</v>
      </c>
      <c r="M940" s="3" t="n">
        <f aca="false">IF(H940="Y",1,0)</f>
        <v>0</v>
      </c>
      <c r="N940" s="3" t="n">
        <f aca="false">IF(I940="Y",1,0)</f>
        <v>0</v>
      </c>
    </row>
    <row r="941" customFormat="false" ht="15" hidden="false" customHeight="true" outlineLevel="0" collapsed="false">
      <c r="A941" s="7" t="s">
        <v>66</v>
      </c>
      <c r="B941" s="7" t="n">
        <v>1928</v>
      </c>
      <c r="C941" s="7" t="s">
        <v>567</v>
      </c>
      <c r="D941" s="7" t="n">
        <v>62</v>
      </c>
      <c r="E941" s="7" t="n">
        <v>92</v>
      </c>
      <c r="F941" s="7"/>
      <c r="G941" s="7"/>
      <c r="H941" s="7" t="s">
        <v>546</v>
      </c>
      <c r="I941" s="7" t="s">
        <v>546</v>
      </c>
      <c r="J941" s="21" t="n">
        <f aca="false">D941/(D941+E941)</f>
        <v>0.402597402597403</v>
      </c>
      <c r="K941" s="3" t="n">
        <f aca="false">IF(D941&gt;E941,1,0)</f>
        <v>0</v>
      </c>
      <c r="L941" s="3" t="n">
        <f aca="false">IF(OR(F941="Y",G941="Y",H941="Y"),1,0)</f>
        <v>0</v>
      </c>
      <c r="M941" s="3" t="n">
        <f aca="false">IF(H941="Y",1,0)</f>
        <v>0</v>
      </c>
      <c r="N941" s="3" t="n">
        <f aca="false">IF(I941="Y",1,0)</f>
        <v>0</v>
      </c>
    </row>
    <row r="942" customFormat="false" ht="15" hidden="false" customHeight="true" outlineLevel="0" collapsed="false">
      <c r="A942" s="7" t="s">
        <v>66</v>
      </c>
      <c r="B942" s="7" t="n">
        <v>1929</v>
      </c>
      <c r="C942" s="7" t="s">
        <v>567</v>
      </c>
      <c r="D942" s="7" t="n">
        <v>81</v>
      </c>
      <c r="E942" s="7" t="n">
        <v>71</v>
      </c>
      <c r="F942" s="7"/>
      <c r="G942" s="7"/>
      <c r="H942" s="7" t="s">
        <v>546</v>
      </c>
      <c r="I942" s="7" t="s">
        <v>546</v>
      </c>
      <c r="J942" s="21" t="n">
        <f aca="false">D942/(D942+E942)</f>
        <v>0.532894736842105</v>
      </c>
      <c r="K942" s="3" t="n">
        <f aca="false">IF(D942&gt;E942,1,0)</f>
        <v>1</v>
      </c>
      <c r="L942" s="3" t="n">
        <f aca="false">IF(OR(F942="Y",G942="Y",H942="Y"),1,0)</f>
        <v>0</v>
      </c>
      <c r="M942" s="3" t="n">
        <f aca="false">IF(H942="Y",1,0)</f>
        <v>0</v>
      </c>
      <c r="N942" s="3" t="n">
        <f aca="false">IF(I942="Y",1,0)</f>
        <v>0</v>
      </c>
    </row>
    <row r="943" customFormat="false" ht="15" hidden="false" customHeight="true" outlineLevel="0" collapsed="false">
      <c r="A943" s="7" t="s">
        <v>66</v>
      </c>
      <c r="B943" s="7" t="n">
        <v>1930</v>
      </c>
      <c r="C943" s="7" t="s">
        <v>567</v>
      </c>
      <c r="D943" s="7" t="n">
        <v>81</v>
      </c>
      <c r="E943" s="7" t="n">
        <v>73</v>
      </c>
      <c r="F943" s="7"/>
      <c r="G943" s="7"/>
      <c r="H943" s="7" t="s">
        <v>546</v>
      </c>
      <c r="I943" s="7" t="s">
        <v>546</v>
      </c>
      <c r="J943" s="21" t="n">
        <f aca="false">D943/(D943+E943)</f>
        <v>0.525974025974026</v>
      </c>
      <c r="K943" s="3" t="n">
        <f aca="false">IF(D943&gt;E943,1,0)</f>
        <v>1</v>
      </c>
      <c r="L943" s="3" t="n">
        <f aca="false">IF(OR(F943="Y",G943="Y",H943="Y"),1,0)</f>
        <v>0</v>
      </c>
      <c r="M943" s="3" t="n">
        <f aca="false">IF(H943="Y",1,0)</f>
        <v>0</v>
      </c>
      <c r="N943" s="3" t="n">
        <f aca="false">IF(I943="Y",1,0)</f>
        <v>0</v>
      </c>
    </row>
    <row r="944" customFormat="false" ht="15" hidden="false" customHeight="true" outlineLevel="0" collapsed="false">
      <c r="A944" s="7" t="s">
        <v>66</v>
      </c>
      <c r="B944" s="7" t="n">
        <v>1931</v>
      </c>
      <c r="C944" s="7" t="s">
        <v>567</v>
      </c>
      <c r="D944" s="7" t="n">
        <v>78</v>
      </c>
      <c r="E944" s="7" t="n">
        <v>76</v>
      </c>
      <c r="F944" s="7"/>
      <c r="G944" s="7"/>
      <c r="H944" s="7" t="s">
        <v>546</v>
      </c>
      <c r="I944" s="7" t="s">
        <v>546</v>
      </c>
      <c r="J944" s="21" t="n">
        <f aca="false">D944/(D944+E944)</f>
        <v>0.506493506493506</v>
      </c>
      <c r="K944" s="3" t="n">
        <f aca="false">IF(D944&gt;E944,1,0)</f>
        <v>1</v>
      </c>
      <c r="L944" s="3" t="n">
        <f aca="false">IF(OR(F944="Y",G944="Y",H944="Y"),1,0)</f>
        <v>0</v>
      </c>
      <c r="M944" s="3" t="n">
        <f aca="false">IF(H944="Y",1,0)</f>
        <v>0</v>
      </c>
      <c r="N944" s="3" t="n">
        <f aca="false">IF(I944="Y",1,0)</f>
        <v>0</v>
      </c>
    </row>
    <row r="945" customFormat="false" ht="15" hidden="false" customHeight="true" outlineLevel="0" collapsed="false">
      <c r="A945" s="7" t="s">
        <v>66</v>
      </c>
      <c r="B945" s="7" t="n">
        <v>1932</v>
      </c>
      <c r="C945" s="7" t="s">
        <v>567</v>
      </c>
      <c r="D945" s="7" t="n">
        <v>87</v>
      </c>
      <c r="E945" s="7" t="n">
        <v>65</v>
      </c>
      <c r="F945" s="7"/>
      <c r="G945" s="7"/>
      <c r="H945" s="7" t="s">
        <v>546</v>
      </c>
      <c r="I945" s="7" t="s">
        <v>546</v>
      </c>
      <c r="J945" s="21" t="n">
        <f aca="false">D945/(D945+E945)</f>
        <v>0.572368421052632</v>
      </c>
      <c r="K945" s="3" t="n">
        <f aca="false">IF(D945&gt;E945,1,0)</f>
        <v>1</v>
      </c>
      <c r="L945" s="3" t="n">
        <f aca="false">IF(OR(F945="Y",G945="Y",H945="Y"),1,0)</f>
        <v>0</v>
      </c>
      <c r="M945" s="3" t="n">
        <f aca="false">IF(H945="Y",1,0)</f>
        <v>0</v>
      </c>
      <c r="N945" s="3" t="n">
        <f aca="false">IF(I945="Y",1,0)</f>
        <v>0</v>
      </c>
    </row>
    <row r="946" customFormat="false" ht="15" hidden="false" customHeight="true" outlineLevel="0" collapsed="false">
      <c r="A946" s="7" t="s">
        <v>66</v>
      </c>
      <c r="B946" s="7" t="n">
        <v>1933</v>
      </c>
      <c r="C946" s="7" t="s">
        <v>567</v>
      </c>
      <c r="D946" s="7" t="n">
        <v>75</v>
      </c>
      <c r="E946" s="7" t="n">
        <v>76</v>
      </c>
      <c r="F946" s="7"/>
      <c r="G946" s="7"/>
      <c r="H946" s="7" t="s">
        <v>546</v>
      </c>
      <c r="I946" s="7" t="s">
        <v>546</v>
      </c>
      <c r="J946" s="21" t="n">
        <f aca="false">D946/(D946+E946)</f>
        <v>0.496688741721854</v>
      </c>
      <c r="K946" s="3" t="n">
        <f aca="false">IF(D946&gt;E946,1,0)</f>
        <v>0</v>
      </c>
      <c r="L946" s="3" t="n">
        <f aca="false">IF(OR(F946="Y",G946="Y",H946="Y"),1,0)</f>
        <v>0</v>
      </c>
      <c r="M946" s="3" t="n">
        <f aca="false">IF(H946="Y",1,0)</f>
        <v>0</v>
      </c>
      <c r="N946" s="3" t="n">
        <f aca="false">IF(I946="Y",1,0)</f>
        <v>0</v>
      </c>
    </row>
    <row r="947" customFormat="false" ht="15" hidden="false" customHeight="true" outlineLevel="0" collapsed="false">
      <c r="A947" s="7" t="s">
        <v>66</v>
      </c>
      <c r="B947" s="7" t="n">
        <v>1934</v>
      </c>
      <c r="C947" s="7" t="s">
        <v>567</v>
      </c>
      <c r="D947" s="7" t="n">
        <v>85</v>
      </c>
      <c r="E947" s="7" t="n">
        <v>69</v>
      </c>
      <c r="F947" s="7"/>
      <c r="G947" s="7"/>
      <c r="H947" s="7" t="s">
        <v>546</v>
      </c>
      <c r="I947" s="7" t="s">
        <v>546</v>
      </c>
      <c r="J947" s="21" t="n">
        <f aca="false">D947/(D947+E947)</f>
        <v>0.551948051948052</v>
      </c>
      <c r="K947" s="3" t="n">
        <f aca="false">IF(D947&gt;E947,1,0)</f>
        <v>1</v>
      </c>
      <c r="L947" s="3" t="n">
        <f aca="false">IF(OR(F947="Y",G947="Y",H947="Y"),1,0)</f>
        <v>0</v>
      </c>
      <c r="M947" s="3" t="n">
        <f aca="false">IF(H947="Y",1,0)</f>
        <v>0</v>
      </c>
      <c r="N947" s="3" t="n">
        <f aca="false">IF(I947="Y",1,0)</f>
        <v>0</v>
      </c>
    </row>
    <row r="948" customFormat="false" ht="15" hidden="false" customHeight="true" outlineLevel="0" collapsed="false">
      <c r="A948" s="7" t="s">
        <v>66</v>
      </c>
      <c r="B948" s="7" t="n">
        <v>1935</v>
      </c>
      <c r="C948" s="7" t="s">
        <v>567</v>
      </c>
      <c r="D948" s="7" t="n">
        <v>82</v>
      </c>
      <c r="E948" s="7" t="n">
        <v>71</v>
      </c>
      <c r="F948" s="7"/>
      <c r="G948" s="7"/>
      <c r="H948" s="7" t="s">
        <v>546</v>
      </c>
      <c r="I948" s="7" t="s">
        <v>546</v>
      </c>
      <c r="J948" s="21" t="n">
        <f aca="false">D948/(D948+E948)</f>
        <v>0.535947712418301</v>
      </c>
      <c r="K948" s="3" t="n">
        <f aca="false">IF(D948&gt;E948,1,0)</f>
        <v>1</v>
      </c>
      <c r="L948" s="3" t="n">
        <f aca="false">IF(OR(F948="Y",G948="Y",H948="Y"),1,0)</f>
        <v>0</v>
      </c>
      <c r="M948" s="3" t="n">
        <f aca="false">IF(H948="Y",1,0)</f>
        <v>0</v>
      </c>
      <c r="N948" s="3" t="n">
        <f aca="false">IF(I948="Y",1,0)</f>
        <v>0</v>
      </c>
    </row>
    <row r="949" customFormat="false" ht="15" hidden="false" customHeight="true" outlineLevel="0" collapsed="false">
      <c r="A949" s="7" t="s">
        <v>66</v>
      </c>
      <c r="B949" s="7" t="n">
        <v>1936</v>
      </c>
      <c r="C949" s="7" t="s">
        <v>567</v>
      </c>
      <c r="D949" s="7" t="n">
        <v>80</v>
      </c>
      <c r="E949" s="7" t="n">
        <v>74</v>
      </c>
      <c r="F949" s="7"/>
      <c r="G949" s="7"/>
      <c r="H949" s="7" t="s">
        <v>546</v>
      </c>
      <c r="I949" s="7" t="s">
        <v>546</v>
      </c>
      <c r="J949" s="21" t="n">
        <f aca="false">D949/(D949+E949)</f>
        <v>0.519480519480519</v>
      </c>
      <c r="K949" s="3" t="n">
        <f aca="false">IF(D949&gt;E949,1,0)</f>
        <v>1</v>
      </c>
      <c r="L949" s="3" t="n">
        <f aca="false">IF(OR(F949="Y",G949="Y",H949="Y"),1,0)</f>
        <v>0</v>
      </c>
      <c r="M949" s="3" t="n">
        <f aca="false">IF(H949="Y",1,0)</f>
        <v>0</v>
      </c>
      <c r="N949" s="3" t="n">
        <f aca="false">IF(I949="Y",1,0)</f>
        <v>0</v>
      </c>
    </row>
    <row r="950" customFormat="false" ht="15" hidden="false" customHeight="true" outlineLevel="0" collapsed="false">
      <c r="A950" s="7" t="s">
        <v>66</v>
      </c>
      <c r="B950" s="7" t="n">
        <v>1937</v>
      </c>
      <c r="C950" s="7" t="s">
        <v>567</v>
      </c>
      <c r="D950" s="7" t="n">
        <v>83</v>
      </c>
      <c r="E950" s="7" t="n">
        <v>71</v>
      </c>
      <c r="F950" s="7"/>
      <c r="G950" s="7"/>
      <c r="H950" s="7" t="s">
        <v>546</v>
      </c>
      <c r="I950" s="7" t="s">
        <v>546</v>
      </c>
      <c r="J950" s="21" t="n">
        <f aca="false">D950/(D950+E950)</f>
        <v>0.538961038961039</v>
      </c>
      <c r="K950" s="3" t="n">
        <f aca="false">IF(D950&gt;E950,1,0)</f>
        <v>1</v>
      </c>
      <c r="L950" s="3" t="n">
        <f aca="false">IF(OR(F950="Y",G950="Y",H950="Y"),1,0)</f>
        <v>0</v>
      </c>
      <c r="M950" s="3" t="n">
        <f aca="false">IF(H950="Y",1,0)</f>
        <v>0</v>
      </c>
      <c r="N950" s="3" t="n">
        <f aca="false">IF(I950="Y",1,0)</f>
        <v>0</v>
      </c>
    </row>
    <row r="951" customFormat="false" ht="15" hidden="false" customHeight="true" outlineLevel="0" collapsed="false">
      <c r="A951" s="7" t="s">
        <v>66</v>
      </c>
      <c r="B951" s="7" t="n">
        <v>1938</v>
      </c>
      <c r="C951" s="7" t="s">
        <v>567</v>
      </c>
      <c r="D951" s="7" t="n">
        <v>86</v>
      </c>
      <c r="E951" s="7" t="n">
        <v>66</v>
      </c>
      <c r="F951" s="7"/>
      <c r="G951" s="7"/>
      <c r="H951" s="7" t="s">
        <v>546</v>
      </c>
      <c r="I951" s="7" t="s">
        <v>546</v>
      </c>
      <c r="J951" s="21" t="n">
        <f aca="false">D951/(D951+E951)</f>
        <v>0.565789473684211</v>
      </c>
      <c r="K951" s="3" t="n">
        <f aca="false">IF(D951&gt;E951,1,0)</f>
        <v>1</v>
      </c>
      <c r="L951" s="3" t="n">
        <f aca="false">IF(OR(F951="Y",G951="Y",H951="Y"),1,0)</f>
        <v>0</v>
      </c>
      <c r="M951" s="3" t="n">
        <f aca="false">IF(H951="Y",1,0)</f>
        <v>0</v>
      </c>
      <c r="N951" s="3" t="n">
        <f aca="false">IF(I951="Y",1,0)</f>
        <v>0</v>
      </c>
    </row>
    <row r="952" customFormat="false" ht="15" hidden="false" customHeight="true" outlineLevel="0" collapsed="false">
      <c r="A952" s="7" t="s">
        <v>66</v>
      </c>
      <c r="B952" s="7" t="n">
        <v>1939</v>
      </c>
      <c r="C952" s="7" t="s">
        <v>567</v>
      </c>
      <c r="D952" s="7" t="n">
        <v>87</v>
      </c>
      <c r="E952" s="7" t="n">
        <v>67</v>
      </c>
      <c r="F952" s="7"/>
      <c r="G952" s="7"/>
      <c r="H952" s="7" t="s">
        <v>546</v>
      </c>
      <c r="I952" s="7" t="s">
        <v>546</v>
      </c>
      <c r="J952" s="21" t="n">
        <f aca="false">D952/(D952+E952)</f>
        <v>0.564935064935065</v>
      </c>
      <c r="K952" s="3" t="n">
        <f aca="false">IF(D952&gt;E952,1,0)</f>
        <v>1</v>
      </c>
      <c r="L952" s="3" t="n">
        <f aca="false">IF(OR(F952="Y",G952="Y",H952="Y"),1,0)</f>
        <v>0</v>
      </c>
      <c r="M952" s="3" t="n">
        <f aca="false">IF(H952="Y",1,0)</f>
        <v>0</v>
      </c>
      <c r="N952" s="3" t="n">
        <f aca="false">IF(I952="Y",1,0)</f>
        <v>0</v>
      </c>
    </row>
    <row r="953" customFormat="false" ht="15" hidden="false" customHeight="true" outlineLevel="0" collapsed="false">
      <c r="A953" s="7" t="s">
        <v>66</v>
      </c>
      <c r="B953" s="7" t="n">
        <v>1940</v>
      </c>
      <c r="C953" s="7" t="s">
        <v>567</v>
      </c>
      <c r="D953" s="7" t="n">
        <v>89</v>
      </c>
      <c r="E953" s="7" t="n">
        <v>65</v>
      </c>
      <c r="F953" s="7"/>
      <c r="G953" s="7"/>
      <c r="H953" s="7" t="s">
        <v>546</v>
      </c>
      <c r="I953" s="7" t="s">
        <v>546</v>
      </c>
      <c r="J953" s="21" t="n">
        <f aca="false">D953/(D953+E953)</f>
        <v>0.577922077922078</v>
      </c>
      <c r="K953" s="3" t="n">
        <f aca="false">IF(D953&gt;E953,1,0)</f>
        <v>1</v>
      </c>
      <c r="L953" s="3" t="n">
        <f aca="false">IF(OR(F953="Y",G953="Y",H953="Y"),1,0)</f>
        <v>0</v>
      </c>
      <c r="M953" s="3" t="n">
        <f aca="false">IF(H953="Y",1,0)</f>
        <v>0</v>
      </c>
      <c r="N953" s="3" t="n">
        <f aca="false">IF(I953="Y",1,0)</f>
        <v>0</v>
      </c>
    </row>
    <row r="954" customFormat="false" ht="15" hidden="false" customHeight="true" outlineLevel="0" collapsed="false">
      <c r="A954" s="7" t="s">
        <v>66</v>
      </c>
      <c r="B954" s="7" t="n">
        <v>1941</v>
      </c>
      <c r="C954" s="7" t="s">
        <v>567</v>
      </c>
      <c r="D954" s="7" t="n">
        <v>75</v>
      </c>
      <c r="E954" s="7" t="n">
        <v>79</v>
      </c>
      <c r="F954" s="7"/>
      <c r="G954" s="7"/>
      <c r="H954" s="7" t="s">
        <v>546</v>
      </c>
      <c r="I954" s="7" t="s">
        <v>546</v>
      </c>
      <c r="J954" s="21" t="n">
        <f aca="false">D954/(D954+E954)</f>
        <v>0.487012987012987</v>
      </c>
      <c r="K954" s="3" t="n">
        <f aca="false">IF(D954&gt;E954,1,0)</f>
        <v>0</v>
      </c>
      <c r="L954" s="3" t="n">
        <f aca="false">IF(OR(F954="Y",G954="Y",H954="Y"),1,0)</f>
        <v>0</v>
      </c>
      <c r="M954" s="3" t="n">
        <f aca="false">IF(H954="Y",1,0)</f>
        <v>0</v>
      </c>
      <c r="N954" s="3" t="n">
        <f aca="false">IF(I954="Y",1,0)</f>
        <v>0</v>
      </c>
    </row>
    <row r="955" customFormat="false" ht="15" hidden="false" customHeight="true" outlineLevel="0" collapsed="false">
      <c r="A955" s="7" t="s">
        <v>66</v>
      </c>
      <c r="B955" s="7" t="n">
        <v>1942</v>
      </c>
      <c r="C955" s="7" t="s">
        <v>567</v>
      </c>
      <c r="D955" s="7" t="n">
        <v>75</v>
      </c>
      <c r="E955" s="7" t="n">
        <v>79</v>
      </c>
      <c r="F955" s="7"/>
      <c r="G955" s="7"/>
      <c r="H955" s="7" t="s">
        <v>546</v>
      </c>
      <c r="I955" s="7" t="s">
        <v>546</v>
      </c>
      <c r="J955" s="21" t="n">
        <f aca="false">D955/(D955+E955)</f>
        <v>0.487012987012987</v>
      </c>
      <c r="K955" s="3" t="n">
        <f aca="false">IF(D955&gt;E955,1,0)</f>
        <v>0</v>
      </c>
      <c r="L955" s="3" t="n">
        <f aca="false">IF(OR(F955="Y",G955="Y",H955="Y"),1,0)</f>
        <v>0</v>
      </c>
      <c r="M955" s="3" t="n">
        <f aca="false">IF(H955="Y",1,0)</f>
        <v>0</v>
      </c>
      <c r="N955" s="3" t="n">
        <f aca="false">IF(I955="Y",1,0)</f>
        <v>0</v>
      </c>
    </row>
    <row r="956" customFormat="false" ht="15" hidden="false" customHeight="true" outlineLevel="0" collapsed="false">
      <c r="A956" s="7" t="s">
        <v>66</v>
      </c>
      <c r="B956" s="7" t="n">
        <v>1943</v>
      </c>
      <c r="C956" s="7" t="s">
        <v>567</v>
      </c>
      <c r="D956" s="7" t="n">
        <v>82</v>
      </c>
      <c r="E956" s="7" t="n">
        <v>71</v>
      </c>
      <c r="F956" s="7"/>
      <c r="G956" s="7"/>
      <c r="H956" s="7" t="s">
        <v>546</v>
      </c>
      <c r="I956" s="7" t="s">
        <v>546</v>
      </c>
      <c r="J956" s="21" t="n">
        <f aca="false">D956/(D956+E956)</f>
        <v>0.535947712418301</v>
      </c>
      <c r="K956" s="3" t="n">
        <f aca="false">IF(D956&gt;E956,1,0)</f>
        <v>1</v>
      </c>
      <c r="L956" s="3" t="n">
        <f aca="false">IF(OR(F956="Y",G956="Y",H956="Y"),1,0)</f>
        <v>0</v>
      </c>
      <c r="M956" s="3" t="n">
        <f aca="false">IF(H956="Y",1,0)</f>
        <v>0</v>
      </c>
      <c r="N956" s="3" t="n">
        <f aca="false">IF(I956="Y",1,0)</f>
        <v>0</v>
      </c>
    </row>
    <row r="957" customFormat="false" ht="15" hidden="false" customHeight="true" outlineLevel="0" collapsed="false">
      <c r="A957" s="7" t="s">
        <v>66</v>
      </c>
      <c r="B957" s="7" t="n">
        <v>1944</v>
      </c>
      <c r="C957" s="7" t="s">
        <v>567</v>
      </c>
      <c r="D957" s="7" t="n">
        <v>72</v>
      </c>
      <c r="E957" s="7" t="n">
        <v>82</v>
      </c>
      <c r="F957" s="7"/>
      <c r="G957" s="7"/>
      <c r="H957" s="7" t="s">
        <v>546</v>
      </c>
      <c r="I957" s="7" t="s">
        <v>546</v>
      </c>
      <c r="J957" s="21" t="n">
        <f aca="false">D957/(D957+E957)</f>
        <v>0.467532467532468</v>
      </c>
      <c r="K957" s="3" t="n">
        <f aca="false">IF(D957&gt;E957,1,0)</f>
        <v>0</v>
      </c>
      <c r="L957" s="3" t="n">
        <f aca="false">IF(OR(F957="Y",G957="Y",H957="Y"),1,0)</f>
        <v>0</v>
      </c>
      <c r="M957" s="3" t="n">
        <f aca="false">IF(H957="Y",1,0)</f>
        <v>0</v>
      </c>
      <c r="N957" s="3" t="n">
        <f aca="false">IF(I957="Y",1,0)</f>
        <v>0</v>
      </c>
    </row>
    <row r="958" customFormat="false" ht="15" hidden="false" customHeight="true" outlineLevel="0" collapsed="false">
      <c r="A958" s="7" t="s">
        <v>66</v>
      </c>
      <c r="B958" s="7" t="n">
        <v>1945</v>
      </c>
      <c r="C958" s="7" t="s">
        <v>567</v>
      </c>
      <c r="D958" s="7" t="n">
        <v>73</v>
      </c>
      <c r="E958" s="7" t="n">
        <v>72</v>
      </c>
      <c r="F958" s="7"/>
      <c r="G958" s="7"/>
      <c r="H958" s="7" t="s">
        <v>546</v>
      </c>
      <c r="I958" s="7" t="s">
        <v>546</v>
      </c>
      <c r="J958" s="21" t="n">
        <f aca="false">D958/(D958+E958)</f>
        <v>0.503448275862069</v>
      </c>
      <c r="K958" s="3" t="n">
        <f aca="false">IF(D958&gt;E958,1,0)</f>
        <v>1</v>
      </c>
      <c r="L958" s="3" t="n">
        <f aca="false">IF(OR(F958="Y",G958="Y",H958="Y"),1,0)</f>
        <v>0</v>
      </c>
      <c r="M958" s="3" t="n">
        <f aca="false">IF(H958="Y",1,0)</f>
        <v>0</v>
      </c>
      <c r="N958" s="3" t="n">
        <f aca="false">IF(I958="Y",1,0)</f>
        <v>0</v>
      </c>
    </row>
    <row r="959" customFormat="false" ht="15" hidden="false" customHeight="true" outlineLevel="0" collapsed="false">
      <c r="A959" s="7" t="s">
        <v>66</v>
      </c>
      <c r="B959" s="7" t="n">
        <v>1946</v>
      </c>
      <c r="C959" s="7" t="s">
        <v>567</v>
      </c>
      <c r="D959" s="7" t="n">
        <v>68</v>
      </c>
      <c r="E959" s="7" t="n">
        <v>86</v>
      </c>
      <c r="F959" s="7"/>
      <c r="G959" s="7"/>
      <c r="H959" s="7" t="s">
        <v>546</v>
      </c>
      <c r="I959" s="7" t="s">
        <v>546</v>
      </c>
      <c r="J959" s="21" t="n">
        <f aca="false">D959/(D959+E959)</f>
        <v>0.441558441558442</v>
      </c>
      <c r="K959" s="3" t="n">
        <f aca="false">IF(D959&gt;E959,1,0)</f>
        <v>0</v>
      </c>
      <c r="L959" s="3" t="n">
        <f aca="false">IF(OR(F959="Y",G959="Y",H959="Y"),1,0)</f>
        <v>0</v>
      </c>
      <c r="M959" s="3" t="n">
        <f aca="false">IF(H959="Y",1,0)</f>
        <v>0</v>
      </c>
      <c r="N959" s="3" t="n">
        <f aca="false">IF(I959="Y",1,0)</f>
        <v>0</v>
      </c>
    </row>
    <row r="960" customFormat="false" ht="15" hidden="false" customHeight="true" outlineLevel="0" collapsed="false">
      <c r="A960" s="7" t="s">
        <v>66</v>
      </c>
      <c r="B960" s="7" t="n">
        <v>1947</v>
      </c>
      <c r="C960" s="7" t="s">
        <v>567</v>
      </c>
      <c r="D960" s="7" t="n">
        <v>80</v>
      </c>
      <c r="E960" s="7" t="n">
        <v>74</v>
      </c>
      <c r="F960" s="7"/>
      <c r="G960" s="7"/>
      <c r="H960" s="7" t="s">
        <v>546</v>
      </c>
      <c r="I960" s="7" t="s">
        <v>546</v>
      </c>
      <c r="J960" s="21" t="n">
        <f aca="false">D960/(D960+E960)</f>
        <v>0.519480519480519</v>
      </c>
      <c r="K960" s="3" t="n">
        <f aca="false">IF(D960&gt;E960,1,0)</f>
        <v>1</v>
      </c>
      <c r="L960" s="3" t="n">
        <f aca="false">IF(OR(F960="Y",G960="Y",H960="Y"),1,0)</f>
        <v>0</v>
      </c>
      <c r="M960" s="3" t="n">
        <f aca="false">IF(H960="Y",1,0)</f>
        <v>0</v>
      </c>
      <c r="N960" s="3" t="n">
        <f aca="false">IF(I960="Y",1,0)</f>
        <v>0</v>
      </c>
    </row>
    <row r="961" customFormat="false" ht="15" hidden="false" customHeight="true" outlineLevel="0" collapsed="false">
      <c r="A961" s="7" t="s">
        <v>66</v>
      </c>
      <c r="B961" s="7" t="n">
        <v>1948</v>
      </c>
      <c r="C961" s="7" t="s">
        <v>567</v>
      </c>
      <c r="D961" s="7" t="n">
        <v>97</v>
      </c>
      <c r="E961" s="7" t="n">
        <v>58</v>
      </c>
      <c r="F961" s="7"/>
      <c r="G961" s="7"/>
      <c r="H961" s="7" t="s">
        <v>548</v>
      </c>
      <c r="I961" s="7" t="s">
        <v>548</v>
      </c>
      <c r="J961" s="21" t="n">
        <f aca="false">D961/(D961+E961)</f>
        <v>0.625806451612903</v>
      </c>
      <c r="K961" s="3" t="n">
        <f aca="false">IF(D961&gt;E961,1,0)</f>
        <v>1</v>
      </c>
      <c r="L961" s="3" t="n">
        <f aca="false">IF(OR(F961="Y",G961="Y",H961="Y"),1,0)</f>
        <v>1</v>
      </c>
      <c r="M961" s="3" t="n">
        <f aca="false">IF(H961="Y",1,0)</f>
        <v>1</v>
      </c>
      <c r="N961" s="3" t="n">
        <f aca="false">IF(I961="Y",1,0)</f>
        <v>1</v>
      </c>
    </row>
    <row r="962" customFormat="false" ht="15" hidden="false" customHeight="true" outlineLevel="0" collapsed="false">
      <c r="A962" s="7" t="s">
        <v>66</v>
      </c>
      <c r="B962" s="7" t="n">
        <v>1949</v>
      </c>
      <c r="C962" s="7" t="s">
        <v>567</v>
      </c>
      <c r="D962" s="7" t="n">
        <v>89</v>
      </c>
      <c r="E962" s="7" t="n">
        <v>65</v>
      </c>
      <c r="F962" s="7"/>
      <c r="G962" s="7"/>
      <c r="H962" s="7" t="s">
        <v>546</v>
      </c>
      <c r="I962" s="7" t="s">
        <v>546</v>
      </c>
      <c r="J962" s="21" t="n">
        <f aca="false">D962/(D962+E962)</f>
        <v>0.577922077922078</v>
      </c>
      <c r="K962" s="3" t="n">
        <f aca="false">IF(D962&gt;E962,1,0)</f>
        <v>1</v>
      </c>
      <c r="L962" s="3" t="n">
        <f aca="false">IF(OR(F962="Y",G962="Y",H962="Y"),1,0)</f>
        <v>0</v>
      </c>
      <c r="M962" s="3" t="n">
        <f aca="false">IF(H962="Y",1,0)</f>
        <v>0</v>
      </c>
      <c r="N962" s="3" t="n">
        <f aca="false">IF(I962="Y",1,0)</f>
        <v>0</v>
      </c>
    </row>
    <row r="963" customFormat="false" ht="15" hidden="false" customHeight="true" outlineLevel="0" collapsed="false">
      <c r="A963" s="7" t="s">
        <v>66</v>
      </c>
      <c r="B963" s="7" t="n">
        <v>1950</v>
      </c>
      <c r="C963" s="7" t="s">
        <v>567</v>
      </c>
      <c r="D963" s="7" t="n">
        <v>92</v>
      </c>
      <c r="E963" s="7" t="n">
        <v>62</v>
      </c>
      <c r="F963" s="7"/>
      <c r="G963" s="7"/>
      <c r="H963" s="7" t="s">
        <v>546</v>
      </c>
      <c r="I963" s="7" t="s">
        <v>546</v>
      </c>
      <c r="J963" s="21" t="n">
        <f aca="false">D963/(D963+E963)</f>
        <v>0.597402597402597</v>
      </c>
      <c r="K963" s="3" t="n">
        <f aca="false">IF(D963&gt;E963,1,0)</f>
        <v>1</v>
      </c>
      <c r="L963" s="3" t="n">
        <f aca="false">IF(OR(F963="Y",G963="Y",H963="Y"),1,0)</f>
        <v>0</v>
      </c>
      <c r="M963" s="3" t="n">
        <f aca="false">IF(H963="Y",1,0)</f>
        <v>0</v>
      </c>
      <c r="N963" s="3" t="n">
        <f aca="false">IF(I963="Y",1,0)</f>
        <v>0</v>
      </c>
    </row>
    <row r="964" customFormat="false" ht="15" hidden="false" customHeight="true" outlineLevel="0" collapsed="false">
      <c r="A964" s="7" t="s">
        <v>66</v>
      </c>
      <c r="B964" s="7" t="n">
        <v>1951</v>
      </c>
      <c r="C964" s="7" t="s">
        <v>567</v>
      </c>
      <c r="D964" s="7" t="n">
        <v>93</v>
      </c>
      <c r="E964" s="7" t="n">
        <v>61</v>
      </c>
      <c r="F964" s="7"/>
      <c r="G964" s="7"/>
      <c r="H964" s="7" t="s">
        <v>546</v>
      </c>
      <c r="I964" s="7" t="s">
        <v>546</v>
      </c>
      <c r="J964" s="21" t="n">
        <f aca="false">D964/(D964+E964)</f>
        <v>0.603896103896104</v>
      </c>
      <c r="K964" s="3" t="n">
        <f aca="false">IF(D964&gt;E964,1,0)</f>
        <v>1</v>
      </c>
      <c r="L964" s="3" t="n">
        <f aca="false">IF(OR(F964="Y",G964="Y",H964="Y"),1,0)</f>
        <v>0</v>
      </c>
      <c r="M964" s="3" t="n">
        <f aca="false">IF(H964="Y",1,0)</f>
        <v>0</v>
      </c>
      <c r="N964" s="3" t="n">
        <f aca="false">IF(I964="Y",1,0)</f>
        <v>0</v>
      </c>
    </row>
    <row r="965" customFormat="false" ht="15" hidden="false" customHeight="true" outlineLevel="0" collapsed="false">
      <c r="A965" s="7" t="s">
        <v>66</v>
      </c>
      <c r="B965" s="7" t="n">
        <v>1952</v>
      </c>
      <c r="C965" s="7" t="s">
        <v>567</v>
      </c>
      <c r="D965" s="7" t="n">
        <v>93</v>
      </c>
      <c r="E965" s="7" t="n">
        <v>61</v>
      </c>
      <c r="F965" s="7"/>
      <c r="G965" s="7"/>
      <c r="H965" s="7" t="s">
        <v>546</v>
      </c>
      <c r="I965" s="7" t="s">
        <v>546</v>
      </c>
      <c r="J965" s="21" t="n">
        <f aca="false">D965/(D965+E965)</f>
        <v>0.603896103896104</v>
      </c>
      <c r="K965" s="3" t="n">
        <f aca="false">IF(D965&gt;E965,1,0)</f>
        <v>1</v>
      </c>
      <c r="L965" s="3" t="n">
        <f aca="false">IF(OR(F965="Y",G965="Y",H965="Y"),1,0)</f>
        <v>0</v>
      </c>
      <c r="M965" s="3" t="n">
        <f aca="false">IF(H965="Y",1,0)</f>
        <v>0</v>
      </c>
      <c r="N965" s="3" t="n">
        <f aca="false">IF(I965="Y",1,0)</f>
        <v>0</v>
      </c>
    </row>
    <row r="966" customFormat="false" ht="15" hidden="false" customHeight="true" outlineLevel="0" collapsed="false">
      <c r="A966" s="7" t="s">
        <v>66</v>
      </c>
      <c r="B966" s="7" t="n">
        <v>1953</v>
      </c>
      <c r="C966" s="7" t="s">
        <v>567</v>
      </c>
      <c r="D966" s="7" t="n">
        <v>92</v>
      </c>
      <c r="E966" s="7" t="n">
        <v>62</v>
      </c>
      <c r="F966" s="7"/>
      <c r="G966" s="7"/>
      <c r="H966" s="7" t="s">
        <v>546</v>
      </c>
      <c r="I966" s="7" t="s">
        <v>546</v>
      </c>
      <c r="J966" s="21" t="n">
        <f aca="false">D966/(D966+E966)</f>
        <v>0.597402597402597</v>
      </c>
      <c r="K966" s="3" t="n">
        <f aca="false">IF(D966&gt;E966,1,0)</f>
        <v>1</v>
      </c>
      <c r="L966" s="3" t="n">
        <f aca="false">IF(OR(F966="Y",G966="Y",H966="Y"),1,0)</f>
        <v>0</v>
      </c>
      <c r="M966" s="3" t="n">
        <f aca="false">IF(H966="Y",1,0)</f>
        <v>0</v>
      </c>
      <c r="N966" s="3" t="n">
        <f aca="false">IF(I966="Y",1,0)</f>
        <v>0</v>
      </c>
    </row>
    <row r="967" customFormat="false" ht="15" hidden="false" customHeight="true" outlineLevel="0" collapsed="false">
      <c r="A967" s="7" t="s">
        <v>66</v>
      </c>
      <c r="B967" s="7" t="n">
        <v>1954</v>
      </c>
      <c r="C967" s="7" t="s">
        <v>567</v>
      </c>
      <c r="D967" s="7" t="n">
        <v>111</v>
      </c>
      <c r="E967" s="7" t="n">
        <v>43</v>
      </c>
      <c r="F967" s="7"/>
      <c r="G967" s="7"/>
      <c r="H967" s="7" t="s">
        <v>548</v>
      </c>
      <c r="I967" s="7" t="s">
        <v>546</v>
      </c>
      <c r="J967" s="21" t="n">
        <f aca="false">D967/(D967+E967)</f>
        <v>0.720779220779221</v>
      </c>
      <c r="K967" s="3" t="n">
        <f aca="false">IF(D967&gt;E967,1,0)</f>
        <v>1</v>
      </c>
      <c r="L967" s="3" t="n">
        <f aca="false">IF(OR(F967="Y",G967="Y",H967="Y"),1,0)</f>
        <v>1</v>
      </c>
      <c r="M967" s="3" t="n">
        <f aca="false">IF(H967="Y",1,0)</f>
        <v>1</v>
      </c>
      <c r="N967" s="3" t="n">
        <f aca="false">IF(I967="Y",1,0)</f>
        <v>0</v>
      </c>
    </row>
    <row r="968" customFormat="false" ht="15" hidden="false" customHeight="true" outlineLevel="0" collapsed="false">
      <c r="A968" s="7" t="s">
        <v>66</v>
      </c>
      <c r="B968" s="7" t="n">
        <v>1955</v>
      </c>
      <c r="C968" s="7" t="s">
        <v>567</v>
      </c>
      <c r="D968" s="7" t="n">
        <v>93</v>
      </c>
      <c r="E968" s="7" t="n">
        <v>61</v>
      </c>
      <c r="F968" s="7"/>
      <c r="G968" s="7"/>
      <c r="H968" s="7" t="s">
        <v>546</v>
      </c>
      <c r="I968" s="7" t="s">
        <v>546</v>
      </c>
      <c r="J968" s="21" t="n">
        <f aca="false">D968/(D968+E968)</f>
        <v>0.603896103896104</v>
      </c>
      <c r="K968" s="3" t="n">
        <f aca="false">IF(D968&gt;E968,1,0)</f>
        <v>1</v>
      </c>
      <c r="L968" s="3" t="n">
        <f aca="false">IF(OR(F968="Y",G968="Y",H968="Y"),1,0)</f>
        <v>0</v>
      </c>
      <c r="M968" s="3" t="n">
        <f aca="false">IF(H968="Y",1,0)</f>
        <v>0</v>
      </c>
      <c r="N968" s="3" t="n">
        <f aca="false">IF(I968="Y",1,0)</f>
        <v>0</v>
      </c>
    </row>
    <row r="969" customFormat="false" ht="15" hidden="false" customHeight="true" outlineLevel="0" collapsed="false">
      <c r="A969" s="7" t="s">
        <v>66</v>
      </c>
      <c r="B969" s="7" t="n">
        <v>1956</v>
      </c>
      <c r="C969" s="7" t="s">
        <v>567</v>
      </c>
      <c r="D969" s="7" t="n">
        <v>88</v>
      </c>
      <c r="E969" s="7" t="n">
        <v>66</v>
      </c>
      <c r="F969" s="7"/>
      <c r="G969" s="7"/>
      <c r="H969" s="7" t="s">
        <v>546</v>
      </c>
      <c r="I969" s="7" t="s">
        <v>546</v>
      </c>
      <c r="J969" s="21" t="n">
        <f aca="false">D969/(D969+E969)</f>
        <v>0.571428571428571</v>
      </c>
      <c r="K969" s="3" t="n">
        <f aca="false">IF(D969&gt;E969,1,0)</f>
        <v>1</v>
      </c>
      <c r="L969" s="3" t="n">
        <f aca="false">IF(OR(F969="Y",G969="Y",H969="Y"),1,0)</f>
        <v>0</v>
      </c>
      <c r="M969" s="3" t="n">
        <f aca="false">IF(H969="Y",1,0)</f>
        <v>0</v>
      </c>
      <c r="N969" s="3" t="n">
        <f aca="false">IF(I969="Y",1,0)</f>
        <v>0</v>
      </c>
    </row>
    <row r="970" customFormat="false" ht="15" hidden="false" customHeight="true" outlineLevel="0" collapsed="false">
      <c r="A970" s="7" t="s">
        <v>66</v>
      </c>
      <c r="B970" s="7" t="n">
        <v>1957</v>
      </c>
      <c r="C970" s="7" t="s">
        <v>567</v>
      </c>
      <c r="D970" s="7" t="n">
        <v>76</v>
      </c>
      <c r="E970" s="7" t="n">
        <v>77</v>
      </c>
      <c r="F970" s="7"/>
      <c r="G970" s="7"/>
      <c r="H970" s="7" t="s">
        <v>546</v>
      </c>
      <c r="I970" s="7" t="s">
        <v>546</v>
      </c>
      <c r="J970" s="21" t="n">
        <f aca="false">D970/(D970+E970)</f>
        <v>0.496732026143791</v>
      </c>
      <c r="K970" s="3" t="n">
        <f aca="false">IF(D970&gt;E970,1,0)</f>
        <v>0</v>
      </c>
      <c r="L970" s="3" t="n">
        <f aca="false">IF(OR(F970="Y",G970="Y",H970="Y"),1,0)</f>
        <v>0</v>
      </c>
      <c r="M970" s="3" t="n">
        <f aca="false">IF(H970="Y",1,0)</f>
        <v>0</v>
      </c>
      <c r="N970" s="3" t="n">
        <f aca="false">IF(I970="Y",1,0)</f>
        <v>0</v>
      </c>
    </row>
    <row r="971" customFormat="false" ht="15" hidden="false" customHeight="true" outlineLevel="0" collapsed="false">
      <c r="A971" s="7" t="s">
        <v>66</v>
      </c>
      <c r="B971" s="7" t="n">
        <v>1958</v>
      </c>
      <c r="C971" s="7" t="s">
        <v>567</v>
      </c>
      <c r="D971" s="7" t="n">
        <v>77</v>
      </c>
      <c r="E971" s="7" t="n">
        <v>76</v>
      </c>
      <c r="F971" s="7"/>
      <c r="G971" s="7"/>
      <c r="H971" s="7" t="s">
        <v>546</v>
      </c>
      <c r="I971" s="7" t="s">
        <v>546</v>
      </c>
      <c r="J971" s="21" t="n">
        <f aca="false">D971/(D971+E971)</f>
        <v>0.503267973856209</v>
      </c>
      <c r="K971" s="3" t="n">
        <f aca="false">IF(D971&gt;E971,1,0)</f>
        <v>1</v>
      </c>
      <c r="L971" s="3" t="n">
        <f aca="false">IF(OR(F971="Y",G971="Y",H971="Y"),1,0)</f>
        <v>0</v>
      </c>
      <c r="M971" s="3" t="n">
        <f aca="false">IF(H971="Y",1,0)</f>
        <v>0</v>
      </c>
      <c r="N971" s="3" t="n">
        <f aca="false">IF(I971="Y",1,0)</f>
        <v>0</v>
      </c>
    </row>
    <row r="972" customFormat="false" ht="15" hidden="false" customHeight="true" outlineLevel="0" collapsed="false">
      <c r="A972" s="7" t="s">
        <v>66</v>
      </c>
      <c r="B972" s="7" t="n">
        <v>1959</v>
      </c>
      <c r="C972" s="7" t="s">
        <v>567</v>
      </c>
      <c r="D972" s="7" t="n">
        <v>89</v>
      </c>
      <c r="E972" s="7" t="n">
        <v>65</v>
      </c>
      <c r="F972" s="7"/>
      <c r="G972" s="7"/>
      <c r="H972" s="7" t="s">
        <v>546</v>
      </c>
      <c r="I972" s="7" t="s">
        <v>546</v>
      </c>
      <c r="J972" s="21" t="n">
        <f aca="false">D972/(D972+E972)</f>
        <v>0.577922077922078</v>
      </c>
      <c r="K972" s="3" t="n">
        <f aca="false">IF(D972&gt;E972,1,0)</f>
        <v>1</v>
      </c>
      <c r="L972" s="3" t="n">
        <f aca="false">IF(OR(F972="Y",G972="Y",H972="Y"),1,0)</f>
        <v>0</v>
      </c>
      <c r="M972" s="3" t="n">
        <f aca="false">IF(H972="Y",1,0)</f>
        <v>0</v>
      </c>
      <c r="N972" s="3" t="n">
        <f aca="false">IF(I972="Y",1,0)</f>
        <v>0</v>
      </c>
    </row>
    <row r="973" customFormat="false" ht="15" hidden="false" customHeight="true" outlineLevel="0" collapsed="false">
      <c r="A973" s="7" t="s">
        <v>66</v>
      </c>
      <c r="B973" s="7" t="n">
        <v>1960</v>
      </c>
      <c r="C973" s="7" t="s">
        <v>567</v>
      </c>
      <c r="D973" s="7" t="n">
        <v>76</v>
      </c>
      <c r="E973" s="7" t="n">
        <v>78</v>
      </c>
      <c r="F973" s="7"/>
      <c r="G973" s="7"/>
      <c r="H973" s="7" t="s">
        <v>546</v>
      </c>
      <c r="I973" s="7" t="s">
        <v>546</v>
      </c>
      <c r="J973" s="21" t="n">
        <f aca="false">D973/(D973+E973)</f>
        <v>0.493506493506494</v>
      </c>
      <c r="K973" s="3" t="n">
        <f aca="false">IF(D973&gt;E973,1,0)</f>
        <v>0</v>
      </c>
      <c r="L973" s="3" t="n">
        <f aca="false">IF(OR(F973="Y",G973="Y",H973="Y"),1,0)</f>
        <v>0</v>
      </c>
      <c r="M973" s="3" t="n">
        <f aca="false">IF(H973="Y",1,0)</f>
        <v>0</v>
      </c>
      <c r="N973" s="3" t="n">
        <f aca="false">IF(I973="Y",1,0)</f>
        <v>0</v>
      </c>
    </row>
    <row r="974" customFormat="false" ht="15" hidden="false" customHeight="true" outlineLevel="0" collapsed="false">
      <c r="A974" s="7" t="s">
        <v>66</v>
      </c>
      <c r="B974" s="7" t="n">
        <v>1961</v>
      </c>
      <c r="C974" s="7" t="s">
        <v>567</v>
      </c>
      <c r="D974" s="7" t="n">
        <v>78</v>
      </c>
      <c r="E974" s="7" t="n">
        <v>83</v>
      </c>
      <c r="F974" s="7"/>
      <c r="G974" s="7"/>
      <c r="H974" s="7" t="s">
        <v>546</v>
      </c>
      <c r="I974" s="7" t="s">
        <v>546</v>
      </c>
      <c r="J974" s="21" t="n">
        <f aca="false">D974/(D974+E974)</f>
        <v>0.484472049689441</v>
      </c>
      <c r="K974" s="3" t="n">
        <f aca="false">IF(D974&gt;E974,1,0)</f>
        <v>0</v>
      </c>
      <c r="L974" s="3" t="n">
        <f aca="false">IF(OR(F974="Y",G974="Y",H974="Y"),1,0)</f>
        <v>0</v>
      </c>
      <c r="M974" s="3" t="n">
        <f aca="false">IF(H974="Y",1,0)</f>
        <v>0</v>
      </c>
      <c r="N974" s="3" t="n">
        <f aca="false">IF(I974="Y",1,0)</f>
        <v>0</v>
      </c>
    </row>
    <row r="975" customFormat="false" ht="15" hidden="false" customHeight="true" outlineLevel="0" collapsed="false">
      <c r="A975" s="7" t="s">
        <v>66</v>
      </c>
      <c r="B975" s="7" t="n">
        <v>1962</v>
      </c>
      <c r="C975" s="7" t="s">
        <v>567</v>
      </c>
      <c r="D975" s="7" t="n">
        <v>80</v>
      </c>
      <c r="E975" s="7" t="n">
        <v>82</v>
      </c>
      <c r="F975" s="7"/>
      <c r="G975" s="7"/>
      <c r="H975" s="7" t="s">
        <v>546</v>
      </c>
      <c r="I975" s="7" t="s">
        <v>546</v>
      </c>
      <c r="J975" s="21" t="n">
        <f aca="false">D975/(D975+E975)</f>
        <v>0.493827160493827</v>
      </c>
      <c r="K975" s="3" t="n">
        <f aca="false">IF(D975&gt;E975,1,0)</f>
        <v>0</v>
      </c>
      <c r="L975" s="3" t="n">
        <f aca="false">IF(OR(F975="Y",G975="Y",H975="Y"),1,0)</f>
        <v>0</v>
      </c>
      <c r="M975" s="3" t="n">
        <f aca="false">IF(H975="Y",1,0)</f>
        <v>0</v>
      </c>
      <c r="N975" s="3" t="n">
        <f aca="false">IF(I975="Y",1,0)</f>
        <v>0</v>
      </c>
    </row>
    <row r="976" customFormat="false" ht="15" hidden="false" customHeight="true" outlineLevel="0" collapsed="false">
      <c r="A976" s="7" t="s">
        <v>66</v>
      </c>
      <c r="B976" s="7" t="n">
        <v>1963</v>
      </c>
      <c r="C976" s="7" t="s">
        <v>567</v>
      </c>
      <c r="D976" s="7" t="n">
        <v>79</v>
      </c>
      <c r="E976" s="7" t="n">
        <v>83</v>
      </c>
      <c r="F976" s="7"/>
      <c r="G976" s="7"/>
      <c r="H976" s="7" t="s">
        <v>546</v>
      </c>
      <c r="I976" s="7" t="s">
        <v>546</v>
      </c>
      <c r="J976" s="21" t="n">
        <f aca="false">D976/(D976+E976)</f>
        <v>0.487654320987654</v>
      </c>
      <c r="K976" s="3" t="n">
        <f aca="false">IF(D976&gt;E976,1,0)</f>
        <v>0</v>
      </c>
      <c r="L976" s="3" t="n">
        <f aca="false">IF(OR(F976="Y",G976="Y",H976="Y"),1,0)</f>
        <v>0</v>
      </c>
      <c r="M976" s="3" t="n">
        <f aca="false">IF(H976="Y",1,0)</f>
        <v>0</v>
      </c>
      <c r="N976" s="3" t="n">
        <f aca="false">IF(I976="Y",1,0)</f>
        <v>0</v>
      </c>
    </row>
    <row r="977" customFormat="false" ht="15" hidden="false" customHeight="true" outlineLevel="0" collapsed="false">
      <c r="A977" s="7" t="s">
        <v>66</v>
      </c>
      <c r="B977" s="7" t="n">
        <v>1964</v>
      </c>
      <c r="C977" s="7" t="s">
        <v>567</v>
      </c>
      <c r="D977" s="7" t="n">
        <v>79</v>
      </c>
      <c r="E977" s="7" t="n">
        <v>83</v>
      </c>
      <c r="F977" s="7"/>
      <c r="G977" s="7"/>
      <c r="H977" s="7" t="s">
        <v>546</v>
      </c>
      <c r="I977" s="7" t="s">
        <v>546</v>
      </c>
      <c r="J977" s="21" t="n">
        <f aca="false">D977/(D977+E977)</f>
        <v>0.487654320987654</v>
      </c>
      <c r="K977" s="3" t="n">
        <f aca="false">IF(D977&gt;E977,1,0)</f>
        <v>0</v>
      </c>
      <c r="L977" s="3" t="n">
        <f aca="false">IF(OR(F977="Y",G977="Y",H977="Y"),1,0)</f>
        <v>0</v>
      </c>
      <c r="M977" s="3" t="n">
        <f aca="false">IF(H977="Y",1,0)</f>
        <v>0</v>
      </c>
      <c r="N977" s="3" t="n">
        <f aca="false">IF(I977="Y",1,0)</f>
        <v>0</v>
      </c>
    </row>
    <row r="978" customFormat="false" ht="15" hidden="false" customHeight="true" outlineLevel="0" collapsed="false">
      <c r="A978" s="7" t="s">
        <v>66</v>
      </c>
      <c r="B978" s="7" t="n">
        <v>1965</v>
      </c>
      <c r="C978" s="7" t="s">
        <v>567</v>
      </c>
      <c r="D978" s="7" t="n">
        <v>87</v>
      </c>
      <c r="E978" s="7" t="n">
        <v>75</v>
      </c>
      <c r="F978" s="7"/>
      <c r="G978" s="7"/>
      <c r="H978" s="7" t="s">
        <v>546</v>
      </c>
      <c r="I978" s="7" t="s">
        <v>546</v>
      </c>
      <c r="J978" s="21" t="n">
        <f aca="false">D978/(D978+E978)</f>
        <v>0.537037037037037</v>
      </c>
      <c r="K978" s="3" t="n">
        <f aca="false">IF(D978&gt;E978,1,0)</f>
        <v>1</v>
      </c>
      <c r="L978" s="3" t="n">
        <f aca="false">IF(OR(F978="Y",G978="Y",H978="Y"),1,0)</f>
        <v>0</v>
      </c>
      <c r="M978" s="3" t="n">
        <f aca="false">IF(H978="Y",1,0)</f>
        <v>0</v>
      </c>
      <c r="N978" s="3" t="n">
        <f aca="false">IF(I978="Y",1,0)</f>
        <v>0</v>
      </c>
    </row>
    <row r="979" customFormat="false" ht="15" hidden="false" customHeight="true" outlineLevel="0" collapsed="false">
      <c r="A979" s="7" t="s">
        <v>66</v>
      </c>
      <c r="B979" s="7" t="n">
        <v>1966</v>
      </c>
      <c r="C979" s="7" t="s">
        <v>567</v>
      </c>
      <c r="D979" s="7" t="n">
        <v>81</v>
      </c>
      <c r="E979" s="7" t="n">
        <v>81</v>
      </c>
      <c r="F979" s="7"/>
      <c r="G979" s="7"/>
      <c r="H979" s="7" t="s">
        <v>546</v>
      </c>
      <c r="I979" s="7" t="s">
        <v>546</v>
      </c>
      <c r="J979" s="21" t="n">
        <f aca="false">D979/(D979+E979)</f>
        <v>0.5</v>
      </c>
      <c r="K979" s="3" t="n">
        <f aca="false">IF(D979&gt;E979,1,0)</f>
        <v>0</v>
      </c>
      <c r="L979" s="3" t="n">
        <f aca="false">IF(OR(F979="Y",G979="Y",H979="Y"),1,0)</f>
        <v>0</v>
      </c>
      <c r="M979" s="3" t="n">
        <f aca="false">IF(H979="Y",1,0)</f>
        <v>0</v>
      </c>
      <c r="N979" s="3" t="n">
        <f aca="false">IF(I979="Y",1,0)</f>
        <v>0</v>
      </c>
    </row>
    <row r="980" customFormat="false" ht="15" hidden="false" customHeight="true" outlineLevel="0" collapsed="false">
      <c r="A980" s="7" t="s">
        <v>66</v>
      </c>
      <c r="B980" s="7" t="n">
        <v>1967</v>
      </c>
      <c r="C980" s="7" t="s">
        <v>567</v>
      </c>
      <c r="D980" s="7" t="n">
        <v>75</v>
      </c>
      <c r="E980" s="7" t="n">
        <v>87</v>
      </c>
      <c r="F980" s="7"/>
      <c r="G980" s="7"/>
      <c r="H980" s="7" t="s">
        <v>546</v>
      </c>
      <c r="I980" s="7" t="s">
        <v>546</v>
      </c>
      <c r="J980" s="21" t="n">
        <f aca="false">D980/(D980+E980)</f>
        <v>0.462962962962963</v>
      </c>
      <c r="K980" s="3" t="n">
        <f aca="false">IF(D980&gt;E980,1,0)</f>
        <v>0</v>
      </c>
      <c r="L980" s="3" t="n">
        <f aca="false">IF(OR(F980="Y",G980="Y",H980="Y"),1,0)</f>
        <v>0</v>
      </c>
      <c r="M980" s="3" t="n">
        <f aca="false">IF(H980="Y",1,0)</f>
        <v>0</v>
      </c>
      <c r="N980" s="3" t="n">
        <f aca="false">IF(I980="Y",1,0)</f>
        <v>0</v>
      </c>
    </row>
    <row r="981" customFormat="false" ht="15" hidden="false" customHeight="true" outlineLevel="0" collapsed="false">
      <c r="A981" s="7" t="s">
        <v>66</v>
      </c>
      <c r="B981" s="7" t="n">
        <v>1968</v>
      </c>
      <c r="C981" s="7" t="s">
        <v>567</v>
      </c>
      <c r="D981" s="7" t="n">
        <v>86</v>
      </c>
      <c r="E981" s="7" t="n">
        <v>75</v>
      </c>
      <c r="F981" s="7"/>
      <c r="G981" s="7"/>
      <c r="H981" s="7" t="s">
        <v>546</v>
      </c>
      <c r="I981" s="7" t="s">
        <v>546</v>
      </c>
      <c r="J981" s="21" t="n">
        <f aca="false">D981/(D981+E981)</f>
        <v>0.53416149068323</v>
      </c>
      <c r="K981" s="3" t="n">
        <f aca="false">IF(D981&gt;E981,1,0)</f>
        <v>1</v>
      </c>
      <c r="L981" s="3" t="n">
        <f aca="false">IF(OR(F981="Y",G981="Y",H981="Y"),1,0)</f>
        <v>0</v>
      </c>
      <c r="M981" s="3" t="n">
        <f aca="false">IF(H981="Y",1,0)</f>
        <v>0</v>
      </c>
      <c r="N981" s="3" t="n">
        <f aca="false">IF(I981="Y",1,0)</f>
        <v>0</v>
      </c>
    </row>
    <row r="982" customFormat="false" ht="15" hidden="false" customHeight="true" outlineLevel="0" collapsed="false">
      <c r="A982" s="7" t="s">
        <v>66</v>
      </c>
      <c r="B982" s="7" t="n">
        <v>1969</v>
      </c>
      <c r="C982" s="7" t="s">
        <v>567</v>
      </c>
      <c r="D982" s="7" t="n">
        <v>62</v>
      </c>
      <c r="E982" s="7" t="n">
        <v>99</v>
      </c>
      <c r="F982" s="7" t="s">
        <v>546</v>
      </c>
      <c r="G982" s="7"/>
      <c r="H982" s="7" t="s">
        <v>546</v>
      </c>
      <c r="I982" s="7" t="s">
        <v>546</v>
      </c>
      <c r="J982" s="21" t="n">
        <f aca="false">D982/(D982+E982)</f>
        <v>0.385093167701863</v>
      </c>
      <c r="K982" s="3" t="n">
        <f aca="false">IF(D982&gt;E982,1,0)</f>
        <v>0</v>
      </c>
      <c r="L982" s="3" t="n">
        <f aca="false">IF(OR(F982="Y",G982="Y",H982="Y"),1,0)</f>
        <v>0</v>
      </c>
      <c r="M982" s="3" t="n">
        <f aca="false">IF(H982="Y",1,0)</f>
        <v>0</v>
      </c>
      <c r="N982" s="3" t="n">
        <f aca="false">IF(I982="Y",1,0)</f>
        <v>0</v>
      </c>
    </row>
    <row r="983" customFormat="false" ht="15" hidden="false" customHeight="true" outlineLevel="0" collapsed="false">
      <c r="A983" s="7" t="s">
        <v>66</v>
      </c>
      <c r="B983" s="7" t="n">
        <v>1970</v>
      </c>
      <c r="C983" s="7" t="s">
        <v>567</v>
      </c>
      <c r="D983" s="7" t="n">
        <v>76</v>
      </c>
      <c r="E983" s="7" t="n">
        <v>86</v>
      </c>
      <c r="F983" s="7" t="s">
        <v>546</v>
      </c>
      <c r="G983" s="7"/>
      <c r="H983" s="7" t="s">
        <v>546</v>
      </c>
      <c r="I983" s="7" t="s">
        <v>546</v>
      </c>
      <c r="J983" s="21" t="n">
        <f aca="false">D983/(D983+E983)</f>
        <v>0.469135802469136</v>
      </c>
      <c r="K983" s="3" t="n">
        <f aca="false">IF(D983&gt;E983,1,0)</f>
        <v>0</v>
      </c>
      <c r="L983" s="3" t="n">
        <f aca="false">IF(OR(F983="Y",G983="Y",H983="Y"),1,0)</f>
        <v>0</v>
      </c>
      <c r="M983" s="3" t="n">
        <f aca="false">IF(H983="Y",1,0)</f>
        <v>0</v>
      </c>
      <c r="N983" s="3" t="n">
        <f aca="false">IF(I983="Y",1,0)</f>
        <v>0</v>
      </c>
    </row>
    <row r="984" customFormat="false" ht="15" hidden="false" customHeight="true" outlineLevel="0" collapsed="false">
      <c r="A984" s="7" t="s">
        <v>66</v>
      </c>
      <c r="B984" s="7" t="n">
        <v>1971</v>
      </c>
      <c r="C984" s="7" t="s">
        <v>567</v>
      </c>
      <c r="D984" s="7" t="n">
        <v>60</v>
      </c>
      <c r="E984" s="7" t="n">
        <v>102</v>
      </c>
      <c r="F984" s="7" t="s">
        <v>546</v>
      </c>
      <c r="G984" s="7"/>
      <c r="H984" s="7" t="s">
        <v>546</v>
      </c>
      <c r="I984" s="7" t="s">
        <v>546</v>
      </c>
      <c r="J984" s="21" t="n">
        <f aca="false">D984/(D984+E984)</f>
        <v>0.37037037037037</v>
      </c>
      <c r="K984" s="3" t="n">
        <f aca="false">IF(D984&gt;E984,1,0)</f>
        <v>0</v>
      </c>
      <c r="L984" s="3" t="n">
        <f aca="false">IF(OR(F984="Y",G984="Y",H984="Y"),1,0)</f>
        <v>0</v>
      </c>
      <c r="M984" s="3" t="n">
        <f aca="false">IF(H984="Y",1,0)</f>
        <v>0</v>
      </c>
      <c r="N984" s="3" t="n">
        <f aca="false">IF(I984="Y",1,0)</f>
        <v>0</v>
      </c>
    </row>
    <row r="985" customFormat="false" ht="15" hidden="false" customHeight="true" outlineLevel="0" collapsed="false">
      <c r="A985" s="7" t="s">
        <v>66</v>
      </c>
      <c r="B985" s="7" t="n">
        <v>1972</v>
      </c>
      <c r="C985" s="7" t="s">
        <v>567</v>
      </c>
      <c r="D985" s="7" t="n">
        <v>72</v>
      </c>
      <c r="E985" s="7" t="n">
        <v>84</v>
      </c>
      <c r="F985" s="7" t="s">
        <v>546</v>
      </c>
      <c r="G985" s="7"/>
      <c r="H985" s="7" t="s">
        <v>546</v>
      </c>
      <c r="I985" s="7" t="s">
        <v>546</v>
      </c>
      <c r="J985" s="21" t="n">
        <f aca="false">D985/(D985+E985)</f>
        <v>0.461538461538462</v>
      </c>
      <c r="K985" s="3" t="n">
        <f aca="false">IF(D985&gt;E985,1,0)</f>
        <v>0</v>
      </c>
      <c r="L985" s="3" t="n">
        <f aca="false">IF(OR(F985="Y",G985="Y",H985="Y"),1,0)</f>
        <v>0</v>
      </c>
      <c r="M985" s="3" t="n">
        <f aca="false">IF(H985="Y",1,0)</f>
        <v>0</v>
      </c>
      <c r="N985" s="3" t="n">
        <f aca="false">IF(I985="Y",1,0)</f>
        <v>0</v>
      </c>
    </row>
    <row r="986" customFormat="false" ht="15" hidden="false" customHeight="true" outlineLevel="0" collapsed="false">
      <c r="A986" s="7" t="s">
        <v>66</v>
      </c>
      <c r="B986" s="7" t="n">
        <v>1973</v>
      </c>
      <c r="C986" s="7" t="s">
        <v>567</v>
      </c>
      <c r="D986" s="7" t="n">
        <v>71</v>
      </c>
      <c r="E986" s="7" t="n">
        <v>91</v>
      </c>
      <c r="F986" s="7" t="s">
        <v>546</v>
      </c>
      <c r="G986" s="7"/>
      <c r="H986" s="7" t="s">
        <v>546</v>
      </c>
      <c r="I986" s="7" t="s">
        <v>546</v>
      </c>
      <c r="J986" s="21" t="n">
        <f aca="false">D986/(D986+E986)</f>
        <v>0.438271604938272</v>
      </c>
      <c r="K986" s="3" t="n">
        <f aca="false">IF(D986&gt;E986,1,0)</f>
        <v>0</v>
      </c>
      <c r="L986" s="3" t="n">
        <f aca="false">IF(OR(F986="Y",G986="Y",H986="Y"),1,0)</f>
        <v>0</v>
      </c>
      <c r="M986" s="3" t="n">
        <f aca="false">IF(H986="Y",1,0)</f>
        <v>0</v>
      </c>
      <c r="N986" s="3" t="n">
        <f aca="false">IF(I986="Y",1,0)</f>
        <v>0</v>
      </c>
    </row>
    <row r="987" customFormat="false" ht="15" hidden="false" customHeight="true" outlineLevel="0" collapsed="false">
      <c r="A987" s="7" t="s">
        <v>66</v>
      </c>
      <c r="B987" s="7" t="n">
        <v>1974</v>
      </c>
      <c r="C987" s="7" t="s">
        <v>567</v>
      </c>
      <c r="D987" s="7" t="n">
        <v>77</v>
      </c>
      <c r="E987" s="7" t="n">
        <v>85</v>
      </c>
      <c r="F987" s="7" t="s">
        <v>546</v>
      </c>
      <c r="G987" s="7"/>
      <c r="H987" s="7" t="s">
        <v>546</v>
      </c>
      <c r="I987" s="7" t="s">
        <v>546</v>
      </c>
      <c r="J987" s="21" t="n">
        <f aca="false">D987/(D987+E987)</f>
        <v>0.475308641975309</v>
      </c>
      <c r="K987" s="3" t="n">
        <f aca="false">IF(D987&gt;E987,1,0)</f>
        <v>0</v>
      </c>
      <c r="L987" s="3" t="n">
        <f aca="false">IF(OR(F987="Y",G987="Y",H987="Y"),1,0)</f>
        <v>0</v>
      </c>
      <c r="M987" s="3" t="n">
        <f aca="false">IF(H987="Y",1,0)</f>
        <v>0</v>
      </c>
      <c r="N987" s="3" t="n">
        <f aca="false">IF(I987="Y",1,0)</f>
        <v>0</v>
      </c>
    </row>
    <row r="988" customFormat="false" ht="15" hidden="false" customHeight="true" outlineLevel="0" collapsed="false">
      <c r="A988" s="7" t="s">
        <v>66</v>
      </c>
      <c r="B988" s="7" t="n">
        <v>1975</v>
      </c>
      <c r="C988" s="7" t="s">
        <v>567</v>
      </c>
      <c r="D988" s="7" t="n">
        <v>79</v>
      </c>
      <c r="E988" s="7" t="n">
        <v>80</v>
      </c>
      <c r="F988" s="7" t="s">
        <v>546</v>
      </c>
      <c r="G988" s="7"/>
      <c r="H988" s="7" t="s">
        <v>546</v>
      </c>
      <c r="I988" s="7" t="s">
        <v>546</v>
      </c>
      <c r="J988" s="21" t="n">
        <f aca="false">D988/(D988+E988)</f>
        <v>0.49685534591195</v>
      </c>
      <c r="K988" s="3" t="n">
        <f aca="false">IF(D988&gt;E988,1,0)</f>
        <v>0</v>
      </c>
      <c r="L988" s="3" t="n">
        <f aca="false">IF(OR(F988="Y",G988="Y",H988="Y"),1,0)</f>
        <v>0</v>
      </c>
      <c r="M988" s="3" t="n">
        <f aca="false">IF(H988="Y",1,0)</f>
        <v>0</v>
      </c>
      <c r="N988" s="3" t="n">
        <f aca="false">IF(I988="Y",1,0)</f>
        <v>0</v>
      </c>
    </row>
    <row r="989" customFormat="false" ht="15" hidden="false" customHeight="true" outlineLevel="0" collapsed="false">
      <c r="A989" s="7" t="s">
        <v>66</v>
      </c>
      <c r="B989" s="7" t="n">
        <v>1976</v>
      </c>
      <c r="C989" s="7" t="s">
        <v>567</v>
      </c>
      <c r="D989" s="7" t="n">
        <v>81</v>
      </c>
      <c r="E989" s="7" t="n">
        <v>78</v>
      </c>
      <c r="F989" s="7" t="s">
        <v>546</v>
      </c>
      <c r="G989" s="7"/>
      <c r="H989" s="7" t="s">
        <v>546</v>
      </c>
      <c r="I989" s="7" t="s">
        <v>546</v>
      </c>
      <c r="J989" s="21" t="n">
        <f aca="false">D989/(D989+E989)</f>
        <v>0.509433962264151</v>
      </c>
      <c r="K989" s="3" t="n">
        <f aca="false">IF(D989&gt;E989,1,0)</f>
        <v>1</v>
      </c>
      <c r="L989" s="3" t="n">
        <f aca="false">IF(OR(F989="Y",G989="Y",H989="Y"),1,0)</f>
        <v>0</v>
      </c>
      <c r="M989" s="3" t="n">
        <f aca="false">IF(H989="Y",1,0)</f>
        <v>0</v>
      </c>
      <c r="N989" s="3" t="n">
        <f aca="false">IF(I989="Y",1,0)</f>
        <v>0</v>
      </c>
    </row>
    <row r="990" customFormat="false" ht="15" hidden="false" customHeight="true" outlineLevel="0" collapsed="false">
      <c r="A990" s="7" t="s">
        <v>66</v>
      </c>
      <c r="B990" s="7" t="n">
        <v>1977</v>
      </c>
      <c r="C990" s="7" t="s">
        <v>567</v>
      </c>
      <c r="D990" s="7" t="n">
        <v>71</v>
      </c>
      <c r="E990" s="7" t="n">
        <v>90</v>
      </c>
      <c r="F990" s="7" t="s">
        <v>546</v>
      </c>
      <c r="G990" s="7"/>
      <c r="H990" s="7" t="s">
        <v>546</v>
      </c>
      <c r="I990" s="7" t="s">
        <v>546</v>
      </c>
      <c r="J990" s="21" t="n">
        <f aca="false">D990/(D990+E990)</f>
        <v>0.440993788819876</v>
      </c>
      <c r="K990" s="3" t="n">
        <f aca="false">IF(D990&gt;E990,1,0)</f>
        <v>0</v>
      </c>
      <c r="L990" s="3" t="n">
        <f aca="false">IF(OR(F990="Y",G990="Y",H990="Y"),1,0)</f>
        <v>0</v>
      </c>
      <c r="M990" s="3" t="n">
        <f aca="false">IF(H990="Y",1,0)</f>
        <v>0</v>
      </c>
      <c r="N990" s="3" t="n">
        <f aca="false">IF(I990="Y",1,0)</f>
        <v>0</v>
      </c>
    </row>
    <row r="991" customFormat="false" ht="15" hidden="false" customHeight="true" outlineLevel="0" collapsed="false">
      <c r="A991" s="7" t="s">
        <v>66</v>
      </c>
      <c r="B991" s="7" t="n">
        <v>1978</v>
      </c>
      <c r="C991" s="7" t="s">
        <v>567</v>
      </c>
      <c r="D991" s="7" t="n">
        <v>69</v>
      </c>
      <c r="E991" s="7" t="n">
        <v>90</v>
      </c>
      <c r="F991" s="7" t="s">
        <v>546</v>
      </c>
      <c r="G991" s="7"/>
      <c r="H991" s="7" t="s">
        <v>546</v>
      </c>
      <c r="I991" s="7" t="s">
        <v>546</v>
      </c>
      <c r="J991" s="21" t="n">
        <f aca="false">D991/(D991+E991)</f>
        <v>0.433962264150943</v>
      </c>
      <c r="K991" s="3" t="n">
        <f aca="false">IF(D991&gt;E991,1,0)</f>
        <v>0</v>
      </c>
      <c r="L991" s="3" t="n">
        <f aca="false">IF(OR(F991="Y",G991="Y",H991="Y"),1,0)</f>
        <v>0</v>
      </c>
      <c r="M991" s="3" t="n">
        <f aca="false">IF(H991="Y",1,0)</f>
        <v>0</v>
      </c>
      <c r="N991" s="3" t="n">
        <f aca="false">IF(I991="Y",1,0)</f>
        <v>0</v>
      </c>
    </row>
    <row r="992" customFormat="false" ht="15" hidden="false" customHeight="true" outlineLevel="0" collapsed="false">
      <c r="A992" s="7" t="s">
        <v>66</v>
      </c>
      <c r="B992" s="7" t="n">
        <v>1979</v>
      </c>
      <c r="C992" s="7" t="s">
        <v>567</v>
      </c>
      <c r="D992" s="7" t="n">
        <v>81</v>
      </c>
      <c r="E992" s="7" t="n">
        <v>80</v>
      </c>
      <c r="F992" s="7" t="s">
        <v>546</v>
      </c>
      <c r="G992" s="7"/>
      <c r="H992" s="7" t="s">
        <v>546</v>
      </c>
      <c r="I992" s="7" t="s">
        <v>546</v>
      </c>
      <c r="J992" s="21" t="n">
        <f aca="false">D992/(D992+E992)</f>
        <v>0.503105590062112</v>
      </c>
      <c r="K992" s="3" t="n">
        <f aca="false">IF(D992&gt;E992,1,0)</f>
        <v>1</v>
      </c>
      <c r="L992" s="3" t="n">
        <f aca="false">IF(OR(F992="Y",G992="Y",H992="Y"),1,0)</f>
        <v>0</v>
      </c>
      <c r="M992" s="3" t="n">
        <f aca="false">IF(H992="Y",1,0)</f>
        <v>0</v>
      </c>
      <c r="N992" s="3" t="n">
        <f aca="false">IF(I992="Y",1,0)</f>
        <v>0</v>
      </c>
    </row>
    <row r="993" customFormat="false" ht="15" hidden="false" customHeight="true" outlineLevel="0" collapsed="false">
      <c r="A993" s="7" t="s">
        <v>66</v>
      </c>
      <c r="B993" s="7" t="n">
        <v>1980</v>
      </c>
      <c r="C993" s="7" t="s">
        <v>567</v>
      </c>
      <c r="D993" s="7" t="n">
        <v>79</v>
      </c>
      <c r="E993" s="7" t="n">
        <v>81</v>
      </c>
      <c r="F993" s="7" t="s">
        <v>546</v>
      </c>
      <c r="G993" s="7"/>
      <c r="H993" s="7" t="s">
        <v>546</v>
      </c>
      <c r="I993" s="7" t="s">
        <v>546</v>
      </c>
      <c r="J993" s="21" t="n">
        <f aca="false">D993/(D993+E993)</f>
        <v>0.49375</v>
      </c>
      <c r="K993" s="3" t="n">
        <f aca="false">IF(D993&gt;E993,1,0)</f>
        <v>0</v>
      </c>
      <c r="L993" s="3" t="n">
        <f aca="false">IF(OR(F993="Y",G993="Y",H993="Y"),1,0)</f>
        <v>0</v>
      </c>
      <c r="M993" s="3" t="n">
        <f aca="false">IF(H993="Y",1,0)</f>
        <v>0</v>
      </c>
      <c r="N993" s="3" t="n">
        <f aca="false">IF(I993="Y",1,0)</f>
        <v>0</v>
      </c>
    </row>
    <row r="994" customFormat="false" ht="15" hidden="false" customHeight="true" outlineLevel="0" collapsed="false">
      <c r="A994" s="7" t="s">
        <v>66</v>
      </c>
      <c r="B994" s="7" t="n">
        <v>1981</v>
      </c>
      <c r="C994" s="7" t="s">
        <v>567</v>
      </c>
      <c r="D994" s="7" t="n">
        <v>52</v>
      </c>
      <c r="E994" s="7" t="n">
        <v>51</v>
      </c>
      <c r="F994" s="7" t="s">
        <v>546</v>
      </c>
      <c r="G994" s="7"/>
      <c r="H994" s="7" t="s">
        <v>546</v>
      </c>
      <c r="I994" s="7" t="s">
        <v>546</v>
      </c>
      <c r="J994" s="21" t="n">
        <f aca="false">D994/(D994+E994)</f>
        <v>0.504854368932039</v>
      </c>
      <c r="K994" s="3" t="n">
        <f aca="false">IF(D994&gt;E994,1,0)</f>
        <v>1</v>
      </c>
      <c r="L994" s="3" t="n">
        <f aca="false">IF(OR(F994="Y",G994="Y",H994="Y"),1,0)</f>
        <v>0</v>
      </c>
      <c r="M994" s="3" t="n">
        <f aca="false">IF(H994="Y",1,0)</f>
        <v>0</v>
      </c>
      <c r="N994" s="3" t="n">
        <f aca="false">IF(I994="Y",1,0)</f>
        <v>0</v>
      </c>
    </row>
    <row r="995" customFormat="false" ht="15" hidden="false" customHeight="true" outlineLevel="0" collapsed="false">
      <c r="A995" s="7" t="s">
        <v>66</v>
      </c>
      <c r="B995" s="7" t="n">
        <v>1982</v>
      </c>
      <c r="C995" s="7" t="s">
        <v>567</v>
      </c>
      <c r="D995" s="7" t="n">
        <v>78</v>
      </c>
      <c r="E995" s="7" t="n">
        <v>84</v>
      </c>
      <c r="F995" s="7" t="s">
        <v>546</v>
      </c>
      <c r="G995" s="7"/>
      <c r="H995" s="7" t="s">
        <v>546</v>
      </c>
      <c r="I995" s="7" t="s">
        <v>546</v>
      </c>
      <c r="J995" s="21" t="n">
        <f aca="false">D995/(D995+E995)</f>
        <v>0.481481481481481</v>
      </c>
      <c r="K995" s="3" t="n">
        <f aca="false">IF(D995&gt;E995,1,0)</f>
        <v>0</v>
      </c>
      <c r="L995" s="3" t="n">
        <f aca="false">IF(OR(F995="Y",G995="Y",H995="Y"),1,0)</f>
        <v>0</v>
      </c>
      <c r="M995" s="3" t="n">
        <f aca="false">IF(H995="Y",1,0)</f>
        <v>0</v>
      </c>
      <c r="N995" s="3" t="n">
        <f aca="false">IF(I995="Y",1,0)</f>
        <v>0</v>
      </c>
    </row>
    <row r="996" customFormat="false" ht="15" hidden="false" customHeight="true" outlineLevel="0" collapsed="false">
      <c r="A996" s="7" t="s">
        <v>66</v>
      </c>
      <c r="B996" s="7" t="n">
        <v>1983</v>
      </c>
      <c r="C996" s="7" t="s">
        <v>567</v>
      </c>
      <c r="D996" s="7" t="n">
        <v>70</v>
      </c>
      <c r="E996" s="7" t="n">
        <v>92</v>
      </c>
      <c r="F996" s="7" t="s">
        <v>546</v>
      </c>
      <c r="G996" s="7"/>
      <c r="H996" s="7" t="s">
        <v>546</v>
      </c>
      <c r="I996" s="7" t="s">
        <v>546</v>
      </c>
      <c r="J996" s="21" t="n">
        <f aca="false">D996/(D996+E996)</f>
        <v>0.432098765432099</v>
      </c>
      <c r="K996" s="3" t="n">
        <f aca="false">IF(D996&gt;E996,1,0)</f>
        <v>0</v>
      </c>
      <c r="L996" s="3" t="n">
        <f aca="false">IF(OR(F996="Y",G996="Y",H996="Y"),1,0)</f>
        <v>0</v>
      </c>
      <c r="M996" s="3" t="n">
        <f aca="false">IF(H996="Y",1,0)</f>
        <v>0</v>
      </c>
      <c r="N996" s="3" t="n">
        <f aca="false">IF(I996="Y",1,0)</f>
        <v>0</v>
      </c>
    </row>
    <row r="997" customFormat="false" ht="15" hidden="false" customHeight="true" outlineLevel="0" collapsed="false">
      <c r="A997" s="7" t="s">
        <v>66</v>
      </c>
      <c r="B997" s="7" t="n">
        <v>1984</v>
      </c>
      <c r="C997" s="7" t="s">
        <v>567</v>
      </c>
      <c r="D997" s="7" t="n">
        <v>75</v>
      </c>
      <c r="E997" s="7" t="n">
        <v>87</v>
      </c>
      <c r="F997" s="7" t="s">
        <v>546</v>
      </c>
      <c r="G997" s="7"/>
      <c r="H997" s="7" t="s">
        <v>546</v>
      </c>
      <c r="I997" s="7" t="s">
        <v>546</v>
      </c>
      <c r="J997" s="21" t="n">
        <f aca="false">D997/(D997+E997)</f>
        <v>0.462962962962963</v>
      </c>
      <c r="K997" s="3" t="n">
        <f aca="false">IF(D997&gt;E997,1,0)</f>
        <v>0</v>
      </c>
      <c r="L997" s="3" t="n">
        <f aca="false">IF(OR(F997="Y",G997="Y",H997="Y"),1,0)</f>
        <v>0</v>
      </c>
      <c r="M997" s="3" t="n">
        <f aca="false">IF(H997="Y",1,0)</f>
        <v>0</v>
      </c>
      <c r="N997" s="3" t="n">
        <f aca="false">IF(I997="Y",1,0)</f>
        <v>0</v>
      </c>
    </row>
    <row r="998" customFormat="false" ht="15" hidden="false" customHeight="true" outlineLevel="0" collapsed="false">
      <c r="A998" s="7" t="s">
        <v>66</v>
      </c>
      <c r="B998" s="7" t="n">
        <v>1985</v>
      </c>
      <c r="C998" s="7" t="s">
        <v>567</v>
      </c>
      <c r="D998" s="7" t="n">
        <v>60</v>
      </c>
      <c r="E998" s="7" t="n">
        <v>102</v>
      </c>
      <c r="F998" s="7" t="s">
        <v>546</v>
      </c>
      <c r="G998" s="7"/>
      <c r="H998" s="7" t="s">
        <v>546</v>
      </c>
      <c r="I998" s="7" t="s">
        <v>546</v>
      </c>
      <c r="J998" s="21" t="n">
        <f aca="false">D998/(D998+E998)</f>
        <v>0.37037037037037</v>
      </c>
      <c r="K998" s="3" t="n">
        <f aca="false">IF(D998&gt;E998,1,0)</f>
        <v>0</v>
      </c>
      <c r="L998" s="3" t="n">
        <f aca="false">IF(OR(F998="Y",G998="Y",H998="Y"),1,0)</f>
        <v>0</v>
      </c>
      <c r="M998" s="3" t="n">
        <f aca="false">IF(H998="Y",1,0)</f>
        <v>0</v>
      </c>
      <c r="N998" s="3" t="n">
        <f aca="false">IF(I998="Y",1,0)</f>
        <v>0</v>
      </c>
    </row>
    <row r="999" customFormat="false" ht="15" hidden="false" customHeight="true" outlineLevel="0" collapsed="false">
      <c r="A999" s="7" t="s">
        <v>66</v>
      </c>
      <c r="B999" s="7" t="n">
        <v>1986</v>
      </c>
      <c r="C999" s="7" t="s">
        <v>567</v>
      </c>
      <c r="D999" s="7" t="n">
        <v>84</v>
      </c>
      <c r="E999" s="7" t="n">
        <v>78</v>
      </c>
      <c r="F999" s="7" t="s">
        <v>546</v>
      </c>
      <c r="G999" s="7"/>
      <c r="H999" s="7" t="s">
        <v>546</v>
      </c>
      <c r="I999" s="7" t="s">
        <v>546</v>
      </c>
      <c r="J999" s="21" t="n">
        <f aca="false">D999/(D999+E999)</f>
        <v>0.518518518518519</v>
      </c>
      <c r="K999" s="3" t="n">
        <f aca="false">IF(D999&gt;E999,1,0)</f>
        <v>1</v>
      </c>
      <c r="L999" s="3" t="n">
        <f aca="false">IF(OR(F999="Y",G999="Y",H999="Y"),1,0)</f>
        <v>0</v>
      </c>
      <c r="M999" s="3" t="n">
        <f aca="false">IF(H999="Y",1,0)</f>
        <v>0</v>
      </c>
      <c r="N999" s="3" t="n">
        <f aca="false">IF(I999="Y",1,0)</f>
        <v>0</v>
      </c>
    </row>
    <row r="1000" customFormat="false" ht="15" hidden="false" customHeight="true" outlineLevel="0" collapsed="false">
      <c r="A1000" s="7" t="s">
        <v>66</v>
      </c>
      <c r="B1000" s="7" t="n">
        <v>1987</v>
      </c>
      <c r="C1000" s="7" t="s">
        <v>567</v>
      </c>
      <c r="D1000" s="7" t="n">
        <v>61</v>
      </c>
      <c r="E1000" s="7" t="n">
        <v>101</v>
      </c>
      <c r="F1000" s="7" t="s">
        <v>546</v>
      </c>
      <c r="G1000" s="7"/>
      <c r="H1000" s="7" t="s">
        <v>546</v>
      </c>
      <c r="I1000" s="7" t="s">
        <v>546</v>
      </c>
      <c r="J1000" s="21" t="n">
        <f aca="false">D1000/(D1000+E1000)</f>
        <v>0.376543209876543</v>
      </c>
      <c r="K1000" s="3" t="n">
        <f aca="false">IF(D1000&gt;E1000,1,0)</f>
        <v>0</v>
      </c>
      <c r="L1000" s="3" t="n">
        <f aca="false">IF(OR(F1000="Y",G1000="Y",H1000="Y"),1,0)</f>
        <v>0</v>
      </c>
      <c r="M1000" s="3" t="n">
        <f aca="false">IF(H1000="Y",1,0)</f>
        <v>0</v>
      </c>
      <c r="N1000" s="3" t="n">
        <f aca="false">IF(I1000="Y",1,0)</f>
        <v>0</v>
      </c>
    </row>
    <row r="1001" customFormat="false" ht="15" hidden="false" customHeight="true" outlineLevel="0" collapsed="false">
      <c r="A1001" s="7" t="s">
        <v>66</v>
      </c>
      <c r="B1001" s="7" t="n">
        <v>1988</v>
      </c>
      <c r="C1001" s="7" t="s">
        <v>567</v>
      </c>
      <c r="D1001" s="7" t="n">
        <v>78</v>
      </c>
      <c r="E1001" s="7" t="n">
        <v>84</v>
      </c>
      <c r="F1001" s="7" t="s">
        <v>546</v>
      </c>
      <c r="G1001" s="7"/>
      <c r="H1001" s="7" t="s">
        <v>546</v>
      </c>
      <c r="I1001" s="7" t="s">
        <v>546</v>
      </c>
      <c r="J1001" s="21" t="n">
        <f aca="false">D1001/(D1001+E1001)</f>
        <v>0.481481481481481</v>
      </c>
      <c r="K1001" s="3" t="n">
        <f aca="false">IF(D1001&gt;E1001,1,0)</f>
        <v>0</v>
      </c>
      <c r="L1001" s="3" t="n">
        <f aca="false">IF(OR(F1001="Y",G1001="Y",H1001="Y"),1,0)</f>
        <v>0</v>
      </c>
      <c r="M1001" s="3" t="n">
        <f aca="false">IF(H1001="Y",1,0)</f>
        <v>0</v>
      </c>
      <c r="N1001" s="3" t="n">
        <f aca="false">IF(I1001="Y",1,0)</f>
        <v>0</v>
      </c>
    </row>
    <row r="1002" customFormat="false" ht="15" hidden="false" customHeight="true" outlineLevel="0" collapsed="false">
      <c r="A1002" s="7" t="s">
        <v>66</v>
      </c>
      <c r="B1002" s="7" t="n">
        <v>1989</v>
      </c>
      <c r="C1002" s="7" t="s">
        <v>567</v>
      </c>
      <c r="D1002" s="7" t="n">
        <v>73</v>
      </c>
      <c r="E1002" s="7" t="n">
        <v>89</v>
      </c>
      <c r="F1002" s="7" t="s">
        <v>546</v>
      </c>
      <c r="G1002" s="7"/>
      <c r="H1002" s="7" t="s">
        <v>546</v>
      </c>
      <c r="I1002" s="7" t="s">
        <v>546</v>
      </c>
      <c r="J1002" s="21" t="n">
        <f aca="false">D1002/(D1002+E1002)</f>
        <v>0.450617283950617</v>
      </c>
      <c r="K1002" s="3" t="n">
        <f aca="false">IF(D1002&gt;E1002,1,0)</f>
        <v>0</v>
      </c>
      <c r="L1002" s="3" t="n">
        <f aca="false">IF(OR(F1002="Y",G1002="Y",H1002="Y"),1,0)</f>
        <v>0</v>
      </c>
      <c r="M1002" s="3" t="n">
        <f aca="false">IF(H1002="Y",1,0)</f>
        <v>0</v>
      </c>
      <c r="N1002" s="3" t="n">
        <f aca="false">IF(I1002="Y",1,0)</f>
        <v>0</v>
      </c>
    </row>
    <row r="1003" customFormat="false" ht="15" hidden="false" customHeight="true" outlineLevel="0" collapsed="false">
      <c r="A1003" s="7" t="s">
        <v>66</v>
      </c>
      <c r="B1003" s="7" t="n">
        <v>1990</v>
      </c>
      <c r="C1003" s="7" t="s">
        <v>567</v>
      </c>
      <c r="D1003" s="7" t="n">
        <v>77</v>
      </c>
      <c r="E1003" s="7" t="n">
        <v>85</v>
      </c>
      <c r="F1003" s="7" t="s">
        <v>546</v>
      </c>
      <c r="G1003" s="7"/>
      <c r="H1003" s="7" t="s">
        <v>546</v>
      </c>
      <c r="I1003" s="7" t="s">
        <v>546</v>
      </c>
      <c r="J1003" s="21" t="n">
        <f aca="false">D1003/(D1003+E1003)</f>
        <v>0.475308641975309</v>
      </c>
      <c r="K1003" s="3" t="n">
        <f aca="false">IF(D1003&gt;E1003,1,0)</f>
        <v>0</v>
      </c>
      <c r="L1003" s="3" t="n">
        <f aca="false">IF(OR(F1003="Y",G1003="Y",H1003="Y"),1,0)</f>
        <v>0</v>
      </c>
      <c r="M1003" s="3" t="n">
        <f aca="false">IF(H1003="Y",1,0)</f>
        <v>0</v>
      </c>
      <c r="N1003" s="3" t="n">
        <f aca="false">IF(I1003="Y",1,0)</f>
        <v>0</v>
      </c>
    </row>
    <row r="1004" customFormat="false" ht="15" hidden="false" customHeight="true" outlineLevel="0" collapsed="false">
      <c r="A1004" s="7" t="s">
        <v>66</v>
      </c>
      <c r="B1004" s="7" t="n">
        <v>1991</v>
      </c>
      <c r="C1004" s="7" t="s">
        <v>567</v>
      </c>
      <c r="D1004" s="7" t="n">
        <v>57</v>
      </c>
      <c r="E1004" s="7" t="n">
        <v>105</v>
      </c>
      <c r="F1004" s="7" t="s">
        <v>546</v>
      </c>
      <c r="G1004" s="7"/>
      <c r="H1004" s="7" t="s">
        <v>546</v>
      </c>
      <c r="I1004" s="7" t="s">
        <v>546</v>
      </c>
      <c r="J1004" s="21" t="n">
        <f aca="false">D1004/(D1004+E1004)</f>
        <v>0.351851851851852</v>
      </c>
      <c r="K1004" s="3" t="n">
        <f aca="false">IF(D1004&gt;E1004,1,0)</f>
        <v>0</v>
      </c>
      <c r="L1004" s="3" t="n">
        <f aca="false">IF(OR(F1004="Y",G1004="Y",H1004="Y"),1,0)</f>
        <v>0</v>
      </c>
      <c r="M1004" s="3" t="n">
        <f aca="false">IF(H1004="Y",1,0)</f>
        <v>0</v>
      </c>
      <c r="N1004" s="3" t="n">
        <f aca="false">IF(I1004="Y",1,0)</f>
        <v>0</v>
      </c>
    </row>
    <row r="1005" customFormat="false" ht="15" hidden="false" customHeight="true" outlineLevel="0" collapsed="false">
      <c r="A1005" s="7" t="s">
        <v>66</v>
      </c>
      <c r="B1005" s="7" t="n">
        <v>1992</v>
      </c>
      <c r="C1005" s="7" t="s">
        <v>567</v>
      </c>
      <c r="D1005" s="7" t="n">
        <v>76</v>
      </c>
      <c r="E1005" s="7" t="n">
        <v>86</v>
      </c>
      <c r="F1005" s="7" t="s">
        <v>546</v>
      </c>
      <c r="G1005" s="7"/>
      <c r="H1005" s="7" t="s">
        <v>546</v>
      </c>
      <c r="I1005" s="7" t="s">
        <v>546</v>
      </c>
      <c r="J1005" s="21" t="n">
        <f aca="false">D1005/(D1005+E1005)</f>
        <v>0.469135802469136</v>
      </c>
      <c r="K1005" s="3" t="n">
        <f aca="false">IF(D1005&gt;E1005,1,0)</f>
        <v>0</v>
      </c>
      <c r="L1005" s="3" t="n">
        <f aca="false">IF(OR(F1005="Y",G1005="Y",H1005="Y"),1,0)</f>
        <v>0</v>
      </c>
      <c r="M1005" s="3" t="n">
        <f aca="false">IF(H1005="Y",1,0)</f>
        <v>0</v>
      </c>
      <c r="N1005" s="3" t="n">
        <f aca="false">IF(I1005="Y",1,0)</f>
        <v>0</v>
      </c>
    </row>
    <row r="1006" customFormat="false" ht="15" hidden="false" customHeight="true" outlineLevel="0" collapsed="false">
      <c r="A1006" s="7" t="s">
        <v>66</v>
      </c>
      <c r="B1006" s="7" t="n">
        <v>1993</v>
      </c>
      <c r="C1006" s="7" t="s">
        <v>567</v>
      </c>
      <c r="D1006" s="7" t="n">
        <v>76</v>
      </c>
      <c r="E1006" s="7" t="n">
        <v>86</v>
      </c>
      <c r="F1006" s="7" t="s">
        <v>546</v>
      </c>
      <c r="G1006" s="7"/>
      <c r="H1006" s="7" t="s">
        <v>546</v>
      </c>
      <c r="I1006" s="7" t="s">
        <v>546</v>
      </c>
      <c r="J1006" s="21" t="n">
        <f aca="false">D1006/(D1006+E1006)</f>
        <v>0.469135802469136</v>
      </c>
      <c r="K1006" s="3" t="n">
        <f aca="false">IF(D1006&gt;E1006,1,0)</f>
        <v>0</v>
      </c>
      <c r="L1006" s="3" t="n">
        <f aca="false">IF(OR(F1006="Y",G1006="Y",H1006="Y"),1,0)</f>
        <v>0</v>
      </c>
      <c r="M1006" s="3" t="n">
        <f aca="false">IF(H1006="Y",1,0)</f>
        <v>0</v>
      </c>
      <c r="N1006" s="3" t="n">
        <f aca="false">IF(I1006="Y",1,0)</f>
        <v>0</v>
      </c>
    </row>
    <row r="1007" customFormat="false" ht="15" hidden="false" customHeight="true" outlineLevel="0" collapsed="false">
      <c r="A1007" s="7" t="s">
        <v>66</v>
      </c>
      <c r="B1007" s="7" t="n">
        <v>1994</v>
      </c>
      <c r="C1007" s="7" t="s">
        <v>567</v>
      </c>
      <c r="D1007" s="7" t="n">
        <v>66</v>
      </c>
      <c r="E1007" s="7" t="n">
        <v>47</v>
      </c>
      <c r="F1007" s="7"/>
      <c r="G1007" s="7"/>
      <c r="H1007" s="7"/>
      <c r="I1007" s="7"/>
      <c r="J1007" s="21" t="n">
        <f aca="false">D1007/(D1007+E1007)</f>
        <v>0.584070796460177</v>
      </c>
      <c r="K1007" s="3" t="n">
        <f aca="false">IF(D1007&gt;E1007,1,0)</f>
        <v>1</v>
      </c>
      <c r="L1007" s="3" t="n">
        <f aca="false">IF(OR(F1007="Y",G1007="Y",H1007="Y"),1,0)</f>
        <v>0</v>
      </c>
      <c r="M1007" s="3" t="n">
        <f aca="false">IF(H1007="Y",1,0)</f>
        <v>0</v>
      </c>
      <c r="N1007" s="3" t="n">
        <f aca="false">IF(I1007="Y",1,0)</f>
        <v>0</v>
      </c>
    </row>
    <row r="1008" customFormat="false" ht="15" hidden="false" customHeight="true" outlineLevel="0" collapsed="false">
      <c r="A1008" s="7" t="s">
        <v>66</v>
      </c>
      <c r="B1008" s="7" t="n">
        <v>1995</v>
      </c>
      <c r="C1008" s="7" t="s">
        <v>567</v>
      </c>
      <c r="D1008" s="7" t="n">
        <v>100</v>
      </c>
      <c r="E1008" s="7" t="n">
        <v>44</v>
      </c>
      <c r="F1008" s="7" t="s">
        <v>548</v>
      </c>
      <c r="G1008" s="7" t="s">
        <v>546</v>
      </c>
      <c r="H1008" s="7" t="s">
        <v>548</v>
      </c>
      <c r="I1008" s="7" t="s">
        <v>546</v>
      </c>
      <c r="J1008" s="21" t="n">
        <f aca="false">D1008/(D1008+E1008)</f>
        <v>0.694444444444444</v>
      </c>
      <c r="K1008" s="3" t="n">
        <f aca="false">IF(D1008&gt;E1008,1,0)</f>
        <v>1</v>
      </c>
      <c r="L1008" s="3" t="n">
        <f aca="false">IF(OR(F1008="Y",G1008="Y",H1008="Y"),1,0)</f>
        <v>1</v>
      </c>
      <c r="M1008" s="3" t="n">
        <f aca="false">IF(H1008="Y",1,0)</f>
        <v>1</v>
      </c>
      <c r="N1008" s="3" t="n">
        <f aca="false">IF(I1008="Y",1,0)</f>
        <v>0</v>
      </c>
    </row>
    <row r="1009" customFormat="false" ht="15" hidden="false" customHeight="true" outlineLevel="0" collapsed="false">
      <c r="A1009" s="7" t="s">
        <v>66</v>
      </c>
      <c r="B1009" s="7" t="n">
        <v>1996</v>
      </c>
      <c r="C1009" s="7" t="s">
        <v>567</v>
      </c>
      <c r="D1009" s="7" t="n">
        <v>99</v>
      </c>
      <c r="E1009" s="7" t="n">
        <v>62</v>
      </c>
      <c r="F1009" s="7" t="s">
        <v>548</v>
      </c>
      <c r="G1009" s="7" t="s">
        <v>546</v>
      </c>
      <c r="H1009" s="7" t="s">
        <v>546</v>
      </c>
      <c r="I1009" s="7" t="s">
        <v>546</v>
      </c>
      <c r="J1009" s="21" t="n">
        <f aca="false">D1009/(D1009+E1009)</f>
        <v>0.614906832298137</v>
      </c>
      <c r="K1009" s="3" t="n">
        <f aca="false">IF(D1009&gt;E1009,1,0)</f>
        <v>1</v>
      </c>
      <c r="L1009" s="3" t="n">
        <f aca="false">IF(OR(F1009="Y",G1009="Y",H1009="Y"),1,0)</f>
        <v>1</v>
      </c>
      <c r="M1009" s="3" t="n">
        <f aca="false">IF(H1009="Y",1,0)</f>
        <v>0</v>
      </c>
      <c r="N1009" s="3" t="n">
        <f aca="false">IF(I1009="Y",1,0)</f>
        <v>0</v>
      </c>
    </row>
    <row r="1010" customFormat="false" ht="15" hidden="false" customHeight="true" outlineLevel="0" collapsed="false">
      <c r="A1010" s="7" t="s">
        <v>66</v>
      </c>
      <c r="B1010" s="7" t="n">
        <v>1997</v>
      </c>
      <c r="C1010" s="7" t="s">
        <v>567</v>
      </c>
      <c r="D1010" s="7" t="n">
        <v>86</v>
      </c>
      <c r="E1010" s="7" t="n">
        <v>75</v>
      </c>
      <c r="F1010" s="7" t="s">
        <v>548</v>
      </c>
      <c r="G1010" s="7" t="s">
        <v>546</v>
      </c>
      <c r="H1010" s="7" t="s">
        <v>548</v>
      </c>
      <c r="I1010" s="7" t="s">
        <v>546</v>
      </c>
      <c r="J1010" s="21" t="n">
        <f aca="false">D1010/(D1010+E1010)</f>
        <v>0.53416149068323</v>
      </c>
      <c r="K1010" s="3" t="n">
        <f aca="false">IF(D1010&gt;E1010,1,0)</f>
        <v>1</v>
      </c>
      <c r="L1010" s="3" t="n">
        <f aca="false">IF(OR(F1010="Y",G1010="Y",H1010="Y"),1,0)</f>
        <v>1</v>
      </c>
      <c r="M1010" s="3" t="n">
        <f aca="false">IF(H1010="Y",1,0)</f>
        <v>1</v>
      </c>
      <c r="N1010" s="3" t="n">
        <f aca="false">IF(I1010="Y",1,0)</f>
        <v>0</v>
      </c>
    </row>
    <row r="1011" customFormat="false" ht="15" hidden="false" customHeight="true" outlineLevel="0" collapsed="false">
      <c r="A1011" s="7" t="s">
        <v>66</v>
      </c>
      <c r="B1011" s="7" t="n">
        <v>1998</v>
      </c>
      <c r="C1011" s="7" t="s">
        <v>567</v>
      </c>
      <c r="D1011" s="7" t="n">
        <v>89</v>
      </c>
      <c r="E1011" s="7" t="n">
        <v>73</v>
      </c>
      <c r="F1011" s="7" t="s">
        <v>548</v>
      </c>
      <c r="G1011" s="7" t="s">
        <v>546</v>
      </c>
      <c r="H1011" s="7" t="s">
        <v>546</v>
      </c>
      <c r="I1011" s="7" t="s">
        <v>546</v>
      </c>
      <c r="J1011" s="21" t="n">
        <f aca="false">D1011/(D1011+E1011)</f>
        <v>0.549382716049383</v>
      </c>
      <c r="K1011" s="3" t="n">
        <f aca="false">IF(D1011&gt;E1011,1,0)</f>
        <v>1</v>
      </c>
      <c r="L1011" s="3" t="n">
        <f aca="false">IF(OR(F1011="Y",G1011="Y",H1011="Y"),1,0)</f>
        <v>1</v>
      </c>
      <c r="M1011" s="3" t="n">
        <f aca="false">IF(H1011="Y",1,0)</f>
        <v>0</v>
      </c>
      <c r="N1011" s="3" t="n">
        <f aca="false">IF(I1011="Y",1,0)</f>
        <v>0</v>
      </c>
    </row>
    <row r="1012" customFormat="false" ht="15" hidden="false" customHeight="true" outlineLevel="0" collapsed="false">
      <c r="A1012" s="7" t="s">
        <v>66</v>
      </c>
      <c r="B1012" s="7" t="n">
        <v>1999</v>
      </c>
      <c r="C1012" s="7" t="s">
        <v>567</v>
      </c>
      <c r="D1012" s="7" t="n">
        <v>97</v>
      </c>
      <c r="E1012" s="7" t="n">
        <v>65</v>
      </c>
      <c r="F1012" s="7" t="s">
        <v>548</v>
      </c>
      <c r="G1012" s="7" t="s">
        <v>546</v>
      </c>
      <c r="H1012" s="7" t="s">
        <v>546</v>
      </c>
      <c r="I1012" s="7" t="s">
        <v>546</v>
      </c>
      <c r="J1012" s="21" t="n">
        <f aca="false">D1012/(D1012+E1012)</f>
        <v>0.598765432098765</v>
      </c>
      <c r="K1012" s="3" t="n">
        <f aca="false">IF(D1012&gt;E1012,1,0)</f>
        <v>1</v>
      </c>
      <c r="L1012" s="3" t="n">
        <f aca="false">IF(OR(F1012="Y",G1012="Y",H1012="Y"),1,0)</f>
        <v>1</v>
      </c>
      <c r="M1012" s="3" t="n">
        <f aca="false">IF(H1012="Y",1,0)</f>
        <v>0</v>
      </c>
      <c r="N1012" s="3" t="n">
        <f aca="false">IF(I1012="Y",1,0)</f>
        <v>0</v>
      </c>
    </row>
    <row r="1013" customFormat="false" ht="15" hidden="false" customHeight="true" outlineLevel="0" collapsed="false">
      <c r="A1013" s="7" t="s">
        <v>66</v>
      </c>
      <c r="B1013" s="7" t="n">
        <v>2000</v>
      </c>
      <c r="C1013" s="7" t="s">
        <v>567</v>
      </c>
      <c r="D1013" s="7" t="n">
        <v>90</v>
      </c>
      <c r="E1013" s="7" t="n">
        <v>72</v>
      </c>
      <c r="F1013" s="7" t="s">
        <v>546</v>
      </c>
      <c r="G1013" s="7" t="s">
        <v>546</v>
      </c>
      <c r="H1013" s="7" t="s">
        <v>546</v>
      </c>
      <c r="I1013" s="7" t="s">
        <v>546</v>
      </c>
      <c r="J1013" s="21" t="n">
        <f aca="false">D1013/(D1013+E1013)</f>
        <v>0.555555555555556</v>
      </c>
      <c r="K1013" s="3" t="n">
        <f aca="false">IF(D1013&gt;E1013,1,0)</f>
        <v>1</v>
      </c>
      <c r="L1013" s="3" t="n">
        <f aca="false">IF(OR(F1013="Y",G1013="Y",H1013="Y"),1,0)</f>
        <v>0</v>
      </c>
      <c r="M1013" s="3" t="n">
        <f aca="false">IF(H1013="Y",1,0)</f>
        <v>0</v>
      </c>
      <c r="N1013" s="3" t="n">
        <f aca="false">IF(I1013="Y",1,0)</f>
        <v>0</v>
      </c>
    </row>
    <row r="1014" customFormat="false" ht="15" hidden="false" customHeight="true" outlineLevel="0" collapsed="false">
      <c r="A1014" s="7" t="s">
        <v>66</v>
      </c>
      <c r="B1014" s="7" t="n">
        <v>2001</v>
      </c>
      <c r="C1014" s="7" t="s">
        <v>567</v>
      </c>
      <c r="D1014" s="7" t="n">
        <v>91</v>
      </c>
      <c r="E1014" s="7" t="n">
        <v>71</v>
      </c>
      <c r="F1014" s="7" t="s">
        <v>548</v>
      </c>
      <c r="G1014" s="7" t="s">
        <v>546</v>
      </c>
      <c r="H1014" s="7" t="s">
        <v>546</v>
      </c>
      <c r="I1014" s="7" t="s">
        <v>546</v>
      </c>
      <c r="J1014" s="21" t="n">
        <f aca="false">D1014/(D1014+E1014)</f>
        <v>0.561728395061728</v>
      </c>
      <c r="K1014" s="3" t="n">
        <f aca="false">IF(D1014&gt;E1014,1,0)</f>
        <v>1</v>
      </c>
      <c r="L1014" s="3" t="n">
        <f aca="false">IF(OR(F1014="Y",G1014="Y",H1014="Y"),1,0)</f>
        <v>1</v>
      </c>
      <c r="M1014" s="3" t="n">
        <f aca="false">IF(H1014="Y",1,0)</f>
        <v>0</v>
      </c>
      <c r="N1014" s="3" t="n">
        <f aca="false">IF(I1014="Y",1,0)</f>
        <v>0</v>
      </c>
    </row>
    <row r="1015" customFormat="false" ht="15" hidden="false" customHeight="true" outlineLevel="0" collapsed="false">
      <c r="A1015" s="7" t="s">
        <v>66</v>
      </c>
      <c r="B1015" s="7" t="n">
        <v>2002</v>
      </c>
      <c r="C1015" s="7" t="s">
        <v>567</v>
      </c>
      <c r="D1015" s="7" t="n">
        <v>74</v>
      </c>
      <c r="E1015" s="7" t="n">
        <v>88</v>
      </c>
      <c r="F1015" s="7" t="s">
        <v>546</v>
      </c>
      <c r="G1015" s="7" t="s">
        <v>546</v>
      </c>
      <c r="H1015" s="7" t="s">
        <v>546</v>
      </c>
      <c r="I1015" s="7" t="s">
        <v>546</v>
      </c>
      <c r="J1015" s="21" t="n">
        <f aca="false">D1015/(D1015+E1015)</f>
        <v>0.45679012345679</v>
      </c>
      <c r="K1015" s="3" t="n">
        <f aca="false">IF(D1015&gt;E1015,1,0)</f>
        <v>0</v>
      </c>
      <c r="L1015" s="3" t="n">
        <f aca="false">IF(OR(F1015="Y",G1015="Y",H1015="Y"),1,0)</f>
        <v>0</v>
      </c>
      <c r="M1015" s="3" t="n">
        <f aca="false">IF(H1015="Y",1,0)</f>
        <v>0</v>
      </c>
      <c r="N1015" s="3" t="n">
        <f aca="false">IF(I1015="Y",1,0)</f>
        <v>0</v>
      </c>
    </row>
    <row r="1016" customFormat="false" ht="15" hidden="false" customHeight="true" outlineLevel="0" collapsed="false">
      <c r="A1016" s="7" t="s">
        <v>66</v>
      </c>
      <c r="B1016" s="7" t="n">
        <v>2003</v>
      </c>
      <c r="C1016" s="7" t="s">
        <v>567</v>
      </c>
      <c r="D1016" s="7" t="n">
        <v>68</v>
      </c>
      <c r="E1016" s="7" t="n">
        <v>94</v>
      </c>
      <c r="F1016" s="7" t="s">
        <v>546</v>
      </c>
      <c r="G1016" s="7" t="s">
        <v>546</v>
      </c>
      <c r="H1016" s="7" t="s">
        <v>546</v>
      </c>
      <c r="I1016" s="7" t="s">
        <v>546</v>
      </c>
      <c r="J1016" s="21" t="n">
        <f aca="false">D1016/(D1016+E1016)</f>
        <v>0.419753086419753</v>
      </c>
      <c r="K1016" s="3" t="n">
        <f aca="false">IF(D1016&gt;E1016,1,0)</f>
        <v>0</v>
      </c>
      <c r="L1016" s="3" t="n">
        <f aca="false">IF(OR(F1016="Y",G1016="Y",H1016="Y"),1,0)</f>
        <v>0</v>
      </c>
      <c r="M1016" s="3" t="n">
        <f aca="false">IF(H1016="Y",1,0)</f>
        <v>0</v>
      </c>
      <c r="N1016" s="3" t="n">
        <f aca="false">IF(I1016="Y",1,0)</f>
        <v>0</v>
      </c>
    </row>
    <row r="1017" customFormat="false" ht="15" hidden="false" customHeight="true" outlineLevel="0" collapsed="false">
      <c r="A1017" s="7" t="s">
        <v>66</v>
      </c>
      <c r="B1017" s="7" t="n">
        <v>2004</v>
      </c>
      <c r="C1017" s="7" t="s">
        <v>567</v>
      </c>
      <c r="D1017" s="7" t="n">
        <v>80</v>
      </c>
      <c r="E1017" s="7" t="n">
        <v>82</v>
      </c>
      <c r="F1017" s="7" t="s">
        <v>546</v>
      </c>
      <c r="G1017" s="7" t="s">
        <v>546</v>
      </c>
      <c r="H1017" s="7" t="s">
        <v>546</v>
      </c>
      <c r="I1017" s="7" t="s">
        <v>546</v>
      </c>
      <c r="J1017" s="21" t="n">
        <f aca="false">D1017/(D1017+E1017)</f>
        <v>0.493827160493827</v>
      </c>
      <c r="K1017" s="3" t="n">
        <f aca="false">IF(D1017&gt;E1017,1,0)</f>
        <v>0</v>
      </c>
      <c r="L1017" s="3" t="n">
        <f aca="false">IF(OR(F1017="Y",G1017="Y",H1017="Y"),1,0)</f>
        <v>0</v>
      </c>
      <c r="M1017" s="3" t="n">
        <f aca="false">IF(H1017="Y",1,0)</f>
        <v>0</v>
      </c>
      <c r="N1017" s="3" t="n">
        <f aca="false">IF(I1017="Y",1,0)</f>
        <v>0</v>
      </c>
    </row>
    <row r="1018" customFormat="false" ht="15" hidden="false" customHeight="true" outlineLevel="0" collapsed="false">
      <c r="A1018" s="7" t="s">
        <v>66</v>
      </c>
      <c r="B1018" s="7" t="n">
        <v>2005</v>
      </c>
      <c r="C1018" s="7" t="s">
        <v>567</v>
      </c>
      <c r="D1018" s="7" t="n">
        <v>93</v>
      </c>
      <c r="E1018" s="7" t="n">
        <v>69</v>
      </c>
      <c r="F1018" s="7" t="s">
        <v>546</v>
      </c>
      <c r="G1018" s="7" t="s">
        <v>546</v>
      </c>
      <c r="H1018" s="7" t="s">
        <v>546</v>
      </c>
      <c r="I1018" s="7" t="s">
        <v>546</v>
      </c>
      <c r="J1018" s="21" t="n">
        <f aca="false">D1018/(D1018+E1018)</f>
        <v>0.574074074074074</v>
      </c>
      <c r="K1018" s="3" t="n">
        <f aca="false">IF(D1018&gt;E1018,1,0)</f>
        <v>1</v>
      </c>
      <c r="L1018" s="3" t="n">
        <f aca="false">IF(OR(F1018="Y",G1018="Y",H1018="Y"),1,0)</f>
        <v>0</v>
      </c>
      <c r="M1018" s="3" t="n">
        <f aca="false">IF(H1018="Y",1,0)</f>
        <v>0</v>
      </c>
      <c r="N1018" s="3" t="n">
        <f aca="false">IF(I1018="Y",1,0)</f>
        <v>0</v>
      </c>
    </row>
    <row r="1019" customFormat="false" ht="15" hidden="false" customHeight="true" outlineLevel="0" collapsed="false">
      <c r="A1019" s="7" t="s">
        <v>66</v>
      </c>
      <c r="B1019" s="7" t="n">
        <v>2006</v>
      </c>
      <c r="C1019" s="7" t="s">
        <v>567</v>
      </c>
      <c r="D1019" s="7" t="n">
        <v>78</v>
      </c>
      <c r="E1019" s="7" t="n">
        <v>84</v>
      </c>
      <c r="F1019" s="7" t="s">
        <v>546</v>
      </c>
      <c r="G1019" s="7" t="s">
        <v>546</v>
      </c>
      <c r="H1019" s="7" t="s">
        <v>546</v>
      </c>
      <c r="I1019" s="7" t="s">
        <v>546</v>
      </c>
      <c r="J1019" s="21" t="n">
        <f aca="false">D1019/(D1019+E1019)</f>
        <v>0.481481481481481</v>
      </c>
      <c r="K1019" s="3" t="n">
        <f aca="false">IF(D1019&gt;E1019,1,0)</f>
        <v>0</v>
      </c>
      <c r="L1019" s="3" t="n">
        <f aca="false">IF(OR(F1019="Y",G1019="Y",H1019="Y"),1,0)</f>
        <v>0</v>
      </c>
      <c r="M1019" s="3" t="n">
        <f aca="false">IF(H1019="Y",1,0)</f>
        <v>0</v>
      </c>
      <c r="N1019" s="3" t="n">
        <f aca="false">IF(I1019="Y",1,0)</f>
        <v>0</v>
      </c>
    </row>
    <row r="1020" customFormat="false" ht="15" hidden="false" customHeight="true" outlineLevel="0" collapsed="false">
      <c r="A1020" s="7" t="s">
        <v>66</v>
      </c>
      <c r="B1020" s="7" t="n">
        <v>2007</v>
      </c>
      <c r="C1020" s="7" t="s">
        <v>567</v>
      </c>
      <c r="D1020" s="7" t="n">
        <v>96</v>
      </c>
      <c r="E1020" s="7" t="n">
        <v>66</v>
      </c>
      <c r="F1020" s="7" t="s">
        <v>548</v>
      </c>
      <c r="G1020" s="7" t="s">
        <v>546</v>
      </c>
      <c r="H1020" s="7" t="s">
        <v>546</v>
      </c>
      <c r="I1020" s="7" t="s">
        <v>546</v>
      </c>
      <c r="J1020" s="21" t="n">
        <f aca="false">D1020/(D1020+E1020)</f>
        <v>0.592592592592593</v>
      </c>
      <c r="K1020" s="3" t="n">
        <f aca="false">IF(D1020&gt;E1020,1,0)</f>
        <v>1</v>
      </c>
      <c r="L1020" s="3" t="n">
        <f aca="false">IF(OR(F1020="Y",G1020="Y",H1020="Y"),1,0)</f>
        <v>1</v>
      </c>
      <c r="M1020" s="3" t="n">
        <f aca="false">IF(H1020="Y",1,0)</f>
        <v>0</v>
      </c>
      <c r="N1020" s="3" t="n">
        <f aca="false">IF(I1020="Y",1,0)</f>
        <v>0</v>
      </c>
    </row>
    <row r="1021" customFormat="false" ht="15" hidden="false" customHeight="true" outlineLevel="0" collapsed="false">
      <c r="A1021" s="7" t="s">
        <v>66</v>
      </c>
      <c r="B1021" s="7" t="n">
        <v>2008</v>
      </c>
      <c r="C1021" s="7" t="s">
        <v>567</v>
      </c>
      <c r="D1021" s="7" t="n">
        <v>81</v>
      </c>
      <c r="E1021" s="7" t="n">
        <v>81</v>
      </c>
      <c r="F1021" s="7" t="s">
        <v>546</v>
      </c>
      <c r="G1021" s="7" t="s">
        <v>546</v>
      </c>
      <c r="H1021" s="7" t="s">
        <v>546</v>
      </c>
      <c r="I1021" s="7" t="s">
        <v>546</v>
      </c>
      <c r="J1021" s="21" t="n">
        <f aca="false">D1021/(D1021+E1021)</f>
        <v>0.5</v>
      </c>
      <c r="K1021" s="3" t="n">
        <f aca="false">IF(D1021&gt;E1021,1,0)</f>
        <v>0</v>
      </c>
      <c r="L1021" s="3" t="n">
        <f aca="false">IF(OR(F1021="Y",G1021="Y",H1021="Y"),1,0)</f>
        <v>0</v>
      </c>
      <c r="M1021" s="3" t="n">
        <f aca="false">IF(H1021="Y",1,0)</f>
        <v>0</v>
      </c>
      <c r="N1021" s="3" t="n">
        <f aca="false">IF(I1021="Y",1,0)</f>
        <v>0</v>
      </c>
    </row>
    <row r="1022" customFormat="false" ht="15" hidden="false" customHeight="true" outlineLevel="0" collapsed="false">
      <c r="A1022" s="7" t="s">
        <v>66</v>
      </c>
      <c r="B1022" s="7" t="n">
        <v>2009</v>
      </c>
      <c r="C1022" s="7" t="s">
        <v>567</v>
      </c>
      <c r="D1022" s="7" t="n">
        <v>65</v>
      </c>
      <c r="E1022" s="7" t="n">
        <v>97</v>
      </c>
      <c r="F1022" s="7" t="s">
        <v>546</v>
      </c>
      <c r="G1022" s="7" t="s">
        <v>546</v>
      </c>
      <c r="H1022" s="7" t="s">
        <v>546</v>
      </c>
      <c r="I1022" s="7" t="s">
        <v>546</v>
      </c>
      <c r="J1022" s="21" t="n">
        <f aca="false">D1022/(D1022+E1022)</f>
        <v>0.401234567901235</v>
      </c>
      <c r="K1022" s="3" t="n">
        <f aca="false">IF(D1022&gt;E1022,1,0)</f>
        <v>0</v>
      </c>
      <c r="L1022" s="3" t="n">
        <f aca="false">IF(OR(F1022="Y",G1022="Y",H1022="Y"),1,0)</f>
        <v>0</v>
      </c>
      <c r="M1022" s="3" t="n">
        <f aca="false">IF(H1022="Y",1,0)</f>
        <v>0</v>
      </c>
      <c r="N1022" s="3" t="n">
        <f aca="false">IF(I1022="Y",1,0)</f>
        <v>0</v>
      </c>
    </row>
    <row r="1023" customFormat="false" ht="15" hidden="false" customHeight="true" outlineLevel="0" collapsed="false">
      <c r="A1023" s="7" t="s">
        <v>66</v>
      </c>
      <c r="B1023" s="7" t="n">
        <v>2010</v>
      </c>
      <c r="C1023" s="7" t="s">
        <v>567</v>
      </c>
      <c r="D1023" s="7" t="n">
        <v>69</v>
      </c>
      <c r="E1023" s="7" t="n">
        <v>93</v>
      </c>
      <c r="F1023" s="7" t="s">
        <v>546</v>
      </c>
      <c r="G1023" s="7" t="s">
        <v>546</v>
      </c>
      <c r="H1023" s="7" t="s">
        <v>546</v>
      </c>
      <c r="I1023" s="7" t="s">
        <v>546</v>
      </c>
      <c r="J1023" s="21" t="n">
        <f aca="false">D1023/(D1023+E1023)</f>
        <v>0.425925925925926</v>
      </c>
      <c r="K1023" s="3" t="n">
        <f aca="false">IF(D1023&gt;E1023,1,0)</f>
        <v>0</v>
      </c>
      <c r="L1023" s="3" t="n">
        <f aca="false">IF(OR(F1023="Y",G1023="Y",H1023="Y"),1,0)</f>
        <v>0</v>
      </c>
      <c r="M1023" s="3" t="n">
        <f aca="false">IF(H1023="Y",1,0)</f>
        <v>0</v>
      </c>
      <c r="N1023" s="3" t="n">
        <f aca="false">IF(I1023="Y",1,0)</f>
        <v>0</v>
      </c>
    </row>
    <row r="1024" customFormat="false" ht="15" hidden="false" customHeight="true" outlineLevel="0" collapsed="false">
      <c r="A1024" s="7" t="s">
        <v>66</v>
      </c>
      <c r="B1024" s="7" t="n">
        <v>2011</v>
      </c>
      <c r="C1024" s="7" t="s">
        <v>567</v>
      </c>
      <c r="D1024" s="7" t="n">
        <v>80</v>
      </c>
      <c r="E1024" s="7" t="n">
        <v>82</v>
      </c>
      <c r="F1024" s="7" t="s">
        <v>546</v>
      </c>
      <c r="G1024" s="7" t="s">
        <v>546</v>
      </c>
      <c r="H1024" s="7" t="s">
        <v>546</v>
      </c>
      <c r="I1024" s="7" t="s">
        <v>546</v>
      </c>
      <c r="J1024" s="21" t="n">
        <f aca="false">D1024/(D1024+E1024)</f>
        <v>0.493827160493827</v>
      </c>
      <c r="K1024" s="3" t="n">
        <f aca="false">IF(D1024&gt;E1024,1,0)</f>
        <v>0</v>
      </c>
      <c r="L1024" s="3" t="n">
        <f aca="false">IF(OR(F1024="Y",G1024="Y",H1024="Y"),1,0)</f>
        <v>0</v>
      </c>
      <c r="M1024" s="3" t="n">
        <f aca="false">IF(H1024="Y",1,0)</f>
        <v>0</v>
      </c>
      <c r="N1024" s="3" t="n">
        <f aca="false">IF(I1024="Y",1,0)</f>
        <v>0</v>
      </c>
    </row>
    <row r="1025" customFormat="false" ht="15" hidden="false" customHeight="true" outlineLevel="0" collapsed="false">
      <c r="A1025" s="7" t="s">
        <v>66</v>
      </c>
      <c r="B1025" s="7" t="n">
        <v>2012</v>
      </c>
      <c r="C1025" s="7" t="s">
        <v>567</v>
      </c>
      <c r="D1025" s="7" t="n">
        <v>68</v>
      </c>
      <c r="E1025" s="7" t="n">
        <v>94</v>
      </c>
      <c r="F1025" s="7" t="s">
        <v>546</v>
      </c>
      <c r="G1025" s="7" t="s">
        <v>546</v>
      </c>
      <c r="H1025" s="7" t="s">
        <v>546</v>
      </c>
      <c r="I1025" s="7" t="s">
        <v>546</v>
      </c>
      <c r="J1025" s="21" t="n">
        <f aca="false">D1025/(D1025+E1025)</f>
        <v>0.419753086419753</v>
      </c>
      <c r="K1025" s="3" t="n">
        <f aca="false">IF(D1025&gt;E1025,1,0)</f>
        <v>0</v>
      </c>
      <c r="L1025" s="3" t="n">
        <f aca="false">IF(OR(F1025="Y",G1025="Y",H1025="Y"),1,0)</f>
        <v>0</v>
      </c>
      <c r="M1025" s="3" t="n">
        <f aca="false">IF(H1025="Y",1,0)</f>
        <v>0</v>
      </c>
      <c r="N1025" s="3" t="n">
        <f aca="false">IF(I1025="Y",1,0)</f>
        <v>0</v>
      </c>
    </row>
    <row r="1026" customFormat="false" ht="15" hidden="false" customHeight="true" outlineLevel="0" collapsed="false">
      <c r="A1026" s="7" t="s">
        <v>66</v>
      </c>
      <c r="B1026" s="7" t="n">
        <v>2013</v>
      </c>
      <c r="C1026" s="7" t="s">
        <v>567</v>
      </c>
      <c r="D1026" s="7" t="n">
        <v>92</v>
      </c>
      <c r="E1026" s="7" t="n">
        <v>70</v>
      </c>
      <c r="F1026" s="7" t="s">
        <v>546</v>
      </c>
      <c r="G1026" s="7" t="s">
        <v>548</v>
      </c>
      <c r="H1026" s="7" t="s">
        <v>546</v>
      </c>
      <c r="I1026" s="7" t="s">
        <v>546</v>
      </c>
      <c r="J1026" s="21" t="n">
        <f aca="false">D1026/(D1026+E1026)</f>
        <v>0.567901234567901</v>
      </c>
      <c r="K1026" s="3" t="n">
        <f aca="false">IF(D1026&gt;E1026,1,0)</f>
        <v>1</v>
      </c>
      <c r="L1026" s="3" t="n">
        <f aca="false">IF(OR(F1026="Y",G1026="Y",H1026="Y"),1,0)</f>
        <v>1</v>
      </c>
      <c r="M1026" s="3" t="n">
        <f aca="false">IF(H1026="Y",1,0)</f>
        <v>0</v>
      </c>
      <c r="N1026" s="3" t="n">
        <f aca="false">IF(I1026="Y",1,0)</f>
        <v>0</v>
      </c>
    </row>
    <row r="1027" customFormat="false" ht="15" hidden="false" customHeight="true" outlineLevel="0" collapsed="false">
      <c r="A1027" s="7" t="s">
        <v>66</v>
      </c>
      <c r="B1027" s="7" t="n">
        <v>2014</v>
      </c>
      <c r="C1027" s="7" t="s">
        <v>567</v>
      </c>
      <c r="D1027" s="7" t="n">
        <v>85</v>
      </c>
      <c r="E1027" s="7" t="n">
        <v>77</v>
      </c>
      <c r="F1027" s="7" t="s">
        <v>546</v>
      </c>
      <c r="G1027" s="7" t="s">
        <v>546</v>
      </c>
      <c r="H1027" s="7" t="s">
        <v>546</v>
      </c>
      <c r="I1027" s="7" t="s">
        <v>546</v>
      </c>
      <c r="J1027" s="21" t="n">
        <f aca="false">D1027/(D1027+E1027)</f>
        <v>0.524691358024691</v>
      </c>
      <c r="K1027" s="3" t="n">
        <f aca="false">IF(D1027&gt;E1027,1,0)</f>
        <v>1</v>
      </c>
      <c r="L1027" s="3" t="n">
        <f aca="false">IF(OR(F1027="Y",G1027="Y",H1027="Y"),1,0)</f>
        <v>0</v>
      </c>
      <c r="M1027" s="3" t="n">
        <f aca="false">IF(H1027="Y",1,0)</f>
        <v>0</v>
      </c>
      <c r="N1027" s="3" t="n">
        <f aca="false">IF(I1027="Y",1,0)</f>
        <v>0</v>
      </c>
    </row>
    <row r="1028" customFormat="false" ht="15" hidden="false" customHeight="true" outlineLevel="0" collapsed="false">
      <c r="A1028" s="7" t="s">
        <v>66</v>
      </c>
      <c r="B1028" s="7" t="n">
        <v>2015</v>
      </c>
      <c r="C1028" s="7" t="s">
        <v>567</v>
      </c>
      <c r="D1028" s="7" t="n">
        <v>81</v>
      </c>
      <c r="E1028" s="7" t="n">
        <v>80</v>
      </c>
      <c r="F1028" s="7" t="s">
        <v>546</v>
      </c>
      <c r="G1028" s="7" t="s">
        <v>546</v>
      </c>
      <c r="H1028" s="7" t="s">
        <v>546</v>
      </c>
      <c r="I1028" s="7" t="s">
        <v>546</v>
      </c>
      <c r="J1028" s="21" t="n">
        <f aca="false">D1028/(D1028+E1028)</f>
        <v>0.503105590062112</v>
      </c>
      <c r="K1028" s="3" t="n">
        <f aca="false">IF(D1028&gt;E1028,1,0)</f>
        <v>1</v>
      </c>
      <c r="L1028" s="3" t="n">
        <f aca="false">IF(OR(F1028="Y",G1028="Y",H1028="Y"),1,0)</f>
        <v>0</v>
      </c>
      <c r="M1028" s="3" t="n">
        <f aca="false">IF(H1028="Y",1,0)</f>
        <v>0</v>
      </c>
      <c r="N1028" s="3" t="n">
        <f aca="false">IF(I1028="Y",1,0)</f>
        <v>0</v>
      </c>
    </row>
    <row r="1029" customFormat="false" ht="15" hidden="false" customHeight="true" outlineLevel="0" collapsed="false">
      <c r="A1029" s="7" t="s">
        <v>66</v>
      </c>
      <c r="B1029" s="7" t="n">
        <v>2016</v>
      </c>
      <c r="C1029" s="7" t="s">
        <v>567</v>
      </c>
      <c r="D1029" s="7" t="n">
        <v>94</v>
      </c>
      <c r="E1029" s="7" t="n">
        <v>67</v>
      </c>
      <c r="F1029" s="7" t="s">
        <v>548</v>
      </c>
      <c r="G1029" s="7" t="s">
        <v>546</v>
      </c>
      <c r="H1029" s="7" t="s">
        <v>548</v>
      </c>
      <c r="I1029" s="7" t="s">
        <v>546</v>
      </c>
      <c r="J1029" s="21" t="n">
        <f aca="false">D1029/(D1029+E1029)</f>
        <v>0.583850931677019</v>
      </c>
      <c r="K1029" s="3" t="n">
        <f aca="false">IF(D1029&gt;E1029,1,0)</f>
        <v>1</v>
      </c>
      <c r="L1029" s="3" t="n">
        <f aca="false">IF(OR(F1029="Y",G1029="Y",H1029="Y"),1,0)</f>
        <v>1</v>
      </c>
      <c r="M1029" s="3" t="n">
        <f aca="false">IF(H1029="Y",1,0)</f>
        <v>1</v>
      </c>
      <c r="N1029" s="3" t="n">
        <f aca="false">IF(I1029="Y",1,0)</f>
        <v>0</v>
      </c>
    </row>
    <row r="1030" customFormat="false" ht="15" hidden="false" customHeight="true" outlineLevel="0" collapsed="false">
      <c r="A1030" s="7" t="s">
        <v>66</v>
      </c>
      <c r="B1030" s="7" t="n">
        <v>2017</v>
      </c>
      <c r="C1030" s="7" t="s">
        <v>567</v>
      </c>
      <c r="D1030" s="7" t="n">
        <v>102</v>
      </c>
      <c r="E1030" s="7" t="n">
        <v>60</v>
      </c>
      <c r="F1030" s="7" t="s">
        <v>548</v>
      </c>
      <c r="G1030" s="7" t="s">
        <v>546</v>
      </c>
      <c r="H1030" s="7" t="s">
        <v>546</v>
      </c>
      <c r="I1030" s="7" t="s">
        <v>546</v>
      </c>
      <c r="J1030" s="21" t="n">
        <f aca="false">D1030/(D1030+E1030)</f>
        <v>0.62962962962963</v>
      </c>
      <c r="K1030" s="3" t="n">
        <f aca="false">IF(D1030&gt;E1030,1,0)</f>
        <v>1</v>
      </c>
      <c r="L1030" s="3" t="n">
        <f aca="false">IF(OR(F1030="Y",G1030="Y",H1030="Y"),1,0)</f>
        <v>1</v>
      </c>
      <c r="M1030" s="3" t="n">
        <f aca="false">IF(H1030="Y",1,0)</f>
        <v>0</v>
      </c>
      <c r="N1030" s="3" t="n">
        <f aca="false">IF(I1030="Y",1,0)</f>
        <v>0</v>
      </c>
    </row>
    <row r="1031" customFormat="false" ht="15" hidden="false" customHeight="true" outlineLevel="0" collapsed="false">
      <c r="A1031" s="7" t="s">
        <v>66</v>
      </c>
      <c r="B1031" s="7" t="n">
        <v>2018</v>
      </c>
      <c r="C1031" s="7" t="s">
        <v>567</v>
      </c>
      <c r="D1031" s="7" t="n">
        <v>91</v>
      </c>
      <c r="E1031" s="7" t="n">
        <v>71</v>
      </c>
      <c r="F1031" s="7" t="s">
        <v>548</v>
      </c>
      <c r="G1031" s="7" t="s">
        <v>546</v>
      </c>
      <c r="H1031" s="7" t="s">
        <v>546</v>
      </c>
      <c r="I1031" s="7" t="s">
        <v>546</v>
      </c>
      <c r="J1031" s="21" t="n">
        <f aca="false">D1031/(D1031+E1031)</f>
        <v>0.561728395061728</v>
      </c>
      <c r="K1031" s="3" t="n">
        <f aca="false">IF(D1031&gt;E1031,1,0)</f>
        <v>1</v>
      </c>
      <c r="L1031" s="3" t="n">
        <f aca="false">IF(OR(F1031="Y",G1031="Y",H1031="Y"),1,0)</f>
        <v>1</v>
      </c>
      <c r="M1031" s="3" t="n">
        <f aca="false">IF(H1031="Y",1,0)</f>
        <v>0</v>
      </c>
      <c r="N1031" s="3" t="n">
        <f aca="false">IF(I1031="Y",1,0)</f>
        <v>0</v>
      </c>
    </row>
    <row r="1032" customFormat="false" ht="15" hidden="false" customHeight="true" outlineLevel="0" collapsed="false">
      <c r="A1032" s="7" t="s">
        <v>66</v>
      </c>
      <c r="B1032" s="7" t="n">
        <v>2019</v>
      </c>
      <c r="C1032" s="7" t="s">
        <v>567</v>
      </c>
      <c r="D1032" s="7" t="n">
        <v>93</v>
      </c>
      <c r="E1032" s="7" t="n">
        <v>69</v>
      </c>
      <c r="F1032" s="7" t="s">
        <v>546</v>
      </c>
      <c r="G1032" s="7" t="s">
        <v>546</v>
      </c>
      <c r="H1032" s="7" t="s">
        <v>546</v>
      </c>
      <c r="I1032" s="7" t="s">
        <v>546</v>
      </c>
      <c r="J1032" s="21" t="n">
        <f aca="false">D1032/(D1032+E1032)</f>
        <v>0.574074074074074</v>
      </c>
      <c r="K1032" s="3" t="n">
        <f aca="false">IF(D1032&gt;E1032,1,0)</f>
        <v>1</v>
      </c>
      <c r="L1032" s="3" t="n">
        <f aca="false">IF(OR(F1032="Y",G1032="Y",H1032="Y"),1,0)</f>
        <v>0</v>
      </c>
      <c r="M1032" s="3" t="n">
        <f aca="false">IF(H1032="Y",1,0)</f>
        <v>0</v>
      </c>
      <c r="N1032" s="3" t="n">
        <f aca="false">IF(I1032="Y",1,0)</f>
        <v>0</v>
      </c>
    </row>
    <row r="1033" customFormat="false" ht="15" hidden="false" customHeight="true" outlineLevel="0" collapsed="false">
      <c r="A1033" s="7" t="s">
        <v>66</v>
      </c>
      <c r="B1033" s="7" t="n">
        <v>2020</v>
      </c>
      <c r="C1033" s="7" t="s">
        <v>567</v>
      </c>
      <c r="D1033" s="7" t="n">
        <v>35</v>
      </c>
      <c r="E1033" s="7" t="n">
        <v>25</v>
      </c>
      <c r="F1033" s="7" t="s">
        <v>546</v>
      </c>
      <c r="G1033" s="7" t="s">
        <v>548</v>
      </c>
      <c r="H1033" s="7" t="s">
        <v>546</v>
      </c>
      <c r="I1033" s="7" t="s">
        <v>546</v>
      </c>
      <c r="J1033" s="21" t="n">
        <f aca="false">D1033/(D1033+E1033)</f>
        <v>0.583333333333333</v>
      </c>
      <c r="K1033" s="3" t="n">
        <f aca="false">IF(D1033&gt;E1033,1,0)</f>
        <v>1</v>
      </c>
      <c r="L1033" s="3" t="n">
        <f aca="false">IF(OR(F1033="Y",G1033="Y",H1033="Y"),1,0)</f>
        <v>1</v>
      </c>
      <c r="M1033" s="3" t="n">
        <f aca="false">IF(H1033="Y",1,0)</f>
        <v>0</v>
      </c>
      <c r="N1033" s="3" t="n">
        <f aca="false">IF(I1033="Y",1,0)</f>
        <v>0</v>
      </c>
    </row>
    <row r="1034" customFormat="false" ht="15" hidden="false" customHeight="true" outlineLevel="0" collapsed="false">
      <c r="A1034" s="7" t="s">
        <v>66</v>
      </c>
      <c r="B1034" s="7" t="n">
        <v>2021</v>
      </c>
      <c r="C1034" s="7" t="s">
        <v>567</v>
      </c>
      <c r="D1034" s="7" t="n">
        <v>80</v>
      </c>
      <c r="E1034" s="7" t="n">
        <v>82</v>
      </c>
      <c r="F1034" s="7" t="s">
        <v>546</v>
      </c>
      <c r="G1034" s="7" t="s">
        <v>546</v>
      </c>
      <c r="H1034" s="7" t="s">
        <v>546</v>
      </c>
      <c r="I1034" s="7" t="s">
        <v>546</v>
      </c>
      <c r="J1034" s="21" t="n">
        <f aca="false">D1034/(D1034+E1034)</f>
        <v>0.493827160493827</v>
      </c>
      <c r="K1034" s="3" t="n">
        <f aca="false">IF(D1034&gt;E1034,1,0)</f>
        <v>0</v>
      </c>
      <c r="L1034" s="3" t="n">
        <f aca="false">IF(OR(F1034="Y",G1034="Y",H1034="Y"),1,0)</f>
        <v>0</v>
      </c>
      <c r="M1034" s="3" t="n">
        <f aca="false">IF(H1034="Y",1,0)</f>
        <v>0</v>
      </c>
      <c r="N1034" s="3" t="n">
        <f aca="false">IF(I1034="Y",1,0)</f>
        <v>0</v>
      </c>
    </row>
    <row r="1035" customFormat="false" ht="15" hidden="false" customHeight="true" outlineLevel="0" collapsed="false">
      <c r="A1035" s="7" t="s">
        <v>66</v>
      </c>
      <c r="B1035" s="7" t="n">
        <v>2022</v>
      </c>
      <c r="C1035" s="7" t="s">
        <v>367</v>
      </c>
      <c r="D1035" s="7" t="n">
        <v>92</v>
      </c>
      <c r="E1035" s="7" t="n">
        <v>70</v>
      </c>
      <c r="F1035" s="7" t="s">
        <v>548</v>
      </c>
      <c r="G1035" s="7" t="s">
        <v>546</v>
      </c>
      <c r="H1035" s="7" t="s">
        <v>546</v>
      </c>
      <c r="I1035" s="7" t="s">
        <v>546</v>
      </c>
      <c r="J1035" s="21" t="n">
        <f aca="false">D1035/(D1035+E1035)</f>
        <v>0.567901234567901</v>
      </c>
      <c r="K1035" s="3" t="n">
        <f aca="false">IF(D1035&gt;E1035,1,0)</f>
        <v>1</v>
      </c>
      <c r="L1035" s="3" t="n">
        <f aca="false">IF(OR(F1035="Y",G1035="Y",H1035="Y"),1,0)</f>
        <v>1</v>
      </c>
      <c r="M1035" s="3" t="n">
        <f aca="false">IF(H1035="Y",1,0)</f>
        <v>0</v>
      </c>
      <c r="N1035" s="3" t="n">
        <f aca="false">IF(I1035="Y",1,0)</f>
        <v>0</v>
      </c>
    </row>
    <row r="1036" customFormat="false" ht="15" hidden="false" customHeight="true" outlineLevel="0" collapsed="false">
      <c r="A1036" s="7" t="s">
        <v>66</v>
      </c>
      <c r="B1036" s="7" t="n">
        <v>2023</v>
      </c>
      <c r="C1036" s="7" t="s">
        <v>367</v>
      </c>
      <c r="D1036" s="7" t="n">
        <v>76</v>
      </c>
      <c r="E1036" s="7" t="n">
        <v>86</v>
      </c>
      <c r="F1036" s="7" t="s">
        <v>546</v>
      </c>
      <c r="G1036" s="7" t="s">
        <v>546</v>
      </c>
      <c r="H1036" s="7" t="s">
        <v>546</v>
      </c>
      <c r="I1036" s="7" t="s">
        <v>546</v>
      </c>
      <c r="J1036" s="21" t="n">
        <f aca="false">D1036/(D1036+E1036)</f>
        <v>0.469135802469136</v>
      </c>
      <c r="K1036" s="3" t="n">
        <f aca="false">IF(D1036&gt;E1036,1,0)</f>
        <v>0</v>
      </c>
      <c r="L1036" s="3" t="n">
        <f aca="false">IF(OR(F1036="Y",G1036="Y",H1036="Y"),1,0)</f>
        <v>0</v>
      </c>
      <c r="M1036" s="3" t="n">
        <f aca="false">IF(H1036="Y",1,0)</f>
        <v>0</v>
      </c>
      <c r="N1036" s="3" t="n">
        <f aca="false">IF(I1036="Y",1,0)</f>
        <v>0</v>
      </c>
    </row>
    <row r="1037" customFormat="false" ht="15" hidden="false" customHeight="true" outlineLevel="0" collapsed="false">
      <c r="A1037" s="7" t="s">
        <v>66</v>
      </c>
      <c r="B1037" s="7" t="n">
        <v>2024</v>
      </c>
      <c r="C1037" s="7" t="s">
        <v>367</v>
      </c>
      <c r="D1037" s="7" t="n">
        <v>92</v>
      </c>
      <c r="E1037" s="7" t="n">
        <v>69</v>
      </c>
      <c r="F1037" s="7" t="s">
        <v>548</v>
      </c>
      <c r="G1037" s="7" t="s">
        <v>546</v>
      </c>
      <c r="H1037" s="7" t="s">
        <v>546</v>
      </c>
      <c r="I1037" s="7" t="s">
        <v>546</v>
      </c>
      <c r="J1037" s="21" t="n">
        <f aca="false">D1037/(D1037+E1037)</f>
        <v>0.571428571428571</v>
      </c>
      <c r="K1037" s="3" t="n">
        <f aca="false">IF(D1037&gt;E1037,1,0)</f>
        <v>1</v>
      </c>
      <c r="L1037" s="3" t="n">
        <f aca="false">IF(OR(F1037="Y",G1037="Y",H1037="Y"),1,0)</f>
        <v>1</v>
      </c>
      <c r="M1037" s="3" t="n">
        <f aca="false">IF(H1037="Y",1,0)</f>
        <v>0</v>
      </c>
      <c r="N1037" s="3" t="n">
        <f aca="false">IF(I1037="Y",1,0)</f>
        <v>0</v>
      </c>
    </row>
    <row r="1038" customFormat="false" ht="15" hidden="false" customHeight="true" outlineLevel="0" collapsed="false">
      <c r="A1038" s="7" t="s">
        <v>66</v>
      </c>
      <c r="B1038" s="7" t="n">
        <v>2025</v>
      </c>
      <c r="C1038" s="7" t="s">
        <v>367</v>
      </c>
      <c r="D1038" s="7" t="n">
        <v>88</v>
      </c>
      <c r="E1038" s="7" t="n">
        <v>74</v>
      </c>
      <c r="F1038" s="7" t="s">
        <v>548</v>
      </c>
      <c r="G1038" s="7" t="s">
        <v>546</v>
      </c>
      <c r="H1038" s="7" t="s">
        <v>546</v>
      </c>
      <c r="I1038" s="7" t="s">
        <v>546</v>
      </c>
      <c r="J1038" s="21" t="n">
        <f aca="false">D1038/(D1038+E1038)</f>
        <v>0.54320987654321</v>
      </c>
      <c r="K1038" s="3" t="n">
        <f aca="false">IF(D1038&gt;E1038,1,0)</f>
        <v>1</v>
      </c>
      <c r="L1038" s="3" t="n">
        <f aca="false">IF(OR(F1038="Y",G1038="Y",H1038="Y"),1,0)</f>
        <v>1</v>
      </c>
      <c r="M1038" s="3" t="n">
        <f aca="false">IF(H1038="Y",1,0)</f>
        <v>0</v>
      </c>
      <c r="N1038" s="3" t="n">
        <f aca="false">IF(I1038="Y",1,0)</f>
        <v>0</v>
      </c>
    </row>
    <row r="1039" customFormat="false" ht="15" hidden="false" customHeight="true" outlineLevel="0" collapsed="false">
      <c r="A1039" s="7" t="s">
        <v>82</v>
      </c>
      <c r="B1039" s="7" t="n">
        <v>1993</v>
      </c>
      <c r="C1039" s="7" t="s">
        <v>385</v>
      </c>
      <c r="D1039" s="7" t="n">
        <v>67</v>
      </c>
      <c r="E1039" s="7" t="n">
        <v>95</v>
      </c>
      <c r="F1039" s="7" t="s">
        <v>546</v>
      </c>
      <c r="G1039" s="7"/>
      <c r="H1039" s="7" t="s">
        <v>546</v>
      </c>
      <c r="I1039" s="7" t="s">
        <v>546</v>
      </c>
      <c r="J1039" s="21" t="n">
        <f aca="false">D1039/(D1039+E1039)</f>
        <v>0.41358024691358</v>
      </c>
      <c r="K1039" s="3" t="n">
        <f aca="false">IF(D1039&gt;E1039,1,0)</f>
        <v>0</v>
      </c>
      <c r="L1039" s="3" t="n">
        <f aca="false">IF(OR(F1039="Y",G1039="Y",H1039="Y"),1,0)</f>
        <v>0</v>
      </c>
      <c r="M1039" s="3" t="n">
        <f aca="false">IF(H1039="Y",1,0)</f>
        <v>0</v>
      </c>
      <c r="N1039" s="3" t="n">
        <f aca="false">IF(I1039="Y",1,0)</f>
        <v>0</v>
      </c>
    </row>
    <row r="1040" customFormat="false" ht="15" hidden="false" customHeight="true" outlineLevel="0" collapsed="false">
      <c r="A1040" s="7" t="s">
        <v>82</v>
      </c>
      <c r="B1040" s="7" t="n">
        <v>1994</v>
      </c>
      <c r="C1040" s="7" t="s">
        <v>385</v>
      </c>
      <c r="D1040" s="7" t="n">
        <v>53</v>
      </c>
      <c r="E1040" s="7" t="n">
        <v>64</v>
      </c>
      <c r="F1040" s="7"/>
      <c r="G1040" s="7"/>
      <c r="H1040" s="7"/>
      <c r="I1040" s="7"/>
      <c r="J1040" s="21" t="n">
        <f aca="false">D1040/(D1040+E1040)</f>
        <v>0.452991452991453</v>
      </c>
      <c r="K1040" s="3" t="n">
        <f aca="false">IF(D1040&gt;E1040,1,0)</f>
        <v>0</v>
      </c>
      <c r="L1040" s="3" t="n">
        <f aca="false">IF(OR(F1040="Y",G1040="Y",H1040="Y"),1,0)</f>
        <v>0</v>
      </c>
      <c r="M1040" s="3" t="n">
        <f aca="false">IF(H1040="Y",1,0)</f>
        <v>0</v>
      </c>
      <c r="N1040" s="3" t="n">
        <f aca="false">IF(I1040="Y",1,0)</f>
        <v>0</v>
      </c>
    </row>
    <row r="1041" customFormat="false" ht="15" hidden="false" customHeight="true" outlineLevel="0" collapsed="false">
      <c r="A1041" s="7" t="s">
        <v>82</v>
      </c>
      <c r="B1041" s="7" t="n">
        <v>1995</v>
      </c>
      <c r="C1041" s="7" t="s">
        <v>385</v>
      </c>
      <c r="D1041" s="7" t="n">
        <v>77</v>
      </c>
      <c r="E1041" s="7" t="n">
        <v>67</v>
      </c>
      <c r="F1041" s="7" t="s">
        <v>546</v>
      </c>
      <c r="G1041" s="7" t="s">
        <v>548</v>
      </c>
      <c r="H1041" s="7" t="s">
        <v>546</v>
      </c>
      <c r="I1041" s="7" t="s">
        <v>546</v>
      </c>
      <c r="J1041" s="21" t="n">
        <f aca="false">D1041/(D1041+E1041)</f>
        <v>0.534722222222222</v>
      </c>
      <c r="K1041" s="3" t="n">
        <f aca="false">IF(D1041&gt;E1041,1,0)</f>
        <v>1</v>
      </c>
      <c r="L1041" s="3" t="n">
        <f aca="false">IF(OR(F1041="Y",G1041="Y",H1041="Y"),1,0)</f>
        <v>1</v>
      </c>
      <c r="M1041" s="3" t="n">
        <f aca="false">IF(H1041="Y",1,0)</f>
        <v>0</v>
      </c>
      <c r="N1041" s="3" t="n">
        <f aca="false">IF(I1041="Y",1,0)</f>
        <v>0</v>
      </c>
    </row>
    <row r="1042" customFormat="false" ht="15" hidden="false" customHeight="true" outlineLevel="0" collapsed="false">
      <c r="A1042" s="7" t="s">
        <v>82</v>
      </c>
      <c r="B1042" s="7" t="n">
        <v>1996</v>
      </c>
      <c r="C1042" s="7" t="s">
        <v>385</v>
      </c>
      <c r="D1042" s="7" t="n">
        <v>83</v>
      </c>
      <c r="E1042" s="7" t="n">
        <v>79</v>
      </c>
      <c r="F1042" s="7" t="s">
        <v>546</v>
      </c>
      <c r="G1042" s="7" t="s">
        <v>546</v>
      </c>
      <c r="H1042" s="7" t="s">
        <v>546</v>
      </c>
      <c r="I1042" s="7" t="s">
        <v>546</v>
      </c>
      <c r="J1042" s="21" t="n">
        <f aca="false">D1042/(D1042+E1042)</f>
        <v>0.512345679012346</v>
      </c>
      <c r="K1042" s="3" t="n">
        <f aca="false">IF(D1042&gt;E1042,1,0)</f>
        <v>1</v>
      </c>
      <c r="L1042" s="3" t="n">
        <f aca="false">IF(OR(F1042="Y",G1042="Y",H1042="Y"),1,0)</f>
        <v>0</v>
      </c>
      <c r="M1042" s="3" t="n">
        <f aca="false">IF(H1042="Y",1,0)</f>
        <v>0</v>
      </c>
      <c r="N1042" s="3" t="n">
        <f aca="false">IF(I1042="Y",1,0)</f>
        <v>0</v>
      </c>
    </row>
    <row r="1043" customFormat="false" ht="15" hidden="false" customHeight="true" outlineLevel="0" collapsed="false">
      <c r="A1043" s="7" t="s">
        <v>82</v>
      </c>
      <c r="B1043" s="7" t="n">
        <v>1997</v>
      </c>
      <c r="C1043" s="7" t="s">
        <v>385</v>
      </c>
      <c r="D1043" s="7" t="n">
        <v>83</v>
      </c>
      <c r="E1043" s="7" t="n">
        <v>79</v>
      </c>
      <c r="F1043" s="7" t="s">
        <v>546</v>
      </c>
      <c r="G1043" s="7" t="s">
        <v>546</v>
      </c>
      <c r="H1043" s="7" t="s">
        <v>546</v>
      </c>
      <c r="I1043" s="7" t="s">
        <v>546</v>
      </c>
      <c r="J1043" s="21" t="n">
        <f aca="false">D1043/(D1043+E1043)</f>
        <v>0.512345679012346</v>
      </c>
      <c r="K1043" s="3" t="n">
        <f aca="false">IF(D1043&gt;E1043,1,0)</f>
        <v>1</v>
      </c>
      <c r="L1043" s="3" t="n">
        <f aca="false">IF(OR(F1043="Y",G1043="Y",H1043="Y"),1,0)</f>
        <v>0</v>
      </c>
      <c r="M1043" s="3" t="n">
        <f aca="false">IF(H1043="Y",1,0)</f>
        <v>0</v>
      </c>
      <c r="N1043" s="3" t="n">
        <f aca="false">IF(I1043="Y",1,0)</f>
        <v>0</v>
      </c>
    </row>
    <row r="1044" customFormat="false" ht="15" hidden="false" customHeight="true" outlineLevel="0" collapsed="false">
      <c r="A1044" s="7" t="s">
        <v>82</v>
      </c>
      <c r="B1044" s="7" t="n">
        <v>1998</v>
      </c>
      <c r="C1044" s="7" t="s">
        <v>385</v>
      </c>
      <c r="D1044" s="7" t="n">
        <v>77</v>
      </c>
      <c r="E1044" s="7" t="n">
        <v>85</v>
      </c>
      <c r="F1044" s="7" t="s">
        <v>546</v>
      </c>
      <c r="G1044" s="7" t="s">
        <v>546</v>
      </c>
      <c r="H1044" s="7" t="s">
        <v>546</v>
      </c>
      <c r="I1044" s="7" t="s">
        <v>546</v>
      </c>
      <c r="J1044" s="21" t="n">
        <f aca="false">D1044/(D1044+E1044)</f>
        <v>0.475308641975309</v>
      </c>
      <c r="K1044" s="3" t="n">
        <f aca="false">IF(D1044&gt;E1044,1,0)</f>
        <v>0</v>
      </c>
      <c r="L1044" s="3" t="n">
        <f aca="false">IF(OR(F1044="Y",G1044="Y",H1044="Y"),1,0)</f>
        <v>0</v>
      </c>
      <c r="M1044" s="3" t="n">
        <f aca="false">IF(H1044="Y",1,0)</f>
        <v>0</v>
      </c>
      <c r="N1044" s="3" t="n">
        <f aca="false">IF(I1044="Y",1,0)</f>
        <v>0</v>
      </c>
    </row>
    <row r="1045" customFormat="false" ht="15" hidden="false" customHeight="true" outlineLevel="0" collapsed="false">
      <c r="A1045" s="7" t="s">
        <v>82</v>
      </c>
      <c r="B1045" s="7" t="n">
        <v>1999</v>
      </c>
      <c r="C1045" s="7" t="s">
        <v>385</v>
      </c>
      <c r="D1045" s="7" t="n">
        <v>72</v>
      </c>
      <c r="E1045" s="7" t="n">
        <v>90</v>
      </c>
      <c r="F1045" s="7" t="s">
        <v>546</v>
      </c>
      <c r="G1045" s="7" t="s">
        <v>546</v>
      </c>
      <c r="H1045" s="7" t="s">
        <v>546</v>
      </c>
      <c r="I1045" s="7" t="s">
        <v>546</v>
      </c>
      <c r="J1045" s="21" t="n">
        <f aca="false">D1045/(D1045+E1045)</f>
        <v>0.444444444444444</v>
      </c>
      <c r="K1045" s="3" t="n">
        <f aca="false">IF(D1045&gt;E1045,1,0)</f>
        <v>0</v>
      </c>
      <c r="L1045" s="3" t="n">
        <f aca="false">IF(OR(F1045="Y",G1045="Y",H1045="Y"),1,0)</f>
        <v>0</v>
      </c>
      <c r="M1045" s="3" t="n">
        <f aca="false">IF(H1045="Y",1,0)</f>
        <v>0</v>
      </c>
      <c r="N1045" s="3" t="n">
        <f aca="false">IF(I1045="Y",1,0)</f>
        <v>0</v>
      </c>
    </row>
    <row r="1046" customFormat="false" ht="15" hidden="false" customHeight="true" outlineLevel="0" collapsed="false">
      <c r="A1046" s="7" t="s">
        <v>82</v>
      </c>
      <c r="B1046" s="7" t="n">
        <v>2000</v>
      </c>
      <c r="C1046" s="7" t="s">
        <v>385</v>
      </c>
      <c r="D1046" s="7" t="n">
        <v>82</v>
      </c>
      <c r="E1046" s="7" t="n">
        <v>80</v>
      </c>
      <c r="F1046" s="7" t="s">
        <v>546</v>
      </c>
      <c r="G1046" s="7" t="s">
        <v>546</v>
      </c>
      <c r="H1046" s="7" t="s">
        <v>546</v>
      </c>
      <c r="I1046" s="7" t="s">
        <v>546</v>
      </c>
      <c r="J1046" s="21" t="n">
        <f aca="false">D1046/(D1046+E1046)</f>
        <v>0.506172839506173</v>
      </c>
      <c r="K1046" s="3" t="n">
        <f aca="false">IF(D1046&gt;E1046,1,0)</f>
        <v>1</v>
      </c>
      <c r="L1046" s="3" t="n">
        <f aca="false">IF(OR(F1046="Y",G1046="Y",H1046="Y"),1,0)</f>
        <v>0</v>
      </c>
      <c r="M1046" s="3" t="n">
        <f aca="false">IF(H1046="Y",1,0)</f>
        <v>0</v>
      </c>
      <c r="N1046" s="3" t="n">
        <f aca="false">IF(I1046="Y",1,0)</f>
        <v>0</v>
      </c>
    </row>
    <row r="1047" customFormat="false" ht="15" hidden="false" customHeight="true" outlineLevel="0" collapsed="false">
      <c r="A1047" s="7" t="s">
        <v>82</v>
      </c>
      <c r="B1047" s="7" t="n">
        <v>2001</v>
      </c>
      <c r="C1047" s="7" t="s">
        <v>385</v>
      </c>
      <c r="D1047" s="7" t="n">
        <v>73</v>
      </c>
      <c r="E1047" s="7" t="n">
        <v>89</v>
      </c>
      <c r="F1047" s="7" t="s">
        <v>546</v>
      </c>
      <c r="G1047" s="7" t="s">
        <v>546</v>
      </c>
      <c r="H1047" s="7" t="s">
        <v>546</v>
      </c>
      <c r="I1047" s="7" t="s">
        <v>546</v>
      </c>
      <c r="J1047" s="21" t="n">
        <f aca="false">D1047/(D1047+E1047)</f>
        <v>0.450617283950617</v>
      </c>
      <c r="K1047" s="3" t="n">
        <f aca="false">IF(D1047&gt;E1047,1,0)</f>
        <v>0</v>
      </c>
      <c r="L1047" s="3" t="n">
        <f aca="false">IF(OR(F1047="Y",G1047="Y",H1047="Y"),1,0)</f>
        <v>0</v>
      </c>
      <c r="M1047" s="3" t="n">
        <f aca="false">IF(H1047="Y",1,0)</f>
        <v>0</v>
      </c>
      <c r="N1047" s="3" t="n">
        <f aca="false">IF(I1047="Y",1,0)</f>
        <v>0</v>
      </c>
    </row>
    <row r="1048" customFormat="false" ht="15" hidden="false" customHeight="true" outlineLevel="0" collapsed="false">
      <c r="A1048" s="7" t="s">
        <v>82</v>
      </c>
      <c r="B1048" s="7" t="n">
        <v>2002</v>
      </c>
      <c r="C1048" s="7" t="s">
        <v>385</v>
      </c>
      <c r="D1048" s="7" t="n">
        <v>73</v>
      </c>
      <c r="E1048" s="7" t="n">
        <v>89</v>
      </c>
      <c r="F1048" s="7" t="s">
        <v>546</v>
      </c>
      <c r="G1048" s="7" t="s">
        <v>546</v>
      </c>
      <c r="H1048" s="7" t="s">
        <v>546</v>
      </c>
      <c r="I1048" s="7" t="s">
        <v>546</v>
      </c>
      <c r="J1048" s="21" t="n">
        <f aca="false">D1048/(D1048+E1048)</f>
        <v>0.450617283950617</v>
      </c>
      <c r="K1048" s="3" t="n">
        <f aca="false">IF(D1048&gt;E1048,1,0)</f>
        <v>0</v>
      </c>
      <c r="L1048" s="3" t="n">
        <f aca="false">IF(OR(F1048="Y",G1048="Y",H1048="Y"),1,0)</f>
        <v>0</v>
      </c>
      <c r="M1048" s="3" t="n">
        <f aca="false">IF(H1048="Y",1,0)</f>
        <v>0</v>
      </c>
      <c r="N1048" s="3" t="n">
        <f aca="false">IF(I1048="Y",1,0)</f>
        <v>0</v>
      </c>
    </row>
    <row r="1049" customFormat="false" ht="15" hidden="false" customHeight="true" outlineLevel="0" collapsed="false">
      <c r="A1049" s="7" t="s">
        <v>82</v>
      </c>
      <c r="B1049" s="7" t="n">
        <v>2003</v>
      </c>
      <c r="C1049" s="7" t="s">
        <v>385</v>
      </c>
      <c r="D1049" s="7" t="n">
        <v>74</v>
      </c>
      <c r="E1049" s="7" t="n">
        <v>88</v>
      </c>
      <c r="F1049" s="7" t="s">
        <v>546</v>
      </c>
      <c r="G1049" s="7" t="s">
        <v>546</v>
      </c>
      <c r="H1049" s="7" t="s">
        <v>546</v>
      </c>
      <c r="I1049" s="7" t="s">
        <v>546</v>
      </c>
      <c r="J1049" s="21" t="n">
        <f aca="false">D1049/(D1049+E1049)</f>
        <v>0.45679012345679</v>
      </c>
      <c r="K1049" s="3" t="n">
        <f aca="false">IF(D1049&gt;E1049,1,0)</f>
        <v>0</v>
      </c>
      <c r="L1049" s="3" t="n">
        <f aca="false">IF(OR(F1049="Y",G1049="Y",H1049="Y"),1,0)</f>
        <v>0</v>
      </c>
      <c r="M1049" s="3" t="n">
        <f aca="false">IF(H1049="Y",1,0)</f>
        <v>0</v>
      </c>
      <c r="N1049" s="3" t="n">
        <f aca="false">IF(I1049="Y",1,0)</f>
        <v>0</v>
      </c>
    </row>
    <row r="1050" customFormat="false" ht="15" hidden="false" customHeight="true" outlineLevel="0" collapsed="false">
      <c r="A1050" s="7" t="s">
        <v>82</v>
      </c>
      <c r="B1050" s="7" t="n">
        <v>2004</v>
      </c>
      <c r="C1050" s="7" t="s">
        <v>385</v>
      </c>
      <c r="D1050" s="7" t="n">
        <v>68</v>
      </c>
      <c r="E1050" s="7" t="n">
        <v>94</v>
      </c>
      <c r="F1050" s="7" t="s">
        <v>546</v>
      </c>
      <c r="G1050" s="7" t="s">
        <v>546</v>
      </c>
      <c r="H1050" s="7" t="s">
        <v>546</v>
      </c>
      <c r="I1050" s="7" t="s">
        <v>546</v>
      </c>
      <c r="J1050" s="21" t="n">
        <f aca="false">D1050/(D1050+E1050)</f>
        <v>0.419753086419753</v>
      </c>
      <c r="K1050" s="3" t="n">
        <f aca="false">IF(D1050&gt;E1050,1,0)</f>
        <v>0</v>
      </c>
      <c r="L1050" s="3" t="n">
        <f aca="false">IF(OR(F1050="Y",G1050="Y",H1050="Y"),1,0)</f>
        <v>0</v>
      </c>
      <c r="M1050" s="3" t="n">
        <f aca="false">IF(H1050="Y",1,0)</f>
        <v>0</v>
      </c>
      <c r="N1050" s="3" t="n">
        <f aca="false">IF(I1050="Y",1,0)</f>
        <v>0</v>
      </c>
    </row>
    <row r="1051" customFormat="false" ht="15" hidden="false" customHeight="true" outlineLevel="0" collapsed="false">
      <c r="A1051" s="7" t="s">
        <v>82</v>
      </c>
      <c r="B1051" s="7" t="n">
        <v>2005</v>
      </c>
      <c r="C1051" s="7" t="s">
        <v>385</v>
      </c>
      <c r="D1051" s="7" t="n">
        <v>67</v>
      </c>
      <c r="E1051" s="7" t="n">
        <v>95</v>
      </c>
      <c r="F1051" s="7" t="s">
        <v>546</v>
      </c>
      <c r="G1051" s="7" t="s">
        <v>546</v>
      </c>
      <c r="H1051" s="7" t="s">
        <v>546</v>
      </c>
      <c r="I1051" s="7" t="s">
        <v>546</v>
      </c>
      <c r="J1051" s="21" t="n">
        <f aca="false">D1051/(D1051+E1051)</f>
        <v>0.41358024691358</v>
      </c>
      <c r="K1051" s="3" t="n">
        <f aca="false">IF(D1051&gt;E1051,1,0)</f>
        <v>0</v>
      </c>
      <c r="L1051" s="3" t="n">
        <f aca="false">IF(OR(F1051="Y",G1051="Y",H1051="Y"),1,0)</f>
        <v>0</v>
      </c>
      <c r="M1051" s="3" t="n">
        <f aca="false">IF(H1051="Y",1,0)</f>
        <v>0</v>
      </c>
      <c r="N1051" s="3" t="n">
        <f aca="false">IF(I1051="Y",1,0)</f>
        <v>0</v>
      </c>
    </row>
    <row r="1052" customFormat="false" ht="15" hidden="false" customHeight="true" outlineLevel="0" collapsed="false">
      <c r="A1052" s="7" t="s">
        <v>82</v>
      </c>
      <c r="B1052" s="7" t="n">
        <v>2006</v>
      </c>
      <c r="C1052" s="7" t="s">
        <v>385</v>
      </c>
      <c r="D1052" s="7" t="n">
        <v>76</v>
      </c>
      <c r="E1052" s="7" t="n">
        <v>86</v>
      </c>
      <c r="F1052" s="7" t="s">
        <v>546</v>
      </c>
      <c r="G1052" s="7" t="s">
        <v>546</v>
      </c>
      <c r="H1052" s="7" t="s">
        <v>546</v>
      </c>
      <c r="I1052" s="7" t="s">
        <v>546</v>
      </c>
      <c r="J1052" s="21" t="n">
        <f aca="false">D1052/(D1052+E1052)</f>
        <v>0.469135802469136</v>
      </c>
      <c r="K1052" s="3" t="n">
        <f aca="false">IF(D1052&gt;E1052,1,0)</f>
        <v>0</v>
      </c>
      <c r="L1052" s="3" t="n">
        <f aca="false">IF(OR(F1052="Y",G1052="Y",H1052="Y"),1,0)</f>
        <v>0</v>
      </c>
      <c r="M1052" s="3" t="n">
        <f aca="false">IF(H1052="Y",1,0)</f>
        <v>0</v>
      </c>
      <c r="N1052" s="3" t="n">
        <f aca="false">IF(I1052="Y",1,0)</f>
        <v>0</v>
      </c>
    </row>
    <row r="1053" customFormat="false" ht="15" hidden="false" customHeight="true" outlineLevel="0" collapsed="false">
      <c r="A1053" s="7" t="s">
        <v>82</v>
      </c>
      <c r="B1053" s="7" t="n">
        <v>2007</v>
      </c>
      <c r="C1053" s="7" t="s">
        <v>385</v>
      </c>
      <c r="D1053" s="7" t="n">
        <v>90</v>
      </c>
      <c r="E1053" s="7" t="n">
        <v>73</v>
      </c>
      <c r="F1053" s="7" t="s">
        <v>546</v>
      </c>
      <c r="G1053" s="7" t="s">
        <v>548</v>
      </c>
      <c r="H1053" s="7" t="s">
        <v>548</v>
      </c>
      <c r="I1053" s="7" t="s">
        <v>546</v>
      </c>
      <c r="J1053" s="21" t="n">
        <f aca="false">D1053/(D1053+E1053)</f>
        <v>0.552147239263804</v>
      </c>
      <c r="K1053" s="3" t="n">
        <f aca="false">IF(D1053&gt;E1053,1,0)</f>
        <v>1</v>
      </c>
      <c r="L1053" s="3" t="n">
        <f aca="false">IF(OR(F1053="Y",G1053="Y",H1053="Y"),1,0)</f>
        <v>1</v>
      </c>
      <c r="M1053" s="3" t="n">
        <f aca="false">IF(H1053="Y",1,0)</f>
        <v>1</v>
      </c>
      <c r="N1053" s="3" t="n">
        <f aca="false">IF(I1053="Y",1,0)</f>
        <v>0</v>
      </c>
    </row>
    <row r="1054" customFormat="false" ht="15" hidden="false" customHeight="true" outlineLevel="0" collapsed="false">
      <c r="A1054" s="7" t="s">
        <v>82</v>
      </c>
      <c r="B1054" s="7" t="n">
        <v>2008</v>
      </c>
      <c r="C1054" s="7" t="s">
        <v>385</v>
      </c>
      <c r="D1054" s="7" t="n">
        <v>74</v>
      </c>
      <c r="E1054" s="7" t="n">
        <v>88</v>
      </c>
      <c r="F1054" s="7" t="s">
        <v>546</v>
      </c>
      <c r="G1054" s="7" t="s">
        <v>546</v>
      </c>
      <c r="H1054" s="7" t="s">
        <v>546</v>
      </c>
      <c r="I1054" s="7" t="s">
        <v>546</v>
      </c>
      <c r="J1054" s="21" t="n">
        <f aca="false">D1054/(D1054+E1054)</f>
        <v>0.45679012345679</v>
      </c>
      <c r="K1054" s="3" t="n">
        <f aca="false">IF(D1054&gt;E1054,1,0)</f>
        <v>0</v>
      </c>
      <c r="L1054" s="3" t="n">
        <f aca="false">IF(OR(F1054="Y",G1054="Y",H1054="Y"),1,0)</f>
        <v>0</v>
      </c>
      <c r="M1054" s="3" t="n">
        <f aca="false">IF(H1054="Y",1,0)</f>
        <v>0</v>
      </c>
      <c r="N1054" s="3" t="n">
        <f aca="false">IF(I1054="Y",1,0)</f>
        <v>0</v>
      </c>
    </row>
    <row r="1055" customFormat="false" ht="15" hidden="false" customHeight="true" outlineLevel="0" collapsed="false">
      <c r="A1055" s="7" t="s">
        <v>82</v>
      </c>
      <c r="B1055" s="7" t="n">
        <v>2009</v>
      </c>
      <c r="C1055" s="7" t="s">
        <v>385</v>
      </c>
      <c r="D1055" s="7" t="n">
        <v>92</v>
      </c>
      <c r="E1055" s="7" t="n">
        <v>70</v>
      </c>
      <c r="F1055" s="7" t="s">
        <v>546</v>
      </c>
      <c r="G1055" s="7" t="s">
        <v>548</v>
      </c>
      <c r="H1055" s="7" t="s">
        <v>546</v>
      </c>
      <c r="I1055" s="7" t="s">
        <v>546</v>
      </c>
      <c r="J1055" s="21" t="n">
        <f aca="false">D1055/(D1055+E1055)</f>
        <v>0.567901234567901</v>
      </c>
      <c r="K1055" s="3" t="n">
        <f aca="false">IF(D1055&gt;E1055,1,0)</f>
        <v>1</v>
      </c>
      <c r="L1055" s="3" t="n">
        <f aca="false">IF(OR(F1055="Y",G1055="Y",H1055="Y"),1,0)</f>
        <v>1</v>
      </c>
      <c r="M1055" s="3" t="n">
        <f aca="false">IF(H1055="Y",1,0)</f>
        <v>0</v>
      </c>
      <c r="N1055" s="3" t="n">
        <f aca="false">IF(I1055="Y",1,0)</f>
        <v>0</v>
      </c>
    </row>
    <row r="1056" customFormat="false" ht="15" hidden="false" customHeight="true" outlineLevel="0" collapsed="false">
      <c r="A1056" s="7" t="s">
        <v>82</v>
      </c>
      <c r="B1056" s="7" t="n">
        <v>2010</v>
      </c>
      <c r="C1056" s="7" t="s">
        <v>385</v>
      </c>
      <c r="D1056" s="7" t="n">
        <v>83</v>
      </c>
      <c r="E1056" s="7" t="n">
        <v>79</v>
      </c>
      <c r="F1056" s="7" t="s">
        <v>546</v>
      </c>
      <c r="G1056" s="7" t="s">
        <v>546</v>
      </c>
      <c r="H1056" s="7" t="s">
        <v>546</v>
      </c>
      <c r="I1056" s="7" t="s">
        <v>546</v>
      </c>
      <c r="J1056" s="21" t="n">
        <f aca="false">D1056/(D1056+E1056)</f>
        <v>0.512345679012346</v>
      </c>
      <c r="K1056" s="3" t="n">
        <f aca="false">IF(D1056&gt;E1056,1,0)</f>
        <v>1</v>
      </c>
      <c r="L1056" s="3" t="n">
        <f aca="false">IF(OR(F1056="Y",G1056="Y",H1056="Y"),1,0)</f>
        <v>0</v>
      </c>
      <c r="M1056" s="3" t="n">
        <f aca="false">IF(H1056="Y",1,0)</f>
        <v>0</v>
      </c>
      <c r="N1056" s="3" t="n">
        <f aca="false">IF(I1056="Y",1,0)</f>
        <v>0</v>
      </c>
    </row>
    <row r="1057" customFormat="false" ht="15" hidden="false" customHeight="true" outlineLevel="0" collapsed="false">
      <c r="A1057" s="7" t="s">
        <v>82</v>
      </c>
      <c r="B1057" s="7" t="n">
        <v>2011</v>
      </c>
      <c r="C1057" s="7" t="s">
        <v>385</v>
      </c>
      <c r="D1057" s="7" t="n">
        <v>73</v>
      </c>
      <c r="E1057" s="7" t="n">
        <v>89</v>
      </c>
      <c r="F1057" s="7" t="s">
        <v>546</v>
      </c>
      <c r="G1057" s="7" t="s">
        <v>546</v>
      </c>
      <c r="H1057" s="7" t="s">
        <v>546</v>
      </c>
      <c r="I1057" s="7" t="s">
        <v>546</v>
      </c>
      <c r="J1057" s="21" t="n">
        <f aca="false">D1057/(D1057+E1057)</f>
        <v>0.450617283950617</v>
      </c>
      <c r="K1057" s="3" t="n">
        <f aca="false">IF(D1057&gt;E1057,1,0)</f>
        <v>0</v>
      </c>
      <c r="L1057" s="3" t="n">
        <f aca="false">IF(OR(F1057="Y",G1057="Y",H1057="Y"),1,0)</f>
        <v>0</v>
      </c>
      <c r="M1057" s="3" t="n">
        <f aca="false">IF(H1057="Y",1,0)</f>
        <v>0</v>
      </c>
      <c r="N1057" s="3" t="n">
        <f aca="false">IF(I1057="Y",1,0)</f>
        <v>0</v>
      </c>
    </row>
    <row r="1058" customFormat="false" ht="15" hidden="false" customHeight="true" outlineLevel="0" collapsed="false">
      <c r="A1058" s="7" t="s">
        <v>82</v>
      </c>
      <c r="B1058" s="7" t="n">
        <v>2012</v>
      </c>
      <c r="C1058" s="7" t="s">
        <v>385</v>
      </c>
      <c r="D1058" s="7" t="n">
        <v>64</v>
      </c>
      <c r="E1058" s="7" t="n">
        <v>98</v>
      </c>
      <c r="F1058" s="7" t="s">
        <v>546</v>
      </c>
      <c r="G1058" s="7" t="s">
        <v>546</v>
      </c>
      <c r="H1058" s="7" t="s">
        <v>546</v>
      </c>
      <c r="I1058" s="7" t="s">
        <v>546</v>
      </c>
      <c r="J1058" s="21" t="n">
        <f aca="false">D1058/(D1058+E1058)</f>
        <v>0.395061728395062</v>
      </c>
      <c r="K1058" s="3" t="n">
        <f aca="false">IF(D1058&gt;E1058,1,0)</f>
        <v>0</v>
      </c>
      <c r="L1058" s="3" t="n">
        <f aca="false">IF(OR(F1058="Y",G1058="Y",H1058="Y"),1,0)</f>
        <v>0</v>
      </c>
      <c r="M1058" s="3" t="n">
        <f aca="false">IF(H1058="Y",1,0)</f>
        <v>0</v>
      </c>
      <c r="N1058" s="3" t="n">
        <f aca="false">IF(I1058="Y",1,0)</f>
        <v>0</v>
      </c>
    </row>
    <row r="1059" customFormat="false" ht="15" hidden="false" customHeight="true" outlineLevel="0" collapsed="false">
      <c r="A1059" s="7" t="s">
        <v>82</v>
      </c>
      <c r="B1059" s="7" t="n">
        <v>2013</v>
      </c>
      <c r="C1059" s="7" t="s">
        <v>385</v>
      </c>
      <c r="D1059" s="7" t="n">
        <v>74</v>
      </c>
      <c r="E1059" s="7" t="n">
        <v>88</v>
      </c>
      <c r="F1059" s="7" t="s">
        <v>546</v>
      </c>
      <c r="G1059" s="7" t="s">
        <v>546</v>
      </c>
      <c r="H1059" s="7" t="s">
        <v>546</v>
      </c>
      <c r="I1059" s="7" t="s">
        <v>546</v>
      </c>
      <c r="J1059" s="21" t="n">
        <f aca="false">D1059/(D1059+E1059)</f>
        <v>0.45679012345679</v>
      </c>
      <c r="K1059" s="3" t="n">
        <f aca="false">IF(D1059&gt;E1059,1,0)</f>
        <v>0</v>
      </c>
      <c r="L1059" s="3" t="n">
        <f aca="false">IF(OR(F1059="Y",G1059="Y",H1059="Y"),1,0)</f>
        <v>0</v>
      </c>
      <c r="M1059" s="3" t="n">
        <f aca="false">IF(H1059="Y",1,0)</f>
        <v>0</v>
      </c>
      <c r="N1059" s="3" t="n">
        <f aca="false">IF(I1059="Y",1,0)</f>
        <v>0</v>
      </c>
    </row>
    <row r="1060" customFormat="false" ht="15" hidden="false" customHeight="true" outlineLevel="0" collapsed="false">
      <c r="A1060" s="7" t="s">
        <v>82</v>
      </c>
      <c r="B1060" s="7" t="n">
        <v>2014</v>
      </c>
      <c r="C1060" s="7" t="s">
        <v>385</v>
      </c>
      <c r="D1060" s="7" t="n">
        <v>66</v>
      </c>
      <c r="E1060" s="7" t="n">
        <v>96</v>
      </c>
      <c r="F1060" s="7" t="s">
        <v>546</v>
      </c>
      <c r="G1060" s="7" t="s">
        <v>546</v>
      </c>
      <c r="H1060" s="7" t="s">
        <v>546</v>
      </c>
      <c r="I1060" s="7" t="s">
        <v>546</v>
      </c>
      <c r="J1060" s="21" t="n">
        <f aca="false">D1060/(D1060+E1060)</f>
        <v>0.407407407407407</v>
      </c>
      <c r="K1060" s="3" t="n">
        <f aca="false">IF(D1060&gt;E1060,1,0)</f>
        <v>0</v>
      </c>
      <c r="L1060" s="3" t="n">
        <f aca="false">IF(OR(F1060="Y",G1060="Y",H1060="Y"),1,0)</f>
        <v>0</v>
      </c>
      <c r="M1060" s="3" t="n">
        <f aca="false">IF(H1060="Y",1,0)</f>
        <v>0</v>
      </c>
      <c r="N1060" s="3" t="n">
        <f aca="false">IF(I1060="Y",1,0)</f>
        <v>0</v>
      </c>
    </row>
    <row r="1061" customFormat="false" ht="15" hidden="false" customHeight="true" outlineLevel="0" collapsed="false">
      <c r="A1061" s="7" t="s">
        <v>82</v>
      </c>
      <c r="B1061" s="7" t="n">
        <v>2015</v>
      </c>
      <c r="C1061" s="7" t="s">
        <v>385</v>
      </c>
      <c r="D1061" s="7" t="n">
        <v>68</v>
      </c>
      <c r="E1061" s="7" t="n">
        <v>94</v>
      </c>
      <c r="F1061" s="7" t="s">
        <v>546</v>
      </c>
      <c r="G1061" s="7" t="s">
        <v>546</v>
      </c>
      <c r="H1061" s="7" t="s">
        <v>546</v>
      </c>
      <c r="I1061" s="7" t="s">
        <v>546</v>
      </c>
      <c r="J1061" s="21" t="n">
        <f aca="false">D1061/(D1061+E1061)</f>
        <v>0.419753086419753</v>
      </c>
      <c r="K1061" s="3" t="n">
        <f aca="false">IF(D1061&gt;E1061,1,0)</f>
        <v>0</v>
      </c>
      <c r="L1061" s="3" t="n">
        <f aca="false">IF(OR(F1061="Y",G1061="Y",H1061="Y"),1,0)</f>
        <v>0</v>
      </c>
      <c r="M1061" s="3" t="n">
        <f aca="false">IF(H1061="Y",1,0)</f>
        <v>0</v>
      </c>
      <c r="N1061" s="3" t="n">
        <f aca="false">IF(I1061="Y",1,0)</f>
        <v>0</v>
      </c>
    </row>
    <row r="1062" customFormat="false" ht="15" hidden="false" customHeight="true" outlineLevel="0" collapsed="false">
      <c r="A1062" s="7" t="s">
        <v>82</v>
      </c>
      <c r="B1062" s="7" t="n">
        <v>2016</v>
      </c>
      <c r="C1062" s="7" t="s">
        <v>385</v>
      </c>
      <c r="D1062" s="7" t="n">
        <v>75</v>
      </c>
      <c r="E1062" s="7" t="n">
        <v>87</v>
      </c>
      <c r="F1062" s="7" t="s">
        <v>546</v>
      </c>
      <c r="G1062" s="7" t="s">
        <v>546</v>
      </c>
      <c r="H1062" s="7" t="s">
        <v>546</v>
      </c>
      <c r="I1062" s="7" t="s">
        <v>546</v>
      </c>
      <c r="J1062" s="21" t="n">
        <f aca="false">D1062/(D1062+E1062)</f>
        <v>0.462962962962963</v>
      </c>
      <c r="K1062" s="3" t="n">
        <f aca="false">IF(D1062&gt;E1062,1,0)</f>
        <v>0</v>
      </c>
      <c r="L1062" s="3" t="n">
        <f aca="false">IF(OR(F1062="Y",G1062="Y",H1062="Y"),1,0)</f>
        <v>0</v>
      </c>
      <c r="M1062" s="3" t="n">
        <f aca="false">IF(H1062="Y",1,0)</f>
        <v>0</v>
      </c>
      <c r="N1062" s="3" t="n">
        <f aca="false">IF(I1062="Y",1,0)</f>
        <v>0</v>
      </c>
    </row>
    <row r="1063" customFormat="false" ht="15" hidden="false" customHeight="true" outlineLevel="0" collapsed="false">
      <c r="A1063" s="7" t="s">
        <v>82</v>
      </c>
      <c r="B1063" s="7" t="n">
        <v>2017</v>
      </c>
      <c r="C1063" s="7" t="s">
        <v>385</v>
      </c>
      <c r="D1063" s="7" t="n">
        <v>87</v>
      </c>
      <c r="E1063" s="7" t="n">
        <v>75</v>
      </c>
      <c r="F1063" s="7" t="s">
        <v>546</v>
      </c>
      <c r="G1063" s="7" t="s">
        <v>548</v>
      </c>
      <c r="H1063" s="7" t="s">
        <v>546</v>
      </c>
      <c r="I1063" s="7" t="s">
        <v>546</v>
      </c>
      <c r="J1063" s="21" t="n">
        <f aca="false">D1063/(D1063+E1063)</f>
        <v>0.537037037037037</v>
      </c>
      <c r="K1063" s="3" t="n">
        <f aca="false">IF(D1063&gt;E1063,1,0)</f>
        <v>1</v>
      </c>
      <c r="L1063" s="3" t="n">
        <f aca="false">IF(OR(F1063="Y",G1063="Y",H1063="Y"),1,0)</f>
        <v>1</v>
      </c>
      <c r="M1063" s="3" t="n">
        <f aca="false">IF(H1063="Y",1,0)</f>
        <v>0</v>
      </c>
      <c r="N1063" s="3" t="n">
        <f aca="false">IF(I1063="Y",1,0)</f>
        <v>0</v>
      </c>
    </row>
    <row r="1064" customFormat="false" ht="15" hidden="false" customHeight="true" outlineLevel="0" collapsed="false">
      <c r="A1064" s="7" t="s">
        <v>82</v>
      </c>
      <c r="B1064" s="7" t="n">
        <v>2018</v>
      </c>
      <c r="C1064" s="7" t="s">
        <v>385</v>
      </c>
      <c r="D1064" s="7" t="n">
        <v>91</v>
      </c>
      <c r="E1064" s="7" t="n">
        <v>72</v>
      </c>
      <c r="F1064" s="7" t="s">
        <v>546</v>
      </c>
      <c r="G1064" s="7" t="s">
        <v>548</v>
      </c>
      <c r="H1064" s="7" t="s">
        <v>546</v>
      </c>
      <c r="I1064" s="7" t="s">
        <v>546</v>
      </c>
      <c r="J1064" s="21" t="n">
        <f aca="false">D1064/(D1064+E1064)</f>
        <v>0.558282208588957</v>
      </c>
      <c r="K1064" s="3" t="n">
        <f aca="false">IF(D1064&gt;E1064,1,0)</f>
        <v>1</v>
      </c>
      <c r="L1064" s="3" t="n">
        <f aca="false">IF(OR(F1064="Y",G1064="Y",H1064="Y"),1,0)</f>
        <v>1</v>
      </c>
      <c r="M1064" s="3" t="n">
        <f aca="false">IF(H1064="Y",1,0)</f>
        <v>0</v>
      </c>
      <c r="N1064" s="3" t="n">
        <f aca="false">IF(I1064="Y",1,0)</f>
        <v>0</v>
      </c>
    </row>
    <row r="1065" customFormat="false" ht="15" hidden="false" customHeight="true" outlineLevel="0" collapsed="false">
      <c r="A1065" s="7" t="s">
        <v>82</v>
      </c>
      <c r="B1065" s="7" t="n">
        <v>2019</v>
      </c>
      <c r="C1065" s="7" t="s">
        <v>385</v>
      </c>
      <c r="D1065" s="7" t="n">
        <v>71</v>
      </c>
      <c r="E1065" s="7" t="n">
        <v>91</v>
      </c>
      <c r="F1065" s="7" t="s">
        <v>546</v>
      </c>
      <c r="G1065" s="7" t="s">
        <v>546</v>
      </c>
      <c r="H1065" s="7" t="s">
        <v>546</v>
      </c>
      <c r="I1065" s="7" t="s">
        <v>546</v>
      </c>
      <c r="J1065" s="21" t="n">
        <f aca="false">D1065/(D1065+E1065)</f>
        <v>0.438271604938272</v>
      </c>
      <c r="K1065" s="3" t="n">
        <f aca="false">IF(D1065&gt;E1065,1,0)</f>
        <v>0</v>
      </c>
      <c r="L1065" s="3" t="n">
        <f aca="false">IF(OR(F1065="Y",G1065="Y",H1065="Y"),1,0)</f>
        <v>0</v>
      </c>
      <c r="M1065" s="3" t="n">
        <f aca="false">IF(H1065="Y",1,0)</f>
        <v>0</v>
      </c>
      <c r="N1065" s="3" t="n">
        <f aca="false">IF(I1065="Y",1,0)</f>
        <v>0</v>
      </c>
    </row>
    <row r="1066" customFormat="false" ht="15" hidden="false" customHeight="true" outlineLevel="0" collapsed="false">
      <c r="A1066" s="7" t="s">
        <v>82</v>
      </c>
      <c r="B1066" s="7" t="n">
        <v>2020</v>
      </c>
      <c r="C1066" s="7" t="s">
        <v>385</v>
      </c>
      <c r="D1066" s="7" t="n">
        <v>26</v>
      </c>
      <c r="E1066" s="7" t="n">
        <v>34</v>
      </c>
      <c r="F1066" s="7" t="s">
        <v>546</v>
      </c>
      <c r="G1066" s="7" t="s">
        <v>546</v>
      </c>
      <c r="H1066" s="7" t="s">
        <v>546</v>
      </c>
      <c r="I1066" s="7" t="s">
        <v>546</v>
      </c>
      <c r="J1066" s="21" t="n">
        <f aca="false">D1066/(D1066+E1066)</f>
        <v>0.433333333333333</v>
      </c>
      <c r="K1066" s="3" t="n">
        <f aca="false">IF(D1066&gt;E1066,1,0)</f>
        <v>0</v>
      </c>
      <c r="L1066" s="3" t="n">
        <f aca="false">IF(OR(F1066="Y",G1066="Y",H1066="Y"),1,0)</f>
        <v>0</v>
      </c>
      <c r="M1066" s="3" t="n">
        <f aca="false">IF(H1066="Y",1,0)</f>
        <v>0</v>
      </c>
      <c r="N1066" s="3" t="n">
        <f aca="false">IF(I1066="Y",1,0)</f>
        <v>0</v>
      </c>
    </row>
    <row r="1067" customFormat="false" ht="15" hidden="false" customHeight="true" outlineLevel="0" collapsed="false">
      <c r="A1067" s="7" t="s">
        <v>82</v>
      </c>
      <c r="B1067" s="7" t="n">
        <v>2021</v>
      </c>
      <c r="C1067" s="7" t="s">
        <v>385</v>
      </c>
      <c r="D1067" s="7" t="n">
        <v>74</v>
      </c>
      <c r="E1067" s="7" t="n">
        <v>87</v>
      </c>
      <c r="F1067" s="7" t="s">
        <v>546</v>
      </c>
      <c r="G1067" s="7" t="s">
        <v>546</v>
      </c>
      <c r="H1067" s="7" t="s">
        <v>546</v>
      </c>
      <c r="I1067" s="7" t="s">
        <v>546</v>
      </c>
      <c r="J1067" s="21" t="n">
        <f aca="false">D1067/(D1067+E1067)</f>
        <v>0.459627329192547</v>
      </c>
      <c r="K1067" s="3" t="n">
        <f aca="false">IF(D1067&gt;E1067,1,0)</f>
        <v>0</v>
      </c>
      <c r="L1067" s="3" t="n">
        <f aca="false">IF(OR(F1067="Y",G1067="Y",H1067="Y"),1,0)</f>
        <v>0</v>
      </c>
      <c r="M1067" s="3" t="n">
        <f aca="false">IF(H1067="Y",1,0)</f>
        <v>0</v>
      </c>
      <c r="N1067" s="3" t="n">
        <f aca="false">IF(I1067="Y",1,0)</f>
        <v>0</v>
      </c>
    </row>
    <row r="1068" customFormat="false" ht="15" hidden="false" customHeight="true" outlineLevel="0" collapsed="false">
      <c r="A1068" s="7" t="s">
        <v>82</v>
      </c>
      <c r="B1068" s="7" t="n">
        <v>2022</v>
      </c>
      <c r="C1068" s="7" t="s">
        <v>385</v>
      </c>
      <c r="D1068" s="7" t="n">
        <v>68</v>
      </c>
      <c r="E1068" s="7" t="n">
        <v>94</v>
      </c>
      <c r="F1068" s="7" t="s">
        <v>546</v>
      </c>
      <c r="G1068" s="7" t="s">
        <v>546</v>
      </c>
      <c r="H1068" s="7" t="s">
        <v>546</v>
      </c>
      <c r="I1068" s="7" t="s">
        <v>546</v>
      </c>
      <c r="J1068" s="21" t="n">
        <f aca="false">D1068/(D1068+E1068)</f>
        <v>0.419753086419753</v>
      </c>
      <c r="K1068" s="3" t="n">
        <f aca="false">IF(D1068&gt;E1068,1,0)</f>
        <v>0</v>
      </c>
      <c r="L1068" s="3" t="n">
        <f aca="false">IF(OR(F1068="Y",G1068="Y",H1068="Y"),1,0)</f>
        <v>0</v>
      </c>
      <c r="M1068" s="3" t="n">
        <f aca="false">IF(H1068="Y",1,0)</f>
        <v>0</v>
      </c>
      <c r="N1068" s="3" t="n">
        <f aca="false">IF(I1068="Y",1,0)</f>
        <v>0</v>
      </c>
    </row>
    <row r="1069" customFormat="false" ht="15" hidden="false" customHeight="true" outlineLevel="0" collapsed="false">
      <c r="A1069" s="7" t="s">
        <v>82</v>
      </c>
      <c r="B1069" s="7" t="n">
        <v>2023</v>
      </c>
      <c r="C1069" s="7" t="s">
        <v>385</v>
      </c>
      <c r="D1069" s="7" t="n">
        <v>59</v>
      </c>
      <c r="E1069" s="7" t="n">
        <v>103</v>
      </c>
      <c r="F1069" s="7" t="s">
        <v>546</v>
      </c>
      <c r="G1069" s="7" t="s">
        <v>546</v>
      </c>
      <c r="H1069" s="7" t="s">
        <v>546</v>
      </c>
      <c r="I1069" s="7" t="s">
        <v>546</v>
      </c>
      <c r="J1069" s="21" t="n">
        <f aca="false">D1069/(D1069+E1069)</f>
        <v>0.364197530864198</v>
      </c>
      <c r="K1069" s="3" t="n">
        <f aca="false">IF(D1069&gt;E1069,1,0)</f>
        <v>0</v>
      </c>
      <c r="L1069" s="3" t="n">
        <f aca="false">IF(OR(F1069="Y",G1069="Y",H1069="Y"),1,0)</f>
        <v>0</v>
      </c>
      <c r="M1069" s="3" t="n">
        <f aca="false">IF(H1069="Y",1,0)</f>
        <v>0</v>
      </c>
      <c r="N1069" s="3" t="n">
        <f aca="false">IF(I1069="Y",1,0)</f>
        <v>0</v>
      </c>
    </row>
    <row r="1070" customFormat="false" ht="15" hidden="false" customHeight="true" outlineLevel="0" collapsed="false">
      <c r="A1070" s="7" t="s">
        <v>82</v>
      </c>
      <c r="B1070" s="7" t="n">
        <v>2024</v>
      </c>
      <c r="C1070" s="7" t="s">
        <v>385</v>
      </c>
      <c r="D1070" s="7" t="n">
        <v>61</v>
      </c>
      <c r="E1070" s="7" t="n">
        <v>101</v>
      </c>
      <c r="F1070" s="7" t="s">
        <v>546</v>
      </c>
      <c r="G1070" s="7" t="s">
        <v>546</v>
      </c>
      <c r="H1070" s="7" t="s">
        <v>546</v>
      </c>
      <c r="I1070" s="7" t="s">
        <v>546</v>
      </c>
      <c r="J1070" s="21" t="n">
        <f aca="false">D1070/(D1070+E1070)</f>
        <v>0.376543209876543</v>
      </c>
      <c r="K1070" s="3" t="n">
        <f aca="false">IF(D1070&gt;E1070,1,0)</f>
        <v>0</v>
      </c>
      <c r="L1070" s="3" t="n">
        <f aca="false">IF(OR(F1070="Y",G1070="Y",H1070="Y"),1,0)</f>
        <v>0</v>
      </c>
      <c r="M1070" s="3" t="n">
        <f aca="false">IF(H1070="Y",1,0)</f>
        <v>0</v>
      </c>
      <c r="N1070" s="3" t="n">
        <f aca="false">IF(I1070="Y",1,0)</f>
        <v>0</v>
      </c>
    </row>
    <row r="1071" customFormat="false" ht="15" hidden="false" customHeight="true" outlineLevel="0" collapsed="false">
      <c r="A1071" s="7" t="s">
        <v>82</v>
      </c>
      <c r="B1071" s="7" t="n">
        <v>2025</v>
      </c>
      <c r="C1071" s="7" t="s">
        <v>385</v>
      </c>
      <c r="D1071" s="7" t="n">
        <v>43</v>
      </c>
      <c r="E1071" s="7" t="n">
        <v>119</v>
      </c>
      <c r="F1071" s="7" t="s">
        <v>546</v>
      </c>
      <c r="G1071" s="7" t="s">
        <v>546</v>
      </c>
      <c r="H1071" s="7" t="s">
        <v>546</v>
      </c>
      <c r="I1071" s="7" t="s">
        <v>546</v>
      </c>
      <c r="J1071" s="21" t="n">
        <f aca="false">D1071/(D1071+E1071)</f>
        <v>0.265432098765432</v>
      </c>
      <c r="K1071" s="3" t="n">
        <f aca="false">IF(D1071&gt;E1071,1,0)</f>
        <v>0</v>
      </c>
      <c r="L1071" s="3" t="n">
        <f aca="false">IF(OR(F1071="Y",G1071="Y",H1071="Y"),1,0)</f>
        <v>0</v>
      </c>
      <c r="M1071" s="3" t="n">
        <f aca="false">IF(H1071="Y",1,0)</f>
        <v>0</v>
      </c>
      <c r="N1071" s="3" t="n">
        <f aca="false">IF(I1071="Y",1,0)</f>
        <v>0</v>
      </c>
    </row>
    <row r="1072" customFormat="false" ht="15" hidden="false" customHeight="true" outlineLevel="0" collapsed="false">
      <c r="A1072" s="7" t="s">
        <v>67</v>
      </c>
      <c r="B1072" s="7" t="n">
        <v>1901</v>
      </c>
      <c r="C1072" s="7" t="s">
        <v>368</v>
      </c>
      <c r="D1072" s="7" t="n">
        <v>74</v>
      </c>
      <c r="E1072" s="7" t="n">
        <v>61</v>
      </c>
      <c r="F1072" s="7"/>
      <c r="G1072" s="7"/>
      <c r="H1072" s="7" t="s">
        <v>546</v>
      </c>
      <c r="I1072" s="7"/>
      <c r="J1072" s="21" t="n">
        <f aca="false">D1072/(D1072+E1072)</f>
        <v>0.548148148148148</v>
      </c>
      <c r="K1072" s="3" t="n">
        <f aca="false">IF(D1072&gt;E1072,1,0)</f>
        <v>1</v>
      </c>
      <c r="L1072" s="3" t="n">
        <f aca="false">IF(OR(F1072="Y",G1072="Y",H1072="Y"),1,0)</f>
        <v>0</v>
      </c>
      <c r="M1072" s="3" t="n">
        <f aca="false">IF(H1072="Y",1,0)</f>
        <v>0</v>
      </c>
      <c r="N1072" s="3" t="n">
        <f aca="false">IF(I1072="Y",1,0)</f>
        <v>0</v>
      </c>
    </row>
    <row r="1073" customFormat="false" ht="15" hidden="false" customHeight="true" outlineLevel="0" collapsed="false">
      <c r="A1073" s="7" t="s">
        <v>67</v>
      </c>
      <c r="B1073" s="7" t="n">
        <v>1902</v>
      </c>
      <c r="C1073" s="7" t="s">
        <v>368</v>
      </c>
      <c r="D1073" s="7" t="n">
        <v>52</v>
      </c>
      <c r="E1073" s="7" t="n">
        <v>83</v>
      </c>
      <c r="F1073" s="7"/>
      <c r="G1073" s="7"/>
      <c r="H1073" s="7" t="s">
        <v>546</v>
      </c>
      <c r="I1073" s="7"/>
      <c r="J1073" s="21" t="n">
        <f aca="false">D1073/(D1073+E1073)</f>
        <v>0.385185185185185</v>
      </c>
      <c r="K1073" s="3" t="n">
        <f aca="false">IF(D1073&gt;E1073,1,0)</f>
        <v>0</v>
      </c>
      <c r="L1073" s="3" t="n">
        <f aca="false">IF(OR(F1073="Y",G1073="Y",H1073="Y"),1,0)</f>
        <v>0</v>
      </c>
      <c r="M1073" s="3" t="n">
        <f aca="false">IF(H1073="Y",1,0)</f>
        <v>0</v>
      </c>
      <c r="N1073" s="3" t="n">
        <f aca="false">IF(I1073="Y",1,0)</f>
        <v>0</v>
      </c>
    </row>
    <row r="1074" customFormat="false" ht="15" hidden="false" customHeight="true" outlineLevel="0" collapsed="false">
      <c r="A1074" s="7" t="s">
        <v>67</v>
      </c>
      <c r="B1074" s="7" t="n">
        <v>1903</v>
      </c>
      <c r="C1074" s="7" t="s">
        <v>368</v>
      </c>
      <c r="D1074" s="7" t="n">
        <v>65</v>
      </c>
      <c r="E1074" s="7" t="n">
        <v>71</v>
      </c>
      <c r="F1074" s="7"/>
      <c r="G1074" s="7"/>
      <c r="H1074" s="7" t="s">
        <v>546</v>
      </c>
      <c r="I1074" s="7" t="s">
        <v>546</v>
      </c>
      <c r="J1074" s="21" t="n">
        <f aca="false">D1074/(D1074+E1074)</f>
        <v>0.477941176470588</v>
      </c>
      <c r="K1074" s="3" t="n">
        <f aca="false">IF(D1074&gt;E1074,1,0)</f>
        <v>0</v>
      </c>
      <c r="L1074" s="3" t="n">
        <f aca="false">IF(OR(F1074="Y",G1074="Y",H1074="Y"),1,0)</f>
        <v>0</v>
      </c>
      <c r="M1074" s="3" t="n">
        <f aca="false">IF(H1074="Y",1,0)</f>
        <v>0</v>
      </c>
      <c r="N1074" s="3" t="n">
        <f aca="false">IF(I1074="Y",1,0)</f>
        <v>0</v>
      </c>
    </row>
    <row r="1075" customFormat="false" ht="15" hidden="false" customHeight="true" outlineLevel="0" collapsed="false">
      <c r="A1075" s="7" t="s">
        <v>67</v>
      </c>
      <c r="B1075" s="7" t="n">
        <v>1904</v>
      </c>
      <c r="C1075" s="7" t="s">
        <v>368</v>
      </c>
      <c r="D1075" s="7" t="n">
        <v>62</v>
      </c>
      <c r="E1075" s="7" t="n">
        <v>90</v>
      </c>
      <c r="F1075" s="7"/>
      <c r="G1075" s="7"/>
      <c r="H1075" s="7" t="s">
        <v>546</v>
      </c>
      <c r="I1075" s="7"/>
      <c r="J1075" s="21" t="n">
        <f aca="false">D1075/(D1075+E1075)</f>
        <v>0.407894736842105</v>
      </c>
      <c r="K1075" s="3" t="n">
        <f aca="false">IF(D1075&gt;E1075,1,0)</f>
        <v>0</v>
      </c>
      <c r="L1075" s="3" t="n">
        <f aca="false">IF(OR(F1075="Y",G1075="Y",H1075="Y"),1,0)</f>
        <v>0</v>
      </c>
      <c r="M1075" s="3" t="n">
        <f aca="false">IF(H1075="Y",1,0)</f>
        <v>0</v>
      </c>
      <c r="N1075" s="3" t="n">
        <f aca="false">IF(I1075="Y",1,0)</f>
        <v>0</v>
      </c>
    </row>
    <row r="1076" customFormat="false" ht="15" hidden="false" customHeight="true" outlineLevel="0" collapsed="false">
      <c r="A1076" s="7" t="s">
        <v>67</v>
      </c>
      <c r="B1076" s="7" t="n">
        <v>1905</v>
      </c>
      <c r="C1076" s="7" t="s">
        <v>368</v>
      </c>
      <c r="D1076" s="7" t="n">
        <v>79</v>
      </c>
      <c r="E1076" s="7" t="n">
        <v>74</v>
      </c>
      <c r="F1076" s="7"/>
      <c r="G1076" s="7"/>
      <c r="H1076" s="7" t="s">
        <v>546</v>
      </c>
      <c r="I1076" s="7" t="s">
        <v>546</v>
      </c>
      <c r="J1076" s="21" t="n">
        <f aca="false">D1076/(D1076+E1076)</f>
        <v>0.516339869281046</v>
      </c>
      <c r="K1076" s="3" t="n">
        <f aca="false">IF(D1076&gt;E1076,1,0)</f>
        <v>1</v>
      </c>
      <c r="L1076" s="3" t="n">
        <f aca="false">IF(OR(F1076="Y",G1076="Y",H1076="Y"),1,0)</f>
        <v>0</v>
      </c>
      <c r="M1076" s="3" t="n">
        <f aca="false">IF(H1076="Y",1,0)</f>
        <v>0</v>
      </c>
      <c r="N1076" s="3" t="n">
        <f aca="false">IF(I1076="Y",1,0)</f>
        <v>0</v>
      </c>
    </row>
    <row r="1077" customFormat="false" ht="15" hidden="false" customHeight="true" outlineLevel="0" collapsed="false">
      <c r="A1077" s="7" t="s">
        <v>67</v>
      </c>
      <c r="B1077" s="7" t="n">
        <v>1906</v>
      </c>
      <c r="C1077" s="7" t="s">
        <v>368</v>
      </c>
      <c r="D1077" s="7" t="n">
        <v>71</v>
      </c>
      <c r="E1077" s="7" t="n">
        <v>78</v>
      </c>
      <c r="F1077" s="7"/>
      <c r="G1077" s="7"/>
      <c r="H1077" s="7" t="s">
        <v>546</v>
      </c>
      <c r="I1077" s="7" t="s">
        <v>546</v>
      </c>
      <c r="J1077" s="21" t="n">
        <f aca="false">D1077/(D1077+E1077)</f>
        <v>0.476510067114094</v>
      </c>
      <c r="K1077" s="3" t="n">
        <f aca="false">IF(D1077&gt;E1077,1,0)</f>
        <v>0</v>
      </c>
      <c r="L1077" s="3" t="n">
        <f aca="false">IF(OR(F1077="Y",G1077="Y",H1077="Y"),1,0)</f>
        <v>0</v>
      </c>
      <c r="M1077" s="3" t="n">
        <f aca="false">IF(H1077="Y",1,0)</f>
        <v>0</v>
      </c>
      <c r="N1077" s="3" t="n">
        <f aca="false">IF(I1077="Y",1,0)</f>
        <v>0</v>
      </c>
    </row>
    <row r="1078" customFormat="false" ht="15" hidden="false" customHeight="true" outlineLevel="0" collapsed="false">
      <c r="A1078" s="7" t="s">
        <v>67</v>
      </c>
      <c r="B1078" s="7" t="n">
        <v>1907</v>
      </c>
      <c r="C1078" s="7" t="s">
        <v>368</v>
      </c>
      <c r="D1078" s="7" t="n">
        <v>92</v>
      </c>
      <c r="E1078" s="7" t="n">
        <v>58</v>
      </c>
      <c r="F1078" s="7"/>
      <c r="G1078" s="7"/>
      <c r="H1078" s="7" t="s">
        <v>548</v>
      </c>
      <c r="I1078" s="7" t="s">
        <v>546</v>
      </c>
      <c r="J1078" s="21" t="n">
        <f aca="false">D1078/(D1078+E1078)</f>
        <v>0.613333333333333</v>
      </c>
      <c r="K1078" s="3" t="n">
        <f aca="false">IF(D1078&gt;E1078,1,0)</f>
        <v>1</v>
      </c>
      <c r="L1078" s="3" t="n">
        <f aca="false">IF(OR(F1078="Y",G1078="Y",H1078="Y"),1,0)</f>
        <v>1</v>
      </c>
      <c r="M1078" s="3" t="n">
        <f aca="false">IF(H1078="Y",1,0)</f>
        <v>1</v>
      </c>
      <c r="N1078" s="3" t="n">
        <f aca="false">IF(I1078="Y",1,0)</f>
        <v>0</v>
      </c>
    </row>
    <row r="1079" customFormat="false" ht="15" hidden="false" customHeight="true" outlineLevel="0" collapsed="false">
      <c r="A1079" s="7" t="s">
        <v>67</v>
      </c>
      <c r="B1079" s="7" t="n">
        <v>1908</v>
      </c>
      <c r="C1079" s="7" t="s">
        <v>368</v>
      </c>
      <c r="D1079" s="7" t="n">
        <v>90</v>
      </c>
      <c r="E1079" s="7" t="n">
        <v>63</v>
      </c>
      <c r="F1079" s="7"/>
      <c r="G1079" s="7"/>
      <c r="H1079" s="7" t="s">
        <v>548</v>
      </c>
      <c r="I1079" s="7" t="s">
        <v>546</v>
      </c>
      <c r="J1079" s="21" t="n">
        <f aca="false">D1079/(D1079+E1079)</f>
        <v>0.588235294117647</v>
      </c>
      <c r="K1079" s="3" t="n">
        <f aca="false">IF(D1079&gt;E1079,1,0)</f>
        <v>1</v>
      </c>
      <c r="L1079" s="3" t="n">
        <f aca="false">IF(OR(F1079="Y",G1079="Y",H1079="Y"),1,0)</f>
        <v>1</v>
      </c>
      <c r="M1079" s="3" t="n">
        <f aca="false">IF(H1079="Y",1,0)</f>
        <v>1</v>
      </c>
      <c r="N1079" s="3" t="n">
        <f aca="false">IF(I1079="Y",1,0)</f>
        <v>0</v>
      </c>
    </row>
    <row r="1080" customFormat="false" ht="15" hidden="false" customHeight="true" outlineLevel="0" collapsed="false">
      <c r="A1080" s="7" t="s">
        <v>67</v>
      </c>
      <c r="B1080" s="7" t="n">
        <v>1909</v>
      </c>
      <c r="C1080" s="7" t="s">
        <v>368</v>
      </c>
      <c r="D1080" s="7" t="n">
        <v>98</v>
      </c>
      <c r="E1080" s="7" t="n">
        <v>54</v>
      </c>
      <c r="F1080" s="7"/>
      <c r="G1080" s="7"/>
      <c r="H1080" s="7" t="s">
        <v>548</v>
      </c>
      <c r="I1080" s="7" t="s">
        <v>546</v>
      </c>
      <c r="J1080" s="21" t="n">
        <f aca="false">D1080/(D1080+E1080)</f>
        <v>0.644736842105263</v>
      </c>
      <c r="K1080" s="3" t="n">
        <f aca="false">IF(D1080&gt;E1080,1,0)</f>
        <v>1</v>
      </c>
      <c r="L1080" s="3" t="n">
        <f aca="false">IF(OR(F1080="Y",G1080="Y",H1080="Y"),1,0)</f>
        <v>1</v>
      </c>
      <c r="M1080" s="3" t="n">
        <f aca="false">IF(H1080="Y",1,0)</f>
        <v>1</v>
      </c>
      <c r="N1080" s="3" t="n">
        <f aca="false">IF(I1080="Y",1,0)</f>
        <v>0</v>
      </c>
    </row>
    <row r="1081" customFormat="false" ht="15" hidden="false" customHeight="true" outlineLevel="0" collapsed="false">
      <c r="A1081" s="7" t="s">
        <v>67</v>
      </c>
      <c r="B1081" s="7" t="n">
        <v>1910</v>
      </c>
      <c r="C1081" s="7" t="s">
        <v>368</v>
      </c>
      <c r="D1081" s="7" t="n">
        <v>86</v>
      </c>
      <c r="E1081" s="7" t="n">
        <v>68</v>
      </c>
      <c r="F1081" s="7"/>
      <c r="G1081" s="7"/>
      <c r="H1081" s="7" t="s">
        <v>546</v>
      </c>
      <c r="I1081" s="7" t="s">
        <v>546</v>
      </c>
      <c r="J1081" s="21" t="n">
        <f aca="false">D1081/(D1081+E1081)</f>
        <v>0.558441558441558</v>
      </c>
      <c r="K1081" s="3" t="n">
        <f aca="false">IF(D1081&gt;E1081,1,0)</f>
        <v>1</v>
      </c>
      <c r="L1081" s="3" t="n">
        <f aca="false">IF(OR(F1081="Y",G1081="Y",H1081="Y"),1,0)</f>
        <v>0</v>
      </c>
      <c r="M1081" s="3" t="n">
        <f aca="false">IF(H1081="Y",1,0)</f>
        <v>0</v>
      </c>
      <c r="N1081" s="3" t="n">
        <f aca="false">IF(I1081="Y",1,0)</f>
        <v>0</v>
      </c>
    </row>
    <row r="1082" customFormat="false" ht="15" hidden="false" customHeight="true" outlineLevel="0" collapsed="false">
      <c r="A1082" s="7" t="s">
        <v>67</v>
      </c>
      <c r="B1082" s="7" t="n">
        <v>1911</v>
      </c>
      <c r="C1082" s="7" t="s">
        <v>368</v>
      </c>
      <c r="D1082" s="7" t="n">
        <v>89</v>
      </c>
      <c r="E1082" s="7" t="n">
        <v>65</v>
      </c>
      <c r="F1082" s="7"/>
      <c r="G1082" s="7"/>
      <c r="H1082" s="7" t="s">
        <v>546</v>
      </c>
      <c r="I1082" s="7" t="s">
        <v>546</v>
      </c>
      <c r="J1082" s="21" t="n">
        <f aca="false">D1082/(D1082+E1082)</f>
        <v>0.577922077922078</v>
      </c>
      <c r="K1082" s="3" t="n">
        <f aca="false">IF(D1082&gt;E1082,1,0)</f>
        <v>1</v>
      </c>
      <c r="L1082" s="3" t="n">
        <f aca="false">IF(OR(F1082="Y",G1082="Y",H1082="Y"),1,0)</f>
        <v>0</v>
      </c>
      <c r="M1082" s="3" t="n">
        <f aca="false">IF(H1082="Y",1,0)</f>
        <v>0</v>
      </c>
      <c r="N1082" s="3" t="n">
        <f aca="false">IF(I1082="Y",1,0)</f>
        <v>0</v>
      </c>
    </row>
    <row r="1083" customFormat="false" ht="15" hidden="false" customHeight="true" outlineLevel="0" collapsed="false">
      <c r="A1083" s="7" t="s">
        <v>67</v>
      </c>
      <c r="B1083" s="7" t="n">
        <v>1912</v>
      </c>
      <c r="C1083" s="7" t="s">
        <v>368</v>
      </c>
      <c r="D1083" s="7" t="n">
        <v>69</v>
      </c>
      <c r="E1083" s="7" t="n">
        <v>84</v>
      </c>
      <c r="F1083" s="7"/>
      <c r="G1083" s="7"/>
      <c r="H1083" s="7" t="s">
        <v>546</v>
      </c>
      <c r="I1083" s="7" t="s">
        <v>546</v>
      </c>
      <c r="J1083" s="21" t="n">
        <f aca="false">D1083/(D1083+E1083)</f>
        <v>0.450980392156863</v>
      </c>
      <c r="K1083" s="3" t="n">
        <f aca="false">IF(D1083&gt;E1083,1,0)</f>
        <v>0</v>
      </c>
      <c r="L1083" s="3" t="n">
        <f aca="false">IF(OR(F1083="Y",G1083="Y",H1083="Y"),1,0)</f>
        <v>0</v>
      </c>
      <c r="M1083" s="3" t="n">
        <f aca="false">IF(H1083="Y",1,0)</f>
        <v>0</v>
      </c>
      <c r="N1083" s="3" t="n">
        <f aca="false">IF(I1083="Y",1,0)</f>
        <v>0</v>
      </c>
    </row>
    <row r="1084" customFormat="false" ht="15" hidden="false" customHeight="true" outlineLevel="0" collapsed="false">
      <c r="A1084" s="7" t="s">
        <v>67</v>
      </c>
      <c r="B1084" s="7" t="n">
        <v>1913</v>
      </c>
      <c r="C1084" s="7" t="s">
        <v>368</v>
      </c>
      <c r="D1084" s="7" t="n">
        <v>66</v>
      </c>
      <c r="E1084" s="7" t="n">
        <v>87</v>
      </c>
      <c r="F1084" s="7"/>
      <c r="G1084" s="7"/>
      <c r="H1084" s="7" t="s">
        <v>546</v>
      </c>
      <c r="I1084" s="7" t="s">
        <v>546</v>
      </c>
      <c r="J1084" s="21" t="n">
        <f aca="false">D1084/(D1084+E1084)</f>
        <v>0.431372549019608</v>
      </c>
      <c r="K1084" s="3" t="n">
        <f aca="false">IF(D1084&gt;E1084,1,0)</f>
        <v>0</v>
      </c>
      <c r="L1084" s="3" t="n">
        <f aca="false">IF(OR(F1084="Y",G1084="Y",H1084="Y"),1,0)</f>
        <v>0</v>
      </c>
      <c r="M1084" s="3" t="n">
        <f aca="false">IF(H1084="Y",1,0)</f>
        <v>0</v>
      </c>
      <c r="N1084" s="3" t="n">
        <f aca="false">IF(I1084="Y",1,0)</f>
        <v>0</v>
      </c>
    </row>
    <row r="1085" customFormat="false" ht="15" hidden="false" customHeight="true" outlineLevel="0" collapsed="false">
      <c r="A1085" s="7" t="s">
        <v>67</v>
      </c>
      <c r="B1085" s="7" t="n">
        <v>1914</v>
      </c>
      <c r="C1085" s="7" t="s">
        <v>368</v>
      </c>
      <c r="D1085" s="7" t="n">
        <v>80</v>
      </c>
      <c r="E1085" s="7" t="n">
        <v>73</v>
      </c>
      <c r="F1085" s="7"/>
      <c r="G1085" s="7"/>
      <c r="H1085" s="7" t="s">
        <v>546</v>
      </c>
      <c r="I1085" s="7" t="s">
        <v>546</v>
      </c>
      <c r="J1085" s="21" t="n">
        <f aca="false">D1085/(D1085+E1085)</f>
        <v>0.522875816993464</v>
      </c>
      <c r="K1085" s="3" t="n">
        <f aca="false">IF(D1085&gt;E1085,1,0)</f>
        <v>1</v>
      </c>
      <c r="L1085" s="3" t="n">
        <f aca="false">IF(OR(F1085="Y",G1085="Y",H1085="Y"),1,0)</f>
        <v>0</v>
      </c>
      <c r="M1085" s="3" t="n">
        <f aca="false">IF(H1085="Y",1,0)</f>
        <v>0</v>
      </c>
      <c r="N1085" s="3" t="n">
        <f aca="false">IF(I1085="Y",1,0)</f>
        <v>0</v>
      </c>
    </row>
    <row r="1086" customFormat="false" ht="15" hidden="false" customHeight="true" outlineLevel="0" collapsed="false">
      <c r="A1086" s="7" t="s">
        <v>67</v>
      </c>
      <c r="B1086" s="7" t="n">
        <v>1915</v>
      </c>
      <c r="C1086" s="7" t="s">
        <v>368</v>
      </c>
      <c r="D1086" s="7" t="n">
        <v>100</v>
      </c>
      <c r="E1086" s="7" t="n">
        <v>54</v>
      </c>
      <c r="F1086" s="7"/>
      <c r="G1086" s="7"/>
      <c r="H1086" s="7" t="s">
        <v>546</v>
      </c>
      <c r="I1086" s="7" t="s">
        <v>546</v>
      </c>
      <c r="J1086" s="21" t="n">
        <f aca="false">D1086/(D1086+E1086)</f>
        <v>0.649350649350649</v>
      </c>
      <c r="K1086" s="3" t="n">
        <f aca="false">IF(D1086&gt;E1086,1,0)</f>
        <v>1</v>
      </c>
      <c r="L1086" s="3" t="n">
        <f aca="false">IF(OR(F1086="Y",G1086="Y",H1086="Y"),1,0)</f>
        <v>0</v>
      </c>
      <c r="M1086" s="3" t="n">
        <f aca="false">IF(H1086="Y",1,0)</f>
        <v>0</v>
      </c>
      <c r="N1086" s="3" t="n">
        <f aca="false">IF(I1086="Y",1,0)</f>
        <v>0</v>
      </c>
    </row>
    <row r="1087" customFormat="false" ht="15" hidden="false" customHeight="true" outlineLevel="0" collapsed="false">
      <c r="A1087" s="7" t="s">
        <v>67</v>
      </c>
      <c r="B1087" s="7" t="n">
        <v>1916</v>
      </c>
      <c r="C1087" s="7" t="s">
        <v>368</v>
      </c>
      <c r="D1087" s="7" t="n">
        <v>87</v>
      </c>
      <c r="E1087" s="7" t="n">
        <v>67</v>
      </c>
      <c r="F1087" s="7"/>
      <c r="G1087" s="7"/>
      <c r="H1087" s="7" t="s">
        <v>546</v>
      </c>
      <c r="I1087" s="7" t="s">
        <v>546</v>
      </c>
      <c r="J1087" s="21" t="n">
        <f aca="false">D1087/(D1087+E1087)</f>
        <v>0.564935064935065</v>
      </c>
      <c r="K1087" s="3" t="n">
        <f aca="false">IF(D1087&gt;E1087,1,0)</f>
        <v>1</v>
      </c>
      <c r="L1087" s="3" t="n">
        <f aca="false">IF(OR(F1087="Y",G1087="Y",H1087="Y"),1,0)</f>
        <v>0</v>
      </c>
      <c r="M1087" s="3" t="n">
        <f aca="false">IF(H1087="Y",1,0)</f>
        <v>0</v>
      </c>
      <c r="N1087" s="3" t="n">
        <f aca="false">IF(I1087="Y",1,0)</f>
        <v>0</v>
      </c>
    </row>
    <row r="1088" customFormat="false" ht="15" hidden="false" customHeight="true" outlineLevel="0" collapsed="false">
      <c r="A1088" s="7" t="s">
        <v>67</v>
      </c>
      <c r="B1088" s="7" t="n">
        <v>1917</v>
      </c>
      <c r="C1088" s="7" t="s">
        <v>368</v>
      </c>
      <c r="D1088" s="7" t="n">
        <v>78</v>
      </c>
      <c r="E1088" s="7" t="n">
        <v>75</v>
      </c>
      <c r="F1088" s="7"/>
      <c r="G1088" s="7"/>
      <c r="H1088" s="7" t="s">
        <v>546</v>
      </c>
      <c r="I1088" s="7" t="s">
        <v>546</v>
      </c>
      <c r="J1088" s="21" t="n">
        <f aca="false">D1088/(D1088+E1088)</f>
        <v>0.509803921568627</v>
      </c>
      <c r="K1088" s="3" t="n">
        <f aca="false">IF(D1088&gt;E1088,1,0)</f>
        <v>1</v>
      </c>
      <c r="L1088" s="3" t="n">
        <f aca="false">IF(OR(F1088="Y",G1088="Y",H1088="Y"),1,0)</f>
        <v>0</v>
      </c>
      <c r="M1088" s="3" t="n">
        <f aca="false">IF(H1088="Y",1,0)</f>
        <v>0</v>
      </c>
      <c r="N1088" s="3" t="n">
        <f aca="false">IF(I1088="Y",1,0)</f>
        <v>0</v>
      </c>
    </row>
    <row r="1089" customFormat="false" ht="15" hidden="false" customHeight="true" outlineLevel="0" collapsed="false">
      <c r="A1089" s="7" t="s">
        <v>67</v>
      </c>
      <c r="B1089" s="7" t="n">
        <v>1918</v>
      </c>
      <c r="C1089" s="7" t="s">
        <v>368</v>
      </c>
      <c r="D1089" s="7" t="n">
        <v>55</v>
      </c>
      <c r="E1089" s="7" t="n">
        <v>71</v>
      </c>
      <c r="F1089" s="7"/>
      <c r="G1089" s="7"/>
      <c r="H1089" s="7" t="s">
        <v>546</v>
      </c>
      <c r="I1089" s="7" t="s">
        <v>546</v>
      </c>
      <c r="J1089" s="21" t="n">
        <f aca="false">D1089/(D1089+E1089)</f>
        <v>0.436507936507937</v>
      </c>
      <c r="K1089" s="3" t="n">
        <f aca="false">IF(D1089&gt;E1089,1,0)</f>
        <v>0</v>
      </c>
      <c r="L1089" s="3" t="n">
        <f aca="false">IF(OR(F1089="Y",G1089="Y",H1089="Y"),1,0)</f>
        <v>0</v>
      </c>
      <c r="M1089" s="3" t="n">
        <f aca="false">IF(H1089="Y",1,0)</f>
        <v>0</v>
      </c>
      <c r="N1089" s="3" t="n">
        <f aca="false">IF(I1089="Y",1,0)</f>
        <v>0</v>
      </c>
    </row>
    <row r="1090" customFormat="false" ht="15" hidden="false" customHeight="true" outlineLevel="0" collapsed="false">
      <c r="A1090" s="7" t="s">
        <v>67</v>
      </c>
      <c r="B1090" s="7" t="n">
        <v>1919</v>
      </c>
      <c r="C1090" s="7" t="s">
        <v>368</v>
      </c>
      <c r="D1090" s="7" t="n">
        <v>80</v>
      </c>
      <c r="E1090" s="7" t="n">
        <v>60</v>
      </c>
      <c r="F1090" s="7"/>
      <c r="G1090" s="7"/>
      <c r="H1090" s="7" t="s">
        <v>546</v>
      </c>
      <c r="I1090" s="7" t="s">
        <v>546</v>
      </c>
      <c r="J1090" s="21" t="n">
        <f aca="false">D1090/(D1090+E1090)</f>
        <v>0.571428571428571</v>
      </c>
      <c r="K1090" s="3" t="n">
        <f aca="false">IF(D1090&gt;E1090,1,0)</f>
        <v>1</v>
      </c>
      <c r="L1090" s="3" t="n">
        <f aca="false">IF(OR(F1090="Y",G1090="Y",H1090="Y"),1,0)</f>
        <v>0</v>
      </c>
      <c r="M1090" s="3" t="n">
        <f aca="false">IF(H1090="Y",1,0)</f>
        <v>0</v>
      </c>
      <c r="N1090" s="3" t="n">
        <f aca="false">IF(I1090="Y",1,0)</f>
        <v>0</v>
      </c>
    </row>
    <row r="1091" customFormat="false" ht="15" hidden="false" customHeight="true" outlineLevel="0" collapsed="false">
      <c r="A1091" s="7" t="s">
        <v>67</v>
      </c>
      <c r="B1091" s="7" t="n">
        <v>1920</v>
      </c>
      <c r="C1091" s="7" t="s">
        <v>368</v>
      </c>
      <c r="D1091" s="7" t="n">
        <v>61</v>
      </c>
      <c r="E1091" s="7" t="n">
        <v>93</v>
      </c>
      <c r="F1091" s="7"/>
      <c r="G1091" s="7"/>
      <c r="H1091" s="7" t="s">
        <v>546</v>
      </c>
      <c r="I1091" s="7" t="s">
        <v>546</v>
      </c>
      <c r="J1091" s="21" t="n">
        <f aca="false">D1091/(D1091+E1091)</f>
        <v>0.396103896103896</v>
      </c>
      <c r="K1091" s="3" t="n">
        <f aca="false">IF(D1091&gt;E1091,1,0)</f>
        <v>0</v>
      </c>
      <c r="L1091" s="3" t="n">
        <f aca="false">IF(OR(F1091="Y",G1091="Y",H1091="Y"),1,0)</f>
        <v>0</v>
      </c>
      <c r="M1091" s="3" t="n">
        <f aca="false">IF(H1091="Y",1,0)</f>
        <v>0</v>
      </c>
      <c r="N1091" s="3" t="n">
        <f aca="false">IF(I1091="Y",1,0)</f>
        <v>0</v>
      </c>
    </row>
    <row r="1092" customFormat="false" ht="15" hidden="false" customHeight="true" outlineLevel="0" collapsed="false">
      <c r="A1092" s="7" t="s">
        <v>67</v>
      </c>
      <c r="B1092" s="7" t="n">
        <v>1921</v>
      </c>
      <c r="C1092" s="7" t="s">
        <v>368</v>
      </c>
      <c r="D1092" s="7" t="n">
        <v>71</v>
      </c>
      <c r="E1092" s="7" t="n">
        <v>82</v>
      </c>
      <c r="F1092" s="7"/>
      <c r="G1092" s="7"/>
      <c r="H1092" s="7" t="s">
        <v>546</v>
      </c>
      <c r="I1092" s="7" t="s">
        <v>546</v>
      </c>
      <c r="J1092" s="21" t="n">
        <f aca="false">D1092/(D1092+E1092)</f>
        <v>0.464052287581699</v>
      </c>
      <c r="K1092" s="3" t="n">
        <f aca="false">IF(D1092&gt;E1092,1,0)</f>
        <v>0</v>
      </c>
      <c r="L1092" s="3" t="n">
        <f aca="false">IF(OR(F1092="Y",G1092="Y",H1092="Y"),1,0)</f>
        <v>0</v>
      </c>
      <c r="M1092" s="3" t="n">
        <f aca="false">IF(H1092="Y",1,0)</f>
        <v>0</v>
      </c>
      <c r="N1092" s="3" t="n">
        <f aca="false">IF(I1092="Y",1,0)</f>
        <v>0</v>
      </c>
    </row>
    <row r="1093" customFormat="false" ht="15" hidden="false" customHeight="true" outlineLevel="0" collapsed="false">
      <c r="A1093" s="7" t="s">
        <v>67</v>
      </c>
      <c r="B1093" s="7" t="n">
        <v>1922</v>
      </c>
      <c r="C1093" s="7" t="s">
        <v>368</v>
      </c>
      <c r="D1093" s="7" t="n">
        <v>79</v>
      </c>
      <c r="E1093" s="7" t="n">
        <v>75</v>
      </c>
      <c r="F1093" s="7"/>
      <c r="G1093" s="7"/>
      <c r="H1093" s="7" t="s">
        <v>546</v>
      </c>
      <c r="I1093" s="7" t="s">
        <v>546</v>
      </c>
      <c r="J1093" s="21" t="n">
        <f aca="false">D1093/(D1093+E1093)</f>
        <v>0.512987012987013</v>
      </c>
      <c r="K1093" s="3" t="n">
        <f aca="false">IF(D1093&gt;E1093,1,0)</f>
        <v>1</v>
      </c>
      <c r="L1093" s="3" t="n">
        <f aca="false">IF(OR(F1093="Y",G1093="Y",H1093="Y"),1,0)</f>
        <v>0</v>
      </c>
      <c r="M1093" s="3" t="n">
        <f aca="false">IF(H1093="Y",1,0)</f>
        <v>0</v>
      </c>
      <c r="N1093" s="3" t="n">
        <f aca="false">IF(I1093="Y",1,0)</f>
        <v>0</v>
      </c>
    </row>
    <row r="1094" customFormat="false" ht="15" hidden="false" customHeight="true" outlineLevel="0" collapsed="false">
      <c r="A1094" s="7" t="s">
        <v>67</v>
      </c>
      <c r="B1094" s="7" t="n">
        <v>1923</v>
      </c>
      <c r="C1094" s="7" t="s">
        <v>368</v>
      </c>
      <c r="D1094" s="7" t="n">
        <v>83</v>
      </c>
      <c r="E1094" s="7" t="n">
        <v>71</v>
      </c>
      <c r="F1094" s="7"/>
      <c r="G1094" s="7"/>
      <c r="H1094" s="7" t="s">
        <v>546</v>
      </c>
      <c r="I1094" s="7" t="s">
        <v>546</v>
      </c>
      <c r="J1094" s="21" t="n">
        <f aca="false">D1094/(D1094+E1094)</f>
        <v>0.538961038961039</v>
      </c>
      <c r="K1094" s="3" t="n">
        <f aca="false">IF(D1094&gt;E1094,1,0)</f>
        <v>1</v>
      </c>
      <c r="L1094" s="3" t="n">
        <f aca="false">IF(OR(F1094="Y",G1094="Y",H1094="Y"),1,0)</f>
        <v>0</v>
      </c>
      <c r="M1094" s="3" t="n">
        <f aca="false">IF(H1094="Y",1,0)</f>
        <v>0</v>
      </c>
      <c r="N1094" s="3" t="n">
        <f aca="false">IF(I1094="Y",1,0)</f>
        <v>0</v>
      </c>
    </row>
    <row r="1095" customFormat="false" ht="15" hidden="false" customHeight="true" outlineLevel="0" collapsed="false">
      <c r="A1095" s="7" t="s">
        <v>67</v>
      </c>
      <c r="B1095" s="7" t="n">
        <v>1924</v>
      </c>
      <c r="C1095" s="7" t="s">
        <v>368</v>
      </c>
      <c r="D1095" s="7" t="n">
        <v>86</v>
      </c>
      <c r="E1095" s="7" t="n">
        <v>68</v>
      </c>
      <c r="F1095" s="7"/>
      <c r="G1095" s="7"/>
      <c r="H1095" s="7" t="s">
        <v>546</v>
      </c>
      <c r="I1095" s="7" t="s">
        <v>546</v>
      </c>
      <c r="J1095" s="21" t="n">
        <f aca="false">D1095/(D1095+E1095)</f>
        <v>0.558441558441558</v>
      </c>
      <c r="K1095" s="3" t="n">
        <f aca="false">IF(D1095&gt;E1095,1,0)</f>
        <v>1</v>
      </c>
      <c r="L1095" s="3" t="n">
        <f aca="false">IF(OR(F1095="Y",G1095="Y",H1095="Y"),1,0)</f>
        <v>0</v>
      </c>
      <c r="M1095" s="3" t="n">
        <f aca="false">IF(H1095="Y",1,0)</f>
        <v>0</v>
      </c>
      <c r="N1095" s="3" t="n">
        <f aca="false">IF(I1095="Y",1,0)</f>
        <v>0</v>
      </c>
    </row>
    <row r="1096" customFormat="false" ht="15" hidden="false" customHeight="true" outlineLevel="0" collapsed="false">
      <c r="A1096" s="7" t="s">
        <v>67</v>
      </c>
      <c r="B1096" s="7" t="n">
        <v>1925</v>
      </c>
      <c r="C1096" s="7" t="s">
        <v>368</v>
      </c>
      <c r="D1096" s="7" t="n">
        <v>81</v>
      </c>
      <c r="E1096" s="7" t="n">
        <v>73</v>
      </c>
      <c r="F1096" s="7"/>
      <c r="G1096" s="7"/>
      <c r="H1096" s="7" t="s">
        <v>546</v>
      </c>
      <c r="I1096" s="7" t="s">
        <v>546</v>
      </c>
      <c r="J1096" s="21" t="n">
        <f aca="false">D1096/(D1096+E1096)</f>
        <v>0.525974025974026</v>
      </c>
      <c r="K1096" s="3" t="n">
        <f aca="false">IF(D1096&gt;E1096,1,0)</f>
        <v>1</v>
      </c>
      <c r="L1096" s="3" t="n">
        <f aca="false">IF(OR(F1096="Y",G1096="Y",H1096="Y"),1,0)</f>
        <v>0</v>
      </c>
      <c r="M1096" s="3" t="n">
        <f aca="false">IF(H1096="Y",1,0)</f>
        <v>0</v>
      </c>
      <c r="N1096" s="3" t="n">
        <f aca="false">IF(I1096="Y",1,0)</f>
        <v>0</v>
      </c>
    </row>
    <row r="1097" customFormat="false" ht="15" hidden="false" customHeight="true" outlineLevel="0" collapsed="false">
      <c r="A1097" s="7" t="s">
        <v>67</v>
      </c>
      <c r="B1097" s="7" t="n">
        <v>1926</v>
      </c>
      <c r="C1097" s="7" t="s">
        <v>368</v>
      </c>
      <c r="D1097" s="7" t="n">
        <v>79</v>
      </c>
      <c r="E1097" s="7" t="n">
        <v>75</v>
      </c>
      <c r="F1097" s="7"/>
      <c r="G1097" s="7"/>
      <c r="H1097" s="7" t="s">
        <v>546</v>
      </c>
      <c r="I1097" s="7" t="s">
        <v>546</v>
      </c>
      <c r="J1097" s="21" t="n">
        <f aca="false">D1097/(D1097+E1097)</f>
        <v>0.512987012987013</v>
      </c>
      <c r="K1097" s="3" t="n">
        <f aca="false">IF(D1097&gt;E1097,1,0)</f>
        <v>1</v>
      </c>
      <c r="L1097" s="3" t="n">
        <f aca="false">IF(OR(F1097="Y",G1097="Y",H1097="Y"),1,0)</f>
        <v>0</v>
      </c>
      <c r="M1097" s="3" t="n">
        <f aca="false">IF(H1097="Y",1,0)</f>
        <v>0</v>
      </c>
      <c r="N1097" s="3" t="n">
        <f aca="false">IF(I1097="Y",1,0)</f>
        <v>0</v>
      </c>
    </row>
    <row r="1098" customFormat="false" ht="15" hidden="false" customHeight="true" outlineLevel="0" collapsed="false">
      <c r="A1098" s="7" t="s">
        <v>67</v>
      </c>
      <c r="B1098" s="7" t="n">
        <v>1927</v>
      </c>
      <c r="C1098" s="7" t="s">
        <v>368</v>
      </c>
      <c r="D1098" s="7" t="n">
        <v>82</v>
      </c>
      <c r="E1098" s="7" t="n">
        <v>71</v>
      </c>
      <c r="F1098" s="7"/>
      <c r="G1098" s="7"/>
      <c r="H1098" s="7" t="s">
        <v>546</v>
      </c>
      <c r="I1098" s="7" t="s">
        <v>546</v>
      </c>
      <c r="J1098" s="21" t="n">
        <f aca="false">D1098/(D1098+E1098)</f>
        <v>0.535947712418301</v>
      </c>
      <c r="K1098" s="3" t="n">
        <f aca="false">IF(D1098&gt;E1098,1,0)</f>
        <v>1</v>
      </c>
      <c r="L1098" s="3" t="n">
        <f aca="false">IF(OR(F1098="Y",G1098="Y",H1098="Y"),1,0)</f>
        <v>0</v>
      </c>
      <c r="M1098" s="3" t="n">
        <f aca="false">IF(H1098="Y",1,0)</f>
        <v>0</v>
      </c>
      <c r="N1098" s="3" t="n">
        <f aca="false">IF(I1098="Y",1,0)</f>
        <v>0</v>
      </c>
    </row>
    <row r="1099" customFormat="false" ht="15" hidden="false" customHeight="true" outlineLevel="0" collapsed="false">
      <c r="A1099" s="7" t="s">
        <v>67</v>
      </c>
      <c r="B1099" s="7" t="n">
        <v>1928</v>
      </c>
      <c r="C1099" s="7" t="s">
        <v>368</v>
      </c>
      <c r="D1099" s="7" t="n">
        <v>68</v>
      </c>
      <c r="E1099" s="7" t="n">
        <v>86</v>
      </c>
      <c r="F1099" s="7"/>
      <c r="G1099" s="7"/>
      <c r="H1099" s="7" t="s">
        <v>546</v>
      </c>
      <c r="I1099" s="7" t="s">
        <v>546</v>
      </c>
      <c r="J1099" s="21" t="n">
        <f aca="false">D1099/(D1099+E1099)</f>
        <v>0.441558441558442</v>
      </c>
      <c r="K1099" s="3" t="n">
        <f aca="false">IF(D1099&gt;E1099,1,0)</f>
        <v>0</v>
      </c>
      <c r="L1099" s="3" t="n">
        <f aca="false">IF(OR(F1099="Y",G1099="Y",H1099="Y"),1,0)</f>
        <v>0</v>
      </c>
      <c r="M1099" s="3" t="n">
        <f aca="false">IF(H1099="Y",1,0)</f>
        <v>0</v>
      </c>
      <c r="N1099" s="3" t="n">
        <f aca="false">IF(I1099="Y",1,0)</f>
        <v>0</v>
      </c>
    </row>
    <row r="1100" customFormat="false" ht="15" hidden="false" customHeight="true" outlineLevel="0" collapsed="false">
      <c r="A1100" s="7" t="s">
        <v>67</v>
      </c>
      <c r="B1100" s="7" t="n">
        <v>1929</v>
      </c>
      <c r="C1100" s="7" t="s">
        <v>368</v>
      </c>
      <c r="D1100" s="7" t="n">
        <v>70</v>
      </c>
      <c r="E1100" s="7" t="n">
        <v>84</v>
      </c>
      <c r="F1100" s="7"/>
      <c r="G1100" s="7"/>
      <c r="H1100" s="7" t="s">
        <v>546</v>
      </c>
      <c r="I1100" s="7" t="s">
        <v>546</v>
      </c>
      <c r="J1100" s="21" t="n">
        <f aca="false">D1100/(D1100+E1100)</f>
        <v>0.454545454545455</v>
      </c>
      <c r="K1100" s="3" t="n">
        <f aca="false">IF(D1100&gt;E1100,1,0)</f>
        <v>0</v>
      </c>
      <c r="L1100" s="3" t="n">
        <f aca="false">IF(OR(F1100="Y",G1100="Y",H1100="Y"),1,0)</f>
        <v>0</v>
      </c>
      <c r="M1100" s="3" t="n">
        <f aca="false">IF(H1100="Y",1,0)</f>
        <v>0</v>
      </c>
      <c r="N1100" s="3" t="n">
        <f aca="false">IF(I1100="Y",1,0)</f>
        <v>0</v>
      </c>
    </row>
    <row r="1101" customFormat="false" ht="15" hidden="false" customHeight="true" outlineLevel="0" collapsed="false">
      <c r="A1101" s="7" t="s">
        <v>67</v>
      </c>
      <c r="B1101" s="7" t="n">
        <v>1930</v>
      </c>
      <c r="C1101" s="7" t="s">
        <v>368</v>
      </c>
      <c r="D1101" s="7" t="n">
        <v>75</v>
      </c>
      <c r="E1101" s="7" t="n">
        <v>79</v>
      </c>
      <c r="F1101" s="7"/>
      <c r="G1101" s="7"/>
      <c r="H1101" s="7" t="s">
        <v>546</v>
      </c>
      <c r="I1101" s="7" t="s">
        <v>546</v>
      </c>
      <c r="J1101" s="21" t="n">
        <f aca="false">D1101/(D1101+E1101)</f>
        <v>0.487012987012987</v>
      </c>
      <c r="K1101" s="3" t="n">
        <f aca="false">IF(D1101&gt;E1101,1,0)</f>
        <v>0</v>
      </c>
      <c r="L1101" s="3" t="n">
        <f aca="false">IF(OR(F1101="Y",G1101="Y",H1101="Y"),1,0)</f>
        <v>0</v>
      </c>
      <c r="M1101" s="3" t="n">
        <f aca="false">IF(H1101="Y",1,0)</f>
        <v>0</v>
      </c>
      <c r="N1101" s="3" t="n">
        <f aca="false">IF(I1101="Y",1,0)</f>
        <v>0</v>
      </c>
    </row>
    <row r="1102" customFormat="false" ht="15" hidden="false" customHeight="true" outlineLevel="0" collapsed="false">
      <c r="A1102" s="7" t="s">
        <v>67</v>
      </c>
      <c r="B1102" s="7" t="n">
        <v>1931</v>
      </c>
      <c r="C1102" s="7" t="s">
        <v>368</v>
      </c>
      <c r="D1102" s="7" t="n">
        <v>61</v>
      </c>
      <c r="E1102" s="7" t="n">
        <v>93</v>
      </c>
      <c r="F1102" s="7"/>
      <c r="G1102" s="7"/>
      <c r="H1102" s="7" t="s">
        <v>546</v>
      </c>
      <c r="I1102" s="7" t="s">
        <v>546</v>
      </c>
      <c r="J1102" s="21" t="n">
        <f aca="false">D1102/(D1102+E1102)</f>
        <v>0.396103896103896</v>
      </c>
      <c r="K1102" s="3" t="n">
        <f aca="false">IF(D1102&gt;E1102,1,0)</f>
        <v>0</v>
      </c>
      <c r="L1102" s="3" t="n">
        <f aca="false">IF(OR(F1102="Y",G1102="Y",H1102="Y"),1,0)</f>
        <v>0</v>
      </c>
      <c r="M1102" s="3" t="n">
        <f aca="false">IF(H1102="Y",1,0)</f>
        <v>0</v>
      </c>
      <c r="N1102" s="3" t="n">
        <f aca="false">IF(I1102="Y",1,0)</f>
        <v>0</v>
      </c>
    </row>
    <row r="1103" customFormat="false" ht="15" hidden="false" customHeight="true" outlineLevel="0" collapsed="false">
      <c r="A1103" s="7" t="s">
        <v>67</v>
      </c>
      <c r="B1103" s="7" t="n">
        <v>1932</v>
      </c>
      <c r="C1103" s="7" t="s">
        <v>368</v>
      </c>
      <c r="D1103" s="7" t="n">
        <v>76</v>
      </c>
      <c r="E1103" s="7" t="n">
        <v>75</v>
      </c>
      <c r="F1103" s="7"/>
      <c r="G1103" s="7"/>
      <c r="H1103" s="7" t="s">
        <v>546</v>
      </c>
      <c r="I1103" s="7" t="s">
        <v>546</v>
      </c>
      <c r="J1103" s="21" t="n">
        <f aca="false">D1103/(D1103+E1103)</f>
        <v>0.503311258278146</v>
      </c>
      <c r="K1103" s="3" t="n">
        <f aca="false">IF(D1103&gt;E1103,1,0)</f>
        <v>1</v>
      </c>
      <c r="L1103" s="3" t="n">
        <f aca="false">IF(OR(F1103="Y",G1103="Y",H1103="Y"),1,0)</f>
        <v>0</v>
      </c>
      <c r="M1103" s="3" t="n">
        <f aca="false">IF(H1103="Y",1,0)</f>
        <v>0</v>
      </c>
      <c r="N1103" s="3" t="n">
        <f aca="false">IF(I1103="Y",1,0)</f>
        <v>0</v>
      </c>
    </row>
    <row r="1104" customFormat="false" ht="15" hidden="false" customHeight="true" outlineLevel="0" collapsed="false">
      <c r="A1104" s="7" t="s">
        <v>67</v>
      </c>
      <c r="B1104" s="7" t="n">
        <v>1933</v>
      </c>
      <c r="C1104" s="7" t="s">
        <v>368</v>
      </c>
      <c r="D1104" s="7" t="n">
        <v>75</v>
      </c>
      <c r="E1104" s="7" t="n">
        <v>79</v>
      </c>
      <c r="F1104" s="7"/>
      <c r="G1104" s="7"/>
      <c r="H1104" s="7" t="s">
        <v>546</v>
      </c>
      <c r="I1104" s="7" t="s">
        <v>546</v>
      </c>
      <c r="J1104" s="21" t="n">
        <f aca="false">D1104/(D1104+E1104)</f>
        <v>0.487012987012987</v>
      </c>
      <c r="K1104" s="3" t="n">
        <f aca="false">IF(D1104&gt;E1104,1,0)</f>
        <v>0</v>
      </c>
      <c r="L1104" s="3" t="n">
        <f aca="false">IF(OR(F1104="Y",G1104="Y",H1104="Y"),1,0)</f>
        <v>0</v>
      </c>
      <c r="M1104" s="3" t="n">
        <f aca="false">IF(H1104="Y",1,0)</f>
        <v>0</v>
      </c>
      <c r="N1104" s="3" t="n">
        <f aca="false">IF(I1104="Y",1,0)</f>
        <v>0</v>
      </c>
    </row>
    <row r="1105" customFormat="false" ht="15" hidden="false" customHeight="true" outlineLevel="0" collapsed="false">
      <c r="A1105" s="7" t="s">
        <v>67</v>
      </c>
      <c r="B1105" s="7" t="n">
        <v>1934</v>
      </c>
      <c r="C1105" s="7" t="s">
        <v>368</v>
      </c>
      <c r="D1105" s="7" t="n">
        <v>101</v>
      </c>
      <c r="E1105" s="7" t="n">
        <v>53</v>
      </c>
      <c r="F1105" s="7"/>
      <c r="G1105" s="7"/>
      <c r="H1105" s="7" t="s">
        <v>548</v>
      </c>
      <c r="I1105" s="7" t="s">
        <v>546</v>
      </c>
      <c r="J1105" s="21" t="n">
        <f aca="false">D1105/(D1105+E1105)</f>
        <v>0.655844155844156</v>
      </c>
      <c r="K1105" s="3" t="n">
        <f aca="false">IF(D1105&gt;E1105,1,0)</f>
        <v>1</v>
      </c>
      <c r="L1105" s="3" t="n">
        <f aca="false">IF(OR(F1105="Y",G1105="Y",H1105="Y"),1,0)</f>
        <v>1</v>
      </c>
      <c r="M1105" s="3" t="n">
        <f aca="false">IF(H1105="Y",1,0)</f>
        <v>1</v>
      </c>
      <c r="N1105" s="3" t="n">
        <f aca="false">IF(I1105="Y",1,0)</f>
        <v>0</v>
      </c>
    </row>
    <row r="1106" customFormat="false" ht="15" hidden="false" customHeight="true" outlineLevel="0" collapsed="false">
      <c r="A1106" s="7" t="s">
        <v>67</v>
      </c>
      <c r="B1106" s="7" t="n">
        <v>1935</v>
      </c>
      <c r="C1106" s="7" t="s">
        <v>368</v>
      </c>
      <c r="D1106" s="7" t="n">
        <v>93</v>
      </c>
      <c r="E1106" s="7" t="n">
        <v>58</v>
      </c>
      <c r="F1106" s="7"/>
      <c r="G1106" s="7"/>
      <c r="H1106" s="7" t="s">
        <v>548</v>
      </c>
      <c r="I1106" s="7" t="s">
        <v>548</v>
      </c>
      <c r="J1106" s="21" t="n">
        <f aca="false">D1106/(D1106+E1106)</f>
        <v>0.615894039735099</v>
      </c>
      <c r="K1106" s="3" t="n">
        <f aca="false">IF(D1106&gt;E1106,1,0)</f>
        <v>1</v>
      </c>
      <c r="L1106" s="3" t="n">
        <f aca="false">IF(OR(F1106="Y",G1106="Y",H1106="Y"),1,0)</f>
        <v>1</v>
      </c>
      <c r="M1106" s="3" t="n">
        <f aca="false">IF(H1106="Y",1,0)</f>
        <v>1</v>
      </c>
      <c r="N1106" s="3" t="n">
        <f aca="false">IF(I1106="Y",1,0)</f>
        <v>1</v>
      </c>
    </row>
    <row r="1107" customFormat="false" ht="15" hidden="false" customHeight="true" outlineLevel="0" collapsed="false">
      <c r="A1107" s="7" t="s">
        <v>67</v>
      </c>
      <c r="B1107" s="7" t="n">
        <v>1936</v>
      </c>
      <c r="C1107" s="7" t="s">
        <v>368</v>
      </c>
      <c r="D1107" s="7" t="n">
        <v>83</v>
      </c>
      <c r="E1107" s="7" t="n">
        <v>71</v>
      </c>
      <c r="F1107" s="7"/>
      <c r="G1107" s="7"/>
      <c r="H1107" s="7" t="s">
        <v>546</v>
      </c>
      <c r="I1107" s="7" t="s">
        <v>546</v>
      </c>
      <c r="J1107" s="21" t="n">
        <f aca="false">D1107/(D1107+E1107)</f>
        <v>0.538961038961039</v>
      </c>
      <c r="K1107" s="3" t="n">
        <f aca="false">IF(D1107&gt;E1107,1,0)</f>
        <v>1</v>
      </c>
      <c r="L1107" s="3" t="n">
        <f aca="false">IF(OR(F1107="Y",G1107="Y",H1107="Y"),1,0)</f>
        <v>0</v>
      </c>
      <c r="M1107" s="3" t="n">
        <f aca="false">IF(H1107="Y",1,0)</f>
        <v>0</v>
      </c>
      <c r="N1107" s="3" t="n">
        <f aca="false">IF(I1107="Y",1,0)</f>
        <v>0</v>
      </c>
    </row>
    <row r="1108" customFormat="false" ht="15" hidden="false" customHeight="true" outlineLevel="0" collapsed="false">
      <c r="A1108" s="7" t="s">
        <v>67</v>
      </c>
      <c r="B1108" s="7" t="n">
        <v>1937</v>
      </c>
      <c r="C1108" s="7" t="s">
        <v>368</v>
      </c>
      <c r="D1108" s="7" t="n">
        <v>89</v>
      </c>
      <c r="E1108" s="7" t="n">
        <v>65</v>
      </c>
      <c r="F1108" s="7"/>
      <c r="G1108" s="7"/>
      <c r="H1108" s="7" t="s">
        <v>546</v>
      </c>
      <c r="I1108" s="7" t="s">
        <v>546</v>
      </c>
      <c r="J1108" s="21" t="n">
        <f aca="false">D1108/(D1108+E1108)</f>
        <v>0.577922077922078</v>
      </c>
      <c r="K1108" s="3" t="n">
        <f aca="false">IF(D1108&gt;E1108,1,0)</f>
        <v>1</v>
      </c>
      <c r="L1108" s="3" t="n">
        <f aca="false">IF(OR(F1108="Y",G1108="Y",H1108="Y"),1,0)</f>
        <v>0</v>
      </c>
      <c r="M1108" s="3" t="n">
        <f aca="false">IF(H1108="Y",1,0)</f>
        <v>0</v>
      </c>
      <c r="N1108" s="3" t="n">
        <f aca="false">IF(I1108="Y",1,0)</f>
        <v>0</v>
      </c>
    </row>
    <row r="1109" customFormat="false" ht="15" hidden="false" customHeight="true" outlineLevel="0" collapsed="false">
      <c r="A1109" s="7" t="s">
        <v>67</v>
      </c>
      <c r="B1109" s="7" t="n">
        <v>1938</v>
      </c>
      <c r="C1109" s="7" t="s">
        <v>368</v>
      </c>
      <c r="D1109" s="7" t="n">
        <v>84</v>
      </c>
      <c r="E1109" s="7" t="n">
        <v>70</v>
      </c>
      <c r="F1109" s="7"/>
      <c r="G1109" s="7"/>
      <c r="H1109" s="7" t="s">
        <v>546</v>
      </c>
      <c r="I1109" s="7" t="s">
        <v>546</v>
      </c>
      <c r="J1109" s="21" t="n">
        <f aca="false">D1109/(D1109+E1109)</f>
        <v>0.545454545454545</v>
      </c>
      <c r="K1109" s="3" t="n">
        <f aca="false">IF(D1109&gt;E1109,1,0)</f>
        <v>1</v>
      </c>
      <c r="L1109" s="3" t="n">
        <f aca="false">IF(OR(F1109="Y",G1109="Y",H1109="Y"),1,0)</f>
        <v>0</v>
      </c>
      <c r="M1109" s="3" t="n">
        <f aca="false">IF(H1109="Y",1,0)</f>
        <v>0</v>
      </c>
      <c r="N1109" s="3" t="n">
        <f aca="false">IF(I1109="Y",1,0)</f>
        <v>0</v>
      </c>
    </row>
    <row r="1110" customFormat="false" ht="15" hidden="false" customHeight="true" outlineLevel="0" collapsed="false">
      <c r="A1110" s="7" t="s">
        <v>67</v>
      </c>
      <c r="B1110" s="7" t="n">
        <v>1939</v>
      </c>
      <c r="C1110" s="7" t="s">
        <v>368</v>
      </c>
      <c r="D1110" s="7" t="n">
        <v>81</v>
      </c>
      <c r="E1110" s="7" t="n">
        <v>73</v>
      </c>
      <c r="F1110" s="7"/>
      <c r="G1110" s="7"/>
      <c r="H1110" s="7" t="s">
        <v>546</v>
      </c>
      <c r="I1110" s="7" t="s">
        <v>546</v>
      </c>
      <c r="J1110" s="21" t="n">
        <f aca="false">D1110/(D1110+E1110)</f>
        <v>0.525974025974026</v>
      </c>
      <c r="K1110" s="3" t="n">
        <f aca="false">IF(D1110&gt;E1110,1,0)</f>
        <v>1</v>
      </c>
      <c r="L1110" s="3" t="n">
        <f aca="false">IF(OR(F1110="Y",G1110="Y",H1110="Y"),1,0)</f>
        <v>0</v>
      </c>
      <c r="M1110" s="3" t="n">
        <f aca="false">IF(H1110="Y",1,0)</f>
        <v>0</v>
      </c>
      <c r="N1110" s="3" t="n">
        <f aca="false">IF(I1110="Y",1,0)</f>
        <v>0</v>
      </c>
    </row>
    <row r="1111" customFormat="false" ht="15" hidden="false" customHeight="true" outlineLevel="0" collapsed="false">
      <c r="A1111" s="7" t="s">
        <v>67</v>
      </c>
      <c r="B1111" s="7" t="n">
        <v>1940</v>
      </c>
      <c r="C1111" s="7" t="s">
        <v>368</v>
      </c>
      <c r="D1111" s="7" t="n">
        <v>90</v>
      </c>
      <c r="E1111" s="7" t="n">
        <v>64</v>
      </c>
      <c r="F1111" s="7"/>
      <c r="G1111" s="7"/>
      <c r="H1111" s="7" t="s">
        <v>548</v>
      </c>
      <c r="I1111" s="7" t="s">
        <v>546</v>
      </c>
      <c r="J1111" s="21" t="n">
        <f aca="false">D1111/(D1111+E1111)</f>
        <v>0.584415584415584</v>
      </c>
      <c r="K1111" s="3" t="n">
        <f aca="false">IF(D1111&gt;E1111,1,0)</f>
        <v>1</v>
      </c>
      <c r="L1111" s="3" t="n">
        <f aca="false">IF(OR(F1111="Y",G1111="Y",H1111="Y"),1,0)</f>
        <v>1</v>
      </c>
      <c r="M1111" s="3" t="n">
        <f aca="false">IF(H1111="Y",1,0)</f>
        <v>1</v>
      </c>
      <c r="N1111" s="3" t="n">
        <f aca="false">IF(I1111="Y",1,0)</f>
        <v>0</v>
      </c>
    </row>
    <row r="1112" customFormat="false" ht="15" hidden="false" customHeight="true" outlineLevel="0" collapsed="false">
      <c r="A1112" s="7" t="s">
        <v>67</v>
      </c>
      <c r="B1112" s="7" t="n">
        <v>1941</v>
      </c>
      <c r="C1112" s="7" t="s">
        <v>368</v>
      </c>
      <c r="D1112" s="7" t="n">
        <v>75</v>
      </c>
      <c r="E1112" s="7" t="n">
        <v>79</v>
      </c>
      <c r="F1112" s="7"/>
      <c r="G1112" s="7"/>
      <c r="H1112" s="7" t="s">
        <v>546</v>
      </c>
      <c r="I1112" s="7" t="s">
        <v>546</v>
      </c>
      <c r="J1112" s="21" t="n">
        <f aca="false">D1112/(D1112+E1112)</f>
        <v>0.487012987012987</v>
      </c>
      <c r="K1112" s="3" t="n">
        <f aca="false">IF(D1112&gt;E1112,1,0)</f>
        <v>0</v>
      </c>
      <c r="L1112" s="3" t="n">
        <f aca="false">IF(OR(F1112="Y",G1112="Y",H1112="Y"),1,0)</f>
        <v>0</v>
      </c>
      <c r="M1112" s="3" t="n">
        <f aca="false">IF(H1112="Y",1,0)</f>
        <v>0</v>
      </c>
      <c r="N1112" s="3" t="n">
        <f aca="false">IF(I1112="Y",1,0)</f>
        <v>0</v>
      </c>
    </row>
    <row r="1113" customFormat="false" ht="15" hidden="false" customHeight="true" outlineLevel="0" collapsed="false">
      <c r="A1113" s="7" t="s">
        <v>67</v>
      </c>
      <c r="B1113" s="7" t="n">
        <v>1942</v>
      </c>
      <c r="C1113" s="7" t="s">
        <v>368</v>
      </c>
      <c r="D1113" s="7" t="n">
        <v>73</v>
      </c>
      <c r="E1113" s="7" t="n">
        <v>81</v>
      </c>
      <c r="F1113" s="7"/>
      <c r="G1113" s="7"/>
      <c r="H1113" s="7" t="s">
        <v>546</v>
      </c>
      <c r="I1113" s="7" t="s">
        <v>546</v>
      </c>
      <c r="J1113" s="21" t="n">
        <f aca="false">D1113/(D1113+E1113)</f>
        <v>0.474025974025974</v>
      </c>
      <c r="K1113" s="3" t="n">
        <f aca="false">IF(D1113&gt;E1113,1,0)</f>
        <v>0</v>
      </c>
      <c r="L1113" s="3" t="n">
        <f aca="false">IF(OR(F1113="Y",G1113="Y",H1113="Y"),1,0)</f>
        <v>0</v>
      </c>
      <c r="M1113" s="3" t="n">
        <f aca="false">IF(H1113="Y",1,0)</f>
        <v>0</v>
      </c>
      <c r="N1113" s="3" t="n">
        <f aca="false">IF(I1113="Y",1,0)</f>
        <v>0</v>
      </c>
    </row>
    <row r="1114" customFormat="false" ht="15" hidden="false" customHeight="true" outlineLevel="0" collapsed="false">
      <c r="A1114" s="7" t="s">
        <v>67</v>
      </c>
      <c r="B1114" s="7" t="n">
        <v>1943</v>
      </c>
      <c r="C1114" s="7" t="s">
        <v>368</v>
      </c>
      <c r="D1114" s="7" t="n">
        <v>78</v>
      </c>
      <c r="E1114" s="7" t="n">
        <v>76</v>
      </c>
      <c r="F1114" s="7"/>
      <c r="G1114" s="7"/>
      <c r="H1114" s="7" t="s">
        <v>546</v>
      </c>
      <c r="I1114" s="7" t="s">
        <v>546</v>
      </c>
      <c r="J1114" s="21" t="n">
        <f aca="false">D1114/(D1114+E1114)</f>
        <v>0.506493506493506</v>
      </c>
      <c r="K1114" s="3" t="n">
        <f aca="false">IF(D1114&gt;E1114,1,0)</f>
        <v>1</v>
      </c>
      <c r="L1114" s="3" t="n">
        <f aca="false">IF(OR(F1114="Y",G1114="Y",H1114="Y"),1,0)</f>
        <v>0</v>
      </c>
      <c r="M1114" s="3" t="n">
        <f aca="false">IF(H1114="Y",1,0)</f>
        <v>0</v>
      </c>
      <c r="N1114" s="3" t="n">
        <f aca="false">IF(I1114="Y",1,0)</f>
        <v>0</v>
      </c>
    </row>
    <row r="1115" customFormat="false" ht="15" hidden="false" customHeight="true" outlineLevel="0" collapsed="false">
      <c r="A1115" s="7" t="s">
        <v>67</v>
      </c>
      <c r="B1115" s="7" t="n">
        <v>1944</v>
      </c>
      <c r="C1115" s="7" t="s">
        <v>368</v>
      </c>
      <c r="D1115" s="7" t="n">
        <v>88</v>
      </c>
      <c r="E1115" s="7" t="n">
        <v>66</v>
      </c>
      <c r="F1115" s="7"/>
      <c r="G1115" s="7"/>
      <c r="H1115" s="7" t="s">
        <v>546</v>
      </c>
      <c r="I1115" s="7" t="s">
        <v>546</v>
      </c>
      <c r="J1115" s="21" t="n">
        <f aca="false">D1115/(D1115+E1115)</f>
        <v>0.571428571428571</v>
      </c>
      <c r="K1115" s="3" t="n">
        <f aca="false">IF(D1115&gt;E1115,1,0)</f>
        <v>1</v>
      </c>
      <c r="L1115" s="3" t="n">
        <f aca="false">IF(OR(F1115="Y",G1115="Y",H1115="Y"),1,0)</f>
        <v>0</v>
      </c>
      <c r="M1115" s="3" t="n">
        <f aca="false">IF(H1115="Y",1,0)</f>
        <v>0</v>
      </c>
      <c r="N1115" s="3" t="n">
        <f aca="false">IF(I1115="Y",1,0)</f>
        <v>0</v>
      </c>
    </row>
    <row r="1116" customFormat="false" ht="15" hidden="false" customHeight="true" outlineLevel="0" collapsed="false">
      <c r="A1116" s="7" t="s">
        <v>67</v>
      </c>
      <c r="B1116" s="7" t="n">
        <v>1945</v>
      </c>
      <c r="C1116" s="7" t="s">
        <v>368</v>
      </c>
      <c r="D1116" s="7" t="n">
        <v>88</v>
      </c>
      <c r="E1116" s="7" t="n">
        <v>65</v>
      </c>
      <c r="F1116" s="7"/>
      <c r="G1116" s="7"/>
      <c r="H1116" s="7" t="s">
        <v>548</v>
      </c>
      <c r="I1116" s="7" t="s">
        <v>548</v>
      </c>
      <c r="J1116" s="21" t="n">
        <f aca="false">D1116/(D1116+E1116)</f>
        <v>0.57516339869281</v>
      </c>
      <c r="K1116" s="3" t="n">
        <f aca="false">IF(D1116&gt;E1116,1,0)</f>
        <v>1</v>
      </c>
      <c r="L1116" s="3" t="n">
        <f aca="false">IF(OR(F1116="Y",G1116="Y",H1116="Y"),1,0)</f>
        <v>1</v>
      </c>
      <c r="M1116" s="3" t="n">
        <f aca="false">IF(H1116="Y",1,0)</f>
        <v>1</v>
      </c>
      <c r="N1116" s="3" t="n">
        <f aca="false">IF(I1116="Y",1,0)</f>
        <v>1</v>
      </c>
    </row>
    <row r="1117" customFormat="false" ht="15" hidden="false" customHeight="true" outlineLevel="0" collapsed="false">
      <c r="A1117" s="7" t="s">
        <v>67</v>
      </c>
      <c r="B1117" s="7" t="n">
        <v>1946</v>
      </c>
      <c r="C1117" s="7" t="s">
        <v>368</v>
      </c>
      <c r="D1117" s="7" t="n">
        <v>92</v>
      </c>
      <c r="E1117" s="7" t="n">
        <v>62</v>
      </c>
      <c r="F1117" s="7"/>
      <c r="G1117" s="7"/>
      <c r="H1117" s="7" t="s">
        <v>546</v>
      </c>
      <c r="I1117" s="7" t="s">
        <v>546</v>
      </c>
      <c r="J1117" s="21" t="n">
        <f aca="false">D1117/(D1117+E1117)</f>
        <v>0.597402597402597</v>
      </c>
      <c r="K1117" s="3" t="n">
        <f aca="false">IF(D1117&gt;E1117,1,0)</f>
        <v>1</v>
      </c>
      <c r="L1117" s="3" t="n">
        <f aca="false">IF(OR(F1117="Y",G1117="Y",H1117="Y"),1,0)</f>
        <v>0</v>
      </c>
      <c r="M1117" s="3" t="n">
        <f aca="false">IF(H1117="Y",1,0)</f>
        <v>0</v>
      </c>
      <c r="N1117" s="3" t="n">
        <f aca="false">IF(I1117="Y",1,0)</f>
        <v>0</v>
      </c>
    </row>
    <row r="1118" customFormat="false" ht="15" hidden="false" customHeight="true" outlineLevel="0" collapsed="false">
      <c r="A1118" s="7" t="s">
        <v>67</v>
      </c>
      <c r="B1118" s="7" t="n">
        <v>1947</v>
      </c>
      <c r="C1118" s="7" t="s">
        <v>368</v>
      </c>
      <c r="D1118" s="7" t="n">
        <v>85</v>
      </c>
      <c r="E1118" s="7" t="n">
        <v>69</v>
      </c>
      <c r="F1118" s="7"/>
      <c r="G1118" s="7"/>
      <c r="H1118" s="7" t="s">
        <v>546</v>
      </c>
      <c r="I1118" s="7" t="s">
        <v>546</v>
      </c>
      <c r="J1118" s="21" t="n">
        <f aca="false">D1118/(D1118+E1118)</f>
        <v>0.551948051948052</v>
      </c>
      <c r="K1118" s="3" t="n">
        <f aca="false">IF(D1118&gt;E1118,1,0)</f>
        <v>1</v>
      </c>
      <c r="L1118" s="3" t="n">
        <f aca="false">IF(OR(F1118="Y",G1118="Y",H1118="Y"),1,0)</f>
        <v>0</v>
      </c>
      <c r="M1118" s="3" t="n">
        <f aca="false">IF(H1118="Y",1,0)</f>
        <v>0</v>
      </c>
      <c r="N1118" s="3" t="n">
        <f aca="false">IF(I1118="Y",1,0)</f>
        <v>0</v>
      </c>
    </row>
    <row r="1119" customFormat="false" ht="15" hidden="false" customHeight="true" outlineLevel="0" collapsed="false">
      <c r="A1119" s="7" t="s">
        <v>67</v>
      </c>
      <c r="B1119" s="7" t="n">
        <v>1948</v>
      </c>
      <c r="C1119" s="7" t="s">
        <v>368</v>
      </c>
      <c r="D1119" s="7" t="n">
        <v>78</v>
      </c>
      <c r="E1119" s="7" t="n">
        <v>76</v>
      </c>
      <c r="F1119" s="7"/>
      <c r="G1119" s="7"/>
      <c r="H1119" s="7" t="s">
        <v>546</v>
      </c>
      <c r="I1119" s="7" t="s">
        <v>546</v>
      </c>
      <c r="J1119" s="21" t="n">
        <f aca="false">D1119/(D1119+E1119)</f>
        <v>0.506493506493506</v>
      </c>
      <c r="K1119" s="3" t="n">
        <f aca="false">IF(D1119&gt;E1119,1,0)</f>
        <v>1</v>
      </c>
      <c r="L1119" s="3" t="n">
        <f aca="false">IF(OR(F1119="Y",G1119="Y",H1119="Y"),1,0)</f>
        <v>0</v>
      </c>
      <c r="M1119" s="3" t="n">
        <f aca="false">IF(H1119="Y",1,0)</f>
        <v>0</v>
      </c>
      <c r="N1119" s="3" t="n">
        <f aca="false">IF(I1119="Y",1,0)</f>
        <v>0</v>
      </c>
    </row>
    <row r="1120" customFormat="false" ht="15" hidden="false" customHeight="true" outlineLevel="0" collapsed="false">
      <c r="A1120" s="7" t="s">
        <v>67</v>
      </c>
      <c r="B1120" s="7" t="n">
        <v>1949</v>
      </c>
      <c r="C1120" s="7" t="s">
        <v>368</v>
      </c>
      <c r="D1120" s="7" t="n">
        <v>87</v>
      </c>
      <c r="E1120" s="7" t="n">
        <v>67</v>
      </c>
      <c r="F1120" s="7"/>
      <c r="G1120" s="7"/>
      <c r="H1120" s="7" t="s">
        <v>546</v>
      </c>
      <c r="I1120" s="7" t="s">
        <v>546</v>
      </c>
      <c r="J1120" s="21" t="n">
        <f aca="false">D1120/(D1120+E1120)</f>
        <v>0.564935064935065</v>
      </c>
      <c r="K1120" s="3" t="n">
        <f aca="false">IF(D1120&gt;E1120,1,0)</f>
        <v>1</v>
      </c>
      <c r="L1120" s="3" t="n">
        <f aca="false">IF(OR(F1120="Y",G1120="Y",H1120="Y"),1,0)</f>
        <v>0</v>
      </c>
      <c r="M1120" s="3" t="n">
        <f aca="false">IF(H1120="Y",1,0)</f>
        <v>0</v>
      </c>
      <c r="N1120" s="3" t="n">
        <f aca="false">IF(I1120="Y",1,0)</f>
        <v>0</v>
      </c>
    </row>
    <row r="1121" customFormat="false" ht="15" hidden="false" customHeight="true" outlineLevel="0" collapsed="false">
      <c r="A1121" s="7" t="s">
        <v>67</v>
      </c>
      <c r="B1121" s="7" t="n">
        <v>1950</v>
      </c>
      <c r="C1121" s="7" t="s">
        <v>368</v>
      </c>
      <c r="D1121" s="7" t="n">
        <v>95</v>
      </c>
      <c r="E1121" s="7" t="n">
        <v>59</v>
      </c>
      <c r="F1121" s="7"/>
      <c r="G1121" s="7"/>
      <c r="H1121" s="7" t="s">
        <v>546</v>
      </c>
      <c r="I1121" s="7" t="s">
        <v>546</v>
      </c>
      <c r="J1121" s="21" t="n">
        <f aca="false">D1121/(D1121+E1121)</f>
        <v>0.616883116883117</v>
      </c>
      <c r="K1121" s="3" t="n">
        <f aca="false">IF(D1121&gt;E1121,1,0)</f>
        <v>1</v>
      </c>
      <c r="L1121" s="3" t="n">
        <f aca="false">IF(OR(F1121="Y",G1121="Y",H1121="Y"),1,0)</f>
        <v>0</v>
      </c>
      <c r="M1121" s="3" t="n">
        <f aca="false">IF(H1121="Y",1,0)</f>
        <v>0</v>
      </c>
      <c r="N1121" s="3" t="n">
        <f aca="false">IF(I1121="Y",1,0)</f>
        <v>0</v>
      </c>
    </row>
    <row r="1122" customFormat="false" ht="15" hidden="false" customHeight="true" outlineLevel="0" collapsed="false">
      <c r="A1122" s="7" t="s">
        <v>67</v>
      </c>
      <c r="B1122" s="7" t="n">
        <v>1951</v>
      </c>
      <c r="C1122" s="7" t="s">
        <v>368</v>
      </c>
      <c r="D1122" s="7" t="n">
        <v>73</v>
      </c>
      <c r="E1122" s="7" t="n">
        <v>81</v>
      </c>
      <c r="F1122" s="7"/>
      <c r="G1122" s="7"/>
      <c r="H1122" s="7" t="s">
        <v>546</v>
      </c>
      <c r="I1122" s="7" t="s">
        <v>546</v>
      </c>
      <c r="J1122" s="21" t="n">
        <f aca="false">D1122/(D1122+E1122)</f>
        <v>0.474025974025974</v>
      </c>
      <c r="K1122" s="3" t="n">
        <f aca="false">IF(D1122&gt;E1122,1,0)</f>
        <v>0</v>
      </c>
      <c r="L1122" s="3" t="n">
        <f aca="false">IF(OR(F1122="Y",G1122="Y",H1122="Y"),1,0)</f>
        <v>0</v>
      </c>
      <c r="M1122" s="3" t="n">
        <f aca="false">IF(H1122="Y",1,0)</f>
        <v>0</v>
      </c>
      <c r="N1122" s="3" t="n">
        <f aca="false">IF(I1122="Y",1,0)</f>
        <v>0</v>
      </c>
    </row>
    <row r="1123" customFormat="false" ht="15" hidden="false" customHeight="true" outlineLevel="0" collapsed="false">
      <c r="A1123" s="7" t="s">
        <v>67</v>
      </c>
      <c r="B1123" s="7" t="n">
        <v>1952</v>
      </c>
      <c r="C1123" s="7" t="s">
        <v>368</v>
      </c>
      <c r="D1123" s="7" t="n">
        <v>50</v>
      </c>
      <c r="E1123" s="7" t="n">
        <v>104</v>
      </c>
      <c r="F1123" s="7"/>
      <c r="G1123" s="7"/>
      <c r="H1123" s="7" t="s">
        <v>546</v>
      </c>
      <c r="I1123" s="7" t="s">
        <v>546</v>
      </c>
      <c r="J1123" s="21" t="n">
        <f aca="false">D1123/(D1123+E1123)</f>
        <v>0.324675324675325</v>
      </c>
      <c r="K1123" s="3" t="n">
        <f aca="false">IF(D1123&gt;E1123,1,0)</f>
        <v>0</v>
      </c>
      <c r="L1123" s="3" t="n">
        <f aca="false">IF(OR(F1123="Y",G1123="Y",H1123="Y"),1,0)</f>
        <v>0</v>
      </c>
      <c r="M1123" s="3" t="n">
        <f aca="false">IF(H1123="Y",1,0)</f>
        <v>0</v>
      </c>
      <c r="N1123" s="3" t="n">
        <f aca="false">IF(I1123="Y",1,0)</f>
        <v>0</v>
      </c>
    </row>
    <row r="1124" customFormat="false" ht="15" hidden="false" customHeight="true" outlineLevel="0" collapsed="false">
      <c r="A1124" s="7" t="s">
        <v>67</v>
      </c>
      <c r="B1124" s="7" t="n">
        <v>1953</v>
      </c>
      <c r="C1124" s="7" t="s">
        <v>368</v>
      </c>
      <c r="D1124" s="7" t="n">
        <v>60</v>
      </c>
      <c r="E1124" s="7" t="n">
        <v>94</v>
      </c>
      <c r="F1124" s="7"/>
      <c r="G1124" s="7"/>
      <c r="H1124" s="7" t="s">
        <v>546</v>
      </c>
      <c r="I1124" s="7" t="s">
        <v>546</v>
      </c>
      <c r="J1124" s="21" t="n">
        <f aca="false">D1124/(D1124+E1124)</f>
        <v>0.38961038961039</v>
      </c>
      <c r="K1124" s="3" t="n">
        <f aca="false">IF(D1124&gt;E1124,1,0)</f>
        <v>0</v>
      </c>
      <c r="L1124" s="3" t="n">
        <f aca="false">IF(OR(F1124="Y",G1124="Y",H1124="Y"),1,0)</f>
        <v>0</v>
      </c>
      <c r="M1124" s="3" t="n">
        <f aca="false">IF(H1124="Y",1,0)</f>
        <v>0</v>
      </c>
      <c r="N1124" s="3" t="n">
        <f aca="false">IF(I1124="Y",1,0)</f>
        <v>0</v>
      </c>
    </row>
    <row r="1125" customFormat="false" ht="15" hidden="false" customHeight="true" outlineLevel="0" collapsed="false">
      <c r="A1125" s="7" t="s">
        <v>67</v>
      </c>
      <c r="B1125" s="7" t="n">
        <v>1954</v>
      </c>
      <c r="C1125" s="7" t="s">
        <v>368</v>
      </c>
      <c r="D1125" s="7" t="n">
        <v>68</v>
      </c>
      <c r="E1125" s="7" t="n">
        <v>86</v>
      </c>
      <c r="F1125" s="7"/>
      <c r="G1125" s="7"/>
      <c r="H1125" s="7" t="s">
        <v>546</v>
      </c>
      <c r="I1125" s="7" t="s">
        <v>546</v>
      </c>
      <c r="J1125" s="21" t="n">
        <f aca="false">D1125/(D1125+E1125)</f>
        <v>0.441558441558442</v>
      </c>
      <c r="K1125" s="3" t="n">
        <f aca="false">IF(D1125&gt;E1125,1,0)</f>
        <v>0</v>
      </c>
      <c r="L1125" s="3" t="n">
        <f aca="false">IF(OR(F1125="Y",G1125="Y",H1125="Y"),1,0)</f>
        <v>0</v>
      </c>
      <c r="M1125" s="3" t="n">
        <f aca="false">IF(H1125="Y",1,0)</f>
        <v>0</v>
      </c>
      <c r="N1125" s="3" t="n">
        <f aca="false">IF(I1125="Y",1,0)</f>
        <v>0</v>
      </c>
    </row>
    <row r="1126" customFormat="false" ht="15" hidden="false" customHeight="true" outlineLevel="0" collapsed="false">
      <c r="A1126" s="7" t="s">
        <v>67</v>
      </c>
      <c r="B1126" s="7" t="n">
        <v>1955</v>
      </c>
      <c r="C1126" s="7" t="s">
        <v>368</v>
      </c>
      <c r="D1126" s="7" t="n">
        <v>79</v>
      </c>
      <c r="E1126" s="7" t="n">
        <v>75</v>
      </c>
      <c r="F1126" s="7"/>
      <c r="G1126" s="7"/>
      <c r="H1126" s="7" t="s">
        <v>546</v>
      </c>
      <c r="I1126" s="7" t="s">
        <v>546</v>
      </c>
      <c r="J1126" s="21" t="n">
        <f aca="false">D1126/(D1126+E1126)</f>
        <v>0.512987012987013</v>
      </c>
      <c r="K1126" s="3" t="n">
        <f aca="false">IF(D1126&gt;E1126,1,0)</f>
        <v>1</v>
      </c>
      <c r="L1126" s="3" t="n">
        <f aca="false">IF(OR(F1126="Y",G1126="Y",H1126="Y"),1,0)</f>
        <v>0</v>
      </c>
      <c r="M1126" s="3" t="n">
        <f aca="false">IF(H1126="Y",1,0)</f>
        <v>0</v>
      </c>
      <c r="N1126" s="3" t="n">
        <f aca="false">IF(I1126="Y",1,0)</f>
        <v>0</v>
      </c>
    </row>
    <row r="1127" customFormat="false" ht="15" hidden="false" customHeight="true" outlineLevel="0" collapsed="false">
      <c r="A1127" s="7" t="s">
        <v>67</v>
      </c>
      <c r="B1127" s="7" t="n">
        <v>1956</v>
      </c>
      <c r="C1127" s="7" t="s">
        <v>368</v>
      </c>
      <c r="D1127" s="7" t="n">
        <v>82</v>
      </c>
      <c r="E1127" s="7" t="n">
        <v>72</v>
      </c>
      <c r="F1127" s="7"/>
      <c r="G1127" s="7"/>
      <c r="H1127" s="7" t="s">
        <v>546</v>
      </c>
      <c r="I1127" s="7" t="s">
        <v>546</v>
      </c>
      <c r="J1127" s="21" t="n">
        <f aca="false">D1127/(D1127+E1127)</f>
        <v>0.532467532467532</v>
      </c>
      <c r="K1127" s="3" t="n">
        <f aca="false">IF(D1127&gt;E1127,1,0)</f>
        <v>1</v>
      </c>
      <c r="L1127" s="3" t="n">
        <f aca="false">IF(OR(F1127="Y",G1127="Y",H1127="Y"),1,0)</f>
        <v>0</v>
      </c>
      <c r="M1127" s="3" t="n">
        <f aca="false">IF(H1127="Y",1,0)</f>
        <v>0</v>
      </c>
      <c r="N1127" s="3" t="n">
        <f aca="false">IF(I1127="Y",1,0)</f>
        <v>0</v>
      </c>
    </row>
    <row r="1128" customFormat="false" ht="15" hidden="false" customHeight="true" outlineLevel="0" collapsed="false">
      <c r="A1128" s="7" t="s">
        <v>67</v>
      </c>
      <c r="B1128" s="7" t="n">
        <v>1957</v>
      </c>
      <c r="C1128" s="7" t="s">
        <v>368</v>
      </c>
      <c r="D1128" s="7" t="n">
        <v>78</v>
      </c>
      <c r="E1128" s="7" t="n">
        <v>76</v>
      </c>
      <c r="F1128" s="7"/>
      <c r="G1128" s="7"/>
      <c r="H1128" s="7" t="s">
        <v>546</v>
      </c>
      <c r="I1128" s="7" t="s">
        <v>546</v>
      </c>
      <c r="J1128" s="21" t="n">
        <f aca="false">D1128/(D1128+E1128)</f>
        <v>0.506493506493506</v>
      </c>
      <c r="K1128" s="3" t="n">
        <f aca="false">IF(D1128&gt;E1128,1,0)</f>
        <v>1</v>
      </c>
      <c r="L1128" s="3" t="n">
        <f aca="false">IF(OR(F1128="Y",G1128="Y",H1128="Y"),1,0)</f>
        <v>0</v>
      </c>
      <c r="M1128" s="3" t="n">
        <f aca="false">IF(H1128="Y",1,0)</f>
        <v>0</v>
      </c>
      <c r="N1128" s="3" t="n">
        <f aca="false">IF(I1128="Y",1,0)</f>
        <v>0</v>
      </c>
    </row>
    <row r="1129" customFormat="false" ht="15" hidden="false" customHeight="true" outlineLevel="0" collapsed="false">
      <c r="A1129" s="7" t="s">
        <v>67</v>
      </c>
      <c r="B1129" s="7" t="n">
        <v>1958</v>
      </c>
      <c r="C1129" s="7" t="s">
        <v>368</v>
      </c>
      <c r="D1129" s="7" t="n">
        <v>77</v>
      </c>
      <c r="E1129" s="7" t="n">
        <v>77</v>
      </c>
      <c r="F1129" s="7"/>
      <c r="G1129" s="7"/>
      <c r="H1129" s="7" t="s">
        <v>546</v>
      </c>
      <c r="I1129" s="7" t="s">
        <v>546</v>
      </c>
      <c r="J1129" s="21" t="n">
        <f aca="false">D1129/(D1129+E1129)</f>
        <v>0.5</v>
      </c>
      <c r="K1129" s="3" t="n">
        <f aca="false">IF(D1129&gt;E1129,1,0)</f>
        <v>0</v>
      </c>
      <c r="L1129" s="3" t="n">
        <f aca="false">IF(OR(F1129="Y",G1129="Y",H1129="Y"),1,0)</f>
        <v>0</v>
      </c>
      <c r="M1129" s="3" t="n">
        <f aca="false">IF(H1129="Y",1,0)</f>
        <v>0</v>
      </c>
      <c r="N1129" s="3" t="n">
        <f aca="false">IF(I1129="Y",1,0)</f>
        <v>0</v>
      </c>
    </row>
    <row r="1130" customFormat="false" ht="15" hidden="false" customHeight="true" outlineLevel="0" collapsed="false">
      <c r="A1130" s="7" t="s">
        <v>67</v>
      </c>
      <c r="B1130" s="7" t="n">
        <v>1959</v>
      </c>
      <c r="C1130" s="7" t="s">
        <v>368</v>
      </c>
      <c r="D1130" s="7" t="n">
        <v>76</v>
      </c>
      <c r="E1130" s="7" t="n">
        <v>78</v>
      </c>
      <c r="F1130" s="7"/>
      <c r="G1130" s="7"/>
      <c r="H1130" s="7" t="s">
        <v>546</v>
      </c>
      <c r="I1130" s="7" t="s">
        <v>546</v>
      </c>
      <c r="J1130" s="21" t="n">
        <f aca="false">D1130/(D1130+E1130)</f>
        <v>0.493506493506494</v>
      </c>
      <c r="K1130" s="3" t="n">
        <f aca="false">IF(D1130&gt;E1130,1,0)</f>
        <v>0</v>
      </c>
      <c r="L1130" s="3" t="n">
        <f aca="false">IF(OR(F1130="Y",G1130="Y",H1130="Y"),1,0)</f>
        <v>0</v>
      </c>
      <c r="M1130" s="3" t="n">
        <f aca="false">IF(H1130="Y",1,0)</f>
        <v>0</v>
      </c>
      <c r="N1130" s="3" t="n">
        <f aca="false">IF(I1130="Y",1,0)</f>
        <v>0</v>
      </c>
    </row>
    <row r="1131" customFormat="false" ht="15" hidden="false" customHeight="true" outlineLevel="0" collapsed="false">
      <c r="A1131" s="7" t="s">
        <v>67</v>
      </c>
      <c r="B1131" s="7" t="n">
        <v>1960</v>
      </c>
      <c r="C1131" s="7" t="s">
        <v>368</v>
      </c>
      <c r="D1131" s="7" t="n">
        <v>71</v>
      </c>
      <c r="E1131" s="7" t="n">
        <v>83</v>
      </c>
      <c r="F1131" s="7"/>
      <c r="G1131" s="7"/>
      <c r="H1131" s="7" t="s">
        <v>546</v>
      </c>
      <c r="I1131" s="7" t="s">
        <v>546</v>
      </c>
      <c r="J1131" s="21" t="n">
        <f aca="false">D1131/(D1131+E1131)</f>
        <v>0.461038961038961</v>
      </c>
      <c r="K1131" s="3" t="n">
        <f aca="false">IF(D1131&gt;E1131,1,0)</f>
        <v>0</v>
      </c>
      <c r="L1131" s="3" t="n">
        <f aca="false">IF(OR(F1131="Y",G1131="Y",H1131="Y"),1,0)</f>
        <v>0</v>
      </c>
      <c r="M1131" s="3" t="n">
        <f aca="false">IF(H1131="Y",1,0)</f>
        <v>0</v>
      </c>
      <c r="N1131" s="3" t="n">
        <f aca="false">IF(I1131="Y",1,0)</f>
        <v>0</v>
      </c>
    </row>
    <row r="1132" customFormat="false" ht="15" hidden="false" customHeight="true" outlineLevel="0" collapsed="false">
      <c r="A1132" s="7" t="s">
        <v>67</v>
      </c>
      <c r="B1132" s="7" t="n">
        <v>1961</v>
      </c>
      <c r="C1132" s="7" t="s">
        <v>368</v>
      </c>
      <c r="D1132" s="7" t="n">
        <v>101</v>
      </c>
      <c r="E1132" s="7" t="n">
        <v>61</v>
      </c>
      <c r="F1132" s="7"/>
      <c r="G1132" s="7"/>
      <c r="H1132" s="7" t="s">
        <v>546</v>
      </c>
      <c r="I1132" s="7" t="s">
        <v>546</v>
      </c>
      <c r="J1132" s="21" t="n">
        <f aca="false">D1132/(D1132+E1132)</f>
        <v>0.623456790123457</v>
      </c>
      <c r="K1132" s="3" t="n">
        <f aca="false">IF(D1132&gt;E1132,1,0)</f>
        <v>1</v>
      </c>
      <c r="L1132" s="3" t="n">
        <f aca="false">IF(OR(F1132="Y",G1132="Y",H1132="Y"),1,0)</f>
        <v>0</v>
      </c>
      <c r="M1132" s="3" t="n">
        <f aca="false">IF(H1132="Y",1,0)</f>
        <v>0</v>
      </c>
      <c r="N1132" s="3" t="n">
        <f aca="false">IF(I1132="Y",1,0)</f>
        <v>0</v>
      </c>
    </row>
    <row r="1133" customFormat="false" ht="15" hidden="false" customHeight="true" outlineLevel="0" collapsed="false">
      <c r="A1133" s="7" t="s">
        <v>67</v>
      </c>
      <c r="B1133" s="7" t="n">
        <v>1962</v>
      </c>
      <c r="C1133" s="7" t="s">
        <v>368</v>
      </c>
      <c r="D1133" s="7" t="n">
        <v>85</v>
      </c>
      <c r="E1133" s="7" t="n">
        <v>76</v>
      </c>
      <c r="F1133" s="7"/>
      <c r="G1133" s="7"/>
      <c r="H1133" s="7" t="s">
        <v>546</v>
      </c>
      <c r="I1133" s="7" t="s">
        <v>546</v>
      </c>
      <c r="J1133" s="21" t="n">
        <f aca="false">D1133/(D1133+E1133)</f>
        <v>0.527950310559006</v>
      </c>
      <c r="K1133" s="3" t="n">
        <f aca="false">IF(D1133&gt;E1133,1,0)</f>
        <v>1</v>
      </c>
      <c r="L1133" s="3" t="n">
        <f aca="false">IF(OR(F1133="Y",G1133="Y",H1133="Y"),1,0)</f>
        <v>0</v>
      </c>
      <c r="M1133" s="3" t="n">
        <f aca="false">IF(H1133="Y",1,0)</f>
        <v>0</v>
      </c>
      <c r="N1133" s="3" t="n">
        <f aca="false">IF(I1133="Y",1,0)</f>
        <v>0</v>
      </c>
    </row>
    <row r="1134" customFormat="false" ht="15" hidden="false" customHeight="true" outlineLevel="0" collapsed="false">
      <c r="A1134" s="7" t="s">
        <v>67</v>
      </c>
      <c r="B1134" s="7" t="n">
        <v>1963</v>
      </c>
      <c r="C1134" s="7" t="s">
        <v>368</v>
      </c>
      <c r="D1134" s="7" t="n">
        <v>79</v>
      </c>
      <c r="E1134" s="7" t="n">
        <v>83</v>
      </c>
      <c r="F1134" s="7"/>
      <c r="G1134" s="7"/>
      <c r="H1134" s="7" t="s">
        <v>546</v>
      </c>
      <c r="I1134" s="7" t="s">
        <v>546</v>
      </c>
      <c r="J1134" s="21" t="n">
        <f aca="false">D1134/(D1134+E1134)</f>
        <v>0.487654320987654</v>
      </c>
      <c r="K1134" s="3" t="n">
        <f aca="false">IF(D1134&gt;E1134,1,0)</f>
        <v>0</v>
      </c>
      <c r="L1134" s="3" t="n">
        <f aca="false">IF(OR(F1134="Y",G1134="Y",H1134="Y"),1,0)</f>
        <v>0</v>
      </c>
      <c r="M1134" s="3" t="n">
        <f aca="false">IF(H1134="Y",1,0)</f>
        <v>0</v>
      </c>
      <c r="N1134" s="3" t="n">
        <f aca="false">IF(I1134="Y",1,0)</f>
        <v>0</v>
      </c>
    </row>
    <row r="1135" customFormat="false" ht="15" hidden="false" customHeight="true" outlineLevel="0" collapsed="false">
      <c r="A1135" s="7" t="s">
        <v>67</v>
      </c>
      <c r="B1135" s="7" t="n">
        <v>1964</v>
      </c>
      <c r="C1135" s="7" t="s">
        <v>368</v>
      </c>
      <c r="D1135" s="7" t="n">
        <v>85</v>
      </c>
      <c r="E1135" s="7" t="n">
        <v>77</v>
      </c>
      <c r="F1135" s="7"/>
      <c r="G1135" s="7"/>
      <c r="H1135" s="7" t="s">
        <v>546</v>
      </c>
      <c r="I1135" s="7" t="s">
        <v>546</v>
      </c>
      <c r="J1135" s="21" t="n">
        <f aca="false">D1135/(D1135+E1135)</f>
        <v>0.524691358024691</v>
      </c>
      <c r="K1135" s="3" t="n">
        <f aca="false">IF(D1135&gt;E1135,1,0)</f>
        <v>1</v>
      </c>
      <c r="L1135" s="3" t="n">
        <f aca="false">IF(OR(F1135="Y",G1135="Y",H1135="Y"),1,0)</f>
        <v>0</v>
      </c>
      <c r="M1135" s="3" t="n">
        <f aca="false">IF(H1135="Y",1,0)</f>
        <v>0</v>
      </c>
      <c r="N1135" s="3" t="n">
        <f aca="false">IF(I1135="Y",1,0)</f>
        <v>0</v>
      </c>
    </row>
    <row r="1136" customFormat="false" ht="15" hidden="false" customHeight="true" outlineLevel="0" collapsed="false">
      <c r="A1136" s="7" t="s">
        <v>67</v>
      </c>
      <c r="B1136" s="7" t="n">
        <v>1965</v>
      </c>
      <c r="C1136" s="7" t="s">
        <v>368</v>
      </c>
      <c r="D1136" s="7" t="n">
        <v>89</v>
      </c>
      <c r="E1136" s="7" t="n">
        <v>73</v>
      </c>
      <c r="F1136" s="7"/>
      <c r="G1136" s="7"/>
      <c r="H1136" s="7" t="s">
        <v>546</v>
      </c>
      <c r="I1136" s="7" t="s">
        <v>546</v>
      </c>
      <c r="J1136" s="21" t="n">
        <f aca="false">D1136/(D1136+E1136)</f>
        <v>0.549382716049383</v>
      </c>
      <c r="K1136" s="3" t="n">
        <f aca="false">IF(D1136&gt;E1136,1,0)</f>
        <v>1</v>
      </c>
      <c r="L1136" s="3" t="n">
        <f aca="false">IF(OR(F1136="Y",G1136="Y",H1136="Y"),1,0)</f>
        <v>0</v>
      </c>
      <c r="M1136" s="3" t="n">
        <f aca="false">IF(H1136="Y",1,0)</f>
        <v>0</v>
      </c>
      <c r="N1136" s="3" t="n">
        <f aca="false">IF(I1136="Y",1,0)</f>
        <v>0</v>
      </c>
    </row>
    <row r="1137" customFormat="false" ht="15" hidden="false" customHeight="true" outlineLevel="0" collapsed="false">
      <c r="A1137" s="7" t="s">
        <v>67</v>
      </c>
      <c r="B1137" s="7" t="n">
        <v>1966</v>
      </c>
      <c r="C1137" s="7" t="s">
        <v>368</v>
      </c>
      <c r="D1137" s="7" t="n">
        <v>88</v>
      </c>
      <c r="E1137" s="7" t="n">
        <v>74</v>
      </c>
      <c r="F1137" s="7"/>
      <c r="G1137" s="7"/>
      <c r="H1137" s="7" t="s">
        <v>546</v>
      </c>
      <c r="I1137" s="7" t="s">
        <v>546</v>
      </c>
      <c r="J1137" s="21" t="n">
        <f aca="false">D1137/(D1137+E1137)</f>
        <v>0.54320987654321</v>
      </c>
      <c r="K1137" s="3" t="n">
        <f aca="false">IF(D1137&gt;E1137,1,0)</f>
        <v>1</v>
      </c>
      <c r="L1137" s="3" t="n">
        <f aca="false">IF(OR(F1137="Y",G1137="Y",H1137="Y"),1,0)</f>
        <v>0</v>
      </c>
      <c r="M1137" s="3" t="n">
        <f aca="false">IF(H1137="Y",1,0)</f>
        <v>0</v>
      </c>
      <c r="N1137" s="3" t="n">
        <f aca="false">IF(I1137="Y",1,0)</f>
        <v>0</v>
      </c>
    </row>
    <row r="1138" customFormat="false" ht="15" hidden="false" customHeight="true" outlineLevel="0" collapsed="false">
      <c r="A1138" s="7" t="s">
        <v>67</v>
      </c>
      <c r="B1138" s="7" t="n">
        <v>1967</v>
      </c>
      <c r="C1138" s="7" t="s">
        <v>368</v>
      </c>
      <c r="D1138" s="7" t="n">
        <v>91</v>
      </c>
      <c r="E1138" s="7" t="n">
        <v>71</v>
      </c>
      <c r="F1138" s="7"/>
      <c r="G1138" s="7"/>
      <c r="H1138" s="7" t="s">
        <v>546</v>
      </c>
      <c r="I1138" s="7" t="s">
        <v>546</v>
      </c>
      <c r="J1138" s="21" t="n">
        <f aca="false">D1138/(D1138+E1138)</f>
        <v>0.561728395061728</v>
      </c>
      <c r="K1138" s="3" t="n">
        <f aca="false">IF(D1138&gt;E1138,1,0)</f>
        <v>1</v>
      </c>
      <c r="L1138" s="3" t="n">
        <f aca="false">IF(OR(F1138="Y",G1138="Y",H1138="Y"),1,0)</f>
        <v>0</v>
      </c>
      <c r="M1138" s="3" t="n">
        <f aca="false">IF(H1138="Y",1,0)</f>
        <v>0</v>
      </c>
      <c r="N1138" s="3" t="n">
        <f aca="false">IF(I1138="Y",1,0)</f>
        <v>0</v>
      </c>
    </row>
    <row r="1139" customFormat="false" ht="15" hidden="false" customHeight="true" outlineLevel="0" collapsed="false">
      <c r="A1139" s="7" t="s">
        <v>67</v>
      </c>
      <c r="B1139" s="7" t="n">
        <v>1968</v>
      </c>
      <c r="C1139" s="7" t="s">
        <v>368</v>
      </c>
      <c r="D1139" s="7" t="n">
        <v>103</v>
      </c>
      <c r="E1139" s="7" t="n">
        <v>59</v>
      </c>
      <c r="F1139" s="7"/>
      <c r="G1139" s="7"/>
      <c r="H1139" s="7" t="s">
        <v>548</v>
      </c>
      <c r="I1139" s="7" t="s">
        <v>548</v>
      </c>
      <c r="J1139" s="21" t="n">
        <f aca="false">D1139/(D1139+E1139)</f>
        <v>0.635802469135803</v>
      </c>
      <c r="K1139" s="3" t="n">
        <f aca="false">IF(D1139&gt;E1139,1,0)</f>
        <v>1</v>
      </c>
      <c r="L1139" s="3" t="n">
        <f aca="false">IF(OR(F1139="Y",G1139="Y",H1139="Y"),1,0)</f>
        <v>1</v>
      </c>
      <c r="M1139" s="3" t="n">
        <f aca="false">IF(H1139="Y",1,0)</f>
        <v>1</v>
      </c>
      <c r="N1139" s="3" t="n">
        <f aca="false">IF(I1139="Y",1,0)</f>
        <v>1</v>
      </c>
    </row>
    <row r="1140" customFormat="false" ht="15" hidden="false" customHeight="true" outlineLevel="0" collapsed="false">
      <c r="A1140" s="7" t="s">
        <v>67</v>
      </c>
      <c r="B1140" s="7" t="n">
        <v>1969</v>
      </c>
      <c r="C1140" s="7" t="s">
        <v>368</v>
      </c>
      <c r="D1140" s="7" t="n">
        <v>90</v>
      </c>
      <c r="E1140" s="7" t="n">
        <v>72</v>
      </c>
      <c r="F1140" s="7" t="s">
        <v>546</v>
      </c>
      <c r="G1140" s="7"/>
      <c r="H1140" s="7" t="s">
        <v>546</v>
      </c>
      <c r="I1140" s="7" t="s">
        <v>546</v>
      </c>
      <c r="J1140" s="21" t="n">
        <f aca="false">D1140/(D1140+E1140)</f>
        <v>0.555555555555556</v>
      </c>
      <c r="K1140" s="3" t="n">
        <f aca="false">IF(D1140&gt;E1140,1,0)</f>
        <v>1</v>
      </c>
      <c r="L1140" s="3" t="n">
        <f aca="false">IF(OR(F1140="Y",G1140="Y",H1140="Y"),1,0)</f>
        <v>0</v>
      </c>
      <c r="M1140" s="3" t="n">
        <f aca="false">IF(H1140="Y",1,0)</f>
        <v>0</v>
      </c>
      <c r="N1140" s="3" t="n">
        <f aca="false">IF(I1140="Y",1,0)</f>
        <v>0</v>
      </c>
    </row>
    <row r="1141" customFormat="false" ht="15" hidden="false" customHeight="true" outlineLevel="0" collapsed="false">
      <c r="A1141" s="7" t="s">
        <v>67</v>
      </c>
      <c r="B1141" s="7" t="n">
        <v>1970</v>
      </c>
      <c r="C1141" s="7" t="s">
        <v>368</v>
      </c>
      <c r="D1141" s="7" t="n">
        <v>79</v>
      </c>
      <c r="E1141" s="7" t="n">
        <v>83</v>
      </c>
      <c r="F1141" s="7" t="s">
        <v>546</v>
      </c>
      <c r="G1141" s="7"/>
      <c r="H1141" s="7" t="s">
        <v>546</v>
      </c>
      <c r="I1141" s="7" t="s">
        <v>546</v>
      </c>
      <c r="J1141" s="21" t="n">
        <f aca="false">D1141/(D1141+E1141)</f>
        <v>0.487654320987654</v>
      </c>
      <c r="K1141" s="3" t="n">
        <f aca="false">IF(D1141&gt;E1141,1,0)</f>
        <v>0</v>
      </c>
      <c r="L1141" s="3" t="n">
        <f aca="false">IF(OR(F1141="Y",G1141="Y",H1141="Y"),1,0)</f>
        <v>0</v>
      </c>
      <c r="M1141" s="3" t="n">
        <f aca="false">IF(H1141="Y",1,0)</f>
        <v>0</v>
      </c>
      <c r="N1141" s="3" t="n">
        <f aca="false">IF(I1141="Y",1,0)</f>
        <v>0</v>
      </c>
    </row>
    <row r="1142" customFormat="false" ht="15" hidden="false" customHeight="true" outlineLevel="0" collapsed="false">
      <c r="A1142" s="7" t="s">
        <v>67</v>
      </c>
      <c r="B1142" s="7" t="n">
        <v>1971</v>
      </c>
      <c r="C1142" s="7" t="s">
        <v>368</v>
      </c>
      <c r="D1142" s="7" t="n">
        <v>91</v>
      </c>
      <c r="E1142" s="7" t="n">
        <v>71</v>
      </c>
      <c r="F1142" s="7" t="s">
        <v>546</v>
      </c>
      <c r="G1142" s="7"/>
      <c r="H1142" s="7" t="s">
        <v>546</v>
      </c>
      <c r="I1142" s="7" t="s">
        <v>546</v>
      </c>
      <c r="J1142" s="21" t="n">
        <f aca="false">D1142/(D1142+E1142)</f>
        <v>0.561728395061728</v>
      </c>
      <c r="K1142" s="3" t="n">
        <f aca="false">IF(D1142&gt;E1142,1,0)</f>
        <v>1</v>
      </c>
      <c r="L1142" s="3" t="n">
        <f aca="false">IF(OR(F1142="Y",G1142="Y",H1142="Y"),1,0)</f>
        <v>0</v>
      </c>
      <c r="M1142" s="3" t="n">
        <f aca="false">IF(H1142="Y",1,0)</f>
        <v>0</v>
      </c>
      <c r="N1142" s="3" t="n">
        <f aca="false">IF(I1142="Y",1,0)</f>
        <v>0</v>
      </c>
    </row>
    <row r="1143" customFormat="false" ht="15" hidden="false" customHeight="true" outlineLevel="0" collapsed="false">
      <c r="A1143" s="7" t="s">
        <v>67</v>
      </c>
      <c r="B1143" s="7" t="n">
        <v>1972</v>
      </c>
      <c r="C1143" s="7" t="s">
        <v>368</v>
      </c>
      <c r="D1143" s="7" t="n">
        <v>86</v>
      </c>
      <c r="E1143" s="7" t="n">
        <v>70</v>
      </c>
      <c r="F1143" s="7" t="s">
        <v>548</v>
      </c>
      <c r="G1143" s="7"/>
      <c r="H1143" s="7" t="s">
        <v>546</v>
      </c>
      <c r="I1143" s="7" t="s">
        <v>546</v>
      </c>
      <c r="J1143" s="21" t="n">
        <f aca="false">D1143/(D1143+E1143)</f>
        <v>0.551282051282051</v>
      </c>
      <c r="K1143" s="3" t="n">
        <f aca="false">IF(D1143&gt;E1143,1,0)</f>
        <v>1</v>
      </c>
      <c r="L1143" s="3" t="n">
        <f aca="false">IF(OR(F1143="Y",G1143="Y",H1143="Y"),1,0)</f>
        <v>1</v>
      </c>
      <c r="M1143" s="3" t="n">
        <f aca="false">IF(H1143="Y",1,0)</f>
        <v>0</v>
      </c>
      <c r="N1143" s="3" t="n">
        <f aca="false">IF(I1143="Y",1,0)</f>
        <v>0</v>
      </c>
    </row>
    <row r="1144" customFormat="false" ht="15" hidden="false" customHeight="true" outlineLevel="0" collapsed="false">
      <c r="A1144" s="7" t="s">
        <v>67</v>
      </c>
      <c r="B1144" s="7" t="n">
        <v>1973</v>
      </c>
      <c r="C1144" s="7" t="s">
        <v>368</v>
      </c>
      <c r="D1144" s="7" t="n">
        <v>85</v>
      </c>
      <c r="E1144" s="7" t="n">
        <v>77</v>
      </c>
      <c r="F1144" s="7" t="s">
        <v>546</v>
      </c>
      <c r="G1144" s="7"/>
      <c r="H1144" s="7" t="s">
        <v>546</v>
      </c>
      <c r="I1144" s="7" t="s">
        <v>546</v>
      </c>
      <c r="J1144" s="21" t="n">
        <f aca="false">D1144/(D1144+E1144)</f>
        <v>0.524691358024691</v>
      </c>
      <c r="K1144" s="3" t="n">
        <f aca="false">IF(D1144&gt;E1144,1,0)</f>
        <v>1</v>
      </c>
      <c r="L1144" s="3" t="n">
        <f aca="false">IF(OR(F1144="Y",G1144="Y",H1144="Y"),1,0)</f>
        <v>0</v>
      </c>
      <c r="M1144" s="3" t="n">
        <f aca="false">IF(H1144="Y",1,0)</f>
        <v>0</v>
      </c>
      <c r="N1144" s="3" t="n">
        <f aca="false">IF(I1144="Y",1,0)</f>
        <v>0</v>
      </c>
    </row>
    <row r="1145" customFormat="false" ht="15" hidden="false" customHeight="true" outlineLevel="0" collapsed="false">
      <c r="A1145" s="7" t="s">
        <v>67</v>
      </c>
      <c r="B1145" s="7" t="n">
        <v>1974</v>
      </c>
      <c r="C1145" s="7" t="s">
        <v>368</v>
      </c>
      <c r="D1145" s="7" t="n">
        <v>72</v>
      </c>
      <c r="E1145" s="7" t="n">
        <v>90</v>
      </c>
      <c r="F1145" s="7" t="s">
        <v>546</v>
      </c>
      <c r="G1145" s="7"/>
      <c r="H1145" s="7" t="s">
        <v>546</v>
      </c>
      <c r="I1145" s="7" t="s">
        <v>546</v>
      </c>
      <c r="J1145" s="21" t="n">
        <f aca="false">D1145/(D1145+E1145)</f>
        <v>0.444444444444444</v>
      </c>
      <c r="K1145" s="3" t="n">
        <f aca="false">IF(D1145&gt;E1145,1,0)</f>
        <v>0</v>
      </c>
      <c r="L1145" s="3" t="n">
        <f aca="false">IF(OR(F1145="Y",G1145="Y",H1145="Y"),1,0)</f>
        <v>0</v>
      </c>
      <c r="M1145" s="3" t="n">
        <f aca="false">IF(H1145="Y",1,0)</f>
        <v>0</v>
      </c>
      <c r="N1145" s="3" t="n">
        <f aca="false">IF(I1145="Y",1,0)</f>
        <v>0</v>
      </c>
    </row>
    <row r="1146" customFormat="false" ht="15" hidden="false" customHeight="true" outlineLevel="0" collapsed="false">
      <c r="A1146" s="7" t="s">
        <v>67</v>
      </c>
      <c r="B1146" s="7" t="n">
        <v>1975</v>
      </c>
      <c r="C1146" s="7" t="s">
        <v>368</v>
      </c>
      <c r="D1146" s="7" t="n">
        <v>57</v>
      </c>
      <c r="E1146" s="7" t="n">
        <v>102</v>
      </c>
      <c r="F1146" s="7" t="s">
        <v>546</v>
      </c>
      <c r="G1146" s="7"/>
      <c r="H1146" s="7" t="s">
        <v>546</v>
      </c>
      <c r="I1146" s="7" t="s">
        <v>546</v>
      </c>
      <c r="J1146" s="21" t="n">
        <f aca="false">D1146/(D1146+E1146)</f>
        <v>0.358490566037736</v>
      </c>
      <c r="K1146" s="3" t="n">
        <f aca="false">IF(D1146&gt;E1146,1,0)</f>
        <v>0</v>
      </c>
      <c r="L1146" s="3" t="n">
        <f aca="false">IF(OR(F1146="Y",G1146="Y",H1146="Y"),1,0)</f>
        <v>0</v>
      </c>
      <c r="M1146" s="3" t="n">
        <f aca="false">IF(H1146="Y",1,0)</f>
        <v>0</v>
      </c>
      <c r="N1146" s="3" t="n">
        <f aca="false">IF(I1146="Y",1,0)</f>
        <v>0</v>
      </c>
    </row>
    <row r="1147" customFormat="false" ht="15" hidden="false" customHeight="true" outlineLevel="0" collapsed="false">
      <c r="A1147" s="7" t="s">
        <v>67</v>
      </c>
      <c r="B1147" s="7" t="n">
        <v>1976</v>
      </c>
      <c r="C1147" s="7" t="s">
        <v>368</v>
      </c>
      <c r="D1147" s="7" t="n">
        <v>74</v>
      </c>
      <c r="E1147" s="7" t="n">
        <v>87</v>
      </c>
      <c r="F1147" s="7" t="s">
        <v>546</v>
      </c>
      <c r="G1147" s="7"/>
      <c r="H1147" s="7" t="s">
        <v>546</v>
      </c>
      <c r="I1147" s="7" t="s">
        <v>546</v>
      </c>
      <c r="J1147" s="21" t="n">
        <f aca="false">D1147/(D1147+E1147)</f>
        <v>0.459627329192547</v>
      </c>
      <c r="K1147" s="3" t="n">
        <f aca="false">IF(D1147&gt;E1147,1,0)</f>
        <v>0</v>
      </c>
      <c r="L1147" s="3" t="n">
        <f aca="false">IF(OR(F1147="Y",G1147="Y",H1147="Y"),1,0)</f>
        <v>0</v>
      </c>
      <c r="M1147" s="3" t="n">
        <f aca="false">IF(H1147="Y",1,0)</f>
        <v>0</v>
      </c>
      <c r="N1147" s="3" t="n">
        <f aca="false">IF(I1147="Y",1,0)</f>
        <v>0</v>
      </c>
    </row>
    <row r="1148" customFormat="false" ht="15" hidden="false" customHeight="true" outlineLevel="0" collapsed="false">
      <c r="A1148" s="7" t="s">
        <v>67</v>
      </c>
      <c r="B1148" s="7" t="n">
        <v>1977</v>
      </c>
      <c r="C1148" s="7" t="s">
        <v>368</v>
      </c>
      <c r="D1148" s="7" t="n">
        <v>74</v>
      </c>
      <c r="E1148" s="7" t="n">
        <v>88</v>
      </c>
      <c r="F1148" s="7" t="s">
        <v>546</v>
      </c>
      <c r="G1148" s="7"/>
      <c r="H1148" s="7" t="s">
        <v>546</v>
      </c>
      <c r="I1148" s="7" t="s">
        <v>546</v>
      </c>
      <c r="J1148" s="21" t="n">
        <f aca="false">D1148/(D1148+E1148)</f>
        <v>0.45679012345679</v>
      </c>
      <c r="K1148" s="3" t="n">
        <f aca="false">IF(D1148&gt;E1148,1,0)</f>
        <v>0</v>
      </c>
      <c r="L1148" s="3" t="n">
        <f aca="false">IF(OR(F1148="Y",G1148="Y",H1148="Y"),1,0)</f>
        <v>0</v>
      </c>
      <c r="M1148" s="3" t="n">
        <f aca="false">IF(H1148="Y",1,0)</f>
        <v>0</v>
      </c>
      <c r="N1148" s="3" t="n">
        <f aca="false">IF(I1148="Y",1,0)</f>
        <v>0</v>
      </c>
    </row>
    <row r="1149" customFormat="false" ht="15" hidden="false" customHeight="true" outlineLevel="0" collapsed="false">
      <c r="A1149" s="7" t="s">
        <v>67</v>
      </c>
      <c r="B1149" s="7" t="n">
        <v>1978</v>
      </c>
      <c r="C1149" s="7" t="s">
        <v>368</v>
      </c>
      <c r="D1149" s="7" t="n">
        <v>86</v>
      </c>
      <c r="E1149" s="7" t="n">
        <v>76</v>
      </c>
      <c r="F1149" s="7" t="s">
        <v>546</v>
      </c>
      <c r="G1149" s="7"/>
      <c r="H1149" s="7" t="s">
        <v>546</v>
      </c>
      <c r="I1149" s="7" t="s">
        <v>546</v>
      </c>
      <c r="J1149" s="21" t="n">
        <f aca="false">D1149/(D1149+E1149)</f>
        <v>0.530864197530864</v>
      </c>
      <c r="K1149" s="3" t="n">
        <f aca="false">IF(D1149&gt;E1149,1,0)</f>
        <v>1</v>
      </c>
      <c r="L1149" s="3" t="n">
        <f aca="false">IF(OR(F1149="Y",G1149="Y",H1149="Y"),1,0)</f>
        <v>0</v>
      </c>
      <c r="M1149" s="3" t="n">
        <f aca="false">IF(H1149="Y",1,0)</f>
        <v>0</v>
      </c>
      <c r="N1149" s="3" t="n">
        <f aca="false">IF(I1149="Y",1,0)</f>
        <v>0</v>
      </c>
    </row>
    <row r="1150" customFormat="false" ht="15" hidden="false" customHeight="true" outlineLevel="0" collapsed="false">
      <c r="A1150" s="7" t="s">
        <v>67</v>
      </c>
      <c r="B1150" s="7" t="n">
        <v>1979</v>
      </c>
      <c r="C1150" s="7" t="s">
        <v>368</v>
      </c>
      <c r="D1150" s="7" t="n">
        <v>85</v>
      </c>
      <c r="E1150" s="7" t="n">
        <v>76</v>
      </c>
      <c r="F1150" s="7" t="s">
        <v>546</v>
      </c>
      <c r="G1150" s="7"/>
      <c r="H1150" s="7" t="s">
        <v>546</v>
      </c>
      <c r="I1150" s="7" t="s">
        <v>546</v>
      </c>
      <c r="J1150" s="21" t="n">
        <f aca="false">D1150/(D1150+E1150)</f>
        <v>0.527950310559006</v>
      </c>
      <c r="K1150" s="3" t="n">
        <f aca="false">IF(D1150&gt;E1150,1,0)</f>
        <v>1</v>
      </c>
      <c r="L1150" s="3" t="n">
        <f aca="false">IF(OR(F1150="Y",G1150="Y",H1150="Y"),1,0)</f>
        <v>0</v>
      </c>
      <c r="M1150" s="3" t="n">
        <f aca="false">IF(H1150="Y",1,0)</f>
        <v>0</v>
      </c>
      <c r="N1150" s="3" t="n">
        <f aca="false">IF(I1150="Y",1,0)</f>
        <v>0</v>
      </c>
    </row>
    <row r="1151" customFormat="false" ht="15" hidden="false" customHeight="true" outlineLevel="0" collapsed="false">
      <c r="A1151" s="7" t="s">
        <v>67</v>
      </c>
      <c r="B1151" s="7" t="n">
        <v>1980</v>
      </c>
      <c r="C1151" s="7" t="s">
        <v>368</v>
      </c>
      <c r="D1151" s="7" t="n">
        <v>84</v>
      </c>
      <c r="E1151" s="7" t="n">
        <v>78</v>
      </c>
      <c r="F1151" s="7" t="s">
        <v>546</v>
      </c>
      <c r="G1151" s="7"/>
      <c r="H1151" s="7" t="s">
        <v>546</v>
      </c>
      <c r="I1151" s="7" t="s">
        <v>546</v>
      </c>
      <c r="J1151" s="21" t="n">
        <f aca="false">D1151/(D1151+E1151)</f>
        <v>0.518518518518519</v>
      </c>
      <c r="K1151" s="3" t="n">
        <f aca="false">IF(D1151&gt;E1151,1,0)</f>
        <v>1</v>
      </c>
      <c r="L1151" s="3" t="n">
        <f aca="false">IF(OR(F1151="Y",G1151="Y",H1151="Y"),1,0)</f>
        <v>0</v>
      </c>
      <c r="M1151" s="3" t="n">
        <f aca="false">IF(H1151="Y",1,0)</f>
        <v>0</v>
      </c>
      <c r="N1151" s="3" t="n">
        <f aca="false">IF(I1151="Y",1,0)</f>
        <v>0</v>
      </c>
    </row>
    <row r="1152" customFormat="false" ht="15" hidden="false" customHeight="true" outlineLevel="0" collapsed="false">
      <c r="A1152" s="7" t="s">
        <v>67</v>
      </c>
      <c r="B1152" s="7" t="n">
        <v>1981</v>
      </c>
      <c r="C1152" s="7" t="s">
        <v>368</v>
      </c>
      <c r="D1152" s="7" t="n">
        <v>60</v>
      </c>
      <c r="E1152" s="7" t="n">
        <v>49</v>
      </c>
      <c r="F1152" s="7" t="s">
        <v>546</v>
      </c>
      <c r="G1152" s="7"/>
      <c r="H1152" s="7" t="s">
        <v>546</v>
      </c>
      <c r="I1152" s="7" t="s">
        <v>546</v>
      </c>
      <c r="J1152" s="21" t="n">
        <f aca="false">D1152/(D1152+E1152)</f>
        <v>0.55045871559633</v>
      </c>
      <c r="K1152" s="3" t="n">
        <f aca="false">IF(D1152&gt;E1152,1,0)</f>
        <v>1</v>
      </c>
      <c r="L1152" s="3" t="n">
        <f aca="false">IF(OR(F1152="Y",G1152="Y",H1152="Y"),1,0)</f>
        <v>0</v>
      </c>
      <c r="M1152" s="3" t="n">
        <f aca="false">IF(H1152="Y",1,0)</f>
        <v>0</v>
      </c>
      <c r="N1152" s="3" t="n">
        <f aca="false">IF(I1152="Y",1,0)</f>
        <v>0</v>
      </c>
    </row>
    <row r="1153" customFormat="false" ht="15" hidden="false" customHeight="true" outlineLevel="0" collapsed="false">
      <c r="A1153" s="7" t="s">
        <v>67</v>
      </c>
      <c r="B1153" s="7" t="n">
        <v>1982</v>
      </c>
      <c r="C1153" s="7" t="s">
        <v>368</v>
      </c>
      <c r="D1153" s="7" t="n">
        <v>83</v>
      </c>
      <c r="E1153" s="7" t="n">
        <v>79</v>
      </c>
      <c r="F1153" s="7" t="s">
        <v>546</v>
      </c>
      <c r="G1153" s="7"/>
      <c r="H1153" s="7" t="s">
        <v>546</v>
      </c>
      <c r="I1153" s="7" t="s">
        <v>546</v>
      </c>
      <c r="J1153" s="21" t="n">
        <f aca="false">D1153/(D1153+E1153)</f>
        <v>0.512345679012346</v>
      </c>
      <c r="K1153" s="3" t="n">
        <f aca="false">IF(D1153&gt;E1153,1,0)</f>
        <v>1</v>
      </c>
      <c r="L1153" s="3" t="n">
        <f aca="false">IF(OR(F1153="Y",G1153="Y",H1153="Y"),1,0)</f>
        <v>0</v>
      </c>
      <c r="M1153" s="3" t="n">
        <f aca="false">IF(H1153="Y",1,0)</f>
        <v>0</v>
      </c>
      <c r="N1153" s="3" t="n">
        <f aca="false">IF(I1153="Y",1,0)</f>
        <v>0</v>
      </c>
    </row>
    <row r="1154" customFormat="false" ht="15" hidden="false" customHeight="true" outlineLevel="0" collapsed="false">
      <c r="A1154" s="7" t="s">
        <v>67</v>
      </c>
      <c r="B1154" s="7" t="n">
        <v>1983</v>
      </c>
      <c r="C1154" s="7" t="s">
        <v>368</v>
      </c>
      <c r="D1154" s="7" t="n">
        <v>92</v>
      </c>
      <c r="E1154" s="7" t="n">
        <v>70</v>
      </c>
      <c r="F1154" s="7" t="s">
        <v>546</v>
      </c>
      <c r="G1154" s="7"/>
      <c r="H1154" s="7" t="s">
        <v>546</v>
      </c>
      <c r="I1154" s="7" t="s">
        <v>546</v>
      </c>
      <c r="J1154" s="21" t="n">
        <f aca="false">D1154/(D1154+E1154)</f>
        <v>0.567901234567901</v>
      </c>
      <c r="K1154" s="3" t="n">
        <f aca="false">IF(D1154&gt;E1154,1,0)</f>
        <v>1</v>
      </c>
      <c r="L1154" s="3" t="n">
        <f aca="false">IF(OR(F1154="Y",G1154="Y",H1154="Y"),1,0)</f>
        <v>0</v>
      </c>
      <c r="M1154" s="3" t="n">
        <f aca="false">IF(H1154="Y",1,0)</f>
        <v>0</v>
      </c>
      <c r="N1154" s="3" t="n">
        <f aca="false">IF(I1154="Y",1,0)</f>
        <v>0</v>
      </c>
    </row>
    <row r="1155" customFormat="false" ht="15" hidden="false" customHeight="true" outlineLevel="0" collapsed="false">
      <c r="A1155" s="7" t="s">
        <v>67</v>
      </c>
      <c r="B1155" s="7" t="n">
        <v>1984</v>
      </c>
      <c r="C1155" s="7" t="s">
        <v>368</v>
      </c>
      <c r="D1155" s="7" t="n">
        <v>104</v>
      </c>
      <c r="E1155" s="7" t="n">
        <v>58</v>
      </c>
      <c r="F1155" s="7" t="s">
        <v>548</v>
      </c>
      <c r="G1155" s="7"/>
      <c r="H1155" s="7" t="s">
        <v>548</v>
      </c>
      <c r="I1155" s="7" t="s">
        <v>548</v>
      </c>
      <c r="J1155" s="21" t="n">
        <f aca="false">D1155/(D1155+E1155)</f>
        <v>0.641975308641975</v>
      </c>
      <c r="K1155" s="3" t="n">
        <f aca="false">IF(D1155&gt;E1155,1,0)</f>
        <v>1</v>
      </c>
      <c r="L1155" s="3" t="n">
        <f aca="false">IF(OR(F1155="Y",G1155="Y",H1155="Y"),1,0)</f>
        <v>1</v>
      </c>
      <c r="M1155" s="3" t="n">
        <f aca="false">IF(H1155="Y",1,0)</f>
        <v>1</v>
      </c>
      <c r="N1155" s="3" t="n">
        <f aca="false">IF(I1155="Y",1,0)</f>
        <v>1</v>
      </c>
    </row>
    <row r="1156" customFormat="false" ht="15" hidden="false" customHeight="true" outlineLevel="0" collapsed="false">
      <c r="A1156" s="7" t="s">
        <v>67</v>
      </c>
      <c r="B1156" s="7" t="n">
        <v>1985</v>
      </c>
      <c r="C1156" s="7" t="s">
        <v>368</v>
      </c>
      <c r="D1156" s="7" t="n">
        <v>84</v>
      </c>
      <c r="E1156" s="7" t="n">
        <v>77</v>
      </c>
      <c r="F1156" s="7" t="s">
        <v>546</v>
      </c>
      <c r="G1156" s="7"/>
      <c r="H1156" s="7" t="s">
        <v>546</v>
      </c>
      <c r="I1156" s="7" t="s">
        <v>546</v>
      </c>
      <c r="J1156" s="21" t="n">
        <f aca="false">D1156/(D1156+E1156)</f>
        <v>0.521739130434783</v>
      </c>
      <c r="K1156" s="3" t="n">
        <f aca="false">IF(D1156&gt;E1156,1,0)</f>
        <v>1</v>
      </c>
      <c r="L1156" s="3" t="n">
        <f aca="false">IF(OR(F1156="Y",G1156="Y",H1156="Y"),1,0)</f>
        <v>0</v>
      </c>
      <c r="M1156" s="3" t="n">
        <f aca="false">IF(H1156="Y",1,0)</f>
        <v>0</v>
      </c>
      <c r="N1156" s="3" t="n">
        <f aca="false">IF(I1156="Y",1,0)</f>
        <v>0</v>
      </c>
    </row>
    <row r="1157" customFormat="false" ht="15" hidden="false" customHeight="true" outlineLevel="0" collapsed="false">
      <c r="A1157" s="7" t="s">
        <v>67</v>
      </c>
      <c r="B1157" s="7" t="n">
        <v>1986</v>
      </c>
      <c r="C1157" s="7" t="s">
        <v>368</v>
      </c>
      <c r="D1157" s="7" t="n">
        <v>87</v>
      </c>
      <c r="E1157" s="7" t="n">
        <v>75</v>
      </c>
      <c r="F1157" s="7" t="s">
        <v>546</v>
      </c>
      <c r="G1157" s="7"/>
      <c r="H1157" s="7" t="s">
        <v>546</v>
      </c>
      <c r="I1157" s="7" t="s">
        <v>546</v>
      </c>
      <c r="J1157" s="21" t="n">
        <f aca="false">D1157/(D1157+E1157)</f>
        <v>0.537037037037037</v>
      </c>
      <c r="K1157" s="3" t="n">
        <f aca="false">IF(D1157&gt;E1157,1,0)</f>
        <v>1</v>
      </c>
      <c r="L1157" s="3" t="n">
        <f aca="false">IF(OR(F1157="Y",G1157="Y",H1157="Y"),1,0)</f>
        <v>0</v>
      </c>
      <c r="M1157" s="3" t="n">
        <f aca="false">IF(H1157="Y",1,0)</f>
        <v>0</v>
      </c>
      <c r="N1157" s="3" t="n">
        <f aca="false">IF(I1157="Y",1,0)</f>
        <v>0</v>
      </c>
    </row>
    <row r="1158" customFormat="false" ht="15" hidden="false" customHeight="true" outlineLevel="0" collapsed="false">
      <c r="A1158" s="7" t="s">
        <v>67</v>
      </c>
      <c r="B1158" s="7" t="n">
        <v>1987</v>
      </c>
      <c r="C1158" s="7" t="s">
        <v>368</v>
      </c>
      <c r="D1158" s="7" t="n">
        <v>98</v>
      </c>
      <c r="E1158" s="7" t="n">
        <v>64</v>
      </c>
      <c r="F1158" s="7" t="s">
        <v>548</v>
      </c>
      <c r="G1158" s="7"/>
      <c r="H1158" s="7" t="s">
        <v>546</v>
      </c>
      <c r="I1158" s="7" t="s">
        <v>546</v>
      </c>
      <c r="J1158" s="21" t="n">
        <f aca="false">D1158/(D1158+E1158)</f>
        <v>0.604938271604938</v>
      </c>
      <c r="K1158" s="3" t="n">
        <f aca="false">IF(D1158&gt;E1158,1,0)</f>
        <v>1</v>
      </c>
      <c r="L1158" s="3" t="n">
        <f aca="false">IF(OR(F1158="Y",G1158="Y",H1158="Y"),1,0)</f>
        <v>1</v>
      </c>
      <c r="M1158" s="3" t="n">
        <f aca="false">IF(H1158="Y",1,0)</f>
        <v>0</v>
      </c>
      <c r="N1158" s="3" t="n">
        <f aca="false">IF(I1158="Y",1,0)</f>
        <v>0</v>
      </c>
    </row>
    <row r="1159" customFormat="false" ht="15" hidden="false" customHeight="true" outlineLevel="0" collapsed="false">
      <c r="A1159" s="7" t="s">
        <v>67</v>
      </c>
      <c r="B1159" s="7" t="n">
        <v>1988</v>
      </c>
      <c r="C1159" s="7" t="s">
        <v>368</v>
      </c>
      <c r="D1159" s="7" t="n">
        <v>88</v>
      </c>
      <c r="E1159" s="7" t="n">
        <v>74</v>
      </c>
      <c r="F1159" s="7" t="s">
        <v>546</v>
      </c>
      <c r="G1159" s="7"/>
      <c r="H1159" s="7" t="s">
        <v>546</v>
      </c>
      <c r="I1159" s="7" t="s">
        <v>546</v>
      </c>
      <c r="J1159" s="21" t="n">
        <f aca="false">D1159/(D1159+E1159)</f>
        <v>0.54320987654321</v>
      </c>
      <c r="K1159" s="3" t="n">
        <f aca="false">IF(D1159&gt;E1159,1,0)</f>
        <v>1</v>
      </c>
      <c r="L1159" s="3" t="n">
        <f aca="false">IF(OR(F1159="Y",G1159="Y",H1159="Y"),1,0)</f>
        <v>0</v>
      </c>
      <c r="M1159" s="3" t="n">
        <f aca="false">IF(H1159="Y",1,0)</f>
        <v>0</v>
      </c>
      <c r="N1159" s="3" t="n">
        <f aca="false">IF(I1159="Y",1,0)</f>
        <v>0</v>
      </c>
    </row>
    <row r="1160" customFormat="false" ht="15" hidden="false" customHeight="true" outlineLevel="0" collapsed="false">
      <c r="A1160" s="7" t="s">
        <v>67</v>
      </c>
      <c r="B1160" s="7" t="n">
        <v>1989</v>
      </c>
      <c r="C1160" s="7" t="s">
        <v>368</v>
      </c>
      <c r="D1160" s="7" t="n">
        <v>59</v>
      </c>
      <c r="E1160" s="7" t="n">
        <v>103</v>
      </c>
      <c r="F1160" s="7" t="s">
        <v>546</v>
      </c>
      <c r="G1160" s="7"/>
      <c r="H1160" s="7" t="s">
        <v>546</v>
      </c>
      <c r="I1160" s="7" t="s">
        <v>546</v>
      </c>
      <c r="J1160" s="21" t="n">
        <f aca="false">D1160/(D1160+E1160)</f>
        <v>0.364197530864198</v>
      </c>
      <c r="K1160" s="3" t="n">
        <f aca="false">IF(D1160&gt;E1160,1,0)</f>
        <v>0</v>
      </c>
      <c r="L1160" s="3" t="n">
        <f aca="false">IF(OR(F1160="Y",G1160="Y",H1160="Y"),1,0)</f>
        <v>0</v>
      </c>
      <c r="M1160" s="3" t="n">
        <f aca="false">IF(H1160="Y",1,0)</f>
        <v>0</v>
      </c>
      <c r="N1160" s="3" t="n">
        <f aca="false">IF(I1160="Y",1,0)</f>
        <v>0</v>
      </c>
    </row>
    <row r="1161" customFormat="false" ht="15" hidden="false" customHeight="true" outlineLevel="0" collapsed="false">
      <c r="A1161" s="7" t="s">
        <v>67</v>
      </c>
      <c r="B1161" s="7" t="n">
        <v>1990</v>
      </c>
      <c r="C1161" s="7" t="s">
        <v>368</v>
      </c>
      <c r="D1161" s="7" t="n">
        <v>79</v>
      </c>
      <c r="E1161" s="7" t="n">
        <v>83</v>
      </c>
      <c r="F1161" s="7" t="s">
        <v>546</v>
      </c>
      <c r="G1161" s="7"/>
      <c r="H1161" s="7" t="s">
        <v>546</v>
      </c>
      <c r="I1161" s="7" t="s">
        <v>546</v>
      </c>
      <c r="J1161" s="21" t="n">
        <f aca="false">D1161/(D1161+E1161)</f>
        <v>0.487654320987654</v>
      </c>
      <c r="K1161" s="3" t="n">
        <f aca="false">IF(D1161&gt;E1161,1,0)</f>
        <v>0</v>
      </c>
      <c r="L1161" s="3" t="n">
        <f aca="false">IF(OR(F1161="Y",G1161="Y",H1161="Y"),1,0)</f>
        <v>0</v>
      </c>
      <c r="M1161" s="3" t="n">
        <f aca="false">IF(H1161="Y",1,0)</f>
        <v>0</v>
      </c>
      <c r="N1161" s="3" t="n">
        <f aca="false">IF(I1161="Y",1,0)</f>
        <v>0</v>
      </c>
    </row>
    <row r="1162" customFormat="false" ht="15" hidden="false" customHeight="true" outlineLevel="0" collapsed="false">
      <c r="A1162" s="7" t="s">
        <v>67</v>
      </c>
      <c r="B1162" s="7" t="n">
        <v>1991</v>
      </c>
      <c r="C1162" s="7" t="s">
        <v>368</v>
      </c>
      <c r="D1162" s="7" t="n">
        <v>84</v>
      </c>
      <c r="E1162" s="7" t="n">
        <v>78</v>
      </c>
      <c r="F1162" s="7" t="s">
        <v>546</v>
      </c>
      <c r="G1162" s="7"/>
      <c r="H1162" s="7" t="s">
        <v>546</v>
      </c>
      <c r="I1162" s="7" t="s">
        <v>546</v>
      </c>
      <c r="J1162" s="21" t="n">
        <f aca="false">D1162/(D1162+E1162)</f>
        <v>0.518518518518519</v>
      </c>
      <c r="K1162" s="3" t="n">
        <f aca="false">IF(D1162&gt;E1162,1,0)</f>
        <v>1</v>
      </c>
      <c r="L1162" s="3" t="n">
        <f aca="false">IF(OR(F1162="Y",G1162="Y",H1162="Y"),1,0)</f>
        <v>0</v>
      </c>
      <c r="M1162" s="3" t="n">
        <f aca="false">IF(H1162="Y",1,0)</f>
        <v>0</v>
      </c>
      <c r="N1162" s="3" t="n">
        <f aca="false">IF(I1162="Y",1,0)</f>
        <v>0</v>
      </c>
    </row>
    <row r="1163" customFormat="false" ht="15" hidden="false" customHeight="true" outlineLevel="0" collapsed="false">
      <c r="A1163" s="7" t="s">
        <v>67</v>
      </c>
      <c r="B1163" s="7" t="n">
        <v>1992</v>
      </c>
      <c r="C1163" s="7" t="s">
        <v>368</v>
      </c>
      <c r="D1163" s="7" t="n">
        <v>75</v>
      </c>
      <c r="E1163" s="7" t="n">
        <v>87</v>
      </c>
      <c r="F1163" s="7" t="s">
        <v>546</v>
      </c>
      <c r="G1163" s="7"/>
      <c r="H1163" s="7" t="s">
        <v>546</v>
      </c>
      <c r="I1163" s="7" t="s">
        <v>546</v>
      </c>
      <c r="J1163" s="21" t="n">
        <f aca="false">D1163/(D1163+E1163)</f>
        <v>0.462962962962963</v>
      </c>
      <c r="K1163" s="3" t="n">
        <f aca="false">IF(D1163&gt;E1163,1,0)</f>
        <v>0</v>
      </c>
      <c r="L1163" s="3" t="n">
        <f aca="false">IF(OR(F1163="Y",G1163="Y",H1163="Y"),1,0)</f>
        <v>0</v>
      </c>
      <c r="M1163" s="3" t="n">
        <f aca="false">IF(H1163="Y",1,0)</f>
        <v>0</v>
      </c>
      <c r="N1163" s="3" t="n">
        <f aca="false">IF(I1163="Y",1,0)</f>
        <v>0</v>
      </c>
    </row>
    <row r="1164" customFormat="false" ht="15" hidden="false" customHeight="true" outlineLevel="0" collapsed="false">
      <c r="A1164" s="7" t="s">
        <v>67</v>
      </c>
      <c r="B1164" s="7" t="n">
        <v>1993</v>
      </c>
      <c r="C1164" s="7" t="s">
        <v>368</v>
      </c>
      <c r="D1164" s="7" t="n">
        <v>85</v>
      </c>
      <c r="E1164" s="7" t="n">
        <v>77</v>
      </c>
      <c r="F1164" s="7" t="s">
        <v>546</v>
      </c>
      <c r="G1164" s="7"/>
      <c r="H1164" s="7" t="s">
        <v>546</v>
      </c>
      <c r="I1164" s="7" t="s">
        <v>546</v>
      </c>
      <c r="J1164" s="21" t="n">
        <f aca="false">D1164/(D1164+E1164)</f>
        <v>0.524691358024691</v>
      </c>
      <c r="K1164" s="3" t="n">
        <f aca="false">IF(D1164&gt;E1164,1,0)</f>
        <v>1</v>
      </c>
      <c r="L1164" s="3" t="n">
        <f aca="false">IF(OR(F1164="Y",G1164="Y",H1164="Y"),1,0)</f>
        <v>0</v>
      </c>
      <c r="M1164" s="3" t="n">
        <f aca="false">IF(H1164="Y",1,0)</f>
        <v>0</v>
      </c>
      <c r="N1164" s="3" t="n">
        <f aca="false">IF(I1164="Y",1,0)</f>
        <v>0</v>
      </c>
    </row>
    <row r="1165" customFormat="false" ht="15" hidden="false" customHeight="true" outlineLevel="0" collapsed="false">
      <c r="A1165" s="7" t="s">
        <v>67</v>
      </c>
      <c r="B1165" s="7" t="n">
        <v>1994</v>
      </c>
      <c r="C1165" s="7" t="s">
        <v>368</v>
      </c>
      <c r="D1165" s="7" t="n">
        <v>53</v>
      </c>
      <c r="E1165" s="7" t="n">
        <v>62</v>
      </c>
      <c r="F1165" s="7"/>
      <c r="G1165" s="7"/>
      <c r="H1165" s="7"/>
      <c r="I1165" s="7"/>
      <c r="J1165" s="21" t="n">
        <f aca="false">D1165/(D1165+E1165)</f>
        <v>0.460869565217391</v>
      </c>
      <c r="K1165" s="3" t="n">
        <f aca="false">IF(D1165&gt;E1165,1,0)</f>
        <v>0</v>
      </c>
      <c r="L1165" s="3" t="n">
        <f aca="false">IF(OR(F1165="Y",G1165="Y",H1165="Y"),1,0)</f>
        <v>0</v>
      </c>
      <c r="M1165" s="3" t="n">
        <f aca="false">IF(H1165="Y",1,0)</f>
        <v>0</v>
      </c>
      <c r="N1165" s="3" t="n">
        <f aca="false">IF(I1165="Y",1,0)</f>
        <v>0</v>
      </c>
    </row>
    <row r="1166" customFormat="false" ht="15" hidden="false" customHeight="true" outlineLevel="0" collapsed="false">
      <c r="A1166" s="7" t="s">
        <v>67</v>
      </c>
      <c r="B1166" s="7" t="n">
        <v>1995</v>
      </c>
      <c r="C1166" s="7" t="s">
        <v>368</v>
      </c>
      <c r="D1166" s="7" t="n">
        <v>60</v>
      </c>
      <c r="E1166" s="7" t="n">
        <v>84</v>
      </c>
      <c r="F1166" s="7" t="s">
        <v>546</v>
      </c>
      <c r="G1166" s="7" t="s">
        <v>546</v>
      </c>
      <c r="H1166" s="7" t="s">
        <v>546</v>
      </c>
      <c r="I1166" s="7" t="s">
        <v>546</v>
      </c>
      <c r="J1166" s="21" t="n">
        <f aca="false">D1166/(D1166+E1166)</f>
        <v>0.416666666666667</v>
      </c>
      <c r="K1166" s="3" t="n">
        <f aca="false">IF(D1166&gt;E1166,1,0)</f>
        <v>0</v>
      </c>
      <c r="L1166" s="3" t="n">
        <f aca="false">IF(OR(F1166="Y",G1166="Y",H1166="Y"),1,0)</f>
        <v>0</v>
      </c>
      <c r="M1166" s="3" t="n">
        <f aca="false">IF(H1166="Y",1,0)</f>
        <v>0</v>
      </c>
      <c r="N1166" s="3" t="n">
        <f aca="false">IF(I1166="Y",1,0)</f>
        <v>0</v>
      </c>
    </row>
    <row r="1167" customFormat="false" ht="15" hidden="false" customHeight="true" outlineLevel="0" collapsed="false">
      <c r="A1167" s="7" t="s">
        <v>67</v>
      </c>
      <c r="B1167" s="7" t="n">
        <v>1996</v>
      </c>
      <c r="C1167" s="7" t="s">
        <v>368</v>
      </c>
      <c r="D1167" s="7" t="n">
        <v>53</v>
      </c>
      <c r="E1167" s="7" t="n">
        <v>109</v>
      </c>
      <c r="F1167" s="7" t="s">
        <v>546</v>
      </c>
      <c r="G1167" s="7" t="s">
        <v>546</v>
      </c>
      <c r="H1167" s="7" t="s">
        <v>546</v>
      </c>
      <c r="I1167" s="7" t="s">
        <v>546</v>
      </c>
      <c r="J1167" s="21" t="n">
        <f aca="false">D1167/(D1167+E1167)</f>
        <v>0.327160493827161</v>
      </c>
      <c r="K1167" s="3" t="n">
        <f aca="false">IF(D1167&gt;E1167,1,0)</f>
        <v>0</v>
      </c>
      <c r="L1167" s="3" t="n">
        <f aca="false">IF(OR(F1167="Y",G1167="Y",H1167="Y"),1,0)</f>
        <v>0</v>
      </c>
      <c r="M1167" s="3" t="n">
        <f aca="false">IF(H1167="Y",1,0)</f>
        <v>0</v>
      </c>
      <c r="N1167" s="3" t="n">
        <f aca="false">IF(I1167="Y",1,0)</f>
        <v>0</v>
      </c>
    </row>
    <row r="1168" customFormat="false" ht="15" hidden="false" customHeight="true" outlineLevel="0" collapsed="false">
      <c r="A1168" s="7" t="s">
        <v>67</v>
      </c>
      <c r="B1168" s="7" t="n">
        <v>1997</v>
      </c>
      <c r="C1168" s="7" t="s">
        <v>368</v>
      </c>
      <c r="D1168" s="7" t="n">
        <v>79</v>
      </c>
      <c r="E1168" s="7" t="n">
        <v>83</v>
      </c>
      <c r="F1168" s="7" t="s">
        <v>546</v>
      </c>
      <c r="G1168" s="7" t="s">
        <v>546</v>
      </c>
      <c r="H1168" s="7" t="s">
        <v>546</v>
      </c>
      <c r="I1168" s="7" t="s">
        <v>546</v>
      </c>
      <c r="J1168" s="21" t="n">
        <f aca="false">D1168/(D1168+E1168)</f>
        <v>0.487654320987654</v>
      </c>
      <c r="K1168" s="3" t="n">
        <f aca="false">IF(D1168&gt;E1168,1,0)</f>
        <v>0</v>
      </c>
      <c r="L1168" s="3" t="n">
        <f aca="false">IF(OR(F1168="Y",G1168="Y",H1168="Y"),1,0)</f>
        <v>0</v>
      </c>
      <c r="M1168" s="3" t="n">
        <f aca="false">IF(H1168="Y",1,0)</f>
        <v>0</v>
      </c>
      <c r="N1168" s="3" t="n">
        <f aca="false">IF(I1168="Y",1,0)</f>
        <v>0</v>
      </c>
    </row>
    <row r="1169" customFormat="false" ht="15" hidden="false" customHeight="true" outlineLevel="0" collapsed="false">
      <c r="A1169" s="7" t="s">
        <v>67</v>
      </c>
      <c r="B1169" s="7" t="n">
        <v>1998</v>
      </c>
      <c r="C1169" s="7" t="s">
        <v>368</v>
      </c>
      <c r="D1169" s="7" t="n">
        <v>65</v>
      </c>
      <c r="E1169" s="7" t="n">
        <v>97</v>
      </c>
      <c r="F1169" s="7" t="s">
        <v>546</v>
      </c>
      <c r="G1169" s="7" t="s">
        <v>546</v>
      </c>
      <c r="H1169" s="7" t="s">
        <v>546</v>
      </c>
      <c r="I1169" s="7" t="s">
        <v>546</v>
      </c>
      <c r="J1169" s="21" t="n">
        <f aca="false">D1169/(D1169+E1169)</f>
        <v>0.401234567901235</v>
      </c>
      <c r="K1169" s="3" t="n">
        <f aca="false">IF(D1169&gt;E1169,1,0)</f>
        <v>0</v>
      </c>
      <c r="L1169" s="3" t="n">
        <f aca="false">IF(OR(F1169="Y",G1169="Y",H1169="Y"),1,0)</f>
        <v>0</v>
      </c>
      <c r="M1169" s="3" t="n">
        <f aca="false">IF(H1169="Y",1,0)</f>
        <v>0</v>
      </c>
      <c r="N1169" s="3" t="n">
        <f aca="false">IF(I1169="Y",1,0)</f>
        <v>0</v>
      </c>
    </row>
    <row r="1170" customFormat="false" ht="15" hidden="false" customHeight="true" outlineLevel="0" collapsed="false">
      <c r="A1170" s="7" t="s">
        <v>67</v>
      </c>
      <c r="B1170" s="7" t="n">
        <v>1999</v>
      </c>
      <c r="C1170" s="7" t="s">
        <v>368</v>
      </c>
      <c r="D1170" s="7" t="n">
        <v>69</v>
      </c>
      <c r="E1170" s="7" t="n">
        <v>92</v>
      </c>
      <c r="F1170" s="7" t="s">
        <v>546</v>
      </c>
      <c r="G1170" s="7" t="s">
        <v>546</v>
      </c>
      <c r="H1170" s="7" t="s">
        <v>546</v>
      </c>
      <c r="I1170" s="7" t="s">
        <v>546</v>
      </c>
      <c r="J1170" s="21" t="n">
        <f aca="false">D1170/(D1170+E1170)</f>
        <v>0.428571428571429</v>
      </c>
      <c r="K1170" s="3" t="n">
        <f aca="false">IF(D1170&gt;E1170,1,0)</f>
        <v>0</v>
      </c>
      <c r="L1170" s="3" t="n">
        <f aca="false">IF(OR(F1170="Y",G1170="Y",H1170="Y"),1,0)</f>
        <v>0</v>
      </c>
      <c r="M1170" s="3" t="n">
        <f aca="false">IF(H1170="Y",1,0)</f>
        <v>0</v>
      </c>
      <c r="N1170" s="3" t="n">
        <f aca="false">IF(I1170="Y",1,0)</f>
        <v>0</v>
      </c>
    </row>
    <row r="1171" customFormat="false" ht="15" hidden="false" customHeight="true" outlineLevel="0" collapsed="false">
      <c r="A1171" s="7" t="s">
        <v>67</v>
      </c>
      <c r="B1171" s="7" t="n">
        <v>2000</v>
      </c>
      <c r="C1171" s="7" t="s">
        <v>368</v>
      </c>
      <c r="D1171" s="7" t="n">
        <v>79</v>
      </c>
      <c r="E1171" s="7" t="n">
        <v>83</v>
      </c>
      <c r="F1171" s="7" t="s">
        <v>546</v>
      </c>
      <c r="G1171" s="7" t="s">
        <v>546</v>
      </c>
      <c r="H1171" s="7" t="s">
        <v>546</v>
      </c>
      <c r="I1171" s="7" t="s">
        <v>546</v>
      </c>
      <c r="J1171" s="21" t="n">
        <f aca="false">D1171/(D1171+E1171)</f>
        <v>0.487654320987654</v>
      </c>
      <c r="K1171" s="3" t="n">
        <f aca="false">IF(D1171&gt;E1171,1,0)</f>
        <v>0</v>
      </c>
      <c r="L1171" s="3" t="n">
        <f aca="false">IF(OR(F1171="Y",G1171="Y",H1171="Y"),1,0)</f>
        <v>0</v>
      </c>
      <c r="M1171" s="3" t="n">
        <f aca="false">IF(H1171="Y",1,0)</f>
        <v>0</v>
      </c>
      <c r="N1171" s="3" t="n">
        <f aca="false">IF(I1171="Y",1,0)</f>
        <v>0</v>
      </c>
    </row>
    <row r="1172" customFormat="false" ht="15" hidden="false" customHeight="true" outlineLevel="0" collapsed="false">
      <c r="A1172" s="7" t="s">
        <v>67</v>
      </c>
      <c r="B1172" s="7" t="n">
        <v>2001</v>
      </c>
      <c r="C1172" s="7" t="s">
        <v>368</v>
      </c>
      <c r="D1172" s="7" t="n">
        <v>66</v>
      </c>
      <c r="E1172" s="7" t="n">
        <v>96</v>
      </c>
      <c r="F1172" s="7" t="s">
        <v>546</v>
      </c>
      <c r="G1172" s="7" t="s">
        <v>546</v>
      </c>
      <c r="H1172" s="7" t="s">
        <v>546</v>
      </c>
      <c r="I1172" s="7" t="s">
        <v>546</v>
      </c>
      <c r="J1172" s="21" t="n">
        <f aca="false">D1172/(D1172+E1172)</f>
        <v>0.407407407407407</v>
      </c>
      <c r="K1172" s="3" t="n">
        <f aca="false">IF(D1172&gt;E1172,1,0)</f>
        <v>0</v>
      </c>
      <c r="L1172" s="3" t="n">
        <f aca="false">IF(OR(F1172="Y",G1172="Y",H1172="Y"),1,0)</f>
        <v>0</v>
      </c>
      <c r="M1172" s="3" t="n">
        <f aca="false">IF(H1172="Y",1,0)</f>
        <v>0</v>
      </c>
      <c r="N1172" s="3" t="n">
        <f aca="false">IF(I1172="Y",1,0)</f>
        <v>0</v>
      </c>
    </row>
    <row r="1173" customFormat="false" ht="15" hidden="false" customHeight="true" outlineLevel="0" collapsed="false">
      <c r="A1173" s="7" t="s">
        <v>67</v>
      </c>
      <c r="B1173" s="7" t="n">
        <v>2002</v>
      </c>
      <c r="C1173" s="7" t="s">
        <v>368</v>
      </c>
      <c r="D1173" s="7" t="n">
        <v>55</v>
      </c>
      <c r="E1173" s="7" t="n">
        <v>106</v>
      </c>
      <c r="F1173" s="7" t="s">
        <v>546</v>
      </c>
      <c r="G1173" s="7" t="s">
        <v>546</v>
      </c>
      <c r="H1173" s="7" t="s">
        <v>546</v>
      </c>
      <c r="I1173" s="7" t="s">
        <v>546</v>
      </c>
      <c r="J1173" s="21" t="n">
        <f aca="false">D1173/(D1173+E1173)</f>
        <v>0.341614906832298</v>
      </c>
      <c r="K1173" s="3" t="n">
        <f aca="false">IF(D1173&gt;E1173,1,0)</f>
        <v>0</v>
      </c>
      <c r="L1173" s="3" t="n">
        <f aca="false">IF(OR(F1173="Y",G1173="Y",H1173="Y"),1,0)</f>
        <v>0</v>
      </c>
      <c r="M1173" s="3" t="n">
        <f aca="false">IF(H1173="Y",1,0)</f>
        <v>0</v>
      </c>
      <c r="N1173" s="3" t="n">
        <f aca="false">IF(I1173="Y",1,0)</f>
        <v>0</v>
      </c>
    </row>
    <row r="1174" customFormat="false" ht="15" hidden="false" customHeight="true" outlineLevel="0" collapsed="false">
      <c r="A1174" s="7" t="s">
        <v>67</v>
      </c>
      <c r="B1174" s="7" t="n">
        <v>2003</v>
      </c>
      <c r="C1174" s="7" t="s">
        <v>368</v>
      </c>
      <c r="D1174" s="7" t="n">
        <v>43</v>
      </c>
      <c r="E1174" s="7" t="n">
        <v>119</v>
      </c>
      <c r="F1174" s="7" t="s">
        <v>546</v>
      </c>
      <c r="G1174" s="7" t="s">
        <v>546</v>
      </c>
      <c r="H1174" s="7" t="s">
        <v>546</v>
      </c>
      <c r="I1174" s="7" t="s">
        <v>546</v>
      </c>
      <c r="J1174" s="21" t="n">
        <f aca="false">D1174/(D1174+E1174)</f>
        <v>0.265432098765432</v>
      </c>
      <c r="K1174" s="3" t="n">
        <f aca="false">IF(D1174&gt;E1174,1,0)</f>
        <v>0</v>
      </c>
      <c r="L1174" s="3" t="n">
        <f aca="false">IF(OR(F1174="Y",G1174="Y",H1174="Y"),1,0)</f>
        <v>0</v>
      </c>
      <c r="M1174" s="3" t="n">
        <f aca="false">IF(H1174="Y",1,0)</f>
        <v>0</v>
      </c>
      <c r="N1174" s="3" t="n">
        <f aca="false">IF(I1174="Y",1,0)</f>
        <v>0</v>
      </c>
    </row>
    <row r="1175" customFormat="false" ht="15" hidden="false" customHeight="true" outlineLevel="0" collapsed="false">
      <c r="A1175" s="7" t="s">
        <v>67</v>
      </c>
      <c r="B1175" s="7" t="n">
        <v>2004</v>
      </c>
      <c r="C1175" s="7" t="s">
        <v>368</v>
      </c>
      <c r="D1175" s="7" t="n">
        <v>72</v>
      </c>
      <c r="E1175" s="7" t="n">
        <v>90</v>
      </c>
      <c r="F1175" s="7" t="s">
        <v>546</v>
      </c>
      <c r="G1175" s="7" t="s">
        <v>546</v>
      </c>
      <c r="H1175" s="7" t="s">
        <v>546</v>
      </c>
      <c r="I1175" s="7" t="s">
        <v>546</v>
      </c>
      <c r="J1175" s="21" t="n">
        <f aca="false">D1175/(D1175+E1175)</f>
        <v>0.444444444444444</v>
      </c>
      <c r="K1175" s="3" t="n">
        <f aca="false">IF(D1175&gt;E1175,1,0)</f>
        <v>0</v>
      </c>
      <c r="L1175" s="3" t="n">
        <f aca="false">IF(OR(F1175="Y",G1175="Y",H1175="Y"),1,0)</f>
        <v>0</v>
      </c>
      <c r="M1175" s="3" t="n">
        <f aca="false">IF(H1175="Y",1,0)</f>
        <v>0</v>
      </c>
      <c r="N1175" s="3" t="n">
        <f aca="false">IF(I1175="Y",1,0)</f>
        <v>0</v>
      </c>
    </row>
    <row r="1176" customFormat="false" ht="15" hidden="false" customHeight="true" outlineLevel="0" collapsed="false">
      <c r="A1176" s="7" t="s">
        <v>67</v>
      </c>
      <c r="B1176" s="7" t="n">
        <v>2005</v>
      </c>
      <c r="C1176" s="7" t="s">
        <v>368</v>
      </c>
      <c r="D1176" s="7" t="n">
        <v>71</v>
      </c>
      <c r="E1176" s="7" t="n">
        <v>91</v>
      </c>
      <c r="F1176" s="7" t="s">
        <v>546</v>
      </c>
      <c r="G1176" s="7" t="s">
        <v>546</v>
      </c>
      <c r="H1176" s="7" t="s">
        <v>546</v>
      </c>
      <c r="I1176" s="7" t="s">
        <v>546</v>
      </c>
      <c r="J1176" s="21" t="n">
        <f aca="false">D1176/(D1176+E1176)</f>
        <v>0.438271604938272</v>
      </c>
      <c r="K1176" s="3" t="n">
        <f aca="false">IF(D1176&gt;E1176,1,0)</f>
        <v>0</v>
      </c>
      <c r="L1176" s="3" t="n">
        <f aca="false">IF(OR(F1176="Y",G1176="Y",H1176="Y"),1,0)</f>
        <v>0</v>
      </c>
      <c r="M1176" s="3" t="n">
        <f aca="false">IF(H1176="Y",1,0)</f>
        <v>0</v>
      </c>
      <c r="N1176" s="3" t="n">
        <f aca="false">IF(I1176="Y",1,0)</f>
        <v>0</v>
      </c>
    </row>
    <row r="1177" customFormat="false" ht="15" hidden="false" customHeight="true" outlineLevel="0" collapsed="false">
      <c r="A1177" s="7" t="s">
        <v>67</v>
      </c>
      <c r="B1177" s="7" t="n">
        <v>2006</v>
      </c>
      <c r="C1177" s="7" t="s">
        <v>368</v>
      </c>
      <c r="D1177" s="7" t="n">
        <v>95</v>
      </c>
      <c r="E1177" s="7" t="n">
        <v>67</v>
      </c>
      <c r="F1177" s="7" t="s">
        <v>546</v>
      </c>
      <c r="G1177" s="7" t="s">
        <v>548</v>
      </c>
      <c r="H1177" s="7" t="s">
        <v>548</v>
      </c>
      <c r="I1177" s="7" t="s">
        <v>546</v>
      </c>
      <c r="J1177" s="21" t="n">
        <f aca="false">D1177/(D1177+E1177)</f>
        <v>0.58641975308642</v>
      </c>
      <c r="K1177" s="3" t="n">
        <f aca="false">IF(D1177&gt;E1177,1,0)</f>
        <v>1</v>
      </c>
      <c r="L1177" s="3" t="n">
        <f aca="false">IF(OR(F1177="Y",G1177="Y",H1177="Y"),1,0)</f>
        <v>1</v>
      </c>
      <c r="M1177" s="3" t="n">
        <f aca="false">IF(H1177="Y",1,0)</f>
        <v>1</v>
      </c>
      <c r="N1177" s="3" t="n">
        <f aca="false">IF(I1177="Y",1,0)</f>
        <v>0</v>
      </c>
    </row>
    <row r="1178" customFormat="false" ht="15" hidden="false" customHeight="true" outlineLevel="0" collapsed="false">
      <c r="A1178" s="7" t="s">
        <v>67</v>
      </c>
      <c r="B1178" s="7" t="n">
        <v>2007</v>
      </c>
      <c r="C1178" s="7" t="s">
        <v>368</v>
      </c>
      <c r="D1178" s="7" t="n">
        <v>88</v>
      </c>
      <c r="E1178" s="7" t="n">
        <v>74</v>
      </c>
      <c r="F1178" s="7" t="s">
        <v>546</v>
      </c>
      <c r="G1178" s="7" t="s">
        <v>546</v>
      </c>
      <c r="H1178" s="7" t="s">
        <v>546</v>
      </c>
      <c r="I1178" s="7" t="s">
        <v>546</v>
      </c>
      <c r="J1178" s="21" t="n">
        <f aca="false">D1178/(D1178+E1178)</f>
        <v>0.54320987654321</v>
      </c>
      <c r="K1178" s="3" t="n">
        <f aca="false">IF(D1178&gt;E1178,1,0)</f>
        <v>1</v>
      </c>
      <c r="L1178" s="3" t="n">
        <f aca="false">IF(OR(F1178="Y",G1178="Y",H1178="Y"),1,0)</f>
        <v>0</v>
      </c>
      <c r="M1178" s="3" t="n">
        <f aca="false">IF(H1178="Y",1,0)</f>
        <v>0</v>
      </c>
      <c r="N1178" s="3" t="n">
        <f aca="false">IF(I1178="Y",1,0)</f>
        <v>0</v>
      </c>
    </row>
    <row r="1179" customFormat="false" ht="15" hidden="false" customHeight="true" outlineLevel="0" collapsed="false">
      <c r="A1179" s="7" t="s">
        <v>67</v>
      </c>
      <c r="B1179" s="7" t="n">
        <v>2008</v>
      </c>
      <c r="C1179" s="7" t="s">
        <v>368</v>
      </c>
      <c r="D1179" s="7" t="n">
        <v>74</v>
      </c>
      <c r="E1179" s="7" t="n">
        <v>88</v>
      </c>
      <c r="F1179" s="7" t="s">
        <v>546</v>
      </c>
      <c r="G1179" s="7" t="s">
        <v>546</v>
      </c>
      <c r="H1179" s="7" t="s">
        <v>546</v>
      </c>
      <c r="I1179" s="7" t="s">
        <v>546</v>
      </c>
      <c r="J1179" s="21" t="n">
        <f aca="false">D1179/(D1179+E1179)</f>
        <v>0.45679012345679</v>
      </c>
      <c r="K1179" s="3" t="n">
        <f aca="false">IF(D1179&gt;E1179,1,0)</f>
        <v>0</v>
      </c>
      <c r="L1179" s="3" t="n">
        <f aca="false">IF(OR(F1179="Y",G1179="Y",H1179="Y"),1,0)</f>
        <v>0</v>
      </c>
      <c r="M1179" s="3" t="n">
        <f aca="false">IF(H1179="Y",1,0)</f>
        <v>0</v>
      </c>
      <c r="N1179" s="3" t="n">
        <f aca="false">IF(I1179="Y",1,0)</f>
        <v>0</v>
      </c>
    </row>
    <row r="1180" customFormat="false" ht="15" hidden="false" customHeight="true" outlineLevel="0" collapsed="false">
      <c r="A1180" s="7" t="s">
        <v>67</v>
      </c>
      <c r="B1180" s="7" t="n">
        <v>2009</v>
      </c>
      <c r="C1180" s="7" t="s">
        <v>368</v>
      </c>
      <c r="D1180" s="7" t="n">
        <v>86</v>
      </c>
      <c r="E1180" s="7" t="n">
        <v>77</v>
      </c>
      <c r="F1180" s="7" t="s">
        <v>546</v>
      </c>
      <c r="G1180" s="7" t="s">
        <v>546</v>
      </c>
      <c r="H1180" s="7" t="s">
        <v>546</v>
      </c>
      <c r="I1180" s="7" t="s">
        <v>546</v>
      </c>
      <c r="J1180" s="21" t="n">
        <f aca="false">D1180/(D1180+E1180)</f>
        <v>0.52760736196319</v>
      </c>
      <c r="K1180" s="3" t="n">
        <f aca="false">IF(D1180&gt;E1180,1,0)</f>
        <v>1</v>
      </c>
      <c r="L1180" s="3" t="n">
        <f aca="false">IF(OR(F1180="Y",G1180="Y",H1180="Y"),1,0)</f>
        <v>0</v>
      </c>
      <c r="M1180" s="3" t="n">
        <f aca="false">IF(H1180="Y",1,0)</f>
        <v>0</v>
      </c>
      <c r="N1180" s="3" t="n">
        <f aca="false">IF(I1180="Y",1,0)</f>
        <v>0</v>
      </c>
    </row>
    <row r="1181" customFormat="false" ht="15" hidden="false" customHeight="true" outlineLevel="0" collapsed="false">
      <c r="A1181" s="7" t="s">
        <v>67</v>
      </c>
      <c r="B1181" s="7" t="n">
        <v>2010</v>
      </c>
      <c r="C1181" s="7" t="s">
        <v>368</v>
      </c>
      <c r="D1181" s="7" t="n">
        <v>81</v>
      </c>
      <c r="E1181" s="7" t="n">
        <v>81</v>
      </c>
      <c r="F1181" s="7" t="s">
        <v>546</v>
      </c>
      <c r="G1181" s="7" t="s">
        <v>546</v>
      </c>
      <c r="H1181" s="7" t="s">
        <v>546</v>
      </c>
      <c r="I1181" s="7" t="s">
        <v>546</v>
      </c>
      <c r="J1181" s="21" t="n">
        <f aca="false">D1181/(D1181+E1181)</f>
        <v>0.5</v>
      </c>
      <c r="K1181" s="3" t="n">
        <f aca="false">IF(D1181&gt;E1181,1,0)</f>
        <v>0</v>
      </c>
      <c r="L1181" s="3" t="n">
        <f aca="false">IF(OR(F1181="Y",G1181="Y",H1181="Y"),1,0)</f>
        <v>0</v>
      </c>
      <c r="M1181" s="3" t="n">
        <f aca="false">IF(H1181="Y",1,0)</f>
        <v>0</v>
      </c>
      <c r="N1181" s="3" t="n">
        <f aca="false">IF(I1181="Y",1,0)</f>
        <v>0</v>
      </c>
    </row>
    <row r="1182" customFormat="false" ht="15" hidden="false" customHeight="true" outlineLevel="0" collapsed="false">
      <c r="A1182" s="7" t="s">
        <v>67</v>
      </c>
      <c r="B1182" s="7" t="n">
        <v>2011</v>
      </c>
      <c r="C1182" s="7" t="s">
        <v>368</v>
      </c>
      <c r="D1182" s="7" t="n">
        <v>95</v>
      </c>
      <c r="E1182" s="7" t="n">
        <v>67</v>
      </c>
      <c r="F1182" s="7" t="s">
        <v>548</v>
      </c>
      <c r="G1182" s="7" t="s">
        <v>546</v>
      </c>
      <c r="H1182" s="7" t="s">
        <v>546</v>
      </c>
      <c r="I1182" s="7" t="s">
        <v>546</v>
      </c>
      <c r="J1182" s="21" t="n">
        <f aca="false">D1182/(D1182+E1182)</f>
        <v>0.58641975308642</v>
      </c>
      <c r="K1182" s="3" t="n">
        <f aca="false">IF(D1182&gt;E1182,1,0)</f>
        <v>1</v>
      </c>
      <c r="L1182" s="3" t="n">
        <f aca="false">IF(OR(F1182="Y",G1182="Y",H1182="Y"),1,0)</f>
        <v>1</v>
      </c>
      <c r="M1182" s="3" t="n">
        <f aca="false">IF(H1182="Y",1,0)</f>
        <v>0</v>
      </c>
      <c r="N1182" s="3" t="n">
        <f aca="false">IF(I1182="Y",1,0)</f>
        <v>0</v>
      </c>
    </row>
    <row r="1183" customFormat="false" ht="15" hidden="false" customHeight="true" outlineLevel="0" collapsed="false">
      <c r="A1183" s="7" t="s">
        <v>67</v>
      </c>
      <c r="B1183" s="7" t="n">
        <v>2012</v>
      </c>
      <c r="C1183" s="7" t="s">
        <v>368</v>
      </c>
      <c r="D1183" s="7" t="n">
        <v>88</v>
      </c>
      <c r="E1183" s="7" t="n">
        <v>74</v>
      </c>
      <c r="F1183" s="7" t="s">
        <v>548</v>
      </c>
      <c r="G1183" s="7" t="s">
        <v>546</v>
      </c>
      <c r="H1183" s="7" t="s">
        <v>548</v>
      </c>
      <c r="I1183" s="7" t="s">
        <v>546</v>
      </c>
      <c r="J1183" s="21" t="n">
        <f aca="false">D1183/(D1183+E1183)</f>
        <v>0.54320987654321</v>
      </c>
      <c r="K1183" s="3" t="n">
        <f aca="false">IF(D1183&gt;E1183,1,0)</f>
        <v>1</v>
      </c>
      <c r="L1183" s="3" t="n">
        <f aca="false">IF(OR(F1183="Y",G1183="Y",H1183="Y"),1,0)</f>
        <v>1</v>
      </c>
      <c r="M1183" s="3" t="n">
        <f aca="false">IF(H1183="Y",1,0)</f>
        <v>1</v>
      </c>
      <c r="N1183" s="3" t="n">
        <f aca="false">IF(I1183="Y",1,0)</f>
        <v>0</v>
      </c>
    </row>
    <row r="1184" customFormat="false" ht="15" hidden="false" customHeight="true" outlineLevel="0" collapsed="false">
      <c r="A1184" s="7" t="s">
        <v>67</v>
      </c>
      <c r="B1184" s="7" t="n">
        <v>2013</v>
      </c>
      <c r="C1184" s="7" t="s">
        <v>368</v>
      </c>
      <c r="D1184" s="7" t="n">
        <v>93</v>
      </c>
      <c r="E1184" s="7" t="n">
        <v>69</v>
      </c>
      <c r="F1184" s="7" t="s">
        <v>548</v>
      </c>
      <c r="G1184" s="7" t="s">
        <v>546</v>
      </c>
      <c r="H1184" s="7" t="s">
        <v>546</v>
      </c>
      <c r="I1184" s="7" t="s">
        <v>546</v>
      </c>
      <c r="J1184" s="21" t="n">
        <f aca="false">D1184/(D1184+E1184)</f>
        <v>0.574074074074074</v>
      </c>
      <c r="K1184" s="3" t="n">
        <f aca="false">IF(D1184&gt;E1184,1,0)</f>
        <v>1</v>
      </c>
      <c r="L1184" s="3" t="n">
        <f aca="false">IF(OR(F1184="Y",G1184="Y",H1184="Y"),1,0)</f>
        <v>1</v>
      </c>
      <c r="M1184" s="3" t="n">
        <f aca="false">IF(H1184="Y",1,0)</f>
        <v>0</v>
      </c>
      <c r="N1184" s="3" t="n">
        <f aca="false">IF(I1184="Y",1,0)</f>
        <v>0</v>
      </c>
    </row>
    <row r="1185" customFormat="false" ht="15" hidden="false" customHeight="true" outlineLevel="0" collapsed="false">
      <c r="A1185" s="7" t="s">
        <v>67</v>
      </c>
      <c r="B1185" s="7" t="n">
        <v>2014</v>
      </c>
      <c r="C1185" s="7" t="s">
        <v>368</v>
      </c>
      <c r="D1185" s="7" t="n">
        <v>90</v>
      </c>
      <c r="E1185" s="7" t="n">
        <v>72</v>
      </c>
      <c r="F1185" s="7" t="s">
        <v>548</v>
      </c>
      <c r="G1185" s="7" t="s">
        <v>546</v>
      </c>
      <c r="H1185" s="7" t="s">
        <v>546</v>
      </c>
      <c r="I1185" s="7" t="s">
        <v>546</v>
      </c>
      <c r="J1185" s="21" t="n">
        <f aca="false">D1185/(D1185+E1185)</f>
        <v>0.555555555555556</v>
      </c>
      <c r="K1185" s="3" t="n">
        <f aca="false">IF(D1185&gt;E1185,1,0)</f>
        <v>1</v>
      </c>
      <c r="L1185" s="3" t="n">
        <f aca="false">IF(OR(F1185="Y",G1185="Y",H1185="Y"),1,0)</f>
        <v>1</v>
      </c>
      <c r="M1185" s="3" t="n">
        <f aca="false">IF(H1185="Y",1,0)</f>
        <v>0</v>
      </c>
      <c r="N1185" s="3" t="n">
        <f aca="false">IF(I1185="Y",1,0)</f>
        <v>0</v>
      </c>
    </row>
    <row r="1186" customFormat="false" ht="15" hidden="false" customHeight="true" outlineLevel="0" collapsed="false">
      <c r="A1186" s="7" t="s">
        <v>67</v>
      </c>
      <c r="B1186" s="7" t="n">
        <v>2015</v>
      </c>
      <c r="C1186" s="7" t="s">
        <v>368</v>
      </c>
      <c r="D1186" s="7" t="n">
        <v>74</v>
      </c>
      <c r="E1186" s="7" t="n">
        <v>87</v>
      </c>
      <c r="F1186" s="7" t="s">
        <v>546</v>
      </c>
      <c r="G1186" s="7" t="s">
        <v>546</v>
      </c>
      <c r="H1186" s="7" t="s">
        <v>546</v>
      </c>
      <c r="I1186" s="7" t="s">
        <v>546</v>
      </c>
      <c r="J1186" s="21" t="n">
        <f aca="false">D1186/(D1186+E1186)</f>
        <v>0.459627329192547</v>
      </c>
      <c r="K1186" s="3" t="n">
        <f aca="false">IF(D1186&gt;E1186,1,0)</f>
        <v>0</v>
      </c>
      <c r="L1186" s="3" t="n">
        <f aca="false">IF(OR(F1186="Y",G1186="Y",H1186="Y"),1,0)</f>
        <v>0</v>
      </c>
      <c r="M1186" s="3" t="n">
        <f aca="false">IF(H1186="Y",1,0)</f>
        <v>0</v>
      </c>
      <c r="N1186" s="3" t="n">
        <f aca="false">IF(I1186="Y",1,0)</f>
        <v>0</v>
      </c>
    </row>
    <row r="1187" customFormat="false" ht="15" hidden="false" customHeight="true" outlineLevel="0" collapsed="false">
      <c r="A1187" s="7" t="s">
        <v>67</v>
      </c>
      <c r="B1187" s="7" t="n">
        <v>2016</v>
      </c>
      <c r="C1187" s="7" t="s">
        <v>368</v>
      </c>
      <c r="D1187" s="7" t="n">
        <v>86</v>
      </c>
      <c r="E1187" s="7" t="n">
        <v>75</v>
      </c>
      <c r="F1187" s="7" t="s">
        <v>546</v>
      </c>
      <c r="G1187" s="7" t="s">
        <v>546</v>
      </c>
      <c r="H1187" s="7" t="s">
        <v>546</v>
      </c>
      <c r="I1187" s="7" t="s">
        <v>546</v>
      </c>
      <c r="J1187" s="21" t="n">
        <f aca="false">D1187/(D1187+E1187)</f>
        <v>0.53416149068323</v>
      </c>
      <c r="K1187" s="3" t="n">
        <f aca="false">IF(D1187&gt;E1187,1,0)</f>
        <v>1</v>
      </c>
      <c r="L1187" s="3" t="n">
        <f aca="false">IF(OR(F1187="Y",G1187="Y",H1187="Y"),1,0)</f>
        <v>0</v>
      </c>
      <c r="M1187" s="3" t="n">
        <f aca="false">IF(H1187="Y",1,0)</f>
        <v>0</v>
      </c>
      <c r="N1187" s="3" t="n">
        <f aca="false">IF(I1187="Y",1,0)</f>
        <v>0</v>
      </c>
    </row>
    <row r="1188" customFormat="false" ht="15" hidden="false" customHeight="true" outlineLevel="0" collapsed="false">
      <c r="A1188" s="7" t="s">
        <v>67</v>
      </c>
      <c r="B1188" s="7" t="n">
        <v>2017</v>
      </c>
      <c r="C1188" s="7" t="s">
        <v>368</v>
      </c>
      <c r="D1188" s="7" t="n">
        <v>64</v>
      </c>
      <c r="E1188" s="7" t="n">
        <v>98</v>
      </c>
      <c r="F1188" s="7" t="s">
        <v>546</v>
      </c>
      <c r="G1188" s="7" t="s">
        <v>546</v>
      </c>
      <c r="H1188" s="7" t="s">
        <v>546</v>
      </c>
      <c r="I1188" s="7" t="s">
        <v>546</v>
      </c>
      <c r="J1188" s="21" t="n">
        <f aca="false">D1188/(D1188+E1188)</f>
        <v>0.395061728395062</v>
      </c>
      <c r="K1188" s="3" t="n">
        <f aca="false">IF(D1188&gt;E1188,1,0)</f>
        <v>0</v>
      </c>
      <c r="L1188" s="3" t="n">
        <f aca="false">IF(OR(F1188="Y",G1188="Y",H1188="Y"),1,0)</f>
        <v>0</v>
      </c>
      <c r="M1188" s="3" t="n">
        <f aca="false">IF(H1188="Y",1,0)</f>
        <v>0</v>
      </c>
      <c r="N1188" s="3" t="n">
        <f aca="false">IF(I1188="Y",1,0)</f>
        <v>0</v>
      </c>
    </row>
    <row r="1189" customFormat="false" ht="15" hidden="false" customHeight="true" outlineLevel="0" collapsed="false">
      <c r="A1189" s="7" t="s">
        <v>67</v>
      </c>
      <c r="B1189" s="7" t="n">
        <v>2018</v>
      </c>
      <c r="C1189" s="7" t="s">
        <v>368</v>
      </c>
      <c r="D1189" s="7" t="n">
        <v>64</v>
      </c>
      <c r="E1189" s="7" t="n">
        <v>98</v>
      </c>
      <c r="F1189" s="7" t="s">
        <v>546</v>
      </c>
      <c r="G1189" s="7" t="s">
        <v>546</v>
      </c>
      <c r="H1189" s="7" t="s">
        <v>546</v>
      </c>
      <c r="I1189" s="7" t="s">
        <v>546</v>
      </c>
      <c r="J1189" s="21" t="n">
        <f aca="false">D1189/(D1189+E1189)</f>
        <v>0.395061728395062</v>
      </c>
      <c r="K1189" s="3" t="n">
        <f aca="false">IF(D1189&gt;E1189,1,0)</f>
        <v>0</v>
      </c>
      <c r="L1189" s="3" t="n">
        <f aca="false">IF(OR(F1189="Y",G1189="Y",H1189="Y"),1,0)</f>
        <v>0</v>
      </c>
      <c r="M1189" s="3" t="n">
        <f aca="false">IF(H1189="Y",1,0)</f>
        <v>0</v>
      </c>
      <c r="N1189" s="3" t="n">
        <f aca="false">IF(I1189="Y",1,0)</f>
        <v>0</v>
      </c>
    </row>
    <row r="1190" customFormat="false" ht="15" hidden="false" customHeight="true" outlineLevel="0" collapsed="false">
      <c r="A1190" s="7" t="s">
        <v>67</v>
      </c>
      <c r="B1190" s="7" t="n">
        <v>2019</v>
      </c>
      <c r="C1190" s="7" t="s">
        <v>368</v>
      </c>
      <c r="D1190" s="7" t="n">
        <v>47</v>
      </c>
      <c r="E1190" s="7" t="n">
        <v>114</v>
      </c>
      <c r="F1190" s="7" t="s">
        <v>546</v>
      </c>
      <c r="G1190" s="7" t="s">
        <v>546</v>
      </c>
      <c r="H1190" s="7" t="s">
        <v>546</v>
      </c>
      <c r="I1190" s="7" t="s">
        <v>546</v>
      </c>
      <c r="J1190" s="21" t="n">
        <f aca="false">D1190/(D1190+E1190)</f>
        <v>0.291925465838509</v>
      </c>
      <c r="K1190" s="3" t="n">
        <f aca="false">IF(D1190&gt;E1190,1,0)</f>
        <v>0</v>
      </c>
      <c r="L1190" s="3" t="n">
        <f aca="false">IF(OR(F1190="Y",G1190="Y",H1190="Y"),1,0)</f>
        <v>0</v>
      </c>
      <c r="M1190" s="3" t="n">
        <f aca="false">IF(H1190="Y",1,0)</f>
        <v>0</v>
      </c>
      <c r="N1190" s="3" t="n">
        <f aca="false">IF(I1190="Y",1,0)</f>
        <v>0</v>
      </c>
    </row>
    <row r="1191" customFormat="false" ht="15" hidden="false" customHeight="true" outlineLevel="0" collapsed="false">
      <c r="A1191" s="7" t="s">
        <v>67</v>
      </c>
      <c r="B1191" s="7" t="n">
        <v>2020</v>
      </c>
      <c r="C1191" s="7" t="s">
        <v>368</v>
      </c>
      <c r="D1191" s="7" t="n">
        <v>23</v>
      </c>
      <c r="E1191" s="7" t="n">
        <v>35</v>
      </c>
      <c r="F1191" s="7" t="s">
        <v>546</v>
      </c>
      <c r="G1191" s="7" t="s">
        <v>546</v>
      </c>
      <c r="H1191" s="7" t="s">
        <v>546</v>
      </c>
      <c r="I1191" s="7" t="s">
        <v>546</v>
      </c>
      <c r="J1191" s="21" t="n">
        <f aca="false">D1191/(D1191+E1191)</f>
        <v>0.396551724137931</v>
      </c>
      <c r="K1191" s="3" t="n">
        <f aca="false">IF(D1191&gt;E1191,1,0)</f>
        <v>0</v>
      </c>
      <c r="L1191" s="3" t="n">
        <f aca="false">IF(OR(F1191="Y",G1191="Y",H1191="Y"),1,0)</f>
        <v>0</v>
      </c>
      <c r="M1191" s="3" t="n">
        <f aca="false">IF(H1191="Y",1,0)</f>
        <v>0</v>
      </c>
      <c r="N1191" s="3" t="n">
        <f aca="false">IF(I1191="Y",1,0)</f>
        <v>0</v>
      </c>
    </row>
    <row r="1192" customFormat="false" ht="15" hidden="false" customHeight="true" outlineLevel="0" collapsed="false">
      <c r="A1192" s="7" t="s">
        <v>67</v>
      </c>
      <c r="B1192" s="7" t="n">
        <v>2021</v>
      </c>
      <c r="C1192" s="7" t="s">
        <v>368</v>
      </c>
      <c r="D1192" s="7" t="n">
        <v>77</v>
      </c>
      <c r="E1192" s="7" t="n">
        <v>85</v>
      </c>
      <c r="F1192" s="7" t="s">
        <v>546</v>
      </c>
      <c r="G1192" s="7" t="s">
        <v>546</v>
      </c>
      <c r="H1192" s="7" t="s">
        <v>546</v>
      </c>
      <c r="I1192" s="7" t="s">
        <v>546</v>
      </c>
      <c r="J1192" s="21" t="n">
        <f aca="false">D1192/(D1192+E1192)</f>
        <v>0.475308641975309</v>
      </c>
      <c r="K1192" s="3" t="n">
        <f aca="false">IF(D1192&gt;E1192,1,0)</f>
        <v>0</v>
      </c>
      <c r="L1192" s="3" t="n">
        <f aca="false">IF(OR(F1192="Y",G1192="Y",H1192="Y"),1,0)</f>
        <v>0</v>
      </c>
      <c r="M1192" s="3" t="n">
        <f aca="false">IF(H1192="Y",1,0)</f>
        <v>0</v>
      </c>
      <c r="N1192" s="3" t="n">
        <f aca="false">IF(I1192="Y",1,0)</f>
        <v>0</v>
      </c>
    </row>
    <row r="1193" customFormat="false" ht="15" hidden="false" customHeight="true" outlineLevel="0" collapsed="false">
      <c r="A1193" s="7" t="s">
        <v>67</v>
      </c>
      <c r="B1193" s="7" t="n">
        <v>2022</v>
      </c>
      <c r="C1193" s="7" t="s">
        <v>368</v>
      </c>
      <c r="D1193" s="7" t="n">
        <v>66</v>
      </c>
      <c r="E1193" s="7" t="n">
        <v>96</v>
      </c>
      <c r="F1193" s="7" t="s">
        <v>546</v>
      </c>
      <c r="G1193" s="7" t="s">
        <v>546</v>
      </c>
      <c r="H1193" s="7" t="s">
        <v>546</v>
      </c>
      <c r="I1193" s="7" t="s">
        <v>546</v>
      </c>
      <c r="J1193" s="21" t="n">
        <f aca="false">D1193/(D1193+E1193)</f>
        <v>0.407407407407407</v>
      </c>
      <c r="K1193" s="3" t="n">
        <f aca="false">IF(D1193&gt;E1193,1,0)</f>
        <v>0</v>
      </c>
      <c r="L1193" s="3" t="n">
        <f aca="false">IF(OR(F1193="Y",G1193="Y",H1193="Y"),1,0)</f>
        <v>0</v>
      </c>
      <c r="M1193" s="3" t="n">
        <f aca="false">IF(H1193="Y",1,0)</f>
        <v>0</v>
      </c>
      <c r="N1193" s="3" t="n">
        <f aca="false">IF(I1193="Y",1,0)</f>
        <v>0</v>
      </c>
    </row>
    <row r="1194" customFormat="false" ht="15" hidden="false" customHeight="true" outlineLevel="0" collapsed="false">
      <c r="A1194" s="7" t="s">
        <v>67</v>
      </c>
      <c r="B1194" s="7" t="n">
        <v>2023</v>
      </c>
      <c r="C1194" s="7" t="s">
        <v>368</v>
      </c>
      <c r="D1194" s="7" t="n">
        <v>78</v>
      </c>
      <c r="E1194" s="7" t="n">
        <v>84</v>
      </c>
      <c r="F1194" s="7" t="s">
        <v>546</v>
      </c>
      <c r="G1194" s="7" t="s">
        <v>546</v>
      </c>
      <c r="H1194" s="7" t="s">
        <v>546</v>
      </c>
      <c r="I1194" s="7" t="s">
        <v>546</v>
      </c>
      <c r="J1194" s="21" t="n">
        <f aca="false">D1194/(D1194+E1194)</f>
        <v>0.481481481481481</v>
      </c>
      <c r="K1194" s="3" t="n">
        <f aca="false">IF(D1194&gt;E1194,1,0)</f>
        <v>0</v>
      </c>
      <c r="L1194" s="3" t="n">
        <f aca="false">IF(OR(F1194="Y",G1194="Y",H1194="Y"),1,0)</f>
        <v>0</v>
      </c>
      <c r="M1194" s="3" t="n">
        <f aca="false">IF(H1194="Y",1,0)</f>
        <v>0</v>
      </c>
      <c r="N1194" s="3" t="n">
        <f aca="false">IF(I1194="Y",1,0)</f>
        <v>0</v>
      </c>
    </row>
    <row r="1195" customFormat="false" ht="15" hidden="false" customHeight="true" outlineLevel="0" collapsed="false">
      <c r="A1195" s="7" t="s">
        <v>67</v>
      </c>
      <c r="B1195" s="7" t="n">
        <v>2024</v>
      </c>
      <c r="C1195" s="7" t="s">
        <v>368</v>
      </c>
      <c r="D1195" s="7" t="n">
        <v>86</v>
      </c>
      <c r="E1195" s="7" t="n">
        <v>76</v>
      </c>
      <c r="F1195" s="7" t="s">
        <v>546</v>
      </c>
      <c r="G1195" s="7" t="s">
        <v>548</v>
      </c>
      <c r="H1195" s="7" t="s">
        <v>546</v>
      </c>
      <c r="I1195" s="7" t="s">
        <v>546</v>
      </c>
      <c r="J1195" s="21" t="n">
        <f aca="false">D1195/(D1195+E1195)</f>
        <v>0.530864197530864</v>
      </c>
      <c r="K1195" s="3" t="n">
        <f aca="false">IF(D1195&gt;E1195,1,0)</f>
        <v>1</v>
      </c>
      <c r="L1195" s="3" t="n">
        <f aca="false">IF(OR(F1195="Y",G1195="Y",H1195="Y"),1,0)</f>
        <v>1</v>
      </c>
      <c r="M1195" s="3" t="n">
        <f aca="false">IF(H1195="Y",1,0)</f>
        <v>0</v>
      </c>
      <c r="N1195" s="3" t="n">
        <f aca="false">IF(I1195="Y",1,0)</f>
        <v>0</v>
      </c>
    </row>
    <row r="1196" customFormat="false" ht="15" hidden="false" customHeight="true" outlineLevel="0" collapsed="false">
      <c r="A1196" s="7" t="s">
        <v>67</v>
      </c>
      <c r="B1196" s="7" t="n">
        <v>2025</v>
      </c>
      <c r="C1196" s="7" t="s">
        <v>368</v>
      </c>
      <c r="D1196" s="7" t="n">
        <v>87</v>
      </c>
      <c r="E1196" s="7" t="n">
        <v>75</v>
      </c>
      <c r="F1196" s="7" t="s">
        <v>546</v>
      </c>
      <c r="G1196" s="7" t="s">
        <v>548</v>
      </c>
      <c r="H1196" s="7" t="s">
        <v>546</v>
      </c>
      <c r="I1196" s="7" t="s">
        <v>546</v>
      </c>
      <c r="J1196" s="21" t="n">
        <f aca="false">D1196/(D1196+E1196)</f>
        <v>0.537037037037037</v>
      </c>
      <c r="K1196" s="3" t="n">
        <f aca="false">IF(D1196&gt;E1196,1,0)</f>
        <v>1</v>
      </c>
      <c r="L1196" s="3" t="n">
        <f aca="false">IF(OR(F1196="Y",G1196="Y",H1196="Y"),1,0)</f>
        <v>1</v>
      </c>
      <c r="M1196" s="3" t="n">
        <f aca="false">IF(H1196="Y",1,0)</f>
        <v>0</v>
      </c>
      <c r="N1196" s="3" t="n">
        <f aca="false">IF(I1196="Y",1,0)</f>
        <v>0</v>
      </c>
    </row>
    <row r="1197" customFormat="false" ht="15" hidden="false" customHeight="true" outlineLevel="0" collapsed="false">
      <c r="A1197" s="7" t="s">
        <v>83</v>
      </c>
      <c r="B1197" s="7" t="n">
        <v>1993</v>
      </c>
      <c r="C1197" s="7" t="s">
        <v>568</v>
      </c>
      <c r="D1197" s="7" t="n">
        <v>64</v>
      </c>
      <c r="E1197" s="7" t="n">
        <v>98</v>
      </c>
      <c r="F1197" s="7" t="s">
        <v>546</v>
      </c>
      <c r="G1197" s="7"/>
      <c r="H1197" s="7" t="s">
        <v>546</v>
      </c>
      <c r="I1197" s="7" t="s">
        <v>546</v>
      </c>
      <c r="J1197" s="21" t="n">
        <f aca="false">D1197/(D1197+E1197)</f>
        <v>0.395061728395062</v>
      </c>
      <c r="K1197" s="3" t="n">
        <f aca="false">IF(D1197&gt;E1197,1,0)</f>
        <v>0</v>
      </c>
      <c r="L1197" s="3" t="n">
        <f aca="false">IF(OR(F1197="Y",G1197="Y",H1197="Y"),1,0)</f>
        <v>0</v>
      </c>
      <c r="M1197" s="3" t="n">
        <f aca="false">IF(H1197="Y",1,0)</f>
        <v>0</v>
      </c>
      <c r="N1197" s="3" t="n">
        <f aca="false">IF(I1197="Y",1,0)</f>
        <v>0</v>
      </c>
    </row>
    <row r="1198" customFormat="false" ht="15" hidden="false" customHeight="true" outlineLevel="0" collapsed="false">
      <c r="A1198" s="7" t="s">
        <v>83</v>
      </c>
      <c r="B1198" s="7" t="n">
        <v>1994</v>
      </c>
      <c r="C1198" s="7" t="s">
        <v>568</v>
      </c>
      <c r="D1198" s="7" t="n">
        <v>51</v>
      </c>
      <c r="E1198" s="7" t="n">
        <v>64</v>
      </c>
      <c r="F1198" s="7"/>
      <c r="G1198" s="7"/>
      <c r="H1198" s="7"/>
      <c r="I1198" s="7"/>
      <c r="J1198" s="21" t="n">
        <f aca="false">D1198/(D1198+E1198)</f>
        <v>0.443478260869565</v>
      </c>
      <c r="K1198" s="3" t="n">
        <f aca="false">IF(D1198&gt;E1198,1,0)</f>
        <v>0</v>
      </c>
      <c r="L1198" s="3" t="n">
        <f aca="false">IF(OR(F1198="Y",G1198="Y",H1198="Y"),1,0)</f>
        <v>0</v>
      </c>
      <c r="M1198" s="3" t="n">
        <f aca="false">IF(H1198="Y",1,0)</f>
        <v>0</v>
      </c>
      <c r="N1198" s="3" t="n">
        <f aca="false">IF(I1198="Y",1,0)</f>
        <v>0</v>
      </c>
    </row>
    <row r="1199" customFormat="false" ht="15" hidden="false" customHeight="true" outlineLevel="0" collapsed="false">
      <c r="A1199" s="7" t="s">
        <v>83</v>
      </c>
      <c r="B1199" s="7" t="n">
        <v>1995</v>
      </c>
      <c r="C1199" s="7" t="s">
        <v>568</v>
      </c>
      <c r="D1199" s="7" t="n">
        <v>67</v>
      </c>
      <c r="E1199" s="7" t="n">
        <v>76</v>
      </c>
      <c r="F1199" s="7" t="s">
        <v>546</v>
      </c>
      <c r="G1199" s="7" t="s">
        <v>546</v>
      </c>
      <c r="H1199" s="7" t="s">
        <v>546</v>
      </c>
      <c r="I1199" s="7" t="s">
        <v>546</v>
      </c>
      <c r="J1199" s="21" t="n">
        <f aca="false">D1199/(D1199+E1199)</f>
        <v>0.468531468531469</v>
      </c>
      <c r="K1199" s="3" t="n">
        <f aca="false">IF(D1199&gt;E1199,1,0)</f>
        <v>0</v>
      </c>
      <c r="L1199" s="3" t="n">
        <f aca="false">IF(OR(F1199="Y",G1199="Y",H1199="Y"),1,0)</f>
        <v>0</v>
      </c>
      <c r="M1199" s="3" t="n">
        <f aca="false">IF(H1199="Y",1,0)</f>
        <v>0</v>
      </c>
      <c r="N1199" s="3" t="n">
        <f aca="false">IF(I1199="Y",1,0)</f>
        <v>0</v>
      </c>
    </row>
    <row r="1200" customFormat="false" ht="15" hidden="false" customHeight="true" outlineLevel="0" collapsed="false">
      <c r="A1200" s="7" t="s">
        <v>83</v>
      </c>
      <c r="B1200" s="7" t="n">
        <v>1996</v>
      </c>
      <c r="C1200" s="7" t="s">
        <v>568</v>
      </c>
      <c r="D1200" s="7" t="n">
        <v>80</v>
      </c>
      <c r="E1200" s="7" t="n">
        <v>82</v>
      </c>
      <c r="F1200" s="7" t="s">
        <v>546</v>
      </c>
      <c r="G1200" s="7" t="s">
        <v>546</v>
      </c>
      <c r="H1200" s="7" t="s">
        <v>546</v>
      </c>
      <c r="I1200" s="7" t="s">
        <v>546</v>
      </c>
      <c r="J1200" s="21" t="n">
        <f aca="false">D1200/(D1200+E1200)</f>
        <v>0.493827160493827</v>
      </c>
      <c r="K1200" s="3" t="n">
        <f aca="false">IF(D1200&gt;E1200,1,0)</f>
        <v>0</v>
      </c>
      <c r="L1200" s="3" t="n">
        <f aca="false">IF(OR(F1200="Y",G1200="Y",H1200="Y"),1,0)</f>
        <v>0</v>
      </c>
      <c r="M1200" s="3" t="n">
        <f aca="false">IF(H1200="Y",1,0)</f>
        <v>0</v>
      </c>
      <c r="N1200" s="3" t="n">
        <f aca="false">IF(I1200="Y",1,0)</f>
        <v>0</v>
      </c>
    </row>
    <row r="1201" customFormat="false" ht="15" hidden="false" customHeight="true" outlineLevel="0" collapsed="false">
      <c r="A1201" s="7" t="s">
        <v>83</v>
      </c>
      <c r="B1201" s="7" t="n">
        <v>1997</v>
      </c>
      <c r="C1201" s="7" t="s">
        <v>568</v>
      </c>
      <c r="D1201" s="7" t="n">
        <v>92</v>
      </c>
      <c r="E1201" s="7" t="n">
        <v>70</v>
      </c>
      <c r="F1201" s="7" t="s">
        <v>546</v>
      </c>
      <c r="G1201" s="7" t="s">
        <v>548</v>
      </c>
      <c r="H1201" s="7" t="s">
        <v>548</v>
      </c>
      <c r="I1201" s="7" t="s">
        <v>548</v>
      </c>
      <c r="J1201" s="21" t="n">
        <f aca="false">D1201/(D1201+E1201)</f>
        <v>0.567901234567901</v>
      </c>
      <c r="K1201" s="3" t="n">
        <f aca="false">IF(D1201&gt;E1201,1,0)</f>
        <v>1</v>
      </c>
      <c r="L1201" s="3" t="n">
        <f aca="false">IF(OR(F1201="Y",G1201="Y",H1201="Y"),1,0)</f>
        <v>1</v>
      </c>
      <c r="M1201" s="3" t="n">
        <f aca="false">IF(H1201="Y",1,0)</f>
        <v>1</v>
      </c>
      <c r="N1201" s="3" t="n">
        <f aca="false">IF(I1201="Y",1,0)</f>
        <v>1</v>
      </c>
    </row>
    <row r="1202" customFormat="false" ht="15" hidden="false" customHeight="true" outlineLevel="0" collapsed="false">
      <c r="A1202" s="7" t="s">
        <v>83</v>
      </c>
      <c r="B1202" s="7" t="n">
        <v>1998</v>
      </c>
      <c r="C1202" s="7" t="s">
        <v>568</v>
      </c>
      <c r="D1202" s="7" t="n">
        <v>54</v>
      </c>
      <c r="E1202" s="7" t="n">
        <v>108</v>
      </c>
      <c r="F1202" s="7" t="s">
        <v>546</v>
      </c>
      <c r="G1202" s="7" t="s">
        <v>546</v>
      </c>
      <c r="H1202" s="7" t="s">
        <v>546</v>
      </c>
      <c r="I1202" s="7" t="s">
        <v>546</v>
      </c>
      <c r="J1202" s="21" t="n">
        <f aca="false">D1202/(D1202+E1202)</f>
        <v>0.333333333333333</v>
      </c>
      <c r="K1202" s="3" t="n">
        <f aca="false">IF(D1202&gt;E1202,1,0)</f>
        <v>0</v>
      </c>
      <c r="L1202" s="3" t="n">
        <f aca="false">IF(OR(F1202="Y",G1202="Y",H1202="Y"),1,0)</f>
        <v>0</v>
      </c>
      <c r="M1202" s="3" t="n">
        <f aca="false">IF(H1202="Y",1,0)</f>
        <v>0</v>
      </c>
      <c r="N1202" s="3" t="n">
        <f aca="false">IF(I1202="Y",1,0)</f>
        <v>0</v>
      </c>
    </row>
    <row r="1203" customFormat="false" ht="15" hidden="false" customHeight="true" outlineLevel="0" collapsed="false">
      <c r="A1203" s="7" t="s">
        <v>83</v>
      </c>
      <c r="B1203" s="7" t="n">
        <v>1999</v>
      </c>
      <c r="C1203" s="7" t="s">
        <v>568</v>
      </c>
      <c r="D1203" s="7" t="n">
        <v>64</v>
      </c>
      <c r="E1203" s="7" t="n">
        <v>98</v>
      </c>
      <c r="F1203" s="7" t="s">
        <v>546</v>
      </c>
      <c r="G1203" s="7" t="s">
        <v>546</v>
      </c>
      <c r="H1203" s="7" t="s">
        <v>546</v>
      </c>
      <c r="I1203" s="7" t="s">
        <v>546</v>
      </c>
      <c r="J1203" s="21" t="n">
        <f aca="false">D1203/(D1203+E1203)</f>
        <v>0.395061728395062</v>
      </c>
      <c r="K1203" s="3" t="n">
        <f aca="false">IF(D1203&gt;E1203,1,0)</f>
        <v>0</v>
      </c>
      <c r="L1203" s="3" t="n">
        <f aca="false">IF(OR(F1203="Y",G1203="Y",H1203="Y"),1,0)</f>
        <v>0</v>
      </c>
      <c r="M1203" s="3" t="n">
        <f aca="false">IF(H1203="Y",1,0)</f>
        <v>0</v>
      </c>
      <c r="N1203" s="3" t="n">
        <f aca="false">IF(I1203="Y",1,0)</f>
        <v>0</v>
      </c>
    </row>
    <row r="1204" customFormat="false" ht="15" hidden="false" customHeight="true" outlineLevel="0" collapsed="false">
      <c r="A1204" s="7" t="s">
        <v>83</v>
      </c>
      <c r="B1204" s="7" t="n">
        <v>2000</v>
      </c>
      <c r="C1204" s="7" t="s">
        <v>568</v>
      </c>
      <c r="D1204" s="7" t="n">
        <v>79</v>
      </c>
      <c r="E1204" s="7" t="n">
        <v>82</v>
      </c>
      <c r="F1204" s="7" t="s">
        <v>546</v>
      </c>
      <c r="G1204" s="7" t="s">
        <v>546</v>
      </c>
      <c r="H1204" s="7" t="s">
        <v>546</v>
      </c>
      <c r="I1204" s="7" t="s">
        <v>546</v>
      </c>
      <c r="J1204" s="21" t="n">
        <f aca="false">D1204/(D1204+E1204)</f>
        <v>0.490683229813665</v>
      </c>
      <c r="K1204" s="3" t="n">
        <f aca="false">IF(D1204&gt;E1204,1,0)</f>
        <v>0</v>
      </c>
      <c r="L1204" s="3" t="n">
        <f aca="false">IF(OR(F1204="Y",G1204="Y",H1204="Y"),1,0)</f>
        <v>0</v>
      </c>
      <c r="M1204" s="3" t="n">
        <f aca="false">IF(H1204="Y",1,0)</f>
        <v>0</v>
      </c>
      <c r="N1204" s="3" t="n">
        <f aca="false">IF(I1204="Y",1,0)</f>
        <v>0</v>
      </c>
    </row>
    <row r="1205" customFormat="false" ht="15" hidden="false" customHeight="true" outlineLevel="0" collapsed="false">
      <c r="A1205" s="7" t="s">
        <v>83</v>
      </c>
      <c r="B1205" s="7" t="n">
        <v>2001</v>
      </c>
      <c r="C1205" s="7" t="s">
        <v>568</v>
      </c>
      <c r="D1205" s="7" t="n">
        <v>76</v>
      </c>
      <c r="E1205" s="7" t="n">
        <v>86</v>
      </c>
      <c r="F1205" s="7" t="s">
        <v>546</v>
      </c>
      <c r="G1205" s="7" t="s">
        <v>546</v>
      </c>
      <c r="H1205" s="7" t="s">
        <v>546</v>
      </c>
      <c r="I1205" s="7" t="s">
        <v>546</v>
      </c>
      <c r="J1205" s="21" t="n">
        <f aca="false">D1205/(D1205+E1205)</f>
        <v>0.469135802469136</v>
      </c>
      <c r="K1205" s="3" t="n">
        <f aca="false">IF(D1205&gt;E1205,1,0)</f>
        <v>0</v>
      </c>
      <c r="L1205" s="3" t="n">
        <f aca="false">IF(OR(F1205="Y",G1205="Y",H1205="Y"),1,0)</f>
        <v>0</v>
      </c>
      <c r="M1205" s="3" t="n">
        <f aca="false">IF(H1205="Y",1,0)</f>
        <v>0</v>
      </c>
      <c r="N1205" s="3" t="n">
        <f aca="false">IF(I1205="Y",1,0)</f>
        <v>0</v>
      </c>
    </row>
    <row r="1206" customFormat="false" ht="15" hidden="false" customHeight="true" outlineLevel="0" collapsed="false">
      <c r="A1206" s="7" t="s">
        <v>83</v>
      </c>
      <c r="B1206" s="7" t="n">
        <v>2002</v>
      </c>
      <c r="C1206" s="7" t="s">
        <v>568</v>
      </c>
      <c r="D1206" s="7" t="n">
        <v>79</v>
      </c>
      <c r="E1206" s="7" t="n">
        <v>83</v>
      </c>
      <c r="F1206" s="7" t="s">
        <v>546</v>
      </c>
      <c r="G1206" s="7" t="s">
        <v>546</v>
      </c>
      <c r="H1206" s="7" t="s">
        <v>546</v>
      </c>
      <c r="I1206" s="7" t="s">
        <v>546</v>
      </c>
      <c r="J1206" s="21" t="n">
        <f aca="false">D1206/(D1206+E1206)</f>
        <v>0.487654320987654</v>
      </c>
      <c r="K1206" s="3" t="n">
        <f aca="false">IF(D1206&gt;E1206,1,0)</f>
        <v>0</v>
      </c>
      <c r="L1206" s="3" t="n">
        <f aca="false">IF(OR(F1206="Y",G1206="Y",H1206="Y"),1,0)</f>
        <v>0</v>
      </c>
      <c r="M1206" s="3" t="n">
        <f aca="false">IF(H1206="Y",1,0)</f>
        <v>0</v>
      </c>
      <c r="N1206" s="3" t="n">
        <f aca="false">IF(I1206="Y",1,0)</f>
        <v>0</v>
      </c>
    </row>
    <row r="1207" customFormat="false" ht="15" hidden="false" customHeight="true" outlineLevel="0" collapsed="false">
      <c r="A1207" s="7" t="s">
        <v>83</v>
      </c>
      <c r="B1207" s="7" t="n">
        <v>2003</v>
      </c>
      <c r="C1207" s="7" t="s">
        <v>568</v>
      </c>
      <c r="D1207" s="7" t="n">
        <v>91</v>
      </c>
      <c r="E1207" s="7" t="n">
        <v>71</v>
      </c>
      <c r="F1207" s="7" t="s">
        <v>546</v>
      </c>
      <c r="G1207" s="7" t="s">
        <v>548</v>
      </c>
      <c r="H1207" s="7" t="s">
        <v>548</v>
      </c>
      <c r="I1207" s="7" t="s">
        <v>548</v>
      </c>
      <c r="J1207" s="21" t="n">
        <f aca="false">D1207/(D1207+E1207)</f>
        <v>0.561728395061728</v>
      </c>
      <c r="K1207" s="3" t="n">
        <f aca="false">IF(D1207&gt;E1207,1,0)</f>
        <v>1</v>
      </c>
      <c r="L1207" s="3" t="n">
        <f aca="false">IF(OR(F1207="Y",G1207="Y",H1207="Y"),1,0)</f>
        <v>1</v>
      </c>
      <c r="M1207" s="3" t="n">
        <f aca="false">IF(H1207="Y",1,0)</f>
        <v>1</v>
      </c>
      <c r="N1207" s="3" t="n">
        <f aca="false">IF(I1207="Y",1,0)</f>
        <v>1</v>
      </c>
    </row>
    <row r="1208" customFormat="false" ht="15" hidden="false" customHeight="true" outlineLevel="0" collapsed="false">
      <c r="A1208" s="7" t="s">
        <v>83</v>
      </c>
      <c r="B1208" s="7" t="n">
        <v>2004</v>
      </c>
      <c r="C1208" s="7" t="s">
        <v>568</v>
      </c>
      <c r="D1208" s="7" t="n">
        <v>83</v>
      </c>
      <c r="E1208" s="7" t="n">
        <v>79</v>
      </c>
      <c r="F1208" s="7" t="s">
        <v>546</v>
      </c>
      <c r="G1208" s="7" t="s">
        <v>546</v>
      </c>
      <c r="H1208" s="7" t="s">
        <v>546</v>
      </c>
      <c r="I1208" s="7" t="s">
        <v>546</v>
      </c>
      <c r="J1208" s="21" t="n">
        <f aca="false">D1208/(D1208+E1208)</f>
        <v>0.512345679012346</v>
      </c>
      <c r="K1208" s="3" t="n">
        <f aca="false">IF(D1208&gt;E1208,1,0)</f>
        <v>1</v>
      </c>
      <c r="L1208" s="3" t="n">
        <f aca="false">IF(OR(F1208="Y",G1208="Y",H1208="Y"),1,0)</f>
        <v>0</v>
      </c>
      <c r="M1208" s="3" t="n">
        <f aca="false">IF(H1208="Y",1,0)</f>
        <v>0</v>
      </c>
      <c r="N1208" s="3" t="n">
        <f aca="false">IF(I1208="Y",1,0)</f>
        <v>0</v>
      </c>
    </row>
    <row r="1209" customFormat="false" ht="15" hidden="false" customHeight="true" outlineLevel="0" collapsed="false">
      <c r="A1209" s="7" t="s">
        <v>83</v>
      </c>
      <c r="B1209" s="7" t="n">
        <v>2005</v>
      </c>
      <c r="C1209" s="7" t="s">
        <v>568</v>
      </c>
      <c r="D1209" s="7" t="n">
        <v>83</v>
      </c>
      <c r="E1209" s="7" t="n">
        <v>79</v>
      </c>
      <c r="F1209" s="7" t="s">
        <v>546</v>
      </c>
      <c r="G1209" s="7" t="s">
        <v>546</v>
      </c>
      <c r="H1209" s="7" t="s">
        <v>546</v>
      </c>
      <c r="I1209" s="7" t="s">
        <v>546</v>
      </c>
      <c r="J1209" s="21" t="n">
        <f aca="false">D1209/(D1209+E1209)</f>
        <v>0.512345679012346</v>
      </c>
      <c r="K1209" s="3" t="n">
        <f aca="false">IF(D1209&gt;E1209,1,0)</f>
        <v>1</v>
      </c>
      <c r="L1209" s="3" t="n">
        <f aca="false">IF(OR(F1209="Y",G1209="Y",H1209="Y"),1,0)</f>
        <v>0</v>
      </c>
      <c r="M1209" s="3" t="n">
        <f aca="false">IF(H1209="Y",1,0)</f>
        <v>0</v>
      </c>
      <c r="N1209" s="3" t="n">
        <f aca="false">IF(I1209="Y",1,0)</f>
        <v>0</v>
      </c>
    </row>
    <row r="1210" customFormat="false" ht="15" hidden="false" customHeight="true" outlineLevel="0" collapsed="false">
      <c r="A1210" s="7" t="s">
        <v>83</v>
      </c>
      <c r="B1210" s="7" t="n">
        <v>2006</v>
      </c>
      <c r="C1210" s="7" t="s">
        <v>568</v>
      </c>
      <c r="D1210" s="7" t="n">
        <v>78</v>
      </c>
      <c r="E1210" s="7" t="n">
        <v>84</v>
      </c>
      <c r="F1210" s="7" t="s">
        <v>546</v>
      </c>
      <c r="G1210" s="7" t="s">
        <v>546</v>
      </c>
      <c r="H1210" s="7" t="s">
        <v>546</v>
      </c>
      <c r="I1210" s="7" t="s">
        <v>546</v>
      </c>
      <c r="J1210" s="21" t="n">
        <f aca="false">D1210/(D1210+E1210)</f>
        <v>0.481481481481481</v>
      </c>
      <c r="K1210" s="3" t="n">
        <f aca="false">IF(D1210&gt;E1210,1,0)</f>
        <v>0</v>
      </c>
      <c r="L1210" s="3" t="n">
        <f aca="false">IF(OR(F1210="Y",G1210="Y",H1210="Y"),1,0)</f>
        <v>0</v>
      </c>
      <c r="M1210" s="3" t="n">
        <f aca="false">IF(H1210="Y",1,0)</f>
        <v>0</v>
      </c>
      <c r="N1210" s="3" t="n">
        <f aca="false">IF(I1210="Y",1,0)</f>
        <v>0</v>
      </c>
    </row>
    <row r="1211" customFormat="false" ht="15" hidden="false" customHeight="true" outlineLevel="0" collapsed="false">
      <c r="A1211" s="7" t="s">
        <v>83</v>
      </c>
      <c r="B1211" s="7" t="n">
        <v>2007</v>
      </c>
      <c r="C1211" s="7" t="s">
        <v>568</v>
      </c>
      <c r="D1211" s="7" t="n">
        <v>71</v>
      </c>
      <c r="E1211" s="7" t="n">
        <v>91</v>
      </c>
      <c r="F1211" s="7" t="s">
        <v>546</v>
      </c>
      <c r="G1211" s="7" t="s">
        <v>546</v>
      </c>
      <c r="H1211" s="7" t="s">
        <v>546</v>
      </c>
      <c r="I1211" s="7" t="s">
        <v>546</v>
      </c>
      <c r="J1211" s="21" t="n">
        <f aca="false">D1211/(D1211+E1211)</f>
        <v>0.438271604938272</v>
      </c>
      <c r="K1211" s="3" t="n">
        <f aca="false">IF(D1211&gt;E1211,1,0)</f>
        <v>0</v>
      </c>
      <c r="L1211" s="3" t="n">
        <f aca="false">IF(OR(F1211="Y",G1211="Y",H1211="Y"),1,0)</f>
        <v>0</v>
      </c>
      <c r="M1211" s="3" t="n">
        <f aca="false">IF(H1211="Y",1,0)</f>
        <v>0</v>
      </c>
      <c r="N1211" s="3" t="n">
        <f aca="false">IF(I1211="Y",1,0)</f>
        <v>0</v>
      </c>
    </row>
    <row r="1212" customFormat="false" ht="15" hidden="false" customHeight="true" outlineLevel="0" collapsed="false">
      <c r="A1212" s="7" t="s">
        <v>83</v>
      </c>
      <c r="B1212" s="7" t="n">
        <v>2008</v>
      </c>
      <c r="C1212" s="7" t="s">
        <v>568</v>
      </c>
      <c r="D1212" s="7" t="n">
        <v>84</v>
      </c>
      <c r="E1212" s="7" t="n">
        <v>77</v>
      </c>
      <c r="F1212" s="7" t="s">
        <v>546</v>
      </c>
      <c r="G1212" s="7" t="s">
        <v>546</v>
      </c>
      <c r="H1212" s="7" t="s">
        <v>546</v>
      </c>
      <c r="I1212" s="7" t="s">
        <v>546</v>
      </c>
      <c r="J1212" s="21" t="n">
        <f aca="false">D1212/(D1212+E1212)</f>
        <v>0.521739130434783</v>
      </c>
      <c r="K1212" s="3" t="n">
        <f aca="false">IF(D1212&gt;E1212,1,0)</f>
        <v>1</v>
      </c>
      <c r="L1212" s="3" t="n">
        <f aca="false">IF(OR(F1212="Y",G1212="Y",H1212="Y"),1,0)</f>
        <v>0</v>
      </c>
      <c r="M1212" s="3" t="n">
        <f aca="false">IF(H1212="Y",1,0)</f>
        <v>0</v>
      </c>
      <c r="N1212" s="3" t="n">
        <f aca="false">IF(I1212="Y",1,0)</f>
        <v>0</v>
      </c>
    </row>
    <row r="1213" customFormat="false" ht="15" hidden="false" customHeight="true" outlineLevel="0" collapsed="false">
      <c r="A1213" s="7" t="s">
        <v>83</v>
      </c>
      <c r="B1213" s="7" t="n">
        <v>2009</v>
      </c>
      <c r="C1213" s="7" t="s">
        <v>568</v>
      </c>
      <c r="D1213" s="7" t="n">
        <v>87</v>
      </c>
      <c r="E1213" s="7" t="n">
        <v>75</v>
      </c>
      <c r="F1213" s="7" t="s">
        <v>546</v>
      </c>
      <c r="G1213" s="7" t="s">
        <v>546</v>
      </c>
      <c r="H1213" s="7" t="s">
        <v>546</v>
      </c>
      <c r="I1213" s="7" t="s">
        <v>546</v>
      </c>
      <c r="J1213" s="21" t="n">
        <f aca="false">D1213/(D1213+E1213)</f>
        <v>0.537037037037037</v>
      </c>
      <c r="K1213" s="3" t="n">
        <f aca="false">IF(D1213&gt;E1213,1,0)</f>
        <v>1</v>
      </c>
      <c r="L1213" s="3" t="n">
        <f aca="false">IF(OR(F1213="Y",G1213="Y",H1213="Y"),1,0)</f>
        <v>0</v>
      </c>
      <c r="M1213" s="3" t="n">
        <f aca="false">IF(H1213="Y",1,0)</f>
        <v>0</v>
      </c>
      <c r="N1213" s="3" t="n">
        <f aca="false">IF(I1213="Y",1,0)</f>
        <v>0</v>
      </c>
    </row>
    <row r="1214" customFormat="false" ht="15" hidden="false" customHeight="true" outlineLevel="0" collapsed="false">
      <c r="A1214" s="7" t="s">
        <v>83</v>
      </c>
      <c r="B1214" s="7" t="n">
        <v>2010</v>
      </c>
      <c r="C1214" s="7" t="s">
        <v>568</v>
      </c>
      <c r="D1214" s="7" t="n">
        <v>80</v>
      </c>
      <c r="E1214" s="7" t="n">
        <v>82</v>
      </c>
      <c r="F1214" s="7" t="s">
        <v>546</v>
      </c>
      <c r="G1214" s="7" t="s">
        <v>546</v>
      </c>
      <c r="H1214" s="7" t="s">
        <v>546</v>
      </c>
      <c r="I1214" s="7" t="s">
        <v>546</v>
      </c>
      <c r="J1214" s="21" t="n">
        <f aca="false">D1214/(D1214+E1214)</f>
        <v>0.493827160493827</v>
      </c>
      <c r="K1214" s="3" t="n">
        <f aca="false">IF(D1214&gt;E1214,1,0)</f>
        <v>0</v>
      </c>
      <c r="L1214" s="3" t="n">
        <f aca="false">IF(OR(F1214="Y",G1214="Y",H1214="Y"),1,0)</f>
        <v>0</v>
      </c>
      <c r="M1214" s="3" t="n">
        <f aca="false">IF(H1214="Y",1,0)</f>
        <v>0</v>
      </c>
      <c r="N1214" s="3" t="n">
        <f aca="false">IF(I1214="Y",1,0)</f>
        <v>0</v>
      </c>
    </row>
    <row r="1215" customFormat="false" ht="15" hidden="false" customHeight="true" outlineLevel="0" collapsed="false">
      <c r="A1215" s="7" t="s">
        <v>83</v>
      </c>
      <c r="B1215" s="7" t="n">
        <v>2011</v>
      </c>
      <c r="C1215" s="7" t="s">
        <v>568</v>
      </c>
      <c r="D1215" s="7" t="n">
        <v>72</v>
      </c>
      <c r="E1215" s="7" t="n">
        <v>90</v>
      </c>
      <c r="F1215" s="7" t="s">
        <v>546</v>
      </c>
      <c r="G1215" s="7" t="s">
        <v>546</v>
      </c>
      <c r="H1215" s="7" t="s">
        <v>546</v>
      </c>
      <c r="I1215" s="7" t="s">
        <v>546</v>
      </c>
      <c r="J1215" s="21" t="n">
        <f aca="false">D1215/(D1215+E1215)</f>
        <v>0.444444444444444</v>
      </c>
      <c r="K1215" s="3" t="n">
        <f aca="false">IF(D1215&gt;E1215,1,0)</f>
        <v>0</v>
      </c>
      <c r="L1215" s="3" t="n">
        <f aca="false">IF(OR(F1215="Y",G1215="Y",H1215="Y"),1,0)</f>
        <v>0</v>
      </c>
      <c r="M1215" s="3" t="n">
        <f aca="false">IF(H1215="Y",1,0)</f>
        <v>0</v>
      </c>
      <c r="N1215" s="3" t="n">
        <f aca="false">IF(I1215="Y",1,0)</f>
        <v>0</v>
      </c>
    </row>
    <row r="1216" customFormat="false" ht="15" hidden="false" customHeight="true" outlineLevel="0" collapsed="false">
      <c r="A1216" s="7" t="s">
        <v>83</v>
      </c>
      <c r="B1216" s="7" t="n">
        <v>2012</v>
      </c>
      <c r="C1216" s="7" t="s">
        <v>387</v>
      </c>
      <c r="D1216" s="7" t="n">
        <v>69</v>
      </c>
      <c r="E1216" s="7" t="n">
        <v>93</v>
      </c>
      <c r="F1216" s="7" t="s">
        <v>546</v>
      </c>
      <c r="G1216" s="7" t="s">
        <v>546</v>
      </c>
      <c r="H1216" s="7" t="s">
        <v>546</v>
      </c>
      <c r="I1216" s="7" t="s">
        <v>546</v>
      </c>
      <c r="J1216" s="21" t="n">
        <f aca="false">D1216/(D1216+E1216)</f>
        <v>0.425925925925926</v>
      </c>
      <c r="K1216" s="3" t="n">
        <f aca="false">IF(D1216&gt;E1216,1,0)</f>
        <v>0</v>
      </c>
      <c r="L1216" s="3" t="n">
        <f aca="false">IF(OR(F1216="Y",G1216="Y",H1216="Y"),1,0)</f>
        <v>0</v>
      </c>
      <c r="M1216" s="3" t="n">
        <f aca="false">IF(H1216="Y",1,0)</f>
        <v>0</v>
      </c>
      <c r="N1216" s="3" t="n">
        <f aca="false">IF(I1216="Y",1,0)</f>
        <v>0</v>
      </c>
    </row>
    <row r="1217" customFormat="false" ht="15" hidden="false" customHeight="true" outlineLevel="0" collapsed="false">
      <c r="A1217" s="7" t="s">
        <v>83</v>
      </c>
      <c r="B1217" s="7" t="n">
        <v>2013</v>
      </c>
      <c r="C1217" s="7" t="s">
        <v>387</v>
      </c>
      <c r="D1217" s="7" t="n">
        <v>62</v>
      </c>
      <c r="E1217" s="7" t="n">
        <v>100</v>
      </c>
      <c r="F1217" s="7" t="s">
        <v>546</v>
      </c>
      <c r="G1217" s="7" t="s">
        <v>546</v>
      </c>
      <c r="H1217" s="7" t="s">
        <v>546</v>
      </c>
      <c r="I1217" s="7" t="s">
        <v>546</v>
      </c>
      <c r="J1217" s="21" t="n">
        <f aca="false">D1217/(D1217+E1217)</f>
        <v>0.382716049382716</v>
      </c>
      <c r="K1217" s="3" t="n">
        <f aca="false">IF(D1217&gt;E1217,1,0)</f>
        <v>0</v>
      </c>
      <c r="L1217" s="3" t="n">
        <f aca="false">IF(OR(F1217="Y",G1217="Y",H1217="Y"),1,0)</f>
        <v>0</v>
      </c>
      <c r="M1217" s="3" t="n">
        <f aca="false">IF(H1217="Y",1,0)</f>
        <v>0</v>
      </c>
      <c r="N1217" s="3" t="n">
        <f aca="false">IF(I1217="Y",1,0)</f>
        <v>0</v>
      </c>
    </row>
    <row r="1218" customFormat="false" ht="15" hidden="false" customHeight="true" outlineLevel="0" collapsed="false">
      <c r="A1218" s="7" t="s">
        <v>83</v>
      </c>
      <c r="B1218" s="7" t="n">
        <v>2014</v>
      </c>
      <c r="C1218" s="7" t="s">
        <v>387</v>
      </c>
      <c r="D1218" s="7" t="n">
        <v>77</v>
      </c>
      <c r="E1218" s="7" t="n">
        <v>85</v>
      </c>
      <c r="F1218" s="7" t="s">
        <v>546</v>
      </c>
      <c r="G1218" s="7" t="s">
        <v>546</v>
      </c>
      <c r="H1218" s="7" t="s">
        <v>546</v>
      </c>
      <c r="I1218" s="7" t="s">
        <v>546</v>
      </c>
      <c r="J1218" s="21" t="n">
        <f aca="false">D1218/(D1218+E1218)</f>
        <v>0.475308641975309</v>
      </c>
      <c r="K1218" s="3" t="n">
        <f aca="false">IF(D1218&gt;E1218,1,0)</f>
        <v>0</v>
      </c>
      <c r="L1218" s="3" t="n">
        <f aca="false">IF(OR(F1218="Y",G1218="Y",H1218="Y"),1,0)</f>
        <v>0</v>
      </c>
      <c r="M1218" s="3" t="n">
        <f aca="false">IF(H1218="Y",1,0)</f>
        <v>0</v>
      </c>
      <c r="N1218" s="3" t="n">
        <f aca="false">IF(I1218="Y",1,0)</f>
        <v>0</v>
      </c>
    </row>
    <row r="1219" customFormat="false" ht="15" hidden="false" customHeight="true" outlineLevel="0" collapsed="false">
      <c r="A1219" s="7" t="s">
        <v>83</v>
      </c>
      <c r="B1219" s="7" t="n">
        <v>2015</v>
      </c>
      <c r="C1219" s="7" t="s">
        <v>387</v>
      </c>
      <c r="D1219" s="7" t="n">
        <v>71</v>
      </c>
      <c r="E1219" s="7" t="n">
        <v>91</v>
      </c>
      <c r="F1219" s="7" t="s">
        <v>546</v>
      </c>
      <c r="G1219" s="7" t="s">
        <v>546</v>
      </c>
      <c r="H1219" s="7" t="s">
        <v>546</v>
      </c>
      <c r="I1219" s="7" t="s">
        <v>546</v>
      </c>
      <c r="J1219" s="21" t="n">
        <f aca="false">D1219/(D1219+E1219)</f>
        <v>0.438271604938272</v>
      </c>
      <c r="K1219" s="3" t="n">
        <f aca="false">IF(D1219&gt;E1219,1,0)</f>
        <v>0</v>
      </c>
      <c r="L1219" s="3" t="n">
        <f aca="false">IF(OR(F1219="Y",G1219="Y",H1219="Y"),1,0)</f>
        <v>0</v>
      </c>
      <c r="M1219" s="3" t="n">
        <f aca="false">IF(H1219="Y",1,0)</f>
        <v>0</v>
      </c>
      <c r="N1219" s="3" t="n">
        <f aca="false">IF(I1219="Y",1,0)</f>
        <v>0</v>
      </c>
    </row>
    <row r="1220" customFormat="false" ht="15" hidden="false" customHeight="true" outlineLevel="0" collapsed="false">
      <c r="A1220" s="7" t="s">
        <v>83</v>
      </c>
      <c r="B1220" s="7" t="n">
        <v>2016</v>
      </c>
      <c r="C1220" s="7" t="s">
        <v>387</v>
      </c>
      <c r="D1220" s="7" t="n">
        <v>79</v>
      </c>
      <c r="E1220" s="7" t="n">
        <v>82</v>
      </c>
      <c r="F1220" s="7" t="s">
        <v>546</v>
      </c>
      <c r="G1220" s="7" t="s">
        <v>546</v>
      </c>
      <c r="H1220" s="7" t="s">
        <v>546</v>
      </c>
      <c r="I1220" s="7" t="s">
        <v>546</v>
      </c>
      <c r="J1220" s="21" t="n">
        <f aca="false">D1220/(D1220+E1220)</f>
        <v>0.490683229813665</v>
      </c>
      <c r="K1220" s="3" t="n">
        <f aca="false">IF(D1220&gt;E1220,1,0)</f>
        <v>0</v>
      </c>
      <c r="L1220" s="3" t="n">
        <f aca="false">IF(OR(F1220="Y",G1220="Y",H1220="Y"),1,0)</f>
        <v>0</v>
      </c>
      <c r="M1220" s="3" t="n">
        <f aca="false">IF(H1220="Y",1,0)</f>
        <v>0</v>
      </c>
      <c r="N1220" s="3" t="n">
        <f aca="false">IF(I1220="Y",1,0)</f>
        <v>0</v>
      </c>
    </row>
    <row r="1221" customFormat="false" ht="15" hidden="false" customHeight="true" outlineLevel="0" collapsed="false">
      <c r="A1221" s="7" t="s">
        <v>83</v>
      </c>
      <c r="B1221" s="7" t="n">
        <v>2017</v>
      </c>
      <c r="C1221" s="7" t="s">
        <v>387</v>
      </c>
      <c r="D1221" s="7" t="n">
        <v>77</v>
      </c>
      <c r="E1221" s="7" t="n">
        <v>85</v>
      </c>
      <c r="F1221" s="7" t="s">
        <v>546</v>
      </c>
      <c r="G1221" s="7" t="s">
        <v>546</v>
      </c>
      <c r="H1221" s="7" t="s">
        <v>546</v>
      </c>
      <c r="I1221" s="7" t="s">
        <v>546</v>
      </c>
      <c r="J1221" s="21" t="n">
        <f aca="false">D1221/(D1221+E1221)</f>
        <v>0.475308641975309</v>
      </c>
      <c r="K1221" s="3" t="n">
        <f aca="false">IF(D1221&gt;E1221,1,0)</f>
        <v>0</v>
      </c>
      <c r="L1221" s="3" t="n">
        <f aca="false">IF(OR(F1221="Y",G1221="Y",H1221="Y"),1,0)</f>
        <v>0</v>
      </c>
      <c r="M1221" s="3" t="n">
        <f aca="false">IF(H1221="Y",1,0)</f>
        <v>0</v>
      </c>
      <c r="N1221" s="3" t="n">
        <f aca="false">IF(I1221="Y",1,0)</f>
        <v>0</v>
      </c>
    </row>
    <row r="1222" customFormat="false" ht="15" hidden="false" customHeight="true" outlineLevel="0" collapsed="false">
      <c r="A1222" s="7" t="s">
        <v>83</v>
      </c>
      <c r="B1222" s="7" t="n">
        <v>2018</v>
      </c>
      <c r="C1222" s="7" t="s">
        <v>387</v>
      </c>
      <c r="D1222" s="7" t="n">
        <v>63</v>
      </c>
      <c r="E1222" s="7" t="n">
        <v>98</v>
      </c>
      <c r="F1222" s="7" t="s">
        <v>546</v>
      </c>
      <c r="G1222" s="7" t="s">
        <v>546</v>
      </c>
      <c r="H1222" s="7" t="s">
        <v>546</v>
      </c>
      <c r="I1222" s="7" t="s">
        <v>546</v>
      </c>
      <c r="J1222" s="21" t="n">
        <f aca="false">D1222/(D1222+E1222)</f>
        <v>0.391304347826087</v>
      </c>
      <c r="K1222" s="3" t="n">
        <f aca="false">IF(D1222&gt;E1222,1,0)</f>
        <v>0</v>
      </c>
      <c r="L1222" s="3" t="n">
        <f aca="false">IF(OR(F1222="Y",G1222="Y",H1222="Y"),1,0)</f>
        <v>0</v>
      </c>
      <c r="M1222" s="3" t="n">
        <f aca="false">IF(H1222="Y",1,0)</f>
        <v>0</v>
      </c>
      <c r="N1222" s="3" t="n">
        <f aca="false">IF(I1222="Y",1,0)</f>
        <v>0</v>
      </c>
    </row>
    <row r="1223" customFormat="false" ht="15" hidden="false" customHeight="true" outlineLevel="0" collapsed="false">
      <c r="A1223" s="7" t="s">
        <v>83</v>
      </c>
      <c r="B1223" s="7" t="n">
        <v>2019</v>
      </c>
      <c r="C1223" s="7" t="s">
        <v>387</v>
      </c>
      <c r="D1223" s="7" t="n">
        <v>57</v>
      </c>
      <c r="E1223" s="7" t="n">
        <v>105</v>
      </c>
      <c r="F1223" s="7" t="s">
        <v>546</v>
      </c>
      <c r="G1223" s="7" t="s">
        <v>546</v>
      </c>
      <c r="H1223" s="7" t="s">
        <v>546</v>
      </c>
      <c r="I1223" s="7" t="s">
        <v>546</v>
      </c>
      <c r="J1223" s="21" t="n">
        <f aca="false">D1223/(D1223+E1223)</f>
        <v>0.351851851851852</v>
      </c>
      <c r="K1223" s="3" t="n">
        <f aca="false">IF(D1223&gt;E1223,1,0)</f>
        <v>0</v>
      </c>
      <c r="L1223" s="3" t="n">
        <f aca="false">IF(OR(F1223="Y",G1223="Y",H1223="Y"),1,0)</f>
        <v>0</v>
      </c>
      <c r="M1223" s="3" t="n">
        <f aca="false">IF(H1223="Y",1,0)</f>
        <v>0</v>
      </c>
      <c r="N1223" s="3" t="n">
        <f aca="false">IF(I1223="Y",1,0)</f>
        <v>0</v>
      </c>
    </row>
    <row r="1224" customFormat="false" ht="15" hidden="false" customHeight="true" outlineLevel="0" collapsed="false">
      <c r="A1224" s="7" t="s">
        <v>83</v>
      </c>
      <c r="B1224" s="7" t="n">
        <v>2020</v>
      </c>
      <c r="C1224" s="7" t="s">
        <v>387</v>
      </c>
      <c r="D1224" s="7" t="n">
        <v>31</v>
      </c>
      <c r="E1224" s="7" t="n">
        <v>29</v>
      </c>
      <c r="F1224" s="7" t="s">
        <v>546</v>
      </c>
      <c r="G1224" s="7" t="s">
        <v>548</v>
      </c>
      <c r="H1224" s="7" t="s">
        <v>546</v>
      </c>
      <c r="I1224" s="7" t="s">
        <v>546</v>
      </c>
      <c r="J1224" s="21" t="n">
        <f aca="false">D1224/(D1224+E1224)</f>
        <v>0.516666666666667</v>
      </c>
      <c r="K1224" s="3" t="n">
        <f aca="false">IF(D1224&gt;E1224,1,0)</f>
        <v>1</v>
      </c>
      <c r="L1224" s="3" t="n">
        <f aca="false">IF(OR(F1224="Y",G1224="Y",H1224="Y"),1,0)</f>
        <v>1</v>
      </c>
      <c r="M1224" s="3" t="n">
        <f aca="false">IF(H1224="Y",1,0)</f>
        <v>0</v>
      </c>
      <c r="N1224" s="3" t="n">
        <f aca="false">IF(I1224="Y",1,0)</f>
        <v>0</v>
      </c>
    </row>
    <row r="1225" customFormat="false" ht="15" hidden="false" customHeight="true" outlineLevel="0" collapsed="false">
      <c r="A1225" s="7" t="s">
        <v>83</v>
      </c>
      <c r="B1225" s="7" t="n">
        <v>2021</v>
      </c>
      <c r="C1225" s="7" t="s">
        <v>387</v>
      </c>
      <c r="D1225" s="7" t="n">
        <v>67</v>
      </c>
      <c r="E1225" s="7" t="n">
        <v>95</v>
      </c>
      <c r="F1225" s="7" t="s">
        <v>546</v>
      </c>
      <c r="G1225" s="7" t="s">
        <v>546</v>
      </c>
      <c r="H1225" s="7" t="s">
        <v>546</v>
      </c>
      <c r="I1225" s="7" t="s">
        <v>546</v>
      </c>
      <c r="J1225" s="21" t="n">
        <f aca="false">D1225/(D1225+E1225)</f>
        <v>0.41358024691358</v>
      </c>
      <c r="K1225" s="3" t="n">
        <f aca="false">IF(D1225&gt;E1225,1,0)</f>
        <v>0</v>
      </c>
      <c r="L1225" s="3" t="n">
        <f aca="false">IF(OR(F1225="Y",G1225="Y",H1225="Y"),1,0)</f>
        <v>0</v>
      </c>
      <c r="M1225" s="3" t="n">
        <f aca="false">IF(H1225="Y",1,0)</f>
        <v>0</v>
      </c>
      <c r="N1225" s="3" t="n">
        <f aca="false">IF(I1225="Y",1,0)</f>
        <v>0</v>
      </c>
    </row>
    <row r="1226" customFormat="false" ht="15" hidden="false" customHeight="true" outlineLevel="0" collapsed="false">
      <c r="A1226" s="7" t="s">
        <v>83</v>
      </c>
      <c r="B1226" s="7" t="n">
        <v>2022</v>
      </c>
      <c r="C1226" s="7" t="s">
        <v>387</v>
      </c>
      <c r="D1226" s="7" t="n">
        <v>69</v>
      </c>
      <c r="E1226" s="7" t="n">
        <v>93</v>
      </c>
      <c r="F1226" s="7" t="s">
        <v>546</v>
      </c>
      <c r="G1226" s="7" t="s">
        <v>546</v>
      </c>
      <c r="H1226" s="7" t="s">
        <v>546</v>
      </c>
      <c r="I1226" s="7" t="s">
        <v>546</v>
      </c>
      <c r="J1226" s="21" t="n">
        <f aca="false">D1226/(D1226+E1226)</f>
        <v>0.425925925925926</v>
      </c>
      <c r="K1226" s="3" t="n">
        <f aca="false">IF(D1226&gt;E1226,1,0)</f>
        <v>0</v>
      </c>
      <c r="L1226" s="3" t="n">
        <f aca="false">IF(OR(F1226="Y",G1226="Y",H1226="Y"),1,0)</f>
        <v>0</v>
      </c>
      <c r="M1226" s="3" t="n">
        <f aca="false">IF(H1226="Y",1,0)</f>
        <v>0</v>
      </c>
      <c r="N1226" s="3" t="n">
        <f aca="false">IF(I1226="Y",1,0)</f>
        <v>0</v>
      </c>
    </row>
    <row r="1227" customFormat="false" ht="15" hidden="false" customHeight="true" outlineLevel="0" collapsed="false">
      <c r="A1227" s="7" t="s">
        <v>83</v>
      </c>
      <c r="B1227" s="7" t="n">
        <v>2023</v>
      </c>
      <c r="C1227" s="7" t="s">
        <v>387</v>
      </c>
      <c r="D1227" s="7" t="n">
        <v>84</v>
      </c>
      <c r="E1227" s="7" t="n">
        <v>78</v>
      </c>
      <c r="F1227" s="7" t="s">
        <v>546</v>
      </c>
      <c r="G1227" s="7" t="s">
        <v>548</v>
      </c>
      <c r="H1227" s="7" t="s">
        <v>546</v>
      </c>
      <c r="I1227" s="7" t="s">
        <v>546</v>
      </c>
      <c r="J1227" s="21" t="n">
        <f aca="false">D1227/(D1227+E1227)</f>
        <v>0.518518518518519</v>
      </c>
      <c r="K1227" s="3" t="n">
        <f aca="false">IF(D1227&gt;E1227,1,0)</f>
        <v>1</v>
      </c>
      <c r="L1227" s="3" t="n">
        <f aca="false">IF(OR(F1227="Y",G1227="Y",H1227="Y"),1,0)</f>
        <v>1</v>
      </c>
      <c r="M1227" s="3" t="n">
        <f aca="false">IF(H1227="Y",1,0)</f>
        <v>0</v>
      </c>
      <c r="N1227" s="3" t="n">
        <f aca="false">IF(I1227="Y",1,0)</f>
        <v>0</v>
      </c>
    </row>
    <row r="1228" customFormat="false" ht="15" hidden="false" customHeight="true" outlineLevel="0" collapsed="false">
      <c r="A1228" s="7" t="s">
        <v>83</v>
      </c>
      <c r="B1228" s="7" t="n">
        <v>2024</v>
      </c>
      <c r="C1228" s="7" t="s">
        <v>387</v>
      </c>
      <c r="D1228" s="7" t="n">
        <v>62</v>
      </c>
      <c r="E1228" s="7" t="n">
        <v>100</v>
      </c>
      <c r="F1228" s="7" t="s">
        <v>546</v>
      </c>
      <c r="G1228" s="7" t="s">
        <v>546</v>
      </c>
      <c r="H1228" s="7" t="s">
        <v>546</v>
      </c>
      <c r="I1228" s="7" t="s">
        <v>546</v>
      </c>
      <c r="J1228" s="21" t="n">
        <f aca="false">D1228/(D1228+E1228)</f>
        <v>0.382716049382716</v>
      </c>
      <c r="K1228" s="3" t="n">
        <f aca="false">IF(D1228&gt;E1228,1,0)</f>
        <v>0</v>
      </c>
      <c r="L1228" s="3" t="n">
        <f aca="false">IF(OR(F1228="Y",G1228="Y",H1228="Y"),1,0)</f>
        <v>0</v>
      </c>
      <c r="M1228" s="3" t="n">
        <f aca="false">IF(H1228="Y",1,0)</f>
        <v>0</v>
      </c>
      <c r="N1228" s="3" t="n">
        <f aca="false">IF(I1228="Y",1,0)</f>
        <v>0</v>
      </c>
    </row>
    <row r="1229" customFormat="false" ht="15" hidden="false" customHeight="true" outlineLevel="0" collapsed="false">
      <c r="A1229" s="7" t="s">
        <v>83</v>
      </c>
      <c r="B1229" s="7" t="n">
        <v>2025</v>
      </c>
      <c r="C1229" s="7" t="s">
        <v>387</v>
      </c>
      <c r="D1229" s="7" t="n">
        <v>79</v>
      </c>
      <c r="E1229" s="7" t="n">
        <v>83</v>
      </c>
      <c r="F1229" s="7" t="s">
        <v>546</v>
      </c>
      <c r="G1229" s="7" t="s">
        <v>546</v>
      </c>
      <c r="H1229" s="7" t="s">
        <v>546</v>
      </c>
      <c r="I1229" s="7" t="s">
        <v>546</v>
      </c>
      <c r="J1229" s="21" t="n">
        <f aca="false">D1229/(D1229+E1229)</f>
        <v>0.487654320987654</v>
      </c>
      <c r="K1229" s="3" t="n">
        <f aca="false">IF(D1229&gt;E1229,1,0)</f>
        <v>0</v>
      </c>
      <c r="L1229" s="3" t="n">
        <f aca="false">IF(OR(F1229="Y",G1229="Y",H1229="Y"),1,0)</f>
        <v>0</v>
      </c>
      <c r="M1229" s="3" t="n">
        <f aca="false">IF(H1229="Y",1,0)</f>
        <v>0</v>
      </c>
      <c r="N1229" s="3" t="n">
        <f aca="false">IF(I1229="Y",1,0)</f>
        <v>0</v>
      </c>
    </row>
    <row r="1230" customFormat="false" ht="15" hidden="false" customHeight="true" outlineLevel="0" collapsed="false">
      <c r="A1230" s="7" t="s">
        <v>74</v>
      </c>
      <c r="B1230" s="7" t="n">
        <v>1962</v>
      </c>
      <c r="C1230" s="7" t="s">
        <v>569</v>
      </c>
      <c r="D1230" s="7" t="n">
        <v>64</v>
      </c>
      <c r="E1230" s="7" t="n">
        <v>96</v>
      </c>
      <c r="F1230" s="7"/>
      <c r="G1230" s="7"/>
      <c r="H1230" s="7" t="s">
        <v>546</v>
      </c>
      <c r="I1230" s="7" t="s">
        <v>546</v>
      </c>
      <c r="J1230" s="21" t="n">
        <f aca="false">D1230/(D1230+E1230)</f>
        <v>0.4</v>
      </c>
      <c r="K1230" s="3" t="n">
        <f aca="false">IF(D1230&gt;E1230,1,0)</f>
        <v>0</v>
      </c>
      <c r="L1230" s="3" t="n">
        <f aca="false">IF(OR(F1230="Y",G1230="Y",H1230="Y"),1,0)</f>
        <v>0</v>
      </c>
      <c r="M1230" s="3" t="n">
        <f aca="false">IF(H1230="Y",1,0)</f>
        <v>0</v>
      </c>
      <c r="N1230" s="3" t="n">
        <f aca="false">IF(I1230="Y",1,0)</f>
        <v>0</v>
      </c>
    </row>
    <row r="1231" customFormat="false" ht="15" hidden="false" customHeight="true" outlineLevel="0" collapsed="false">
      <c r="A1231" s="7" t="s">
        <v>74</v>
      </c>
      <c r="B1231" s="7" t="n">
        <v>1963</v>
      </c>
      <c r="C1231" s="7" t="s">
        <v>569</v>
      </c>
      <c r="D1231" s="7" t="n">
        <v>66</v>
      </c>
      <c r="E1231" s="7" t="n">
        <v>96</v>
      </c>
      <c r="F1231" s="7"/>
      <c r="G1231" s="7"/>
      <c r="H1231" s="7" t="s">
        <v>546</v>
      </c>
      <c r="I1231" s="7" t="s">
        <v>546</v>
      </c>
      <c r="J1231" s="21" t="n">
        <f aca="false">D1231/(D1231+E1231)</f>
        <v>0.407407407407407</v>
      </c>
      <c r="K1231" s="3" t="n">
        <f aca="false">IF(D1231&gt;E1231,1,0)</f>
        <v>0</v>
      </c>
      <c r="L1231" s="3" t="n">
        <f aca="false">IF(OR(F1231="Y",G1231="Y",H1231="Y"),1,0)</f>
        <v>0</v>
      </c>
      <c r="M1231" s="3" t="n">
        <f aca="false">IF(H1231="Y",1,0)</f>
        <v>0</v>
      </c>
      <c r="N1231" s="3" t="n">
        <f aca="false">IF(I1231="Y",1,0)</f>
        <v>0</v>
      </c>
    </row>
    <row r="1232" customFormat="false" ht="15" hidden="false" customHeight="true" outlineLevel="0" collapsed="false">
      <c r="A1232" s="7" t="s">
        <v>74</v>
      </c>
      <c r="B1232" s="7" t="n">
        <v>1964</v>
      </c>
      <c r="C1232" s="7" t="s">
        <v>569</v>
      </c>
      <c r="D1232" s="7" t="n">
        <v>66</v>
      </c>
      <c r="E1232" s="7" t="n">
        <v>96</v>
      </c>
      <c r="F1232" s="7"/>
      <c r="G1232" s="7"/>
      <c r="H1232" s="7" t="s">
        <v>546</v>
      </c>
      <c r="I1232" s="7" t="s">
        <v>546</v>
      </c>
      <c r="J1232" s="21" t="n">
        <f aca="false">D1232/(D1232+E1232)</f>
        <v>0.407407407407407</v>
      </c>
      <c r="K1232" s="3" t="n">
        <f aca="false">IF(D1232&gt;E1232,1,0)</f>
        <v>0</v>
      </c>
      <c r="L1232" s="3" t="n">
        <f aca="false">IF(OR(F1232="Y",G1232="Y",H1232="Y"),1,0)</f>
        <v>0</v>
      </c>
      <c r="M1232" s="3" t="n">
        <f aca="false">IF(H1232="Y",1,0)</f>
        <v>0</v>
      </c>
      <c r="N1232" s="3" t="n">
        <f aca="false">IF(I1232="Y",1,0)</f>
        <v>0</v>
      </c>
    </row>
    <row r="1233" customFormat="false" ht="15" hidden="false" customHeight="true" outlineLevel="0" collapsed="false">
      <c r="A1233" s="7" t="s">
        <v>74</v>
      </c>
      <c r="B1233" s="7" t="n">
        <v>1965</v>
      </c>
      <c r="C1233" s="7" t="s">
        <v>375</v>
      </c>
      <c r="D1233" s="7" t="n">
        <v>65</v>
      </c>
      <c r="E1233" s="7" t="n">
        <v>97</v>
      </c>
      <c r="F1233" s="7"/>
      <c r="G1233" s="7"/>
      <c r="H1233" s="7" t="s">
        <v>546</v>
      </c>
      <c r="I1233" s="7" t="s">
        <v>546</v>
      </c>
      <c r="J1233" s="21" t="n">
        <f aca="false">D1233/(D1233+E1233)</f>
        <v>0.401234567901235</v>
      </c>
      <c r="K1233" s="3" t="n">
        <f aca="false">IF(D1233&gt;E1233,1,0)</f>
        <v>0</v>
      </c>
      <c r="L1233" s="3" t="n">
        <f aca="false">IF(OR(F1233="Y",G1233="Y",H1233="Y"),1,0)</f>
        <v>0</v>
      </c>
      <c r="M1233" s="3" t="n">
        <f aca="false">IF(H1233="Y",1,0)</f>
        <v>0</v>
      </c>
      <c r="N1233" s="3" t="n">
        <f aca="false">IF(I1233="Y",1,0)</f>
        <v>0</v>
      </c>
    </row>
    <row r="1234" customFormat="false" ht="15" hidden="false" customHeight="true" outlineLevel="0" collapsed="false">
      <c r="A1234" s="7" t="s">
        <v>74</v>
      </c>
      <c r="B1234" s="7" t="n">
        <v>1966</v>
      </c>
      <c r="C1234" s="7" t="s">
        <v>375</v>
      </c>
      <c r="D1234" s="7" t="n">
        <v>72</v>
      </c>
      <c r="E1234" s="7" t="n">
        <v>90</v>
      </c>
      <c r="F1234" s="7"/>
      <c r="G1234" s="7"/>
      <c r="H1234" s="7" t="s">
        <v>546</v>
      </c>
      <c r="I1234" s="7" t="s">
        <v>546</v>
      </c>
      <c r="J1234" s="21" t="n">
        <f aca="false">D1234/(D1234+E1234)</f>
        <v>0.444444444444444</v>
      </c>
      <c r="K1234" s="3" t="n">
        <f aca="false">IF(D1234&gt;E1234,1,0)</f>
        <v>0</v>
      </c>
      <c r="L1234" s="3" t="n">
        <f aca="false">IF(OR(F1234="Y",G1234="Y",H1234="Y"),1,0)</f>
        <v>0</v>
      </c>
      <c r="M1234" s="3" t="n">
        <f aca="false">IF(H1234="Y",1,0)</f>
        <v>0</v>
      </c>
      <c r="N1234" s="3" t="n">
        <f aca="false">IF(I1234="Y",1,0)</f>
        <v>0</v>
      </c>
    </row>
    <row r="1235" customFormat="false" ht="15" hidden="false" customHeight="true" outlineLevel="0" collapsed="false">
      <c r="A1235" s="7" t="s">
        <v>74</v>
      </c>
      <c r="B1235" s="7" t="n">
        <v>1967</v>
      </c>
      <c r="C1235" s="7" t="s">
        <v>375</v>
      </c>
      <c r="D1235" s="7" t="n">
        <v>69</v>
      </c>
      <c r="E1235" s="7" t="n">
        <v>93</v>
      </c>
      <c r="F1235" s="7"/>
      <c r="G1235" s="7"/>
      <c r="H1235" s="7" t="s">
        <v>546</v>
      </c>
      <c r="I1235" s="7" t="s">
        <v>546</v>
      </c>
      <c r="J1235" s="21" t="n">
        <f aca="false">D1235/(D1235+E1235)</f>
        <v>0.425925925925926</v>
      </c>
      <c r="K1235" s="3" t="n">
        <f aca="false">IF(D1235&gt;E1235,1,0)</f>
        <v>0</v>
      </c>
      <c r="L1235" s="3" t="n">
        <f aca="false">IF(OR(F1235="Y",G1235="Y",H1235="Y"),1,0)</f>
        <v>0</v>
      </c>
      <c r="M1235" s="3" t="n">
        <f aca="false">IF(H1235="Y",1,0)</f>
        <v>0</v>
      </c>
      <c r="N1235" s="3" t="n">
        <f aca="false">IF(I1235="Y",1,0)</f>
        <v>0</v>
      </c>
    </row>
    <row r="1236" customFormat="false" ht="15" hidden="false" customHeight="true" outlineLevel="0" collapsed="false">
      <c r="A1236" s="7" t="s">
        <v>74</v>
      </c>
      <c r="B1236" s="7" t="n">
        <v>1968</v>
      </c>
      <c r="C1236" s="7" t="s">
        <v>375</v>
      </c>
      <c r="D1236" s="7" t="n">
        <v>72</v>
      </c>
      <c r="E1236" s="7" t="n">
        <v>90</v>
      </c>
      <c r="F1236" s="7"/>
      <c r="G1236" s="7"/>
      <c r="H1236" s="7" t="s">
        <v>546</v>
      </c>
      <c r="I1236" s="7" t="s">
        <v>546</v>
      </c>
      <c r="J1236" s="21" t="n">
        <f aca="false">D1236/(D1236+E1236)</f>
        <v>0.444444444444444</v>
      </c>
      <c r="K1236" s="3" t="n">
        <f aca="false">IF(D1236&gt;E1236,1,0)</f>
        <v>0</v>
      </c>
      <c r="L1236" s="3" t="n">
        <f aca="false">IF(OR(F1236="Y",G1236="Y",H1236="Y"),1,0)</f>
        <v>0</v>
      </c>
      <c r="M1236" s="3" t="n">
        <f aca="false">IF(H1236="Y",1,0)</f>
        <v>0</v>
      </c>
      <c r="N1236" s="3" t="n">
        <f aca="false">IF(I1236="Y",1,0)</f>
        <v>0</v>
      </c>
    </row>
    <row r="1237" customFormat="false" ht="15" hidden="false" customHeight="true" outlineLevel="0" collapsed="false">
      <c r="A1237" s="7" t="s">
        <v>74</v>
      </c>
      <c r="B1237" s="7" t="n">
        <v>1969</v>
      </c>
      <c r="C1237" s="7" t="s">
        <v>375</v>
      </c>
      <c r="D1237" s="7" t="n">
        <v>81</v>
      </c>
      <c r="E1237" s="7" t="n">
        <v>81</v>
      </c>
      <c r="F1237" s="7" t="s">
        <v>546</v>
      </c>
      <c r="G1237" s="7"/>
      <c r="H1237" s="7" t="s">
        <v>546</v>
      </c>
      <c r="I1237" s="7" t="s">
        <v>546</v>
      </c>
      <c r="J1237" s="21" t="n">
        <f aca="false">D1237/(D1237+E1237)</f>
        <v>0.5</v>
      </c>
      <c r="K1237" s="3" t="n">
        <f aca="false">IF(D1237&gt;E1237,1,0)</f>
        <v>0</v>
      </c>
      <c r="L1237" s="3" t="n">
        <f aca="false">IF(OR(F1237="Y",G1237="Y",H1237="Y"),1,0)</f>
        <v>0</v>
      </c>
      <c r="M1237" s="3" t="n">
        <f aca="false">IF(H1237="Y",1,0)</f>
        <v>0</v>
      </c>
      <c r="N1237" s="3" t="n">
        <f aca="false">IF(I1237="Y",1,0)</f>
        <v>0</v>
      </c>
    </row>
    <row r="1238" customFormat="false" ht="15" hidden="false" customHeight="true" outlineLevel="0" collapsed="false">
      <c r="A1238" s="7" t="s">
        <v>74</v>
      </c>
      <c r="B1238" s="7" t="n">
        <v>1970</v>
      </c>
      <c r="C1238" s="7" t="s">
        <v>375</v>
      </c>
      <c r="D1238" s="7" t="n">
        <v>79</v>
      </c>
      <c r="E1238" s="7" t="n">
        <v>83</v>
      </c>
      <c r="F1238" s="7" t="s">
        <v>546</v>
      </c>
      <c r="G1238" s="7"/>
      <c r="H1238" s="7" t="s">
        <v>546</v>
      </c>
      <c r="I1238" s="7" t="s">
        <v>546</v>
      </c>
      <c r="J1238" s="21" t="n">
        <f aca="false">D1238/(D1238+E1238)</f>
        <v>0.487654320987654</v>
      </c>
      <c r="K1238" s="3" t="n">
        <f aca="false">IF(D1238&gt;E1238,1,0)</f>
        <v>0</v>
      </c>
      <c r="L1238" s="3" t="n">
        <f aca="false">IF(OR(F1238="Y",G1238="Y",H1238="Y"),1,0)</f>
        <v>0</v>
      </c>
      <c r="M1238" s="3" t="n">
        <f aca="false">IF(H1238="Y",1,0)</f>
        <v>0</v>
      </c>
      <c r="N1238" s="3" t="n">
        <f aca="false">IF(I1238="Y",1,0)</f>
        <v>0</v>
      </c>
    </row>
    <row r="1239" customFormat="false" ht="15" hidden="false" customHeight="true" outlineLevel="0" collapsed="false">
      <c r="A1239" s="7" t="s">
        <v>74</v>
      </c>
      <c r="B1239" s="7" t="n">
        <v>1971</v>
      </c>
      <c r="C1239" s="7" t="s">
        <v>375</v>
      </c>
      <c r="D1239" s="7" t="n">
        <v>79</v>
      </c>
      <c r="E1239" s="7" t="n">
        <v>83</v>
      </c>
      <c r="F1239" s="7" t="s">
        <v>546</v>
      </c>
      <c r="G1239" s="7"/>
      <c r="H1239" s="7" t="s">
        <v>546</v>
      </c>
      <c r="I1239" s="7" t="s">
        <v>546</v>
      </c>
      <c r="J1239" s="21" t="n">
        <f aca="false">D1239/(D1239+E1239)</f>
        <v>0.487654320987654</v>
      </c>
      <c r="K1239" s="3" t="n">
        <f aca="false">IF(D1239&gt;E1239,1,0)</f>
        <v>0</v>
      </c>
      <c r="L1239" s="3" t="n">
        <f aca="false">IF(OR(F1239="Y",G1239="Y",H1239="Y"),1,0)</f>
        <v>0</v>
      </c>
      <c r="M1239" s="3" t="n">
        <f aca="false">IF(H1239="Y",1,0)</f>
        <v>0</v>
      </c>
      <c r="N1239" s="3" t="n">
        <f aca="false">IF(I1239="Y",1,0)</f>
        <v>0</v>
      </c>
    </row>
    <row r="1240" customFormat="false" ht="15" hidden="false" customHeight="true" outlineLevel="0" collapsed="false">
      <c r="A1240" s="7" t="s">
        <v>74</v>
      </c>
      <c r="B1240" s="7" t="n">
        <v>1972</v>
      </c>
      <c r="C1240" s="7" t="s">
        <v>375</v>
      </c>
      <c r="D1240" s="7" t="n">
        <v>84</v>
      </c>
      <c r="E1240" s="7" t="n">
        <v>69</v>
      </c>
      <c r="F1240" s="7" t="s">
        <v>546</v>
      </c>
      <c r="G1240" s="7"/>
      <c r="H1240" s="7" t="s">
        <v>546</v>
      </c>
      <c r="I1240" s="7" t="s">
        <v>546</v>
      </c>
      <c r="J1240" s="21" t="n">
        <f aca="false">D1240/(D1240+E1240)</f>
        <v>0.549019607843137</v>
      </c>
      <c r="K1240" s="3" t="n">
        <f aca="false">IF(D1240&gt;E1240,1,0)</f>
        <v>1</v>
      </c>
      <c r="L1240" s="3" t="n">
        <f aca="false">IF(OR(F1240="Y",G1240="Y",H1240="Y"),1,0)</f>
        <v>0</v>
      </c>
      <c r="M1240" s="3" t="n">
        <f aca="false">IF(H1240="Y",1,0)</f>
        <v>0</v>
      </c>
      <c r="N1240" s="3" t="n">
        <f aca="false">IF(I1240="Y",1,0)</f>
        <v>0</v>
      </c>
    </row>
    <row r="1241" customFormat="false" ht="15" hidden="false" customHeight="true" outlineLevel="0" collapsed="false">
      <c r="A1241" s="7" t="s">
        <v>74</v>
      </c>
      <c r="B1241" s="7" t="n">
        <v>1973</v>
      </c>
      <c r="C1241" s="7" t="s">
        <v>375</v>
      </c>
      <c r="D1241" s="7" t="n">
        <v>82</v>
      </c>
      <c r="E1241" s="7" t="n">
        <v>80</v>
      </c>
      <c r="F1241" s="7" t="s">
        <v>546</v>
      </c>
      <c r="G1241" s="7"/>
      <c r="H1241" s="7" t="s">
        <v>546</v>
      </c>
      <c r="I1241" s="7" t="s">
        <v>546</v>
      </c>
      <c r="J1241" s="21" t="n">
        <f aca="false">D1241/(D1241+E1241)</f>
        <v>0.506172839506173</v>
      </c>
      <c r="K1241" s="3" t="n">
        <f aca="false">IF(D1241&gt;E1241,1,0)</f>
        <v>1</v>
      </c>
      <c r="L1241" s="3" t="n">
        <f aca="false">IF(OR(F1241="Y",G1241="Y",H1241="Y"),1,0)</f>
        <v>0</v>
      </c>
      <c r="M1241" s="3" t="n">
        <f aca="false">IF(H1241="Y",1,0)</f>
        <v>0</v>
      </c>
      <c r="N1241" s="3" t="n">
        <f aca="false">IF(I1241="Y",1,0)</f>
        <v>0</v>
      </c>
    </row>
    <row r="1242" customFormat="false" ht="15" hidden="false" customHeight="true" outlineLevel="0" collapsed="false">
      <c r="A1242" s="7" t="s">
        <v>74</v>
      </c>
      <c r="B1242" s="7" t="n">
        <v>1974</v>
      </c>
      <c r="C1242" s="7" t="s">
        <v>375</v>
      </c>
      <c r="D1242" s="7" t="n">
        <v>81</v>
      </c>
      <c r="E1242" s="7" t="n">
        <v>81</v>
      </c>
      <c r="F1242" s="7" t="s">
        <v>546</v>
      </c>
      <c r="G1242" s="7"/>
      <c r="H1242" s="7" t="s">
        <v>546</v>
      </c>
      <c r="I1242" s="7" t="s">
        <v>546</v>
      </c>
      <c r="J1242" s="21" t="n">
        <f aca="false">D1242/(D1242+E1242)</f>
        <v>0.5</v>
      </c>
      <c r="K1242" s="3" t="n">
        <f aca="false">IF(D1242&gt;E1242,1,0)</f>
        <v>0</v>
      </c>
      <c r="L1242" s="3" t="n">
        <f aca="false">IF(OR(F1242="Y",G1242="Y",H1242="Y"),1,0)</f>
        <v>0</v>
      </c>
      <c r="M1242" s="3" t="n">
        <f aca="false">IF(H1242="Y",1,0)</f>
        <v>0</v>
      </c>
      <c r="N1242" s="3" t="n">
        <f aca="false">IF(I1242="Y",1,0)</f>
        <v>0</v>
      </c>
    </row>
    <row r="1243" customFormat="false" ht="15" hidden="false" customHeight="true" outlineLevel="0" collapsed="false">
      <c r="A1243" s="7" t="s">
        <v>74</v>
      </c>
      <c r="B1243" s="7" t="n">
        <v>1975</v>
      </c>
      <c r="C1243" s="7" t="s">
        <v>375</v>
      </c>
      <c r="D1243" s="7" t="n">
        <v>64</v>
      </c>
      <c r="E1243" s="7" t="n">
        <v>97</v>
      </c>
      <c r="F1243" s="7" t="s">
        <v>546</v>
      </c>
      <c r="G1243" s="7"/>
      <c r="H1243" s="7" t="s">
        <v>546</v>
      </c>
      <c r="I1243" s="7" t="s">
        <v>546</v>
      </c>
      <c r="J1243" s="21" t="n">
        <f aca="false">D1243/(D1243+E1243)</f>
        <v>0.397515527950311</v>
      </c>
      <c r="K1243" s="3" t="n">
        <f aca="false">IF(D1243&gt;E1243,1,0)</f>
        <v>0</v>
      </c>
      <c r="L1243" s="3" t="n">
        <f aca="false">IF(OR(F1243="Y",G1243="Y",H1243="Y"),1,0)</f>
        <v>0</v>
      </c>
      <c r="M1243" s="3" t="n">
        <f aca="false">IF(H1243="Y",1,0)</f>
        <v>0</v>
      </c>
      <c r="N1243" s="3" t="n">
        <f aca="false">IF(I1243="Y",1,0)</f>
        <v>0</v>
      </c>
    </row>
    <row r="1244" customFormat="false" ht="15" hidden="false" customHeight="true" outlineLevel="0" collapsed="false">
      <c r="A1244" s="7" t="s">
        <v>74</v>
      </c>
      <c r="B1244" s="7" t="n">
        <v>1976</v>
      </c>
      <c r="C1244" s="7" t="s">
        <v>375</v>
      </c>
      <c r="D1244" s="7" t="n">
        <v>80</v>
      </c>
      <c r="E1244" s="7" t="n">
        <v>82</v>
      </c>
      <c r="F1244" s="7" t="s">
        <v>546</v>
      </c>
      <c r="G1244" s="7"/>
      <c r="H1244" s="7" t="s">
        <v>546</v>
      </c>
      <c r="I1244" s="7" t="s">
        <v>546</v>
      </c>
      <c r="J1244" s="21" t="n">
        <f aca="false">D1244/(D1244+E1244)</f>
        <v>0.493827160493827</v>
      </c>
      <c r="K1244" s="3" t="n">
        <f aca="false">IF(D1244&gt;E1244,1,0)</f>
        <v>0</v>
      </c>
      <c r="L1244" s="3" t="n">
        <f aca="false">IF(OR(F1244="Y",G1244="Y",H1244="Y"),1,0)</f>
        <v>0</v>
      </c>
      <c r="M1244" s="3" t="n">
        <f aca="false">IF(H1244="Y",1,0)</f>
        <v>0</v>
      </c>
      <c r="N1244" s="3" t="n">
        <f aca="false">IF(I1244="Y",1,0)</f>
        <v>0</v>
      </c>
    </row>
    <row r="1245" customFormat="false" ht="15" hidden="false" customHeight="true" outlineLevel="0" collapsed="false">
      <c r="A1245" s="7" t="s">
        <v>74</v>
      </c>
      <c r="B1245" s="7" t="n">
        <v>1977</v>
      </c>
      <c r="C1245" s="7" t="s">
        <v>375</v>
      </c>
      <c r="D1245" s="7" t="n">
        <v>81</v>
      </c>
      <c r="E1245" s="7" t="n">
        <v>81</v>
      </c>
      <c r="F1245" s="7" t="s">
        <v>546</v>
      </c>
      <c r="G1245" s="7"/>
      <c r="H1245" s="7" t="s">
        <v>546</v>
      </c>
      <c r="I1245" s="7" t="s">
        <v>546</v>
      </c>
      <c r="J1245" s="21" t="n">
        <f aca="false">D1245/(D1245+E1245)</f>
        <v>0.5</v>
      </c>
      <c r="K1245" s="3" t="n">
        <f aca="false">IF(D1245&gt;E1245,1,0)</f>
        <v>0</v>
      </c>
      <c r="L1245" s="3" t="n">
        <f aca="false">IF(OR(F1245="Y",G1245="Y",H1245="Y"),1,0)</f>
        <v>0</v>
      </c>
      <c r="M1245" s="3" t="n">
        <f aca="false">IF(H1245="Y",1,0)</f>
        <v>0</v>
      </c>
      <c r="N1245" s="3" t="n">
        <f aca="false">IF(I1245="Y",1,0)</f>
        <v>0</v>
      </c>
    </row>
    <row r="1246" customFormat="false" ht="15" hidden="false" customHeight="true" outlineLevel="0" collapsed="false">
      <c r="A1246" s="7" t="s">
        <v>74</v>
      </c>
      <c r="B1246" s="7" t="n">
        <v>1978</v>
      </c>
      <c r="C1246" s="7" t="s">
        <v>375</v>
      </c>
      <c r="D1246" s="7" t="n">
        <v>74</v>
      </c>
      <c r="E1246" s="7" t="n">
        <v>88</v>
      </c>
      <c r="F1246" s="7" t="s">
        <v>546</v>
      </c>
      <c r="G1246" s="7"/>
      <c r="H1246" s="7" t="s">
        <v>546</v>
      </c>
      <c r="I1246" s="7" t="s">
        <v>546</v>
      </c>
      <c r="J1246" s="21" t="n">
        <f aca="false">D1246/(D1246+E1246)</f>
        <v>0.45679012345679</v>
      </c>
      <c r="K1246" s="3" t="n">
        <f aca="false">IF(D1246&gt;E1246,1,0)</f>
        <v>0</v>
      </c>
      <c r="L1246" s="3" t="n">
        <f aca="false">IF(OR(F1246="Y",G1246="Y",H1246="Y"),1,0)</f>
        <v>0</v>
      </c>
      <c r="M1246" s="3" t="n">
        <f aca="false">IF(H1246="Y",1,0)</f>
        <v>0</v>
      </c>
      <c r="N1246" s="3" t="n">
        <f aca="false">IF(I1246="Y",1,0)</f>
        <v>0</v>
      </c>
    </row>
    <row r="1247" customFormat="false" ht="15" hidden="false" customHeight="true" outlineLevel="0" collapsed="false">
      <c r="A1247" s="7" t="s">
        <v>74</v>
      </c>
      <c r="B1247" s="7" t="n">
        <v>1979</v>
      </c>
      <c r="C1247" s="7" t="s">
        <v>375</v>
      </c>
      <c r="D1247" s="7" t="n">
        <v>89</v>
      </c>
      <c r="E1247" s="7" t="n">
        <v>73</v>
      </c>
      <c r="F1247" s="7" t="s">
        <v>546</v>
      </c>
      <c r="G1247" s="7"/>
      <c r="H1247" s="7" t="s">
        <v>546</v>
      </c>
      <c r="I1247" s="7" t="s">
        <v>546</v>
      </c>
      <c r="J1247" s="21" t="n">
        <f aca="false">D1247/(D1247+E1247)</f>
        <v>0.549382716049383</v>
      </c>
      <c r="K1247" s="3" t="n">
        <f aca="false">IF(D1247&gt;E1247,1,0)</f>
        <v>1</v>
      </c>
      <c r="L1247" s="3" t="n">
        <f aca="false">IF(OR(F1247="Y",G1247="Y",H1247="Y"),1,0)</f>
        <v>0</v>
      </c>
      <c r="M1247" s="3" t="n">
        <f aca="false">IF(H1247="Y",1,0)</f>
        <v>0</v>
      </c>
      <c r="N1247" s="3" t="n">
        <f aca="false">IF(I1247="Y",1,0)</f>
        <v>0</v>
      </c>
    </row>
    <row r="1248" customFormat="false" ht="15" hidden="false" customHeight="true" outlineLevel="0" collapsed="false">
      <c r="A1248" s="7" t="s">
        <v>74</v>
      </c>
      <c r="B1248" s="7" t="n">
        <v>1980</v>
      </c>
      <c r="C1248" s="7" t="s">
        <v>375</v>
      </c>
      <c r="D1248" s="7" t="n">
        <v>93</v>
      </c>
      <c r="E1248" s="7" t="n">
        <v>70</v>
      </c>
      <c r="F1248" s="7" t="s">
        <v>548</v>
      </c>
      <c r="G1248" s="7"/>
      <c r="H1248" s="7" t="s">
        <v>546</v>
      </c>
      <c r="I1248" s="7" t="s">
        <v>546</v>
      </c>
      <c r="J1248" s="21" t="n">
        <f aca="false">D1248/(D1248+E1248)</f>
        <v>0.570552147239264</v>
      </c>
      <c r="K1248" s="3" t="n">
        <f aca="false">IF(D1248&gt;E1248,1,0)</f>
        <v>1</v>
      </c>
      <c r="L1248" s="3" t="n">
        <f aca="false">IF(OR(F1248="Y",G1248="Y",H1248="Y"),1,0)</f>
        <v>1</v>
      </c>
      <c r="M1248" s="3" t="n">
        <f aca="false">IF(H1248="Y",1,0)</f>
        <v>0</v>
      </c>
      <c r="N1248" s="3" t="n">
        <f aca="false">IF(I1248="Y",1,0)</f>
        <v>0</v>
      </c>
    </row>
    <row r="1249" customFormat="false" ht="15" hidden="false" customHeight="true" outlineLevel="0" collapsed="false">
      <c r="A1249" s="7" t="s">
        <v>74</v>
      </c>
      <c r="B1249" s="7" t="n">
        <v>1981</v>
      </c>
      <c r="C1249" s="7" t="s">
        <v>375</v>
      </c>
      <c r="D1249" s="7" t="n">
        <v>61</v>
      </c>
      <c r="E1249" s="7" t="n">
        <v>49</v>
      </c>
      <c r="F1249" s="7" t="s">
        <v>548</v>
      </c>
      <c r="G1249" s="7"/>
      <c r="H1249" s="7" t="s">
        <v>546</v>
      </c>
      <c r="I1249" s="7" t="s">
        <v>546</v>
      </c>
      <c r="J1249" s="21" t="n">
        <f aca="false">D1249/(D1249+E1249)</f>
        <v>0.554545454545455</v>
      </c>
      <c r="K1249" s="3" t="n">
        <f aca="false">IF(D1249&gt;E1249,1,0)</f>
        <v>1</v>
      </c>
      <c r="L1249" s="3" t="n">
        <f aca="false">IF(OR(F1249="Y",G1249="Y",H1249="Y"),1,0)</f>
        <v>1</v>
      </c>
      <c r="M1249" s="3" t="n">
        <f aca="false">IF(H1249="Y",1,0)</f>
        <v>0</v>
      </c>
      <c r="N1249" s="3" t="n">
        <f aca="false">IF(I1249="Y",1,0)</f>
        <v>0</v>
      </c>
    </row>
    <row r="1250" customFormat="false" ht="15" hidden="false" customHeight="true" outlineLevel="0" collapsed="false">
      <c r="A1250" s="7" t="s">
        <v>74</v>
      </c>
      <c r="B1250" s="7" t="n">
        <v>1982</v>
      </c>
      <c r="C1250" s="7" t="s">
        <v>375</v>
      </c>
      <c r="D1250" s="7" t="n">
        <v>77</v>
      </c>
      <c r="E1250" s="7" t="n">
        <v>85</v>
      </c>
      <c r="F1250" s="7" t="s">
        <v>546</v>
      </c>
      <c r="G1250" s="7"/>
      <c r="H1250" s="7" t="s">
        <v>546</v>
      </c>
      <c r="I1250" s="7" t="s">
        <v>546</v>
      </c>
      <c r="J1250" s="21" t="n">
        <f aca="false">D1250/(D1250+E1250)</f>
        <v>0.475308641975309</v>
      </c>
      <c r="K1250" s="3" t="n">
        <f aca="false">IF(D1250&gt;E1250,1,0)</f>
        <v>0</v>
      </c>
      <c r="L1250" s="3" t="n">
        <f aca="false">IF(OR(F1250="Y",G1250="Y",H1250="Y"),1,0)</f>
        <v>0</v>
      </c>
      <c r="M1250" s="3" t="n">
        <f aca="false">IF(H1250="Y",1,0)</f>
        <v>0</v>
      </c>
      <c r="N1250" s="3" t="n">
        <f aca="false">IF(I1250="Y",1,0)</f>
        <v>0</v>
      </c>
    </row>
    <row r="1251" customFormat="false" ht="15" hidden="false" customHeight="true" outlineLevel="0" collapsed="false">
      <c r="A1251" s="7" t="s">
        <v>74</v>
      </c>
      <c r="B1251" s="7" t="n">
        <v>1983</v>
      </c>
      <c r="C1251" s="7" t="s">
        <v>375</v>
      </c>
      <c r="D1251" s="7" t="n">
        <v>85</v>
      </c>
      <c r="E1251" s="7" t="n">
        <v>77</v>
      </c>
      <c r="F1251" s="7" t="s">
        <v>546</v>
      </c>
      <c r="G1251" s="7"/>
      <c r="H1251" s="7" t="s">
        <v>546</v>
      </c>
      <c r="I1251" s="7" t="s">
        <v>546</v>
      </c>
      <c r="J1251" s="21" t="n">
        <f aca="false">D1251/(D1251+E1251)</f>
        <v>0.524691358024691</v>
      </c>
      <c r="K1251" s="3" t="n">
        <f aca="false">IF(D1251&gt;E1251,1,0)</f>
        <v>1</v>
      </c>
      <c r="L1251" s="3" t="n">
        <f aca="false">IF(OR(F1251="Y",G1251="Y",H1251="Y"),1,0)</f>
        <v>0</v>
      </c>
      <c r="M1251" s="3" t="n">
        <f aca="false">IF(H1251="Y",1,0)</f>
        <v>0</v>
      </c>
      <c r="N1251" s="3" t="n">
        <f aca="false">IF(I1251="Y",1,0)</f>
        <v>0</v>
      </c>
    </row>
    <row r="1252" customFormat="false" ht="15" hidden="false" customHeight="true" outlineLevel="0" collapsed="false">
      <c r="A1252" s="7" t="s">
        <v>74</v>
      </c>
      <c r="B1252" s="7" t="n">
        <v>1984</v>
      </c>
      <c r="C1252" s="7" t="s">
        <v>375</v>
      </c>
      <c r="D1252" s="7" t="n">
        <v>80</v>
      </c>
      <c r="E1252" s="7" t="n">
        <v>82</v>
      </c>
      <c r="F1252" s="7" t="s">
        <v>546</v>
      </c>
      <c r="G1252" s="7"/>
      <c r="H1252" s="7" t="s">
        <v>546</v>
      </c>
      <c r="I1252" s="7" t="s">
        <v>546</v>
      </c>
      <c r="J1252" s="21" t="n">
        <f aca="false">D1252/(D1252+E1252)</f>
        <v>0.493827160493827</v>
      </c>
      <c r="K1252" s="3" t="n">
        <f aca="false">IF(D1252&gt;E1252,1,0)</f>
        <v>0</v>
      </c>
      <c r="L1252" s="3" t="n">
        <f aca="false">IF(OR(F1252="Y",G1252="Y",H1252="Y"),1,0)</f>
        <v>0</v>
      </c>
      <c r="M1252" s="3" t="n">
        <f aca="false">IF(H1252="Y",1,0)</f>
        <v>0</v>
      </c>
      <c r="N1252" s="3" t="n">
        <f aca="false">IF(I1252="Y",1,0)</f>
        <v>0</v>
      </c>
    </row>
    <row r="1253" customFormat="false" ht="15" hidden="false" customHeight="true" outlineLevel="0" collapsed="false">
      <c r="A1253" s="7" t="s">
        <v>74</v>
      </c>
      <c r="B1253" s="7" t="n">
        <v>1985</v>
      </c>
      <c r="C1253" s="7" t="s">
        <v>375</v>
      </c>
      <c r="D1253" s="7" t="n">
        <v>83</v>
      </c>
      <c r="E1253" s="7" t="n">
        <v>79</v>
      </c>
      <c r="F1253" s="7" t="s">
        <v>546</v>
      </c>
      <c r="G1253" s="7"/>
      <c r="H1253" s="7" t="s">
        <v>546</v>
      </c>
      <c r="I1253" s="7" t="s">
        <v>546</v>
      </c>
      <c r="J1253" s="21" t="n">
        <f aca="false">D1253/(D1253+E1253)</f>
        <v>0.512345679012346</v>
      </c>
      <c r="K1253" s="3" t="n">
        <f aca="false">IF(D1253&gt;E1253,1,0)</f>
        <v>1</v>
      </c>
      <c r="L1253" s="3" t="n">
        <f aca="false">IF(OR(F1253="Y",G1253="Y",H1253="Y"),1,0)</f>
        <v>0</v>
      </c>
      <c r="M1253" s="3" t="n">
        <f aca="false">IF(H1253="Y",1,0)</f>
        <v>0</v>
      </c>
      <c r="N1253" s="3" t="n">
        <f aca="false">IF(I1253="Y",1,0)</f>
        <v>0</v>
      </c>
    </row>
    <row r="1254" customFormat="false" ht="15" hidden="false" customHeight="true" outlineLevel="0" collapsed="false">
      <c r="A1254" s="7" t="s">
        <v>74</v>
      </c>
      <c r="B1254" s="7" t="n">
        <v>1986</v>
      </c>
      <c r="C1254" s="7" t="s">
        <v>375</v>
      </c>
      <c r="D1254" s="7" t="n">
        <v>96</v>
      </c>
      <c r="E1254" s="7" t="n">
        <v>66</v>
      </c>
      <c r="F1254" s="7" t="s">
        <v>548</v>
      </c>
      <c r="G1254" s="7"/>
      <c r="H1254" s="7" t="s">
        <v>546</v>
      </c>
      <c r="I1254" s="7" t="s">
        <v>546</v>
      </c>
      <c r="J1254" s="21" t="n">
        <f aca="false">D1254/(D1254+E1254)</f>
        <v>0.592592592592593</v>
      </c>
      <c r="K1254" s="3" t="n">
        <f aca="false">IF(D1254&gt;E1254,1,0)</f>
        <v>1</v>
      </c>
      <c r="L1254" s="3" t="n">
        <f aca="false">IF(OR(F1254="Y",G1254="Y",H1254="Y"),1,0)</f>
        <v>1</v>
      </c>
      <c r="M1254" s="3" t="n">
        <f aca="false">IF(H1254="Y",1,0)</f>
        <v>0</v>
      </c>
      <c r="N1254" s="3" t="n">
        <f aca="false">IF(I1254="Y",1,0)</f>
        <v>0</v>
      </c>
    </row>
    <row r="1255" customFormat="false" ht="15" hidden="false" customHeight="true" outlineLevel="0" collapsed="false">
      <c r="A1255" s="7" t="s">
        <v>74</v>
      </c>
      <c r="B1255" s="7" t="n">
        <v>1987</v>
      </c>
      <c r="C1255" s="7" t="s">
        <v>375</v>
      </c>
      <c r="D1255" s="7" t="n">
        <v>76</v>
      </c>
      <c r="E1255" s="7" t="n">
        <v>86</v>
      </c>
      <c r="F1255" s="7" t="s">
        <v>546</v>
      </c>
      <c r="G1255" s="7"/>
      <c r="H1255" s="7" t="s">
        <v>546</v>
      </c>
      <c r="I1255" s="7" t="s">
        <v>546</v>
      </c>
      <c r="J1255" s="21" t="n">
        <f aca="false">D1255/(D1255+E1255)</f>
        <v>0.469135802469136</v>
      </c>
      <c r="K1255" s="3" t="n">
        <f aca="false">IF(D1255&gt;E1255,1,0)</f>
        <v>0</v>
      </c>
      <c r="L1255" s="3" t="n">
        <f aca="false">IF(OR(F1255="Y",G1255="Y",H1255="Y"),1,0)</f>
        <v>0</v>
      </c>
      <c r="M1255" s="3" t="n">
        <f aca="false">IF(H1255="Y",1,0)</f>
        <v>0</v>
      </c>
      <c r="N1255" s="3" t="n">
        <f aca="false">IF(I1255="Y",1,0)</f>
        <v>0</v>
      </c>
    </row>
    <row r="1256" customFormat="false" ht="15" hidden="false" customHeight="true" outlineLevel="0" collapsed="false">
      <c r="A1256" s="7" t="s">
        <v>74</v>
      </c>
      <c r="B1256" s="7" t="n">
        <v>1988</v>
      </c>
      <c r="C1256" s="7" t="s">
        <v>375</v>
      </c>
      <c r="D1256" s="7" t="n">
        <v>82</v>
      </c>
      <c r="E1256" s="7" t="n">
        <v>80</v>
      </c>
      <c r="F1256" s="7" t="s">
        <v>546</v>
      </c>
      <c r="G1256" s="7"/>
      <c r="H1256" s="7" t="s">
        <v>546</v>
      </c>
      <c r="I1256" s="7" t="s">
        <v>546</v>
      </c>
      <c r="J1256" s="21" t="n">
        <f aca="false">D1256/(D1256+E1256)</f>
        <v>0.506172839506173</v>
      </c>
      <c r="K1256" s="3" t="n">
        <f aca="false">IF(D1256&gt;E1256,1,0)</f>
        <v>1</v>
      </c>
      <c r="L1256" s="3" t="n">
        <f aca="false">IF(OR(F1256="Y",G1256="Y",H1256="Y"),1,0)</f>
        <v>0</v>
      </c>
      <c r="M1256" s="3" t="n">
        <f aca="false">IF(H1256="Y",1,0)</f>
        <v>0</v>
      </c>
      <c r="N1256" s="3" t="n">
        <f aca="false">IF(I1256="Y",1,0)</f>
        <v>0</v>
      </c>
    </row>
    <row r="1257" customFormat="false" ht="15" hidden="false" customHeight="true" outlineLevel="0" collapsed="false">
      <c r="A1257" s="7" t="s">
        <v>74</v>
      </c>
      <c r="B1257" s="7" t="n">
        <v>1989</v>
      </c>
      <c r="C1257" s="7" t="s">
        <v>375</v>
      </c>
      <c r="D1257" s="7" t="n">
        <v>86</v>
      </c>
      <c r="E1257" s="7" t="n">
        <v>76</v>
      </c>
      <c r="F1257" s="7" t="s">
        <v>546</v>
      </c>
      <c r="G1257" s="7"/>
      <c r="H1257" s="7" t="s">
        <v>546</v>
      </c>
      <c r="I1257" s="7" t="s">
        <v>546</v>
      </c>
      <c r="J1257" s="21" t="n">
        <f aca="false">D1257/(D1257+E1257)</f>
        <v>0.530864197530864</v>
      </c>
      <c r="K1257" s="3" t="n">
        <f aca="false">IF(D1257&gt;E1257,1,0)</f>
        <v>1</v>
      </c>
      <c r="L1257" s="3" t="n">
        <f aca="false">IF(OR(F1257="Y",G1257="Y",H1257="Y"),1,0)</f>
        <v>0</v>
      </c>
      <c r="M1257" s="3" t="n">
        <f aca="false">IF(H1257="Y",1,0)</f>
        <v>0</v>
      </c>
      <c r="N1257" s="3" t="n">
        <f aca="false">IF(I1257="Y",1,0)</f>
        <v>0</v>
      </c>
    </row>
    <row r="1258" customFormat="false" ht="15" hidden="false" customHeight="true" outlineLevel="0" collapsed="false">
      <c r="A1258" s="7" t="s">
        <v>74</v>
      </c>
      <c r="B1258" s="7" t="n">
        <v>1990</v>
      </c>
      <c r="C1258" s="7" t="s">
        <v>375</v>
      </c>
      <c r="D1258" s="7" t="n">
        <v>75</v>
      </c>
      <c r="E1258" s="7" t="n">
        <v>87</v>
      </c>
      <c r="F1258" s="7" t="s">
        <v>546</v>
      </c>
      <c r="G1258" s="7"/>
      <c r="H1258" s="7" t="s">
        <v>546</v>
      </c>
      <c r="I1258" s="7" t="s">
        <v>546</v>
      </c>
      <c r="J1258" s="21" t="n">
        <f aca="false">D1258/(D1258+E1258)</f>
        <v>0.462962962962963</v>
      </c>
      <c r="K1258" s="3" t="n">
        <f aca="false">IF(D1258&gt;E1258,1,0)</f>
        <v>0</v>
      </c>
      <c r="L1258" s="3" t="n">
        <f aca="false">IF(OR(F1258="Y",G1258="Y",H1258="Y"),1,0)</f>
        <v>0</v>
      </c>
      <c r="M1258" s="3" t="n">
        <f aca="false">IF(H1258="Y",1,0)</f>
        <v>0</v>
      </c>
      <c r="N1258" s="3" t="n">
        <f aca="false">IF(I1258="Y",1,0)</f>
        <v>0</v>
      </c>
    </row>
    <row r="1259" customFormat="false" ht="15" hidden="false" customHeight="true" outlineLevel="0" collapsed="false">
      <c r="A1259" s="7" t="s">
        <v>74</v>
      </c>
      <c r="B1259" s="7" t="n">
        <v>1991</v>
      </c>
      <c r="C1259" s="7" t="s">
        <v>375</v>
      </c>
      <c r="D1259" s="7" t="n">
        <v>65</v>
      </c>
      <c r="E1259" s="7" t="n">
        <v>97</v>
      </c>
      <c r="F1259" s="7" t="s">
        <v>546</v>
      </c>
      <c r="G1259" s="7"/>
      <c r="H1259" s="7" t="s">
        <v>546</v>
      </c>
      <c r="I1259" s="7" t="s">
        <v>546</v>
      </c>
      <c r="J1259" s="21" t="n">
        <f aca="false">D1259/(D1259+E1259)</f>
        <v>0.401234567901235</v>
      </c>
      <c r="K1259" s="3" t="n">
        <f aca="false">IF(D1259&gt;E1259,1,0)</f>
        <v>0</v>
      </c>
      <c r="L1259" s="3" t="n">
        <f aca="false">IF(OR(F1259="Y",G1259="Y",H1259="Y"),1,0)</f>
        <v>0</v>
      </c>
      <c r="M1259" s="3" t="n">
        <f aca="false">IF(H1259="Y",1,0)</f>
        <v>0</v>
      </c>
      <c r="N1259" s="3" t="n">
        <f aca="false">IF(I1259="Y",1,0)</f>
        <v>0</v>
      </c>
    </row>
    <row r="1260" customFormat="false" ht="15" hidden="false" customHeight="true" outlineLevel="0" collapsed="false">
      <c r="A1260" s="7" t="s">
        <v>74</v>
      </c>
      <c r="B1260" s="7" t="n">
        <v>1992</v>
      </c>
      <c r="C1260" s="7" t="s">
        <v>375</v>
      </c>
      <c r="D1260" s="7" t="n">
        <v>81</v>
      </c>
      <c r="E1260" s="7" t="n">
        <v>81</v>
      </c>
      <c r="F1260" s="7" t="s">
        <v>546</v>
      </c>
      <c r="G1260" s="7"/>
      <c r="H1260" s="7" t="s">
        <v>546</v>
      </c>
      <c r="I1260" s="7" t="s">
        <v>546</v>
      </c>
      <c r="J1260" s="21" t="n">
        <f aca="false">D1260/(D1260+E1260)</f>
        <v>0.5</v>
      </c>
      <c r="K1260" s="3" t="n">
        <f aca="false">IF(D1260&gt;E1260,1,0)</f>
        <v>0</v>
      </c>
      <c r="L1260" s="3" t="n">
        <f aca="false">IF(OR(F1260="Y",G1260="Y",H1260="Y"),1,0)</f>
        <v>0</v>
      </c>
      <c r="M1260" s="3" t="n">
        <f aca="false">IF(H1260="Y",1,0)</f>
        <v>0</v>
      </c>
      <c r="N1260" s="3" t="n">
        <f aca="false">IF(I1260="Y",1,0)</f>
        <v>0</v>
      </c>
    </row>
    <row r="1261" customFormat="false" ht="15" hidden="false" customHeight="true" outlineLevel="0" collapsed="false">
      <c r="A1261" s="7" t="s">
        <v>74</v>
      </c>
      <c r="B1261" s="7" t="n">
        <v>1993</v>
      </c>
      <c r="C1261" s="7" t="s">
        <v>375</v>
      </c>
      <c r="D1261" s="7" t="n">
        <v>85</v>
      </c>
      <c r="E1261" s="7" t="n">
        <v>77</v>
      </c>
      <c r="F1261" s="7" t="s">
        <v>546</v>
      </c>
      <c r="G1261" s="7"/>
      <c r="H1261" s="7" t="s">
        <v>546</v>
      </c>
      <c r="I1261" s="7" t="s">
        <v>546</v>
      </c>
      <c r="J1261" s="21" t="n">
        <f aca="false">D1261/(D1261+E1261)</f>
        <v>0.524691358024691</v>
      </c>
      <c r="K1261" s="3" t="n">
        <f aca="false">IF(D1261&gt;E1261,1,0)</f>
        <v>1</v>
      </c>
      <c r="L1261" s="3" t="n">
        <f aca="false">IF(OR(F1261="Y",G1261="Y",H1261="Y"),1,0)</f>
        <v>0</v>
      </c>
      <c r="M1261" s="3" t="n">
        <f aca="false">IF(H1261="Y",1,0)</f>
        <v>0</v>
      </c>
      <c r="N1261" s="3" t="n">
        <f aca="false">IF(I1261="Y",1,0)</f>
        <v>0</v>
      </c>
    </row>
    <row r="1262" customFormat="false" ht="15" hidden="false" customHeight="true" outlineLevel="0" collapsed="false">
      <c r="A1262" s="7" t="s">
        <v>74</v>
      </c>
      <c r="B1262" s="7" t="n">
        <v>1994</v>
      </c>
      <c r="C1262" s="7" t="s">
        <v>375</v>
      </c>
      <c r="D1262" s="7" t="n">
        <v>66</v>
      </c>
      <c r="E1262" s="7" t="n">
        <v>49</v>
      </c>
      <c r="F1262" s="7"/>
      <c r="G1262" s="7"/>
      <c r="H1262" s="7"/>
      <c r="I1262" s="7"/>
      <c r="J1262" s="21" t="n">
        <f aca="false">D1262/(D1262+E1262)</f>
        <v>0.573913043478261</v>
      </c>
      <c r="K1262" s="3" t="n">
        <f aca="false">IF(D1262&gt;E1262,1,0)</f>
        <v>1</v>
      </c>
      <c r="L1262" s="3" t="n">
        <f aca="false">IF(OR(F1262="Y",G1262="Y",H1262="Y"),1,0)</f>
        <v>0</v>
      </c>
      <c r="M1262" s="3" t="n">
        <f aca="false">IF(H1262="Y",1,0)</f>
        <v>0</v>
      </c>
      <c r="N1262" s="3" t="n">
        <f aca="false">IF(I1262="Y",1,0)</f>
        <v>0</v>
      </c>
    </row>
    <row r="1263" customFormat="false" ht="15" hidden="false" customHeight="true" outlineLevel="0" collapsed="false">
      <c r="A1263" s="7" t="s">
        <v>74</v>
      </c>
      <c r="B1263" s="7" t="n">
        <v>1995</v>
      </c>
      <c r="C1263" s="7" t="s">
        <v>375</v>
      </c>
      <c r="D1263" s="7" t="n">
        <v>76</v>
      </c>
      <c r="E1263" s="7" t="n">
        <v>68</v>
      </c>
      <c r="F1263" s="7" t="s">
        <v>546</v>
      </c>
      <c r="G1263" s="7" t="s">
        <v>546</v>
      </c>
      <c r="H1263" s="7" t="s">
        <v>546</v>
      </c>
      <c r="I1263" s="7" t="s">
        <v>546</v>
      </c>
      <c r="J1263" s="21" t="n">
        <f aca="false">D1263/(D1263+E1263)</f>
        <v>0.527777777777778</v>
      </c>
      <c r="K1263" s="3" t="n">
        <f aca="false">IF(D1263&gt;E1263,1,0)</f>
        <v>1</v>
      </c>
      <c r="L1263" s="3" t="n">
        <f aca="false">IF(OR(F1263="Y",G1263="Y",H1263="Y"),1,0)</f>
        <v>0</v>
      </c>
      <c r="M1263" s="3" t="n">
        <f aca="false">IF(H1263="Y",1,0)</f>
        <v>0</v>
      </c>
      <c r="N1263" s="3" t="n">
        <f aca="false">IF(I1263="Y",1,0)</f>
        <v>0</v>
      </c>
    </row>
    <row r="1264" customFormat="false" ht="15" hidden="false" customHeight="true" outlineLevel="0" collapsed="false">
      <c r="A1264" s="7" t="s">
        <v>74</v>
      </c>
      <c r="B1264" s="7" t="n">
        <v>1996</v>
      </c>
      <c r="C1264" s="7" t="s">
        <v>375</v>
      </c>
      <c r="D1264" s="7" t="n">
        <v>82</v>
      </c>
      <c r="E1264" s="7" t="n">
        <v>80</v>
      </c>
      <c r="F1264" s="7" t="s">
        <v>546</v>
      </c>
      <c r="G1264" s="7" t="s">
        <v>546</v>
      </c>
      <c r="H1264" s="7" t="s">
        <v>546</v>
      </c>
      <c r="I1264" s="7" t="s">
        <v>546</v>
      </c>
      <c r="J1264" s="21" t="n">
        <f aca="false">D1264/(D1264+E1264)</f>
        <v>0.506172839506173</v>
      </c>
      <c r="K1264" s="3" t="n">
        <f aca="false">IF(D1264&gt;E1264,1,0)</f>
        <v>1</v>
      </c>
      <c r="L1264" s="3" t="n">
        <f aca="false">IF(OR(F1264="Y",G1264="Y",H1264="Y"),1,0)</f>
        <v>0</v>
      </c>
      <c r="M1264" s="3" t="n">
        <f aca="false">IF(H1264="Y",1,0)</f>
        <v>0</v>
      </c>
      <c r="N1264" s="3" t="n">
        <f aca="false">IF(I1264="Y",1,0)</f>
        <v>0</v>
      </c>
    </row>
    <row r="1265" customFormat="false" ht="15" hidden="false" customHeight="true" outlineLevel="0" collapsed="false">
      <c r="A1265" s="7" t="s">
        <v>74</v>
      </c>
      <c r="B1265" s="7" t="n">
        <v>1997</v>
      </c>
      <c r="C1265" s="7" t="s">
        <v>375</v>
      </c>
      <c r="D1265" s="7" t="n">
        <v>84</v>
      </c>
      <c r="E1265" s="7" t="n">
        <v>78</v>
      </c>
      <c r="F1265" s="7" t="s">
        <v>548</v>
      </c>
      <c r="G1265" s="7" t="s">
        <v>546</v>
      </c>
      <c r="H1265" s="7" t="s">
        <v>546</v>
      </c>
      <c r="I1265" s="7" t="s">
        <v>546</v>
      </c>
      <c r="J1265" s="21" t="n">
        <f aca="false">D1265/(D1265+E1265)</f>
        <v>0.518518518518519</v>
      </c>
      <c r="K1265" s="3" t="n">
        <f aca="false">IF(D1265&gt;E1265,1,0)</f>
        <v>1</v>
      </c>
      <c r="L1265" s="3" t="n">
        <f aca="false">IF(OR(F1265="Y",G1265="Y",H1265="Y"),1,0)</f>
        <v>1</v>
      </c>
      <c r="M1265" s="3" t="n">
        <f aca="false">IF(H1265="Y",1,0)</f>
        <v>0</v>
      </c>
      <c r="N1265" s="3" t="n">
        <f aca="false">IF(I1265="Y",1,0)</f>
        <v>0</v>
      </c>
    </row>
    <row r="1266" customFormat="false" ht="15" hidden="false" customHeight="true" outlineLevel="0" collapsed="false">
      <c r="A1266" s="7" t="s">
        <v>74</v>
      </c>
      <c r="B1266" s="7" t="n">
        <v>1998</v>
      </c>
      <c r="C1266" s="7" t="s">
        <v>375</v>
      </c>
      <c r="D1266" s="7" t="n">
        <v>102</v>
      </c>
      <c r="E1266" s="7" t="n">
        <v>60</v>
      </c>
      <c r="F1266" s="7" t="s">
        <v>548</v>
      </c>
      <c r="G1266" s="7" t="s">
        <v>546</v>
      </c>
      <c r="H1266" s="7" t="s">
        <v>546</v>
      </c>
      <c r="I1266" s="7" t="s">
        <v>546</v>
      </c>
      <c r="J1266" s="21" t="n">
        <f aca="false">D1266/(D1266+E1266)</f>
        <v>0.62962962962963</v>
      </c>
      <c r="K1266" s="3" t="n">
        <f aca="false">IF(D1266&gt;E1266,1,0)</f>
        <v>1</v>
      </c>
      <c r="L1266" s="3" t="n">
        <f aca="false">IF(OR(F1266="Y",G1266="Y",H1266="Y"),1,0)</f>
        <v>1</v>
      </c>
      <c r="M1266" s="3" t="n">
        <f aca="false">IF(H1266="Y",1,0)</f>
        <v>0</v>
      </c>
      <c r="N1266" s="3" t="n">
        <f aca="false">IF(I1266="Y",1,0)</f>
        <v>0</v>
      </c>
    </row>
    <row r="1267" customFormat="false" ht="15" hidden="false" customHeight="true" outlineLevel="0" collapsed="false">
      <c r="A1267" s="7" t="s">
        <v>74</v>
      </c>
      <c r="B1267" s="7" t="n">
        <v>1999</v>
      </c>
      <c r="C1267" s="7" t="s">
        <v>375</v>
      </c>
      <c r="D1267" s="7" t="n">
        <v>97</v>
      </c>
      <c r="E1267" s="7" t="n">
        <v>65</v>
      </c>
      <c r="F1267" s="7" t="s">
        <v>548</v>
      </c>
      <c r="G1267" s="7" t="s">
        <v>546</v>
      </c>
      <c r="H1267" s="7" t="s">
        <v>546</v>
      </c>
      <c r="I1267" s="7" t="s">
        <v>546</v>
      </c>
      <c r="J1267" s="21" t="n">
        <f aca="false">D1267/(D1267+E1267)</f>
        <v>0.598765432098765</v>
      </c>
      <c r="K1267" s="3" t="n">
        <f aca="false">IF(D1267&gt;E1267,1,0)</f>
        <v>1</v>
      </c>
      <c r="L1267" s="3" t="n">
        <f aca="false">IF(OR(F1267="Y",G1267="Y",H1267="Y"),1,0)</f>
        <v>1</v>
      </c>
      <c r="M1267" s="3" t="n">
        <f aca="false">IF(H1267="Y",1,0)</f>
        <v>0</v>
      </c>
      <c r="N1267" s="3" t="n">
        <f aca="false">IF(I1267="Y",1,0)</f>
        <v>0</v>
      </c>
    </row>
    <row r="1268" customFormat="false" ht="15" hidden="false" customHeight="true" outlineLevel="0" collapsed="false">
      <c r="A1268" s="7" t="s">
        <v>74</v>
      </c>
      <c r="B1268" s="7" t="n">
        <v>2000</v>
      </c>
      <c r="C1268" s="7" t="s">
        <v>375</v>
      </c>
      <c r="D1268" s="7" t="n">
        <v>72</v>
      </c>
      <c r="E1268" s="7" t="n">
        <v>90</v>
      </c>
      <c r="F1268" s="7" t="s">
        <v>546</v>
      </c>
      <c r="G1268" s="7" t="s">
        <v>546</v>
      </c>
      <c r="H1268" s="7" t="s">
        <v>546</v>
      </c>
      <c r="I1268" s="7" t="s">
        <v>546</v>
      </c>
      <c r="J1268" s="21" t="n">
        <f aca="false">D1268/(D1268+E1268)</f>
        <v>0.444444444444444</v>
      </c>
      <c r="K1268" s="3" t="n">
        <f aca="false">IF(D1268&gt;E1268,1,0)</f>
        <v>0</v>
      </c>
      <c r="L1268" s="3" t="n">
        <f aca="false">IF(OR(F1268="Y",G1268="Y",H1268="Y"),1,0)</f>
        <v>0</v>
      </c>
      <c r="M1268" s="3" t="n">
        <f aca="false">IF(H1268="Y",1,0)</f>
        <v>0</v>
      </c>
      <c r="N1268" s="3" t="n">
        <f aca="false">IF(I1268="Y",1,0)</f>
        <v>0</v>
      </c>
    </row>
    <row r="1269" customFormat="false" ht="15" hidden="false" customHeight="true" outlineLevel="0" collapsed="false">
      <c r="A1269" s="7" t="s">
        <v>74</v>
      </c>
      <c r="B1269" s="7" t="n">
        <v>2001</v>
      </c>
      <c r="C1269" s="7" t="s">
        <v>375</v>
      </c>
      <c r="D1269" s="7" t="n">
        <v>93</v>
      </c>
      <c r="E1269" s="7" t="n">
        <v>69</v>
      </c>
      <c r="F1269" s="7" t="s">
        <v>548</v>
      </c>
      <c r="G1269" s="7" t="s">
        <v>546</v>
      </c>
      <c r="H1269" s="7" t="s">
        <v>546</v>
      </c>
      <c r="I1269" s="7" t="s">
        <v>546</v>
      </c>
      <c r="J1269" s="21" t="n">
        <f aca="false">D1269/(D1269+E1269)</f>
        <v>0.574074074074074</v>
      </c>
      <c r="K1269" s="3" t="n">
        <f aca="false">IF(D1269&gt;E1269,1,0)</f>
        <v>1</v>
      </c>
      <c r="L1269" s="3" t="n">
        <f aca="false">IF(OR(F1269="Y",G1269="Y",H1269="Y"),1,0)</f>
        <v>1</v>
      </c>
      <c r="M1269" s="3" t="n">
        <f aca="false">IF(H1269="Y",1,0)</f>
        <v>0</v>
      </c>
      <c r="N1269" s="3" t="n">
        <f aca="false">IF(I1269="Y",1,0)</f>
        <v>0</v>
      </c>
    </row>
    <row r="1270" customFormat="false" ht="15" hidden="false" customHeight="true" outlineLevel="0" collapsed="false">
      <c r="A1270" s="7" t="s">
        <v>74</v>
      </c>
      <c r="B1270" s="7" t="n">
        <v>2002</v>
      </c>
      <c r="C1270" s="7" t="s">
        <v>375</v>
      </c>
      <c r="D1270" s="7" t="n">
        <v>84</v>
      </c>
      <c r="E1270" s="7" t="n">
        <v>78</v>
      </c>
      <c r="F1270" s="7" t="s">
        <v>546</v>
      </c>
      <c r="G1270" s="7" t="s">
        <v>546</v>
      </c>
      <c r="H1270" s="7" t="s">
        <v>546</v>
      </c>
      <c r="I1270" s="7" t="s">
        <v>546</v>
      </c>
      <c r="J1270" s="21" t="n">
        <f aca="false">D1270/(D1270+E1270)</f>
        <v>0.518518518518519</v>
      </c>
      <c r="K1270" s="3" t="n">
        <f aca="false">IF(D1270&gt;E1270,1,0)</f>
        <v>1</v>
      </c>
      <c r="L1270" s="3" t="n">
        <f aca="false">IF(OR(F1270="Y",G1270="Y",H1270="Y"),1,0)</f>
        <v>0</v>
      </c>
      <c r="M1270" s="3" t="n">
        <f aca="false">IF(H1270="Y",1,0)</f>
        <v>0</v>
      </c>
      <c r="N1270" s="3" t="n">
        <f aca="false">IF(I1270="Y",1,0)</f>
        <v>0</v>
      </c>
    </row>
    <row r="1271" customFormat="false" ht="15" hidden="false" customHeight="true" outlineLevel="0" collapsed="false">
      <c r="A1271" s="7" t="s">
        <v>74</v>
      </c>
      <c r="B1271" s="7" t="n">
        <v>2003</v>
      </c>
      <c r="C1271" s="7" t="s">
        <v>375</v>
      </c>
      <c r="D1271" s="7" t="n">
        <v>87</v>
      </c>
      <c r="E1271" s="7" t="n">
        <v>75</v>
      </c>
      <c r="F1271" s="7" t="s">
        <v>546</v>
      </c>
      <c r="G1271" s="7" t="s">
        <v>546</v>
      </c>
      <c r="H1271" s="7" t="s">
        <v>546</v>
      </c>
      <c r="I1271" s="7" t="s">
        <v>546</v>
      </c>
      <c r="J1271" s="21" t="n">
        <f aca="false">D1271/(D1271+E1271)</f>
        <v>0.537037037037037</v>
      </c>
      <c r="K1271" s="3" t="n">
        <f aca="false">IF(D1271&gt;E1271,1,0)</f>
        <v>1</v>
      </c>
      <c r="L1271" s="3" t="n">
        <f aca="false">IF(OR(F1271="Y",G1271="Y",H1271="Y"),1,0)</f>
        <v>0</v>
      </c>
      <c r="M1271" s="3" t="n">
        <f aca="false">IF(H1271="Y",1,0)</f>
        <v>0</v>
      </c>
      <c r="N1271" s="3" t="n">
        <f aca="false">IF(I1271="Y",1,0)</f>
        <v>0</v>
      </c>
    </row>
    <row r="1272" customFormat="false" ht="15" hidden="false" customHeight="true" outlineLevel="0" collapsed="false">
      <c r="A1272" s="7" t="s">
        <v>74</v>
      </c>
      <c r="B1272" s="7" t="n">
        <v>2004</v>
      </c>
      <c r="C1272" s="7" t="s">
        <v>375</v>
      </c>
      <c r="D1272" s="7" t="n">
        <v>92</v>
      </c>
      <c r="E1272" s="7" t="n">
        <v>70</v>
      </c>
      <c r="F1272" s="7" t="s">
        <v>546</v>
      </c>
      <c r="G1272" s="7" t="s">
        <v>548</v>
      </c>
      <c r="H1272" s="7" t="s">
        <v>546</v>
      </c>
      <c r="I1272" s="7" t="s">
        <v>546</v>
      </c>
      <c r="J1272" s="21" t="n">
        <f aca="false">D1272/(D1272+E1272)</f>
        <v>0.567901234567901</v>
      </c>
      <c r="K1272" s="3" t="n">
        <f aca="false">IF(D1272&gt;E1272,1,0)</f>
        <v>1</v>
      </c>
      <c r="L1272" s="3" t="n">
        <f aca="false">IF(OR(F1272="Y",G1272="Y",H1272="Y"),1,0)</f>
        <v>1</v>
      </c>
      <c r="M1272" s="3" t="n">
        <f aca="false">IF(H1272="Y",1,0)</f>
        <v>0</v>
      </c>
      <c r="N1272" s="3" t="n">
        <f aca="false">IF(I1272="Y",1,0)</f>
        <v>0</v>
      </c>
    </row>
    <row r="1273" customFormat="false" ht="15" hidden="false" customHeight="true" outlineLevel="0" collapsed="false">
      <c r="A1273" s="7" t="s">
        <v>74</v>
      </c>
      <c r="B1273" s="7" t="n">
        <v>2005</v>
      </c>
      <c r="C1273" s="7" t="s">
        <v>375</v>
      </c>
      <c r="D1273" s="7" t="n">
        <v>89</v>
      </c>
      <c r="E1273" s="7" t="n">
        <v>73</v>
      </c>
      <c r="F1273" s="7" t="s">
        <v>546</v>
      </c>
      <c r="G1273" s="7" t="s">
        <v>548</v>
      </c>
      <c r="H1273" s="7" t="s">
        <v>548</v>
      </c>
      <c r="I1273" s="7" t="s">
        <v>546</v>
      </c>
      <c r="J1273" s="21" t="n">
        <f aca="false">D1273/(D1273+E1273)</f>
        <v>0.549382716049383</v>
      </c>
      <c r="K1273" s="3" t="n">
        <f aca="false">IF(D1273&gt;E1273,1,0)</f>
        <v>1</v>
      </c>
      <c r="L1273" s="3" t="n">
        <f aca="false">IF(OR(F1273="Y",G1273="Y",H1273="Y"),1,0)</f>
        <v>1</v>
      </c>
      <c r="M1273" s="3" t="n">
        <f aca="false">IF(H1273="Y",1,0)</f>
        <v>1</v>
      </c>
      <c r="N1273" s="3" t="n">
        <f aca="false">IF(I1273="Y",1,0)</f>
        <v>0</v>
      </c>
    </row>
    <row r="1274" customFormat="false" ht="15" hidden="false" customHeight="true" outlineLevel="0" collapsed="false">
      <c r="A1274" s="7" t="s">
        <v>74</v>
      </c>
      <c r="B1274" s="7" t="n">
        <v>2006</v>
      </c>
      <c r="C1274" s="7" t="s">
        <v>375</v>
      </c>
      <c r="D1274" s="7" t="n">
        <v>82</v>
      </c>
      <c r="E1274" s="7" t="n">
        <v>80</v>
      </c>
      <c r="F1274" s="7" t="s">
        <v>546</v>
      </c>
      <c r="G1274" s="7" t="s">
        <v>546</v>
      </c>
      <c r="H1274" s="7" t="s">
        <v>546</v>
      </c>
      <c r="I1274" s="7" t="s">
        <v>546</v>
      </c>
      <c r="J1274" s="21" t="n">
        <f aca="false">D1274/(D1274+E1274)</f>
        <v>0.506172839506173</v>
      </c>
      <c r="K1274" s="3" t="n">
        <f aca="false">IF(D1274&gt;E1274,1,0)</f>
        <v>1</v>
      </c>
      <c r="L1274" s="3" t="n">
        <f aca="false">IF(OR(F1274="Y",G1274="Y",H1274="Y"),1,0)</f>
        <v>0</v>
      </c>
      <c r="M1274" s="3" t="n">
        <f aca="false">IF(H1274="Y",1,0)</f>
        <v>0</v>
      </c>
      <c r="N1274" s="3" t="n">
        <f aca="false">IF(I1274="Y",1,0)</f>
        <v>0</v>
      </c>
    </row>
    <row r="1275" customFormat="false" ht="15" hidden="false" customHeight="true" outlineLevel="0" collapsed="false">
      <c r="A1275" s="7" t="s">
        <v>74</v>
      </c>
      <c r="B1275" s="7" t="n">
        <v>2007</v>
      </c>
      <c r="C1275" s="7" t="s">
        <v>375</v>
      </c>
      <c r="D1275" s="7" t="n">
        <v>73</v>
      </c>
      <c r="E1275" s="7" t="n">
        <v>89</v>
      </c>
      <c r="F1275" s="7" t="s">
        <v>546</v>
      </c>
      <c r="G1275" s="7" t="s">
        <v>546</v>
      </c>
      <c r="H1275" s="7" t="s">
        <v>546</v>
      </c>
      <c r="I1275" s="7" t="s">
        <v>546</v>
      </c>
      <c r="J1275" s="21" t="n">
        <f aca="false">D1275/(D1275+E1275)</f>
        <v>0.450617283950617</v>
      </c>
      <c r="K1275" s="3" t="n">
        <f aca="false">IF(D1275&gt;E1275,1,0)</f>
        <v>0</v>
      </c>
      <c r="L1275" s="3" t="n">
        <f aca="false">IF(OR(F1275="Y",G1275="Y",H1275="Y"),1,0)</f>
        <v>0</v>
      </c>
      <c r="M1275" s="3" t="n">
        <f aca="false">IF(H1275="Y",1,0)</f>
        <v>0</v>
      </c>
      <c r="N1275" s="3" t="n">
        <f aca="false">IF(I1275="Y",1,0)</f>
        <v>0</v>
      </c>
    </row>
    <row r="1276" customFormat="false" ht="15" hidden="false" customHeight="true" outlineLevel="0" collapsed="false">
      <c r="A1276" s="7" t="s">
        <v>74</v>
      </c>
      <c r="B1276" s="7" t="n">
        <v>2008</v>
      </c>
      <c r="C1276" s="7" t="s">
        <v>375</v>
      </c>
      <c r="D1276" s="7" t="n">
        <v>86</v>
      </c>
      <c r="E1276" s="7" t="n">
        <v>75</v>
      </c>
      <c r="F1276" s="7" t="s">
        <v>546</v>
      </c>
      <c r="G1276" s="7" t="s">
        <v>546</v>
      </c>
      <c r="H1276" s="7" t="s">
        <v>546</v>
      </c>
      <c r="I1276" s="7" t="s">
        <v>546</v>
      </c>
      <c r="J1276" s="21" t="n">
        <f aca="false">D1276/(D1276+E1276)</f>
        <v>0.53416149068323</v>
      </c>
      <c r="K1276" s="3" t="n">
        <f aca="false">IF(D1276&gt;E1276,1,0)</f>
        <v>1</v>
      </c>
      <c r="L1276" s="3" t="n">
        <f aca="false">IF(OR(F1276="Y",G1276="Y",H1276="Y"),1,0)</f>
        <v>0</v>
      </c>
      <c r="M1276" s="3" t="n">
        <f aca="false">IF(H1276="Y",1,0)</f>
        <v>0</v>
      </c>
      <c r="N1276" s="3" t="n">
        <f aca="false">IF(I1276="Y",1,0)</f>
        <v>0</v>
      </c>
    </row>
    <row r="1277" customFormat="false" ht="15" hidden="false" customHeight="true" outlineLevel="0" collapsed="false">
      <c r="A1277" s="7" t="s">
        <v>74</v>
      </c>
      <c r="B1277" s="7" t="n">
        <v>2009</v>
      </c>
      <c r="C1277" s="7" t="s">
        <v>375</v>
      </c>
      <c r="D1277" s="7" t="n">
        <v>74</v>
      </c>
      <c r="E1277" s="7" t="n">
        <v>88</v>
      </c>
      <c r="F1277" s="7" t="s">
        <v>546</v>
      </c>
      <c r="G1277" s="7" t="s">
        <v>546</v>
      </c>
      <c r="H1277" s="7" t="s">
        <v>546</v>
      </c>
      <c r="I1277" s="7" t="s">
        <v>546</v>
      </c>
      <c r="J1277" s="21" t="n">
        <f aca="false">D1277/(D1277+E1277)</f>
        <v>0.45679012345679</v>
      </c>
      <c r="K1277" s="3" t="n">
        <f aca="false">IF(D1277&gt;E1277,1,0)</f>
        <v>0</v>
      </c>
      <c r="L1277" s="3" t="n">
        <f aca="false">IF(OR(F1277="Y",G1277="Y",H1277="Y"),1,0)</f>
        <v>0</v>
      </c>
      <c r="M1277" s="3" t="n">
        <f aca="false">IF(H1277="Y",1,0)</f>
        <v>0</v>
      </c>
      <c r="N1277" s="3" t="n">
        <f aca="false">IF(I1277="Y",1,0)</f>
        <v>0</v>
      </c>
    </row>
    <row r="1278" customFormat="false" ht="15" hidden="false" customHeight="true" outlineLevel="0" collapsed="false">
      <c r="A1278" s="7" t="s">
        <v>74</v>
      </c>
      <c r="B1278" s="7" t="n">
        <v>2010</v>
      </c>
      <c r="C1278" s="7" t="s">
        <v>375</v>
      </c>
      <c r="D1278" s="7" t="n">
        <v>76</v>
      </c>
      <c r="E1278" s="7" t="n">
        <v>86</v>
      </c>
      <c r="F1278" s="7" t="s">
        <v>546</v>
      </c>
      <c r="G1278" s="7" t="s">
        <v>546</v>
      </c>
      <c r="H1278" s="7" t="s">
        <v>546</v>
      </c>
      <c r="I1278" s="7" t="s">
        <v>546</v>
      </c>
      <c r="J1278" s="21" t="n">
        <f aca="false">D1278/(D1278+E1278)</f>
        <v>0.469135802469136</v>
      </c>
      <c r="K1278" s="3" t="n">
        <f aca="false">IF(D1278&gt;E1278,1,0)</f>
        <v>0</v>
      </c>
      <c r="L1278" s="3" t="n">
        <f aca="false">IF(OR(F1278="Y",G1278="Y",H1278="Y"),1,0)</f>
        <v>0</v>
      </c>
      <c r="M1278" s="3" t="n">
        <f aca="false">IF(H1278="Y",1,0)</f>
        <v>0</v>
      </c>
      <c r="N1278" s="3" t="n">
        <f aca="false">IF(I1278="Y",1,0)</f>
        <v>0</v>
      </c>
    </row>
    <row r="1279" customFormat="false" ht="15" hidden="false" customHeight="true" outlineLevel="0" collapsed="false">
      <c r="A1279" s="7" t="s">
        <v>74</v>
      </c>
      <c r="B1279" s="7" t="n">
        <v>2011</v>
      </c>
      <c r="C1279" s="7" t="s">
        <v>375</v>
      </c>
      <c r="D1279" s="7" t="n">
        <v>56</v>
      </c>
      <c r="E1279" s="7" t="n">
        <v>106</v>
      </c>
      <c r="F1279" s="7" t="s">
        <v>546</v>
      </c>
      <c r="G1279" s="7" t="s">
        <v>546</v>
      </c>
      <c r="H1279" s="7" t="s">
        <v>546</v>
      </c>
      <c r="I1279" s="7" t="s">
        <v>546</v>
      </c>
      <c r="J1279" s="21" t="n">
        <f aca="false">D1279/(D1279+E1279)</f>
        <v>0.345679012345679</v>
      </c>
      <c r="K1279" s="3" t="n">
        <f aca="false">IF(D1279&gt;E1279,1,0)</f>
        <v>0</v>
      </c>
      <c r="L1279" s="3" t="n">
        <f aca="false">IF(OR(F1279="Y",G1279="Y",H1279="Y"),1,0)</f>
        <v>0</v>
      </c>
      <c r="M1279" s="3" t="n">
        <f aca="false">IF(H1279="Y",1,0)</f>
        <v>0</v>
      </c>
      <c r="N1279" s="3" t="n">
        <f aca="false">IF(I1279="Y",1,0)</f>
        <v>0</v>
      </c>
    </row>
    <row r="1280" customFormat="false" ht="15" hidden="false" customHeight="true" outlineLevel="0" collapsed="false">
      <c r="A1280" s="7" t="s">
        <v>74</v>
      </c>
      <c r="B1280" s="7" t="n">
        <v>2012</v>
      </c>
      <c r="C1280" s="7" t="s">
        <v>375</v>
      </c>
      <c r="D1280" s="7" t="n">
        <v>55</v>
      </c>
      <c r="E1280" s="7" t="n">
        <v>107</v>
      </c>
      <c r="F1280" s="7" t="s">
        <v>546</v>
      </c>
      <c r="G1280" s="7" t="s">
        <v>546</v>
      </c>
      <c r="H1280" s="7" t="s">
        <v>546</v>
      </c>
      <c r="I1280" s="7" t="s">
        <v>546</v>
      </c>
      <c r="J1280" s="21" t="n">
        <f aca="false">D1280/(D1280+E1280)</f>
        <v>0.339506172839506</v>
      </c>
      <c r="K1280" s="3" t="n">
        <f aca="false">IF(D1280&gt;E1280,1,0)</f>
        <v>0</v>
      </c>
      <c r="L1280" s="3" t="n">
        <f aca="false">IF(OR(F1280="Y",G1280="Y",H1280="Y"),1,0)</f>
        <v>0</v>
      </c>
      <c r="M1280" s="3" t="n">
        <f aca="false">IF(H1280="Y",1,0)</f>
        <v>0</v>
      </c>
      <c r="N1280" s="3" t="n">
        <f aca="false">IF(I1280="Y",1,0)</f>
        <v>0</v>
      </c>
    </row>
    <row r="1281" customFormat="false" ht="15" hidden="false" customHeight="true" outlineLevel="0" collapsed="false">
      <c r="A1281" s="7" t="s">
        <v>74</v>
      </c>
      <c r="B1281" s="7" t="n">
        <v>2013</v>
      </c>
      <c r="C1281" s="7" t="s">
        <v>375</v>
      </c>
      <c r="D1281" s="7" t="n">
        <v>51</v>
      </c>
      <c r="E1281" s="7" t="n">
        <v>111</v>
      </c>
      <c r="F1281" s="7" t="s">
        <v>546</v>
      </c>
      <c r="G1281" s="7" t="s">
        <v>546</v>
      </c>
      <c r="H1281" s="7" t="s">
        <v>546</v>
      </c>
      <c r="I1281" s="7" t="s">
        <v>546</v>
      </c>
      <c r="J1281" s="21" t="n">
        <f aca="false">D1281/(D1281+E1281)</f>
        <v>0.314814814814815</v>
      </c>
      <c r="K1281" s="3" t="n">
        <f aca="false">IF(D1281&gt;E1281,1,0)</f>
        <v>0</v>
      </c>
      <c r="L1281" s="3" t="n">
        <f aca="false">IF(OR(F1281="Y",G1281="Y",H1281="Y"),1,0)</f>
        <v>0</v>
      </c>
      <c r="M1281" s="3" t="n">
        <f aca="false">IF(H1281="Y",1,0)</f>
        <v>0</v>
      </c>
      <c r="N1281" s="3" t="n">
        <f aca="false">IF(I1281="Y",1,0)</f>
        <v>0</v>
      </c>
    </row>
    <row r="1282" customFormat="false" ht="15" hidden="false" customHeight="true" outlineLevel="0" collapsed="false">
      <c r="A1282" s="7" t="s">
        <v>74</v>
      </c>
      <c r="B1282" s="7" t="n">
        <v>2014</v>
      </c>
      <c r="C1282" s="7" t="s">
        <v>375</v>
      </c>
      <c r="D1282" s="7" t="n">
        <v>70</v>
      </c>
      <c r="E1282" s="7" t="n">
        <v>92</v>
      </c>
      <c r="F1282" s="7" t="s">
        <v>546</v>
      </c>
      <c r="G1282" s="7" t="s">
        <v>546</v>
      </c>
      <c r="H1282" s="7" t="s">
        <v>546</v>
      </c>
      <c r="I1282" s="7" t="s">
        <v>546</v>
      </c>
      <c r="J1282" s="21" t="n">
        <f aca="false">D1282/(D1282+E1282)</f>
        <v>0.432098765432099</v>
      </c>
      <c r="K1282" s="3" t="n">
        <f aca="false">IF(D1282&gt;E1282,1,0)</f>
        <v>0</v>
      </c>
      <c r="L1282" s="3" t="n">
        <f aca="false">IF(OR(F1282="Y",G1282="Y",H1282="Y"),1,0)</f>
        <v>0</v>
      </c>
      <c r="M1282" s="3" t="n">
        <f aca="false">IF(H1282="Y",1,0)</f>
        <v>0</v>
      </c>
      <c r="N1282" s="3" t="n">
        <f aca="false">IF(I1282="Y",1,0)</f>
        <v>0</v>
      </c>
    </row>
    <row r="1283" customFormat="false" ht="15" hidden="false" customHeight="true" outlineLevel="0" collapsed="false">
      <c r="A1283" s="7" t="s">
        <v>74</v>
      </c>
      <c r="B1283" s="7" t="n">
        <v>2015</v>
      </c>
      <c r="C1283" s="7" t="s">
        <v>375</v>
      </c>
      <c r="D1283" s="7" t="n">
        <v>86</v>
      </c>
      <c r="E1283" s="7" t="n">
        <v>76</v>
      </c>
      <c r="F1283" s="7" t="s">
        <v>546</v>
      </c>
      <c r="G1283" s="7" t="s">
        <v>548</v>
      </c>
      <c r="H1283" s="7" t="s">
        <v>546</v>
      </c>
      <c r="I1283" s="7" t="s">
        <v>546</v>
      </c>
      <c r="J1283" s="21" t="n">
        <f aca="false">D1283/(D1283+E1283)</f>
        <v>0.530864197530864</v>
      </c>
      <c r="K1283" s="3" t="n">
        <f aca="false">IF(D1283&gt;E1283,1,0)</f>
        <v>1</v>
      </c>
      <c r="L1283" s="3" t="n">
        <f aca="false">IF(OR(F1283="Y",G1283="Y",H1283="Y"),1,0)</f>
        <v>1</v>
      </c>
      <c r="M1283" s="3" t="n">
        <f aca="false">IF(H1283="Y",1,0)</f>
        <v>0</v>
      </c>
      <c r="N1283" s="3" t="n">
        <f aca="false">IF(I1283="Y",1,0)</f>
        <v>0</v>
      </c>
    </row>
    <row r="1284" customFormat="false" ht="15" hidden="false" customHeight="true" outlineLevel="0" collapsed="false">
      <c r="A1284" s="7" t="s">
        <v>74</v>
      </c>
      <c r="B1284" s="7" t="n">
        <v>2016</v>
      </c>
      <c r="C1284" s="7" t="s">
        <v>375</v>
      </c>
      <c r="D1284" s="7" t="n">
        <v>84</v>
      </c>
      <c r="E1284" s="7" t="n">
        <v>78</v>
      </c>
      <c r="F1284" s="7" t="s">
        <v>546</v>
      </c>
      <c r="G1284" s="7" t="s">
        <v>546</v>
      </c>
      <c r="H1284" s="7" t="s">
        <v>546</v>
      </c>
      <c r="I1284" s="7" t="s">
        <v>546</v>
      </c>
      <c r="J1284" s="21" t="n">
        <f aca="false">D1284/(D1284+E1284)</f>
        <v>0.518518518518519</v>
      </c>
      <c r="K1284" s="3" t="n">
        <f aca="false">IF(D1284&gt;E1284,1,0)</f>
        <v>1</v>
      </c>
      <c r="L1284" s="3" t="n">
        <f aca="false">IF(OR(F1284="Y",G1284="Y",H1284="Y"),1,0)</f>
        <v>0</v>
      </c>
      <c r="M1284" s="3" t="n">
        <f aca="false">IF(H1284="Y",1,0)</f>
        <v>0</v>
      </c>
      <c r="N1284" s="3" t="n">
        <f aca="false">IF(I1284="Y",1,0)</f>
        <v>0</v>
      </c>
    </row>
    <row r="1285" customFormat="false" ht="15" hidden="false" customHeight="true" outlineLevel="0" collapsed="false">
      <c r="A1285" s="7" t="s">
        <v>74</v>
      </c>
      <c r="B1285" s="7" t="n">
        <v>2017</v>
      </c>
      <c r="C1285" s="7" t="s">
        <v>375</v>
      </c>
      <c r="D1285" s="7" t="n">
        <v>101</v>
      </c>
      <c r="E1285" s="7" t="n">
        <v>61</v>
      </c>
      <c r="F1285" s="7" t="s">
        <v>548</v>
      </c>
      <c r="G1285" s="7" t="s">
        <v>546</v>
      </c>
      <c r="H1285" s="7" t="s">
        <v>548</v>
      </c>
      <c r="I1285" s="7" t="s">
        <v>548</v>
      </c>
      <c r="J1285" s="21" t="n">
        <f aca="false">D1285/(D1285+E1285)</f>
        <v>0.623456790123457</v>
      </c>
      <c r="K1285" s="3" t="n">
        <f aca="false">IF(D1285&gt;E1285,1,0)</f>
        <v>1</v>
      </c>
      <c r="L1285" s="3" t="n">
        <f aca="false">IF(OR(F1285="Y",G1285="Y",H1285="Y"),1,0)</f>
        <v>1</v>
      </c>
      <c r="M1285" s="3" t="n">
        <f aca="false">IF(H1285="Y",1,0)</f>
        <v>1</v>
      </c>
      <c r="N1285" s="3" t="n">
        <f aca="false">IF(I1285="Y",1,0)</f>
        <v>1</v>
      </c>
    </row>
    <row r="1286" customFormat="false" ht="15" hidden="false" customHeight="true" outlineLevel="0" collapsed="false">
      <c r="A1286" s="7" t="s">
        <v>74</v>
      </c>
      <c r="B1286" s="7" t="n">
        <v>2018</v>
      </c>
      <c r="C1286" s="7" t="s">
        <v>375</v>
      </c>
      <c r="D1286" s="7" t="n">
        <v>103</v>
      </c>
      <c r="E1286" s="7" t="n">
        <v>59</v>
      </c>
      <c r="F1286" s="7" t="s">
        <v>548</v>
      </c>
      <c r="G1286" s="7" t="s">
        <v>546</v>
      </c>
      <c r="H1286" s="7" t="s">
        <v>546</v>
      </c>
      <c r="I1286" s="7" t="s">
        <v>546</v>
      </c>
      <c r="J1286" s="21" t="n">
        <f aca="false">D1286/(D1286+E1286)</f>
        <v>0.635802469135803</v>
      </c>
      <c r="K1286" s="3" t="n">
        <f aca="false">IF(D1286&gt;E1286,1,0)</f>
        <v>1</v>
      </c>
      <c r="L1286" s="3" t="n">
        <f aca="false">IF(OR(F1286="Y",G1286="Y",H1286="Y"),1,0)</f>
        <v>1</v>
      </c>
      <c r="M1286" s="3" t="n">
        <f aca="false">IF(H1286="Y",1,0)</f>
        <v>0</v>
      </c>
      <c r="N1286" s="3" t="n">
        <f aca="false">IF(I1286="Y",1,0)</f>
        <v>0</v>
      </c>
    </row>
    <row r="1287" customFormat="false" ht="15" hidden="false" customHeight="true" outlineLevel="0" collapsed="false">
      <c r="A1287" s="7" t="s">
        <v>74</v>
      </c>
      <c r="B1287" s="7" t="n">
        <v>2019</v>
      </c>
      <c r="C1287" s="7" t="s">
        <v>375</v>
      </c>
      <c r="D1287" s="7" t="n">
        <v>107</v>
      </c>
      <c r="E1287" s="7" t="n">
        <v>55</v>
      </c>
      <c r="F1287" s="7" t="s">
        <v>548</v>
      </c>
      <c r="G1287" s="7" t="s">
        <v>546</v>
      </c>
      <c r="H1287" s="7" t="s">
        <v>548</v>
      </c>
      <c r="I1287" s="7" t="s">
        <v>546</v>
      </c>
      <c r="J1287" s="21" t="n">
        <f aca="false">D1287/(D1287+E1287)</f>
        <v>0.660493827160494</v>
      </c>
      <c r="K1287" s="3" t="n">
        <f aca="false">IF(D1287&gt;E1287,1,0)</f>
        <v>1</v>
      </c>
      <c r="L1287" s="3" t="n">
        <f aca="false">IF(OR(F1287="Y",G1287="Y",H1287="Y"),1,0)</f>
        <v>1</v>
      </c>
      <c r="M1287" s="3" t="n">
        <f aca="false">IF(H1287="Y",1,0)</f>
        <v>1</v>
      </c>
      <c r="N1287" s="3" t="n">
        <f aca="false">IF(I1287="Y",1,0)</f>
        <v>0</v>
      </c>
    </row>
    <row r="1288" customFormat="false" ht="15" hidden="false" customHeight="true" outlineLevel="0" collapsed="false">
      <c r="A1288" s="7" t="s">
        <v>74</v>
      </c>
      <c r="B1288" s="7" t="n">
        <v>2020</v>
      </c>
      <c r="C1288" s="7" t="s">
        <v>375</v>
      </c>
      <c r="D1288" s="7" t="n">
        <v>29</v>
      </c>
      <c r="E1288" s="7" t="n">
        <v>31</v>
      </c>
      <c r="F1288" s="7" t="s">
        <v>546</v>
      </c>
      <c r="G1288" s="7" t="s">
        <v>548</v>
      </c>
      <c r="H1288" s="7" t="s">
        <v>546</v>
      </c>
      <c r="I1288" s="7" t="s">
        <v>546</v>
      </c>
      <c r="J1288" s="21" t="n">
        <f aca="false">D1288/(D1288+E1288)</f>
        <v>0.483333333333333</v>
      </c>
      <c r="K1288" s="3" t="n">
        <f aca="false">IF(D1288&gt;E1288,1,0)</f>
        <v>0</v>
      </c>
      <c r="L1288" s="3" t="n">
        <f aca="false">IF(OR(F1288="Y",G1288="Y",H1288="Y"),1,0)</f>
        <v>1</v>
      </c>
      <c r="M1288" s="3" t="n">
        <f aca="false">IF(H1288="Y",1,0)</f>
        <v>0</v>
      </c>
      <c r="N1288" s="3" t="n">
        <f aca="false">IF(I1288="Y",1,0)</f>
        <v>0</v>
      </c>
    </row>
    <row r="1289" customFormat="false" ht="15" hidden="false" customHeight="true" outlineLevel="0" collapsed="false">
      <c r="A1289" s="7" t="s">
        <v>74</v>
      </c>
      <c r="B1289" s="7" t="n">
        <v>2021</v>
      </c>
      <c r="C1289" s="7" t="s">
        <v>375</v>
      </c>
      <c r="D1289" s="7" t="n">
        <v>95</v>
      </c>
      <c r="E1289" s="7" t="n">
        <v>67</v>
      </c>
      <c r="F1289" s="7" t="s">
        <v>548</v>
      </c>
      <c r="G1289" s="7" t="s">
        <v>546</v>
      </c>
      <c r="H1289" s="7" t="s">
        <v>548</v>
      </c>
      <c r="I1289" s="7" t="s">
        <v>546</v>
      </c>
      <c r="J1289" s="21" t="n">
        <f aca="false">D1289/(D1289+E1289)</f>
        <v>0.58641975308642</v>
      </c>
      <c r="K1289" s="3" t="n">
        <f aca="false">IF(D1289&gt;E1289,1,0)</f>
        <v>1</v>
      </c>
      <c r="L1289" s="3" t="n">
        <f aca="false">IF(OR(F1289="Y",G1289="Y",H1289="Y"),1,0)</f>
        <v>1</v>
      </c>
      <c r="M1289" s="3" t="n">
        <f aca="false">IF(H1289="Y",1,0)</f>
        <v>1</v>
      </c>
      <c r="N1289" s="3" t="n">
        <f aca="false">IF(I1289="Y",1,0)</f>
        <v>0</v>
      </c>
    </row>
    <row r="1290" customFormat="false" ht="15" hidden="false" customHeight="true" outlineLevel="0" collapsed="false">
      <c r="A1290" s="7" t="s">
        <v>74</v>
      </c>
      <c r="B1290" s="7" t="n">
        <v>2022</v>
      </c>
      <c r="C1290" s="7" t="s">
        <v>375</v>
      </c>
      <c r="D1290" s="7" t="n">
        <v>106</v>
      </c>
      <c r="E1290" s="7" t="n">
        <v>56</v>
      </c>
      <c r="F1290" s="7" t="s">
        <v>548</v>
      </c>
      <c r="G1290" s="7" t="s">
        <v>546</v>
      </c>
      <c r="H1290" s="7" t="s">
        <v>548</v>
      </c>
      <c r="I1290" s="7" t="s">
        <v>548</v>
      </c>
      <c r="J1290" s="21" t="n">
        <f aca="false">D1290/(D1290+E1290)</f>
        <v>0.654320987654321</v>
      </c>
      <c r="K1290" s="3" t="n">
        <f aca="false">IF(D1290&gt;E1290,1,0)</f>
        <v>1</v>
      </c>
      <c r="L1290" s="3" t="n">
        <f aca="false">IF(OR(F1290="Y",G1290="Y",H1290="Y"),1,0)</f>
        <v>1</v>
      </c>
      <c r="M1290" s="3" t="n">
        <f aca="false">IF(H1290="Y",1,0)</f>
        <v>1</v>
      </c>
      <c r="N1290" s="3" t="n">
        <f aca="false">IF(I1290="Y",1,0)</f>
        <v>1</v>
      </c>
    </row>
    <row r="1291" customFormat="false" ht="15" hidden="false" customHeight="true" outlineLevel="0" collapsed="false">
      <c r="A1291" s="7" t="s">
        <v>74</v>
      </c>
      <c r="B1291" s="7" t="n">
        <v>2023</v>
      </c>
      <c r="C1291" s="7" t="s">
        <v>375</v>
      </c>
      <c r="D1291" s="7" t="n">
        <v>90</v>
      </c>
      <c r="E1291" s="7" t="n">
        <v>72</v>
      </c>
      <c r="F1291" s="7" t="s">
        <v>548</v>
      </c>
      <c r="G1291" s="7" t="s">
        <v>546</v>
      </c>
      <c r="H1291" s="7" t="s">
        <v>546</v>
      </c>
      <c r="I1291" s="7" t="s">
        <v>546</v>
      </c>
      <c r="J1291" s="21" t="n">
        <f aca="false">D1291/(D1291+E1291)</f>
        <v>0.555555555555556</v>
      </c>
      <c r="K1291" s="3" t="n">
        <f aca="false">IF(D1291&gt;E1291,1,0)</f>
        <v>1</v>
      </c>
      <c r="L1291" s="3" t="n">
        <f aca="false">IF(OR(F1291="Y",G1291="Y",H1291="Y"),1,0)</f>
        <v>1</v>
      </c>
      <c r="M1291" s="3" t="n">
        <f aca="false">IF(H1291="Y",1,0)</f>
        <v>0</v>
      </c>
      <c r="N1291" s="3" t="n">
        <f aca="false">IF(I1291="Y",1,0)</f>
        <v>0</v>
      </c>
    </row>
    <row r="1292" customFormat="false" ht="15" hidden="false" customHeight="true" outlineLevel="0" collapsed="false">
      <c r="A1292" s="7" t="s">
        <v>74</v>
      </c>
      <c r="B1292" s="7" t="n">
        <v>2024</v>
      </c>
      <c r="C1292" s="7" t="s">
        <v>375</v>
      </c>
      <c r="D1292" s="7" t="n">
        <v>88</v>
      </c>
      <c r="E1292" s="7" t="n">
        <v>73</v>
      </c>
      <c r="F1292" s="7" t="s">
        <v>548</v>
      </c>
      <c r="G1292" s="7" t="s">
        <v>546</v>
      </c>
      <c r="H1292" s="7" t="s">
        <v>546</v>
      </c>
      <c r="I1292" s="7" t="s">
        <v>546</v>
      </c>
      <c r="J1292" s="21" t="n">
        <f aca="false">D1292/(D1292+E1292)</f>
        <v>0.546583850931677</v>
      </c>
      <c r="K1292" s="3" t="n">
        <f aca="false">IF(D1292&gt;E1292,1,0)</f>
        <v>1</v>
      </c>
      <c r="L1292" s="3" t="n">
        <f aca="false">IF(OR(F1292="Y",G1292="Y",H1292="Y"),1,0)</f>
        <v>1</v>
      </c>
      <c r="M1292" s="3" t="n">
        <f aca="false">IF(H1292="Y",1,0)</f>
        <v>0</v>
      </c>
      <c r="N1292" s="3" t="n">
        <f aca="false">IF(I1292="Y",1,0)</f>
        <v>0</v>
      </c>
    </row>
    <row r="1293" customFormat="false" ht="15" hidden="false" customHeight="true" outlineLevel="0" collapsed="false">
      <c r="A1293" s="7" t="s">
        <v>74</v>
      </c>
      <c r="B1293" s="7" t="n">
        <v>2025</v>
      </c>
      <c r="C1293" s="7" t="s">
        <v>375</v>
      </c>
      <c r="D1293" s="7" t="n">
        <v>87</v>
      </c>
      <c r="E1293" s="7" t="n">
        <v>75</v>
      </c>
      <c r="F1293" s="7" t="s">
        <v>546</v>
      </c>
      <c r="G1293" s="7" t="s">
        <v>546</v>
      </c>
      <c r="H1293" s="7" t="s">
        <v>546</v>
      </c>
      <c r="I1293" s="7" t="s">
        <v>546</v>
      </c>
      <c r="J1293" s="21" t="n">
        <f aca="false">D1293/(D1293+E1293)</f>
        <v>0.537037037037037</v>
      </c>
      <c r="K1293" s="3" t="n">
        <f aca="false">IF(D1293&gt;E1293,1,0)</f>
        <v>1</v>
      </c>
      <c r="L1293" s="3" t="n">
        <f aca="false">IF(OR(F1293="Y",G1293="Y",H1293="Y"),1,0)</f>
        <v>0</v>
      </c>
      <c r="M1293" s="3" t="n">
        <f aca="false">IF(H1293="Y",1,0)</f>
        <v>0</v>
      </c>
      <c r="N1293" s="3" t="n">
        <f aca="false">IF(I1293="Y",1,0)</f>
        <v>0</v>
      </c>
    </row>
    <row r="1294" customFormat="false" ht="15" hidden="false" customHeight="true" outlineLevel="0" collapsed="false">
      <c r="A1294" s="7" t="s">
        <v>76</v>
      </c>
      <c r="B1294" s="7" t="n">
        <v>1969</v>
      </c>
      <c r="C1294" s="7" t="s">
        <v>377</v>
      </c>
      <c r="D1294" s="7" t="n">
        <v>69</v>
      </c>
      <c r="E1294" s="7" t="n">
        <v>93</v>
      </c>
      <c r="F1294" s="7" t="s">
        <v>546</v>
      </c>
      <c r="G1294" s="7"/>
      <c r="H1294" s="7" t="s">
        <v>546</v>
      </c>
      <c r="I1294" s="7" t="s">
        <v>546</v>
      </c>
      <c r="J1294" s="21" t="n">
        <f aca="false">D1294/(D1294+E1294)</f>
        <v>0.425925925925926</v>
      </c>
      <c r="K1294" s="3" t="n">
        <f aca="false">IF(D1294&gt;E1294,1,0)</f>
        <v>0</v>
      </c>
      <c r="L1294" s="3" t="n">
        <f aca="false">IF(OR(F1294="Y",G1294="Y",H1294="Y"),1,0)</f>
        <v>0</v>
      </c>
      <c r="M1294" s="3" t="n">
        <f aca="false">IF(H1294="Y",1,0)</f>
        <v>0</v>
      </c>
      <c r="N1294" s="3" t="n">
        <f aca="false">IF(I1294="Y",1,0)</f>
        <v>0</v>
      </c>
    </row>
    <row r="1295" customFormat="false" ht="15" hidden="false" customHeight="true" outlineLevel="0" collapsed="false">
      <c r="A1295" s="7" t="s">
        <v>76</v>
      </c>
      <c r="B1295" s="7" t="n">
        <v>1970</v>
      </c>
      <c r="C1295" s="7" t="s">
        <v>377</v>
      </c>
      <c r="D1295" s="7" t="n">
        <v>65</v>
      </c>
      <c r="E1295" s="7" t="n">
        <v>97</v>
      </c>
      <c r="F1295" s="7" t="s">
        <v>546</v>
      </c>
      <c r="G1295" s="7"/>
      <c r="H1295" s="7" t="s">
        <v>546</v>
      </c>
      <c r="I1295" s="7" t="s">
        <v>546</v>
      </c>
      <c r="J1295" s="21" t="n">
        <f aca="false">D1295/(D1295+E1295)</f>
        <v>0.401234567901235</v>
      </c>
      <c r="K1295" s="3" t="n">
        <f aca="false">IF(D1295&gt;E1295,1,0)</f>
        <v>0</v>
      </c>
      <c r="L1295" s="3" t="n">
        <f aca="false">IF(OR(F1295="Y",G1295="Y",H1295="Y"),1,0)</f>
        <v>0</v>
      </c>
      <c r="M1295" s="3" t="n">
        <f aca="false">IF(H1295="Y",1,0)</f>
        <v>0</v>
      </c>
      <c r="N1295" s="3" t="n">
        <f aca="false">IF(I1295="Y",1,0)</f>
        <v>0</v>
      </c>
    </row>
    <row r="1296" customFormat="false" ht="15" hidden="false" customHeight="true" outlineLevel="0" collapsed="false">
      <c r="A1296" s="7" t="s">
        <v>76</v>
      </c>
      <c r="B1296" s="7" t="n">
        <v>1971</v>
      </c>
      <c r="C1296" s="7" t="s">
        <v>377</v>
      </c>
      <c r="D1296" s="7" t="n">
        <v>85</v>
      </c>
      <c r="E1296" s="7" t="n">
        <v>76</v>
      </c>
      <c r="F1296" s="7" t="s">
        <v>546</v>
      </c>
      <c r="G1296" s="7"/>
      <c r="H1296" s="7" t="s">
        <v>546</v>
      </c>
      <c r="I1296" s="7" t="s">
        <v>546</v>
      </c>
      <c r="J1296" s="21" t="n">
        <f aca="false">D1296/(D1296+E1296)</f>
        <v>0.527950310559006</v>
      </c>
      <c r="K1296" s="3" t="n">
        <f aca="false">IF(D1296&gt;E1296,1,0)</f>
        <v>1</v>
      </c>
      <c r="L1296" s="3" t="n">
        <f aca="false">IF(OR(F1296="Y",G1296="Y",H1296="Y"),1,0)</f>
        <v>0</v>
      </c>
      <c r="M1296" s="3" t="n">
        <f aca="false">IF(H1296="Y",1,0)</f>
        <v>0</v>
      </c>
      <c r="N1296" s="3" t="n">
        <f aca="false">IF(I1296="Y",1,0)</f>
        <v>0</v>
      </c>
    </row>
    <row r="1297" customFormat="false" ht="15" hidden="false" customHeight="true" outlineLevel="0" collapsed="false">
      <c r="A1297" s="7" t="s">
        <v>76</v>
      </c>
      <c r="B1297" s="7" t="n">
        <v>1972</v>
      </c>
      <c r="C1297" s="7" t="s">
        <v>377</v>
      </c>
      <c r="D1297" s="7" t="n">
        <v>76</v>
      </c>
      <c r="E1297" s="7" t="n">
        <v>78</v>
      </c>
      <c r="F1297" s="7" t="s">
        <v>546</v>
      </c>
      <c r="G1297" s="7"/>
      <c r="H1297" s="7" t="s">
        <v>546</v>
      </c>
      <c r="I1297" s="7" t="s">
        <v>546</v>
      </c>
      <c r="J1297" s="21" t="n">
        <f aca="false">D1297/(D1297+E1297)</f>
        <v>0.493506493506494</v>
      </c>
      <c r="K1297" s="3" t="n">
        <f aca="false">IF(D1297&gt;E1297,1,0)</f>
        <v>0</v>
      </c>
      <c r="L1297" s="3" t="n">
        <f aca="false">IF(OR(F1297="Y",G1297="Y",H1297="Y"),1,0)</f>
        <v>0</v>
      </c>
      <c r="M1297" s="3" t="n">
        <f aca="false">IF(H1297="Y",1,0)</f>
        <v>0</v>
      </c>
      <c r="N1297" s="3" t="n">
        <f aca="false">IF(I1297="Y",1,0)</f>
        <v>0</v>
      </c>
    </row>
    <row r="1298" customFormat="false" ht="15" hidden="false" customHeight="true" outlineLevel="0" collapsed="false">
      <c r="A1298" s="7" t="s">
        <v>76</v>
      </c>
      <c r="B1298" s="7" t="n">
        <v>1973</v>
      </c>
      <c r="C1298" s="7" t="s">
        <v>377</v>
      </c>
      <c r="D1298" s="7" t="n">
        <v>88</v>
      </c>
      <c r="E1298" s="7" t="n">
        <v>74</v>
      </c>
      <c r="F1298" s="7" t="s">
        <v>546</v>
      </c>
      <c r="G1298" s="7"/>
      <c r="H1298" s="7" t="s">
        <v>546</v>
      </c>
      <c r="I1298" s="7" t="s">
        <v>546</v>
      </c>
      <c r="J1298" s="21" t="n">
        <f aca="false">D1298/(D1298+E1298)</f>
        <v>0.54320987654321</v>
      </c>
      <c r="K1298" s="3" t="n">
        <f aca="false">IF(D1298&gt;E1298,1,0)</f>
        <v>1</v>
      </c>
      <c r="L1298" s="3" t="n">
        <f aca="false">IF(OR(F1298="Y",G1298="Y",H1298="Y"),1,0)</f>
        <v>0</v>
      </c>
      <c r="M1298" s="3" t="n">
        <f aca="false">IF(H1298="Y",1,0)</f>
        <v>0</v>
      </c>
      <c r="N1298" s="3" t="n">
        <f aca="false">IF(I1298="Y",1,0)</f>
        <v>0</v>
      </c>
    </row>
    <row r="1299" customFormat="false" ht="15" hidden="false" customHeight="true" outlineLevel="0" collapsed="false">
      <c r="A1299" s="7" t="s">
        <v>76</v>
      </c>
      <c r="B1299" s="7" t="n">
        <v>1974</v>
      </c>
      <c r="C1299" s="7" t="s">
        <v>377</v>
      </c>
      <c r="D1299" s="7" t="n">
        <v>77</v>
      </c>
      <c r="E1299" s="7" t="n">
        <v>85</v>
      </c>
      <c r="F1299" s="7" t="s">
        <v>546</v>
      </c>
      <c r="G1299" s="7"/>
      <c r="H1299" s="7" t="s">
        <v>546</v>
      </c>
      <c r="I1299" s="7" t="s">
        <v>546</v>
      </c>
      <c r="J1299" s="21" t="n">
        <f aca="false">D1299/(D1299+E1299)</f>
        <v>0.475308641975309</v>
      </c>
      <c r="K1299" s="3" t="n">
        <f aca="false">IF(D1299&gt;E1299,1,0)</f>
        <v>0</v>
      </c>
      <c r="L1299" s="3" t="n">
        <f aca="false">IF(OR(F1299="Y",G1299="Y",H1299="Y"),1,0)</f>
        <v>0</v>
      </c>
      <c r="M1299" s="3" t="n">
        <f aca="false">IF(H1299="Y",1,0)</f>
        <v>0</v>
      </c>
      <c r="N1299" s="3" t="n">
        <f aca="false">IF(I1299="Y",1,0)</f>
        <v>0</v>
      </c>
    </row>
    <row r="1300" customFormat="false" ht="15" hidden="false" customHeight="true" outlineLevel="0" collapsed="false">
      <c r="A1300" s="7" t="s">
        <v>76</v>
      </c>
      <c r="B1300" s="7" t="n">
        <v>1975</v>
      </c>
      <c r="C1300" s="7" t="s">
        <v>377</v>
      </c>
      <c r="D1300" s="7" t="n">
        <v>91</v>
      </c>
      <c r="E1300" s="7" t="n">
        <v>71</v>
      </c>
      <c r="F1300" s="7" t="s">
        <v>546</v>
      </c>
      <c r="G1300" s="7"/>
      <c r="H1300" s="7" t="s">
        <v>546</v>
      </c>
      <c r="I1300" s="7" t="s">
        <v>546</v>
      </c>
      <c r="J1300" s="21" t="n">
        <f aca="false">D1300/(D1300+E1300)</f>
        <v>0.561728395061728</v>
      </c>
      <c r="K1300" s="3" t="n">
        <f aca="false">IF(D1300&gt;E1300,1,0)</f>
        <v>1</v>
      </c>
      <c r="L1300" s="3" t="n">
        <f aca="false">IF(OR(F1300="Y",G1300="Y",H1300="Y"),1,0)</f>
        <v>0</v>
      </c>
      <c r="M1300" s="3" t="n">
        <f aca="false">IF(H1300="Y",1,0)</f>
        <v>0</v>
      </c>
      <c r="N1300" s="3" t="n">
        <f aca="false">IF(I1300="Y",1,0)</f>
        <v>0</v>
      </c>
    </row>
    <row r="1301" customFormat="false" ht="15" hidden="false" customHeight="true" outlineLevel="0" collapsed="false">
      <c r="A1301" s="7" t="s">
        <v>76</v>
      </c>
      <c r="B1301" s="7" t="n">
        <v>1976</v>
      </c>
      <c r="C1301" s="7" t="s">
        <v>377</v>
      </c>
      <c r="D1301" s="7" t="n">
        <v>90</v>
      </c>
      <c r="E1301" s="7" t="n">
        <v>72</v>
      </c>
      <c r="F1301" s="7" t="s">
        <v>548</v>
      </c>
      <c r="G1301" s="7"/>
      <c r="H1301" s="7" t="s">
        <v>546</v>
      </c>
      <c r="I1301" s="7" t="s">
        <v>546</v>
      </c>
      <c r="J1301" s="21" t="n">
        <f aca="false">D1301/(D1301+E1301)</f>
        <v>0.555555555555556</v>
      </c>
      <c r="K1301" s="3" t="n">
        <f aca="false">IF(D1301&gt;E1301,1,0)</f>
        <v>1</v>
      </c>
      <c r="L1301" s="3" t="n">
        <f aca="false">IF(OR(F1301="Y",G1301="Y",H1301="Y"),1,0)</f>
        <v>1</v>
      </c>
      <c r="M1301" s="3" t="n">
        <f aca="false">IF(H1301="Y",1,0)</f>
        <v>0</v>
      </c>
      <c r="N1301" s="3" t="n">
        <f aca="false">IF(I1301="Y",1,0)</f>
        <v>0</v>
      </c>
    </row>
    <row r="1302" customFormat="false" ht="15" hidden="false" customHeight="true" outlineLevel="0" collapsed="false">
      <c r="A1302" s="7" t="s">
        <v>76</v>
      </c>
      <c r="B1302" s="7" t="n">
        <v>1977</v>
      </c>
      <c r="C1302" s="7" t="s">
        <v>377</v>
      </c>
      <c r="D1302" s="7" t="n">
        <v>102</v>
      </c>
      <c r="E1302" s="7" t="n">
        <v>60</v>
      </c>
      <c r="F1302" s="7" t="s">
        <v>548</v>
      </c>
      <c r="G1302" s="7"/>
      <c r="H1302" s="7" t="s">
        <v>546</v>
      </c>
      <c r="I1302" s="7" t="s">
        <v>546</v>
      </c>
      <c r="J1302" s="21" t="n">
        <f aca="false">D1302/(D1302+E1302)</f>
        <v>0.62962962962963</v>
      </c>
      <c r="K1302" s="3" t="n">
        <f aca="false">IF(D1302&gt;E1302,1,0)</f>
        <v>1</v>
      </c>
      <c r="L1302" s="3" t="n">
        <f aca="false">IF(OR(F1302="Y",G1302="Y",H1302="Y"),1,0)</f>
        <v>1</v>
      </c>
      <c r="M1302" s="3" t="n">
        <f aca="false">IF(H1302="Y",1,0)</f>
        <v>0</v>
      </c>
      <c r="N1302" s="3" t="n">
        <f aca="false">IF(I1302="Y",1,0)</f>
        <v>0</v>
      </c>
    </row>
    <row r="1303" customFormat="false" ht="15" hidden="false" customHeight="true" outlineLevel="0" collapsed="false">
      <c r="A1303" s="7" t="s">
        <v>76</v>
      </c>
      <c r="B1303" s="7" t="n">
        <v>1978</v>
      </c>
      <c r="C1303" s="7" t="s">
        <v>377</v>
      </c>
      <c r="D1303" s="7" t="n">
        <v>92</v>
      </c>
      <c r="E1303" s="7" t="n">
        <v>70</v>
      </c>
      <c r="F1303" s="7" t="s">
        <v>548</v>
      </c>
      <c r="G1303" s="7"/>
      <c r="H1303" s="7" t="s">
        <v>546</v>
      </c>
      <c r="I1303" s="7" t="s">
        <v>546</v>
      </c>
      <c r="J1303" s="21" t="n">
        <f aca="false">D1303/(D1303+E1303)</f>
        <v>0.567901234567901</v>
      </c>
      <c r="K1303" s="3" t="n">
        <f aca="false">IF(D1303&gt;E1303,1,0)</f>
        <v>1</v>
      </c>
      <c r="L1303" s="3" t="n">
        <f aca="false">IF(OR(F1303="Y",G1303="Y",H1303="Y"),1,0)</f>
        <v>1</v>
      </c>
      <c r="M1303" s="3" t="n">
        <f aca="false">IF(H1303="Y",1,0)</f>
        <v>0</v>
      </c>
      <c r="N1303" s="3" t="n">
        <f aca="false">IF(I1303="Y",1,0)</f>
        <v>0</v>
      </c>
    </row>
    <row r="1304" customFormat="false" ht="15" hidden="false" customHeight="true" outlineLevel="0" collapsed="false">
      <c r="A1304" s="7" t="s">
        <v>76</v>
      </c>
      <c r="B1304" s="7" t="n">
        <v>1979</v>
      </c>
      <c r="C1304" s="7" t="s">
        <v>377</v>
      </c>
      <c r="D1304" s="7" t="n">
        <v>85</v>
      </c>
      <c r="E1304" s="7" t="n">
        <v>77</v>
      </c>
      <c r="F1304" s="7" t="s">
        <v>546</v>
      </c>
      <c r="G1304" s="7"/>
      <c r="H1304" s="7" t="s">
        <v>546</v>
      </c>
      <c r="I1304" s="7" t="s">
        <v>546</v>
      </c>
      <c r="J1304" s="21" t="n">
        <f aca="false">D1304/(D1304+E1304)</f>
        <v>0.524691358024691</v>
      </c>
      <c r="K1304" s="3" t="n">
        <f aca="false">IF(D1304&gt;E1304,1,0)</f>
        <v>1</v>
      </c>
      <c r="L1304" s="3" t="n">
        <f aca="false">IF(OR(F1304="Y",G1304="Y",H1304="Y"),1,0)</f>
        <v>0</v>
      </c>
      <c r="M1304" s="3" t="n">
        <f aca="false">IF(H1304="Y",1,0)</f>
        <v>0</v>
      </c>
      <c r="N1304" s="3" t="n">
        <f aca="false">IF(I1304="Y",1,0)</f>
        <v>0</v>
      </c>
    </row>
    <row r="1305" customFormat="false" ht="15" hidden="false" customHeight="true" outlineLevel="0" collapsed="false">
      <c r="A1305" s="7" t="s">
        <v>76</v>
      </c>
      <c r="B1305" s="7" t="n">
        <v>1980</v>
      </c>
      <c r="C1305" s="7" t="s">
        <v>377</v>
      </c>
      <c r="D1305" s="7" t="n">
        <v>97</v>
      </c>
      <c r="E1305" s="7" t="n">
        <v>65</v>
      </c>
      <c r="F1305" s="7" t="s">
        <v>548</v>
      </c>
      <c r="G1305" s="7"/>
      <c r="H1305" s="7" t="s">
        <v>548</v>
      </c>
      <c r="I1305" s="7" t="s">
        <v>546</v>
      </c>
      <c r="J1305" s="21" t="n">
        <f aca="false">D1305/(D1305+E1305)</f>
        <v>0.598765432098765</v>
      </c>
      <c r="K1305" s="3" t="n">
        <f aca="false">IF(D1305&gt;E1305,1,0)</f>
        <v>1</v>
      </c>
      <c r="L1305" s="3" t="n">
        <f aca="false">IF(OR(F1305="Y",G1305="Y",H1305="Y"),1,0)</f>
        <v>1</v>
      </c>
      <c r="M1305" s="3" t="n">
        <f aca="false">IF(H1305="Y",1,0)</f>
        <v>1</v>
      </c>
      <c r="N1305" s="3" t="n">
        <f aca="false">IF(I1305="Y",1,0)</f>
        <v>0</v>
      </c>
    </row>
    <row r="1306" customFormat="false" ht="15" hidden="false" customHeight="true" outlineLevel="0" collapsed="false">
      <c r="A1306" s="7" t="s">
        <v>76</v>
      </c>
      <c r="B1306" s="7" t="n">
        <v>1981</v>
      </c>
      <c r="C1306" s="7" t="s">
        <v>377</v>
      </c>
      <c r="D1306" s="7" t="n">
        <v>50</v>
      </c>
      <c r="E1306" s="7" t="n">
        <v>53</v>
      </c>
      <c r="F1306" s="7" t="s">
        <v>548</v>
      </c>
      <c r="G1306" s="7"/>
      <c r="H1306" s="7" t="s">
        <v>546</v>
      </c>
      <c r="I1306" s="7" t="s">
        <v>546</v>
      </c>
      <c r="J1306" s="21" t="n">
        <f aca="false">D1306/(D1306+E1306)</f>
        <v>0.485436893203884</v>
      </c>
      <c r="K1306" s="3" t="n">
        <f aca="false">IF(D1306&gt;E1306,1,0)</f>
        <v>0</v>
      </c>
      <c r="L1306" s="3" t="n">
        <f aca="false">IF(OR(F1306="Y",G1306="Y",H1306="Y"),1,0)</f>
        <v>1</v>
      </c>
      <c r="M1306" s="3" t="n">
        <f aca="false">IF(H1306="Y",1,0)</f>
        <v>0</v>
      </c>
      <c r="N1306" s="3" t="n">
        <f aca="false">IF(I1306="Y",1,0)</f>
        <v>0</v>
      </c>
    </row>
    <row r="1307" customFormat="false" ht="15" hidden="false" customHeight="true" outlineLevel="0" collapsed="false">
      <c r="A1307" s="7" t="s">
        <v>76</v>
      </c>
      <c r="B1307" s="7" t="n">
        <v>1982</v>
      </c>
      <c r="C1307" s="7" t="s">
        <v>377</v>
      </c>
      <c r="D1307" s="7" t="n">
        <v>90</v>
      </c>
      <c r="E1307" s="7" t="n">
        <v>72</v>
      </c>
      <c r="F1307" s="7" t="s">
        <v>546</v>
      </c>
      <c r="G1307" s="7"/>
      <c r="H1307" s="7" t="s">
        <v>546</v>
      </c>
      <c r="I1307" s="7" t="s">
        <v>546</v>
      </c>
      <c r="J1307" s="21" t="n">
        <f aca="false">D1307/(D1307+E1307)</f>
        <v>0.555555555555556</v>
      </c>
      <c r="K1307" s="3" t="n">
        <f aca="false">IF(D1307&gt;E1307,1,0)</f>
        <v>1</v>
      </c>
      <c r="L1307" s="3" t="n">
        <f aca="false">IF(OR(F1307="Y",G1307="Y",H1307="Y"),1,0)</f>
        <v>0</v>
      </c>
      <c r="M1307" s="3" t="n">
        <f aca="false">IF(H1307="Y",1,0)</f>
        <v>0</v>
      </c>
      <c r="N1307" s="3" t="n">
        <f aca="false">IF(I1307="Y",1,0)</f>
        <v>0</v>
      </c>
    </row>
    <row r="1308" customFormat="false" ht="15" hidden="false" customHeight="true" outlineLevel="0" collapsed="false">
      <c r="A1308" s="7" t="s">
        <v>76</v>
      </c>
      <c r="B1308" s="7" t="n">
        <v>1983</v>
      </c>
      <c r="C1308" s="7" t="s">
        <v>377</v>
      </c>
      <c r="D1308" s="7" t="n">
        <v>79</v>
      </c>
      <c r="E1308" s="7" t="n">
        <v>83</v>
      </c>
      <c r="F1308" s="7" t="s">
        <v>546</v>
      </c>
      <c r="G1308" s="7"/>
      <c r="H1308" s="7" t="s">
        <v>546</v>
      </c>
      <c r="I1308" s="7" t="s">
        <v>546</v>
      </c>
      <c r="J1308" s="21" t="n">
        <f aca="false">D1308/(D1308+E1308)</f>
        <v>0.487654320987654</v>
      </c>
      <c r="K1308" s="3" t="n">
        <f aca="false">IF(D1308&gt;E1308,1,0)</f>
        <v>0</v>
      </c>
      <c r="L1308" s="3" t="n">
        <f aca="false">IF(OR(F1308="Y",G1308="Y",H1308="Y"),1,0)</f>
        <v>0</v>
      </c>
      <c r="M1308" s="3" t="n">
        <f aca="false">IF(H1308="Y",1,0)</f>
        <v>0</v>
      </c>
      <c r="N1308" s="3" t="n">
        <f aca="false">IF(I1308="Y",1,0)</f>
        <v>0</v>
      </c>
    </row>
    <row r="1309" customFormat="false" ht="15" hidden="false" customHeight="true" outlineLevel="0" collapsed="false">
      <c r="A1309" s="7" t="s">
        <v>76</v>
      </c>
      <c r="B1309" s="7" t="n">
        <v>1984</v>
      </c>
      <c r="C1309" s="7" t="s">
        <v>377</v>
      </c>
      <c r="D1309" s="7" t="n">
        <v>84</v>
      </c>
      <c r="E1309" s="7" t="n">
        <v>78</v>
      </c>
      <c r="F1309" s="7" t="s">
        <v>548</v>
      </c>
      <c r="G1309" s="7"/>
      <c r="H1309" s="7" t="s">
        <v>546</v>
      </c>
      <c r="I1309" s="7" t="s">
        <v>546</v>
      </c>
      <c r="J1309" s="21" t="n">
        <f aca="false">D1309/(D1309+E1309)</f>
        <v>0.518518518518519</v>
      </c>
      <c r="K1309" s="3" t="n">
        <f aca="false">IF(D1309&gt;E1309,1,0)</f>
        <v>1</v>
      </c>
      <c r="L1309" s="3" t="n">
        <f aca="false">IF(OR(F1309="Y",G1309="Y",H1309="Y"),1,0)</f>
        <v>1</v>
      </c>
      <c r="M1309" s="3" t="n">
        <f aca="false">IF(H1309="Y",1,0)</f>
        <v>0</v>
      </c>
      <c r="N1309" s="3" t="n">
        <f aca="false">IF(I1309="Y",1,0)</f>
        <v>0</v>
      </c>
    </row>
    <row r="1310" customFormat="false" ht="15" hidden="false" customHeight="true" outlineLevel="0" collapsed="false">
      <c r="A1310" s="7" t="s">
        <v>76</v>
      </c>
      <c r="B1310" s="7" t="n">
        <v>1985</v>
      </c>
      <c r="C1310" s="7" t="s">
        <v>377</v>
      </c>
      <c r="D1310" s="7" t="n">
        <v>91</v>
      </c>
      <c r="E1310" s="7" t="n">
        <v>71</v>
      </c>
      <c r="F1310" s="7" t="s">
        <v>548</v>
      </c>
      <c r="G1310" s="7"/>
      <c r="H1310" s="7" t="s">
        <v>548</v>
      </c>
      <c r="I1310" s="7" t="s">
        <v>548</v>
      </c>
      <c r="J1310" s="21" t="n">
        <f aca="false">D1310/(D1310+E1310)</f>
        <v>0.561728395061728</v>
      </c>
      <c r="K1310" s="3" t="n">
        <f aca="false">IF(D1310&gt;E1310,1,0)</f>
        <v>1</v>
      </c>
      <c r="L1310" s="3" t="n">
        <f aca="false">IF(OR(F1310="Y",G1310="Y",H1310="Y"),1,0)</f>
        <v>1</v>
      </c>
      <c r="M1310" s="3" t="n">
        <f aca="false">IF(H1310="Y",1,0)</f>
        <v>1</v>
      </c>
      <c r="N1310" s="3" t="n">
        <f aca="false">IF(I1310="Y",1,0)</f>
        <v>1</v>
      </c>
    </row>
    <row r="1311" customFormat="false" ht="15" hidden="false" customHeight="true" outlineLevel="0" collapsed="false">
      <c r="A1311" s="7" t="s">
        <v>76</v>
      </c>
      <c r="B1311" s="7" t="n">
        <v>1986</v>
      </c>
      <c r="C1311" s="7" t="s">
        <v>377</v>
      </c>
      <c r="D1311" s="7" t="n">
        <v>76</v>
      </c>
      <c r="E1311" s="7" t="n">
        <v>86</v>
      </c>
      <c r="F1311" s="7" t="s">
        <v>546</v>
      </c>
      <c r="G1311" s="7"/>
      <c r="H1311" s="7" t="s">
        <v>546</v>
      </c>
      <c r="I1311" s="7" t="s">
        <v>546</v>
      </c>
      <c r="J1311" s="21" t="n">
        <f aca="false">D1311/(D1311+E1311)</f>
        <v>0.469135802469136</v>
      </c>
      <c r="K1311" s="3" t="n">
        <f aca="false">IF(D1311&gt;E1311,1,0)</f>
        <v>0</v>
      </c>
      <c r="L1311" s="3" t="n">
        <f aca="false">IF(OR(F1311="Y",G1311="Y",H1311="Y"),1,0)</f>
        <v>0</v>
      </c>
      <c r="M1311" s="3" t="n">
        <f aca="false">IF(H1311="Y",1,0)</f>
        <v>0</v>
      </c>
      <c r="N1311" s="3" t="n">
        <f aca="false">IF(I1311="Y",1,0)</f>
        <v>0</v>
      </c>
    </row>
    <row r="1312" customFormat="false" ht="15" hidden="false" customHeight="true" outlineLevel="0" collapsed="false">
      <c r="A1312" s="7" t="s">
        <v>76</v>
      </c>
      <c r="B1312" s="7" t="n">
        <v>1987</v>
      </c>
      <c r="C1312" s="7" t="s">
        <v>377</v>
      </c>
      <c r="D1312" s="7" t="n">
        <v>83</v>
      </c>
      <c r="E1312" s="7" t="n">
        <v>79</v>
      </c>
      <c r="F1312" s="7" t="s">
        <v>546</v>
      </c>
      <c r="G1312" s="7"/>
      <c r="H1312" s="7" t="s">
        <v>546</v>
      </c>
      <c r="I1312" s="7" t="s">
        <v>546</v>
      </c>
      <c r="J1312" s="21" t="n">
        <f aca="false">D1312/(D1312+E1312)</f>
        <v>0.512345679012346</v>
      </c>
      <c r="K1312" s="3" t="n">
        <f aca="false">IF(D1312&gt;E1312,1,0)</f>
        <v>1</v>
      </c>
      <c r="L1312" s="3" t="n">
        <f aca="false">IF(OR(F1312="Y",G1312="Y",H1312="Y"),1,0)</f>
        <v>0</v>
      </c>
      <c r="M1312" s="3" t="n">
        <f aca="false">IF(H1312="Y",1,0)</f>
        <v>0</v>
      </c>
      <c r="N1312" s="3" t="n">
        <f aca="false">IF(I1312="Y",1,0)</f>
        <v>0</v>
      </c>
    </row>
    <row r="1313" customFormat="false" ht="15" hidden="false" customHeight="true" outlineLevel="0" collapsed="false">
      <c r="A1313" s="7" t="s">
        <v>76</v>
      </c>
      <c r="B1313" s="7" t="n">
        <v>1988</v>
      </c>
      <c r="C1313" s="7" t="s">
        <v>377</v>
      </c>
      <c r="D1313" s="7" t="n">
        <v>84</v>
      </c>
      <c r="E1313" s="7" t="n">
        <v>77</v>
      </c>
      <c r="F1313" s="7" t="s">
        <v>546</v>
      </c>
      <c r="G1313" s="7"/>
      <c r="H1313" s="7" t="s">
        <v>546</v>
      </c>
      <c r="I1313" s="7" t="s">
        <v>546</v>
      </c>
      <c r="J1313" s="21" t="n">
        <f aca="false">D1313/(D1313+E1313)</f>
        <v>0.521739130434783</v>
      </c>
      <c r="K1313" s="3" t="n">
        <f aca="false">IF(D1313&gt;E1313,1,0)</f>
        <v>1</v>
      </c>
      <c r="L1313" s="3" t="n">
        <f aca="false">IF(OR(F1313="Y",G1313="Y",H1313="Y"),1,0)</f>
        <v>0</v>
      </c>
      <c r="M1313" s="3" t="n">
        <f aca="false">IF(H1313="Y",1,0)</f>
        <v>0</v>
      </c>
      <c r="N1313" s="3" t="n">
        <f aca="false">IF(I1313="Y",1,0)</f>
        <v>0</v>
      </c>
    </row>
    <row r="1314" customFormat="false" ht="15" hidden="false" customHeight="true" outlineLevel="0" collapsed="false">
      <c r="A1314" s="7" t="s">
        <v>76</v>
      </c>
      <c r="B1314" s="7" t="n">
        <v>1989</v>
      </c>
      <c r="C1314" s="7" t="s">
        <v>377</v>
      </c>
      <c r="D1314" s="7" t="n">
        <v>92</v>
      </c>
      <c r="E1314" s="7" t="n">
        <v>70</v>
      </c>
      <c r="F1314" s="7" t="s">
        <v>546</v>
      </c>
      <c r="G1314" s="7"/>
      <c r="H1314" s="7" t="s">
        <v>546</v>
      </c>
      <c r="I1314" s="7" t="s">
        <v>546</v>
      </c>
      <c r="J1314" s="21" t="n">
        <f aca="false">D1314/(D1314+E1314)</f>
        <v>0.567901234567901</v>
      </c>
      <c r="K1314" s="3" t="n">
        <f aca="false">IF(D1314&gt;E1314,1,0)</f>
        <v>1</v>
      </c>
      <c r="L1314" s="3" t="n">
        <f aca="false">IF(OR(F1314="Y",G1314="Y",H1314="Y"),1,0)</f>
        <v>0</v>
      </c>
      <c r="M1314" s="3" t="n">
        <f aca="false">IF(H1314="Y",1,0)</f>
        <v>0</v>
      </c>
      <c r="N1314" s="3" t="n">
        <f aca="false">IF(I1314="Y",1,0)</f>
        <v>0</v>
      </c>
    </row>
    <row r="1315" customFormat="false" ht="15" hidden="false" customHeight="true" outlineLevel="0" collapsed="false">
      <c r="A1315" s="7" t="s">
        <v>76</v>
      </c>
      <c r="B1315" s="7" t="n">
        <v>1990</v>
      </c>
      <c r="C1315" s="7" t="s">
        <v>377</v>
      </c>
      <c r="D1315" s="7" t="n">
        <v>75</v>
      </c>
      <c r="E1315" s="7" t="n">
        <v>86</v>
      </c>
      <c r="F1315" s="7" t="s">
        <v>546</v>
      </c>
      <c r="G1315" s="7"/>
      <c r="H1315" s="7" t="s">
        <v>546</v>
      </c>
      <c r="I1315" s="7" t="s">
        <v>546</v>
      </c>
      <c r="J1315" s="21" t="n">
        <f aca="false">D1315/(D1315+E1315)</f>
        <v>0.46583850931677</v>
      </c>
      <c r="K1315" s="3" t="n">
        <f aca="false">IF(D1315&gt;E1315,1,0)</f>
        <v>0</v>
      </c>
      <c r="L1315" s="3" t="n">
        <f aca="false">IF(OR(F1315="Y",G1315="Y",H1315="Y"),1,0)</f>
        <v>0</v>
      </c>
      <c r="M1315" s="3" t="n">
        <f aca="false">IF(H1315="Y",1,0)</f>
        <v>0</v>
      </c>
      <c r="N1315" s="3" t="n">
        <f aca="false">IF(I1315="Y",1,0)</f>
        <v>0</v>
      </c>
    </row>
    <row r="1316" customFormat="false" ht="15" hidden="false" customHeight="true" outlineLevel="0" collapsed="false">
      <c r="A1316" s="7" t="s">
        <v>76</v>
      </c>
      <c r="B1316" s="7" t="n">
        <v>1991</v>
      </c>
      <c r="C1316" s="7" t="s">
        <v>377</v>
      </c>
      <c r="D1316" s="7" t="n">
        <v>82</v>
      </c>
      <c r="E1316" s="7" t="n">
        <v>80</v>
      </c>
      <c r="F1316" s="7" t="s">
        <v>546</v>
      </c>
      <c r="G1316" s="7"/>
      <c r="H1316" s="7" t="s">
        <v>546</v>
      </c>
      <c r="I1316" s="7" t="s">
        <v>546</v>
      </c>
      <c r="J1316" s="21" t="n">
        <f aca="false">D1316/(D1316+E1316)</f>
        <v>0.506172839506173</v>
      </c>
      <c r="K1316" s="3" t="n">
        <f aca="false">IF(D1316&gt;E1316,1,0)</f>
        <v>1</v>
      </c>
      <c r="L1316" s="3" t="n">
        <f aca="false">IF(OR(F1316="Y",G1316="Y",H1316="Y"),1,0)</f>
        <v>0</v>
      </c>
      <c r="M1316" s="3" t="n">
        <f aca="false">IF(H1316="Y",1,0)</f>
        <v>0</v>
      </c>
      <c r="N1316" s="3" t="n">
        <f aca="false">IF(I1316="Y",1,0)</f>
        <v>0</v>
      </c>
    </row>
    <row r="1317" customFormat="false" ht="15" hidden="false" customHeight="true" outlineLevel="0" collapsed="false">
      <c r="A1317" s="7" t="s">
        <v>76</v>
      </c>
      <c r="B1317" s="7" t="n">
        <v>1992</v>
      </c>
      <c r="C1317" s="7" t="s">
        <v>377</v>
      </c>
      <c r="D1317" s="7" t="n">
        <v>72</v>
      </c>
      <c r="E1317" s="7" t="n">
        <v>90</v>
      </c>
      <c r="F1317" s="7" t="s">
        <v>546</v>
      </c>
      <c r="G1317" s="7"/>
      <c r="H1317" s="7" t="s">
        <v>546</v>
      </c>
      <c r="I1317" s="7" t="s">
        <v>546</v>
      </c>
      <c r="J1317" s="21" t="n">
        <f aca="false">D1317/(D1317+E1317)</f>
        <v>0.444444444444444</v>
      </c>
      <c r="K1317" s="3" t="n">
        <f aca="false">IF(D1317&gt;E1317,1,0)</f>
        <v>0</v>
      </c>
      <c r="L1317" s="3" t="n">
        <f aca="false">IF(OR(F1317="Y",G1317="Y",H1317="Y"),1,0)</f>
        <v>0</v>
      </c>
      <c r="M1317" s="3" t="n">
        <f aca="false">IF(H1317="Y",1,0)</f>
        <v>0</v>
      </c>
      <c r="N1317" s="3" t="n">
        <f aca="false">IF(I1317="Y",1,0)</f>
        <v>0</v>
      </c>
    </row>
    <row r="1318" customFormat="false" ht="15" hidden="false" customHeight="true" outlineLevel="0" collapsed="false">
      <c r="A1318" s="7" t="s">
        <v>76</v>
      </c>
      <c r="B1318" s="7" t="n">
        <v>1993</v>
      </c>
      <c r="C1318" s="7" t="s">
        <v>377</v>
      </c>
      <c r="D1318" s="7" t="n">
        <v>84</v>
      </c>
      <c r="E1318" s="7" t="n">
        <v>78</v>
      </c>
      <c r="F1318" s="7" t="s">
        <v>546</v>
      </c>
      <c r="G1318" s="7"/>
      <c r="H1318" s="7" t="s">
        <v>546</v>
      </c>
      <c r="I1318" s="7" t="s">
        <v>546</v>
      </c>
      <c r="J1318" s="21" t="n">
        <f aca="false">D1318/(D1318+E1318)</f>
        <v>0.518518518518519</v>
      </c>
      <c r="K1318" s="3" t="n">
        <f aca="false">IF(D1318&gt;E1318,1,0)</f>
        <v>1</v>
      </c>
      <c r="L1318" s="3" t="n">
        <f aca="false">IF(OR(F1318="Y",G1318="Y",H1318="Y"),1,0)</f>
        <v>0</v>
      </c>
      <c r="M1318" s="3" t="n">
        <f aca="false">IF(H1318="Y",1,0)</f>
        <v>0</v>
      </c>
      <c r="N1318" s="3" t="n">
        <f aca="false">IF(I1318="Y",1,0)</f>
        <v>0</v>
      </c>
    </row>
    <row r="1319" customFormat="false" ht="15" hidden="false" customHeight="true" outlineLevel="0" collapsed="false">
      <c r="A1319" s="7" t="s">
        <v>76</v>
      </c>
      <c r="B1319" s="7" t="n">
        <v>1994</v>
      </c>
      <c r="C1319" s="7" t="s">
        <v>377</v>
      </c>
      <c r="D1319" s="7" t="n">
        <v>64</v>
      </c>
      <c r="E1319" s="7" t="n">
        <v>51</v>
      </c>
      <c r="F1319" s="7"/>
      <c r="G1319" s="7"/>
      <c r="H1319" s="7"/>
      <c r="I1319" s="7"/>
      <c r="J1319" s="21" t="n">
        <f aca="false">D1319/(D1319+E1319)</f>
        <v>0.556521739130435</v>
      </c>
      <c r="K1319" s="3" t="n">
        <f aca="false">IF(D1319&gt;E1319,1,0)</f>
        <v>1</v>
      </c>
      <c r="L1319" s="3" t="n">
        <f aca="false">IF(OR(F1319="Y",G1319="Y",H1319="Y"),1,0)</f>
        <v>0</v>
      </c>
      <c r="M1319" s="3" t="n">
        <f aca="false">IF(H1319="Y",1,0)</f>
        <v>0</v>
      </c>
      <c r="N1319" s="3" t="n">
        <f aca="false">IF(I1319="Y",1,0)</f>
        <v>0</v>
      </c>
    </row>
    <row r="1320" customFormat="false" ht="15" hidden="false" customHeight="true" outlineLevel="0" collapsed="false">
      <c r="A1320" s="7" t="s">
        <v>76</v>
      </c>
      <c r="B1320" s="7" t="n">
        <v>1995</v>
      </c>
      <c r="C1320" s="7" t="s">
        <v>377</v>
      </c>
      <c r="D1320" s="7" t="n">
        <v>70</v>
      </c>
      <c r="E1320" s="7" t="n">
        <v>74</v>
      </c>
      <c r="F1320" s="7" t="s">
        <v>546</v>
      </c>
      <c r="G1320" s="7" t="s">
        <v>546</v>
      </c>
      <c r="H1320" s="7" t="s">
        <v>546</v>
      </c>
      <c r="I1320" s="7" t="s">
        <v>546</v>
      </c>
      <c r="J1320" s="21" t="n">
        <f aca="false">D1320/(D1320+E1320)</f>
        <v>0.486111111111111</v>
      </c>
      <c r="K1320" s="3" t="n">
        <f aca="false">IF(D1320&gt;E1320,1,0)</f>
        <v>0</v>
      </c>
      <c r="L1320" s="3" t="n">
        <f aca="false">IF(OR(F1320="Y",G1320="Y",H1320="Y"),1,0)</f>
        <v>0</v>
      </c>
      <c r="M1320" s="3" t="n">
        <f aca="false">IF(H1320="Y",1,0)</f>
        <v>0</v>
      </c>
      <c r="N1320" s="3" t="n">
        <f aca="false">IF(I1320="Y",1,0)</f>
        <v>0</v>
      </c>
    </row>
    <row r="1321" customFormat="false" ht="15" hidden="false" customHeight="true" outlineLevel="0" collapsed="false">
      <c r="A1321" s="7" t="s">
        <v>76</v>
      </c>
      <c r="B1321" s="7" t="n">
        <v>1996</v>
      </c>
      <c r="C1321" s="7" t="s">
        <v>377</v>
      </c>
      <c r="D1321" s="7" t="n">
        <v>75</v>
      </c>
      <c r="E1321" s="7" t="n">
        <v>86</v>
      </c>
      <c r="F1321" s="7" t="s">
        <v>546</v>
      </c>
      <c r="G1321" s="7" t="s">
        <v>546</v>
      </c>
      <c r="H1321" s="7" t="s">
        <v>546</v>
      </c>
      <c r="I1321" s="7" t="s">
        <v>546</v>
      </c>
      <c r="J1321" s="21" t="n">
        <f aca="false">D1321/(D1321+E1321)</f>
        <v>0.46583850931677</v>
      </c>
      <c r="K1321" s="3" t="n">
        <f aca="false">IF(D1321&gt;E1321,1,0)</f>
        <v>0</v>
      </c>
      <c r="L1321" s="3" t="n">
        <f aca="false">IF(OR(F1321="Y",G1321="Y",H1321="Y"),1,0)</f>
        <v>0</v>
      </c>
      <c r="M1321" s="3" t="n">
        <f aca="false">IF(H1321="Y",1,0)</f>
        <v>0</v>
      </c>
      <c r="N1321" s="3" t="n">
        <f aca="false">IF(I1321="Y",1,0)</f>
        <v>0</v>
      </c>
    </row>
    <row r="1322" customFormat="false" ht="15" hidden="false" customHeight="true" outlineLevel="0" collapsed="false">
      <c r="A1322" s="7" t="s">
        <v>76</v>
      </c>
      <c r="B1322" s="7" t="n">
        <v>1997</v>
      </c>
      <c r="C1322" s="7" t="s">
        <v>377</v>
      </c>
      <c r="D1322" s="7" t="n">
        <v>67</v>
      </c>
      <c r="E1322" s="7" t="n">
        <v>94</v>
      </c>
      <c r="F1322" s="7" t="s">
        <v>546</v>
      </c>
      <c r="G1322" s="7" t="s">
        <v>546</v>
      </c>
      <c r="H1322" s="7" t="s">
        <v>546</v>
      </c>
      <c r="I1322" s="7" t="s">
        <v>546</v>
      </c>
      <c r="J1322" s="21" t="n">
        <f aca="false">D1322/(D1322+E1322)</f>
        <v>0.416149068322981</v>
      </c>
      <c r="K1322" s="3" t="n">
        <f aca="false">IF(D1322&gt;E1322,1,0)</f>
        <v>0</v>
      </c>
      <c r="L1322" s="3" t="n">
        <f aca="false">IF(OR(F1322="Y",G1322="Y",H1322="Y"),1,0)</f>
        <v>0</v>
      </c>
      <c r="M1322" s="3" t="n">
        <f aca="false">IF(H1322="Y",1,0)</f>
        <v>0</v>
      </c>
      <c r="N1322" s="3" t="n">
        <f aca="false">IF(I1322="Y",1,0)</f>
        <v>0</v>
      </c>
    </row>
    <row r="1323" customFormat="false" ht="15" hidden="false" customHeight="true" outlineLevel="0" collapsed="false">
      <c r="A1323" s="7" t="s">
        <v>76</v>
      </c>
      <c r="B1323" s="7" t="n">
        <v>1998</v>
      </c>
      <c r="C1323" s="7" t="s">
        <v>377</v>
      </c>
      <c r="D1323" s="7" t="n">
        <v>72</v>
      </c>
      <c r="E1323" s="7" t="n">
        <v>89</v>
      </c>
      <c r="F1323" s="7" t="s">
        <v>546</v>
      </c>
      <c r="G1323" s="7" t="s">
        <v>546</v>
      </c>
      <c r="H1323" s="7" t="s">
        <v>546</v>
      </c>
      <c r="I1323" s="7" t="s">
        <v>546</v>
      </c>
      <c r="J1323" s="21" t="n">
        <f aca="false">D1323/(D1323+E1323)</f>
        <v>0.447204968944099</v>
      </c>
      <c r="K1323" s="3" t="n">
        <f aca="false">IF(D1323&gt;E1323,1,0)</f>
        <v>0</v>
      </c>
      <c r="L1323" s="3" t="n">
        <f aca="false">IF(OR(F1323="Y",G1323="Y",H1323="Y"),1,0)</f>
        <v>0</v>
      </c>
      <c r="M1323" s="3" t="n">
        <f aca="false">IF(H1323="Y",1,0)</f>
        <v>0</v>
      </c>
      <c r="N1323" s="3" t="n">
        <f aca="false">IF(I1323="Y",1,0)</f>
        <v>0</v>
      </c>
    </row>
    <row r="1324" customFormat="false" ht="15" hidden="false" customHeight="true" outlineLevel="0" collapsed="false">
      <c r="A1324" s="7" t="s">
        <v>76</v>
      </c>
      <c r="B1324" s="7" t="n">
        <v>1999</v>
      </c>
      <c r="C1324" s="7" t="s">
        <v>377</v>
      </c>
      <c r="D1324" s="7" t="n">
        <v>64</v>
      </c>
      <c r="E1324" s="7" t="n">
        <v>97</v>
      </c>
      <c r="F1324" s="7" t="s">
        <v>546</v>
      </c>
      <c r="G1324" s="7" t="s">
        <v>546</v>
      </c>
      <c r="H1324" s="7" t="s">
        <v>546</v>
      </c>
      <c r="I1324" s="7" t="s">
        <v>546</v>
      </c>
      <c r="J1324" s="21" t="n">
        <f aca="false">D1324/(D1324+E1324)</f>
        <v>0.397515527950311</v>
      </c>
      <c r="K1324" s="3" t="n">
        <f aca="false">IF(D1324&gt;E1324,1,0)</f>
        <v>0</v>
      </c>
      <c r="L1324" s="3" t="n">
        <f aca="false">IF(OR(F1324="Y",G1324="Y",H1324="Y"),1,0)</f>
        <v>0</v>
      </c>
      <c r="M1324" s="3" t="n">
        <f aca="false">IF(H1324="Y",1,0)</f>
        <v>0</v>
      </c>
      <c r="N1324" s="3" t="n">
        <f aca="false">IF(I1324="Y",1,0)</f>
        <v>0</v>
      </c>
    </row>
    <row r="1325" customFormat="false" ht="15" hidden="false" customHeight="true" outlineLevel="0" collapsed="false">
      <c r="A1325" s="7" t="s">
        <v>76</v>
      </c>
      <c r="B1325" s="7" t="n">
        <v>2000</v>
      </c>
      <c r="C1325" s="7" t="s">
        <v>377</v>
      </c>
      <c r="D1325" s="7" t="n">
        <v>77</v>
      </c>
      <c r="E1325" s="7" t="n">
        <v>85</v>
      </c>
      <c r="F1325" s="7" t="s">
        <v>546</v>
      </c>
      <c r="G1325" s="7" t="s">
        <v>546</v>
      </c>
      <c r="H1325" s="7" t="s">
        <v>546</v>
      </c>
      <c r="I1325" s="7" t="s">
        <v>546</v>
      </c>
      <c r="J1325" s="21" t="n">
        <f aca="false">D1325/(D1325+E1325)</f>
        <v>0.475308641975309</v>
      </c>
      <c r="K1325" s="3" t="n">
        <f aca="false">IF(D1325&gt;E1325,1,0)</f>
        <v>0</v>
      </c>
      <c r="L1325" s="3" t="n">
        <f aca="false">IF(OR(F1325="Y",G1325="Y",H1325="Y"),1,0)</f>
        <v>0</v>
      </c>
      <c r="M1325" s="3" t="n">
        <f aca="false">IF(H1325="Y",1,0)</f>
        <v>0</v>
      </c>
      <c r="N1325" s="3" t="n">
        <f aca="false">IF(I1325="Y",1,0)</f>
        <v>0</v>
      </c>
    </row>
    <row r="1326" customFormat="false" ht="15" hidden="false" customHeight="true" outlineLevel="0" collapsed="false">
      <c r="A1326" s="7" t="s">
        <v>76</v>
      </c>
      <c r="B1326" s="7" t="n">
        <v>2001</v>
      </c>
      <c r="C1326" s="7" t="s">
        <v>377</v>
      </c>
      <c r="D1326" s="7" t="n">
        <v>65</v>
      </c>
      <c r="E1326" s="7" t="n">
        <v>97</v>
      </c>
      <c r="F1326" s="7" t="s">
        <v>546</v>
      </c>
      <c r="G1326" s="7" t="s">
        <v>546</v>
      </c>
      <c r="H1326" s="7" t="s">
        <v>546</v>
      </c>
      <c r="I1326" s="7" t="s">
        <v>546</v>
      </c>
      <c r="J1326" s="21" t="n">
        <f aca="false">D1326/(D1326+E1326)</f>
        <v>0.401234567901235</v>
      </c>
      <c r="K1326" s="3" t="n">
        <f aca="false">IF(D1326&gt;E1326,1,0)</f>
        <v>0</v>
      </c>
      <c r="L1326" s="3" t="n">
        <f aca="false">IF(OR(F1326="Y",G1326="Y",H1326="Y"),1,0)</f>
        <v>0</v>
      </c>
      <c r="M1326" s="3" t="n">
        <f aca="false">IF(H1326="Y",1,0)</f>
        <v>0</v>
      </c>
      <c r="N1326" s="3" t="n">
        <f aca="false">IF(I1326="Y",1,0)</f>
        <v>0</v>
      </c>
    </row>
    <row r="1327" customFormat="false" ht="15" hidden="false" customHeight="true" outlineLevel="0" collapsed="false">
      <c r="A1327" s="7" t="s">
        <v>76</v>
      </c>
      <c r="B1327" s="7" t="n">
        <v>2002</v>
      </c>
      <c r="C1327" s="7" t="s">
        <v>377</v>
      </c>
      <c r="D1327" s="7" t="n">
        <v>62</v>
      </c>
      <c r="E1327" s="7" t="n">
        <v>100</v>
      </c>
      <c r="F1327" s="7" t="s">
        <v>546</v>
      </c>
      <c r="G1327" s="7" t="s">
        <v>546</v>
      </c>
      <c r="H1327" s="7" t="s">
        <v>546</v>
      </c>
      <c r="I1327" s="7" t="s">
        <v>546</v>
      </c>
      <c r="J1327" s="21" t="n">
        <f aca="false">D1327/(D1327+E1327)</f>
        <v>0.382716049382716</v>
      </c>
      <c r="K1327" s="3" t="n">
        <f aca="false">IF(D1327&gt;E1327,1,0)</f>
        <v>0</v>
      </c>
      <c r="L1327" s="3" t="n">
        <f aca="false">IF(OR(F1327="Y",G1327="Y",H1327="Y"),1,0)</f>
        <v>0</v>
      </c>
      <c r="M1327" s="3" t="n">
        <f aca="false">IF(H1327="Y",1,0)</f>
        <v>0</v>
      </c>
      <c r="N1327" s="3" t="n">
        <f aca="false">IF(I1327="Y",1,0)</f>
        <v>0</v>
      </c>
    </row>
    <row r="1328" customFormat="false" ht="15" hidden="false" customHeight="true" outlineLevel="0" collapsed="false">
      <c r="A1328" s="7" t="s">
        <v>76</v>
      </c>
      <c r="B1328" s="7" t="n">
        <v>2003</v>
      </c>
      <c r="C1328" s="7" t="s">
        <v>377</v>
      </c>
      <c r="D1328" s="7" t="n">
        <v>83</v>
      </c>
      <c r="E1328" s="7" t="n">
        <v>79</v>
      </c>
      <c r="F1328" s="7" t="s">
        <v>546</v>
      </c>
      <c r="G1328" s="7" t="s">
        <v>546</v>
      </c>
      <c r="H1328" s="7" t="s">
        <v>546</v>
      </c>
      <c r="I1328" s="7" t="s">
        <v>546</v>
      </c>
      <c r="J1328" s="21" t="n">
        <f aca="false">D1328/(D1328+E1328)</f>
        <v>0.512345679012346</v>
      </c>
      <c r="K1328" s="3" t="n">
        <f aca="false">IF(D1328&gt;E1328,1,0)</f>
        <v>1</v>
      </c>
      <c r="L1328" s="3" t="n">
        <f aca="false">IF(OR(F1328="Y",G1328="Y",H1328="Y"),1,0)</f>
        <v>0</v>
      </c>
      <c r="M1328" s="3" t="n">
        <f aca="false">IF(H1328="Y",1,0)</f>
        <v>0</v>
      </c>
      <c r="N1328" s="3" t="n">
        <f aca="false">IF(I1328="Y",1,0)</f>
        <v>0</v>
      </c>
    </row>
    <row r="1329" customFormat="false" ht="15" hidden="false" customHeight="true" outlineLevel="0" collapsed="false">
      <c r="A1329" s="7" t="s">
        <v>76</v>
      </c>
      <c r="B1329" s="7" t="n">
        <v>2004</v>
      </c>
      <c r="C1329" s="7" t="s">
        <v>377</v>
      </c>
      <c r="D1329" s="7" t="n">
        <v>58</v>
      </c>
      <c r="E1329" s="7" t="n">
        <v>104</v>
      </c>
      <c r="F1329" s="7" t="s">
        <v>546</v>
      </c>
      <c r="G1329" s="7" t="s">
        <v>546</v>
      </c>
      <c r="H1329" s="7" t="s">
        <v>546</v>
      </c>
      <c r="I1329" s="7" t="s">
        <v>546</v>
      </c>
      <c r="J1329" s="21" t="n">
        <f aca="false">D1329/(D1329+E1329)</f>
        <v>0.358024691358025</v>
      </c>
      <c r="K1329" s="3" t="n">
        <f aca="false">IF(D1329&gt;E1329,1,0)</f>
        <v>0</v>
      </c>
      <c r="L1329" s="3" t="n">
        <f aca="false">IF(OR(F1329="Y",G1329="Y",H1329="Y"),1,0)</f>
        <v>0</v>
      </c>
      <c r="M1329" s="3" t="n">
        <f aca="false">IF(H1329="Y",1,0)</f>
        <v>0</v>
      </c>
      <c r="N1329" s="3" t="n">
        <f aca="false">IF(I1329="Y",1,0)</f>
        <v>0</v>
      </c>
    </row>
    <row r="1330" customFormat="false" ht="15" hidden="false" customHeight="true" outlineLevel="0" collapsed="false">
      <c r="A1330" s="7" t="s">
        <v>76</v>
      </c>
      <c r="B1330" s="7" t="n">
        <v>2005</v>
      </c>
      <c r="C1330" s="7" t="s">
        <v>377</v>
      </c>
      <c r="D1330" s="7" t="n">
        <v>56</v>
      </c>
      <c r="E1330" s="7" t="n">
        <v>106</v>
      </c>
      <c r="F1330" s="7" t="s">
        <v>546</v>
      </c>
      <c r="G1330" s="7" t="s">
        <v>546</v>
      </c>
      <c r="H1330" s="7" t="s">
        <v>546</v>
      </c>
      <c r="I1330" s="7" t="s">
        <v>546</v>
      </c>
      <c r="J1330" s="21" t="n">
        <f aca="false">D1330/(D1330+E1330)</f>
        <v>0.345679012345679</v>
      </c>
      <c r="K1330" s="3" t="n">
        <f aca="false">IF(D1330&gt;E1330,1,0)</f>
        <v>0</v>
      </c>
      <c r="L1330" s="3" t="n">
        <f aca="false">IF(OR(F1330="Y",G1330="Y",H1330="Y"),1,0)</f>
        <v>0</v>
      </c>
      <c r="M1330" s="3" t="n">
        <f aca="false">IF(H1330="Y",1,0)</f>
        <v>0</v>
      </c>
      <c r="N1330" s="3" t="n">
        <f aca="false">IF(I1330="Y",1,0)</f>
        <v>0</v>
      </c>
    </row>
    <row r="1331" customFormat="false" ht="15" hidden="false" customHeight="true" outlineLevel="0" collapsed="false">
      <c r="A1331" s="7" t="s">
        <v>76</v>
      </c>
      <c r="B1331" s="7" t="n">
        <v>2006</v>
      </c>
      <c r="C1331" s="7" t="s">
        <v>377</v>
      </c>
      <c r="D1331" s="7" t="n">
        <v>62</v>
      </c>
      <c r="E1331" s="7" t="n">
        <v>100</v>
      </c>
      <c r="F1331" s="7" t="s">
        <v>546</v>
      </c>
      <c r="G1331" s="7" t="s">
        <v>546</v>
      </c>
      <c r="H1331" s="7" t="s">
        <v>546</v>
      </c>
      <c r="I1331" s="7" t="s">
        <v>546</v>
      </c>
      <c r="J1331" s="21" t="n">
        <f aca="false">D1331/(D1331+E1331)</f>
        <v>0.382716049382716</v>
      </c>
      <c r="K1331" s="3" t="n">
        <f aca="false">IF(D1331&gt;E1331,1,0)</f>
        <v>0</v>
      </c>
      <c r="L1331" s="3" t="n">
        <f aca="false">IF(OR(F1331="Y",G1331="Y",H1331="Y"),1,0)</f>
        <v>0</v>
      </c>
      <c r="M1331" s="3" t="n">
        <f aca="false">IF(H1331="Y",1,0)</f>
        <v>0</v>
      </c>
      <c r="N1331" s="3" t="n">
        <f aca="false">IF(I1331="Y",1,0)</f>
        <v>0</v>
      </c>
    </row>
    <row r="1332" customFormat="false" ht="15" hidden="false" customHeight="true" outlineLevel="0" collapsed="false">
      <c r="A1332" s="7" t="s">
        <v>76</v>
      </c>
      <c r="B1332" s="7" t="n">
        <v>2007</v>
      </c>
      <c r="C1332" s="7" t="s">
        <v>377</v>
      </c>
      <c r="D1332" s="7" t="n">
        <v>69</v>
      </c>
      <c r="E1332" s="7" t="n">
        <v>93</v>
      </c>
      <c r="F1332" s="7" t="s">
        <v>546</v>
      </c>
      <c r="G1332" s="7" t="s">
        <v>546</v>
      </c>
      <c r="H1332" s="7" t="s">
        <v>546</v>
      </c>
      <c r="I1332" s="7" t="s">
        <v>546</v>
      </c>
      <c r="J1332" s="21" t="n">
        <f aca="false">D1332/(D1332+E1332)</f>
        <v>0.425925925925926</v>
      </c>
      <c r="K1332" s="3" t="n">
        <f aca="false">IF(D1332&gt;E1332,1,0)</f>
        <v>0</v>
      </c>
      <c r="L1332" s="3" t="n">
        <f aca="false">IF(OR(F1332="Y",G1332="Y",H1332="Y"),1,0)</f>
        <v>0</v>
      </c>
      <c r="M1332" s="3" t="n">
        <f aca="false">IF(H1332="Y",1,0)</f>
        <v>0</v>
      </c>
      <c r="N1332" s="3" t="n">
        <f aca="false">IF(I1332="Y",1,0)</f>
        <v>0</v>
      </c>
    </row>
    <row r="1333" customFormat="false" ht="15" hidden="false" customHeight="true" outlineLevel="0" collapsed="false">
      <c r="A1333" s="7" t="s">
        <v>76</v>
      </c>
      <c r="B1333" s="7" t="n">
        <v>2008</v>
      </c>
      <c r="C1333" s="7" t="s">
        <v>377</v>
      </c>
      <c r="D1333" s="7" t="n">
        <v>75</v>
      </c>
      <c r="E1333" s="7" t="n">
        <v>87</v>
      </c>
      <c r="F1333" s="7" t="s">
        <v>546</v>
      </c>
      <c r="G1333" s="7" t="s">
        <v>546</v>
      </c>
      <c r="H1333" s="7" t="s">
        <v>546</v>
      </c>
      <c r="I1333" s="7" t="s">
        <v>546</v>
      </c>
      <c r="J1333" s="21" t="n">
        <f aca="false">D1333/(D1333+E1333)</f>
        <v>0.462962962962963</v>
      </c>
      <c r="K1333" s="3" t="n">
        <f aca="false">IF(D1333&gt;E1333,1,0)</f>
        <v>0</v>
      </c>
      <c r="L1333" s="3" t="n">
        <f aca="false">IF(OR(F1333="Y",G1333="Y",H1333="Y"),1,0)</f>
        <v>0</v>
      </c>
      <c r="M1333" s="3" t="n">
        <f aca="false">IF(H1333="Y",1,0)</f>
        <v>0</v>
      </c>
      <c r="N1333" s="3" t="n">
        <f aca="false">IF(I1333="Y",1,0)</f>
        <v>0</v>
      </c>
    </row>
    <row r="1334" customFormat="false" ht="15" hidden="false" customHeight="true" outlineLevel="0" collapsed="false">
      <c r="A1334" s="7" t="s">
        <v>76</v>
      </c>
      <c r="B1334" s="7" t="n">
        <v>2009</v>
      </c>
      <c r="C1334" s="7" t="s">
        <v>377</v>
      </c>
      <c r="D1334" s="7" t="n">
        <v>65</v>
      </c>
      <c r="E1334" s="7" t="n">
        <v>97</v>
      </c>
      <c r="F1334" s="7" t="s">
        <v>546</v>
      </c>
      <c r="G1334" s="7" t="s">
        <v>546</v>
      </c>
      <c r="H1334" s="7" t="s">
        <v>546</v>
      </c>
      <c r="I1334" s="7" t="s">
        <v>546</v>
      </c>
      <c r="J1334" s="21" t="n">
        <f aca="false">D1334/(D1334+E1334)</f>
        <v>0.401234567901235</v>
      </c>
      <c r="K1334" s="3" t="n">
        <f aca="false">IF(D1334&gt;E1334,1,0)</f>
        <v>0</v>
      </c>
      <c r="L1334" s="3" t="n">
        <f aca="false">IF(OR(F1334="Y",G1334="Y",H1334="Y"),1,0)</f>
        <v>0</v>
      </c>
      <c r="M1334" s="3" t="n">
        <f aca="false">IF(H1334="Y",1,0)</f>
        <v>0</v>
      </c>
      <c r="N1334" s="3" t="n">
        <f aca="false">IF(I1334="Y",1,0)</f>
        <v>0</v>
      </c>
    </row>
    <row r="1335" customFormat="false" ht="15" hidden="false" customHeight="true" outlineLevel="0" collapsed="false">
      <c r="A1335" s="7" t="s">
        <v>76</v>
      </c>
      <c r="B1335" s="7" t="n">
        <v>2010</v>
      </c>
      <c r="C1335" s="7" t="s">
        <v>377</v>
      </c>
      <c r="D1335" s="7" t="n">
        <v>67</v>
      </c>
      <c r="E1335" s="7" t="n">
        <v>95</v>
      </c>
      <c r="F1335" s="7" t="s">
        <v>546</v>
      </c>
      <c r="G1335" s="7" t="s">
        <v>546</v>
      </c>
      <c r="H1335" s="7" t="s">
        <v>546</v>
      </c>
      <c r="I1335" s="7" t="s">
        <v>546</v>
      </c>
      <c r="J1335" s="21" t="n">
        <f aca="false">D1335/(D1335+E1335)</f>
        <v>0.41358024691358</v>
      </c>
      <c r="K1335" s="3" t="n">
        <f aca="false">IF(D1335&gt;E1335,1,0)</f>
        <v>0</v>
      </c>
      <c r="L1335" s="3" t="n">
        <f aca="false">IF(OR(F1335="Y",G1335="Y",H1335="Y"),1,0)</f>
        <v>0</v>
      </c>
      <c r="M1335" s="3" t="n">
        <f aca="false">IF(H1335="Y",1,0)</f>
        <v>0</v>
      </c>
      <c r="N1335" s="3" t="n">
        <f aca="false">IF(I1335="Y",1,0)</f>
        <v>0</v>
      </c>
    </row>
    <row r="1336" customFormat="false" ht="15" hidden="false" customHeight="true" outlineLevel="0" collapsed="false">
      <c r="A1336" s="7" t="s">
        <v>76</v>
      </c>
      <c r="B1336" s="7" t="n">
        <v>2011</v>
      </c>
      <c r="C1336" s="7" t="s">
        <v>377</v>
      </c>
      <c r="D1336" s="7" t="n">
        <v>71</v>
      </c>
      <c r="E1336" s="7" t="n">
        <v>91</v>
      </c>
      <c r="F1336" s="7" t="s">
        <v>546</v>
      </c>
      <c r="G1336" s="7" t="s">
        <v>546</v>
      </c>
      <c r="H1336" s="7" t="s">
        <v>546</v>
      </c>
      <c r="I1336" s="7" t="s">
        <v>546</v>
      </c>
      <c r="J1336" s="21" t="n">
        <f aca="false">D1336/(D1336+E1336)</f>
        <v>0.438271604938272</v>
      </c>
      <c r="K1336" s="3" t="n">
        <f aca="false">IF(D1336&gt;E1336,1,0)</f>
        <v>0</v>
      </c>
      <c r="L1336" s="3" t="n">
        <f aca="false">IF(OR(F1336="Y",G1336="Y",H1336="Y"),1,0)</f>
        <v>0</v>
      </c>
      <c r="M1336" s="3" t="n">
        <f aca="false">IF(H1336="Y",1,0)</f>
        <v>0</v>
      </c>
      <c r="N1336" s="3" t="n">
        <f aca="false">IF(I1336="Y",1,0)</f>
        <v>0</v>
      </c>
    </row>
    <row r="1337" customFormat="false" ht="15" hidden="false" customHeight="true" outlineLevel="0" collapsed="false">
      <c r="A1337" s="7" t="s">
        <v>76</v>
      </c>
      <c r="B1337" s="7" t="n">
        <v>2012</v>
      </c>
      <c r="C1337" s="7" t="s">
        <v>377</v>
      </c>
      <c r="D1337" s="7" t="n">
        <v>72</v>
      </c>
      <c r="E1337" s="7" t="n">
        <v>90</v>
      </c>
      <c r="F1337" s="7" t="s">
        <v>546</v>
      </c>
      <c r="G1337" s="7" t="s">
        <v>546</v>
      </c>
      <c r="H1337" s="7" t="s">
        <v>546</v>
      </c>
      <c r="I1337" s="7" t="s">
        <v>546</v>
      </c>
      <c r="J1337" s="21" t="n">
        <f aca="false">D1337/(D1337+E1337)</f>
        <v>0.444444444444444</v>
      </c>
      <c r="K1337" s="3" t="n">
        <f aca="false">IF(D1337&gt;E1337,1,0)</f>
        <v>0</v>
      </c>
      <c r="L1337" s="3" t="n">
        <f aca="false">IF(OR(F1337="Y",G1337="Y",H1337="Y"),1,0)</f>
        <v>0</v>
      </c>
      <c r="M1337" s="3" t="n">
        <f aca="false">IF(H1337="Y",1,0)</f>
        <v>0</v>
      </c>
      <c r="N1337" s="3" t="n">
        <f aca="false">IF(I1337="Y",1,0)</f>
        <v>0</v>
      </c>
    </row>
    <row r="1338" customFormat="false" ht="15" hidden="false" customHeight="true" outlineLevel="0" collapsed="false">
      <c r="A1338" s="7" t="s">
        <v>76</v>
      </c>
      <c r="B1338" s="7" t="n">
        <v>2013</v>
      </c>
      <c r="C1338" s="7" t="s">
        <v>377</v>
      </c>
      <c r="D1338" s="7" t="n">
        <v>86</v>
      </c>
      <c r="E1338" s="7" t="n">
        <v>76</v>
      </c>
      <c r="F1338" s="7" t="s">
        <v>546</v>
      </c>
      <c r="G1338" s="7" t="s">
        <v>546</v>
      </c>
      <c r="H1338" s="7" t="s">
        <v>546</v>
      </c>
      <c r="I1338" s="7" t="s">
        <v>546</v>
      </c>
      <c r="J1338" s="21" t="n">
        <f aca="false">D1338/(D1338+E1338)</f>
        <v>0.530864197530864</v>
      </c>
      <c r="K1338" s="3" t="n">
        <f aca="false">IF(D1338&gt;E1338,1,0)</f>
        <v>1</v>
      </c>
      <c r="L1338" s="3" t="n">
        <f aca="false">IF(OR(F1338="Y",G1338="Y",H1338="Y"),1,0)</f>
        <v>0</v>
      </c>
      <c r="M1338" s="3" t="n">
        <f aca="false">IF(H1338="Y",1,0)</f>
        <v>0</v>
      </c>
      <c r="N1338" s="3" t="n">
        <f aca="false">IF(I1338="Y",1,0)</f>
        <v>0</v>
      </c>
    </row>
    <row r="1339" customFormat="false" ht="15" hidden="false" customHeight="true" outlineLevel="0" collapsed="false">
      <c r="A1339" s="7" t="s">
        <v>76</v>
      </c>
      <c r="B1339" s="7" t="n">
        <v>2014</v>
      </c>
      <c r="C1339" s="7" t="s">
        <v>377</v>
      </c>
      <c r="D1339" s="7" t="n">
        <v>89</v>
      </c>
      <c r="E1339" s="7" t="n">
        <v>73</v>
      </c>
      <c r="F1339" s="7" t="s">
        <v>546</v>
      </c>
      <c r="G1339" s="7" t="s">
        <v>548</v>
      </c>
      <c r="H1339" s="7" t="s">
        <v>548</v>
      </c>
      <c r="I1339" s="7" t="s">
        <v>546</v>
      </c>
      <c r="J1339" s="21" t="n">
        <f aca="false">D1339/(D1339+E1339)</f>
        <v>0.549382716049383</v>
      </c>
      <c r="K1339" s="3" t="n">
        <f aca="false">IF(D1339&gt;E1339,1,0)</f>
        <v>1</v>
      </c>
      <c r="L1339" s="3" t="n">
        <f aca="false">IF(OR(F1339="Y",G1339="Y",H1339="Y"),1,0)</f>
        <v>1</v>
      </c>
      <c r="M1339" s="3" t="n">
        <f aca="false">IF(H1339="Y",1,0)</f>
        <v>1</v>
      </c>
      <c r="N1339" s="3" t="n">
        <f aca="false">IF(I1339="Y",1,0)</f>
        <v>0</v>
      </c>
    </row>
    <row r="1340" customFormat="false" ht="15" hidden="false" customHeight="true" outlineLevel="0" collapsed="false">
      <c r="A1340" s="7" t="s">
        <v>76</v>
      </c>
      <c r="B1340" s="7" t="n">
        <v>2015</v>
      </c>
      <c r="C1340" s="7" t="s">
        <v>377</v>
      </c>
      <c r="D1340" s="7" t="n">
        <v>95</v>
      </c>
      <c r="E1340" s="7" t="n">
        <v>67</v>
      </c>
      <c r="F1340" s="7" t="s">
        <v>548</v>
      </c>
      <c r="G1340" s="7" t="s">
        <v>546</v>
      </c>
      <c r="H1340" s="7" t="s">
        <v>548</v>
      </c>
      <c r="I1340" s="7" t="s">
        <v>548</v>
      </c>
      <c r="J1340" s="21" t="n">
        <f aca="false">D1340/(D1340+E1340)</f>
        <v>0.58641975308642</v>
      </c>
      <c r="K1340" s="3" t="n">
        <f aca="false">IF(D1340&gt;E1340,1,0)</f>
        <v>1</v>
      </c>
      <c r="L1340" s="3" t="n">
        <f aca="false">IF(OR(F1340="Y",G1340="Y",H1340="Y"),1,0)</f>
        <v>1</v>
      </c>
      <c r="M1340" s="3" t="n">
        <f aca="false">IF(H1340="Y",1,0)</f>
        <v>1</v>
      </c>
      <c r="N1340" s="3" t="n">
        <f aca="false">IF(I1340="Y",1,0)</f>
        <v>1</v>
      </c>
    </row>
    <row r="1341" customFormat="false" ht="15" hidden="false" customHeight="true" outlineLevel="0" collapsed="false">
      <c r="A1341" s="7" t="s">
        <v>76</v>
      </c>
      <c r="B1341" s="7" t="n">
        <v>2016</v>
      </c>
      <c r="C1341" s="7" t="s">
        <v>377</v>
      </c>
      <c r="D1341" s="7" t="n">
        <v>81</v>
      </c>
      <c r="E1341" s="7" t="n">
        <v>81</v>
      </c>
      <c r="F1341" s="7" t="s">
        <v>546</v>
      </c>
      <c r="G1341" s="7" t="s">
        <v>546</v>
      </c>
      <c r="H1341" s="7" t="s">
        <v>546</v>
      </c>
      <c r="I1341" s="7" t="s">
        <v>546</v>
      </c>
      <c r="J1341" s="21" t="n">
        <f aca="false">D1341/(D1341+E1341)</f>
        <v>0.5</v>
      </c>
      <c r="K1341" s="3" t="n">
        <f aca="false">IF(D1341&gt;E1341,1,0)</f>
        <v>0</v>
      </c>
      <c r="L1341" s="3" t="n">
        <f aca="false">IF(OR(F1341="Y",G1341="Y",H1341="Y"),1,0)</f>
        <v>0</v>
      </c>
      <c r="M1341" s="3" t="n">
        <f aca="false">IF(H1341="Y",1,0)</f>
        <v>0</v>
      </c>
      <c r="N1341" s="3" t="n">
        <f aca="false">IF(I1341="Y",1,0)</f>
        <v>0</v>
      </c>
    </row>
    <row r="1342" customFormat="false" ht="15" hidden="false" customHeight="true" outlineLevel="0" collapsed="false">
      <c r="A1342" s="7" t="s">
        <v>76</v>
      </c>
      <c r="B1342" s="7" t="n">
        <v>2017</v>
      </c>
      <c r="C1342" s="7" t="s">
        <v>377</v>
      </c>
      <c r="D1342" s="7" t="n">
        <v>80</v>
      </c>
      <c r="E1342" s="7" t="n">
        <v>82</v>
      </c>
      <c r="F1342" s="7" t="s">
        <v>546</v>
      </c>
      <c r="G1342" s="7" t="s">
        <v>546</v>
      </c>
      <c r="H1342" s="7" t="s">
        <v>546</v>
      </c>
      <c r="I1342" s="7" t="s">
        <v>546</v>
      </c>
      <c r="J1342" s="21" t="n">
        <f aca="false">D1342/(D1342+E1342)</f>
        <v>0.493827160493827</v>
      </c>
      <c r="K1342" s="3" t="n">
        <f aca="false">IF(D1342&gt;E1342,1,0)</f>
        <v>0</v>
      </c>
      <c r="L1342" s="3" t="n">
        <f aca="false">IF(OR(F1342="Y",G1342="Y",H1342="Y"),1,0)</f>
        <v>0</v>
      </c>
      <c r="M1342" s="3" t="n">
        <f aca="false">IF(H1342="Y",1,0)</f>
        <v>0</v>
      </c>
      <c r="N1342" s="3" t="n">
        <f aca="false">IF(I1342="Y",1,0)</f>
        <v>0</v>
      </c>
    </row>
    <row r="1343" customFormat="false" ht="15" hidden="false" customHeight="true" outlineLevel="0" collapsed="false">
      <c r="A1343" s="7" t="s">
        <v>76</v>
      </c>
      <c r="B1343" s="7" t="n">
        <v>2018</v>
      </c>
      <c r="C1343" s="7" t="s">
        <v>377</v>
      </c>
      <c r="D1343" s="7" t="n">
        <v>58</v>
      </c>
      <c r="E1343" s="7" t="n">
        <v>104</v>
      </c>
      <c r="F1343" s="7" t="s">
        <v>546</v>
      </c>
      <c r="G1343" s="7" t="s">
        <v>546</v>
      </c>
      <c r="H1343" s="7" t="s">
        <v>546</v>
      </c>
      <c r="I1343" s="7" t="s">
        <v>546</v>
      </c>
      <c r="J1343" s="21" t="n">
        <f aca="false">D1343/(D1343+E1343)</f>
        <v>0.358024691358025</v>
      </c>
      <c r="K1343" s="3" t="n">
        <f aca="false">IF(D1343&gt;E1343,1,0)</f>
        <v>0</v>
      </c>
      <c r="L1343" s="3" t="n">
        <f aca="false">IF(OR(F1343="Y",G1343="Y",H1343="Y"),1,0)</f>
        <v>0</v>
      </c>
      <c r="M1343" s="3" t="n">
        <f aca="false">IF(H1343="Y",1,0)</f>
        <v>0</v>
      </c>
      <c r="N1343" s="3" t="n">
        <f aca="false">IF(I1343="Y",1,0)</f>
        <v>0</v>
      </c>
    </row>
    <row r="1344" customFormat="false" ht="15" hidden="false" customHeight="true" outlineLevel="0" collapsed="false">
      <c r="A1344" s="7" t="s">
        <v>76</v>
      </c>
      <c r="B1344" s="7" t="n">
        <v>2019</v>
      </c>
      <c r="C1344" s="7" t="s">
        <v>377</v>
      </c>
      <c r="D1344" s="7" t="n">
        <v>59</v>
      </c>
      <c r="E1344" s="7" t="n">
        <v>103</v>
      </c>
      <c r="F1344" s="7" t="s">
        <v>546</v>
      </c>
      <c r="G1344" s="7" t="s">
        <v>546</v>
      </c>
      <c r="H1344" s="7" t="s">
        <v>546</v>
      </c>
      <c r="I1344" s="7" t="s">
        <v>546</v>
      </c>
      <c r="J1344" s="21" t="n">
        <f aca="false">D1344/(D1344+E1344)</f>
        <v>0.364197530864198</v>
      </c>
      <c r="K1344" s="3" t="n">
        <f aca="false">IF(D1344&gt;E1344,1,0)</f>
        <v>0</v>
      </c>
      <c r="L1344" s="3" t="n">
        <f aca="false">IF(OR(F1344="Y",G1344="Y",H1344="Y"),1,0)</f>
        <v>0</v>
      </c>
      <c r="M1344" s="3" t="n">
        <f aca="false">IF(H1344="Y",1,0)</f>
        <v>0</v>
      </c>
      <c r="N1344" s="3" t="n">
        <f aca="false">IF(I1344="Y",1,0)</f>
        <v>0</v>
      </c>
    </row>
    <row r="1345" customFormat="false" ht="15" hidden="false" customHeight="true" outlineLevel="0" collapsed="false">
      <c r="A1345" s="7" t="s">
        <v>76</v>
      </c>
      <c r="B1345" s="7" t="n">
        <v>2020</v>
      </c>
      <c r="C1345" s="7" t="s">
        <v>377</v>
      </c>
      <c r="D1345" s="7" t="n">
        <v>26</v>
      </c>
      <c r="E1345" s="7" t="n">
        <v>34</v>
      </c>
      <c r="F1345" s="7" t="s">
        <v>546</v>
      </c>
      <c r="G1345" s="7" t="s">
        <v>546</v>
      </c>
      <c r="H1345" s="7" t="s">
        <v>546</v>
      </c>
      <c r="I1345" s="7" t="s">
        <v>546</v>
      </c>
      <c r="J1345" s="21" t="n">
        <f aca="false">D1345/(D1345+E1345)</f>
        <v>0.433333333333333</v>
      </c>
      <c r="K1345" s="3" t="n">
        <f aca="false">IF(D1345&gt;E1345,1,0)</f>
        <v>0</v>
      </c>
      <c r="L1345" s="3" t="n">
        <f aca="false">IF(OR(F1345="Y",G1345="Y",H1345="Y"),1,0)</f>
        <v>0</v>
      </c>
      <c r="M1345" s="3" t="n">
        <f aca="false">IF(H1345="Y",1,0)</f>
        <v>0</v>
      </c>
      <c r="N1345" s="3" t="n">
        <f aca="false">IF(I1345="Y",1,0)</f>
        <v>0</v>
      </c>
    </row>
    <row r="1346" customFormat="false" ht="15" hidden="false" customHeight="true" outlineLevel="0" collapsed="false">
      <c r="A1346" s="7" t="s">
        <v>76</v>
      </c>
      <c r="B1346" s="7" t="n">
        <v>2021</v>
      </c>
      <c r="C1346" s="7" t="s">
        <v>377</v>
      </c>
      <c r="D1346" s="7" t="n">
        <v>74</v>
      </c>
      <c r="E1346" s="7" t="n">
        <v>88</v>
      </c>
      <c r="F1346" s="7" t="s">
        <v>546</v>
      </c>
      <c r="G1346" s="7" t="s">
        <v>546</v>
      </c>
      <c r="H1346" s="7" t="s">
        <v>546</v>
      </c>
      <c r="I1346" s="7" t="s">
        <v>546</v>
      </c>
      <c r="J1346" s="21" t="n">
        <f aca="false">D1346/(D1346+E1346)</f>
        <v>0.45679012345679</v>
      </c>
      <c r="K1346" s="3" t="n">
        <f aca="false">IF(D1346&gt;E1346,1,0)</f>
        <v>0</v>
      </c>
      <c r="L1346" s="3" t="n">
        <f aca="false">IF(OR(F1346="Y",G1346="Y",H1346="Y"),1,0)</f>
        <v>0</v>
      </c>
      <c r="M1346" s="3" t="n">
        <f aca="false">IF(H1346="Y",1,0)</f>
        <v>0</v>
      </c>
      <c r="N1346" s="3" t="n">
        <f aca="false">IF(I1346="Y",1,0)</f>
        <v>0</v>
      </c>
    </row>
    <row r="1347" customFormat="false" ht="15" hidden="false" customHeight="true" outlineLevel="0" collapsed="false">
      <c r="A1347" s="7" t="s">
        <v>76</v>
      </c>
      <c r="B1347" s="7" t="n">
        <v>2022</v>
      </c>
      <c r="C1347" s="7" t="s">
        <v>377</v>
      </c>
      <c r="D1347" s="7" t="n">
        <v>65</v>
      </c>
      <c r="E1347" s="7" t="n">
        <v>97</v>
      </c>
      <c r="F1347" s="7" t="s">
        <v>546</v>
      </c>
      <c r="G1347" s="7" t="s">
        <v>546</v>
      </c>
      <c r="H1347" s="7" t="s">
        <v>546</v>
      </c>
      <c r="I1347" s="7" t="s">
        <v>546</v>
      </c>
      <c r="J1347" s="21" t="n">
        <f aca="false">D1347/(D1347+E1347)</f>
        <v>0.401234567901235</v>
      </c>
      <c r="K1347" s="3" t="n">
        <f aca="false">IF(D1347&gt;E1347,1,0)</f>
        <v>0</v>
      </c>
      <c r="L1347" s="3" t="n">
        <f aca="false">IF(OR(F1347="Y",G1347="Y",H1347="Y"),1,0)</f>
        <v>0</v>
      </c>
      <c r="M1347" s="3" t="n">
        <f aca="false">IF(H1347="Y",1,0)</f>
        <v>0</v>
      </c>
      <c r="N1347" s="3" t="n">
        <f aca="false">IF(I1347="Y",1,0)</f>
        <v>0</v>
      </c>
    </row>
    <row r="1348" customFormat="false" ht="15" hidden="false" customHeight="true" outlineLevel="0" collapsed="false">
      <c r="A1348" s="7" t="s">
        <v>76</v>
      </c>
      <c r="B1348" s="7" t="n">
        <v>2023</v>
      </c>
      <c r="C1348" s="7" t="s">
        <v>377</v>
      </c>
      <c r="D1348" s="7" t="n">
        <v>56</v>
      </c>
      <c r="E1348" s="7" t="n">
        <v>106</v>
      </c>
      <c r="F1348" s="7" t="s">
        <v>546</v>
      </c>
      <c r="G1348" s="7" t="s">
        <v>546</v>
      </c>
      <c r="H1348" s="7" t="s">
        <v>546</v>
      </c>
      <c r="I1348" s="7" t="s">
        <v>546</v>
      </c>
      <c r="J1348" s="21" t="n">
        <f aca="false">D1348/(D1348+E1348)</f>
        <v>0.345679012345679</v>
      </c>
      <c r="K1348" s="3" t="n">
        <f aca="false">IF(D1348&gt;E1348,1,0)</f>
        <v>0</v>
      </c>
      <c r="L1348" s="3" t="n">
        <f aca="false">IF(OR(F1348="Y",G1348="Y",H1348="Y"),1,0)</f>
        <v>0</v>
      </c>
      <c r="M1348" s="3" t="n">
        <f aca="false">IF(H1348="Y",1,0)</f>
        <v>0</v>
      </c>
      <c r="N1348" s="3" t="n">
        <f aca="false">IF(I1348="Y",1,0)</f>
        <v>0</v>
      </c>
    </row>
    <row r="1349" customFormat="false" ht="15" hidden="false" customHeight="true" outlineLevel="0" collapsed="false">
      <c r="A1349" s="7" t="s">
        <v>76</v>
      </c>
      <c r="B1349" s="7" t="n">
        <v>2024</v>
      </c>
      <c r="C1349" s="7" t="s">
        <v>377</v>
      </c>
      <c r="D1349" s="7" t="n">
        <v>86</v>
      </c>
      <c r="E1349" s="7" t="n">
        <v>76</v>
      </c>
      <c r="F1349" s="7" t="s">
        <v>546</v>
      </c>
      <c r="G1349" s="7" t="s">
        <v>548</v>
      </c>
      <c r="H1349" s="7" t="s">
        <v>546</v>
      </c>
      <c r="I1349" s="7" t="s">
        <v>546</v>
      </c>
      <c r="J1349" s="21" t="n">
        <f aca="false">D1349/(D1349+E1349)</f>
        <v>0.530864197530864</v>
      </c>
      <c r="K1349" s="3" t="n">
        <f aca="false">IF(D1349&gt;E1349,1,0)</f>
        <v>1</v>
      </c>
      <c r="L1349" s="3" t="n">
        <f aca="false">IF(OR(F1349="Y",G1349="Y",H1349="Y"),1,0)</f>
        <v>1</v>
      </c>
      <c r="M1349" s="3" t="n">
        <f aca="false">IF(H1349="Y",1,0)</f>
        <v>0</v>
      </c>
      <c r="N1349" s="3" t="n">
        <f aca="false">IF(I1349="Y",1,0)</f>
        <v>0</v>
      </c>
    </row>
    <row r="1350" customFormat="false" ht="15" hidden="false" customHeight="true" outlineLevel="0" collapsed="false">
      <c r="A1350" s="7" t="s">
        <v>76</v>
      </c>
      <c r="B1350" s="7" t="n">
        <v>2025</v>
      </c>
      <c r="C1350" s="7" t="s">
        <v>377</v>
      </c>
      <c r="D1350" s="7" t="n">
        <v>82</v>
      </c>
      <c r="E1350" s="7" t="n">
        <v>80</v>
      </c>
      <c r="F1350" s="7" t="s">
        <v>546</v>
      </c>
      <c r="G1350" s="7" t="s">
        <v>546</v>
      </c>
      <c r="H1350" s="7" t="s">
        <v>546</v>
      </c>
      <c r="I1350" s="7" t="s">
        <v>546</v>
      </c>
      <c r="J1350" s="21" t="n">
        <f aca="false">D1350/(D1350+E1350)</f>
        <v>0.506172839506173</v>
      </c>
      <c r="K1350" s="3" t="n">
        <f aca="false">IF(D1350&gt;E1350,1,0)</f>
        <v>1</v>
      </c>
      <c r="L1350" s="3" t="n">
        <f aca="false">IF(OR(F1350="Y",G1350="Y",H1350="Y"),1,0)</f>
        <v>0</v>
      </c>
      <c r="M1350" s="3" t="n">
        <f aca="false">IF(H1350="Y",1,0)</f>
        <v>0</v>
      </c>
      <c r="N1350" s="3" t="n">
        <f aca="false">IF(I1350="Y",1,0)</f>
        <v>0</v>
      </c>
    </row>
    <row r="1351" customFormat="false" ht="15" hidden="false" customHeight="true" outlineLevel="0" collapsed="false">
      <c r="A1351" s="7" t="s">
        <v>62</v>
      </c>
      <c r="B1351" s="7" t="n">
        <v>1884</v>
      </c>
      <c r="C1351" s="7" t="s">
        <v>570</v>
      </c>
      <c r="D1351" s="7" t="n">
        <v>40</v>
      </c>
      <c r="E1351" s="7" t="n">
        <v>64</v>
      </c>
      <c r="F1351" s="7"/>
      <c r="G1351" s="7"/>
      <c r="H1351" s="7" t="s">
        <v>546</v>
      </c>
      <c r="I1351" s="7" t="s">
        <v>546</v>
      </c>
      <c r="J1351" s="21" t="n">
        <f aca="false">D1351/(D1351+E1351)</f>
        <v>0.384615384615385</v>
      </c>
      <c r="K1351" s="3" t="n">
        <f aca="false">IF(D1351&gt;E1351,1,0)</f>
        <v>0</v>
      </c>
      <c r="L1351" s="3" t="n">
        <f aca="false">IF(OR(F1351="Y",G1351="Y",H1351="Y"),1,0)</f>
        <v>0</v>
      </c>
      <c r="M1351" s="3" t="n">
        <f aca="false">IF(H1351="Y",1,0)</f>
        <v>0</v>
      </c>
      <c r="N1351" s="3" t="n">
        <f aca="false">IF(I1351="Y",1,0)</f>
        <v>0</v>
      </c>
    </row>
    <row r="1352" customFormat="false" ht="15" hidden="false" customHeight="true" outlineLevel="0" collapsed="false">
      <c r="A1352" s="7" t="s">
        <v>62</v>
      </c>
      <c r="B1352" s="7" t="n">
        <v>1885</v>
      </c>
      <c r="C1352" s="7" t="s">
        <v>571</v>
      </c>
      <c r="D1352" s="7" t="n">
        <v>53</v>
      </c>
      <c r="E1352" s="7" t="n">
        <v>59</v>
      </c>
      <c r="F1352" s="7"/>
      <c r="G1352" s="7"/>
      <c r="H1352" s="7" t="s">
        <v>546</v>
      </c>
      <c r="I1352" s="7" t="s">
        <v>546</v>
      </c>
      <c r="J1352" s="21" t="n">
        <f aca="false">D1352/(D1352+E1352)</f>
        <v>0.473214285714286</v>
      </c>
      <c r="K1352" s="3" t="n">
        <f aca="false">IF(D1352&gt;E1352,1,0)</f>
        <v>0</v>
      </c>
      <c r="L1352" s="3" t="n">
        <f aca="false">IF(OR(F1352="Y",G1352="Y",H1352="Y"),1,0)</f>
        <v>0</v>
      </c>
      <c r="M1352" s="3" t="n">
        <f aca="false">IF(H1352="Y",1,0)</f>
        <v>0</v>
      </c>
      <c r="N1352" s="3" t="n">
        <f aca="false">IF(I1352="Y",1,0)</f>
        <v>0</v>
      </c>
    </row>
    <row r="1353" customFormat="false" ht="15" hidden="false" customHeight="true" outlineLevel="0" collapsed="false">
      <c r="A1353" s="7" t="s">
        <v>62</v>
      </c>
      <c r="B1353" s="7" t="n">
        <v>1886</v>
      </c>
      <c r="C1353" s="7" t="s">
        <v>571</v>
      </c>
      <c r="D1353" s="7" t="n">
        <v>76</v>
      </c>
      <c r="E1353" s="7" t="n">
        <v>61</v>
      </c>
      <c r="F1353" s="7"/>
      <c r="G1353" s="7"/>
      <c r="H1353" s="7" t="s">
        <v>546</v>
      </c>
      <c r="I1353" s="7" t="s">
        <v>546</v>
      </c>
      <c r="J1353" s="21" t="n">
        <f aca="false">D1353/(D1353+E1353)</f>
        <v>0.554744525547445</v>
      </c>
      <c r="K1353" s="3" t="n">
        <f aca="false">IF(D1353&gt;E1353,1,0)</f>
        <v>1</v>
      </c>
      <c r="L1353" s="3" t="n">
        <f aca="false">IF(OR(F1353="Y",G1353="Y",H1353="Y"),1,0)</f>
        <v>0</v>
      </c>
      <c r="M1353" s="3" t="n">
        <f aca="false">IF(H1353="Y",1,0)</f>
        <v>0</v>
      </c>
      <c r="N1353" s="3" t="n">
        <f aca="false">IF(I1353="Y",1,0)</f>
        <v>0</v>
      </c>
    </row>
    <row r="1354" customFormat="false" ht="15" hidden="false" customHeight="true" outlineLevel="0" collapsed="false">
      <c r="A1354" s="7" t="s">
        <v>62</v>
      </c>
      <c r="B1354" s="7" t="n">
        <v>1887</v>
      </c>
      <c r="C1354" s="7" t="s">
        <v>571</v>
      </c>
      <c r="D1354" s="7" t="n">
        <v>60</v>
      </c>
      <c r="E1354" s="7" t="n">
        <v>74</v>
      </c>
      <c r="F1354" s="7"/>
      <c r="G1354" s="7"/>
      <c r="H1354" s="7" t="s">
        <v>546</v>
      </c>
      <c r="I1354" s="7" t="s">
        <v>546</v>
      </c>
      <c r="J1354" s="21" t="n">
        <f aca="false">D1354/(D1354+E1354)</f>
        <v>0.447761194029851</v>
      </c>
      <c r="K1354" s="3" t="n">
        <f aca="false">IF(D1354&gt;E1354,1,0)</f>
        <v>0</v>
      </c>
      <c r="L1354" s="3" t="n">
        <f aca="false">IF(OR(F1354="Y",G1354="Y",H1354="Y"),1,0)</f>
        <v>0</v>
      </c>
      <c r="M1354" s="3" t="n">
        <f aca="false">IF(H1354="Y",1,0)</f>
        <v>0</v>
      </c>
      <c r="N1354" s="3" t="n">
        <f aca="false">IF(I1354="Y",1,0)</f>
        <v>0</v>
      </c>
    </row>
    <row r="1355" customFormat="false" ht="15" hidden="false" customHeight="true" outlineLevel="0" collapsed="false">
      <c r="A1355" s="7" t="s">
        <v>62</v>
      </c>
      <c r="B1355" s="7" t="n">
        <v>1888</v>
      </c>
      <c r="C1355" s="7" t="s">
        <v>572</v>
      </c>
      <c r="D1355" s="7" t="n">
        <v>88</v>
      </c>
      <c r="E1355" s="7" t="n">
        <v>52</v>
      </c>
      <c r="F1355" s="7"/>
      <c r="G1355" s="7"/>
      <c r="H1355" s="7" t="s">
        <v>546</v>
      </c>
      <c r="I1355" s="7" t="s">
        <v>546</v>
      </c>
      <c r="J1355" s="21" t="n">
        <f aca="false">D1355/(D1355+E1355)</f>
        <v>0.628571428571429</v>
      </c>
      <c r="K1355" s="3" t="n">
        <f aca="false">IF(D1355&gt;E1355,1,0)</f>
        <v>1</v>
      </c>
      <c r="L1355" s="3" t="n">
        <f aca="false">IF(OR(F1355="Y",G1355="Y",H1355="Y"),1,0)</f>
        <v>0</v>
      </c>
      <c r="M1355" s="3" t="n">
        <f aca="false">IF(H1355="Y",1,0)</f>
        <v>0</v>
      </c>
      <c r="N1355" s="3" t="n">
        <f aca="false">IF(I1355="Y",1,0)</f>
        <v>0</v>
      </c>
    </row>
    <row r="1356" customFormat="false" ht="15" hidden="false" customHeight="true" outlineLevel="0" collapsed="false">
      <c r="A1356" s="7" t="s">
        <v>62</v>
      </c>
      <c r="B1356" s="7" t="n">
        <v>1889</v>
      </c>
      <c r="C1356" s="7" t="s">
        <v>572</v>
      </c>
      <c r="D1356" s="7" t="n">
        <v>93</v>
      </c>
      <c r="E1356" s="7" t="n">
        <v>44</v>
      </c>
      <c r="F1356" s="7"/>
      <c r="G1356" s="7"/>
      <c r="H1356" s="7" t="s">
        <v>548</v>
      </c>
      <c r="I1356" s="7" t="s">
        <v>546</v>
      </c>
      <c r="J1356" s="21" t="n">
        <f aca="false">D1356/(D1356+E1356)</f>
        <v>0.678832116788321</v>
      </c>
      <c r="K1356" s="3" t="n">
        <f aca="false">IF(D1356&gt;E1356,1,0)</f>
        <v>1</v>
      </c>
      <c r="L1356" s="3" t="n">
        <f aca="false">IF(OR(F1356="Y",G1356="Y",H1356="Y"),1,0)</f>
        <v>1</v>
      </c>
      <c r="M1356" s="3" t="n">
        <f aca="false">IF(H1356="Y",1,0)</f>
        <v>1</v>
      </c>
      <c r="N1356" s="3" t="n">
        <f aca="false">IF(I1356="Y",1,0)</f>
        <v>0</v>
      </c>
    </row>
    <row r="1357" customFormat="false" ht="15" hidden="false" customHeight="true" outlineLevel="0" collapsed="false">
      <c r="A1357" s="7" t="s">
        <v>62</v>
      </c>
      <c r="B1357" s="7" t="n">
        <v>1890</v>
      </c>
      <c r="C1357" s="7" t="s">
        <v>572</v>
      </c>
      <c r="D1357" s="7" t="n">
        <v>86</v>
      </c>
      <c r="E1357" s="7" t="n">
        <v>43</v>
      </c>
      <c r="F1357" s="7"/>
      <c r="G1357" s="7"/>
      <c r="H1357" s="7" t="s">
        <v>548</v>
      </c>
      <c r="I1357" s="7" t="s">
        <v>546</v>
      </c>
      <c r="J1357" s="21" t="n">
        <f aca="false">D1357/(D1357+E1357)</f>
        <v>0.666666666666667</v>
      </c>
      <c r="K1357" s="3" t="n">
        <f aca="false">IF(D1357&gt;E1357,1,0)</f>
        <v>1</v>
      </c>
      <c r="L1357" s="3" t="n">
        <f aca="false">IF(OR(F1357="Y",G1357="Y",H1357="Y"),1,0)</f>
        <v>1</v>
      </c>
      <c r="M1357" s="3" t="n">
        <f aca="false">IF(H1357="Y",1,0)</f>
        <v>1</v>
      </c>
      <c r="N1357" s="3" t="n">
        <f aca="false">IF(I1357="Y",1,0)</f>
        <v>0</v>
      </c>
    </row>
    <row r="1358" customFormat="false" ht="15" hidden="false" customHeight="true" outlineLevel="0" collapsed="false">
      <c r="A1358" s="7" t="s">
        <v>62</v>
      </c>
      <c r="B1358" s="7" t="n">
        <v>1891</v>
      </c>
      <c r="C1358" s="7" t="s">
        <v>573</v>
      </c>
      <c r="D1358" s="7" t="n">
        <v>61</v>
      </c>
      <c r="E1358" s="7" t="n">
        <v>76</v>
      </c>
      <c r="F1358" s="7"/>
      <c r="G1358" s="7"/>
      <c r="H1358" s="7" t="s">
        <v>546</v>
      </c>
      <c r="I1358" s="7"/>
      <c r="J1358" s="21" t="n">
        <f aca="false">D1358/(D1358+E1358)</f>
        <v>0.445255474452555</v>
      </c>
      <c r="K1358" s="3" t="n">
        <f aca="false">IF(D1358&gt;E1358,1,0)</f>
        <v>0</v>
      </c>
      <c r="L1358" s="3" t="n">
        <f aca="false">IF(OR(F1358="Y",G1358="Y",H1358="Y"),1,0)</f>
        <v>0</v>
      </c>
      <c r="M1358" s="3" t="n">
        <f aca="false">IF(H1358="Y",1,0)</f>
        <v>0</v>
      </c>
      <c r="N1358" s="3" t="n">
        <f aca="false">IF(I1358="Y",1,0)</f>
        <v>0</v>
      </c>
    </row>
    <row r="1359" customFormat="false" ht="15" hidden="false" customHeight="true" outlineLevel="0" collapsed="false">
      <c r="A1359" s="7" t="s">
        <v>62</v>
      </c>
      <c r="B1359" s="7" t="n">
        <v>1892</v>
      </c>
      <c r="C1359" s="7" t="s">
        <v>573</v>
      </c>
      <c r="D1359" s="7" t="n">
        <v>95</v>
      </c>
      <c r="E1359" s="7" t="n">
        <v>59</v>
      </c>
      <c r="F1359" s="7"/>
      <c r="G1359" s="7"/>
      <c r="H1359" s="7" t="s">
        <v>546</v>
      </c>
      <c r="I1359" s="7"/>
      <c r="J1359" s="21" t="n">
        <f aca="false">D1359/(D1359+E1359)</f>
        <v>0.616883116883117</v>
      </c>
      <c r="K1359" s="3" t="n">
        <f aca="false">IF(D1359&gt;E1359,1,0)</f>
        <v>1</v>
      </c>
      <c r="L1359" s="3" t="n">
        <f aca="false">IF(OR(F1359="Y",G1359="Y",H1359="Y"),1,0)</f>
        <v>0</v>
      </c>
      <c r="M1359" s="3" t="n">
        <f aca="false">IF(H1359="Y",1,0)</f>
        <v>0</v>
      </c>
      <c r="N1359" s="3" t="n">
        <f aca="false">IF(I1359="Y",1,0)</f>
        <v>0</v>
      </c>
    </row>
    <row r="1360" customFormat="false" ht="15" hidden="false" customHeight="true" outlineLevel="0" collapsed="false">
      <c r="A1360" s="7" t="s">
        <v>62</v>
      </c>
      <c r="B1360" s="7" t="n">
        <v>1893</v>
      </c>
      <c r="C1360" s="7" t="s">
        <v>573</v>
      </c>
      <c r="D1360" s="7" t="n">
        <v>65</v>
      </c>
      <c r="E1360" s="7" t="n">
        <v>63</v>
      </c>
      <c r="F1360" s="7"/>
      <c r="G1360" s="7"/>
      <c r="H1360" s="7" t="s">
        <v>546</v>
      </c>
      <c r="I1360" s="7"/>
      <c r="J1360" s="21" t="n">
        <f aca="false">D1360/(D1360+E1360)</f>
        <v>0.5078125</v>
      </c>
      <c r="K1360" s="3" t="n">
        <f aca="false">IF(D1360&gt;E1360,1,0)</f>
        <v>1</v>
      </c>
      <c r="L1360" s="3" t="n">
        <f aca="false">IF(OR(F1360="Y",G1360="Y",H1360="Y"),1,0)</f>
        <v>0</v>
      </c>
      <c r="M1360" s="3" t="n">
        <f aca="false">IF(H1360="Y",1,0)</f>
        <v>0</v>
      </c>
      <c r="N1360" s="3" t="n">
        <f aca="false">IF(I1360="Y",1,0)</f>
        <v>0</v>
      </c>
    </row>
    <row r="1361" customFormat="false" ht="15" hidden="false" customHeight="true" outlineLevel="0" collapsed="false">
      <c r="A1361" s="7" t="s">
        <v>62</v>
      </c>
      <c r="B1361" s="7" t="n">
        <v>1894</v>
      </c>
      <c r="C1361" s="7" t="s">
        <v>573</v>
      </c>
      <c r="D1361" s="7" t="n">
        <v>70</v>
      </c>
      <c r="E1361" s="7" t="n">
        <v>61</v>
      </c>
      <c r="F1361" s="7"/>
      <c r="G1361" s="7"/>
      <c r="H1361" s="7" t="s">
        <v>546</v>
      </c>
      <c r="I1361" s="7"/>
      <c r="J1361" s="21" t="n">
        <f aca="false">D1361/(D1361+E1361)</f>
        <v>0.534351145038168</v>
      </c>
      <c r="K1361" s="3" t="n">
        <f aca="false">IF(D1361&gt;E1361,1,0)</f>
        <v>1</v>
      </c>
      <c r="L1361" s="3" t="n">
        <f aca="false">IF(OR(F1361="Y",G1361="Y",H1361="Y"),1,0)</f>
        <v>0</v>
      </c>
      <c r="M1361" s="3" t="n">
        <f aca="false">IF(H1361="Y",1,0)</f>
        <v>0</v>
      </c>
      <c r="N1361" s="3" t="n">
        <f aca="false">IF(I1361="Y",1,0)</f>
        <v>0</v>
      </c>
    </row>
    <row r="1362" customFormat="false" ht="15" hidden="false" customHeight="true" outlineLevel="0" collapsed="false">
      <c r="A1362" s="7" t="s">
        <v>62</v>
      </c>
      <c r="B1362" s="7" t="n">
        <v>1895</v>
      </c>
      <c r="C1362" s="7" t="s">
        <v>573</v>
      </c>
      <c r="D1362" s="7" t="n">
        <v>71</v>
      </c>
      <c r="E1362" s="7" t="n">
        <v>60</v>
      </c>
      <c r="F1362" s="7"/>
      <c r="G1362" s="7"/>
      <c r="H1362" s="7" t="s">
        <v>546</v>
      </c>
      <c r="I1362" s="7"/>
      <c r="J1362" s="21" t="n">
        <f aca="false">D1362/(D1362+E1362)</f>
        <v>0.541984732824428</v>
      </c>
      <c r="K1362" s="3" t="n">
        <f aca="false">IF(D1362&gt;E1362,1,0)</f>
        <v>1</v>
      </c>
      <c r="L1362" s="3" t="n">
        <f aca="false">IF(OR(F1362="Y",G1362="Y",H1362="Y"),1,0)</f>
        <v>0</v>
      </c>
      <c r="M1362" s="3" t="n">
        <f aca="false">IF(H1362="Y",1,0)</f>
        <v>0</v>
      </c>
      <c r="N1362" s="3" t="n">
        <f aca="false">IF(I1362="Y",1,0)</f>
        <v>0</v>
      </c>
    </row>
    <row r="1363" customFormat="false" ht="15" hidden="false" customHeight="true" outlineLevel="0" collapsed="false">
      <c r="A1363" s="7" t="s">
        <v>62</v>
      </c>
      <c r="B1363" s="7" t="n">
        <v>1896</v>
      </c>
      <c r="C1363" s="7" t="s">
        <v>572</v>
      </c>
      <c r="D1363" s="7" t="n">
        <v>58</v>
      </c>
      <c r="E1363" s="7" t="n">
        <v>73</v>
      </c>
      <c r="F1363" s="7"/>
      <c r="G1363" s="7"/>
      <c r="H1363" s="7" t="s">
        <v>546</v>
      </c>
      <c r="I1363" s="7"/>
      <c r="J1363" s="21" t="n">
        <f aca="false">D1363/(D1363+E1363)</f>
        <v>0.442748091603053</v>
      </c>
      <c r="K1363" s="3" t="n">
        <f aca="false">IF(D1363&gt;E1363,1,0)</f>
        <v>0</v>
      </c>
      <c r="L1363" s="3" t="n">
        <f aca="false">IF(OR(F1363="Y",G1363="Y",H1363="Y"),1,0)</f>
        <v>0</v>
      </c>
      <c r="M1363" s="3" t="n">
        <f aca="false">IF(H1363="Y",1,0)</f>
        <v>0</v>
      </c>
      <c r="N1363" s="3" t="n">
        <f aca="false">IF(I1363="Y",1,0)</f>
        <v>0</v>
      </c>
    </row>
    <row r="1364" customFormat="false" ht="15" hidden="false" customHeight="true" outlineLevel="0" collapsed="false">
      <c r="A1364" s="7" t="s">
        <v>62</v>
      </c>
      <c r="B1364" s="7" t="n">
        <v>1897</v>
      </c>
      <c r="C1364" s="7" t="s">
        <v>572</v>
      </c>
      <c r="D1364" s="7" t="n">
        <v>61</v>
      </c>
      <c r="E1364" s="7" t="n">
        <v>71</v>
      </c>
      <c r="F1364" s="7"/>
      <c r="G1364" s="7"/>
      <c r="H1364" s="7" t="s">
        <v>546</v>
      </c>
      <c r="I1364" s="7"/>
      <c r="J1364" s="21" t="n">
        <f aca="false">D1364/(D1364+E1364)</f>
        <v>0.462121212121212</v>
      </c>
      <c r="K1364" s="3" t="n">
        <f aca="false">IF(D1364&gt;E1364,1,0)</f>
        <v>0</v>
      </c>
      <c r="L1364" s="3" t="n">
        <f aca="false">IF(OR(F1364="Y",G1364="Y",H1364="Y"),1,0)</f>
        <v>0</v>
      </c>
      <c r="M1364" s="3" t="n">
        <f aca="false">IF(H1364="Y",1,0)</f>
        <v>0</v>
      </c>
      <c r="N1364" s="3" t="n">
        <f aca="false">IF(I1364="Y",1,0)</f>
        <v>0</v>
      </c>
    </row>
    <row r="1365" customFormat="false" ht="15" hidden="false" customHeight="true" outlineLevel="0" collapsed="false">
      <c r="A1365" s="7" t="s">
        <v>62</v>
      </c>
      <c r="B1365" s="7" t="n">
        <v>1898</v>
      </c>
      <c r="C1365" s="7" t="s">
        <v>572</v>
      </c>
      <c r="D1365" s="7" t="n">
        <v>54</v>
      </c>
      <c r="E1365" s="7" t="n">
        <v>91</v>
      </c>
      <c r="F1365" s="7"/>
      <c r="G1365" s="7"/>
      <c r="H1365" s="7" t="s">
        <v>546</v>
      </c>
      <c r="I1365" s="7"/>
      <c r="J1365" s="21" t="n">
        <f aca="false">D1365/(D1365+E1365)</f>
        <v>0.372413793103448</v>
      </c>
      <c r="K1365" s="3" t="n">
        <f aca="false">IF(D1365&gt;E1365,1,0)</f>
        <v>0</v>
      </c>
      <c r="L1365" s="3" t="n">
        <f aca="false">IF(OR(F1365="Y",G1365="Y",H1365="Y"),1,0)</f>
        <v>0</v>
      </c>
      <c r="M1365" s="3" t="n">
        <f aca="false">IF(H1365="Y",1,0)</f>
        <v>0</v>
      </c>
      <c r="N1365" s="3" t="n">
        <f aca="false">IF(I1365="Y",1,0)</f>
        <v>0</v>
      </c>
    </row>
    <row r="1366" customFormat="false" ht="15" hidden="false" customHeight="true" outlineLevel="0" collapsed="false">
      <c r="A1366" s="7" t="s">
        <v>62</v>
      </c>
      <c r="B1366" s="7" t="n">
        <v>1899</v>
      </c>
      <c r="C1366" s="7" t="s">
        <v>574</v>
      </c>
      <c r="D1366" s="7" t="n">
        <v>101</v>
      </c>
      <c r="E1366" s="7" t="n">
        <v>47</v>
      </c>
      <c r="F1366" s="7"/>
      <c r="G1366" s="7"/>
      <c r="H1366" s="7" t="s">
        <v>548</v>
      </c>
      <c r="I1366" s="7"/>
      <c r="J1366" s="21" t="n">
        <f aca="false">D1366/(D1366+E1366)</f>
        <v>0.682432432432433</v>
      </c>
      <c r="K1366" s="3" t="n">
        <f aca="false">IF(D1366&gt;E1366,1,0)</f>
        <v>1</v>
      </c>
      <c r="L1366" s="3" t="n">
        <f aca="false">IF(OR(F1366="Y",G1366="Y",H1366="Y"),1,0)</f>
        <v>1</v>
      </c>
      <c r="M1366" s="3" t="n">
        <f aca="false">IF(H1366="Y",1,0)</f>
        <v>1</v>
      </c>
      <c r="N1366" s="3" t="n">
        <f aca="false">IF(I1366="Y",1,0)</f>
        <v>0</v>
      </c>
    </row>
    <row r="1367" customFormat="false" ht="15" hidden="false" customHeight="true" outlineLevel="0" collapsed="false">
      <c r="A1367" s="7" t="s">
        <v>62</v>
      </c>
      <c r="B1367" s="7" t="n">
        <v>1900</v>
      </c>
      <c r="C1367" s="7" t="s">
        <v>574</v>
      </c>
      <c r="D1367" s="7" t="n">
        <v>82</v>
      </c>
      <c r="E1367" s="7" t="n">
        <v>54</v>
      </c>
      <c r="F1367" s="7"/>
      <c r="G1367" s="7"/>
      <c r="H1367" s="7" t="s">
        <v>548</v>
      </c>
      <c r="I1367" s="7"/>
      <c r="J1367" s="21" t="n">
        <f aca="false">D1367/(D1367+E1367)</f>
        <v>0.602941176470588</v>
      </c>
      <c r="K1367" s="3" t="n">
        <f aca="false">IF(D1367&gt;E1367,1,0)</f>
        <v>1</v>
      </c>
      <c r="L1367" s="3" t="n">
        <f aca="false">IF(OR(F1367="Y",G1367="Y",H1367="Y"),1,0)</f>
        <v>1</v>
      </c>
      <c r="M1367" s="3" t="n">
        <f aca="false">IF(H1367="Y",1,0)</f>
        <v>1</v>
      </c>
      <c r="N1367" s="3" t="n">
        <f aca="false">IF(I1367="Y",1,0)</f>
        <v>0</v>
      </c>
    </row>
    <row r="1368" customFormat="false" ht="15" hidden="false" customHeight="true" outlineLevel="0" collapsed="false">
      <c r="A1368" s="7" t="s">
        <v>62</v>
      </c>
      <c r="B1368" s="7" t="n">
        <v>1901</v>
      </c>
      <c r="C1368" s="7" t="s">
        <v>574</v>
      </c>
      <c r="D1368" s="7" t="n">
        <v>79</v>
      </c>
      <c r="E1368" s="7" t="n">
        <v>57</v>
      </c>
      <c r="F1368" s="7"/>
      <c r="G1368" s="7"/>
      <c r="H1368" s="7" t="s">
        <v>546</v>
      </c>
      <c r="I1368" s="7"/>
      <c r="J1368" s="21" t="n">
        <f aca="false">D1368/(D1368+E1368)</f>
        <v>0.580882352941177</v>
      </c>
      <c r="K1368" s="3" t="n">
        <f aca="false">IF(D1368&gt;E1368,1,0)</f>
        <v>1</v>
      </c>
      <c r="L1368" s="3" t="n">
        <f aca="false">IF(OR(F1368="Y",G1368="Y",H1368="Y"),1,0)</f>
        <v>0</v>
      </c>
      <c r="M1368" s="3" t="n">
        <f aca="false">IF(H1368="Y",1,0)</f>
        <v>0</v>
      </c>
      <c r="N1368" s="3" t="n">
        <f aca="false">IF(I1368="Y",1,0)</f>
        <v>0</v>
      </c>
    </row>
    <row r="1369" customFormat="false" ht="15" hidden="false" customHeight="true" outlineLevel="0" collapsed="false">
      <c r="A1369" s="7" t="s">
        <v>62</v>
      </c>
      <c r="B1369" s="7" t="n">
        <v>1902</v>
      </c>
      <c r="C1369" s="7" t="s">
        <v>574</v>
      </c>
      <c r="D1369" s="7" t="n">
        <v>75</v>
      </c>
      <c r="E1369" s="7" t="n">
        <v>63</v>
      </c>
      <c r="F1369" s="7"/>
      <c r="G1369" s="7"/>
      <c r="H1369" s="7" t="s">
        <v>546</v>
      </c>
      <c r="I1369" s="7"/>
      <c r="J1369" s="21" t="n">
        <f aca="false">D1369/(D1369+E1369)</f>
        <v>0.543478260869565</v>
      </c>
      <c r="K1369" s="3" t="n">
        <f aca="false">IF(D1369&gt;E1369,1,0)</f>
        <v>1</v>
      </c>
      <c r="L1369" s="3" t="n">
        <f aca="false">IF(OR(F1369="Y",G1369="Y",H1369="Y"),1,0)</f>
        <v>0</v>
      </c>
      <c r="M1369" s="3" t="n">
        <f aca="false">IF(H1369="Y",1,0)</f>
        <v>0</v>
      </c>
      <c r="N1369" s="3" t="n">
        <f aca="false">IF(I1369="Y",1,0)</f>
        <v>0</v>
      </c>
    </row>
    <row r="1370" customFormat="false" ht="15" hidden="false" customHeight="true" outlineLevel="0" collapsed="false">
      <c r="A1370" s="7" t="s">
        <v>62</v>
      </c>
      <c r="B1370" s="7" t="n">
        <v>1903</v>
      </c>
      <c r="C1370" s="7" t="s">
        <v>574</v>
      </c>
      <c r="D1370" s="7" t="n">
        <v>70</v>
      </c>
      <c r="E1370" s="7" t="n">
        <v>66</v>
      </c>
      <c r="F1370" s="7"/>
      <c r="G1370" s="7"/>
      <c r="H1370" s="7" t="s">
        <v>546</v>
      </c>
      <c r="I1370" s="7" t="s">
        <v>546</v>
      </c>
      <c r="J1370" s="21" t="n">
        <f aca="false">D1370/(D1370+E1370)</f>
        <v>0.514705882352941</v>
      </c>
      <c r="K1370" s="3" t="n">
        <f aca="false">IF(D1370&gt;E1370,1,0)</f>
        <v>1</v>
      </c>
      <c r="L1370" s="3" t="n">
        <f aca="false">IF(OR(F1370="Y",G1370="Y",H1370="Y"),1,0)</f>
        <v>0</v>
      </c>
      <c r="M1370" s="3" t="n">
        <f aca="false">IF(H1370="Y",1,0)</f>
        <v>0</v>
      </c>
      <c r="N1370" s="3" t="n">
        <f aca="false">IF(I1370="Y",1,0)</f>
        <v>0</v>
      </c>
    </row>
    <row r="1371" customFormat="false" ht="15" hidden="false" customHeight="true" outlineLevel="0" collapsed="false">
      <c r="A1371" s="7" t="s">
        <v>62</v>
      </c>
      <c r="B1371" s="7" t="n">
        <v>1904</v>
      </c>
      <c r="C1371" s="7" t="s">
        <v>574</v>
      </c>
      <c r="D1371" s="7" t="n">
        <v>56</v>
      </c>
      <c r="E1371" s="7" t="n">
        <v>97</v>
      </c>
      <c r="F1371" s="7"/>
      <c r="G1371" s="7"/>
      <c r="H1371" s="7" t="s">
        <v>546</v>
      </c>
      <c r="I1371" s="7"/>
      <c r="J1371" s="21" t="n">
        <f aca="false">D1371/(D1371+E1371)</f>
        <v>0.366013071895425</v>
      </c>
      <c r="K1371" s="3" t="n">
        <f aca="false">IF(D1371&gt;E1371,1,0)</f>
        <v>0</v>
      </c>
      <c r="L1371" s="3" t="n">
        <f aca="false">IF(OR(F1371="Y",G1371="Y",H1371="Y"),1,0)</f>
        <v>0</v>
      </c>
      <c r="M1371" s="3" t="n">
        <f aca="false">IF(H1371="Y",1,0)</f>
        <v>0</v>
      </c>
      <c r="N1371" s="3" t="n">
        <f aca="false">IF(I1371="Y",1,0)</f>
        <v>0</v>
      </c>
    </row>
    <row r="1372" customFormat="false" ht="15" hidden="false" customHeight="true" outlineLevel="0" collapsed="false">
      <c r="A1372" s="7" t="s">
        <v>62</v>
      </c>
      <c r="B1372" s="7" t="n">
        <v>1905</v>
      </c>
      <c r="C1372" s="7" t="s">
        <v>574</v>
      </c>
      <c r="D1372" s="7" t="n">
        <v>48</v>
      </c>
      <c r="E1372" s="7" t="n">
        <v>104</v>
      </c>
      <c r="F1372" s="7"/>
      <c r="G1372" s="7"/>
      <c r="H1372" s="7" t="s">
        <v>546</v>
      </c>
      <c r="I1372" s="7" t="s">
        <v>546</v>
      </c>
      <c r="J1372" s="21" t="n">
        <f aca="false">D1372/(D1372+E1372)</f>
        <v>0.315789473684211</v>
      </c>
      <c r="K1372" s="3" t="n">
        <f aca="false">IF(D1372&gt;E1372,1,0)</f>
        <v>0</v>
      </c>
      <c r="L1372" s="3" t="n">
        <f aca="false">IF(OR(F1372="Y",G1372="Y",H1372="Y"),1,0)</f>
        <v>0</v>
      </c>
      <c r="M1372" s="3" t="n">
        <f aca="false">IF(H1372="Y",1,0)</f>
        <v>0</v>
      </c>
      <c r="N1372" s="3" t="n">
        <f aca="false">IF(I1372="Y",1,0)</f>
        <v>0</v>
      </c>
    </row>
    <row r="1373" customFormat="false" ht="15" hidden="false" customHeight="true" outlineLevel="0" collapsed="false">
      <c r="A1373" s="7" t="s">
        <v>62</v>
      </c>
      <c r="B1373" s="7" t="n">
        <v>1906</v>
      </c>
      <c r="C1373" s="7" t="s">
        <v>574</v>
      </c>
      <c r="D1373" s="7" t="n">
        <v>66</v>
      </c>
      <c r="E1373" s="7" t="n">
        <v>86</v>
      </c>
      <c r="F1373" s="7"/>
      <c r="G1373" s="7"/>
      <c r="H1373" s="7" t="s">
        <v>546</v>
      </c>
      <c r="I1373" s="7" t="s">
        <v>546</v>
      </c>
      <c r="J1373" s="21" t="n">
        <f aca="false">D1373/(D1373+E1373)</f>
        <v>0.43421052631579</v>
      </c>
      <c r="K1373" s="3" t="n">
        <f aca="false">IF(D1373&gt;E1373,1,0)</f>
        <v>0</v>
      </c>
      <c r="L1373" s="3" t="n">
        <f aca="false">IF(OR(F1373="Y",G1373="Y",H1373="Y"),1,0)</f>
        <v>0</v>
      </c>
      <c r="M1373" s="3" t="n">
        <f aca="false">IF(H1373="Y",1,0)</f>
        <v>0</v>
      </c>
      <c r="N1373" s="3" t="n">
        <f aca="false">IF(I1373="Y",1,0)</f>
        <v>0</v>
      </c>
    </row>
    <row r="1374" customFormat="false" ht="15" hidden="false" customHeight="true" outlineLevel="0" collapsed="false">
      <c r="A1374" s="7" t="s">
        <v>62</v>
      </c>
      <c r="B1374" s="7" t="n">
        <v>1907</v>
      </c>
      <c r="C1374" s="7" t="s">
        <v>574</v>
      </c>
      <c r="D1374" s="7" t="n">
        <v>65</v>
      </c>
      <c r="E1374" s="7" t="n">
        <v>83</v>
      </c>
      <c r="F1374" s="7"/>
      <c r="G1374" s="7"/>
      <c r="H1374" s="7" t="s">
        <v>546</v>
      </c>
      <c r="I1374" s="7" t="s">
        <v>546</v>
      </c>
      <c r="J1374" s="21" t="n">
        <f aca="false">D1374/(D1374+E1374)</f>
        <v>0.439189189189189</v>
      </c>
      <c r="K1374" s="3" t="n">
        <f aca="false">IF(D1374&gt;E1374,1,0)</f>
        <v>0</v>
      </c>
      <c r="L1374" s="3" t="n">
        <f aca="false">IF(OR(F1374="Y",G1374="Y",H1374="Y"),1,0)</f>
        <v>0</v>
      </c>
      <c r="M1374" s="3" t="n">
        <f aca="false">IF(H1374="Y",1,0)</f>
        <v>0</v>
      </c>
      <c r="N1374" s="3" t="n">
        <f aca="false">IF(I1374="Y",1,0)</f>
        <v>0</v>
      </c>
    </row>
    <row r="1375" customFormat="false" ht="15" hidden="false" customHeight="true" outlineLevel="0" collapsed="false">
      <c r="A1375" s="7" t="s">
        <v>62</v>
      </c>
      <c r="B1375" s="7" t="n">
        <v>1908</v>
      </c>
      <c r="C1375" s="7" t="s">
        <v>574</v>
      </c>
      <c r="D1375" s="7" t="n">
        <v>53</v>
      </c>
      <c r="E1375" s="7" t="n">
        <v>101</v>
      </c>
      <c r="F1375" s="7"/>
      <c r="G1375" s="7"/>
      <c r="H1375" s="7" t="s">
        <v>546</v>
      </c>
      <c r="I1375" s="7" t="s">
        <v>546</v>
      </c>
      <c r="J1375" s="21" t="n">
        <f aca="false">D1375/(D1375+E1375)</f>
        <v>0.344155844155844</v>
      </c>
      <c r="K1375" s="3" t="n">
        <f aca="false">IF(D1375&gt;E1375,1,0)</f>
        <v>0</v>
      </c>
      <c r="L1375" s="3" t="n">
        <f aca="false">IF(OR(F1375="Y",G1375="Y",H1375="Y"),1,0)</f>
        <v>0</v>
      </c>
      <c r="M1375" s="3" t="n">
        <f aca="false">IF(H1375="Y",1,0)</f>
        <v>0</v>
      </c>
      <c r="N1375" s="3" t="n">
        <f aca="false">IF(I1375="Y",1,0)</f>
        <v>0</v>
      </c>
    </row>
    <row r="1376" customFormat="false" ht="15" hidden="false" customHeight="true" outlineLevel="0" collapsed="false">
      <c r="A1376" s="7" t="s">
        <v>62</v>
      </c>
      <c r="B1376" s="7" t="n">
        <v>1909</v>
      </c>
      <c r="C1376" s="7" t="s">
        <v>574</v>
      </c>
      <c r="D1376" s="7" t="n">
        <v>55</v>
      </c>
      <c r="E1376" s="7" t="n">
        <v>98</v>
      </c>
      <c r="F1376" s="7"/>
      <c r="G1376" s="7"/>
      <c r="H1376" s="7" t="s">
        <v>546</v>
      </c>
      <c r="I1376" s="7" t="s">
        <v>546</v>
      </c>
      <c r="J1376" s="21" t="n">
        <f aca="false">D1376/(D1376+E1376)</f>
        <v>0.359477124183007</v>
      </c>
      <c r="K1376" s="3" t="n">
        <f aca="false">IF(D1376&gt;E1376,1,0)</f>
        <v>0</v>
      </c>
      <c r="L1376" s="3" t="n">
        <f aca="false">IF(OR(F1376="Y",G1376="Y",H1376="Y"),1,0)</f>
        <v>0</v>
      </c>
      <c r="M1376" s="3" t="n">
        <f aca="false">IF(H1376="Y",1,0)</f>
        <v>0</v>
      </c>
      <c r="N1376" s="3" t="n">
        <f aca="false">IF(I1376="Y",1,0)</f>
        <v>0</v>
      </c>
    </row>
    <row r="1377" customFormat="false" ht="15" hidden="false" customHeight="true" outlineLevel="0" collapsed="false">
      <c r="A1377" s="7" t="s">
        <v>62</v>
      </c>
      <c r="B1377" s="7" t="n">
        <v>1910</v>
      </c>
      <c r="C1377" s="7" t="s">
        <v>574</v>
      </c>
      <c r="D1377" s="7" t="n">
        <v>64</v>
      </c>
      <c r="E1377" s="7" t="n">
        <v>90</v>
      </c>
      <c r="F1377" s="7"/>
      <c r="G1377" s="7"/>
      <c r="H1377" s="7" t="s">
        <v>546</v>
      </c>
      <c r="I1377" s="7" t="s">
        <v>546</v>
      </c>
      <c r="J1377" s="21" t="n">
        <f aca="false">D1377/(D1377+E1377)</f>
        <v>0.415584415584416</v>
      </c>
      <c r="K1377" s="3" t="n">
        <f aca="false">IF(D1377&gt;E1377,1,0)</f>
        <v>0</v>
      </c>
      <c r="L1377" s="3" t="n">
        <f aca="false">IF(OR(F1377="Y",G1377="Y",H1377="Y"),1,0)</f>
        <v>0</v>
      </c>
      <c r="M1377" s="3" t="n">
        <f aca="false">IF(H1377="Y",1,0)</f>
        <v>0</v>
      </c>
      <c r="N1377" s="3" t="n">
        <f aca="false">IF(I1377="Y",1,0)</f>
        <v>0</v>
      </c>
    </row>
    <row r="1378" customFormat="false" ht="15" hidden="false" customHeight="true" outlineLevel="0" collapsed="false">
      <c r="A1378" s="7" t="s">
        <v>62</v>
      </c>
      <c r="B1378" s="7" t="n">
        <v>1911</v>
      </c>
      <c r="C1378" s="7" t="s">
        <v>575</v>
      </c>
      <c r="D1378" s="7" t="n">
        <v>64</v>
      </c>
      <c r="E1378" s="7" t="n">
        <v>86</v>
      </c>
      <c r="F1378" s="7"/>
      <c r="G1378" s="7"/>
      <c r="H1378" s="7" t="s">
        <v>546</v>
      </c>
      <c r="I1378" s="7" t="s">
        <v>546</v>
      </c>
      <c r="J1378" s="21" t="n">
        <f aca="false">D1378/(D1378+E1378)</f>
        <v>0.426666666666667</v>
      </c>
      <c r="K1378" s="3" t="n">
        <f aca="false">IF(D1378&gt;E1378,1,0)</f>
        <v>0</v>
      </c>
      <c r="L1378" s="3" t="n">
        <f aca="false">IF(OR(F1378="Y",G1378="Y",H1378="Y"),1,0)</f>
        <v>0</v>
      </c>
      <c r="M1378" s="3" t="n">
        <f aca="false">IF(H1378="Y",1,0)</f>
        <v>0</v>
      </c>
      <c r="N1378" s="3" t="n">
        <f aca="false">IF(I1378="Y",1,0)</f>
        <v>0</v>
      </c>
    </row>
    <row r="1379" customFormat="false" ht="15" hidden="false" customHeight="true" outlineLevel="0" collapsed="false">
      <c r="A1379" s="7" t="s">
        <v>62</v>
      </c>
      <c r="B1379" s="7" t="n">
        <v>1912</v>
      </c>
      <c r="C1379" s="7" t="s">
        <v>575</v>
      </c>
      <c r="D1379" s="7" t="n">
        <v>58</v>
      </c>
      <c r="E1379" s="7" t="n">
        <v>95</v>
      </c>
      <c r="F1379" s="7"/>
      <c r="G1379" s="7"/>
      <c r="H1379" s="7" t="s">
        <v>546</v>
      </c>
      <c r="I1379" s="7" t="s">
        <v>546</v>
      </c>
      <c r="J1379" s="21" t="n">
        <f aca="false">D1379/(D1379+E1379)</f>
        <v>0.379084967320261</v>
      </c>
      <c r="K1379" s="3" t="n">
        <f aca="false">IF(D1379&gt;E1379,1,0)</f>
        <v>0</v>
      </c>
      <c r="L1379" s="3" t="n">
        <f aca="false">IF(OR(F1379="Y",G1379="Y",H1379="Y"),1,0)</f>
        <v>0</v>
      </c>
      <c r="M1379" s="3" t="n">
        <f aca="false">IF(H1379="Y",1,0)</f>
        <v>0</v>
      </c>
      <c r="N1379" s="3" t="n">
        <f aca="false">IF(I1379="Y",1,0)</f>
        <v>0</v>
      </c>
    </row>
    <row r="1380" customFormat="false" ht="15" hidden="false" customHeight="true" outlineLevel="0" collapsed="false">
      <c r="A1380" s="7" t="s">
        <v>62</v>
      </c>
      <c r="B1380" s="7" t="n">
        <v>1913</v>
      </c>
      <c r="C1380" s="7" t="s">
        <v>574</v>
      </c>
      <c r="D1380" s="7" t="n">
        <v>65</v>
      </c>
      <c r="E1380" s="7" t="n">
        <v>84</v>
      </c>
      <c r="F1380" s="7"/>
      <c r="G1380" s="7"/>
      <c r="H1380" s="7" t="s">
        <v>546</v>
      </c>
      <c r="I1380" s="7" t="s">
        <v>546</v>
      </c>
      <c r="J1380" s="21" t="n">
        <f aca="false">D1380/(D1380+E1380)</f>
        <v>0.436241610738255</v>
      </c>
      <c r="K1380" s="3" t="n">
        <f aca="false">IF(D1380&gt;E1380,1,0)</f>
        <v>0</v>
      </c>
      <c r="L1380" s="3" t="n">
        <f aca="false">IF(OR(F1380="Y",G1380="Y",H1380="Y"),1,0)</f>
        <v>0</v>
      </c>
      <c r="M1380" s="3" t="n">
        <f aca="false">IF(H1380="Y",1,0)</f>
        <v>0</v>
      </c>
      <c r="N1380" s="3" t="n">
        <f aca="false">IF(I1380="Y",1,0)</f>
        <v>0</v>
      </c>
    </row>
    <row r="1381" customFormat="false" ht="15" hidden="false" customHeight="true" outlineLevel="0" collapsed="false">
      <c r="A1381" s="7" t="s">
        <v>62</v>
      </c>
      <c r="B1381" s="7" t="n">
        <v>1914</v>
      </c>
      <c r="C1381" s="7" t="s">
        <v>576</v>
      </c>
      <c r="D1381" s="7" t="n">
        <v>75</v>
      </c>
      <c r="E1381" s="7" t="n">
        <v>79</v>
      </c>
      <c r="F1381" s="7"/>
      <c r="G1381" s="7"/>
      <c r="H1381" s="7" t="s">
        <v>546</v>
      </c>
      <c r="I1381" s="7" t="s">
        <v>546</v>
      </c>
      <c r="J1381" s="21" t="n">
        <f aca="false">D1381/(D1381+E1381)</f>
        <v>0.487012987012987</v>
      </c>
      <c r="K1381" s="3" t="n">
        <f aca="false">IF(D1381&gt;E1381,1,0)</f>
        <v>0</v>
      </c>
      <c r="L1381" s="3" t="n">
        <f aca="false">IF(OR(F1381="Y",G1381="Y",H1381="Y"),1,0)</f>
        <v>0</v>
      </c>
      <c r="M1381" s="3" t="n">
        <f aca="false">IF(H1381="Y",1,0)</f>
        <v>0</v>
      </c>
      <c r="N1381" s="3" t="n">
        <f aca="false">IF(I1381="Y",1,0)</f>
        <v>0</v>
      </c>
    </row>
    <row r="1382" customFormat="false" ht="15" hidden="false" customHeight="true" outlineLevel="0" collapsed="false">
      <c r="A1382" s="7" t="s">
        <v>62</v>
      </c>
      <c r="B1382" s="7" t="n">
        <v>1915</v>
      </c>
      <c r="C1382" s="7" t="s">
        <v>576</v>
      </c>
      <c r="D1382" s="7" t="n">
        <v>80</v>
      </c>
      <c r="E1382" s="7" t="n">
        <v>72</v>
      </c>
      <c r="F1382" s="7"/>
      <c r="G1382" s="7"/>
      <c r="H1382" s="7" t="s">
        <v>546</v>
      </c>
      <c r="I1382" s="7" t="s">
        <v>546</v>
      </c>
      <c r="J1382" s="21" t="n">
        <f aca="false">D1382/(D1382+E1382)</f>
        <v>0.526315789473684</v>
      </c>
      <c r="K1382" s="3" t="n">
        <f aca="false">IF(D1382&gt;E1382,1,0)</f>
        <v>1</v>
      </c>
      <c r="L1382" s="3" t="n">
        <f aca="false">IF(OR(F1382="Y",G1382="Y",H1382="Y"),1,0)</f>
        <v>0</v>
      </c>
      <c r="M1382" s="3" t="n">
        <f aca="false">IF(H1382="Y",1,0)</f>
        <v>0</v>
      </c>
      <c r="N1382" s="3" t="n">
        <f aca="false">IF(I1382="Y",1,0)</f>
        <v>0</v>
      </c>
    </row>
    <row r="1383" customFormat="false" ht="15" hidden="false" customHeight="true" outlineLevel="0" collapsed="false">
      <c r="A1383" s="7" t="s">
        <v>62</v>
      </c>
      <c r="B1383" s="7" t="n">
        <v>1916</v>
      </c>
      <c r="C1383" s="7" t="s">
        <v>576</v>
      </c>
      <c r="D1383" s="7" t="n">
        <v>94</v>
      </c>
      <c r="E1383" s="7" t="n">
        <v>60</v>
      </c>
      <c r="F1383" s="7"/>
      <c r="G1383" s="7"/>
      <c r="H1383" s="7" t="s">
        <v>548</v>
      </c>
      <c r="I1383" s="7" t="s">
        <v>546</v>
      </c>
      <c r="J1383" s="21" t="n">
        <f aca="false">D1383/(D1383+E1383)</f>
        <v>0.61038961038961</v>
      </c>
      <c r="K1383" s="3" t="n">
        <f aca="false">IF(D1383&gt;E1383,1,0)</f>
        <v>1</v>
      </c>
      <c r="L1383" s="3" t="n">
        <f aca="false">IF(OR(F1383="Y",G1383="Y",H1383="Y"),1,0)</f>
        <v>1</v>
      </c>
      <c r="M1383" s="3" t="n">
        <f aca="false">IF(H1383="Y",1,0)</f>
        <v>1</v>
      </c>
      <c r="N1383" s="3" t="n">
        <f aca="false">IF(I1383="Y",1,0)</f>
        <v>0</v>
      </c>
    </row>
    <row r="1384" customFormat="false" ht="15" hidden="false" customHeight="true" outlineLevel="0" collapsed="false">
      <c r="A1384" s="7" t="s">
        <v>62</v>
      </c>
      <c r="B1384" s="7" t="n">
        <v>1917</v>
      </c>
      <c r="C1384" s="7" t="s">
        <v>576</v>
      </c>
      <c r="D1384" s="7" t="n">
        <v>70</v>
      </c>
      <c r="E1384" s="7" t="n">
        <v>81</v>
      </c>
      <c r="F1384" s="7"/>
      <c r="G1384" s="7"/>
      <c r="H1384" s="7" t="s">
        <v>546</v>
      </c>
      <c r="I1384" s="7" t="s">
        <v>546</v>
      </c>
      <c r="J1384" s="21" t="n">
        <f aca="false">D1384/(D1384+E1384)</f>
        <v>0.463576158940397</v>
      </c>
      <c r="K1384" s="3" t="n">
        <f aca="false">IF(D1384&gt;E1384,1,0)</f>
        <v>0</v>
      </c>
      <c r="L1384" s="3" t="n">
        <f aca="false">IF(OR(F1384="Y",G1384="Y",H1384="Y"),1,0)</f>
        <v>0</v>
      </c>
      <c r="M1384" s="3" t="n">
        <f aca="false">IF(H1384="Y",1,0)</f>
        <v>0</v>
      </c>
      <c r="N1384" s="3" t="n">
        <f aca="false">IF(I1384="Y",1,0)</f>
        <v>0</v>
      </c>
    </row>
    <row r="1385" customFormat="false" ht="15" hidden="false" customHeight="true" outlineLevel="0" collapsed="false">
      <c r="A1385" s="7" t="s">
        <v>62</v>
      </c>
      <c r="B1385" s="7" t="n">
        <v>1918</v>
      </c>
      <c r="C1385" s="7" t="s">
        <v>576</v>
      </c>
      <c r="D1385" s="7" t="n">
        <v>57</v>
      </c>
      <c r="E1385" s="7" t="n">
        <v>69</v>
      </c>
      <c r="F1385" s="7"/>
      <c r="G1385" s="7"/>
      <c r="H1385" s="7" t="s">
        <v>546</v>
      </c>
      <c r="I1385" s="7" t="s">
        <v>546</v>
      </c>
      <c r="J1385" s="21" t="n">
        <f aca="false">D1385/(D1385+E1385)</f>
        <v>0.452380952380952</v>
      </c>
      <c r="K1385" s="3" t="n">
        <f aca="false">IF(D1385&gt;E1385,1,0)</f>
        <v>0</v>
      </c>
      <c r="L1385" s="3" t="n">
        <f aca="false">IF(OR(F1385="Y",G1385="Y",H1385="Y"),1,0)</f>
        <v>0</v>
      </c>
      <c r="M1385" s="3" t="n">
        <f aca="false">IF(H1385="Y",1,0)</f>
        <v>0</v>
      </c>
      <c r="N1385" s="3" t="n">
        <f aca="false">IF(I1385="Y",1,0)</f>
        <v>0</v>
      </c>
    </row>
    <row r="1386" customFormat="false" ht="15" hidden="false" customHeight="true" outlineLevel="0" collapsed="false">
      <c r="A1386" s="7" t="s">
        <v>62</v>
      </c>
      <c r="B1386" s="7" t="n">
        <v>1919</v>
      </c>
      <c r="C1386" s="7" t="s">
        <v>576</v>
      </c>
      <c r="D1386" s="7" t="n">
        <v>69</v>
      </c>
      <c r="E1386" s="7" t="n">
        <v>71</v>
      </c>
      <c r="F1386" s="7"/>
      <c r="G1386" s="7"/>
      <c r="H1386" s="7" t="s">
        <v>546</v>
      </c>
      <c r="I1386" s="7" t="s">
        <v>546</v>
      </c>
      <c r="J1386" s="21" t="n">
        <f aca="false">D1386/(D1386+E1386)</f>
        <v>0.492857142857143</v>
      </c>
      <c r="K1386" s="3" t="n">
        <f aca="false">IF(D1386&gt;E1386,1,0)</f>
        <v>0</v>
      </c>
      <c r="L1386" s="3" t="n">
        <f aca="false">IF(OR(F1386="Y",G1386="Y",H1386="Y"),1,0)</f>
        <v>0</v>
      </c>
      <c r="M1386" s="3" t="n">
        <f aca="false">IF(H1386="Y",1,0)</f>
        <v>0</v>
      </c>
      <c r="N1386" s="3" t="n">
        <f aca="false">IF(I1386="Y",1,0)</f>
        <v>0</v>
      </c>
    </row>
    <row r="1387" customFormat="false" ht="15" hidden="false" customHeight="true" outlineLevel="0" collapsed="false">
      <c r="A1387" s="7" t="s">
        <v>62</v>
      </c>
      <c r="B1387" s="7" t="n">
        <v>1920</v>
      </c>
      <c r="C1387" s="7" t="s">
        <v>576</v>
      </c>
      <c r="D1387" s="7" t="n">
        <v>93</v>
      </c>
      <c r="E1387" s="7" t="n">
        <v>61</v>
      </c>
      <c r="F1387" s="7"/>
      <c r="G1387" s="7"/>
      <c r="H1387" s="7" t="s">
        <v>548</v>
      </c>
      <c r="I1387" s="7" t="s">
        <v>546</v>
      </c>
      <c r="J1387" s="21" t="n">
        <f aca="false">D1387/(D1387+E1387)</f>
        <v>0.603896103896104</v>
      </c>
      <c r="K1387" s="3" t="n">
        <f aca="false">IF(D1387&gt;E1387,1,0)</f>
        <v>1</v>
      </c>
      <c r="L1387" s="3" t="n">
        <f aca="false">IF(OR(F1387="Y",G1387="Y",H1387="Y"),1,0)</f>
        <v>1</v>
      </c>
      <c r="M1387" s="3" t="n">
        <f aca="false">IF(H1387="Y",1,0)</f>
        <v>1</v>
      </c>
      <c r="N1387" s="3" t="n">
        <f aca="false">IF(I1387="Y",1,0)</f>
        <v>0</v>
      </c>
    </row>
    <row r="1388" customFormat="false" ht="15" hidden="false" customHeight="true" outlineLevel="0" collapsed="false">
      <c r="A1388" s="7" t="s">
        <v>62</v>
      </c>
      <c r="B1388" s="7" t="n">
        <v>1921</v>
      </c>
      <c r="C1388" s="7" t="s">
        <v>576</v>
      </c>
      <c r="D1388" s="7" t="n">
        <v>77</v>
      </c>
      <c r="E1388" s="7" t="n">
        <v>75</v>
      </c>
      <c r="F1388" s="7"/>
      <c r="G1388" s="7"/>
      <c r="H1388" s="7" t="s">
        <v>546</v>
      </c>
      <c r="I1388" s="7" t="s">
        <v>546</v>
      </c>
      <c r="J1388" s="21" t="n">
        <f aca="false">D1388/(D1388+E1388)</f>
        <v>0.506578947368421</v>
      </c>
      <c r="K1388" s="3" t="n">
        <f aca="false">IF(D1388&gt;E1388,1,0)</f>
        <v>1</v>
      </c>
      <c r="L1388" s="3" t="n">
        <f aca="false">IF(OR(F1388="Y",G1388="Y",H1388="Y"),1,0)</f>
        <v>0</v>
      </c>
      <c r="M1388" s="3" t="n">
        <f aca="false">IF(H1388="Y",1,0)</f>
        <v>0</v>
      </c>
      <c r="N1388" s="3" t="n">
        <f aca="false">IF(I1388="Y",1,0)</f>
        <v>0</v>
      </c>
    </row>
    <row r="1389" customFormat="false" ht="15" hidden="false" customHeight="true" outlineLevel="0" collapsed="false">
      <c r="A1389" s="7" t="s">
        <v>62</v>
      </c>
      <c r="B1389" s="7" t="n">
        <v>1922</v>
      </c>
      <c r="C1389" s="7" t="s">
        <v>576</v>
      </c>
      <c r="D1389" s="7" t="n">
        <v>76</v>
      </c>
      <c r="E1389" s="7" t="n">
        <v>78</v>
      </c>
      <c r="F1389" s="7"/>
      <c r="G1389" s="7"/>
      <c r="H1389" s="7" t="s">
        <v>546</v>
      </c>
      <c r="I1389" s="7" t="s">
        <v>546</v>
      </c>
      <c r="J1389" s="21" t="n">
        <f aca="false">D1389/(D1389+E1389)</f>
        <v>0.493506493506494</v>
      </c>
      <c r="K1389" s="3" t="n">
        <f aca="false">IF(D1389&gt;E1389,1,0)</f>
        <v>0</v>
      </c>
      <c r="L1389" s="3" t="n">
        <f aca="false">IF(OR(F1389="Y",G1389="Y",H1389="Y"),1,0)</f>
        <v>0</v>
      </c>
      <c r="M1389" s="3" t="n">
        <f aca="false">IF(H1389="Y",1,0)</f>
        <v>0</v>
      </c>
      <c r="N1389" s="3" t="n">
        <f aca="false">IF(I1389="Y",1,0)</f>
        <v>0</v>
      </c>
    </row>
    <row r="1390" customFormat="false" ht="15" hidden="false" customHeight="true" outlineLevel="0" collapsed="false">
      <c r="A1390" s="7" t="s">
        <v>62</v>
      </c>
      <c r="B1390" s="7" t="n">
        <v>1923</v>
      </c>
      <c r="C1390" s="7" t="s">
        <v>576</v>
      </c>
      <c r="D1390" s="7" t="n">
        <v>76</v>
      </c>
      <c r="E1390" s="7" t="n">
        <v>78</v>
      </c>
      <c r="F1390" s="7"/>
      <c r="G1390" s="7"/>
      <c r="H1390" s="7" t="s">
        <v>546</v>
      </c>
      <c r="I1390" s="7" t="s">
        <v>546</v>
      </c>
      <c r="J1390" s="21" t="n">
        <f aca="false">D1390/(D1390+E1390)</f>
        <v>0.493506493506494</v>
      </c>
      <c r="K1390" s="3" t="n">
        <f aca="false">IF(D1390&gt;E1390,1,0)</f>
        <v>0</v>
      </c>
      <c r="L1390" s="3" t="n">
        <f aca="false">IF(OR(F1390="Y",G1390="Y",H1390="Y"),1,0)</f>
        <v>0</v>
      </c>
      <c r="M1390" s="3" t="n">
        <f aca="false">IF(H1390="Y",1,0)</f>
        <v>0</v>
      </c>
      <c r="N1390" s="3" t="n">
        <f aca="false">IF(I1390="Y",1,0)</f>
        <v>0</v>
      </c>
    </row>
    <row r="1391" customFormat="false" ht="15" hidden="false" customHeight="true" outlineLevel="0" collapsed="false">
      <c r="A1391" s="7" t="s">
        <v>62</v>
      </c>
      <c r="B1391" s="7" t="n">
        <v>1924</v>
      </c>
      <c r="C1391" s="7" t="s">
        <v>576</v>
      </c>
      <c r="D1391" s="7" t="n">
        <v>92</v>
      </c>
      <c r="E1391" s="7" t="n">
        <v>62</v>
      </c>
      <c r="F1391" s="7"/>
      <c r="G1391" s="7"/>
      <c r="H1391" s="7" t="s">
        <v>546</v>
      </c>
      <c r="I1391" s="7" t="s">
        <v>546</v>
      </c>
      <c r="J1391" s="21" t="n">
        <f aca="false">D1391/(D1391+E1391)</f>
        <v>0.597402597402597</v>
      </c>
      <c r="K1391" s="3" t="n">
        <f aca="false">IF(D1391&gt;E1391,1,0)</f>
        <v>1</v>
      </c>
      <c r="L1391" s="3" t="n">
        <f aca="false">IF(OR(F1391="Y",G1391="Y",H1391="Y"),1,0)</f>
        <v>0</v>
      </c>
      <c r="M1391" s="3" t="n">
        <f aca="false">IF(H1391="Y",1,0)</f>
        <v>0</v>
      </c>
      <c r="N1391" s="3" t="n">
        <f aca="false">IF(I1391="Y",1,0)</f>
        <v>0</v>
      </c>
    </row>
    <row r="1392" customFormat="false" ht="15" hidden="false" customHeight="true" outlineLevel="0" collapsed="false">
      <c r="A1392" s="7" t="s">
        <v>62</v>
      </c>
      <c r="B1392" s="7" t="n">
        <v>1925</v>
      </c>
      <c r="C1392" s="7" t="s">
        <v>576</v>
      </c>
      <c r="D1392" s="7" t="n">
        <v>68</v>
      </c>
      <c r="E1392" s="7" t="n">
        <v>85</v>
      </c>
      <c r="F1392" s="7"/>
      <c r="G1392" s="7"/>
      <c r="H1392" s="7" t="s">
        <v>546</v>
      </c>
      <c r="I1392" s="7" t="s">
        <v>546</v>
      </c>
      <c r="J1392" s="21" t="n">
        <f aca="false">D1392/(D1392+E1392)</f>
        <v>0.444444444444444</v>
      </c>
      <c r="K1392" s="3" t="n">
        <f aca="false">IF(D1392&gt;E1392,1,0)</f>
        <v>0</v>
      </c>
      <c r="L1392" s="3" t="n">
        <f aca="false">IF(OR(F1392="Y",G1392="Y",H1392="Y"),1,0)</f>
        <v>0</v>
      </c>
      <c r="M1392" s="3" t="n">
        <f aca="false">IF(H1392="Y",1,0)</f>
        <v>0</v>
      </c>
      <c r="N1392" s="3" t="n">
        <f aca="false">IF(I1392="Y",1,0)</f>
        <v>0</v>
      </c>
    </row>
    <row r="1393" customFormat="false" ht="15" hidden="false" customHeight="true" outlineLevel="0" collapsed="false">
      <c r="A1393" s="7" t="s">
        <v>62</v>
      </c>
      <c r="B1393" s="7" t="n">
        <v>1926</v>
      </c>
      <c r="C1393" s="7" t="s">
        <v>576</v>
      </c>
      <c r="D1393" s="7" t="n">
        <v>71</v>
      </c>
      <c r="E1393" s="7" t="n">
        <v>82</v>
      </c>
      <c r="F1393" s="7"/>
      <c r="G1393" s="7"/>
      <c r="H1393" s="7" t="s">
        <v>546</v>
      </c>
      <c r="I1393" s="7" t="s">
        <v>546</v>
      </c>
      <c r="J1393" s="21" t="n">
        <f aca="false">D1393/(D1393+E1393)</f>
        <v>0.464052287581699</v>
      </c>
      <c r="K1393" s="3" t="n">
        <f aca="false">IF(D1393&gt;E1393,1,0)</f>
        <v>0</v>
      </c>
      <c r="L1393" s="3" t="n">
        <f aca="false">IF(OR(F1393="Y",G1393="Y",H1393="Y"),1,0)</f>
        <v>0</v>
      </c>
      <c r="M1393" s="3" t="n">
        <f aca="false">IF(H1393="Y",1,0)</f>
        <v>0</v>
      </c>
      <c r="N1393" s="3" t="n">
        <f aca="false">IF(I1393="Y",1,0)</f>
        <v>0</v>
      </c>
    </row>
    <row r="1394" customFormat="false" ht="15" hidden="false" customHeight="true" outlineLevel="0" collapsed="false">
      <c r="A1394" s="7" t="s">
        <v>62</v>
      </c>
      <c r="B1394" s="7" t="n">
        <v>1927</v>
      </c>
      <c r="C1394" s="7" t="s">
        <v>576</v>
      </c>
      <c r="D1394" s="7" t="n">
        <v>65</v>
      </c>
      <c r="E1394" s="7" t="n">
        <v>88</v>
      </c>
      <c r="F1394" s="7"/>
      <c r="G1394" s="7"/>
      <c r="H1394" s="7" t="s">
        <v>546</v>
      </c>
      <c r="I1394" s="7" t="s">
        <v>546</v>
      </c>
      <c r="J1394" s="21" t="n">
        <f aca="false">D1394/(D1394+E1394)</f>
        <v>0.42483660130719</v>
      </c>
      <c r="K1394" s="3" t="n">
        <f aca="false">IF(D1394&gt;E1394,1,0)</f>
        <v>0</v>
      </c>
      <c r="L1394" s="3" t="n">
        <f aca="false">IF(OR(F1394="Y",G1394="Y",H1394="Y"),1,0)</f>
        <v>0</v>
      </c>
      <c r="M1394" s="3" t="n">
        <f aca="false">IF(H1394="Y",1,0)</f>
        <v>0</v>
      </c>
      <c r="N1394" s="3" t="n">
        <f aca="false">IF(I1394="Y",1,0)</f>
        <v>0</v>
      </c>
    </row>
    <row r="1395" customFormat="false" ht="15" hidden="false" customHeight="true" outlineLevel="0" collapsed="false">
      <c r="A1395" s="7" t="s">
        <v>62</v>
      </c>
      <c r="B1395" s="7" t="n">
        <v>1928</v>
      </c>
      <c r="C1395" s="7" t="s">
        <v>576</v>
      </c>
      <c r="D1395" s="7" t="n">
        <v>77</v>
      </c>
      <c r="E1395" s="7" t="n">
        <v>76</v>
      </c>
      <c r="F1395" s="7"/>
      <c r="G1395" s="7"/>
      <c r="H1395" s="7" t="s">
        <v>546</v>
      </c>
      <c r="I1395" s="7" t="s">
        <v>546</v>
      </c>
      <c r="J1395" s="21" t="n">
        <f aca="false">D1395/(D1395+E1395)</f>
        <v>0.503267973856209</v>
      </c>
      <c r="K1395" s="3" t="n">
        <f aca="false">IF(D1395&gt;E1395,1,0)</f>
        <v>1</v>
      </c>
      <c r="L1395" s="3" t="n">
        <f aca="false">IF(OR(F1395="Y",G1395="Y",H1395="Y"),1,0)</f>
        <v>0</v>
      </c>
      <c r="M1395" s="3" t="n">
        <f aca="false">IF(H1395="Y",1,0)</f>
        <v>0</v>
      </c>
      <c r="N1395" s="3" t="n">
        <f aca="false">IF(I1395="Y",1,0)</f>
        <v>0</v>
      </c>
    </row>
    <row r="1396" customFormat="false" ht="15" hidden="false" customHeight="true" outlineLevel="0" collapsed="false">
      <c r="A1396" s="7" t="s">
        <v>62</v>
      </c>
      <c r="B1396" s="7" t="n">
        <v>1929</v>
      </c>
      <c r="C1396" s="7" t="s">
        <v>576</v>
      </c>
      <c r="D1396" s="7" t="n">
        <v>70</v>
      </c>
      <c r="E1396" s="7" t="n">
        <v>83</v>
      </c>
      <c r="F1396" s="7"/>
      <c r="G1396" s="7"/>
      <c r="H1396" s="7" t="s">
        <v>546</v>
      </c>
      <c r="I1396" s="7" t="s">
        <v>546</v>
      </c>
      <c r="J1396" s="21" t="n">
        <f aca="false">D1396/(D1396+E1396)</f>
        <v>0.457516339869281</v>
      </c>
      <c r="K1396" s="3" t="n">
        <f aca="false">IF(D1396&gt;E1396,1,0)</f>
        <v>0</v>
      </c>
      <c r="L1396" s="3" t="n">
        <f aca="false">IF(OR(F1396="Y",G1396="Y",H1396="Y"),1,0)</f>
        <v>0</v>
      </c>
      <c r="M1396" s="3" t="n">
        <f aca="false">IF(H1396="Y",1,0)</f>
        <v>0</v>
      </c>
      <c r="N1396" s="3" t="n">
        <f aca="false">IF(I1396="Y",1,0)</f>
        <v>0</v>
      </c>
    </row>
    <row r="1397" customFormat="false" ht="15" hidden="false" customHeight="true" outlineLevel="0" collapsed="false">
      <c r="A1397" s="7" t="s">
        <v>62</v>
      </c>
      <c r="B1397" s="7" t="n">
        <v>1930</v>
      </c>
      <c r="C1397" s="7" t="s">
        <v>576</v>
      </c>
      <c r="D1397" s="7" t="n">
        <v>86</v>
      </c>
      <c r="E1397" s="7" t="n">
        <v>68</v>
      </c>
      <c r="F1397" s="7"/>
      <c r="G1397" s="7"/>
      <c r="H1397" s="7" t="s">
        <v>546</v>
      </c>
      <c r="I1397" s="7" t="s">
        <v>546</v>
      </c>
      <c r="J1397" s="21" t="n">
        <f aca="false">D1397/(D1397+E1397)</f>
        <v>0.558441558441558</v>
      </c>
      <c r="K1397" s="3" t="n">
        <f aca="false">IF(D1397&gt;E1397,1,0)</f>
        <v>1</v>
      </c>
      <c r="L1397" s="3" t="n">
        <f aca="false">IF(OR(F1397="Y",G1397="Y",H1397="Y"),1,0)</f>
        <v>0</v>
      </c>
      <c r="M1397" s="3" t="n">
        <f aca="false">IF(H1397="Y",1,0)</f>
        <v>0</v>
      </c>
      <c r="N1397" s="3" t="n">
        <f aca="false">IF(I1397="Y",1,0)</f>
        <v>0</v>
      </c>
    </row>
    <row r="1398" customFormat="false" ht="15" hidden="false" customHeight="true" outlineLevel="0" collapsed="false">
      <c r="A1398" s="7" t="s">
        <v>62</v>
      </c>
      <c r="B1398" s="7" t="n">
        <v>1931</v>
      </c>
      <c r="C1398" s="7" t="s">
        <v>576</v>
      </c>
      <c r="D1398" s="7" t="n">
        <v>79</v>
      </c>
      <c r="E1398" s="7" t="n">
        <v>73</v>
      </c>
      <c r="F1398" s="7"/>
      <c r="G1398" s="7"/>
      <c r="H1398" s="7" t="s">
        <v>546</v>
      </c>
      <c r="I1398" s="7" t="s">
        <v>546</v>
      </c>
      <c r="J1398" s="21" t="n">
        <f aca="false">D1398/(D1398+E1398)</f>
        <v>0.519736842105263</v>
      </c>
      <c r="K1398" s="3" t="n">
        <f aca="false">IF(D1398&gt;E1398,1,0)</f>
        <v>1</v>
      </c>
      <c r="L1398" s="3" t="n">
        <f aca="false">IF(OR(F1398="Y",G1398="Y",H1398="Y"),1,0)</f>
        <v>0</v>
      </c>
      <c r="M1398" s="3" t="n">
        <f aca="false">IF(H1398="Y",1,0)</f>
        <v>0</v>
      </c>
      <c r="N1398" s="3" t="n">
        <f aca="false">IF(I1398="Y",1,0)</f>
        <v>0</v>
      </c>
    </row>
    <row r="1399" customFormat="false" ht="15" hidden="false" customHeight="true" outlineLevel="0" collapsed="false">
      <c r="A1399" s="7" t="s">
        <v>62</v>
      </c>
      <c r="B1399" s="7" t="n">
        <v>1932</v>
      </c>
      <c r="C1399" s="7" t="s">
        <v>575</v>
      </c>
      <c r="D1399" s="7" t="n">
        <v>81</v>
      </c>
      <c r="E1399" s="7" t="n">
        <v>73</v>
      </c>
      <c r="F1399" s="7"/>
      <c r="G1399" s="7"/>
      <c r="H1399" s="7" t="s">
        <v>546</v>
      </c>
      <c r="I1399" s="7" t="s">
        <v>546</v>
      </c>
      <c r="J1399" s="21" t="n">
        <f aca="false">D1399/(D1399+E1399)</f>
        <v>0.525974025974026</v>
      </c>
      <c r="K1399" s="3" t="n">
        <f aca="false">IF(D1399&gt;E1399,1,0)</f>
        <v>1</v>
      </c>
      <c r="L1399" s="3" t="n">
        <f aca="false">IF(OR(F1399="Y",G1399="Y",H1399="Y"),1,0)</f>
        <v>0</v>
      </c>
      <c r="M1399" s="3" t="n">
        <f aca="false">IF(H1399="Y",1,0)</f>
        <v>0</v>
      </c>
      <c r="N1399" s="3" t="n">
        <f aca="false">IF(I1399="Y",1,0)</f>
        <v>0</v>
      </c>
    </row>
    <row r="1400" customFormat="false" ht="15" hidden="false" customHeight="true" outlineLevel="0" collapsed="false">
      <c r="A1400" s="7" t="s">
        <v>62</v>
      </c>
      <c r="B1400" s="7" t="n">
        <v>1933</v>
      </c>
      <c r="C1400" s="7" t="s">
        <v>575</v>
      </c>
      <c r="D1400" s="7" t="n">
        <v>65</v>
      </c>
      <c r="E1400" s="7" t="n">
        <v>88</v>
      </c>
      <c r="F1400" s="7"/>
      <c r="G1400" s="7"/>
      <c r="H1400" s="7" t="s">
        <v>546</v>
      </c>
      <c r="I1400" s="7" t="s">
        <v>546</v>
      </c>
      <c r="J1400" s="21" t="n">
        <f aca="false">D1400/(D1400+E1400)</f>
        <v>0.42483660130719</v>
      </c>
      <c r="K1400" s="3" t="n">
        <f aca="false">IF(D1400&gt;E1400,1,0)</f>
        <v>0</v>
      </c>
      <c r="L1400" s="3" t="n">
        <f aca="false">IF(OR(F1400="Y",G1400="Y",H1400="Y"),1,0)</f>
        <v>0</v>
      </c>
      <c r="M1400" s="3" t="n">
        <f aca="false">IF(H1400="Y",1,0)</f>
        <v>0</v>
      </c>
      <c r="N1400" s="3" t="n">
        <f aca="false">IF(I1400="Y",1,0)</f>
        <v>0</v>
      </c>
    </row>
    <row r="1401" customFormat="false" ht="15" hidden="false" customHeight="true" outlineLevel="0" collapsed="false">
      <c r="A1401" s="7" t="s">
        <v>62</v>
      </c>
      <c r="B1401" s="7" t="n">
        <v>1934</v>
      </c>
      <c r="C1401" s="7" t="s">
        <v>575</v>
      </c>
      <c r="D1401" s="7" t="n">
        <v>71</v>
      </c>
      <c r="E1401" s="7" t="n">
        <v>81</v>
      </c>
      <c r="F1401" s="7"/>
      <c r="G1401" s="7"/>
      <c r="H1401" s="7" t="s">
        <v>546</v>
      </c>
      <c r="I1401" s="7" t="s">
        <v>546</v>
      </c>
      <c r="J1401" s="21" t="n">
        <f aca="false">D1401/(D1401+E1401)</f>
        <v>0.467105263157895</v>
      </c>
      <c r="K1401" s="3" t="n">
        <f aca="false">IF(D1401&gt;E1401,1,0)</f>
        <v>0</v>
      </c>
      <c r="L1401" s="3" t="n">
        <f aca="false">IF(OR(F1401="Y",G1401="Y",H1401="Y"),1,0)</f>
        <v>0</v>
      </c>
      <c r="M1401" s="3" t="n">
        <f aca="false">IF(H1401="Y",1,0)</f>
        <v>0</v>
      </c>
      <c r="N1401" s="3" t="n">
        <f aca="false">IF(I1401="Y",1,0)</f>
        <v>0</v>
      </c>
    </row>
    <row r="1402" customFormat="false" ht="15" hidden="false" customHeight="true" outlineLevel="0" collapsed="false">
      <c r="A1402" s="7" t="s">
        <v>62</v>
      </c>
      <c r="B1402" s="7" t="n">
        <v>1935</v>
      </c>
      <c r="C1402" s="7" t="s">
        <v>575</v>
      </c>
      <c r="D1402" s="7" t="n">
        <v>70</v>
      </c>
      <c r="E1402" s="7" t="n">
        <v>83</v>
      </c>
      <c r="F1402" s="7"/>
      <c r="G1402" s="7"/>
      <c r="H1402" s="7" t="s">
        <v>546</v>
      </c>
      <c r="I1402" s="7" t="s">
        <v>546</v>
      </c>
      <c r="J1402" s="21" t="n">
        <f aca="false">D1402/(D1402+E1402)</f>
        <v>0.457516339869281</v>
      </c>
      <c r="K1402" s="3" t="n">
        <f aca="false">IF(D1402&gt;E1402,1,0)</f>
        <v>0</v>
      </c>
      <c r="L1402" s="3" t="n">
        <f aca="false">IF(OR(F1402="Y",G1402="Y",H1402="Y"),1,0)</f>
        <v>0</v>
      </c>
      <c r="M1402" s="3" t="n">
        <f aca="false">IF(H1402="Y",1,0)</f>
        <v>0</v>
      </c>
      <c r="N1402" s="3" t="n">
        <f aca="false">IF(I1402="Y",1,0)</f>
        <v>0</v>
      </c>
    </row>
    <row r="1403" customFormat="false" ht="15" hidden="false" customHeight="true" outlineLevel="0" collapsed="false">
      <c r="A1403" s="7" t="s">
        <v>62</v>
      </c>
      <c r="B1403" s="7" t="n">
        <v>1936</v>
      </c>
      <c r="C1403" s="7" t="s">
        <v>575</v>
      </c>
      <c r="D1403" s="7" t="n">
        <v>67</v>
      </c>
      <c r="E1403" s="7" t="n">
        <v>87</v>
      </c>
      <c r="F1403" s="7"/>
      <c r="G1403" s="7"/>
      <c r="H1403" s="7" t="s">
        <v>546</v>
      </c>
      <c r="I1403" s="7" t="s">
        <v>546</v>
      </c>
      <c r="J1403" s="21" t="n">
        <f aca="false">D1403/(D1403+E1403)</f>
        <v>0.435064935064935</v>
      </c>
      <c r="K1403" s="3" t="n">
        <f aca="false">IF(D1403&gt;E1403,1,0)</f>
        <v>0</v>
      </c>
      <c r="L1403" s="3" t="n">
        <f aca="false">IF(OR(F1403="Y",G1403="Y",H1403="Y"),1,0)</f>
        <v>0</v>
      </c>
      <c r="M1403" s="3" t="n">
        <f aca="false">IF(H1403="Y",1,0)</f>
        <v>0</v>
      </c>
      <c r="N1403" s="3" t="n">
        <f aca="false">IF(I1403="Y",1,0)</f>
        <v>0</v>
      </c>
    </row>
    <row r="1404" customFormat="false" ht="15" hidden="false" customHeight="true" outlineLevel="0" collapsed="false">
      <c r="A1404" s="7" t="s">
        <v>62</v>
      </c>
      <c r="B1404" s="7" t="n">
        <v>1937</v>
      </c>
      <c r="C1404" s="7" t="s">
        <v>575</v>
      </c>
      <c r="D1404" s="7" t="n">
        <v>62</v>
      </c>
      <c r="E1404" s="7" t="n">
        <v>91</v>
      </c>
      <c r="F1404" s="7"/>
      <c r="G1404" s="7"/>
      <c r="H1404" s="7" t="s">
        <v>546</v>
      </c>
      <c r="I1404" s="7" t="s">
        <v>546</v>
      </c>
      <c r="J1404" s="21" t="n">
        <f aca="false">D1404/(D1404+E1404)</f>
        <v>0.405228758169935</v>
      </c>
      <c r="K1404" s="3" t="n">
        <f aca="false">IF(D1404&gt;E1404,1,0)</f>
        <v>0</v>
      </c>
      <c r="L1404" s="3" t="n">
        <f aca="false">IF(OR(F1404="Y",G1404="Y",H1404="Y"),1,0)</f>
        <v>0</v>
      </c>
      <c r="M1404" s="3" t="n">
        <f aca="false">IF(H1404="Y",1,0)</f>
        <v>0</v>
      </c>
      <c r="N1404" s="3" t="n">
        <f aca="false">IF(I1404="Y",1,0)</f>
        <v>0</v>
      </c>
    </row>
    <row r="1405" customFormat="false" ht="15" hidden="false" customHeight="true" outlineLevel="0" collapsed="false">
      <c r="A1405" s="7" t="s">
        <v>62</v>
      </c>
      <c r="B1405" s="7" t="n">
        <v>1938</v>
      </c>
      <c r="C1405" s="7" t="s">
        <v>575</v>
      </c>
      <c r="D1405" s="7" t="n">
        <v>69</v>
      </c>
      <c r="E1405" s="7" t="n">
        <v>80</v>
      </c>
      <c r="F1405" s="7"/>
      <c r="G1405" s="7"/>
      <c r="H1405" s="7" t="s">
        <v>546</v>
      </c>
      <c r="I1405" s="7" t="s">
        <v>546</v>
      </c>
      <c r="J1405" s="21" t="n">
        <f aca="false">D1405/(D1405+E1405)</f>
        <v>0.463087248322148</v>
      </c>
      <c r="K1405" s="3" t="n">
        <f aca="false">IF(D1405&gt;E1405,1,0)</f>
        <v>0</v>
      </c>
      <c r="L1405" s="3" t="n">
        <f aca="false">IF(OR(F1405="Y",G1405="Y",H1405="Y"),1,0)</f>
        <v>0</v>
      </c>
      <c r="M1405" s="3" t="n">
        <f aca="false">IF(H1405="Y",1,0)</f>
        <v>0</v>
      </c>
      <c r="N1405" s="3" t="n">
        <f aca="false">IF(I1405="Y",1,0)</f>
        <v>0</v>
      </c>
    </row>
    <row r="1406" customFormat="false" ht="15" hidden="false" customHeight="true" outlineLevel="0" collapsed="false">
      <c r="A1406" s="7" t="s">
        <v>62</v>
      </c>
      <c r="B1406" s="7" t="n">
        <v>1939</v>
      </c>
      <c r="C1406" s="7" t="s">
        <v>575</v>
      </c>
      <c r="D1406" s="7" t="n">
        <v>84</v>
      </c>
      <c r="E1406" s="7" t="n">
        <v>69</v>
      </c>
      <c r="F1406" s="7"/>
      <c r="G1406" s="7"/>
      <c r="H1406" s="7" t="s">
        <v>546</v>
      </c>
      <c r="I1406" s="7" t="s">
        <v>546</v>
      </c>
      <c r="J1406" s="21" t="n">
        <f aca="false">D1406/(D1406+E1406)</f>
        <v>0.549019607843137</v>
      </c>
      <c r="K1406" s="3" t="n">
        <f aca="false">IF(D1406&gt;E1406,1,0)</f>
        <v>1</v>
      </c>
      <c r="L1406" s="3" t="n">
        <f aca="false">IF(OR(F1406="Y",G1406="Y",H1406="Y"),1,0)</f>
        <v>0</v>
      </c>
      <c r="M1406" s="3" t="n">
        <f aca="false">IF(H1406="Y",1,0)</f>
        <v>0</v>
      </c>
      <c r="N1406" s="3" t="n">
        <f aca="false">IF(I1406="Y",1,0)</f>
        <v>0</v>
      </c>
    </row>
    <row r="1407" customFormat="false" ht="15" hidden="false" customHeight="true" outlineLevel="0" collapsed="false">
      <c r="A1407" s="7" t="s">
        <v>62</v>
      </c>
      <c r="B1407" s="7" t="n">
        <v>1940</v>
      </c>
      <c r="C1407" s="7" t="s">
        <v>575</v>
      </c>
      <c r="D1407" s="7" t="n">
        <v>88</v>
      </c>
      <c r="E1407" s="7" t="n">
        <v>65</v>
      </c>
      <c r="F1407" s="7"/>
      <c r="G1407" s="7"/>
      <c r="H1407" s="7" t="s">
        <v>546</v>
      </c>
      <c r="I1407" s="7" t="s">
        <v>546</v>
      </c>
      <c r="J1407" s="21" t="n">
        <f aca="false">D1407/(D1407+E1407)</f>
        <v>0.57516339869281</v>
      </c>
      <c r="K1407" s="3" t="n">
        <f aca="false">IF(D1407&gt;E1407,1,0)</f>
        <v>1</v>
      </c>
      <c r="L1407" s="3" t="n">
        <f aca="false">IF(OR(F1407="Y",G1407="Y",H1407="Y"),1,0)</f>
        <v>0</v>
      </c>
      <c r="M1407" s="3" t="n">
        <f aca="false">IF(H1407="Y",1,0)</f>
        <v>0</v>
      </c>
      <c r="N1407" s="3" t="n">
        <f aca="false">IF(I1407="Y",1,0)</f>
        <v>0</v>
      </c>
    </row>
    <row r="1408" customFormat="false" ht="15" hidden="false" customHeight="true" outlineLevel="0" collapsed="false">
      <c r="A1408" s="7" t="s">
        <v>62</v>
      </c>
      <c r="B1408" s="7" t="n">
        <v>1941</v>
      </c>
      <c r="C1408" s="7" t="s">
        <v>575</v>
      </c>
      <c r="D1408" s="7" t="n">
        <v>100</v>
      </c>
      <c r="E1408" s="7" t="n">
        <v>54</v>
      </c>
      <c r="F1408" s="7"/>
      <c r="G1408" s="7"/>
      <c r="H1408" s="7" t="s">
        <v>548</v>
      </c>
      <c r="I1408" s="7" t="s">
        <v>546</v>
      </c>
      <c r="J1408" s="21" t="n">
        <f aca="false">D1408/(D1408+E1408)</f>
        <v>0.649350649350649</v>
      </c>
      <c r="K1408" s="3" t="n">
        <f aca="false">IF(D1408&gt;E1408,1,0)</f>
        <v>1</v>
      </c>
      <c r="L1408" s="3" t="n">
        <f aca="false">IF(OR(F1408="Y",G1408="Y",H1408="Y"),1,0)</f>
        <v>1</v>
      </c>
      <c r="M1408" s="3" t="n">
        <f aca="false">IF(H1408="Y",1,0)</f>
        <v>1</v>
      </c>
      <c r="N1408" s="3" t="n">
        <f aca="false">IF(I1408="Y",1,0)</f>
        <v>0</v>
      </c>
    </row>
    <row r="1409" customFormat="false" ht="15" hidden="false" customHeight="true" outlineLevel="0" collapsed="false">
      <c r="A1409" s="7" t="s">
        <v>62</v>
      </c>
      <c r="B1409" s="7" t="n">
        <v>1942</v>
      </c>
      <c r="C1409" s="7" t="s">
        <v>575</v>
      </c>
      <c r="D1409" s="7" t="n">
        <v>104</v>
      </c>
      <c r="E1409" s="7" t="n">
        <v>50</v>
      </c>
      <c r="F1409" s="7"/>
      <c r="G1409" s="7"/>
      <c r="H1409" s="7" t="s">
        <v>546</v>
      </c>
      <c r="I1409" s="7" t="s">
        <v>546</v>
      </c>
      <c r="J1409" s="21" t="n">
        <f aca="false">D1409/(D1409+E1409)</f>
        <v>0.675324675324675</v>
      </c>
      <c r="K1409" s="3" t="n">
        <f aca="false">IF(D1409&gt;E1409,1,0)</f>
        <v>1</v>
      </c>
      <c r="L1409" s="3" t="n">
        <f aca="false">IF(OR(F1409="Y",G1409="Y",H1409="Y"),1,0)</f>
        <v>0</v>
      </c>
      <c r="M1409" s="3" t="n">
        <f aca="false">IF(H1409="Y",1,0)</f>
        <v>0</v>
      </c>
      <c r="N1409" s="3" t="n">
        <f aca="false">IF(I1409="Y",1,0)</f>
        <v>0</v>
      </c>
    </row>
    <row r="1410" customFormat="false" ht="15" hidden="false" customHeight="true" outlineLevel="0" collapsed="false">
      <c r="A1410" s="7" t="s">
        <v>62</v>
      </c>
      <c r="B1410" s="7" t="n">
        <v>1943</v>
      </c>
      <c r="C1410" s="7" t="s">
        <v>575</v>
      </c>
      <c r="D1410" s="7" t="n">
        <v>81</v>
      </c>
      <c r="E1410" s="7" t="n">
        <v>72</v>
      </c>
      <c r="F1410" s="7"/>
      <c r="G1410" s="7"/>
      <c r="H1410" s="7" t="s">
        <v>546</v>
      </c>
      <c r="I1410" s="7" t="s">
        <v>546</v>
      </c>
      <c r="J1410" s="21" t="n">
        <f aca="false">D1410/(D1410+E1410)</f>
        <v>0.529411764705882</v>
      </c>
      <c r="K1410" s="3" t="n">
        <f aca="false">IF(D1410&gt;E1410,1,0)</f>
        <v>1</v>
      </c>
      <c r="L1410" s="3" t="n">
        <f aca="false">IF(OR(F1410="Y",G1410="Y",H1410="Y"),1,0)</f>
        <v>0</v>
      </c>
      <c r="M1410" s="3" t="n">
        <f aca="false">IF(H1410="Y",1,0)</f>
        <v>0</v>
      </c>
      <c r="N1410" s="3" t="n">
        <f aca="false">IF(I1410="Y",1,0)</f>
        <v>0</v>
      </c>
    </row>
    <row r="1411" customFormat="false" ht="15" hidden="false" customHeight="true" outlineLevel="0" collapsed="false">
      <c r="A1411" s="7" t="s">
        <v>62</v>
      </c>
      <c r="B1411" s="7" t="n">
        <v>1944</v>
      </c>
      <c r="C1411" s="7" t="s">
        <v>575</v>
      </c>
      <c r="D1411" s="7" t="n">
        <v>63</v>
      </c>
      <c r="E1411" s="7" t="n">
        <v>91</v>
      </c>
      <c r="F1411" s="7"/>
      <c r="G1411" s="7"/>
      <c r="H1411" s="7" t="s">
        <v>546</v>
      </c>
      <c r="I1411" s="7" t="s">
        <v>546</v>
      </c>
      <c r="J1411" s="21" t="n">
        <f aca="false">D1411/(D1411+E1411)</f>
        <v>0.409090909090909</v>
      </c>
      <c r="K1411" s="3" t="n">
        <f aca="false">IF(D1411&gt;E1411,1,0)</f>
        <v>0</v>
      </c>
      <c r="L1411" s="3" t="n">
        <f aca="false">IF(OR(F1411="Y",G1411="Y",H1411="Y"),1,0)</f>
        <v>0</v>
      </c>
      <c r="M1411" s="3" t="n">
        <f aca="false">IF(H1411="Y",1,0)</f>
        <v>0</v>
      </c>
      <c r="N1411" s="3" t="n">
        <f aca="false">IF(I1411="Y",1,0)</f>
        <v>0</v>
      </c>
    </row>
    <row r="1412" customFormat="false" ht="15" hidden="false" customHeight="true" outlineLevel="0" collapsed="false">
      <c r="A1412" s="7" t="s">
        <v>62</v>
      </c>
      <c r="B1412" s="7" t="n">
        <v>1945</v>
      </c>
      <c r="C1412" s="7" t="s">
        <v>575</v>
      </c>
      <c r="D1412" s="7" t="n">
        <v>87</v>
      </c>
      <c r="E1412" s="7" t="n">
        <v>67</v>
      </c>
      <c r="F1412" s="7"/>
      <c r="G1412" s="7"/>
      <c r="H1412" s="7" t="s">
        <v>546</v>
      </c>
      <c r="I1412" s="7" t="s">
        <v>546</v>
      </c>
      <c r="J1412" s="21" t="n">
        <f aca="false">D1412/(D1412+E1412)</f>
        <v>0.564935064935065</v>
      </c>
      <c r="K1412" s="3" t="n">
        <f aca="false">IF(D1412&gt;E1412,1,0)</f>
        <v>1</v>
      </c>
      <c r="L1412" s="3" t="n">
        <f aca="false">IF(OR(F1412="Y",G1412="Y",H1412="Y"),1,0)</f>
        <v>0</v>
      </c>
      <c r="M1412" s="3" t="n">
        <f aca="false">IF(H1412="Y",1,0)</f>
        <v>0</v>
      </c>
      <c r="N1412" s="3" t="n">
        <f aca="false">IF(I1412="Y",1,0)</f>
        <v>0</v>
      </c>
    </row>
    <row r="1413" customFormat="false" ht="15" hidden="false" customHeight="true" outlineLevel="0" collapsed="false">
      <c r="A1413" s="7" t="s">
        <v>62</v>
      </c>
      <c r="B1413" s="7" t="n">
        <v>1946</v>
      </c>
      <c r="C1413" s="7" t="s">
        <v>575</v>
      </c>
      <c r="D1413" s="7" t="n">
        <v>96</v>
      </c>
      <c r="E1413" s="7" t="n">
        <v>60</v>
      </c>
      <c r="F1413" s="7"/>
      <c r="G1413" s="7"/>
      <c r="H1413" s="7" t="s">
        <v>546</v>
      </c>
      <c r="I1413" s="7" t="s">
        <v>546</v>
      </c>
      <c r="J1413" s="21" t="n">
        <f aca="false">D1413/(D1413+E1413)</f>
        <v>0.615384615384615</v>
      </c>
      <c r="K1413" s="3" t="n">
        <f aca="false">IF(D1413&gt;E1413,1,0)</f>
        <v>1</v>
      </c>
      <c r="L1413" s="3" t="n">
        <f aca="false">IF(OR(F1413="Y",G1413="Y",H1413="Y"),1,0)</f>
        <v>0</v>
      </c>
      <c r="M1413" s="3" t="n">
        <f aca="false">IF(H1413="Y",1,0)</f>
        <v>0</v>
      </c>
      <c r="N1413" s="3" t="n">
        <f aca="false">IF(I1413="Y",1,0)</f>
        <v>0</v>
      </c>
    </row>
    <row r="1414" customFormat="false" ht="15" hidden="false" customHeight="true" outlineLevel="0" collapsed="false">
      <c r="A1414" s="7" t="s">
        <v>62</v>
      </c>
      <c r="B1414" s="7" t="n">
        <v>1947</v>
      </c>
      <c r="C1414" s="7" t="s">
        <v>575</v>
      </c>
      <c r="D1414" s="7" t="n">
        <v>94</v>
      </c>
      <c r="E1414" s="7" t="n">
        <v>60</v>
      </c>
      <c r="F1414" s="7"/>
      <c r="G1414" s="7"/>
      <c r="H1414" s="7" t="s">
        <v>548</v>
      </c>
      <c r="I1414" s="7" t="s">
        <v>546</v>
      </c>
      <c r="J1414" s="21" t="n">
        <f aca="false">D1414/(D1414+E1414)</f>
        <v>0.61038961038961</v>
      </c>
      <c r="K1414" s="3" t="n">
        <f aca="false">IF(D1414&gt;E1414,1,0)</f>
        <v>1</v>
      </c>
      <c r="L1414" s="3" t="n">
        <f aca="false">IF(OR(F1414="Y",G1414="Y",H1414="Y"),1,0)</f>
        <v>1</v>
      </c>
      <c r="M1414" s="3" t="n">
        <f aca="false">IF(H1414="Y",1,0)</f>
        <v>1</v>
      </c>
      <c r="N1414" s="3" t="n">
        <f aca="false">IF(I1414="Y",1,0)</f>
        <v>0</v>
      </c>
    </row>
    <row r="1415" customFormat="false" ht="15" hidden="false" customHeight="true" outlineLevel="0" collapsed="false">
      <c r="A1415" s="7" t="s">
        <v>62</v>
      </c>
      <c r="B1415" s="7" t="n">
        <v>1948</v>
      </c>
      <c r="C1415" s="7" t="s">
        <v>575</v>
      </c>
      <c r="D1415" s="7" t="n">
        <v>84</v>
      </c>
      <c r="E1415" s="7" t="n">
        <v>70</v>
      </c>
      <c r="F1415" s="7"/>
      <c r="G1415" s="7"/>
      <c r="H1415" s="7" t="s">
        <v>546</v>
      </c>
      <c r="I1415" s="7" t="s">
        <v>546</v>
      </c>
      <c r="J1415" s="21" t="n">
        <f aca="false">D1415/(D1415+E1415)</f>
        <v>0.545454545454545</v>
      </c>
      <c r="K1415" s="3" t="n">
        <f aca="false">IF(D1415&gt;E1415,1,0)</f>
        <v>1</v>
      </c>
      <c r="L1415" s="3" t="n">
        <f aca="false">IF(OR(F1415="Y",G1415="Y",H1415="Y"),1,0)</f>
        <v>0</v>
      </c>
      <c r="M1415" s="3" t="n">
        <f aca="false">IF(H1415="Y",1,0)</f>
        <v>0</v>
      </c>
      <c r="N1415" s="3" t="n">
        <f aca="false">IF(I1415="Y",1,0)</f>
        <v>0</v>
      </c>
    </row>
    <row r="1416" customFormat="false" ht="15" hidden="false" customHeight="true" outlineLevel="0" collapsed="false">
      <c r="A1416" s="7" t="s">
        <v>62</v>
      </c>
      <c r="B1416" s="7" t="n">
        <v>1949</v>
      </c>
      <c r="C1416" s="7" t="s">
        <v>575</v>
      </c>
      <c r="D1416" s="7" t="n">
        <v>97</v>
      </c>
      <c r="E1416" s="7" t="n">
        <v>57</v>
      </c>
      <c r="F1416" s="7"/>
      <c r="G1416" s="7"/>
      <c r="H1416" s="7" t="s">
        <v>548</v>
      </c>
      <c r="I1416" s="7" t="s">
        <v>546</v>
      </c>
      <c r="J1416" s="21" t="n">
        <f aca="false">D1416/(D1416+E1416)</f>
        <v>0.62987012987013</v>
      </c>
      <c r="K1416" s="3" t="n">
        <f aca="false">IF(D1416&gt;E1416,1,0)</f>
        <v>1</v>
      </c>
      <c r="L1416" s="3" t="n">
        <f aca="false">IF(OR(F1416="Y",G1416="Y",H1416="Y"),1,0)</f>
        <v>1</v>
      </c>
      <c r="M1416" s="3" t="n">
        <f aca="false">IF(H1416="Y",1,0)</f>
        <v>1</v>
      </c>
      <c r="N1416" s="3" t="n">
        <f aca="false">IF(I1416="Y",1,0)</f>
        <v>0</v>
      </c>
    </row>
    <row r="1417" customFormat="false" ht="15" hidden="false" customHeight="true" outlineLevel="0" collapsed="false">
      <c r="A1417" s="7" t="s">
        <v>62</v>
      </c>
      <c r="B1417" s="7" t="n">
        <v>1950</v>
      </c>
      <c r="C1417" s="7" t="s">
        <v>575</v>
      </c>
      <c r="D1417" s="7" t="n">
        <v>89</v>
      </c>
      <c r="E1417" s="7" t="n">
        <v>65</v>
      </c>
      <c r="F1417" s="7"/>
      <c r="G1417" s="7"/>
      <c r="H1417" s="7" t="s">
        <v>546</v>
      </c>
      <c r="I1417" s="7" t="s">
        <v>546</v>
      </c>
      <c r="J1417" s="21" t="n">
        <f aca="false">D1417/(D1417+E1417)</f>
        <v>0.577922077922078</v>
      </c>
      <c r="K1417" s="3" t="n">
        <f aca="false">IF(D1417&gt;E1417,1,0)</f>
        <v>1</v>
      </c>
      <c r="L1417" s="3" t="n">
        <f aca="false">IF(OR(F1417="Y",G1417="Y",H1417="Y"),1,0)</f>
        <v>0</v>
      </c>
      <c r="M1417" s="3" t="n">
        <f aca="false">IF(H1417="Y",1,0)</f>
        <v>0</v>
      </c>
      <c r="N1417" s="3" t="n">
        <f aca="false">IF(I1417="Y",1,0)</f>
        <v>0</v>
      </c>
    </row>
    <row r="1418" customFormat="false" ht="15" hidden="false" customHeight="true" outlineLevel="0" collapsed="false">
      <c r="A1418" s="7" t="s">
        <v>62</v>
      </c>
      <c r="B1418" s="7" t="n">
        <v>1951</v>
      </c>
      <c r="C1418" s="7" t="s">
        <v>575</v>
      </c>
      <c r="D1418" s="7" t="n">
        <v>97</v>
      </c>
      <c r="E1418" s="7" t="n">
        <v>60</v>
      </c>
      <c r="F1418" s="7"/>
      <c r="G1418" s="7"/>
      <c r="H1418" s="7" t="s">
        <v>546</v>
      </c>
      <c r="I1418" s="7" t="s">
        <v>546</v>
      </c>
      <c r="J1418" s="21" t="n">
        <f aca="false">D1418/(D1418+E1418)</f>
        <v>0.617834394904459</v>
      </c>
      <c r="K1418" s="3" t="n">
        <f aca="false">IF(D1418&gt;E1418,1,0)</f>
        <v>1</v>
      </c>
      <c r="L1418" s="3" t="n">
        <f aca="false">IF(OR(F1418="Y",G1418="Y",H1418="Y"),1,0)</f>
        <v>0</v>
      </c>
      <c r="M1418" s="3" t="n">
        <f aca="false">IF(H1418="Y",1,0)</f>
        <v>0</v>
      </c>
      <c r="N1418" s="3" t="n">
        <f aca="false">IF(I1418="Y",1,0)</f>
        <v>0</v>
      </c>
    </row>
    <row r="1419" customFormat="false" ht="15" hidden="false" customHeight="true" outlineLevel="0" collapsed="false">
      <c r="A1419" s="7" t="s">
        <v>62</v>
      </c>
      <c r="B1419" s="7" t="n">
        <v>1952</v>
      </c>
      <c r="C1419" s="7" t="s">
        <v>575</v>
      </c>
      <c r="D1419" s="7" t="n">
        <v>96</v>
      </c>
      <c r="E1419" s="7" t="n">
        <v>57</v>
      </c>
      <c r="F1419" s="7"/>
      <c r="G1419" s="7"/>
      <c r="H1419" s="7" t="s">
        <v>548</v>
      </c>
      <c r="I1419" s="7" t="s">
        <v>546</v>
      </c>
      <c r="J1419" s="21" t="n">
        <f aca="false">D1419/(D1419+E1419)</f>
        <v>0.627450980392157</v>
      </c>
      <c r="K1419" s="3" t="n">
        <f aca="false">IF(D1419&gt;E1419,1,0)</f>
        <v>1</v>
      </c>
      <c r="L1419" s="3" t="n">
        <f aca="false">IF(OR(F1419="Y",G1419="Y",H1419="Y"),1,0)</f>
        <v>1</v>
      </c>
      <c r="M1419" s="3" t="n">
        <f aca="false">IF(H1419="Y",1,0)</f>
        <v>1</v>
      </c>
      <c r="N1419" s="3" t="n">
        <f aca="false">IF(I1419="Y",1,0)</f>
        <v>0</v>
      </c>
    </row>
    <row r="1420" customFormat="false" ht="15" hidden="false" customHeight="true" outlineLevel="0" collapsed="false">
      <c r="A1420" s="7" t="s">
        <v>62</v>
      </c>
      <c r="B1420" s="7" t="n">
        <v>1953</v>
      </c>
      <c r="C1420" s="7" t="s">
        <v>575</v>
      </c>
      <c r="D1420" s="7" t="n">
        <v>105</v>
      </c>
      <c r="E1420" s="7" t="n">
        <v>49</v>
      </c>
      <c r="F1420" s="7"/>
      <c r="G1420" s="7"/>
      <c r="H1420" s="7" t="s">
        <v>548</v>
      </c>
      <c r="I1420" s="7" t="s">
        <v>546</v>
      </c>
      <c r="J1420" s="21" t="n">
        <f aca="false">D1420/(D1420+E1420)</f>
        <v>0.681818181818182</v>
      </c>
      <c r="K1420" s="3" t="n">
        <f aca="false">IF(D1420&gt;E1420,1,0)</f>
        <v>1</v>
      </c>
      <c r="L1420" s="3" t="n">
        <f aca="false">IF(OR(F1420="Y",G1420="Y",H1420="Y"),1,0)</f>
        <v>1</v>
      </c>
      <c r="M1420" s="3" t="n">
        <f aca="false">IF(H1420="Y",1,0)</f>
        <v>1</v>
      </c>
      <c r="N1420" s="3" t="n">
        <f aca="false">IF(I1420="Y",1,0)</f>
        <v>0</v>
      </c>
    </row>
    <row r="1421" customFormat="false" ht="15" hidden="false" customHeight="true" outlineLevel="0" collapsed="false">
      <c r="A1421" s="7" t="s">
        <v>62</v>
      </c>
      <c r="B1421" s="7" t="n">
        <v>1954</v>
      </c>
      <c r="C1421" s="7" t="s">
        <v>575</v>
      </c>
      <c r="D1421" s="7" t="n">
        <v>92</v>
      </c>
      <c r="E1421" s="7" t="n">
        <v>62</v>
      </c>
      <c r="F1421" s="7"/>
      <c r="G1421" s="7"/>
      <c r="H1421" s="7" t="s">
        <v>546</v>
      </c>
      <c r="I1421" s="7" t="s">
        <v>546</v>
      </c>
      <c r="J1421" s="21" t="n">
        <f aca="false">D1421/(D1421+E1421)</f>
        <v>0.597402597402597</v>
      </c>
      <c r="K1421" s="3" t="n">
        <f aca="false">IF(D1421&gt;E1421,1,0)</f>
        <v>1</v>
      </c>
      <c r="L1421" s="3" t="n">
        <f aca="false">IF(OR(F1421="Y",G1421="Y",H1421="Y"),1,0)</f>
        <v>0</v>
      </c>
      <c r="M1421" s="3" t="n">
        <f aca="false">IF(H1421="Y",1,0)</f>
        <v>0</v>
      </c>
      <c r="N1421" s="3" t="n">
        <f aca="false">IF(I1421="Y",1,0)</f>
        <v>0</v>
      </c>
    </row>
    <row r="1422" customFormat="false" ht="15" hidden="false" customHeight="true" outlineLevel="0" collapsed="false">
      <c r="A1422" s="7" t="s">
        <v>62</v>
      </c>
      <c r="B1422" s="7" t="n">
        <v>1955</v>
      </c>
      <c r="C1422" s="7" t="s">
        <v>575</v>
      </c>
      <c r="D1422" s="7" t="n">
        <v>98</v>
      </c>
      <c r="E1422" s="7" t="n">
        <v>55</v>
      </c>
      <c r="F1422" s="7"/>
      <c r="G1422" s="7"/>
      <c r="H1422" s="7" t="s">
        <v>548</v>
      </c>
      <c r="I1422" s="7" t="s">
        <v>548</v>
      </c>
      <c r="J1422" s="21" t="n">
        <f aca="false">D1422/(D1422+E1422)</f>
        <v>0.640522875816993</v>
      </c>
      <c r="K1422" s="3" t="n">
        <f aca="false">IF(D1422&gt;E1422,1,0)</f>
        <v>1</v>
      </c>
      <c r="L1422" s="3" t="n">
        <f aca="false">IF(OR(F1422="Y",G1422="Y",H1422="Y"),1,0)</f>
        <v>1</v>
      </c>
      <c r="M1422" s="3" t="n">
        <f aca="false">IF(H1422="Y",1,0)</f>
        <v>1</v>
      </c>
      <c r="N1422" s="3" t="n">
        <f aca="false">IF(I1422="Y",1,0)</f>
        <v>1</v>
      </c>
    </row>
    <row r="1423" customFormat="false" ht="15" hidden="false" customHeight="true" outlineLevel="0" collapsed="false">
      <c r="A1423" s="7" t="s">
        <v>62</v>
      </c>
      <c r="B1423" s="7" t="n">
        <v>1956</v>
      </c>
      <c r="C1423" s="7" t="s">
        <v>575</v>
      </c>
      <c r="D1423" s="7" t="n">
        <v>93</v>
      </c>
      <c r="E1423" s="7" t="n">
        <v>61</v>
      </c>
      <c r="F1423" s="7"/>
      <c r="G1423" s="7"/>
      <c r="H1423" s="7" t="s">
        <v>548</v>
      </c>
      <c r="I1423" s="7" t="s">
        <v>546</v>
      </c>
      <c r="J1423" s="21" t="n">
        <f aca="false">D1423/(D1423+E1423)</f>
        <v>0.603896103896104</v>
      </c>
      <c r="K1423" s="3" t="n">
        <f aca="false">IF(D1423&gt;E1423,1,0)</f>
        <v>1</v>
      </c>
      <c r="L1423" s="3" t="n">
        <f aca="false">IF(OR(F1423="Y",G1423="Y",H1423="Y"),1,0)</f>
        <v>1</v>
      </c>
      <c r="M1423" s="3" t="n">
        <f aca="false">IF(H1423="Y",1,0)</f>
        <v>1</v>
      </c>
      <c r="N1423" s="3" t="n">
        <f aca="false">IF(I1423="Y",1,0)</f>
        <v>0</v>
      </c>
    </row>
    <row r="1424" customFormat="false" ht="15" hidden="false" customHeight="true" outlineLevel="0" collapsed="false">
      <c r="A1424" s="7" t="s">
        <v>62</v>
      </c>
      <c r="B1424" s="7" t="n">
        <v>1957</v>
      </c>
      <c r="C1424" s="7" t="s">
        <v>575</v>
      </c>
      <c r="D1424" s="7" t="n">
        <v>84</v>
      </c>
      <c r="E1424" s="7" t="n">
        <v>70</v>
      </c>
      <c r="F1424" s="7"/>
      <c r="G1424" s="7"/>
      <c r="H1424" s="7" t="s">
        <v>546</v>
      </c>
      <c r="I1424" s="7" t="s">
        <v>546</v>
      </c>
      <c r="J1424" s="21" t="n">
        <f aca="false">D1424/(D1424+E1424)</f>
        <v>0.545454545454545</v>
      </c>
      <c r="K1424" s="3" t="n">
        <f aca="false">IF(D1424&gt;E1424,1,0)</f>
        <v>1</v>
      </c>
      <c r="L1424" s="3" t="n">
        <f aca="false">IF(OR(F1424="Y",G1424="Y",H1424="Y"),1,0)</f>
        <v>0</v>
      </c>
      <c r="M1424" s="3" t="n">
        <f aca="false">IF(H1424="Y",1,0)</f>
        <v>0</v>
      </c>
      <c r="N1424" s="3" t="n">
        <f aca="false">IF(I1424="Y",1,0)</f>
        <v>0</v>
      </c>
    </row>
    <row r="1425" customFormat="false" ht="15" hidden="false" customHeight="true" outlineLevel="0" collapsed="false">
      <c r="A1425" s="7" t="s">
        <v>62</v>
      </c>
      <c r="B1425" s="7" t="n">
        <v>1958</v>
      </c>
      <c r="C1425" s="7" t="s">
        <v>363</v>
      </c>
      <c r="D1425" s="7" t="n">
        <v>71</v>
      </c>
      <c r="E1425" s="7" t="n">
        <v>83</v>
      </c>
      <c r="F1425" s="7"/>
      <c r="G1425" s="7"/>
      <c r="H1425" s="7" t="s">
        <v>546</v>
      </c>
      <c r="I1425" s="7" t="s">
        <v>546</v>
      </c>
      <c r="J1425" s="21" t="n">
        <f aca="false">D1425/(D1425+E1425)</f>
        <v>0.461038961038961</v>
      </c>
      <c r="K1425" s="3" t="n">
        <f aca="false">IF(D1425&gt;E1425,1,0)</f>
        <v>0</v>
      </c>
      <c r="L1425" s="3" t="n">
        <f aca="false">IF(OR(F1425="Y",G1425="Y",H1425="Y"),1,0)</f>
        <v>0</v>
      </c>
      <c r="M1425" s="3" t="n">
        <f aca="false">IF(H1425="Y",1,0)</f>
        <v>0</v>
      </c>
      <c r="N1425" s="3" t="n">
        <f aca="false">IF(I1425="Y",1,0)</f>
        <v>0</v>
      </c>
    </row>
    <row r="1426" customFormat="false" ht="15" hidden="false" customHeight="true" outlineLevel="0" collapsed="false">
      <c r="A1426" s="7" t="s">
        <v>62</v>
      </c>
      <c r="B1426" s="7" t="n">
        <v>1959</v>
      </c>
      <c r="C1426" s="7" t="s">
        <v>363</v>
      </c>
      <c r="D1426" s="7" t="n">
        <v>88</v>
      </c>
      <c r="E1426" s="7" t="n">
        <v>68</v>
      </c>
      <c r="F1426" s="7"/>
      <c r="G1426" s="7"/>
      <c r="H1426" s="7" t="s">
        <v>548</v>
      </c>
      <c r="I1426" s="7" t="s">
        <v>548</v>
      </c>
      <c r="J1426" s="21" t="n">
        <f aca="false">D1426/(D1426+E1426)</f>
        <v>0.564102564102564</v>
      </c>
      <c r="K1426" s="3" t="n">
        <f aca="false">IF(D1426&gt;E1426,1,0)</f>
        <v>1</v>
      </c>
      <c r="L1426" s="3" t="n">
        <f aca="false">IF(OR(F1426="Y",G1426="Y",H1426="Y"),1,0)</f>
        <v>1</v>
      </c>
      <c r="M1426" s="3" t="n">
        <f aca="false">IF(H1426="Y",1,0)</f>
        <v>1</v>
      </c>
      <c r="N1426" s="3" t="n">
        <f aca="false">IF(I1426="Y",1,0)</f>
        <v>1</v>
      </c>
    </row>
    <row r="1427" customFormat="false" ht="15" hidden="false" customHeight="true" outlineLevel="0" collapsed="false">
      <c r="A1427" s="7" t="s">
        <v>62</v>
      </c>
      <c r="B1427" s="7" t="n">
        <v>1960</v>
      </c>
      <c r="C1427" s="7" t="s">
        <v>363</v>
      </c>
      <c r="D1427" s="7" t="n">
        <v>82</v>
      </c>
      <c r="E1427" s="7" t="n">
        <v>72</v>
      </c>
      <c r="F1427" s="7"/>
      <c r="G1427" s="7"/>
      <c r="H1427" s="7" t="s">
        <v>546</v>
      </c>
      <c r="I1427" s="7" t="s">
        <v>546</v>
      </c>
      <c r="J1427" s="21" t="n">
        <f aca="false">D1427/(D1427+E1427)</f>
        <v>0.532467532467532</v>
      </c>
      <c r="K1427" s="3" t="n">
        <f aca="false">IF(D1427&gt;E1427,1,0)</f>
        <v>1</v>
      </c>
      <c r="L1427" s="3" t="n">
        <f aca="false">IF(OR(F1427="Y",G1427="Y",H1427="Y"),1,0)</f>
        <v>0</v>
      </c>
      <c r="M1427" s="3" t="n">
        <f aca="false">IF(H1427="Y",1,0)</f>
        <v>0</v>
      </c>
      <c r="N1427" s="3" t="n">
        <f aca="false">IF(I1427="Y",1,0)</f>
        <v>0</v>
      </c>
    </row>
    <row r="1428" customFormat="false" ht="15" hidden="false" customHeight="true" outlineLevel="0" collapsed="false">
      <c r="A1428" s="7" t="s">
        <v>62</v>
      </c>
      <c r="B1428" s="7" t="n">
        <v>1961</v>
      </c>
      <c r="C1428" s="7" t="s">
        <v>363</v>
      </c>
      <c r="D1428" s="7" t="n">
        <v>89</v>
      </c>
      <c r="E1428" s="7" t="n">
        <v>65</v>
      </c>
      <c r="F1428" s="7"/>
      <c r="G1428" s="7"/>
      <c r="H1428" s="7" t="s">
        <v>546</v>
      </c>
      <c r="I1428" s="7" t="s">
        <v>546</v>
      </c>
      <c r="J1428" s="21" t="n">
        <f aca="false">D1428/(D1428+E1428)</f>
        <v>0.577922077922078</v>
      </c>
      <c r="K1428" s="3" t="n">
        <f aca="false">IF(D1428&gt;E1428,1,0)</f>
        <v>1</v>
      </c>
      <c r="L1428" s="3" t="n">
        <f aca="false">IF(OR(F1428="Y",G1428="Y",H1428="Y"),1,0)</f>
        <v>0</v>
      </c>
      <c r="M1428" s="3" t="n">
        <f aca="false">IF(H1428="Y",1,0)</f>
        <v>0</v>
      </c>
      <c r="N1428" s="3" t="n">
        <f aca="false">IF(I1428="Y",1,0)</f>
        <v>0</v>
      </c>
    </row>
    <row r="1429" customFormat="false" ht="15" hidden="false" customHeight="true" outlineLevel="0" collapsed="false">
      <c r="A1429" s="7" t="s">
        <v>62</v>
      </c>
      <c r="B1429" s="7" t="n">
        <v>1962</v>
      </c>
      <c r="C1429" s="7" t="s">
        <v>363</v>
      </c>
      <c r="D1429" s="7" t="n">
        <v>102</v>
      </c>
      <c r="E1429" s="7" t="n">
        <v>63</v>
      </c>
      <c r="F1429" s="7"/>
      <c r="G1429" s="7"/>
      <c r="H1429" s="7" t="s">
        <v>546</v>
      </c>
      <c r="I1429" s="7" t="s">
        <v>546</v>
      </c>
      <c r="J1429" s="21" t="n">
        <f aca="false">D1429/(D1429+E1429)</f>
        <v>0.618181818181818</v>
      </c>
      <c r="K1429" s="3" t="n">
        <f aca="false">IF(D1429&gt;E1429,1,0)</f>
        <v>1</v>
      </c>
      <c r="L1429" s="3" t="n">
        <f aca="false">IF(OR(F1429="Y",G1429="Y",H1429="Y"),1,0)</f>
        <v>0</v>
      </c>
      <c r="M1429" s="3" t="n">
        <f aca="false">IF(H1429="Y",1,0)</f>
        <v>0</v>
      </c>
      <c r="N1429" s="3" t="n">
        <f aca="false">IF(I1429="Y",1,0)</f>
        <v>0</v>
      </c>
    </row>
    <row r="1430" customFormat="false" ht="15" hidden="false" customHeight="true" outlineLevel="0" collapsed="false">
      <c r="A1430" s="7" t="s">
        <v>62</v>
      </c>
      <c r="B1430" s="7" t="n">
        <v>1963</v>
      </c>
      <c r="C1430" s="7" t="s">
        <v>363</v>
      </c>
      <c r="D1430" s="7" t="n">
        <v>99</v>
      </c>
      <c r="E1430" s="7" t="n">
        <v>63</v>
      </c>
      <c r="F1430" s="7"/>
      <c r="G1430" s="7"/>
      <c r="H1430" s="7" t="s">
        <v>548</v>
      </c>
      <c r="I1430" s="7" t="s">
        <v>548</v>
      </c>
      <c r="J1430" s="21" t="n">
        <f aca="false">D1430/(D1430+E1430)</f>
        <v>0.611111111111111</v>
      </c>
      <c r="K1430" s="3" t="n">
        <f aca="false">IF(D1430&gt;E1430,1,0)</f>
        <v>1</v>
      </c>
      <c r="L1430" s="3" t="n">
        <f aca="false">IF(OR(F1430="Y",G1430="Y",H1430="Y"),1,0)</f>
        <v>1</v>
      </c>
      <c r="M1430" s="3" t="n">
        <f aca="false">IF(H1430="Y",1,0)</f>
        <v>1</v>
      </c>
      <c r="N1430" s="3" t="n">
        <f aca="false">IF(I1430="Y",1,0)</f>
        <v>1</v>
      </c>
    </row>
    <row r="1431" customFormat="false" ht="15" hidden="false" customHeight="true" outlineLevel="0" collapsed="false">
      <c r="A1431" s="7" t="s">
        <v>62</v>
      </c>
      <c r="B1431" s="7" t="n">
        <v>1964</v>
      </c>
      <c r="C1431" s="7" t="s">
        <v>363</v>
      </c>
      <c r="D1431" s="7" t="n">
        <v>80</v>
      </c>
      <c r="E1431" s="7" t="n">
        <v>82</v>
      </c>
      <c r="F1431" s="7"/>
      <c r="G1431" s="7"/>
      <c r="H1431" s="7" t="s">
        <v>546</v>
      </c>
      <c r="I1431" s="7" t="s">
        <v>546</v>
      </c>
      <c r="J1431" s="21" t="n">
        <f aca="false">D1431/(D1431+E1431)</f>
        <v>0.493827160493827</v>
      </c>
      <c r="K1431" s="3" t="n">
        <f aca="false">IF(D1431&gt;E1431,1,0)</f>
        <v>0</v>
      </c>
      <c r="L1431" s="3" t="n">
        <f aca="false">IF(OR(F1431="Y",G1431="Y",H1431="Y"),1,0)</f>
        <v>0</v>
      </c>
      <c r="M1431" s="3" t="n">
        <f aca="false">IF(H1431="Y",1,0)</f>
        <v>0</v>
      </c>
      <c r="N1431" s="3" t="n">
        <f aca="false">IF(I1431="Y",1,0)</f>
        <v>0</v>
      </c>
    </row>
    <row r="1432" customFormat="false" ht="15" hidden="false" customHeight="true" outlineLevel="0" collapsed="false">
      <c r="A1432" s="7" t="s">
        <v>62</v>
      </c>
      <c r="B1432" s="7" t="n">
        <v>1965</v>
      </c>
      <c r="C1432" s="7" t="s">
        <v>363</v>
      </c>
      <c r="D1432" s="7" t="n">
        <v>97</v>
      </c>
      <c r="E1432" s="7" t="n">
        <v>65</v>
      </c>
      <c r="F1432" s="7"/>
      <c r="G1432" s="7"/>
      <c r="H1432" s="7" t="s">
        <v>548</v>
      </c>
      <c r="I1432" s="7" t="s">
        <v>548</v>
      </c>
      <c r="J1432" s="21" t="n">
        <f aca="false">D1432/(D1432+E1432)</f>
        <v>0.598765432098765</v>
      </c>
      <c r="K1432" s="3" t="n">
        <f aca="false">IF(D1432&gt;E1432,1,0)</f>
        <v>1</v>
      </c>
      <c r="L1432" s="3" t="n">
        <f aca="false">IF(OR(F1432="Y",G1432="Y",H1432="Y"),1,0)</f>
        <v>1</v>
      </c>
      <c r="M1432" s="3" t="n">
        <f aca="false">IF(H1432="Y",1,0)</f>
        <v>1</v>
      </c>
      <c r="N1432" s="3" t="n">
        <f aca="false">IF(I1432="Y",1,0)</f>
        <v>1</v>
      </c>
    </row>
    <row r="1433" customFormat="false" ht="15" hidden="false" customHeight="true" outlineLevel="0" collapsed="false">
      <c r="A1433" s="7" t="s">
        <v>62</v>
      </c>
      <c r="B1433" s="7" t="n">
        <v>1966</v>
      </c>
      <c r="C1433" s="7" t="s">
        <v>363</v>
      </c>
      <c r="D1433" s="7" t="n">
        <v>95</v>
      </c>
      <c r="E1433" s="7" t="n">
        <v>67</v>
      </c>
      <c r="F1433" s="7"/>
      <c r="G1433" s="7"/>
      <c r="H1433" s="7" t="s">
        <v>548</v>
      </c>
      <c r="I1433" s="7" t="s">
        <v>546</v>
      </c>
      <c r="J1433" s="21" t="n">
        <f aca="false">D1433/(D1433+E1433)</f>
        <v>0.58641975308642</v>
      </c>
      <c r="K1433" s="3" t="n">
        <f aca="false">IF(D1433&gt;E1433,1,0)</f>
        <v>1</v>
      </c>
      <c r="L1433" s="3" t="n">
        <f aca="false">IF(OR(F1433="Y",G1433="Y",H1433="Y"),1,0)</f>
        <v>1</v>
      </c>
      <c r="M1433" s="3" t="n">
        <f aca="false">IF(H1433="Y",1,0)</f>
        <v>1</v>
      </c>
      <c r="N1433" s="3" t="n">
        <f aca="false">IF(I1433="Y",1,0)</f>
        <v>0</v>
      </c>
    </row>
    <row r="1434" customFormat="false" ht="15" hidden="false" customHeight="true" outlineLevel="0" collapsed="false">
      <c r="A1434" s="7" t="s">
        <v>62</v>
      </c>
      <c r="B1434" s="7" t="n">
        <v>1967</v>
      </c>
      <c r="C1434" s="7" t="s">
        <v>363</v>
      </c>
      <c r="D1434" s="7" t="n">
        <v>73</v>
      </c>
      <c r="E1434" s="7" t="n">
        <v>89</v>
      </c>
      <c r="F1434" s="7"/>
      <c r="G1434" s="7"/>
      <c r="H1434" s="7" t="s">
        <v>546</v>
      </c>
      <c r="I1434" s="7" t="s">
        <v>546</v>
      </c>
      <c r="J1434" s="21" t="n">
        <f aca="false">D1434/(D1434+E1434)</f>
        <v>0.450617283950617</v>
      </c>
      <c r="K1434" s="3" t="n">
        <f aca="false">IF(D1434&gt;E1434,1,0)</f>
        <v>0</v>
      </c>
      <c r="L1434" s="3" t="n">
        <f aca="false">IF(OR(F1434="Y",G1434="Y",H1434="Y"),1,0)</f>
        <v>0</v>
      </c>
      <c r="M1434" s="3" t="n">
        <f aca="false">IF(H1434="Y",1,0)</f>
        <v>0</v>
      </c>
      <c r="N1434" s="3" t="n">
        <f aca="false">IF(I1434="Y",1,0)</f>
        <v>0</v>
      </c>
    </row>
    <row r="1435" customFormat="false" ht="15" hidden="false" customHeight="true" outlineLevel="0" collapsed="false">
      <c r="A1435" s="7" t="s">
        <v>62</v>
      </c>
      <c r="B1435" s="7" t="n">
        <v>1968</v>
      </c>
      <c r="C1435" s="7" t="s">
        <v>363</v>
      </c>
      <c r="D1435" s="7" t="n">
        <v>76</v>
      </c>
      <c r="E1435" s="7" t="n">
        <v>86</v>
      </c>
      <c r="F1435" s="7"/>
      <c r="G1435" s="7"/>
      <c r="H1435" s="7" t="s">
        <v>546</v>
      </c>
      <c r="I1435" s="7" t="s">
        <v>546</v>
      </c>
      <c r="J1435" s="21" t="n">
        <f aca="false">D1435/(D1435+E1435)</f>
        <v>0.469135802469136</v>
      </c>
      <c r="K1435" s="3" t="n">
        <f aca="false">IF(D1435&gt;E1435,1,0)</f>
        <v>0</v>
      </c>
      <c r="L1435" s="3" t="n">
        <f aca="false">IF(OR(F1435="Y",G1435="Y",H1435="Y"),1,0)</f>
        <v>0</v>
      </c>
      <c r="M1435" s="3" t="n">
        <f aca="false">IF(H1435="Y",1,0)</f>
        <v>0</v>
      </c>
      <c r="N1435" s="3" t="n">
        <f aca="false">IF(I1435="Y",1,0)</f>
        <v>0</v>
      </c>
    </row>
    <row r="1436" customFormat="false" ht="15" hidden="false" customHeight="true" outlineLevel="0" collapsed="false">
      <c r="A1436" s="7" t="s">
        <v>62</v>
      </c>
      <c r="B1436" s="7" t="n">
        <v>1969</v>
      </c>
      <c r="C1436" s="7" t="s">
        <v>363</v>
      </c>
      <c r="D1436" s="7" t="n">
        <v>85</v>
      </c>
      <c r="E1436" s="7" t="n">
        <v>77</v>
      </c>
      <c r="F1436" s="7" t="s">
        <v>546</v>
      </c>
      <c r="G1436" s="7"/>
      <c r="H1436" s="7" t="s">
        <v>546</v>
      </c>
      <c r="I1436" s="7" t="s">
        <v>546</v>
      </c>
      <c r="J1436" s="21" t="n">
        <f aca="false">D1436/(D1436+E1436)</f>
        <v>0.524691358024691</v>
      </c>
      <c r="K1436" s="3" t="n">
        <f aca="false">IF(D1436&gt;E1436,1,0)</f>
        <v>1</v>
      </c>
      <c r="L1436" s="3" t="n">
        <f aca="false">IF(OR(F1436="Y",G1436="Y",H1436="Y"),1,0)</f>
        <v>0</v>
      </c>
      <c r="M1436" s="3" t="n">
        <f aca="false">IF(H1436="Y",1,0)</f>
        <v>0</v>
      </c>
      <c r="N1436" s="3" t="n">
        <f aca="false">IF(I1436="Y",1,0)</f>
        <v>0</v>
      </c>
    </row>
    <row r="1437" customFormat="false" ht="15" hidden="false" customHeight="true" outlineLevel="0" collapsed="false">
      <c r="A1437" s="7" t="s">
        <v>62</v>
      </c>
      <c r="B1437" s="7" t="n">
        <v>1970</v>
      </c>
      <c r="C1437" s="7" t="s">
        <v>363</v>
      </c>
      <c r="D1437" s="7" t="n">
        <v>87</v>
      </c>
      <c r="E1437" s="7" t="n">
        <v>74</v>
      </c>
      <c r="F1437" s="7" t="s">
        <v>546</v>
      </c>
      <c r="G1437" s="7"/>
      <c r="H1437" s="7" t="s">
        <v>546</v>
      </c>
      <c r="I1437" s="7" t="s">
        <v>546</v>
      </c>
      <c r="J1437" s="21" t="n">
        <f aca="false">D1437/(D1437+E1437)</f>
        <v>0.540372670807453</v>
      </c>
      <c r="K1437" s="3" t="n">
        <f aca="false">IF(D1437&gt;E1437,1,0)</f>
        <v>1</v>
      </c>
      <c r="L1437" s="3" t="n">
        <f aca="false">IF(OR(F1437="Y",G1437="Y",H1437="Y"),1,0)</f>
        <v>0</v>
      </c>
      <c r="M1437" s="3" t="n">
        <f aca="false">IF(H1437="Y",1,0)</f>
        <v>0</v>
      </c>
      <c r="N1437" s="3" t="n">
        <f aca="false">IF(I1437="Y",1,0)</f>
        <v>0</v>
      </c>
    </row>
    <row r="1438" customFormat="false" ht="15" hidden="false" customHeight="true" outlineLevel="0" collapsed="false">
      <c r="A1438" s="7" t="s">
        <v>62</v>
      </c>
      <c r="B1438" s="7" t="n">
        <v>1971</v>
      </c>
      <c r="C1438" s="7" t="s">
        <v>363</v>
      </c>
      <c r="D1438" s="7" t="n">
        <v>89</v>
      </c>
      <c r="E1438" s="7" t="n">
        <v>73</v>
      </c>
      <c r="F1438" s="7" t="s">
        <v>546</v>
      </c>
      <c r="G1438" s="7"/>
      <c r="H1438" s="7" t="s">
        <v>546</v>
      </c>
      <c r="I1438" s="7" t="s">
        <v>546</v>
      </c>
      <c r="J1438" s="21" t="n">
        <f aca="false">D1438/(D1438+E1438)</f>
        <v>0.549382716049383</v>
      </c>
      <c r="K1438" s="3" t="n">
        <f aca="false">IF(D1438&gt;E1438,1,0)</f>
        <v>1</v>
      </c>
      <c r="L1438" s="3" t="n">
        <f aca="false">IF(OR(F1438="Y",G1438="Y",H1438="Y"),1,0)</f>
        <v>0</v>
      </c>
      <c r="M1438" s="3" t="n">
        <f aca="false">IF(H1438="Y",1,0)</f>
        <v>0</v>
      </c>
      <c r="N1438" s="3" t="n">
        <f aca="false">IF(I1438="Y",1,0)</f>
        <v>0</v>
      </c>
    </row>
    <row r="1439" customFormat="false" ht="15" hidden="false" customHeight="true" outlineLevel="0" collapsed="false">
      <c r="A1439" s="7" t="s">
        <v>62</v>
      </c>
      <c r="B1439" s="7" t="n">
        <v>1972</v>
      </c>
      <c r="C1439" s="7" t="s">
        <v>363</v>
      </c>
      <c r="D1439" s="7" t="n">
        <v>85</v>
      </c>
      <c r="E1439" s="7" t="n">
        <v>70</v>
      </c>
      <c r="F1439" s="7" t="s">
        <v>546</v>
      </c>
      <c r="G1439" s="7"/>
      <c r="H1439" s="7" t="s">
        <v>546</v>
      </c>
      <c r="I1439" s="7" t="s">
        <v>546</v>
      </c>
      <c r="J1439" s="21" t="n">
        <f aca="false">D1439/(D1439+E1439)</f>
        <v>0.548387096774194</v>
      </c>
      <c r="K1439" s="3" t="n">
        <f aca="false">IF(D1439&gt;E1439,1,0)</f>
        <v>1</v>
      </c>
      <c r="L1439" s="3" t="n">
        <f aca="false">IF(OR(F1439="Y",G1439="Y",H1439="Y"),1,0)</f>
        <v>0</v>
      </c>
      <c r="M1439" s="3" t="n">
        <f aca="false">IF(H1439="Y",1,0)</f>
        <v>0</v>
      </c>
      <c r="N1439" s="3" t="n">
        <f aca="false">IF(I1439="Y",1,0)</f>
        <v>0</v>
      </c>
    </row>
    <row r="1440" customFormat="false" ht="15" hidden="false" customHeight="true" outlineLevel="0" collapsed="false">
      <c r="A1440" s="7" t="s">
        <v>62</v>
      </c>
      <c r="B1440" s="7" t="n">
        <v>1973</v>
      </c>
      <c r="C1440" s="7" t="s">
        <v>363</v>
      </c>
      <c r="D1440" s="7" t="n">
        <v>95</v>
      </c>
      <c r="E1440" s="7" t="n">
        <v>66</v>
      </c>
      <c r="F1440" s="7" t="s">
        <v>546</v>
      </c>
      <c r="G1440" s="7"/>
      <c r="H1440" s="7" t="s">
        <v>546</v>
      </c>
      <c r="I1440" s="7" t="s">
        <v>546</v>
      </c>
      <c r="J1440" s="21" t="n">
        <f aca="false">D1440/(D1440+E1440)</f>
        <v>0.590062111801242</v>
      </c>
      <c r="K1440" s="3" t="n">
        <f aca="false">IF(D1440&gt;E1440,1,0)</f>
        <v>1</v>
      </c>
      <c r="L1440" s="3" t="n">
        <f aca="false">IF(OR(F1440="Y",G1440="Y",H1440="Y"),1,0)</f>
        <v>0</v>
      </c>
      <c r="M1440" s="3" t="n">
        <f aca="false">IF(H1440="Y",1,0)</f>
        <v>0</v>
      </c>
      <c r="N1440" s="3" t="n">
        <f aca="false">IF(I1440="Y",1,0)</f>
        <v>0</v>
      </c>
    </row>
    <row r="1441" customFormat="false" ht="15" hidden="false" customHeight="true" outlineLevel="0" collapsed="false">
      <c r="A1441" s="7" t="s">
        <v>62</v>
      </c>
      <c r="B1441" s="7" t="n">
        <v>1974</v>
      </c>
      <c r="C1441" s="7" t="s">
        <v>363</v>
      </c>
      <c r="D1441" s="7" t="n">
        <v>102</v>
      </c>
      <c r="E1441" s="7" t="n">
        <v>60</v>
      </c>
      <c r="F1441" s="7" t="s">
        <v>548</v>
      </c>
      <c r="G1441" s="7"/>
      <c r="H1441" s="7" t="s">
        <v>548</v>
      </c>
      <c r="I1441" s="7" t="s">
        <v>546</v>
      </c>
      <c r="J1441" s="21" t="n">
        <f aca="false">D1441/(D1441+E1441)</f>
        <v>0.62962962962963</v>
      </c>
      <c r="K1441" s="3" t="n">
        <f aca="false">IF(D1441&gt;E1441,1,0)</f>
        <v>1</v>
      </c>
      <c r="L1441" s="3" t="n">
        <f aca="false">IF(OR(F1441="Y",G1441="Y",H1441="Y"),1,0)</f>
        <v>1</v>
      </c>
      <c r="M1441" s="3" t="n">
        <f aca="false">IF(H1441="Y",1,0)</f>
        <v>1</v>
      </c>
      <c r="N1441" s="3" t="n">
        <f aca="false">IF(I1441="Y",1,0)</f>
        <v>0</v>
      </c>
    </row>
    <row r="1442" customFormat="false" ht="15" hidden="false" customHeight="true" outlineLevel="0" collapsed="false">
      <c r="A1442" s="7" t="s">
        <v>62</v>
      </c>
      <c r="B1442" s="7" t="n">
        <v>1975</v>
      </c>
      <c r="C1442" s="7" t="s">
        <v>363</v>
      </c>
      <c r="D1442" s="7" t="n">
        <v>88</v>
      </c>
      <c r="E1442" s="7" t="n">
        <v>74</v>
      </c>
      <c r="F1442" s="7" t="s">
        <v>546</v>
      </c>
      <c r="G1442" s="7"/>
      <c r="H1442" s="7" t="s">
        <v>546</v>
      </c>
      <c r="I1442" s="7" t="s">
        <v>546</v>
      </c>
      <c r="J1442" s="21" t="n">
        <f aca="false">D1442/(D1442+E1442)</f>
        <v>0.54320987654321</v>
      </c>
      <c r="K1442" s="3" t="n">
        <f aca="false">IF(D1442&gt;E1442,1,0)</f>
        <v>1</v>
      </c>
      <c r="L1442" s="3" t="n">
        <f aca="false">IF(OR(F1442="Y",G1442="Y",H1442="Y"),1,0)</f>
        <v>0</v>
      </c>
      <c r="M1442" s="3" t="n">
        <f aca="false">IF(H1442="Y",1,0)</f>
        <v>0</v>
      </c>
      <c r="N1442" s="3" t="n">
        <f aca="false">IF(I1442="Y",1,0)</f>
        <v>0</v>
      </c>
    </row>
    <row r="1443" customFormat="false" ht="15" hidden="false" customHeight="true" outlineLevel="0" collapsed="false">
      <c r="A1443" s="7" t="s">
        <v>62</v>
      </c>
      <c r="B1443" s="7" t="n">
        <v>1976</v>
      </c>
      <c r="C1443" s="7" t="s">
        <v>363</v>
      </c>
      <c r="D1443" s="7" t="n">
        <v>92</v>
      </c>
      <c r="E1443" s="7" t="n">
        <v>70</v>
      </c>
      <c r="F1443" s="7" t="s">
        <v>546</v>
      </c>
      <c r="G1443" s="7"/>
      <c r="H1443" s="7" t="s">
        <v>546</v>
      </c>
      <c r="I1443" s="7" t="s">
        <v>546</v>
      </c>
      <c r="J1443" s="21" t="n">
        <f aca="false">D1443/(D1443+E1443)</f>
        <v>0.567901234567901</v>
      </c>
      <c r="K1443" s="3" t="n">
        <f aca="false">IF(D1443&gt;E1443,1,0)</f>
        <v>1</v>
      </c>
      <c r="L1443" s="3" t="n">
        <f aca="false">IF(OR(F1443="Y",G1443="Y",H1443="Y"),1,0)</f>
        <v>0</v>
      </c>
      <c r="M1443" s="3" t="n">
        <f aca="false">IF(H1443="Y",1,0)</f>
        <v>0</v>
      </c>
      <c r="N1443" s="3" t="n">
        <f aca="false">IF(I1443="Y",1,0)</f>
        <v>0</v>
      </c>
    </row>
    <row r="1444" customFormat="false" ht="15" hidden="false" customHeight="true" outlineLevel="0" collapsed="false">
      <c r="A1444" s="7" t="s">
        <v>62</v>
      </c>
      <c r="B1444" s="7" t="n">
        <v>1977</v>
      </c>
      <c r="C1444" s="7" t="s">
        <v>363</v>
      </c>
      <c r="D1444" s="7" t="n">
        <v>98</v>
      </c>
      <c r="E1444" s="7" t="n">
        <v>64</v>
      </c>
      <c r="F1444" s="7" t="s">
        <v>548</v>
      </c>
      <c r="G1444" s="7"/>
      <c r="H1444" s="7" t="s">
        <v>548</v>
      </c>
      <c r="I1444" s="7" t="s">
        <v>546</v>
      </c>
      <c r="J1444" s="21" t="n">
        <f aca="false">D1444/(D1444+E1444)</f>
        <v>0.604938271604938</v>
      </c>
      <c r="K1444" s="3" t="n">
        <f aca="false">IF(D1444&gt;E1444,1,0)</f>
        <v>1</v>
      </c>
      <c r="L1444" s="3" t="n">
        <f aca="false">IF(OR(F1444="Y",G1444="Y",H1444="Y"),1,0)</f>
        <v>1</v>
      </c>
      <c r="M1444" s="3" t="n">
        <f aca="false">IF(H1444="Y",1,0)</f>
        <v>1</v>
      </c>
      <c r="N1444" s="3" t="n">
        <f aca="false">IF(I1444="Y",1,0)</f>
        <v>0</v>
      </c>
    </row>
    <row r="1445" customFormat="false" ht="15" hidden="false" customHeight="true" outlineLevel="0" collapsed="false">
      <c r="A1445" s="7" t="s">
        <v>62</v>
      </c>
      <c r="B1445" s="7" t="n">
        <v>1978</v>
      </c>
      <c r="C1445" s="7" t="s">
        <v>363</v>
      </c>
      <c r="D1445" s="7" t="n">
        <v>95</v>
      </c>
      <c r="E1445" s="7" t="n">
        <v>67</v>
      </c>
      <c r="F1445" s="7" t="s">
        <v>548</v>
      </c>
      <c r="G1445" s="7"/>
      <c r="H1445" s="7" t="s">
        <v>548</v>
      </c>
      <c r="I1445" s="7" t="s">
        <v>546</v>
      </c>
      <c r="J1445" s="21" t="n">
        <f aca="false">D1445/(D1445+E1445)</f>
        <v>0.58641975308642</v>
      </c>
      <c r="K1445" s="3" t="n">
        <f aca="false">IF(D1445&gt;E1445,1,0)</f>
        <v>1</v>
      </c>
      <c r="L1445" s="3" t="n">
        <f aca="false">IF(OR(F1445="Y",G1445="Y",H1445="Y"),1,0)</f>
        <v>1</v>
      </c>
      <c r="M1445" s="3" t="n">
        <f aca="false">IF(H1445="Y",1,0)</f>
        <v>1</v>
      </c>
      <c r="N1445" s="3" t="n">
        <f aca="false">IF(I1445="Y",1,0)</f>
        <v>0</v>
      </c>
    </row>
    <row r="1446" customFormat="false" ht="15" hidden="false" customHeight="true" outlineLevel="0" collapsed="false">
      <c r="A1446" s="7" t="s">
        <v>62</v>
      </c>
      <c r="B1446" s="7" t="n">
        <v>1979</v>
      </c>
      <c r="C1446" s="7" t="s">
        <v>363</v>
      </c>
      <c r="D1446" s="7" t="n">
        <v>79</v>
      </c>
      <c r="E1446" s="7" t="n">
        <v>83</v>
      </c>
      <c r="F1446" s="7" t="s">
        <v>546</v>
      </c>
      <c r="G1446" s="7"/>
      <c r="H1446" s="7" t="s">
        <v>546</v>
      </c>
      <c r="I1446" s="7" t="s">
        <v>546</v>
      </c>
      <c r="J1446" s="21" t="n">
        <f aca="false">D1446/(D1446+E1446)</f>
        <v>0.487654320987654</v>
      </c>
      <c r="K1446" s="3" t="n">
        <f aca="false">IF(D1446&gt;E1446,1,0)</f>
        <v>0</v>
      </c>
      <c r="L1446" s="3" t="n">
        <f aca="false">IF(OR(F1446="Y",G1446="Y",H1446="Y"),1,0)</f>
        <v>0</v>
      </c>
      <c r="M1446" s="3" t="n">
        <f aca="false">IF(H1446="Y",1,0)</f>
        <v>0</v>
      </c>
      <c r="N1446" s="3" t="n">
        <f aca="false">IF(I1446="Y",1,0)</f>
        <v>0</v>
      </c>
    </row>
    <row r="1447" customFormat="false" ht="15" hidden="false" customHeight="true" outlineLevel="0" collapsed="false">
      <c r="A1447" s="7" t="s">
        <v>62</v>
      </c>
      <c r="B1447" s="7" t="n">
        <v>1980</v>
      </c>
      <c r="C1447" s="7" t="s">
        <v>363</v>
      </c>
      <c r="D1447" s="7" t="n">
        <v>92</v>
      </c>
      <c r="E1447" s="7" t="n">
        <v>71</v>
      </c>
      <c r="F1447" s="7" t="s">
        <v>546</v>
      </c>
      <c r="G1447" s="7"/>
      <c r="H1447" s="7" t="s">
        <v>546</v>
      </c>
      <c r="I1447" s="7" t="s">
        <v>546</v>
      </c>
      <c r="J1447" s="21" t="n">
        <f aca="false">D1447/(D1447+E1447)</f>
        <v>0.56441717791411</v>
      </c>
      <c r="K1447" s="3" t="n">
        <f aca="false">IF(D1447&gt;E1447,1,0)</f>
        <v>1</v>
      </c>
      <c r="L1447" s="3" t="n">
        <f aca="false">IF(OR(F1447="Y",G1447="Y",H1447="Y"),1,0)</f>
        <v>0</v>
      </c>
      <c r="M1447" s="3" t="n">
        <f aca="false">IF(H1447="Y",1,0)</f>
        <v>0</v>
      </c>
      <c r="N1447" s="3" t="n">
        <f aca="false">IF(I1447="Y",1,0)</f>
        <v>0</v>
      </c>
    </row>
    <row r="1448" customFormat="false" ht="15" hidden="false" customHeight="true" outlineLevel="0" collapsed="false">
      <c r="A1448" s="7" t="s">
        <v>62</v>
      </c>
      <c r="B1448" s="7" t="n">
        <v>1981</v>
      </c>
      <c r="C1448" s="7" t="s">
        <v>363</v>
      </c>
      <c r="D1448" s="7" t="n">
        <v>63</v>
      </c>
      <c r="E1448" s="7" t="n">
        <v>47</v>
      </c>
      <c r="F1448" s="7" t="s">
        <v>548</v>
      </c>
      <c r="G1448" s="7"/>
      <c r="H1448" s="7" t="s">
        <v>548</v>
      </c>
      <c r="I1448" s="7" t="s">
        <v>548</v>
      </c>
      <c r="J1448" s="21" t="n">
        <f aca="false">D1448/(D1448+E1448)</f>
        <v>0.572727272727273</v>
      </c>
      <c r="K1448" s="3" t="n">
        <f aca="false">IF(D1448&gt;E1448,1,0)</f>
        <v>1</v>
      </c>
      <c r="L1448" s="3" t="n">
        <f aca="false">IF(OR(F1448="Y",G1448="Y",H1448="Y"),1,0)</f>
        <v>1</v>
      </c>
      <c r="M1448" s="3" t="n">
        <f aca="false">IF(H1448="Y",1,0)</f>
        <v>1</v>
      </c>
      <c r="N1448" s="3" t="n">
        <f aca="false">IF(I1448="Y",1,0)</f>
        <v>1</v>
      </c>
    </row>
    <row r="1449" customFormat="false" ht="15" hidden="false" customHeight="true" outlineLevel="0" collapsed="false">
      <c r="A1449" s="7" t="s">
        <v>62</v>
      </c>
      <c r="B1449" s="7" t="n">
        <v>1982</v>
      </c>
      <c r="C1449" s="7" t="s">
        <v>363</v>
      </c>
      <c r="D1449" s="7" t="n">
        <v>88</v>
      </c>
      <c r="E1449" s="7" t="n">
        <v>74</v>
      </c>
      <c r="F1449" s="7" t="s">
        <v>546</v>
      </c>
      <c r="G1449" s="7"/>
      <c r="H1449" s="7" t="s">
        <v>546</v>
      </c>
      <c r="I1449" s="7" t="s">
        <v>546</v>
      </c>
      <c r="J1449" s="21" t="n">
        <f aca="false">D1449/(D1449+E1449)</f>
        <v>0.54320987654321</v>
      </c>
      <c r="K1449" s="3" t="n">
        <f aca="false">IF(D1449&gt;E1449,1,0)</f>
        <v>1</v>
      </c>
      <c r="L1449" s="3" t="n">
        <f aca="false">IF(OR(F1449="Y",G1449="Y",H1449="Y"),1,0)</f>
        <v>0</v>
      </c>
      <c r="M1449" s="3" t="n">
        <f aca="false">IF(H1449="Y",1,0)</f>
        <v>0</v>
      </c>
      <c r="N1449" s="3" t="n">
        <f aca="false">IF(I1449="Y",1,0)</f>
        <v>0</v>
      </c>
    </row>
    <row r="1450" customFormat="false" ht="15" hidden="false" customHeight="true" outlineLevel="0" collapsed="false">
      <c r="A1450" s="7" t="s">
        <v>62</v>
      </c>
      <c r="B1450" s="7" t="n">
        <v>1983</v>
      </c>
      <c r="C1450" s="7" t="s">
        <v>363</v>
      </c>
      <c r="D1450" s="7" t="n">
        <v>91</v>
      </c>
      <c r="E1450" s="7" t="n">
        <v>71</v>
      </c>
      <c r="F1450" s="7" t="s">
        <v>548</v>
      </c>
      <c r="G1450" s="7"/>
      <c r="H1450" s="7" t="s">
        <v>546</v>
      </c>
      <c r="I1450" s="7" t="s">
        <v>546</v>
      </c>
      <c r="J1450" s="21" t="n">
        <f aca="false">D1450/(D1450+E1450)</f>
        <v>0.561728395061728</v>
      </c>
      <c r="K1450" s="3" t="n">
        <f aca="false">IF(D1450&gt;E1450,1,0)</f>
        <v>1</v>
      </c>
      <c r="L1450" s="3" t="n">
        <f aca="false">IF(OR(F1450="Y",G1450="Y",H1450="Y"),1,0)</f>
        <v>1</v>
      </c>
      <c r="M1450" s="3" t="n">
        <f aca="false">IF(H1450="Y",1,0)</f>
        <v>0</v>
      </c>
      <c r="N1450" s="3" t="n">
        <f aca="false">IF(I1450="Y",1,0)</f>
        <v>0</v>
      </c>
    </row>
    <row r="1451" customFormat="false" ht="15" hidden="false" customHeight="true" outlineLevel="0" collapsed="false">
      <c r="A1451" s="7" t="s">
        <v>62</v>
      </c>
      <c r="B1451" s="7" t="n">
        <v>1984</v>
      </c>
      <c r="C1451" s="7" t="s">
        <v>363</v>
      </c>
      <c r="D1451" s="7" t="n">
        <v>79</v>
      </c>
      <c r="E1451" s="7" t="n">
        <v>83</v>
      </c>
      <c r="F1451" s="7" t="s">
        <v>546</v>
      </c>
      <c r="G1451" s="7"/>
      <c r="H1451" s="7" t="s">
        <v>546</v>
      </c>
      <c r="I1451" s="7" t="s">
        <v>546</v>
      </c>
      <c r="J1451" s="21" t="n">
        <f aca="false">D1451/(D1451+E1451)</f>
        <v>0.487654320987654</v>
      </c>
      <c r="K1451" s="3" t="n">
        <f aca="false">IF(D1451&gt;E1451,1,0)</f>
        <v>0</v>
      </c>
      <c r="L1451" s="3" t="n">
        <f aca="false">IF(OR(F1451="Y",G1451="Y",H1451="Y"),1,0)</f>
        <v>0</v>
      </c>
      <c r="M1451" s="3" t="n">
        <f aca="false">IF(H1451="Y",1,0)</f>
        <v>0</v>
      </c>
      <c r="N1451" s="3" t="n">
        <f aca="false">IF(I1451="Y",1,0)</f>
        <v>0</v>
      </c>
    </row>
    <row r="1452" customFormat="false" ht="15" hidden="false" customHeight="true" outlineLevel="0" collapsed="false">
      <c r="A1452" s="7" t="s">
        <v>62</v>
      </c>
      <c r="B1452" s="7" t="n">
        <v>1985</v>
      </c>
      <c r="C1452" s="7" t="s">
        <v>363</v>
      </c>
      <c r="D1452" s="7" t="n">
        <v>95</v>
      </c>
      <c r="E1452" s="7" t="n">
        <v>67</v>
      </c>
      <c r="F1452" s="7" t="s">
        <v>548</v>
      </c>
      <c r="G1452" s="7"/>
      <c r="H1452" s="7" t="s">
        <v>546</v>
      </c>
      <c r="I1452" s="7" t="s">
        <v>546</v>
      </c>
      <c r="J1452" s="21" t="n">
        <f aca="false">D1452/(D1452+E1452)</f>
        <v>0.58641975308642</v>
      </c>
      <c r="K1452" s="3" t="n">
        <f aca="false">IF(D1452&gt;E1452,1,0)</f>
        <v>1</v>
      </c>
      <c r="L1452" s="3" t="n">
        <f aca="false">IF(OR(F1452="Y",G1452="Y",H1452="Y"),1,0)</f>
        <v>1</v>
      </c>
      <c r="M1452" s="3" t="n">
        <f aca="false">IF(H1452="Y",1,0)</f>
        <v>0</v>
      </c>
      <c r="N1452" s="3" t="n">
        <f aca="false">IF(I1452="Y",1,0)</f>
        <v>0</v>
      </c>
    </row>
    <row r="1453" customFormat="false" ht="15" hidden="false" customHeight="true" outlineLevel="0" collapsed="false">
      <c r="A1453" s="7" t="s">
        <v>62</v>
      </c>
      <c r="B1453" s="7" t="n">
        <v>1986</v>
      </c>
      <c r="C1453" s="7" t="s">
        <v>363</v>
      </c>
      <c r="D1453" s="7" t="n">
        <v>73</v>
      </c>
      <c r="E1453" s="7" t="n">
        <v>89</v>
      </c>
      <c r="F1453" s="7" t="s">
        <v>546</v>
      </c>
      <c r="G1453" s="7"/>
      <c r="H1453" s="7" t="s">
        <v>546</v>
      </c>
      <c r="I1453" s="7" t="s">
        <v>546</v>
      </c>
      <c r="J1453" s="21" t="n">
        <f aca="false">D1453/(D1453+E1453)</f>
        <v>0.450617283950617</v>
      </c>
      <c r="K1453" s="3" t="n">
        <f aca="false">IF(D1453&gt;E1453,1,0)</f>
        <v>0</v>
      </c>
      <c r="L1453" s="3" t="n">
        <f aca="false">IF(OR(F1453="Y",G1453="Y",H1453="Y"),1,0)</f>
        <v>0</v>
      </c>
      <c r="M1453" s="3" t="n">
        <f aca="false">IF(H1453="Y",1,0)</f>
        <v>0</v>
      </c>
      <c r="N1453" s="3" t="n">
        <f aca="false">IF(I1453="Y",1,0)</f>
        <v>0</v>
      </c>
    </row>
    <row r="1454" customFormat="false" ht="15" hidden="false" customHeight="true" outlineLevel="0" collapsed="false">
      <c r="A1454" s="7" t="s">
        <v>62</v>
      </c>
      <c r="B1454" s="7" t="n">
        <v>1987</v>
      </c>
      <c r="C1454" s="7" t="s">
        <v>363</v>
      </c>
      <c r="D1454" s="7" t="n">
        <v>73</v>
      </c>
      <c r="E1454" s="7" t="n">
        <v>89</v>
      </c>
      <c r="F1454" s="7" t="s">
        <v>546</v>
      </c>
      <c r="G1454" s="7"/>
      <c r="H1454" s="7" t="s">
        <v>546</v>
      </c>
      <c r="I1454" s="7" t="s">
        <v>546</v>
      </c>
      <c r="J1454" s="21" t="n">
        <f aca="false">D1454/(D1454+E1454)</f>
        <v>0.450617283950617</v>
      </c>
      <c r="K1454" s="3" t="n">
        <f aca="false">IF(D1454&gt;E1454,1,0)</f>
        <v>0</v>
      </c>
      <c r="L1454" s="3" t="n">
        <f aca="false">IF(OR(F1454="Y",G1454="Y",H1454="Y"),1,0)</f>
        <v>0</v>
      </c>
      <c r="M1454" s="3" t="n">
        <f aca="false">IF(H1454="Y",1,0)</f>
        <v>0</v>
      </c>
      <c r="N1454" s="3" t="n">
        <f aca="false">IF(I1454="Y",1,0)</f>
        <v>0</v>
      </c>
    </row>
    <row r="1455" customFormat="false" ht="15" hidden="false" customHeight="true" outlineLevel="0" collapsed="false">
      <c r="A1455" s="7" t="s">
        <v>62</v>
      </c>
      <c r="B1455" s="7" t="n">
        <v>1988</v>
      </c>
      <c r="C1455" s="7" t="s">
        <v>363</v>
      </c>
      <c r="D1455" s="7" t="n">
        <v>94</v>
      </c>
      <c r="E1455" s="7" t="n">
        <v>67</v>
      </c>
      <c r="F1455" s="7" t="s">
        <v>548</v>
      </c>
      <c r="G1455" s="7"/>
      <c r="H1455" s="7" t="s">
        <v>548</v>
      </c>
      <c r="I1455" s="7" t="s">
        <v>548</v>
      </c>
      <c r="J1455" s="21" t="n">
        <f aca="false">D1455/(D1455+E1455)</f>
        <v>0.583850931677019</v>
      </c>
      <c r="K1455" s="3" t="n">
        <f aca="false">IF(D1455&gt;E1455,1,0)</f>
        <v>1</v>
      </c>
      <c r="L1455" s="3" t="n">
        <f aca="false">IF(OR(F1455="Y",G1455="Y",H1455="Y"),1,0)</f>
        <v>1</v>
      </c>
      <c r="M1455" s="3" t="n">
        <f aca="false">IF(H1455="Y",1,0)</f>
        <v>1</v>
      </c>
      <c r="N1455" s="3" t="n">
        <f aca="false">IF(I1455="Y",1,0)</f>
        <v>1</v>
      </c>
    </row>
    <row r="1456" customFormat="false" ht="15" hidden="false" customHeight="true" outlineLevel="0" collapsed="false">
      <c r="A1456" s="7" t="s">
        <v>62</v>
      </c>
      <c r="B1456" s="7" t="n">
        <v>1989</v>
      </c>
      <c r="C1456" s="7" t="s">
        <v>363</v>
      </c>
      <c r="D1456" s="7" t="n">
        <v>77</v>
      </c>
      <c r="E1456" s="7" t="n">
        <v>83</v>
      </c>
      <c r="F1456" s="7" t="s">
        <v>546</v>
      </c>
      <c r="G1456" s="7"/>
      <c r="H1456" s="7" t="s">
        <v>546</v>
      </c>
      <c r="I1456" s="7" t="s">
        <v>546</v>
      </c>
      <c r="J1456" s="21" t="n">
        <f aca="false">D1456/(D1456+E1456)</f>
        <v>0.48125</v>
      </c>
      <c r="K1456" s="3" t="n">
        <f aca="false">IF(D1456&gt;E1456,1,0)</f>
        <v>0</v>
      </c>
      <c r="L1456" s="3" t="n">
        <f aca="false">IF(OR(F1456="Y",G1456="Y",H1456="Y"),1,0)</f>
        <v>0</v>
      </c>
      <c r="M1456" s="3" t="n">
        <f aca="false">IF(H1456="Y",1,0)</f>
        <v>0</v>
      </c>
      <c r="N1456" s="3" t="n">
        <f aca="false">IF(I1456="Y",1,0)</f>
        <v>0</v>
      </c>
    </row>
    <row r="1457" customFormat="false" ht="15" hidden="false" customHeight="true" outlineLevel="0" collapsed="false">
      <c r="A1457" s="7" t="s">
        <v>62</v>
      </c>
      <c r="B1457" s="7" t="n">
        <v>1990</v>
      </c>
      <c r="C1457" s="7" t="s">
        <v>363</v>
      </c>
      <c r="D1457" s="7" t="n">
        <v>86</v>
      </c>
      <c r="E1457" s="7" t="n">
        <v>76</v>
      </c>
      <c r="F1457" s="7" t="s">
        <v>546</v>
      </c>
      <c r="G1457" s="7"/>
      <c r="H1457" s="7" t="s">
        <v>546</v>
      </c>
      <c r="I1457" s="7" t="s">
        <v>546</v>
      </c>
      <c r="J1457" s="21" t="n">
        <f aca="false">D1457/(D1457+E1457)</f>
        <v>0.530864197530864</v>
      </c>
      <c r="K1457" s="3" t="n">
        <f aca="false">IF(D1457&gt;E1457,1,0)</f>
        <v>1</v>
      </c>
      <c r="L1457" s="3" t="n">
        <f aca="false">IF(OR(F1457="Y",G1457="Y",H1457="Y"),1,0)</f>
        <v>0</v>
      </c>
      <c r="M1457" s="3" t="n">
        <f aca="false">IF(H1457="Y",1,0)</f>
        <v>0</v>
      </c>
      <c r="N1457" s="3" t="n">
        <f aca="false">IF(I1457="Y",1,0)</f>
        <v>0</v>
      </c>
    </row>
    <row r="1458" customFormat="false" ht="15" hidden="false" customHeight="true" outlineLevel="0" collapsed="false">
      <c r="A1458" s="7" t="s">
        <v>62</v>
      </c>
      <c r="B1458" s="7" t="n">
        <v>1991</v>
      </c>
      <c r="C1458" s="7" t="s">
        <v>363</v>
      </c>
      <c r="D1458" s="7" t="n">
        <v>93</v>
      </c>
      <c r="E1458" s="7" t="n">
        <v>69</v>
      </c>
      <c r="F1458" s="7" t="s">
        <v>546</v>
      </c>
      <c r="G1458" s="7"/>
      <c r="H1458" s="7" t="s">
        <v>546</v>
      </c>
      <c r="I1458" s="7" t="s">
        <v>546</v>
      </c>
      <c r="J1458" s="21" t="n">
        <f aca="false">D1458/(D1458+E1458)</f>
        <v>0.574074074074074</v>
      </c>
      <c r="K1458" s="3" t="n">
        <f aca="false">IF(D1458&gt;E1458,1,0)</f>
        <v>1</v>
      </c>
      <c r="L1458" s="3" t="n">
        <f aca="false">IF(OR(F1458="Y",G1458="Y",H1458="Y"),1,0)</f>
        <v>0</v>
      </c>
      <c r="M1458" s="3" t="n">
        <f aca="false">IF(H1458="Y",1,0)</f>
        <v>0</v>
      </c>
      <c r="N1458" s="3" t="n">
        <f aca="false">IF(I1458="Y",1,0)</f>
        <v>0</v>
      </c>
    </row>
    <row r="1459" customFormat="false" ht="15" hidden="false" customHeight="true" outlineLevel="0" collapsed="false">
      <c r="A1459" s="7" t="s">
        <v>62</v>
      </c>
      <c r="B1459" s="7" t="n">
        <v>1992</v>
      </c>
      <c r="C1459" s="7" t="s">
        <v>363</v>
      </c>
      <c r="D1459" s="7" t="n">
        <v>63</v>
      </c>
      <c r="E1459" s="7" t="n">
        <v>99</v>
      </c>
      <c r="F1459" s="7" t="s">
        <v>546</v>
      </c>
      <c r="G1459" s="7"/>
      <c r="H1459" s="7" t="s">
        <v>546</v>
      </c>
      <c r="I1459" s="7" t="s">
        <v>546</v>
      </c>
      <c r="J1459" s="21" t="n">
        <f aca="false">D1459/(D1459+E1459)</f>
        <v>0.388888888888889</v>
      </c>
      <c r="K1459" s="3" t="n">
        <f aca="false">IF(D1459&gt;E1459,1,0)</f>
        <v>0</v>
      </c>
      <c r="L1459" s="3" t="n">
        <f aca="false">IF(OR(F1459="Y",G1459="Y",H1459="Y"),1,0)</f>
        <v>0</v>
      </c>
      <c r="M1459" s="3" t="n">
        <f aca="false">IF(H1459="Y",1,0)</f>
        <v>0</v>
      </c>
      <c r="N1459" s="3" t="n">
        <f aca="false">IF(I1459="Y",1,0)</f>
        <v>0</v>
      </c>
    </row>
    <row r="1460" customFormat="false" ht="15" hidden="false" customHeight="true" outlineLevel="0" collapsed="false">
      <c r="A1460" s="7" t="s">
        <v>62</v>
      </c>
      <c r="B1460" s="7" t="n">
        <v>1993</v>
      </c>
      <c r="C1460" s="7" t="s">
        <v>363</v>
      </c>
      <c r="D1460" s="7" t="n">
        <v>81</v>
      </c>
      <c r="E1460" s="7" t="n">
        <v>81</v>
      </c>
      <c r="F1460" s="7" t="s">
        <v>546</v>
      </c>
      <c r="G1460" s="7"/>
      <c r="H1460" s="7" t="s">
        <v>546</v>
      </c>
      <c r="I1460" s="7" t="s">
        <v>546</v>
      </c>
      <c r="J1460" s="21" t="n">
        <f aca="false">D1460/(D1460+E1460)</f>
        <v>0.5</v>
      </c>
      <c r="K1460" s="3" t="n">
        <f aca="false">IF(D1460&gt;E1460,1,0)</f>
        <v>0</v>
      </c>
      <c r="L1460" s="3" t="n">
        <f aca="false">IF(OR(F1460="Y",G1460="Y",H1460="Y"),1,0)</f>
        <v>0</v>
      </c>
      <c r="M1460" s="3" t="n">
        <f aca="false">IF(H1460="Y",1,0)</f>
        <v>0</v>
      </c>
      <c r="N1460" s="3" t="n">
        <f aca="false">IF(I1460="Y",1,0)</f>
        <v>0</v>
      </c>
    </row>
    <row r="1461" customFormat="false" ht="15" hidden="false" customHeight="true" outlineLevel="0" collapsed="false">
      <c r="A1461" s="7" t="s">
        <v>62</v>
      </c>
      <c r="B1461" s="7" t="n">
        <v>1994</v>
      </c>
      <c r="C1461" s="7" t="s">
        <v>363</v>
      </c>
      <c r="D1461" s="7" t="n">
        <v>58</v>
      </c>
      <c r="E1461" s="7" t="n">
        <v>56</v>
      </c>
      <c r="F1461" s="7"/>
      <c r="G1461" s="7"/>
      <c r="H1461" s="7"/>
      <c r="I1461" s="7"/>
      <c r="J1461" s="21" t="n">
        <f aca="false">D1461/(D1461+E1461)</f>
        <v>0.508771929824561</v>
      </c>
      <c r="K1461" s="3" t="n">
        <f aca="false">IF(D1461&gt;E1461,1,0)</f>
        <v>1</v>
      </c>
      <c r="L1461" s="3" t="n">
        <f aca="false">IF(OR(F1461="Y",G1461="Y",H1461="Y"),1,0)</f>
        <v>0</v>
      </c>
      <c r="M1461" s="3" t="n">
        <f aca="false">IF(H1461="Y",1,0)</f>
        <v>0</v>
      </c>
      <c r="N1461" s="3" t="n">
        <f aca="false">IF(I1461="Y",1,0)</f>
        <v>0</v>
      </c>
    </row>
    <row r="1462" customFormat="false" ht="15" hidden="false" customHeight="true" outlineLevel="0" collapsed="false">
      <c r="A1462" s="7" t="s">
        <v>62</v>
      </c>
      <c r="B1462" s="7" t="n">
        <v>1995</v>
      </c>
      <c r="C1462" s="7" t="s">
        <v>363</v>
      </c>
      <c r="D1462" s="7" t="n">
        <v>78</v>
      </c>
      <c r="E1462" s="7" t="n">
        <v>66</v>
      </c>
      <c r="F1462" s="7" t="s">
        <v>548</v>
      </c>
      <c r="G1462" s="7" t="s">
        <v>546</v>
      </c>
      <c r="H1462" s="7" t="s">
        <v>546</v>
      </c>
      <c r="I1462" s="7" t="s">
        <v>546</v>
      </c>
      <c r="J1462" s="21" t="n">
        <f aca="false">D1462/(D1462+E1462)</f>
        <v>0.541666666666667</v>
      </c>
      <c r="K1462" s="3" t="n">
        <f aca="false">IF(D1462&gt;E1462,1,0)</f>
        <v>1</v>
      </c>
      <c r="L1462" s="3" t="n">
        <f aca="false">IF(OR(F1462="Y",G1462="Y",H1462="Y"),1,0)</f>
        <v>1</v>
      </c>
      <c r="M1462" s="3" t="n">
        <f aca="false">IF(H1462="Y",1,0)</f>
        <v>0</v>
      </c>
      <c r="N1462" s="3" t="n">
        <f aca="false">IF(I1462="Y",1,0)</f>
        <v>0</v>
      </c>
    </row>
    <row r="1463" customFormat="false" ht="15" hidden="false" customHeight="true" outlineLevel="0" collapsed="false">
      <c r="A1463" s="7" t="s">
        <v>62</v>
      </c>
      <c r="B1463" s="7" t="n">
        <v>1996</v>
      </c>
      <c r="C1463" s="7" t="s">
        <v>363</v>
      </c>
      <c r="D1463" s="7" t="n">
        <v>90</v>
      </c>
      <c r="E1463" s="7" t="n">
        <v>72</v>
      </c>
      <c r="F1463" s="7" t="s">
        <v>546</v>
      </c>
      <c r="G1463" s="7" t="s">
        <v>548</v>
      </c>
      <c r="H1463" s="7" t="s">
        <v>546</v>
      </c>
      <c r="I1463" s="7" t="s">
        <v>546</v>
      </c>
      <c r="J1463" s="21" t="n">
        <f aca="false">D1463/(D1463+E1463)</f>
        <v>0.555555555555556</v>
      </c>
      <c r="K1463" s="3" t="n">
        <f aca="false">IF(D1463&gt;E1463,1,0)</f>
        <v>1</v>
      </c>
      <c r="L1463" s="3" t="n">
        <f aca="false">IF(OR(F1463="Y",G1463="Y",H1463="Y"),1,0)</f>
        <v>1</v>
      </c>
      <c r="M1463" s="3" t="n">
        <f aca="false">IF(H1463="Y",1,0)</f>
        <v>0</v>
      </c>
      <c r="N1463" s="3" t="n">
        <f aca="false">IF(I1463="Y",1,0)</f>
        <v>0</v>
      </c>
    </row>
    <row r="1464" customFormat="false" ht="15" hidden="false" customHeight="true" outlineLevel="0" collapsed="false">
      <c r="A1464" s="7" t="s">
        <v>62</v>
      </c>
      <c r="B1464" s="7" t="n">
        <v>1997</v>
      </c>
      <c r="C1464" s="7" t="s">
        <v>363</v>
      </c>
      <c r="D1464" s="7" t="n">
        <v>88</v>
      </c>
      <c r="E1464" s="7" t="n">
        <v>74</v>
      </c>
      <c r="F1464" s="7" t="s">
        <v>546</v>
      </c>
      <c r="G1464" s="7" t="s">
        <v>546</v>
      </c>
      <c r="H1464" s="7" t="s">
        <v>546</v>
      </c>
      <c r="I1464" s="7" t="s">
        <v>546</v>
      </c>
      <c r="J1464" s="21" t="n">
        <f aca="false">D1464/(D1464+E1464)</f>
        <v>0.54320987654321</v>
      </c>
      <c r="K1464" s="3" t="n">
        <f aca="false">IF(D1464&gt;E1464,1,0)</f>
        <v>1</v>
      </c>
      <c r="L1464" s="3" t="n">
        <f aca="false">IF(OR(F1464="Y",G1464="Y",H1464="Y"),1,0)</f>
        <v>0</v>
      </c>
      <c r="M1464" s="3" t="n">
        <f aca="false">IF(H1464="Y",1,0)</f>
        <v>0</v>
      </c>
      <c r="N1464" s="3" t="n">
        <f aca="false">IF(I1464="Y",1,0)</f>
        <v>0</v>
      </c>
    </row>
    <row r="1465" customFormat="false" ht="15" hidden="false" customHeight="true" outlineLevel="0" collapsed="false">
      <c r="A1465" s="7" t="s">
        <v>62</v>
      </c>
      <c r="B1465" s="7" t="n">
        <v>1998</v>
      </c>
      <c r="C1465" s="7" t="s">
        <v>363</v>
      </c>
      <c r="D1465" s="7" t="n">
        <v>83</v>
      </c>
      <c r="E1465" s="7" t="n">
        <v>79</v>
      </c>
      <c r="F1465" s="7" t="s">
        <v>546</v>
      </c>
      <c r="G1465" s="7" t="s">
        <v>546</v>
      </c>
      <c r="H1465" s="7" t="s">
        <v>546</v>
      </c>
      <c r="I1465" s="7" t="s">
        <v>546</v>
      </c>
      <c r="J1465" s="21" t="n">
        <f aca="false">D1465/(D1465+E1465)</f>
        <v>0.512345679012346</v>
      </c>
      <c r="K1465" s="3" t="n">
        <f aca="false">IF(D1465&gt;E1465,1,0)</f>
        <v>1</v>
      </c>
      <c r="L1465" s="3" t="n">
        <f aca="false">IF(OR(F1465="Y",G1465="Y",H1465="Y"),1,0)</f>
        <v>0</v>
      </c>
      <c r="M1465" s="3" t="n">
        <f aca="false">IF(H1465="Y",1,0)</f>
        <v>0</v>
      </c>
      <c r="N1465" s="3" t="n">
        <f aca="false">IF(I1465="Y",1,0)</f>
        <v>0</v>
      </c>
    </row>
    <row r="1466" customFormat="false" ht="15" hidden="false" customHeight="true" outlineLevel="0" collapsed="false">
      <c r="A1466" s="7" t="s">
        <v>62</v>
      </c>
      <c r="B1466" s="7" t="n">
        <v>1999</v>
      </c>
      <c r="C1466" s="7" t="s">
        <v>363</v>
      </c>
      <c r="D1466" s="7" t="n">
        <v>77</v>
      </c>
      <c r="E1466" s="7" t="n">
        <v>85</v>
      </c>
      <c r="F1466" s="7" t="s">
        <v>546</v>
      </c>
      <c r="G1466" s="7" t="s">
        <v>546</v>
      </c>
      <c r="H1466" s="7" t="s">
        <v>546</v>
      </c>
      <c r="I1466" s="7" t="s">
        <v>546</v>
      </c>
      <c r="J1466" s="21" t="n">
        <f aca="false">D1466/(D1466+E1466)</f>
        <v>0.475308641975309</v>
      </c>
      <c r="K1466" s="3" t="n">
        <f aca="false">IF(D1466&gt;E1466,1,0)</f>
        <v>0</v>
      </c>
      <c r="L1466" s="3" t="n">
        <f aca="false">IF(OR(F1466="Y",G1466="Y",H1466="Y"),1,0)</f>
        <v>0</v>
      </c>
      <c r="M1466" s="3" t="n">
        <f aca="false">IF(H1466="Y",1,0)</f>
        <v>0</v>
      </c>
      <c r="N1466" s="3" t="n">
        <f aca="false">IF(I1466="Y",1,0)</f>
        <v>0</v>
      </c>
    </row>
    <row r="1467" customFormat="false" ht="15" hidden="false" customHeight="true" outlineLevel="0" collapsed="false">
      <c r="A1467" s="7" t="s">
        <v>62</v>
      </c>
      <c r="B1467" s="7" t="n">
        <v>2000</v>
      </c>
      <c r="C1467" s="7" t="s">
        <v>363</v>
      </c>
      <c r="D1467" s="7" t="n">
        <v>86</v>
      </c>
      <c r="E1467" s="7" t="n">
        <v>76</v>
      </c>
      <c r="F1467" s="7" t="s">
        <v>546</v>
      </c>
      <c r="G1467" s="7" t="s">
        <v>546</v>
      </c>
      <c r="H1467" s="7" t="s">
        <v>546</v>
      </c>
      <c r="I1467" s="7" t="s">
        <v>546</v>
      </c>
      <c r="J1467" s="21" t="n">
        <f aca="false">D1467/(D1467+E1467)</f>
        <v>0.530864197530864</v>
      </c>
      <c r="K1467" s="3" t="n">
        <f aca="false">IF(D1467&gt;E1467,1,0)</f>
        <v>1</v>
      </c>
      <c r="L1467" s="3" t="n">
        <f aca="false">IF(OR(F1467="Y",G1467="Y",H1467="Y"),1,0)</f>
        <v>0</v>
      </c>
      <c r="M1467" s="3" t="n">
        <f aca="false">IF(H1467="Y",1,0)</f>
        <v>0</v>
      </c>
      <c r="N1467" s="3" t="n">
        <f aca="false">IF(I1467="Y",1,0)</f>
        <v>0</v>
      </c>
    </row>
    <row r="1468" customFormat="false" ht="15" hidden="false" customHeight="true" outlineLevel="0" collapsed="false">
      <c r="A1468" s="7" t="s">
        <v>62</v>
      </c>
      <c r="B1468" s="7" t="n">
        <v>2001</v>
      </c>
      <c r="C1468" s="7" t="s">
        <v>363</v>
      </c>
      <c r="D1468" s="7" t="n">
        <v>86</v>
      </c>
      <c r="E1468" s="7" t="n">
        <v>76</v>
      </c>
      <c r="F1468" s="7" t="s">
        <v>546</v>
      </c>
      <c r="G1468" s="7" t="s">
        <v>546</v>
      </c>
      <c r="H1468" s="7" t="s">
        <v>546</v>
      </c>
      <c r="I1468" s="7" t="s">
        <v>546</v>
      </c>
      <c r="J1468" s="21" t="n">
        <f aca="false">D1468/(D1468+E1468)</f>
        <v>0.530864197530864</v>
      </c>
      <c r="K1468" s="3" t="n">
        <f aca="false">IF(D1468&gt;E1468,1,0)</f>
        <v>1</v>
      </c>
      <c r="L1468" s="3" t="n">
        <f aca="false">IF(OR(F1468="Y",G1468="Y",H1468="Y"),1,0)</f>
        <v>0</v>
      </c>
      <c r="M1468" s="3" t="n">
        <f aca="false">IF(H1468="Y",1,0)</f>
        <v>0</v>
      </c>
      <c r="N1468" s="3" t="n">
        <f aca="false">IF(I1468="Y",1,0)</f>
        <v>0</v>
      </c>
    </row>
    <row r="1469" customFormat="false" ht="15" hidden="false" customHeight="true" outlineLevel="0" collapsed="false">
      <c r="A1469" s="7" t="s">
        <v>62</v>
      </c>
      <c r="B1469" s="7" t="n">
        <v>2002</v>
      </c>
      <c r="C1469" s="7" t="s">
        <v>363</v>
      </c>
      <c r="D1469" s="7" t="n">
        <v>92</v>
      </c>
      <c r="E1469" s="7" t="n">
        <v>70</v>
      </c>
      <c r="F1469" s="7" t="s">
        <v>546</v>
      </c>
      <c r="G1469" s="7" t="s">
        <v>546</v>
      </c>
      <c r="H1469" s="7" t="s">
        <v>546</v>
      </c>
      <c r="I1469" s="7" t="s">
        <v>546</v>
      </c>
      <c r="J1469" s="21" t="n">
        <f aca="false">D1469/(D1469+E1469)</f>
        <v>0.567901234567901</v>
      </c>
      <c r="K1469" s="3" t="n">
        <f aca="false">IF(D1469&gt;E1469,1,0)</f>
        <v>1</v>
      </c>
      <c r="L1469" s="3" t="n">
        <f aca="false">IF(OR(F1469="Y",G1469="Y",H1469="Y"),1,0)</f>
        <v>0</v>
      </c>
      <c r="M1469" s="3" t="n">
        <f aca="false">IF(H1469="Y",1,0)</f>
        <v>0</v>
      </c>
      <c r="N1469" s="3" t="n">
        <f aca="false">IF(I1469="Y",1,0)</f>
        <v>0</v>
      </c>
    </row>
    <row r="1470" customFormat="false" ht="15" hidden="false" customHeight="true" outlineLevel="0" collapsed="false">
      <c r="A1470" s="7" t="s">
        <v>62</v>
      </c>
      <c r="B1470" s="7" t="n">
        <v>2003</v>
      </c>
      <c r="C1470" s="7" t="s">
        <v>363</v>
      </c>
      <c r="D1470" s="7" t="n">
        <v>85</v>
      </c>
      <c r="E1470" s="7" t="n">
        <v>77</v>
      </c>
      <c r="F1470" s="7" t="s">
        <v>546</v>
      </c>
      <c r="G1470" s="7" t="s">
        <v>546</v>
      </c>
      <c r="H1470" s="7" t="s">
        <v>546</v>
      </c>
      <c r="I1470" s="7" t="s">
        <v>546</v>
      </c>
      <c r="J1470" s="21" t="n">
        <f aca="false">D1470/(D1470+E1470)</f>
        <v>0.524691358024691</v>
      </c>
      <c r="K1470" s="3" t="n">
        <f aca="false">IF(D1470&gt;E1470,1,0)</f>
        <v>1</v>
      </c>
      <c r="L1470" s="3" t="n">
        <f aca="false">IF(OR(F1470="Y",G1470="Y",H1470="Y"),1,0)</f>
        <v>0</v>
      </c>
      <c r="M1470" s="3" t="n">
        <f aca="false">IF(H1470="Y",1,0)</f>
        <v>0</v>
      </c>
      <c r="N1470" s="3" t="n">
        <f aca="false">IF(I1470="Y",1,0)</f>
        <v>0</v>
      </c>
    </row>
    <row r="1471" customFormat="false" ht="15" hidden="false" customHeight="true" outlineLevel="0" collapsed="false">
      <c r="A1471" s="7" t="s">
        <v>62</v>
      </c>
      <c r="B1471" s="7" t="n">
        <v>2004</v>
      </c>
      <c r="C1471" s="7" t="s">
        <v>363</v>
      </c>
      <c r="D1471" s="7" t="n">
        <v>93</v>
      </c>
      <c r="E1471" s="7" t="n">
        <v>69</v>
      </c>
      <c r="F1471" s="7" t="s">
        <v>548</v>
      </c>
      <c r="G1471" s="7" t="s">
        <v>546</v>
      </c>
      <c r="H1471" s="7" t="s">
        <v>546</v>
      </c>
      <c r="I1471" s="7" t="s">
        <v>546</v>
      </c>
      <c r="J1471" s="21" t="n">
        <f aca="false">D1471/(D1471+E1471)</f>
        <v>0.574074074074074</v>
      </c>
      <c r="K1471" s="3" t="n">
        <f aca="false">IF(D1471&gt;E1471,1,0)</f>
        <v>1</v>
      </c>
      <c r="L1471" s="3" t="n">
        <f aca="false">IF(OR(F1471="Y",G1471="Y",H1471="Y"),1,0)</f>
        <v>1</v>
      </c>
      <c r="M1471" s="3" t="n">
        <f aca="false">IF(H1471="Y",1,0)</f>
        <v>0</v>
      </c>
      <c r="N1471" s="3" t="n">
        <f aca="false">IF(I1471="Y",1,0)</f>
        <v>0</v>
      </c>
    </row>
    <row r="1472" customFormat="false" ht="15" hidden="false" customHeight="true" outlineLevel="0" collapsed="false">
      <c r="A1472" s="7" t="s">
        <v>62</v>
      </c>
      <c r="B1472" s="7" t="n">
        <v>2005</v>
      </c>
      <c r="C1472" s="7" t="s">
        <v>363</v>
      </c>
      <c r="D1472" s="7" t="n">
        <v>71</v>
      </c>
      <c r="E1472" s="7" t="n">
        <v>91</v>
      </c>
      <c r="F1472" s="7" t="s">
        <v>546</v>
      </c>
      <c r="G1472" s="7" t="s">
        <v>546</v>
      </c>
      <c r="H1472" s="7" t="s">
        <v>546</v>
      </c>
      <c r="I1472" s="7" t="s">
        <v>546</v>
      </c>
      <c r="J1472" s="21" t="n">
        <f aca="false">D1472/(D1472+E1472)</f>
        <v>0.438271604938272</v>
      </c>
      <c r="K1472" s="3" t="n">
        <f aca="false">IF(D1472&gt;E1472,1,0)</f>
        <v>0</v>
      </c>
      <c r="L1472" s="3" t="n">
        <f aca="false">IF(OR(F1472="Y",G1472="Y",H1472="Y"),1,0)</f>
        <v>0</v>
      </c>
      <c r="M1472" s="3" t="n">
        <f aca="false">IF(H1472="Y",1,0)</f>
        <v>0</v>
      </c>
      <c r="N1472" s="3" t="n">
        <f aca="false">IF(I1472="Y",1,0)</f>
        <v>0</v>
      </c>
    </row>
    <row r="1473" customFormat="false" ht="15" hidden="false" customHeight="true" outlineLevel="0" collapsed="false">
      <c r="A1473" s="7" t="s">
        <v>62</v>
      </c>
      <c r="B1473" s="7" t="n">
        <v>2006</v>
      </c>
      <c r="C1473" s="7" t="s">
        <v>363</v>
      </c>
      <c r="D1473" s="7" t="n">
        <v>88</v>
      </c>
      <c r="E1473" s="7" t="n">
        <v>74</v>
      </c>
      <c r="F1473" s="7" t="s">
        <v>546</v>
      </c>
      <c r="G1473" s="7" t="s">
        <v>548</v>
      </c>
      <c r="H1473" s="7" t="s">
        <v>546</v>
      </c>
      <c r="I1473" s="7" t="s">
        <v>546</v>
      </c>
      <c r="J1473" s="21" t="n">
        <f aca="false">D1473/(D1473+E1473)</f>
        <v>0.54320987654321</v>
      </c>
      <c r="K1473" s="3" t="n">
        <f aca="false">IF(D1473&gt;E1473,1,0)</f>
        <v>1</v>
      </c>
      <c r="L1473" s="3" t="n">
        <f aca="false">IF(OR(F1473="Y",G1473="Y",H1473="Y"),1,0)</f>
        <v>1</v>
      </c>
      <c r="M1473" s="3" t="n">
        <f aca="false">IF(H1473="Y",1,0)</f>
        <v>0</v>
      </c>
      <c r="N1473" s="3" t="n">
        <f aca="false">IF(I1473="Y",1,0)</f>
        <v>0</v>
      </c>
    </row>
    <row r="1474" customFormat="false" ht="15" hidden="false" customHeight="true" outlineLevel="0" collapsed="false">
      <c r="A1474" s="7" t="s">
        <v>62</v>
      </c>
      <c r="B1474" s="7" t="n">
        <v>2007</v>
      </c>
      <c r="C1474" s="7" t="s">
        <v>363</v>
      </c>
      <c r="D1474" s="7" t="n">
        <v>82</v>
      </c>
      <c r="E1474" s="7" t="n">
        <v>80</v>
      </c>
      <c r="F1474" s="7" t="s">
        <v>546</v>
      </c>
      <c r="G1474" s="7" t="s">
        <v>546</v>
      </c>
      <c r="H1474" s="7" t="s">
        <v>546</v>
      </c>
      <c r="I1474" s="7" t="s">
        <v>546</v>
      </c>
      <c r="J1474" s="21" t="n">
        <f aca="false">D1474/(D1474+E1474)</f>
        <v>0.506172839506173</v>
      </c>
      <c r="K1474" s="3" t="n">
        <f aca="false">IF(D1474&gt;E1474,1,0)</f>
        <v>1</v>
      </c>
      <c r="L1474" s="3" t="n">
        <f aca="false">IF(OR(F1474="Y",G1474="Y",H1474="Y"),1,0)</f>
        <v>0</v>
      </c>
      <c r="M1474" s="3" t="n">
        <f aca="false">IF(H1474="Y",1,0)</f>
        <v>0</v>
      </c>
      <c r="N1474" s="3" t="n">
        <f aca="false">IF(I1474="Y",1,0)</f>
        <v>0</v>
      </c>
    </row>
    <row r="1475" customFormat="false" ht="15" hidden="false" customHeight="true" outlineLevel="0" collapsed="false">
      <c r="A1475" s="7" t="s">
        <v>62</v>
      </c>
      <c r="B1475" s="7" t="n">
        <v>2008</v>
      </c>
      <c r="C1475" s="7" t="s">
        <v>363</v>
      </c>
      <c r="D1475" s="7" t="n">
        <v>84</v>
      </c>
      <c r="E1475" s="7" t="n">
        <v>78</v>
      </c>
      <c r="F1475" s="7" t="s">
        <v>548</v>
      </c>
      <c r="G1475" s="7" t="s">
        <v>546</v>
      </c>
      <c r="H1475" s="7" t="s">
        <v>546</v>
      </c>
      <c r="I1475" s="7" t="s">
        <v>546</v>
      </c>
      <c r="J1475" s="21" t="n">
        <f aca="false">D1475/(D1475+E1475)</f>
        <v>0.518518518518519</v>
      </c>
      <c r="K1475" s="3" t="n">
        <f aca="false">IF(D1475&gt;E1475,1,0)</f>
        <v>1</v>
      </c>
      <c r="L1475" s="3" t="n">
        <f aca="false">IF(OR(F1475="Y",G1475="Y",H1475="Y"),1,0)</f>
        <v>1</v>
      </c>
      <c r="M1475" s="3" t="n">
        <f aca="false">IF(H1475="Y",1,0)</f>
        <v>0</v>
      </c>
      <c r="N1475" s="3" t="n">
        <f aca="false">IF(I1475="Y",1,0)</f>
        <v>0</v>
      </c>
    </row>
    <row r="1476" customFormat="false" ht="15" hidden="false" customHeight="true" outlineLevel="0" collapsed="false">
      <c r="A1476" s="7" t="s">
        <v>62</v>
      </c>
      <c r="B1476" s="7" t="n">
        <v>2009</v>
      </c>
      <c r="C1476" s="7" t="s">
        <v>363</v>
      </c>
      <c r="D1476" s="7" t="n">
        <v>95</v>
      </c>
      <c r="E1476" s="7" t="n">
        <v>67</v>
      </c>
      <c r="F1476" s="7" t="s">
        <v>548</v>
      </c>
      <c r="G1476" s="7" t="s">
        <v>546</v>
      </c>
      <c r="H1476" s="7" t="s">
        <v>546</v>
      </c>
      <c r="I1476" s="7" t="s">
        <v>546</v>
      </c>
      <c r="J1476" s="21" t="n">
        <f aca="false">D1476/(D1476+E1476)</f>
        <v>0.58641975308642</v>
      </c>
      <c r="K1476" s="3" t="n">
        <f aca="false">IF(D1476&gt;E1476,1,0)</f>
        <v>1</v>
      </c>
      <c r="L1476" s="3" t="n">
        <f aca="false">IF(OR(F1476="Y",G1476="Y",H1476="Y"),1,0)</f>
        <v>1</v>
      </c>
      <c r="M1476" s="3" t="n">
        <f aca="false">IF(H1476="Y",1,0)</f>
        <v>0</v>
      </c>
      <c r="N1476" s="3" t="n">
        <f aca="false">IF(I1476="Y",1,0)</f>
        <v>0</v>
      </c>
    </row>
    <row r="1477" customFormat="false" ht="15" hidden="false" customHeight="true" outlineLevel="0" collapsed="false">
      <c r="A1477" s="7" t="s">
        <v>62</v>
      </c>
      <c r="B1477" s="7" t="n">
        <v>2010</v>
      </c>
      <c r="C1477" s="7" t="s">
        <v>363</v>
      </c>
      <c r="D1477" s="7" t="n">
        <v>80</v>
      </c>
      <c r="E1477" s="7" t="n">
        <v>82</v>
      </c>
      <c r="F1477" s="7" t="s">
        <v>546</v>
      </c>
      <c r="G1477" s="7" t="s">
        <v>546</v>
      </c>
      <c r="H1477" s="7" t="s">
        <v>546</v>
      </c>
      <c r="I1477" s="7" t="s">
        <v>546</v>
      </c>
      <c r="J1477" s="21" t="n">
        <f aca="false">D1477/(D1477+E1477)</f>
        <v>0.493827160493827</v>
      </c>
      <c r="K1477" s="3" t="n">
        <f aca="false">IF(D1477&gt;E1477,1,0)</f>
        <v>0</v>
      </c>
      <c r="L1477" s="3" t="n">
        <f aca="false">IF(OR(F1477="Y",G1477="Y",H1477="Y"),1,0)</f>
        <v>0</v>
      </c>
      <c r="M1477" s="3" t="n">
        <f aca="false">IF(H1477="Y",1,0)</f>
        <v>0</v>
      </c>
      <c r="N1477" s="3" t="n">
        <f aca="false">IF(I1477="Y",1,0)</f>
        <v>0</v>
      </c>
    </row>
    <row r="1478" customFormat="false" ht="15" hidden="false" customHeight="true" outlineLevel="0" collapsed="false">
      <c r="A1478" s="7" t="s">
        <v>62</v>
      </c>
      <c r="B1478" s="7" t="n">
        <v>2011</v>
      </c>
      <c r="C1478" s="7" t="s">
        <v>363</v>
      </c>
      <c r="D1478" s="7" t="n">
        <v>82</v>
      </c>
      <c r="E1478" s="7" t="n">
        <v>79</v>
      </c>
      <c r="F1478" s="7" t="s">
        <v>546</v>
      </c>
      <c r="G1478" s="7" t="s">
        <v>546</v>
      </c>
      <c r="H1478" s="7" t="s">
        <v>546</v>
      </c>
      <c r="I1478" s="7" t="s">
        <v>546</v>
      </c>
      <c r="J1478" s="21" t="n">
        <f aca="false">D1478/(D1478+E1478)</f>
        <v>0.509316770186335</v>
      </c>
      <c r="K1478" s="3" t="n">
        <f aca="false">IF(D1478&gt;E1478,1,0)</f>
        <v>1</v>
      </c>
      <c r="L1478" s="3" t="n">
        <f aca="false">IF(OR(F1478="Y",G1478="Y",H1478="Y"),1,0)</f>
        <v>0</v>
      </c>
      <c r="M1478" s="3" t="n">
        <f aca="false">IF(H1478="Y",1,0)</f>
        <v>0</v>
      </c>
      <c r="N1478" s="3" t="n">
        <f aca="false">IF(I1478="Y",1,0)</f>
        <v>0</v>
      </c>
    </row>
    <row r="1479" customFormat="false" ht="15" hidden="false" customHeight="true" outlineLevel="0" collapsed="false">
      <c r="A1479" s="7" t="s">
        <v>62</v>
      </c>
      <c r="B1479" s="7" t="n">
        <v>2012</v>
      </c>
      <c r="C1479" s="7" t="s">
        <v>363</v>
      </c>
      <c r="D1479" s="7" t="n">
        <v>86</v>
      </c>
      <c r="E1479" s="7" t="n">
        <v>76</v>
      </c>
      <c r="F1479" s="7" t="s">
        <v>546</v>
      </c>
      <c r="G1479" s="7" t="s">
        <v>546</v>
      </c>
      <c r="H1479" s="7" t="s">
        <v>546</v>
      </c>
      <c r="I1479" s="7" t="s">
        <v>546</v>
      </c>
      <c r="J1479" s="21" t="n">
        <f aca="false">D1479/(D1479+E1479)</f>
        <v>0.530864197530864</v>
      </c>
      <c r="K1479" s="3" t="n">
        <f aca="false">IF(D1479&gt;E1479,1,0)</f>
        <v>1</v>
      </c>
      <c r="L1479" s="3" t="n">
        <f aca="false">IF(OR(F1479="Y",G1479="Y",H1479="Y"),1,0)</f>
        <v>0</v>
      </c>
      <c r="M1479" s="3" t="n">
        <f aca="false">IF(H1479="Y",1,0)</f>
        <v>0</v>
      </c>
      <c r="N1479" s="3" t="n">
        <f aca="false">IF(I1479="Y",1,0)</f>
        <v>0</v>
      </c>
    </row>
    <row r="1480" customFormat="false" ht="15" hidden="false" customHeight="true" outlineLevel="0" collapsed="false">
      <c r="A1480" s="7" t="s">
        <v>62</v>
      </c>
      <c r="B1480" s="7" t="n">
        <v>2013</v>
      </c>
      <c r="C1480" s="7" t="s">
        <v>363</v>
      </c>
      <c r="D1480" s="7" t="n">
        <v>92</v>
      </c>
      <c r="E1480" s="7" t="n">
        <v>70</v>
      </c>
      <c r="F1480" s="7" t="s">
        <v>548</v>
      </c>
      <c r="G1480" s="7" t="s">
        <v>546</v>
      </c>
      <c r="H1480" s="7" t="s">
        <v>546</v>
      </c>
      <c r="I1480" s="7" t="s">
        <v>546</v>
      </c>
      <c r="J1480" s="21" t="n">
        <f aca="false">D1480/(D1480+E1480)</f>
        <v>0.567901234567901</v>
      </c>
      <c r="K1480" s="3" t="n">
        <f aca="false">IF(D1480&gt;E1480,1,0)</f>
        <v>1</v>
      </c>
      <c r="L1480" s="3" t="n">
        <f aca="false">IF(OR(F1480="Y",G1480="Y",H1480="Y"),1,0)</f>
        <v>1</v>
      </c>
      <c r="M1480" s="3" t="n">
        <f aca="false">IF(H1480="Y",1,0)</f>
        <v>0</v>
      </c>
      <c r="N1480" s="3" t="n">
        <f aca="false">IF(I1480="Y",1,0)</f>
        <v>0</v>
      </c>
    </row>
    <row r="1481" customFormat="false" ht="15" hidden="false" customHeight="true" outlineLevel="0" collapsed="false">
      <c r="A1481" s="7" t="s">
        <v>62</v>
      </c>
      <c r="B1481" s="7" t="n">
        <v>2014</v>
      </c>
      <c r="C1481" s="7" t="s">
        <v>363</v>
      </c>
      <c r="D1481" s="7" t="n">
        <v>94</v>
      </c>
      <c r="E1481" s="7" t="n">
        <v>68</v>
      </c>
      <c r="F1481" s="7" t="s">
        <v>548</v>
      </c>
      <c r="G1481" s="7" t="s">
        <v>546</v>
      </c>
      <c r="H1481" s="7" t="s">
        <v>546</v>
      </c>
      <c r="I1481" s="7" t="s">
        <v>546</v>
      </c>
      <c r="J1481" s="21" t="n">
        <f aca="false">D1481/(D1481+E1481)</f>
        <v>0.580246913580247</v>
      </c>
      <c r="K1481" s="3" t="n">
        <f aca="false">IF(D1481&gt;E1481,1,0)</f>
        <v>1</v>
      </c>
      <c r="L1481" s="3" t="n">
        <f aca="false">IF(OR(F1481="Y",G1481="Y",H1481="Y"),1,0)</f>
        <v>1</v>
      </c>
      <c r="M1481" s="3" t="n">
        <f aca="false">IF(H1481="Y",1,0)</f>
        <v>0</v>
      </c>
      <c r="N1481" s="3" t="n">
        <f aca="false">IF(I1481="Y",1,0)</f>
        <v>0</v>
      </c>
    </row>
    <row r="1482" customFormat="false" ht="15" hidden="false" customHeight="true" outlineLevel="0" collapsed="false">
      <c r="A1482" s="7" t="s">
        <v>62</v>
      </c>
      <c r="B1482" s="7" t="n">
        <v>2015</v>
      </c>
      <c r="C1482" s="7" t="s">
        <v>363</v>
      </c>
      <c r="D1482" s="7" t="n">
        <v>92</v>
      </c>
      <c r="E1482" s="7" t="n">
        <v>70</v>
      </c>
      <c r="F1482" s="7" t="s">
        <v>548</v>
      </c>
      <c r="G1482" s="7" t="s">
        <v>546</v>
      </c>
      <c r="H1482" s="7" t="s">
        <v>546</v>
      </c>
      <c r="I1482" s="7" t="s">
        <v>546</v>
      </c>
      <c r="J1482" s="21" t="n">
        <f aca="false">D1482/(D1482+E1482)</f>
        <v>0.567901234567901</v>
      </c>
      <c r="K1482" s="3" t="n">
        <f aca="false">IF(D1482&gt;E1482,1,0)</f>
        <v>1</v>
      </c>
      <c r="L1482" s="3" t="n">
        <f aca="false">IF(OR(F1482="Y",G1482="Y",H1482="Y"),1,0)</f>
        <v>1</v>
      </c>
      <c r="M1482" s="3" t="n">
        <f aca="false">IF(H1482="Y",1,0)</f>
        <v>0</v>
      </c>
      <c r="N1482" s="3" t="n">
        <f aca="false">IF(I1482="Y",1,0)</f>
        <v>0</v>
      </c>
    </row>
    <row r="1483" customFormat="false" ht="15" hidden="false" customHeight="true" outlineLevel="0" collapsed="false">
      <c r="A1483" s="7" t="s">
        <v>62</v>
      </c>
      <c r="B1483" s="7" t="n">
        <v>2016</v>
      </c>
      <c r="C1483" s="7" t="s">
        <v>363</v>
      </c>
      <c r="D1483" s="7" t="n">
        <v>91</v>
      </c>
      <c r="E1483" s="7" t="n">
        <v>71</v>
      </c>
      <c r="F1483" s="7" t="s">
        <v>548</v>
      </c>
      <c r="G1483" s="7" t="s">
        <v>546</v>
      </c>
      <c r="H1483" s="7" t="s">
        <v>546</v>
      </c>
      <c r="I1483" s="7" t="s">
        <v>546</v>
      </c>
      <c r="J1483" s="21" t="n">
        <f aca="false">D1483/(D1483+E1483)</f>
        <v>0.561728395061728</v>
      </c>
      <c r="K1483" s="3" t="n">
        <f aca="false">IF(D1483&gt;E1483,1,0)</f>
        <v>1</v>
      </c>
      <c r="L1483" s="3" t="n">
        <f aca="false">IF(OR(F1483="Y",G1483="Y",H1483="Y"),1,0)</f>
        <v>1</v>
      </c>
      <c r="M1483" s="3" t="n">
        <f aca="false">IF(H1483="Y",1,0)</f>
        <v>0</v>
      </c>
      <c r="N1483" s="3" t="n">
        <f aca="false">IF(I1483="Y",1,0)</f>
        <v>0</v>
      </c>
    </row>
    <row r="1484" customFormat="false" ht="15" hidden="false" customHeight="true" outlineLevel="0" collapsed="false">
      <c r="A1484" s="7" t="s">
        <v>62</v>
      </c>
      <c r="B1484" s="7" t="n">
        <v>2017</v>
      </c>
      <c r="C1484" s="7" t="s">
        <v>363</v>
      </c>
      <c r="D1484" s="7" t="n">
        <v>104</v>
      </c>
      <c r="E1484" s="7" t="n">
        <v>58</v>
      </c>
      <c r="F1484" s="7" t="s">
        <v>548</v>
      </c>
      <c r="G1484" s="7" t="s">
        <v>546</v>
      </c>
      <c r="H1484" s="7" t="s">
        <v>548</v>
      </c>
      <c r="I1484" s="7" t="s">
        <v>546</v>
      </c>
      <c r="J1484" s="21" t="n">
        <f aca="false">D1484/(D1484+E1484)</f>
        <v>0.641975308641975</v>
      </c>
      <c r="K1484" s="3" t="n">
        <f aca="false">IF(D1484&gt;E1484,1,0)</f>
        <v>1</v>
      </c>
      <c r="L1484" s="3" t="n">
        <f aca="false">IF(OR(F1484="Y",G1484="Y",H1484="Y"),1,0)</f>
        <v>1</v>
      </c>
      <c r="M1484" s="3" t="n">
        <f aca="false">IF(H1484="Y",1,0)</f>
        <v>1</v>
      </c>
      <c r="N1484" s="3" t="n">
        <f aca="false">IF(I1484="Y",1,0)</f>
        <v>0</v>
      </c>
    </row>
    <row r="1485" customFormat="false" ht="15" hidden="false" customHeight="true" outlineLevel="0" collapsed="false">
      <c r="A1485" s="7" t="s">
        <v>62</v>
      </c>
      <c r="B1485" s="7" t="n">
        <v>2018</v>
      </c>
      <c r="C1485" s="7" t="s">
        <v>363</v>
      </c>
      <c r="D1485" s="7" t="n">
        <v>92</v>
      </c>
      <c r="E1485" s="7" t="n">
        <v>71</v>
      </c>
      <c r="F1485" s="7" t="s">
        <v>548</v>
      </c>
      <c r="G1485" s="7" t="s">
        <v>546</v>
      </c>
      <c r="H1485" s="7" t="s">
        <v>548</v>
      </c>
      <c r="I1485" s="7" t="s">
        <v>546</v>
      </c>
      <c r="J1485" s="21" t="n">
        <f aca="false">D1485/(D1485+E1485)</f>
        <v>0.56441717791411</v>
      </c>
      <c r="K1485" s="3" t="n">
        <f aca="false">IF(D1485&gt;E1485,1,0)</f>
        <v>1</v>
      </c>
      <c r="L1485" s="3" t="n">
        <f aca="false">IF(OR(F1485="Y",G1485="Y",H1485="Y"),1,0)</f>
        <v>1</v>
      </c>
      <c r="M1485" s="3" t="n">
        <f aca="false">IF(H1485="Y",1,0)</f>
        <v>1</v>
      </c>
      <c r="N1485" s="3" t="n">
        <f aca="false">IF(I1485="Y",1,0)</f>
        <v>0</v>
      </c>
    </row>
    <row r="1486" customFormat="false" ht="15" hidden="false" customHeight="true" outlineLevel="0" collapsed="false">
      <c r="A1486" s="7" t="s">
        <v>62</v>
      </c>
      <c r="B1486" s="7" t="n">
        <v>2019</v>
      </c>
      <c r="C1486" s="7" t="s">
        <v>363</v>
      </c>
      <c r="D1486" s="7" t="n">
        <v>106</v>
      </c>
      <c r="E1486" s="7" t="n">
        <v>56</v>
      </c>
      <c r="F1486" s="7" t="s">
        <v>548</v>
      </c>
      <c r="G1486" s="7" t="s">
        <v>546</v>
      </c>
      <c r="H1486" s="7" t="s">
        <v>546</v>
      </c>
      <c r="I1486" s="7" t="s">
        <v>546</v>
      </c>
      <c r="J1486" s="21" t="n">
        <f aca="false">D1486/(D1486+E1486)</f>
        <v>0.654320987654321</v>
      </c>
      <c r="K1486" s="3" t="n">
        <f aca="false">IF(D1486&gt;E1486,1,0)</f>
        <v>1</v>
      </c>
      <c r="L1486" s="3" t="n">
        <f aca="false">IF(OR(F1486="Y",G1486="Y",H1486="Y"),1,0)</f>
        <v>1</v>
      </c>
      <c r="M1486" s="3" t="n">
        <f aca="false">IF(H1486="Y",1,0)</f>
        <v>0</v>
      </c>
      <c r="N1486" s="3" t="n">
        <f aca="false">IF(I1486="Y",1,0)</f>
        <v>0</v>
      </c>
    </row>
    <row r="1487" customFormat="false" ht="15" hidden="false" customHeight="true" outlineLevel="0" collapsed="false">
      <c r="A1487" s="7" t="s">
        <v>62</v>
      </c>
      <c r="B1487" s="7" t="n">
        <v>2020</v>
      </c>
      <c r="C1487" s="7" t="s">
        <v>363</v>
      </c>
      <c r="D1487" s="7" t="n">
        <v>43</v>
      </c>
      <c r="E1487" s="7" t="n">
        <v>17</v>
      </c>
      <c r="F1487" s="7" t="s">
        <v>548</v>
      </c>
      <c r="G1487" s="7" t="s">
        <v>546</v>
      </c>
      <c r="H1487" s="7" t="s">
        <v>548</v>
      </c>
      <c r="I1487" s="7" t="s">
        <v>548</v>
      </c>
      <c r="J1487" s="21" t="n">
        <f aca="false">D1487/(D1487+E1487)</f>
        <v>0.716666666666667</v>
      </c>
      <c r="K1487" s="3" t="n">
        <f aca="false">IF(D1487&gt;E1487,1,0)</f>
        <v>1</v>
      </c>
      <c r="L1487" s="3" t="n">
        <f aca="false">IF(OR(F1487="Y",G1487="Y",H1487="Y"),1,0)</f>
        <v>1</v>
      </c>
      <c r="M1487" s="3" t="n">
        <f aca="false">IF(H1487="Y",1,0)</f>
        <v>1</v>
      </c>
      <c r="N1487" s="3" t="n">
        <f aca="false">IF(I1487="Y",1,0)</f>
        <v>1</v>
      </c>
    </row>
    <row r="1488" customFormat="false" ht="15" hidden="false" customHeight="true" outlineLevel="0" collapsed="false">
      <c r="A1488" s="7" t="s">
        <v>62</v>
      </c>
      <c r="B1488" s="7" t="n">
        <v>2021</v>
      </c>
      <c r="C1488" s="7" t="s">
        <v>363</v>
      </c>
      <c r="D1488" s="7" t="n">
        <v>106</v>
      </c>
      <c r="E1488" s="7" t="n">
        <v>56</v>
      </c>
      <c r="F1488" s="7" t="s">
        <v>546</v>
      </c>
      <c r="G1488" s="7" t="s">
        <v>548</v>
      </c>
      <c r="H1488" s="7" t="s">
        <v>546</v>
      </c>
      <c r="I1488" s="7" t="s">
        <v>546</v>
      </c>
      <c r="J1488" s="21" t="n">
        <f aca="false">D1488/(D1488+E1488)</f>
        <v>0.654320987654321</v>
      </c>
      <c r="K1488" s="3" t="n">
        <f aca="false">IF(D1488&gt;E1488,1,0)</f>
        <v>1</v>
      </c>
      <c r="L1488" s="3" t="n">
        <f aca="false">IF(OR(F1488="Y",G1488="Y",H1488="Y"),1,0)</f>
        <v>1</v>
      </c>
      <c r="M1488" s="3" t="n">
        <f aca="false">IF(H1488="Y",1,0)</f>
        <v>0</v>
      </c>
      <c r="N1488" s="3" t="n">
        <f aca="false">IF(I1488="Y",1,0)</f>
        <v>0</v>
      </c>
    </row>
    <row r="1489" customFormat="false" ht="15" hidden="false" customHeight="true" outlineLevel="0" collapsed="false">
      <c r="A1489" s="7" t="s">
        <v>62</v>
      </c>
      <c r="B1489" s="7" t="n">
        <v>2022</v>
      </c>
      <c r="C1489" s="7" t="s">
        <v>363</v>
      </c>
      <c r="D1489" s="7" t="n">
        <v>111</v>
      </c>
      <c r="E1489" s="7" t="n">
        <v>51</v>
      </c>
      <c r="F1489" s="7" t="s">
        <v>548</v>
      </c>
      <c r="G1489" s="7" t="s">
        <v>546</v>
      </c>
      <c r="H1489" s="7" t="s">
        <v>546</v>
      </c>
      <c r="I1489" s="7" t="s">
        <v>546</v>
      </c>
      <c r="J1489" s="21" t="n">
        <f aca="false">D1489/(D1489+E1489)</f>
        <v>0.685185185185185</v>
      </c>
      <c r="K1489" s="3" t="n">
        <f aca="false">IF(D1489&gt;E1489,1,0)</f>
        <v>1</v>
      </c>
      <c r="L1489" s="3" t="n">
        <f aca="false">IF(OR(F1489="Y",G1489="Y",H1489="Y"),1,0)</f>
        <v>1</v>
      </c>
      <c r="M1489" s="3" t="n">
        <f aca="false">IF(H1489="Y",1,0)</f>
        <v>0</v>
      </c>
      <c r="N1489" s="3" t="n">
        <f aca="false">IF(I1489="Y",1,0)</f>
        <v>0</v>
      </c>
    </row>
    <row r="1490" customFormat="false" ht="15" hidden="false" customHeight="true" outlineLevel="0" collapsed="false">
      <c r="A1490" s="7" t="s">
        <v>62</v>
      </c>
      <c r="B1490" s="7" t="n">
        <v>2023</v>
      </c>
      <c r="C1490" s="7" t="s">
        <v>363</v>
      </c>
      <c r="D1490" s="7" t="n">
        <v>100</v>
      </c>
      <c r="E1490" s="7" t="n">
        <v>62</v>
      </c>
      <c r="F1490" s="7" t="s">
        <v>548</v>
      </c>
      <c r="G1490" s="7" t="s">
        <v>546</v>
      </c>
      <c r="H1490" s="7" t="s">
        <v>546</v>
      </c>
      <c r="I1490" s="7" t="s">
        <v>546</v>
      </c>
      <c r="J1490" s="21" t="n">
        <f aca="false">D1490/(D1490+E1490)</f>
        <v>0.617283950617284</v>
      </c>
      <c r="K1490" s="3" t="n">
        <f aca="false">IF(D1490&gt;E1490,1,0)</f>
        <v>1</v>
      </c>
      <c r="L1490" s="3" t="n">
        <f aca="false">IF(OR(F1490="Y",G1490="Y",H1490="Y"),1,0)</f>
        <v>1</v>
      </c>
      <c r="M1490" s="3" t="n">
        <f aca="false">IF(H1490="Y",1,0)</f>
        <v>0</v>
      </c>
      <c r="N1490" s="3" t="n">
        <f aca="false">IF(I1490="Y",1,0)</f>
        <v>0</v>
      </c>
    </row>
    <row r="1491" customFormat="false" ht="15" hidden="false" customHeight="true" outlineLevel="0" collapsed="false">
      <c r="A1491" s="7" t="s">
        <v>62</v>
      </c>
      <c r="B1491" s="7" t="n">
        <v>2024</v>
      </c>
      <c r="C1491" s="7" t="s">
        <v>363</v>
      </c>
      <c r="D1491" s="7" t="n">
        <v>98</v>
      </c>
      <c r="E1491" s="7" t="n">
        <v>64</v>
      </c>
      <c r="F1491" s="7" t="s">
        <v>548</v>
      </c>
      <c r="G1491" s="7" t="s">
        <v>546</v>
      </c>
      <c r="H1491" s="7" t="s">
        <v>548</v>
      </c>
      <c r="I1491" s="7" t="s">
        <v>548</v>
      </c>
      <c r="J1491" s="21" t="n">
        <f aca="false">D1491/(D1491+E1491)</f>
        <v>0.604938271604938</v>
      </c>
      <c r="K1491" s="3" t="n">
        <f aca="false">IF(D1491&gt;E1491,1,0)</f>
        <v>1</v>
      </c>
      <c r="L1491" s="3" t="n">
        <f aca="false">IF(OR(F1491="Y",G1491="Y",H1491="Y"),1,0)</f>
        <v>1</v>
      </c>
      <c r="M1491" s="3" t="n">
        <f aca="false">IF(H1491="Y",1,0)</f>
        <v>1</v>
      </c>
      <c r="N1491" s="3" t="n">
        <f aca="false">IF(I1491="Y",1,0)</f>
        <v>1</v>
      </c>
    </row>
    <row r="1492" customFormat="false" ht="15" hidden="false" customHeight="true" outlineLevel="0" collapsed="false">
      <c r="A1492" s="7" t="s">
        <v>62</v>
      </c>
      <c r="B1492" s="7" t="n">
        <v>2025</v>
      </c>
      <c r="C1492" s="7" t="s">
        <v>363</v>
      </c>
      <c r="D1492" s="7" t="n">
        <v>93</v>
      </c>
      <c r="E1492" s="7" t="n">
        <v>69</v>
      </c>
      <c r="F1492" s="7" t="s">
        <v>548</v>
      </c>
      <c r="G1492" s="7" t="s">
        <v>546</v>
      </c>
      <c r="H1492" s="7" t="s">
        <v>548</v>
      </c>
      <c r="I1492" s="7" t="s">
        <v>548</v>
      </c>
      <c r="J1492" s="21" t="n">
        <f aca="false">D1492/(D1492+E1492)</f>
        <v>0.574074074074074</v>
      </c>
      <c r="K1492" s="3" t="n">
        <f aca="false">IF(D1492&gt;E1492,1,0)</f>
        <v>1</v>
      </c>
      <c r="L1492" s="3" t="n">
        <f aca="false">IF(OR(F1492="Y",G1492="Y",H1492="Y"),1,0)</f>
        <v>1</v>
      </c>
      <c r="M1492" s="3" t="n">
        <f aca="false">IF(H1492="Y",1,0)</f>
        <v>1</v>
      </c>
      <c r="N1492" s="3" t="n">
        <f aca="false">IF(I1492="Y",1,0)</f>
        <v>1</v>
      </c>
    </row>
    <row r="1493" customFormat="false" ht="15" hidden="false" customHeight="true" outlineLevel="0" collapsed="false">
      <c r="A1493" s="7" t="s">
        <v>77</v>
      </c>
      <c r="B1493" s="7" t="n">
        <v>1969</v>
      </c>
      <c r="C1493" s="7" t="s">
        <v>577</v>
      </c>
      <c r="D1493" s="7" t="n">
        <v>64</v>
      </c>
      <c r="E1493" s="7" t="n">
        <v>98</v>
      </c>
      <c r="F1493" s="7" t="s">
        <v>546</v>
      </c>
      <c r="G1493" s="7"/>
      <c r="H1493" s="7" t="s">
        <v>546</v>
      </c>
      <c r="I1493" s="7" t="s">
        <v>546</v>
      </c>
      <c r="J1493" s="21" t="n">
        <f aca="false">D1493/(D1493+E1493)</f>
        <v>0.395061728395062</v>
      </c>
      <c r="K1493" s="3" t="n">
        <f aca="false">IF(D1493&gt;E1493,1,0)</f>
        <v>0</v>
      </c>
      <c r="L1493" s="3" t="n">
        <f aca="false">IF(OR(F1493="Y",G1493="Y",H1493="Y"),1,0)</f>
        <v>0</v>
      </c>
      <c r="M1493" s="3" t="n">
        <f aca="false">IF(H1493="Y",1,0)</f>
        <v>0</v>
      </c>
      <c r="N1493" s="3" t="n">
        <f aca="false">IF(I1493="Y",1,0)</f>
        <v>0</v>
      </c>
    </row>
    <row r="1494" customFormat="false" ht="15" hidden="false" customHeight="true" outlineLevel="0" collapsed="false">
      <c r="A1494" s="7" t="s">
        <v>77</v>
      </c>
      <c r="B1494" s="7" t="n">
        <v>1970</v>
      </c>
      <c r="C1494" s="7" t="s">
        <v>379</v>
      </c>
      <c r="D1494" s="7" t="n">
        <v>65</v>
      </c>
      <c r="E1494" s="7" t="n">
        <v>97</v>
      </c>
      <c r="F1494" s="7" t="s">
        <v>546</v>
      </c>
      <c r="G1494" s="7"/>
      <c r="H1494" s="7" t="s">
        <v>546</v>
      </c>
      <c r="I1494" s="7" t="s">
        <v>546</v>
      </c>
      <c r="J1494" s="21" t="n">
        <f aca="false">D1494/(D1494+E1494)</f>
        <v>0.401234567901235</v>
      </c>
      <c r="K1494" s="3" t="n">
        <f aca="false">IF(D1494&gt;E1494,1,0)</f>
        <v>0</v>
      </c>
      <c r="L1494" s="3" t="n">
        <f aca="false">IF(OR(F1494="Y",G1494="Y",H1494="Y"),1,0)</f>
        <v>0</v>
      </c>
      <c r="M1494" s="3" t="n">
        <f aca="false">IF(H1494="Y",1,0)</f>
        <v>0</v>
      </c>
      <c r="N1494" s="3" t="n">
        <f aca="false">IF(I1494="Y",1,0)</f>
        <v>0</v>
      </c>
    </row>
    <row r="1495" customFormat="false" ht="15" hidden="false" customHeight="true" outlineLevel="0" collapsed="false">
      <c r="A1495" s="7" t="s">
        <v>77</v>
      </c>
      <c r="B1495" s="7" t="n">
        <v>1971</v>
      </c>
      <c r="C1495" s="7" t="s">
        <v>379</v>
      </c>
      <c r="D1495" s="7" t="n">
        <v>69</v>
      </c>
      <c r="E1495" s="7" t="n">
        <v>92</v>
      </c>
      <c r="F1495" s="7" t="s">
        <v>546</v>
      </c>
      <c r="G1495" s="7"/>
      <c r="H1495" s="7" t="s">
        <v>546</v>
      </c>
      <c r="I1495" s="7" t="s">
        <v>546</v>
      </c>
      <c r="J1495" s="21" t="n">
        <f aca="false">D1495/(D1495+E1495)</f>
        <v>0.428571428571429</v>
      </c>
      <c r="K1495" s="3" t="n">
        <f aca="false">IF(D1495&gt;E1495,1,0)</f>
        <v>0</v>
      </c>
      <c r="L1495" s="3" t="n">
        <f aca="false">IF(OR(F1495="Y",G1495="Y",H1495="Y"),1,0)</f>
        <v>0</v>
      </c>
      <c r="M1495" s="3" t="n">
        <f aca="false">IF(H1495="Y",1,0)</f>
        <v>0</v>
      </c>
      <c r="N1495" s="3" t="n">
        <f aca="false">IF(I1495="Y",1,0)</f>
        <v>0</v>
      </c>
    </row>
    <row r="1496" customFormat="false" ht="15" hidden="false" customHeight="true" outlineLevel="0" collapsed="false">
      <c r="A1496" s="7" t="s">
        <v>77</v>
      </c>
      <c r="B1496" s="7" t="n">
        <v>1972</v>
      </c>
      <c r="C1496" s="7" t="s">
        <v>379</v>
      </c>
      <c r="D1496" s="7" t="n">
        <v>65</v>
      </c>
      <c r="E1496" s="7" t="n">
        <v>91</v>
      </c>
      <c r="F1496" s="7" t="s">
        <v>546</v>
      </c>
      <c r="G1496" s="7"/>
      <c r="H1496" s="7" t="s">
        <v>546</v>
      </c>
      <c r="I1496" s="7" t="s">
        <v>546</v>
      </c>
      <c r="J1496" s="21" t="n">
        <f aca="false">D1496/(D1496+E1496)</f>
        <v>0.416666666666667</v>
      </c>
      <c r="K1496" s="3" t="n">
        <f aca="false">IF(D1496&gt;E1496,1,0)</f>
        <v>0</v>
      </c>
      <c r="L1496" s="3" t="n">
        <f aca="false">IF(OR(F1496="Y",G1496="Y",H1496="Y"),1,0)</f>
        <v>0</v>
      </c>
      <c r="M1496" s="3" t="n">
        <f aca="false">IF(H1496="Y",1,0)</f>
        <v>0</v>
      </c>
      <c r="N1496" s="3" t="n">
        <f aca="false">IF(I1496="Y",1,0)</f>
        <v>0</v>
      </c>
    </row>
    <row r="1497" customFormat="false" ht="15" hidden="false" customHeight="true" outlineLevel="0" collapsed="false">
      <c r="A1497" s="7" t="s">
        <v>77</v>
      </c>
      <c r="B1497" s="7" t="n">
        <v>1973</v>
      </c>
      <c r="C1497" s="7" t="s">
        <v>379</v>
      </c>
      <c r="D1497" s="7" t="n">
        <v>74</v>
      </c>
      <c r="E1497" s="7" t="n">
        <v>88</v>
      </c>
      <c r="F1497" s="7" t="s">
        <v>546</v>
      </c>
      <c r="G1497" s="7"/>
      <c r="H1497" s="7" t="s">
        <v>546</v>
      </c>
      <c r="I1497" s="7" t="s">
        <v>546</v>
      </c>
      <c r="J1497" s="21" t="n">
        <f aca="false">D1497/(D1497+E1497)</f>
        <v>0.45679012345679</v>
      </c>
      <c r="K1497" s="3" t="n">
        <f aca="false">IF(D1497&gt;E1497,1,0)</f>
        <v>0</v>
      </c>
      <c r="L1497" s="3" t="n">
        <f aca="false">IF(OR(F1497="Y",G1497="Y",H1497="Y"),1,0)</f>
        <v>0</v>
      </c>
      <c r="M1497" s="3" t="n">
        <f aca="false">IF(H1497="Y",1,0)</f>
        <v>0</v>
      </c>
      <c r="N1497" s="3" t="n">
        <f aca="false">IF(I1497="Y",1,0)</f>
        <v>0</v>
      </c>
    </row>
    <row r="1498" customFormat="false" ht="15" hidden="false" customHeight="true" outlineLevel="0" collapsed="false">
      <c r="A1498" s="7" t="s">
        <v>77</v>
      </c>
      <c r="B1498" s="7" t="n">
        <v>1974</v>
      </c>
      <c r="C1498" s="7" t="s">
        <v>379</v>
      </c>
      <c r="D1498" s="7" t="n">
        <v>76</v>
      </c>
      <c r="E1498" s="7" t="n">
        <v>86</v>
      </c>
      <c r="F1498" s="7" t="s">
        <v>546</v>
      </c>
      <c r="G1498" s="7"/>
      <c r="H1498" s="7" t="s">
        <v>546</v>
      </c>
      <c r="I1498" s="7" t="s">
        <v>546</v>
      </c>
      <c r="J1498" s="21" t="n">
        <f aca="false">D1498/(D1498+E1498)</f>
        <v>0.469135802469136</v>
      </c>
      <c r="K1498" s="3" t="n">
        <f aca="false">IF(D1498&gt;E1498,1,0)</f>
        <v>0</v>
      </c>
      <c r="L1498" s="3" t="n">
        <f aca="false">IF(OR(F1498="Y",G1498="Y",H1498="Y"),1,0)</f>
        <v>0</v>
      </c>
      <c r="M1498" s="3" t="n">
        <f aca="false">IF(H1498="Y",1,0)</f>
        <v>0</v>
      </c>
      <c r="N1498" s="3" t="n">
        <f aca="false">IF(I1498="Y",1,0)</f>
        <v>0</v>
      </c>
    </row>
    <row r="1499" customFormat="false" ht="15" hidden="false" customHeight="true" outlineLevel="0" collapsed="false">
      <c r="A1499" s="7" t="s">
        <v>77</v>
      </c>
      <c r="B1499" s="7" t="n">
        <v>1975</v>
      </c>
      <c r="C1499" s="7" t="s">
        <v>379</v>
      </c>
      <c r="D1499" s="7" t="n">
        <v>68</v>
      </c>
      <c r="E1499" s="7" t="n">
        <v>94</v>
      </c>
      <c r="F1499" s="7" t="s">
        <v>546</v>
      </c>
      <c r="G1499" s="7"/>
      <c r="H1499" s="7" t="s">
        <v>546</v>
      </c>
      <c r="I1499" s="7" t="s">
        <v>546</v>
      </c>
      <c r="J1499" s="21" t="n">
        <f aca="false">D1499/(D1499+E1499)</f>
        <v>0.419753086419753</v>
      </c>
      <c r="K1499" s="3" t="n">
        <f aca="false">IF(D1499&gt;E1499,1,0)</f>
        <v>0</v>
      </c>
      <c r="L1499" s="3" t="n">
        <f aca="false">IF(OR(F1499="Y",G1499="Y",H1499="Y"),1,0)</f>
        <v>0</v>
      </c>
      <c r="M1499" s="3" t="n">
        <f aca="false">IF(H1499="Y",1,0)</f>
        <v>0</v>
      </c>
      <c r="N1499" s="3" t="n">
        <f aca="false">IF(I1499="Y",1,0)</f>
        <v>0</v>
      </c>
    </row>
    <row r="1500" customFormat="false" ht="15" hidden="false" customHeight="true" outlineLevel="0" collapsed="false">
      <c r="A1500" s="7" t="s">
        <v>77</v>
      </c>
      <c r="B1500" s="7" t="n">
        <v>1976</v>
      </c>
      <c r="C1500" s="7" t="s">
        <v>379</v>
      </c>
      <c r="D1500" s="7" t="n">
        <v>66</v>
      </c>
      <c r="E1500" s="7" t="n">
        <v>95</v>
      </c>
      <c r="F1500" s="7" t="s">
        <v>546</v>
      </c>
      <c r="G1500" s="7"/>
      <c r="H1500" s="7" t="s">
        <v>546</v>
      </c>
      <c r="I1500" s="7" t="s">
        <v>546</v>
      </c>
      <c r="J1500" s="21" t="n">
        <f aca="false">D1500/(D1500+E1500)</f>
        <v>0.409937888198758</v>
      </c>
      <c r="K1500" s="3" t="n">
        <f aca="false">IF(D1500&gt;E1500,1,0)</f>
        <v>0</v>
      </c>
      <c r="L1500" s="3" t="n">
        <f aca="false">IF(OR(F1500="Y",G1500="Y",H1500="Y"),1,0)</f>
        <v>0</v>
      </c>
      <c r="M1500" s="3" t="n">
        <f aca="false">IF(H1500="Y",1,0)</f>
        <v>0</v>
      </c>
      <c r="N1500" s="3" t="n">
        <f aca="false">IF(I1500="Y",1,0)</f>
        <v>0</v>
      </c>
    </row>
    <row r="1501" customFormat="false" ht="15" hidden="false" customHeight="true" outlineLevel="0" collapsed="false">
      <c r="A1501" s="7" t="s">
        <v>77</v>
      </c>
      <c r="B1501" s="7" t="n">
        <v>1977</v>
      </c>
      <c r="C1501" s="7" t="s">
        <v>379</v>
      </c>
      <c r="D1501" s="7" t="n">
        <v>67</v>
      </c>
      <c r="E1501" s="7" t="n">
        <v>95</v>
      </c>
      <c r="F1501" s="7" t="s">
        <v>546</v>
      </c>
      <c r="G1501" s="7"/>
      <c r="H1501" s="7" t="s">
        <v>546</v>
      </c>
      <c r="I1501" s="7" t="s">
        <v>546</v>
      </c>
      <c r="J1501" s="21" t="n">
        <f aca="false">D1501/(D1501+E1501)</f>
        <v>0.41358024691358</v>
      </c>
      <c r="K1501" s="3" t="n">
        <f aca="false">IF(D1501&gt;E1501,1,0)</f>
        <v>0</v>
      </c>
      <c r="L1501" s="3" t="n">
        <f aca="false">IF(OR(F1501="Y",G1501="Y",H1501="Y"),1,0)</f>
        <v>0</v>
      </c>
      <c r="M1501" s="3" t="n">
        <f aca="false">IF(H1501="Y",1,0)</f>
        <v>0</v>
      </c>
      <c r="N1501" s="3" t="n">
        <f aca="false">IF(I1501="Y",1,0)</f>
        <v>0</v>
      </c>
    </row>
    <row r="1502" customFormat="false" ht="15" hidden="false" customHeight="true" outlineLevel="0" collapsed="false">
      <c r="A1502" s="7" t="s">
        <v>77</v>
      </c>
      <c r="B1502" s="7" t="n">
        <v>1978</v>
      </c>
      <c r="C1502" s="7" t="s">
        <v>379</v>
      </c>
      <c r="D1502" s="7" t="n">
        <v>93</v>
      </c>
      <c r="E1502" s="7" t="n">
        <v>69</v>
      </c>
      <c r="F1502" s="7" t="s">
        <v>546</v>
      </c>
      <c r="G1502" s="7"/>
      <c r="H1502" s="7" t="s">
        <v>546</v>
      </c>
      <c r="I1502" s="7" t="s">
        <v>546</v>
      </c>
      <c r="J1502" s="21" t="n">
        <f aca="false">D1502/(D1502+E1502)</f>
        <v>0.574074074074074</v>
      </c>
      <c r="K1502" s="3" t="n">
        <f aca="false">IF(D1502&gt;E1502,1,0)</f>
        <v>1</v>
      </c>
      <c r="L1502" s="3" t="n">
        <f aca="false">IF(OR(F1502="Y",G1502="Y",H1502="Y"),1,0)</f>
        <v>0</v>
      </c>
      <c r="M1502" s="3" t="n">
        <f aca="false">IF(H1502="Y",1,0)</f>
        <v>0</v>
      </c>
      <c r="N1502" s="3" t="n">
        <f aca="false">IF(I1502="Y",1,0)</f>
        <v>0</v>
      </c>
    </row>
    <row r="1503" customFormat="false" ht="15" hidden="false" customHeight="true" outlineLevel="0" collapsed="false">
      <c r="A1503" s="7" t="s">
        <v>77</v>
      </c>
      <c r="B1503" s="7" t="n">
        <v>1979</v>
      </c>
      <c r="C1503" s="7" t="s">
        <v>379</v>
      </c>
      <c r="D1503" s="7" t="n">
        <v>95</v>
      </c>
      <c r="E1503" s="7" t="n">
        <v>66</v>
      </c>
      <c r="F1503" s="7" t="s">
        <v>546</v>
      </c>
      <c r="G1503" s="7"/>
      <c r="H1503" s="7" t="s">
        <v>546</v>
      </c>
      <c r="I1503" s="7" t="s">
        <v>546</v>
      </c>
      <c r="J1503" s="21" t="n">
        <f aca="false">D1503/(D1503+E1503)</f>
        <v>0.590062111801242</v>
      </c>
      <c r="K1503" s="3" t="n">
        <f aca="false">IF(D1503&gt;E1503,1,0)</f>
        <v>1</v>
      </c>
      <c r="L1503" s="3" t="n">
        <f aca="false">IF(OR(F1503="Y",G1503="Y",H1503="Y"),1,0)</f>
        <v>0</v>
      </c>
      <c r="M1503" s="3" t="n">
        <f aca="false">IF(H1503="Y",1,0)</f>
        <v>0</v>
      </c>
      <c r="N1503" s="3" t="n">
        <f aca="false">IF(I1503="Y",1,0)</f>
        <v>0</v>
      </c>
    </row>
    <row r="1504" customFormat="false" ht="15" hidden="false" customHeight="true" outlineLevel="0" collapsed="false">
      <c r="A1504" s="7" t="s">
        <v>77</v>
      </c>
      <c r="B1504" s="7" t="n">
        <v>1980</v>
      </c>
      <c r="C1504" s="7" t="s">
        <v>379</v>
      </c>
      <c r="D1504" s="7" t="n">
        <v>86</v>
      </c>
      <c r="E1504" s="7" t="n">
        <v>76</v>
      </c>
      <c r="F1504" s="7" t="s">
        <v>546</v>
      </c>
      <c r="G1504" s="7"/>
      <c r="H1504" s="7" t="s">
        <v>546</v>
      </c>
      <c r="I1504" s="7" t="s">
        <v>546</v>
      </c>
      <c r="J1504" s="21" t="n">
        <f aca="false">D1504/(D1504+E1504)</f>
        <v>0.530864197530864</v>
      </c>
      <c r="K1504" s="3" t="n">
        <f aca="false">IF(D1504&gt;E1504,1,0)</f>
        <v>1</v>
      </c>
      <c r="L1504" s="3" t="n">
        <f aca="false">IF(OR(F1504="Y",G1504="Y",H1504="Y"),1,0)</f>
        <v>0</v>
      </c>
      <c r="M1504" s="3" t="n">
        <f aca="false">IF(H1504="Y",1,0)</f>
        <v>0</v>
      </c>
      <c r="N1504" s="3" t="n">
        <f aca="false">IF(I1504="Y",1,0)</f>
        <v>0</v>
      </c>
    </row>
    <row r="1505" customFormat="false" ht="15" hidden="false" customHeight="true" outlineLevel="0" collapsed="false">
      <c r="A1505" s="7" t="s">
        <v>77</v>
      </c>
      <c r="B1505" s="7" t="n">
        <v>1981</v>
      </c>
      <c r="C1505" s="7" t="s">
        <v>379</v>
      </c>
      <c r="D1505" s="7" t="n">
        <v>62</v>
      </c>
      <c r="E1505" s="7" t="n">
        <v>47</v>
      </c>
      <c r="F1505" s="7" t="s">
        <v>548</v>
      </c>
      <c r="G1505" s="7"/>
      <c r="H1505" s="7" t="s">
        <v>546</v>
      </c>
      <c r="I1505" s="7" t="s">
        <v>546</v>
      </c>
      <c r="J1505" s="21" t="n">
        <f aca="false">D1505/(D1505+E1505)</f>
        <v>0.568807339449541</v>
      </c>
      <c r="K1505" s="3" t="n">
        <f aca="false">IF(D1505&gt;E1505,1,0)</f>
        <v>1</v>
      </c>
      <c r="L1505" s="3" t="n">
        <f aca="false">IF(OR(F1505="Y",G1505="Y",H1505="Y"),1,0)</f>
        <v>1</v>
      </c>
      <c r="M1505" s="3" t="n">
        <f aca="false">IF(H1505="Y",1,0)</f>
        <v>0</v>
      </c>
      <c r="N1505" s="3" t="n">
        <f aca="false">IF(I1505="Y",1,0)</f>
        <v>0</v>
      </c>
    </row>
    <row r="1506" customFormat="false" ht="15" hidden="false" customHeight="true" outlineLevel="0" collapsed="false">
      <c r="A1506" s="7" t="s">
        <v>77</v>
      </c>
      <c r="B1506" s="7" t="n">
        <v>1982</v>
      </c>
      <c r="C1506" s="7" t="s">
        <v>379</v>
      </c>
      <c r="D1506" s="7" t="n">
        <v>95</v>
      </c>
      <c r="E1506" s="7" t="n">
        <v>67</v>
      </c>
      <c r="F1506" s="7" t="s">
        <v>548</v>
      </c>
      <c r="G1506" s="7"/>
      <c r="H1506" s="7" t="s">
        <v>548</v>
      </c>
      <c r="I1506" s="7" t="s">
        <v>546</v>
      </c>
      <c r="J1506" s="21" t="n">
        <f aca="false">D1506/(D1506+E1506)</f>
        <v>0.58641975308642</v>
      </c>
      <c r="K1506" s="3" t="n">
        <f aca="false">IF(D1506&gt;E1506,1,0)</f>
        <v>1</v>
      </c>
      <c r="L1506" s="3" t="n">
        <f aca="false">IF(OR(F1506="Y",G1506="Y",H1506="Y"),1,0)</f>
        <v>1</v>
      </c>
      <c r="M1506" s="3" t="n">
        <f aca="false">IF(H1506="Y",1,0)</f>
        <v>1</v>
      </c>
      <c r="N1506" s="3" t="n">
        <f aca="false">IF(I1506="Y",1,0)</f>
        <v>0</v>
      </c>
    </row>
    <row r="1507" customFormat="false" ht="15" hidden="false" customHeight="true" outlineLevel="0" collapsed="false">
      <c r="A1507" s="7" t="s">
        <v>77</v>
      </c>
      <c r="B1507" s="7" t="n">
        <v>1983</v>
      </c>
      <c r="C1507" s="7" t="s">
        <v>379</v>
      </c>
      <c r="D1507" s="7" t="n">
        <v>87</v>
      </c>
      <c r="E1507" s="7" t="n">
        <v>75</v>
      </c>
      <c r="F1507" s="7" t="s">
        <v>546</v>
      </c>
      <c r="G1507" s="7"/>
      <c r="H1507" s="7" t="s">
        <v>546</v>
      </c>
      <c r="I1507" s="7" t="s">
        <v>546</v>
      </c>
      <c r="J1507" s="21" t="n">
        <f aca="false">D1507/(D1507+E1507)</f>
        <v>0.537037037037037</v>
      </c>
      <c r="K1507" s="3" t="n">
        <f aca="false">IF(D1507&gt;E1507,1,0)</f>
        <v>1</v>
      </c>
      <c r="L1507" s="3" t="n">
        <f aca="false">IF(OR(F1507="Y",G1507="Y",H1507="Y"),1,0)</f>
        <v>0</v>
      </c>
      <c r="M1507" s="3" t="n">
        <f aca="false">IF(H1507="Y",1,0)</f>
        <v>0</v>
      </c>
      <c r="N1507" s="3" t="n">
        <f aca="false">IF(I1507="Y",1,0)</f>
        <v>0</v>
      </c>
    </row>
    <row r="1508" customFormat="false" ht="15" hidden="false" customHeight="true" outlineLevel="0" collapsed="false">
      <c r="A1508" s="7" t="s">
        <v>77</v>
      </c>
      <c r="B1508" s="7" t="n">
        <v>1984</v>
      </c>
      <c r="C1508" s="7" t="s">
        <v>379</v>
      </c>
      <c r="D1508" s="7" t="n">
        <v>67</v>
      </c>
      <c r="E1508" s="7" t="n">
        <v>94</v>
      </c>
      <c r="F1508" s="7" t="s">
        <v>546</v>
      </c>
      <c r="G1508" s="7"/>
      <c r="H1508" s="7" t="s">
        <v>546</v>
      </c>
      <c r="I1508" s="7" t="s">
        <v>546</v>
      </c>
      <c r="J1508" s="21" t="n">
        <f aca="false">D1508/(D1508+E1508)</f>
        <v>0.416149068322981</v>
      </c>
      <c r="K1508" s="3" t="n">
        <f aca="false">IF(D1508&gt;E1508,1,0)</f>
        <v>0</v>
      </c>
      <c r="L1508" s="3" t="n">
        <f aca="false">IF(OR(F1508="Y",G1508="Y",H1508="Y"),1,0)</f>
        <v>0</v>
      </c>
      <c r="M1508" s="3" t="n">
        <f aca="false">IF(H1508="Y",1,0)</f>
        <v>0</v>
      </c>
      <c r="N1508" s="3" t="n">
        <f aca="false">IF(I1508="Y",1,0)</f>
        <v>0</v>
      </c>
    </row>
    <row r="1509" customFormat="false" ht="15" hidden="false" customHeight="true" outlineLevel="0" collapsed="false">
      <c r="A1509" s="7" t="s">
        <v>77</v>
      </c>
      <c r="B1509" s="7" t="n">
        <v>1985</v>
      </c>
      <c r="C1509" s="7" t="s">
        <v>379</v>
      </c>
      <c r="D1509" s="7" t="n">
        <v>71</v>
      </c>
      <c r="E1509" s="7" t="n">
        <v>90</v>
      </c>
      <c r="F1509" s="7" t="s">
        <v>546</v>
      </c>
      <c r="G1509" s="7"/>
      <c r="H1509" s="7" t="s">
        <v>546</v>
      </c>
      <c r="I1509" s="7" t="s">
        <v>546</v>
      </c>
      <c r="J1509" s="21" t="n">
        <f aca="false">D1509/(D1509+E1509)</f>
        <v>0.440993788819876</v>
      </c>
      <c r="K1509" s="3" t="n">
        <f aca="false">IF(D1509&gt;E1509,1,0)</f>
        <v>0</v>
      </c>
      <c r="L1509" s="3" t="n">
        <f aca="false">IF(OR(F1509="Y",G1509="Y",H1509="Y"),1,0)</f>
        <v>0</v>
      </c>
      <c r="M1509" s="3" t="n">
        <f aca="false">IF(H1509="Y",1,0)</f>
        <v>0</v>
      </c>
      <c r="N1509" s="3" t="n">
        <f aca="false">IF(I1509="Y",1,0)</f>
        <v>0</v>
      </c>
    </row>
    <row r="1510" customFormat="false" ht="15" hidden="false" customHeight="true" outlineLevel="0" collapsed="false">
      <c r="A1510" s="7" t="s">
        <v>77</v>
      </c>
      <c r="B1510" s="7" t="n">
        <v>1986</v>
      </c>
      <c r="C1510" s="7" t="s">
        <v>379</v>
      </c>
      <c r="D1510" s="7" t="n">
        <v>77</v>
      </c>
      <c r="E1510" s="7" t="n">
        <v>84</v>
      </c>
      <c r="F1510" s="7" t="s">
        <v>546</v>
      </c>
      <c r="G1510" s="7"/>
      <c r="H1510" s="7" t="s">
        <v>546</v>
      </c>
      <c r="I1510" s="7" t="s">
        <v>546</v>
      </c>
      <c r="J1510" s="21" t="n">
        <f aca="false">D1510/(D1510+E1510)</f>
        <v>0.478260869565217</v>
      </c>
      <c r="K1510" s="3" t="n">
        <f aca="false">IF(D1510&gt;E1510,1,0)</f>
        <v>0</v>
      </c>
      <c r="L1510" s="3" t="n">
        <f aca="false">IF(OR(F1510="Y",G1510="Y",H1510="Y"),1,0)</f>
        <v>0</v>
      </c>
      <c r="M1510" s="3" t="n">
        <f aca="false">IF(H1510="Y",1,0)</f>
        <v>0</v>
      </c>
      <c r="N1510" s="3" t="n">
        <f aca="false">IF(I1510="Y",1,0)</f>
        <v>0</v>
      </c>
    </row>
    <row r="1511" customFormat="false" ht="15" hidden="false" customHeight="true" outlineLevel="0" collapsed="false">
      <c r="A1511" s="7" t="s">
        <v>77</v>
      </c>
      <c r="B1511" s="7" t="n">
        <v>1987</v>
      </c>
      <c r="C1511" s="7" t="s">
        <v>379</v>
      </c>
      <c r="D1511" s="7" t="n">
        <v>91</v>
      </c>
      <c r="E1511" s="7" t="n">
        <v>71</v>
      </c>
      <c r="F1511" s="7" t="s">
        <v>546</v>
      </c>
      <c r="G1511" s="7"/>
      <c r="H1511" s="7" t="s">
        <v>546</v>
      </c>
      <c r="I1511" s="7" t="s">
        <v>546</v>
      </c>
      <c r="J1511" s="21" t="n">
        <f aca="false">D1511/(D1511+E1511)</f>
        <v>0.561728395061728</v>
      </c>
      <c r="K1511" s="3" t="n">
        <f aca="false">IF(D1511&gt;E1511,1,0)</f>
        <v>1</v>
      </c>
      <c r="L1511" s="3" t="n">
        <f aca="false">IF(OR(F1511="Y",G1511="Y",H1511="Y"),1,0)</f>
        <v>0</v>
      </c>
      <c r="M1511" s="3" t="n">
        <f aca="false">IF(H1511="Y",1,0)</f>
        <v>0</v>
      </c>
      <c r="N1511" s="3" t="n">
        <f aca="false">IF(I1511="Y",1,0)</f>
        <v>0</v>
      </c>
    </row>
    <row r="1512" customFormat="false" ht="15" hidden="false" customHeight="true" outlineLevel="0" collapsed="false">
      <c r="A1512" s="7" t="s">
        <v>77</v>
      </c>
      <c r="B1512" s="7" t="n">
        <v>1988</v>
      </c>
      <c r="C1512" s="7" t="s">
        <v>379</v>
      </c>
      <c r="D1512" s="7" t="n">
        <v>87</v>
      </c>
      <c r="E1512" s="7" t="n">
        <v>75</v>
      </c>
      <c r="F1512" s="7" t="s">
        <v>546</v>
      </c>
      <c r="G1512" s="7"/>
      <c r="H1512" s="7" t="s">
        <v>546</v>
      </c>
      <c r="I1512" s="7" t="s">
        <v>546</v>
      </c>
      <c r="J1512" s="21" t="n">
        <f aca="false">D1512/(D1512+E1512)</f>
        <v>0.537037037037037</v>
      </c>
      <c r="K1512" s="3" t="n">
        <f aca="false">IF(D1512&gt;E1512,1,0)</f>
        <v>1</v>
      </c>
      <c r="L1512" s="3" t="n">
        <f aca="false">IF(OR(F1512="Y",G1512="Y",H1512="Y"),1,0)</f>
        <v>0</v>
      </c>
      <c r="M1512" s="3" t="n">
        <f aca="false">IF(H1512="Y",1,0)</f>
        <v>0</v>
      </c>
      <c r="N1512" s="3" t="n">
        <f aca="false">IF(I1512="Y",1,0)</f>
        <v>0</v>
      </c>
    </row>
    <row r="1513" customFormat="false" ht="15" hidden="false" customHeight="true" outlineLevel="0" collapsed="false">
      <c r="A1513" s="7" t="s">
        <v>77</v>
      </c>
      <c r="B1513" s="7" t="n">
        <v>1989</v>
      </c>
      <c r="C1513" s="7" t="s">
        <v>379</v>
      </c>
      <c r="D1513" s="7" t="n">
        <v>81</v>
      </c>
      <c r="E1513" s="7" t="n">
        <v>81</v>
      </c>
      <c r="F1513" s="7" t="s">
        <v>546</v>
      </c>
      <c r="G1513" s="7"/>
      <c r="H1513" s="7" t="s">
        <v>546</v>
      </c>
      <c r="I1513" s="7" t="s">
        <v>546</v>
      </c>
      <c r="J1513" s="21" t="n">
        <f aca="false">D1513/(D1513+E1513)</f>
        <v>0.5</v>
      </c>
      <c r="K1513" s="3" t="n">
        <f aca="false">IF(D1513&gt;E1513,1,0)</f>
        <v>0</v>
      </c>
      <c r="L1513" s="3" t="n">
        <f aca="false">IF(OR(F1513="Y",G1513="Y",H1513="Y"),1,0)</f>
        <v>0</v>
      </c>
      <c r="M1513" s="3" t="n">
        <f aca="false">IF(H1513="Y",1,0)</f>
        <v>0</v>
      </c>
      <c r="N1513" s="3" t="n">
        <f aca="false">IF(I1513="Y",1,0)</f>
        <v>0</v>
      </c>
    </row>
    <row r="1514" customFormat="false" ht="15" hidden="false" customHeight="true" outlineLevel="0" collapsed="false">
      <c r="A1514" s="7" t="s">
        <v>77</v>
      </c>
      <c r="B1514" s="7" t="n">
        <v>1990</v>
      </c>
      <c r="C1514" s="7" t="s">
        <v>379</v>
      </c>
      <c r="D1514" s="7" t="n">
        <v>74</v>
      </c>
      <c r="E1514" s="7" t="n">
        <v>88</v>
      </c>
      <c r="F1514" s="7" t="s">
        <v>546</v>
      </c>
      <c r="G1514" s="7"/>
      <c r="H1514" s="7" t="s">
        <v>546</v>
      </c>
      <c r="I1514" s="7" t="s">
        <v>546</v>
      </c>
      <c r="J1514" s="21" t="n">
        <f aca="false">D1514/(D1514+E1514)</f>
        <v>0.45679012345679</v>
      </c>
      <c r="K1514" s="3" t="n">
        <f aca="false">IF(D1514&gt;E1514,1,0)</f>
        <v>0</v>
      </c>
      <c r="L1514" s="3" t="n">
        <f aca="false">IF(OR(F1514="Y",G1514="Y",H1514="Y"),1,0)</f>
        <v>0</v>
      </c>
      <c r="M1514" s="3" t="n">
        <f aca="false">IF(H1514="Y",1,0)</f>
        <v>0</v>
      </c>
      <c r="N1514" s="3" t="n">
        <f aca="false">IF(I1514="Y",1,0)</f>
        <v>0</v>
      </c>
    </row>
    <row r="1515" customFormat="false" ht="15" hidden="false" customHeight="true" outlineLevel="0" collapsed="false">
      <c r="A1515" s="7" t="s">
        <v>77</v>
      </c>
      <c r="B1515" s="7" t="n">
        <v>1991</v>
      </c>
      <c r="C1515" s="7" t="s">
        <v>379</v>
      </c>
      <c r="D1515" s="7" t="n">
        <v>83</v>
      </c>
      <c r="E1515" s="7" t="n">
        <v>79</v>
      </c>
      <c r="F1515" s="7" t="s">
        <v>546</v>
      </c>
      <c r="G1515" s="7"/>
      <c r="H1515" s="7" t="s">
        <v>546</v>
      </c>
      <c r="I1515" s="7" t="s">
        <v>546</v>
      </c>
      <c r="J1515" s="21" t="n">
        <f aca="false">D1515/(D1515+E1515)</f>
        <v>0.512345679012346</v>
      </c>
      <c r="K1515" s="3" t="n">
        <f aca="false">IF(D1515&gt;E1515,1,0)</f>
        <v>1</v>
      </c>
      <c r="L1515" s="3" t="n">
        <f aca="false">IF(OR(F1515="Y",G1515="Y",H1515="Y"),1,0)</f>
        <v>0</v>
      </c>
      <c r="M1515" s="3" t="n">
        <f aca="false">IF(H1515="Y",1,0)</f>
        <v>0</v>
      </c>
      <c r="N1515" s="3" t="n">
        <f aca="false">IF(I1515="Y",1,0)</f>
        <v>0</v>
      </c>
    </row>
    <row r="1516" customFormat="false" ht="15" hidden="false" customHeight="true" outlineLevel="0" collapsed="false">
      <c r="A1516" s="7" t="s">
        <v>77</v>
      </c>
      <c r="B1516" s="7" t="n">
        <v>1992</v>
      </c>
      <c r="C1516" s="7" t="s">
        <v>379</v>
      </c>
      <c r="D1516" s="7" t="n">
        <v>92</v>
      </c>
      <c r="E1516" s="7" t="n">
        <v>70</v>
      </c>
      <c r="F1516" s="7" t="s">
        <v>546</v>
      </c>
      <c r="G1516" s="7"/>
      <c r="H1516" s="7" t="s">
        <v>546</v>
      </c>
      <c r="I1516" s="7" t="s">
        <v>546</v>
      </c>
      <c r="J1516" s="21" t="n">
        <f aca="false">D1516/(D1516+E1516)</f>
        <v>0.567901234567901</v>
      </c>
      <c r="K1516" s="3" t="n">
        <f aca="false">IF(D1516&gt;E1516,1,0)</f>
        <v>1</v>
      </c>
      <c r="L1516" s="3" t="n">
        <f aca="false">IF(OR(F1516="Y",G1516="Y",H1516="Y"),1,0)</f>
        <v>0</v>
      </c>
      <c r="M1516" s="3" t="n">
        <f aca="false">IF(H1516="Y",1,0)</f>
        <v>0</v>
      </c>
      <c r="N1516" s="3" t="n">
        <f aca="false">IF(I1516="Y",1,0)</f>
        <v>0</v>
      </c>
    </row>
    <row r="1517" customFormat="false" ht="15" hidden="false" customHeight="true" outlineLevel="0" collapsed="false">
      <c r="A1517" s="7" t="s">
        <v>77</v>
      </c>
      <c r="B1517" s="7" t="n">
        <v>1993</v>
      </c>
      <c r="C1517" s="7" t="s">
        <v>379</v>
      </c>
      <c r="D1517" s="7" t="n">
        <v>69</v>
      </c>
      <c r="E1517" s="7" t="n">
        <v>93</v>
      </c>
      <c r="F1517" s="7" t="s">
        <v>546</v>
      </c>
      <c r="G1517" s="7"/>
      <c r="H1517" s="7" t="s">
        <v>546</v>
      </c>
      <c r="I1517" s="7" t="s">
        <v>546</v>
      </c>
      <c r="J1517" s="21" t="n">
        <f aca="false">D1517/(D1517+E1517)</f>
        <v>0.425925925925926</v>
      </c>
      <c r="K1517" s="3" t="n">
        <f aca="false">IF(D1517&gt;E1517,1,0)</f>
        <v>0</v>
      </c>
      <c r="L1517" s="3" t="n">
        <f aca="false">IF(OR(F1517="Y",G1517="Y",H1517="Y"),1,0)</f>
        <v>0</v>
      </c>
      <c r="M1517" s="3" t="n">
        <f aca="false">IF(H1517="Y",1,0)</f>
        <v>0</v>
      </c>
      <c r="N1517" s="3" t="n">
        <f aca="false">IF(I1517="Y",1,0)</f>
        <v>0</v>
      </c>
    </row>
    <row r="1518" customFormat="false" ht="15" hidden="false" customHeight="true" outlineLevel="0" collapsed="false">
      <c r="A1518" s="7" t="s">
        <v>77</v>
      </c>
      <c r="B1518" s="7" t="n">
        <v>1994</v>
      </c>
      <c r="C1518" s="7" t="s">
        <v>379</v>
      </c>
      <c r="D1518" s="7" t="n">
        <v>53</v>
      </c>
      <c r="E1518" s="7" t="n">
        <v>62</v>
      </c>
      <c r="F1518" s="7"/>
      <c r="G1518" s="7"/>
      <c r="H1518" s="7"/>
      <c r="I1518" s="7"/>
      <c r="J1518" s="21" t="n">
        <f aca="false">D1518/(D1518+E1518)</f>
        <v>0.460869565217391</v>
      </c>
      <c r="K1518" s="3" t="n">
        <f aca="false">IF(D1518&gt;E1518,1,0)</f>
        <v>0</v>
      </c>
      <c r="L1518" s="3" t="n">
        <f aca="false">IF(OR(F1518="Y",G1518="Y",H1518="Y"),1,0)</f>
        <v>0</v>
      </c>
      <c r="M1518" s="3" t="n">
        <f aca="false">IF(H1518="Y",1,0)</f>
        <v>0</v>
      </c>
      <c r="N1518" s="3" t="n">
        <f aca="false">IF(I1518="Y",1,0)</f>
        <v>0</v>
      </c>
    </row>
    <row r="1519" customFormat="false" ht="15" hidden="false" customHeight="true" outlineLevel="0" collapsed="false">
      <c r="A1519" s="7" t="s">
        <v>77</v>
      </c>
      <c r="B1519" s="7" t="n">
        <v>1995</v>
      </c>
      <c r="C1519" s="7" t="s">
        <v>379</v>
      </c>
      <c r="D1519" s="7" t="n">
        <v>65</v>
      </c>
      <c r="E1519" s="7" t="n">
        <v>79</v>
      </c>
      <c r="F1519" s="7" t="s">
        <v>546</v>
      </c>
      <c r="G1519" s="7" t="s">
        <v>546</v>
      </c>
      <c r="H1519" s="7" t="s">
        <v>546</v>
      </c>
      <c r="I1519" s="7" t="s">
        <v>546</v>
      </c>
      <c r="J1519" s="21" t="n">
        <f aca="false">D1519/(D1519+E1519)</f>
        <v>0.451388888888889</v>
      </c>
      <c r="K1519" s="3" t="n">
        <f aca="false">IF(D1519&gt;E1519,1,0)</f>
        <v>0</v>
      </c>
      <c r="L1519" s="3" t="n">
        <f aca="false">IF(OR(F1519="Y",G1519="Y",H1519="Y"),1,0)</f>
        <v>0</v>
      </c>
      <c r="M1519" s="3" t="n">
        <f aca="false">IF(H1519="Y",1,0)</f>
        <v>0</v>
      </c>
      <c r="N1519" s="3" t="n">
        <f aca="false">IF(I1519="Y",1,0)</f>
        <v>0</v>
      </c>
    </row>
    <row r="1520" customFormat="false" ht="15" hidden="false" customHeight="true" outlineLevel="0" collapsed="false">
      <c r="A1520" s="7" t="s">
        <v>77</v>
      </c>
      <c r="B1520" s="7" t="n">
        <v>1996</v>
      </c>
      <c r="C1520" s="7" t="s">
        <v>379</v>
      </c>
      <c r="D1520" s="7" t="n">
        <v>80</v>
      </c>
      <c r="E1520" s="7" t="n">
        <v>82</v>
      </c>
      <c r="F1520" s="7" t="s">
        <v>546</v>
      </c>
      <c r="G1520" s="7" t="s">
        <v>546</v>
      </c>
      <c r="H1520" s="7" t="s">
        <v>546</v>
      </c>
      <c r="I1520" s="7" t="s">
        <v>546</v>
      </c>
      <c r="J1520" s="21" t="n">
        <f aca="false">D1520/(D1520+E1520)</f>
        <v>0.493827160493827</v>
      </c>
      <c r="K1520" s="3" t="n">
        <f aca="false">IF(D1520&gt;E1520,1,0)</f>
        <v>0</v>
      </c>
      <c r="L1520" s="3" t="n">
        <f aca="false">IF(OR(F1520="Y",G1520="Y",H1520="Y"),1,0)</f>
        <v>0</v>
      </c>
      <c r="M1520" s="3" t="n">
        <f aca="false">IF(H1520="Y",1,0)</f>
        <v>0</v>
      </c>
      <c r="N1520" s="3" t="n">
        <f aca="false">IF(I1520="Y",1,0)</f>
        <v>0</v>
      </c>
    </row>
    <row r="1521" customFormat="false" ht="15" hidden="false" customHeight="true" outlineLevel="0" collapsed="false">
      <c r="A1521" s="7" t="s">
        <v>77</v>
      </c>
      <c r="B1521" s="7" t="n">
        <v>1997</v>
      </c>
      <c r="C1521" s="7" t="s">
        <v>379</v>
      </c>
      <c r="D1521" s="7" t="n">
        <v>78</v>
      </c>
      <c r="E1521" s="7" t="n">
        <v>83</v>
      </c>
      <c r="F1521" s="7" t="s">
        <v>546</v>
      </c>
      <c r="G1521" s="7" t="s">
        <v>546</v>
      </c>
      <c r="H1521" s="7" t="s">
        <v>546</v>
      </c>
      <c r="I1521" s="7" t="s">
        <v>546</v>
      </c>
      <c r="J1521" s="21" t="n">
        <f aca="false">D1521/(D1521+E1521)</f>
        <v>0.484472049689441</v>
      </c>
      <c r="K1521" s="3" t="n">
        <f aca="false">IF(D1521&gt;E1521,1,0)</f>
        <v>0</v>
      </c>
      <c r="L1521" s="3" t="n">
        <f aca="false">IF(OR(F1521="Y",G1521="Y",H1521="Y"),1,0)</f>
        <v>0</v>
      </c>
      <c r="M1521" s="3" t="n">
        <f aca="false">IF(H1521="Y",1,0)</f>
        <v>0</v>
      </c>
      <c r="N1521" s="3" t="n">
        <f aca="false">IF(I1521="Y",1,0)</f>
        <v>0</v>
      </c>
    </row>
    <row r="1522" customFormat="false" ht="15" hidden="false" customHeight="true" outlineLevel="0" collapsed="false">
      <c r="A1522" s="7" t="s">
        <v>77</v>
      </c>
      <c r="B1522" s="7" t="n">
        <v>1998</v>
      </c>
      <c r="C1522" s="7" t="s">
        <v>379</v>
      </c>
      <c r="D1522" s="7" t="n">
        <v>74</v>
      </c>
      <c r="E1522" s="7" t="n">
        <v>88</v>
      </c>
      <c r="F1522" s="7" t="s">
        <v>546</v>
      </c>
      <c r="G1522" s="7" t="s">
        <v>546</v>
      </c>
      <c r="H1522" s="7" t="s">
        <v>546</v>
      </c>
      <c r="I1522" s="7" t="s">
        <v>546</v>
      </c>
      <c r="J1522" s="21" t="n">
        <f aca="false">D1522/(D1522+E1522)</f>
        <v>0.45679012345679</v>
      </c>
      <c r="K1522" s="3" t="n">
        <f aca="false">IF(D1522&gt;E1522,1,0)</f>
        <v>0</v>
      </c>
      <c r="L1522" s="3" t="n">
        <f aca="false">IF(OR(F1522="Y",G1522="Y",H1522="Y"),1,0)</f>
        <v>0</v>
      </c>
      <c r="M1522" s="3" t="n">
        <f aca="false">IF(H1522="Y",1,0)</f>
        <v>0</v>
      </c>
      <c r="N1522" s="3" t="n">
        <f aca="false">IF(I1522="Y",1,0)</f>
        <v>0</v>
      </c>
    </row>
    <row r="1523" customFormat="false" ht="15" hidden="false" customHeight="true" outlineLevel="0" collapsed="false">
      <c r="A1523" s="7" t="s">
        <v>77</v>
      </c>
      <c r="B1523" s="7" t="n">
        <v>1999</v>
      </c>
      <c r="C1523" s="7" t="s">
        <v>379</v>
      </c>
      <c r="D1523" s="7" t="n">
        <v>74</v>
      </c>
      <c r="E1523" s="7" t="n">
        <v>87</v>
      </c>
      <c r="F1523" s="7" t="s">
        <v>546</v>
      </c>
      <c r="G1523" s="7" t="s">
        <v>546</v>
      </c>
      <c r="H1523" s="7" t="s">
        <v>546</v>
      </c>
      <c r="I1523" s="7" t="s">
        <v>546</v>
      </c>
      <c r="J1523" s="21" t="n">
        <f aca="false">D1523/(D1523+E1523)</f>
        <v>0.459627329192547</v>
      </c>
      <c r="K1523" s="3" t="n">
        <f aca="false">IF(D1523&gt;E1523,1,0)</f>
        <v>0</v>
      </c>
      <c r="L1523" s="3" t="n">
        <f aca="false">IF(OR(F1523="Y",G1523="Y",H1523="Y"),1,0)</f>
        <v>0</v>
      </c>
      <c r="M1523" s="3" t="n">
        <f aca="false">IF(H1523="Y",1,0)</f>
        <v>0</v>
      </c>
      <c r="N1523" s="3" t="n">
        <f aca="false">IF(I1523="Y",1,0)</f>
        <v>0</v>
      </c>
    </row>
    <row r="1524" customFormat="false" ht="15" hidden="false" customHeight="true" outlineLevel="0" collapsed="false">
      <c r="A1524" s="7" t="s">
        <v>77</v>
      </c>
      <c r="B1524" s="7" t="n">
        <v>2000</v>
      </c>
      <c r="C1524" s="7" t="s">
        <v>379</v>
      </c>
      <c r="D1524" s="7" t="n">
        <v>73</v>
      </c>
      <c r="E1524" s="7" t="n">
        <v>89</v>
      </c>
      <c r="F1524" s="7" t="s">
        <v>546</v>
      </c>
      <c r="G1524" s="7" t="s">
        <v>546</v>
      </c>
      <c r="H1524" s="7" t="s">
        <v>546</v>
      </c>
      <c r="I1524" s="7" t="s">
        <v>546</v>
      </c>
      <c r="J1524" s="21" t="n">
        <f aca="false">D1524/(D1524+E1524)</f>
        <v>0.450617283950617</v>
      </c>
      <c r="K1524" s="3" t="n">
        <f aca="false">IF(D1524&gt;E1524,1,0)</f>
        <v>0</v>
      </c>
      <c r="L1524" s="3" t="n">
        <f aca="false">IF(OR(F1524="Y",G1524="Y",H1524="Y"),1,0)</f>
        <v>0</v>
      </c>
      <c r="M1524" s="3" t="n">
        <f aca="false">IF(H1524="Y",1,0)</f>
        <v>0</v>
      </c>
      <c r="N1524" s="3" t="n">
        <f aca="false">IF(I1524="Y",1,0)</f>
        <v>0</v>
      </c>
    </row>
    <row r="1525" customFormat="false" ht="15" hidden="false" customHeight="true" outlineLevel="0" collapsed="false">
      <c r="A1525" s="7" t="s">
        <v>77</v>
      </c>
      <c r="B1525" s="7" t="n">
        <v>2001</v>
      </c>
      <c r="C1525" s="7" t="s">
        <v>379</v>
      </c>
      <c r="D1525" s="7" t="n">
        <v>68</v>
      </c>
      <c r="E1525" s="7" t="n">
        <v>94</v>
      </c>
      <c r="F1525" s="7" t="s">
        <v>546</v>
      </c>
      <c r="G1525" s="7" t="s">
        <v>546</v>
      </c>
      <c r="H1525" s="7" t="s">
        <v>546</v>
      </c>
      <c r="I1525" s="7" t="s">
        <v>546</v>
      </c>
      <c r="J1525" s="21" t="n">
        <f aca="false">D1525/(D1525+E1525)</f>
        <v>0.419753086419753</v>
      </c>
      <c r="K1525" s="3" t="n">
        <f aca="false">IF(D1525&gt;E1525,1,0)</f>
        <v>0</v>
      </c>
      <c r="L1525" s="3" t="n">
        <f aca="false">IF(OR(F1525="Y",G1525="Y",H1525="Y"),1,0)</f>
        <v>0</v>
      </c>
      <c r="M1525" s="3" t="n">
        <f aca="false">IF(H1525="Y",1,0)</f>
        <v>0</v>
      </c>
      <c r="N1525" s="3" t="n">
        <f aca="false">IF(I1525="Y",1,0)</f>
        <v>0</v>
      </c>
    </row>
    <row r="1526" customFormat="false" ht="15" hidden="false" customHeight="true" outlineLevel="0" collapsed="false">
      <c r="A1526" s="7" t="s">
        <v>77</v>
      </c>
      <c r="B1526" s="7" t="n">
        <v>2002</v>
      </c>
      <c r="C1526" s="7" t="s">
        <v>379</v>
      </c>
      <c r="D1526" s="7" t="n">
        <v>56</v>
      </c>
      <c r="E1526" s="7" t="n">
        <v>106</v>
      </c>
      <c r="F1526" s="7" t="s">
        <v>546</v>
      </c>
      <c r="G1526" s="7" t="s">
        <v>546</v>
      </c>
      <c r="H1526" s="7" t="s">
        <v>546</v>
      </c>
      <c r="I1526" s="7" t="s">
        <v>546</v>
      </c>
      <c r="J1526" s="21" t="n">
        <f aca="false">D1526/(D1526+E1526)</f>
        <v>0.345679012345679</v>
      </c>
      <c r="K1526" s="3" t="n">
        <f aca="false">IF(D1526&gt;E1526,1,0)</f>
        <v>0</v>
      </c>
      <c r="L1526" s="3" t="n">
        <f aca="false">IF(OR(F1526="Y",G1526="Y",H1526="Y"),1,0)</f>
        <v>0</v>
      </c>
      <c r="M1526" s="3" t="n">
        <f aca="false">IF(H1526="Y",1,0)</f>
        <v>0</v>
      </c>
      <c r="N1526" s="3" t="n">
        <f aca="false">IF(I1526="Y",1,0)</f>
        <v>0</v>
      </c>
    </row>
    <row r="1527" customFormat="false" ht="15" hidden="false" customHeight="true" outlineLevel="0" collapsed="false">
      <c r="A1527" s="7" t="s">
        <v>77</v>
      </c>
      <c r="B1527" s="7" t="n">
        <v>2003</v>
      </c>
      <c r="C1527" s="7" t="s">
        <v>379</v>
      </c>
      <c r="D1527" s="7" t="n">
        <v>68</v>
      </c>
      <c r="E1527" s="7" t="n">
        <v>94</v>
      </c>
      <c r="F1527" s="7" t="s">
        <v>546</v>
      </c>
      <c r="G1527" s="7" t="s">
        <v>546</v>
      </c>
      <c r="H1527" s="7" t="s">
        <v>546</v>
      </c>
      <c r="I1527" s="7" t="s">
        <v>546</v>
      </c>
      <c r="J1527" s="21" t="n">
        <f aca="false">D1527/(D1527+E1527)</f>
        <v>0.419753086419753</v>
      </c>
      <c r="K1527" s="3" t="n">
        <f aca="false">IF(D1527&gt;E1527,1,0)</f>
        <v>0</v>
      </c>
      <c r="L1527" s="3" t="n">
        <f aca="false">IF(OR(F1527="Y",G1527="Y",H1527="Y"),1,0)</f>
        <v>0</v>
      </c>
      <c r="M1527" s="3" t="n">
        <f aca="false">IF(H1527="Y",1,0)</f>
        <v>0</v>
      </c>
      <c r="N1527" s="3" t="n">
        <f aca="false">IF(I1527="Y",1,0)</f>
        <v>0</v>
      </c>
    </row>
    <row r="1528" customFormat="false" ht="15" hidden="false" customHeight="true" outlineLevel="0" collapsed="false">
      <c r="A1528" s="7" t="s">
        <v>77</v>
      </c>
      <c r="B1528" s="7" t="n">
        <v>2004</v>
      </c>
      <c r="C1528" s="7" t="s">
        <v>379</v>
      </c>
      <c r="D1528" s="7" t="n">
        <v>67</v>
      </c>
      <c r="E1528" s="7" t="n">
        <v>94</v>
      </c>
      <c r="F1528" s="7" t="s">
        <v>546</v>
      </c>
      <c r="G1528" s="7" t="s">
        <v>546</v>
      </c>
      <c r="H1528" s="7" t="s">
        <v>546</v>
      </c>
      <c r="I1528" s="7" t="s">
        <v>546</v>
      </c>
      <c r="J1528" s="21" t="n">
        <f aca="false">D1528/(D1528+E1528)</f>
        <v>0.416149068322981</v>
      </c>
      <c r="K1528" s="3" t="n">
        <f aca="false">IF(D1528&gt;E1528,1,0)</f>
        <v>0</v>
      </c>
      <c r="L1528" s="3" t="n">
        <f aca="false">IF(OR(F1528="Y",G1528="Y",H1528="Y"),1,0)</f>
        <v>0</v>
      </c>
      <c r="M1528" s="3" t="n">
        <f aca="false">IF(H1528="Y",1,0)</f>
        <v>0</v>
      </c>
      <c r="N1528" s="3" t="n">
        <f aca="false">IF(I1528="Y",1,0)</f>
        <v>0</v>
      </c>
    </row>
    <row r="1529" customFormat="false" ht="15" hidden="false" customHeight="true" outlineLevel="0" collapsed="false">
      <c r="A1529" s="7" t="s">
        <v>77</v>
      </c>
      <c r="B1529" s="7" t="n">
        <v>2005</v>
      </c>
      <c r="C1529" s="7" t="s">
        <v>379</v>
      </c>
      <c r="D1529" s="7" t="n">
        <v>81</v>
      </c>
      <c r="E1529" s="7" t="n">
        <v>81</v>
      </c>
      <c r="F1529" s="7" t="s">
        <v>546</v>
      </c>
      <c r="G1529" s="7" t="s">
        <v>546</v>
      </c>
      <c r="H1529" s="7" t="s">
        <v>546</v>
      </c>
      <c r="I1529" s="7" t="s">
        <v>546</v>
      </c>
      <c r="J1529" s="21" t="n">
        <f aca="false">D1529/(D1529+E1529)</f>
        <v>0.5</v>
      </c>
      <c r="K1529" s="3" t="n">
        <f aca="false">IF(D1529&gt;E1529,1,0)</f>
        <v>0</v>
      </c>
      <c r="L1529" s="3" t="n">
        <f aca="false">IF(OR(F1529="Y",G1529="Y",H1529="Y"),1,0)</f>
        <v>0</v>
      </c>
      <c r="M1529" s="3" t="n">
        <f aca="false">IF(H1529="Y",1,0)</f>
        <v>0</v>
      </c>
      <c r="N1529" s="3" t="n">
        <f aca="false">IF(I1529="Y",1,0)</f>
        <v>0</v>
      </c>
    </row>
    <row r="1530" customFormat="false" ht="15" hidden="false" customHeight="true" outlineLevel="0" collapsed="false">
      <c r="A1530" s="7" t="s">
        <v>77</v>
      </c>
      <c r="B1530" s="7" t="n">
        <v>2006</v>
      </c>
      <c r="C1530" s="7" t="s">
        <v>379</v>
      </c>
      <c r="D1530" s="7" t="n">
        <v>75</v>
      </c>
      <c r="E1530" s="7" t="n">
        <v>87</v>
      </c>
      <c r="F1530" s="7" t="s">
        <v>546</v>
      </c>
      <c r="G1530" s="7" t="s">
        <v>546</v>
      </c>
      <c r="H1530" s="7" t="s">
        <v>546</v>
      </c>
      <c r="I1530" s="7" t="s">
        <v>546</v>
      </c>
      <c r="J1530" s="21" t="n">
        <f aca="false">D1530/(D1530+E1530)</f>
        <v>0.462962962962963</v>
      </c>
      <c r="K1530" s="3" t="n">
        <f aca="false">IF(D1530&gt;E1530,1,0)</f>
        <v>0</v>
      </c>
      <c r="L1530" s="3" t="n">
        <f aca="false">IF(OR(F1530="Y",G1530="Y",H1530="Y"),1,0)</f>
        <v>0</v>
      </c>
      <c r="M1530" s="3" t="n">
        <f aca="false">IF(H1530="Y",1,0)</f>
        <v>0</v>
      </c>
      <c r="N1530" s="3" t="n">
        <f aca="false">IF(I1530="Y",1,0)</f>
        <v>0</v>
      </c>
    </row>
    <row r="1531" customFormat="false" ht="15" hidden="false" customHeight="true" outlineLevel="0" collapsed="false">
      <c r="A1531" s="7" t="s">
        <v>77</v>
      </c>
      <c r="B1531" s="7" t="n">
        <v>2007</v>
      </c>
      <c r="C1531" s="7" t="s">
        <v>379</v>
      </c>
      <c r="D1531" s="7" t="n">
        <v>83</v>
      </c>
      <c r="E1531" s="7" t="n">
        <v>79</v>
      </c>
      <c r="F1531" s="7" t="s">
        <v>546</v>
      </c>
      <c r="G1531" s="7" t="s">
        <v>546</v>
      </c>
      <c r="H1531" s="7" t="s">
        <v>546</v>
      </c>
      <c r="I1531" s="7" t="s">
        <v>546</v>
      </c>
      <c r="J1531" s="21" t="n">
        <f aca="false">D1531/(D1531+E1531)</f>
        <v>0.512345679012346</v>
      </c>
      <c r="K1531" s="3" t="n">
        <f aca="false">IF(D1531&gt;E1531,1,0)</f>
        <v>1</v>
      </c>
      <c r="L1531" s="3" t="n">
        <f aca="false">IF(OR(F1531="Y",G1531="Y",H1531="Y"),1,0)</f>
        <v>0</v>
      </c>
      <c r="M1531" s="3" t="n">
        <f aca="false">IF(H1531="Y",1,0)</f>
        <v>0</v>
      </c>
      <c r="N1531" s="3" t="n">
        <f aca="false">IF(I1531="Y",1,0)</f>
        <v>0</v>
      </c>
    </row>
    <row r="1532" customFormat="false" ht="15" hidden="false" customHeight="true" outlineLevel="0" collapsed="false">
      <c r="A1532" s="7" t="s">
        <v>77</v>
      </c>
      <c r="B1532" s="7" t="n">
        <v>2008</v>
      </c>
      <c r="C1532" s="7" t="s">
        <v>379</v>
      </c>
      <c r="D1532" s="7" t="n">
        <v>90</v>
      </c>
      <c r="E1532" s="7" t="n">
        <v>72</v>
      </c>
      <c r="F1532" s="7" t="s">
        <v>546</v>
      </c>
      <c r="G1532" s="7" t="s">
        <v>548</v>
      </c>
      <c r="H1532" s="7" t="s">
        <v>546</v>
      </c>
      <c r="I1532" s="7" t="s">
        <v>546</v>
      </c>
      <c r="J1532" s="21" t="n">
        <f aca="false">D1532/(D1532+E1532)</f>
        <v>0.555555555555556</v>
      </c>
      <c r="K1532" s="3" t="n">
        <f aca="false">IF(D1532&gt;E1532,1,0)</f>
        <v>1</v>
      </c>
      <c r="L1532" s="3" t="n">
        <f aca="false">IF(OR(F1532="Y",G1532="Y",H1532="Y"),1,0)</f>
        <v>1</v>
      </c>
      <c r="M1532" s="3" t="n">
        <f aca="false">IF(H1532="Y",1,0)</f>
        <v>0</v>
      </c>
      <c r="N1532" s="3" t="n">
        <f aca="false">IF(I1532="Y",1,0)</f>
        <v>0</v>
      </c>
    </row>
    <row r="1533" customFormat="false" ht="15" hidden="false" customHeight="true" outlineLevel="0" collapsed="false">
      <c r="A1533" s="7" t="s">
        <v>77</v>
      </c>
      <c r="B1533" s="7" t="n">
        <v>2009</v>
      </c>
      <c r="C1533" s="7" t="s">
        <v>379</v>
      </c>
      <c r="D1533" s="7" t="n">
        <v>80</v>
      </c>
      <c r="E1533" s="7" t="n">
        <v>82</v>
      </c>
      <c r="F1533" s="7" t="s">
        <v>546</v>
      </c>
      <c r="G1533" s="7" t="s">
        <v>546</v>
      </c>
      <c r="H1533" s="7" t="s">
        <v>546</v>
      </c>
      <c r="I1533" s="7" t="s">
        <v>546</v>
      </c>
      <c r="J1533" s="21" t="n">
        <f aca="false">D1533/(D1533+E1533)</f>
        <v>0.493827160493827</v>
      </c>
      <c r="K1533" s="3" t="n">
        <f aca="false">IF(D1533&gt;E1533,1,0)</f>
        <v>0</v>
      </c>
      <c r="L1533" s="3" t="n">
        <f aca="false">IF(OR(F1533="Y",G1533="Y",H1533="Y"),1,0)</f>
        <v>0</v>
      </c>
      <c r="M1533" s="3" t="n">
        <f aca="false">IF(H1533="Y",1,0)</f>
        <v>0</v>
      </c>
      <c r="N1533" s="3" t="n">
        <f aca="false">IF(I1533="Y",1,0)</f>
        <v>0</v>
      </c>
    </row>
    <row r="1534" customFormat="false" ht="15" hidden="false" customHeight="true" outlineLevel="0" collapsed="false">
      <c r="A1534" s="7" t="s">
        <v>77</v>
      </c>
      <c r="B1534" s="7" t="n">
        <v>2010</v>
      </c>
      <c r="C1534" s="7" t="s">
        <v>379</v>
      </c>
      <c r="D1534" s="7" t="n">
        <v>77</v>
      </c>
      <c r="E1534" s="7" t="n">
        <v>85</v>
      </c>
      <c r="F1534" s="7" t="s">
        <v>546</v>
      </c>
      <c r="G1534" s="7" t="s">
        <v>546</v>
      </c>
      <c r="H1534" s="7" t="s">
        <v>546</v>
      </c>
      <c r="I1534" s="7" t="s">
        <v>546</v>
      </c>
      <c r="J1534" s="21" t="n">
        <f aca="false">D1534/(D1534+E1534)</f>
        <v>0.475308641975309</v>
      </c>
      <c r="K1534" s="3" t="n">
        <f aca="false">IF(D1534&gt;E1534,1,0)</f>
        <v>0</v>
      </c>
      <c r="L1534" s="3" t="n">
        <f aca="false">IF(OR(F1534="Y",G1534="Y",H1534="Y"),1,0)</f>
        <v>0</v>
      </c>
      <c r="M1534" s="3" t="n">
        <f aca="false">IF(H1534="Y",1,0)</f>
        <v>0</v>
      </c>
      <c r="N1534" s="3" t="n">
        <f aca="false">IF(I1534="Y",1,0)</f>
        <v>0</v>
      </c>
    </row>
    <row r="1535" customFormat="false" ht="15" hidden="false" customHeight="true" outlineLevel="0" collapsed="false">
      <c r="A1535" s="7" t="s">
        <v>77</v>
      </c>
      <c r="B1535" s="7" t="n">
        <v>2011</v>
      </c>
      <c r="C1535" s="7" t="s">
        <v>379</v>
      </c>
      <c r="D1535" s="7" t="n">
        <v>96</v>
      </c>
      <c r="E1535" s="7" t="n">
        <v>66</v>
      </c>
      <c r="F1535" s="7" t="s">
        <v>548</v>
      </c>
      <c r="G1535" s="7" t="s">
        <v>546</v>
      </c>
      <c r="H1535" s="7" t="s">
        <v>546</v>
      </c>
      <c r="I1535" s="7" t="s">
        <v>546</v>
      </c>
      <c r="J1535" s="21" t="n">
        <f aca="false">D1535/(D1535+E1535)</f>
        <v>0.592592592592593</v>
      </c>
      <c r="K1535" s="3" t="n">
        <f aca="false">IF(D1535&gt;E1535,1,0)</f>
        <v>1</v>
      </c>
      <c r="L1535" s="3" t="n">
        <f aca="false">IF(OR(F1535="Y",G1535="Y",H1535="Y"),1,0)</f>
        <v>1</v>
      </c>
      <c r="M1535" s="3" t="n">
        <f aca="false">IF(H1535="Y",1,0)</f>
        <v>0</v>
      </c>
      <c r="N1535" s="3" t="n">
        <f aca="false">IF(I1535="Y",1,0)</f>
        <v>0</v>
      </c>
    </row>
    <row r="1536" customFormat="false" ht="15" hidden="false" customHeight="true" outlineLevel="0" collapsed="false">
      <c r="A1536" s="7" t="s">
        <v>77</v>
      </c>
      <c r="B1536" s="7" t="n">
        <v>2012</v>
      </c>
      <c r="C1536" s="7" t="s">
        <v>379</v>
      </c>
      <c r="D1536" s="7" t="n">
        <v>83</v>
      </c>
      <c r="E1536" s="7" t="n">
        <v>79</v>
      </c>
      <c r="F1536" s="7" t="s">
        <v>546</v>
      </c>
      <c r="G1536" s="7" t="s">
        <v>546</v>
      </c>
      <c r="H1536" s="7" t="s">
        <v>546</v>
      </c>
      <c r="I1536" s="7" t="s">
        <v>546</v>
      </c>
      <c r="J1536" s="21" t="n">
        <f aca="false">D1536/(D1536+E1536)</f>
        <v>0.512345679012346</v>
      </c>
      <c r="K1536" s="3" t="n">
        <f aca="false">IF(D1536&gt;E1536,1,0)</f>
        <v>1</v>
      </c>
      <c r="L1536" s="3" t="n">
        <f aca="false">IF(OR(F1536="Y",G1536="Y",H1536="Y"),1,0)</f>
        <v>0</v>
      </c>
      <c r="M1536" s="3" t="n">
        <f aca="false">IF(H1536="Y",1,0)</f>
        <v>0</v>
      </c>
      <c r="N1536" s="3" t="n">
        <f aca="false">IF(I1536="Y",1,0)</f>
        <v>0</v>
      </c>
    </row>
    <row r="1537" customFormat="false" ht="15" hidden="false" customHeight="true" outlineLevel="0" collapsed="false">
      <c r="A1537" s="7" t="s">
        <v>77</v>
      </c>
      <c r="B1537" s="7" t="n">
        <v>2013</v>
      </c>
      <c r="C1537" s="7" t="s">
        <v>379</v>
      </c>
      <c r="D1537" s="7" t="n">
        <v>74</v>
      </c>
      <c r="E1537" s="7" t="n">
        <v>88</v>
      </c>
      <c r="F1537" s="7" t="s">
        <v>546</v>
      </c>
      <c r="G1537" s="7" t="s">
        <v>546</v>
      </c>
      <c r="H1537" s="7" t="s">
        <v>546</v>
      </c>
      <c r="I1537" s="7" t="s">
        <v>546</v>
      </c>
      <c r="J1537" s="21" t="n">
        <f aca="false">D1537/(D1537+E1537)</f>
        <v>0.45679012345679</v>
      </c>
      <c r="K1537" s="3" t="n">
        <f aca="false">IF(D1537&gt;E1537,1,0)</f>
        <v>0</v>
      </c>
      <c r="L1537" s="3" t="n">
        <f aca="false">IF(OR(F1537="Y",G1537="Y",H1537="Y"),1,0)</f>
        <v>0</v>
      </c>
      <c r="M1537" s="3" t="n">
        <f aca="false">IF(H1537="Y",1,0)</f>
        <v>0</v>
      </c>
      <c r="N1537" s="3" t="n">
        <f aca="false">IF(I1537="Y",1,0)</f>
        <v>0</v>
      </c>
    </row>
    <row r="1538" customFormat="false" ht="15" hidden="false" customHeight="true" outlineLevel="0" collapsed="false">
      <c r="A1538" s="7" t="s">
        <v>77</v>
      </c>
      <c r="B1538" s="7" t="n">
        <v>2014</v>
      </c>
      <c r="C1538" s="7" t="s">
        <v>379</v>
      </c>
      <c r="D1538" s="7" t="n">
        <v>82</v>
      </c>
      <c r="E1538" s="7" t="n">
        <v>80</v>
      </c>
      <c r="F1538" s="7" t="s">
        <v>546</v>
      </c>
      <c r="G1538" s="7" t="s">
        <v>546</v>
      </c>
      <c r="H1538" s="7" t="s">
        <v>546</v>
      </c>
      <c r="I1538" s="7" t="s">
        <v>546</v>
      </c>
      <c r="J1538" s="21" t="n">
        <f aca="false">D1538/(D1538+E1538)</f>
        <v>0.506172839506173</v>
      </c>
      <c r="K1538" s="3" t="n">
        <f aca="false">IF(D1538&gt;E1538,1,0)</f>
        <v>1</v>
      </c>
      <c r="L1538" s="3" t="n">
        <f aca="false">IF(OR(F1538="Y",G1538="Y",H1538="Y"),1,0)</f>
        <v>0</v>
      </c>
      <c r="M1538" s="3" t="n">
        <f aca="false">IF(H1538="Y",1,0)</f>
        <v>0</v>
      </c>
      <c r="N1538" s="3" t="n">
        <f aca="false">IF(I1538="Y",1,0)</f>
        <v>0</v>
      </c>
    </row>
    <row r="1539" customFormat="false" ht="15" hidden="false" customHeight="true" outlineLevel="0" collapsed="false">
      <c r="A1539" s="7" t="s">
        <v>77</v>
      </c>
      <c r="B1539" s="7" t="n">
        <v>2015</v>
      </c>
      <c r="C1539" s="7" t="s">
        <v>379</v>
      </c>
      <c r="D1539" s="7" t="n">
        <v>68</v>
      </c>
      <c r="E1539" s="7" t="n">
        <v>94</v>
      </c>
      <c r="F1539" s="7" t="s">
        <v>546</v>
      </c>
      <c r="G1539" s="7" t="s">
        <v>546</v>
      </c>
      <c r="H1539" s="7" t="s">
        <v>546</v>
      </c>
      <c r="I1539" s="7" t="s">
        <v>546</v>
      </c>
      <c r="J1539" s="21" t="n">
        <f aca="false">D1539/(D1539+E1539)</f>
        <v>0.419753086419753</v>
      </c>
      <c r="K1539" s="3" t="n">
        <f aca="false">IF(D1539&gt;E1539,1,0)</f>
        <v>0</v>
      </c>
      <c r="L1539" s="3" t="n">
        <f aca="false">IF(OR(F1539="Y",G1539="Y",H1539="Y"),1,0)</f>
        <v>0</v>
      </c>
      <c r="M1539" s="3" t="n">
        <f aca="false">IF(H1539="Y",1,0)</f>
        <v>0</v>
      </c>
      <c r="N1539" s="3" t="n">
        <f aca="false">IF(I1539="Y",1,0)</f>
        <v>0</v>
      </c>
    </row>
    <row r="1540" customFormat="false" ht="15" hidden="false" customHeight="true" outlineLevel="0" collapsed="false">
      <c r="A1540" s="7" t="s">
        <v>77</v>
      </c>
      <c r="B1540" s="7" t="n">
        <v>2016</v>
      </c>
      <c r="C1540" s="7" t="s">
        <v>379</v>
      </c>
      <c r="D1540" s="7" t="n">
        <v>73</v>
      </c>
      <c r="E1540" s="7" t="n">
        <v>89</v>
      </c>
      <c r="F1540" s="7" t="s">
        <v>546</v>
      </c>
      <c r="G1540" s="7" t="s">
        <v>546</v>
      </c>
      <c r="H1540" s="7" t="s">
        <v>546</v>
      </c>
      <c r="I1540" s="7" t="s">
        <v>546</v>
      </c>
      <c r="J1540" s="21" t="n">
        <f aca="false">D1540/(D1540+E1540)</f>
        <v>0.450617283950617</v>
      </c>
      <c r="K1540" s="3" t="n">
        <f aca="false">IF(D1540&gt;E1540,1,0)</f>
        <v>0</v>
      </c>
      <c r="L1540" s="3" t="n">
        <f aca="false">IF(OR(F1540="Y",G1540="Y",H1540="Y"),1,0)</f>
        <v>0</v>
      </c>
      <c r="M1540" s="3" t="n">
        <f aca="false">IF(H1540="Y",1,0)</f>
        <v>0</v>
      </c>
      <c r="N1540" s="3" t="n">
        <f aca="false">IF(I1540="Y",1,0)</f>
        <v>0</v>
      </c>
    </row>
    <row r="1541" customFormat="false" ht="15" hidden="false" customHeight="true" outlineLevel="0" collapsed="false">
      <c r="A1541" s="7" t="s">
        <v>77</v>
      </c>
      <c r="B1541" s="7" t="n">
        <v>2017</v>
      </c>
      <c r="C1541" s="7" t="s">
        <v>379</v>
      </c>
      <c r="D1541" s="7" t="n">
        <v>86</v>
      </c>
      <c r="E1541" s="7" t="n">
        <v>76</v>
      </c>
      <c r="F1541" s="7" t="s">
        <v>546</v>
      </c>
      <c r="G1541" s="7" t="s">
        <v>546</v>
      </c>
      <c r="H1541" s="7" t="s">
        <v>546</v>
      </c>
      <c r="I1541" s="7" t="s">
        <v>546</v>
      </c>
      <c r="J1541" s="21" t="n">
        <f aca="false">D1541/(D1541+E1541)</f>
        <v>0.530864197530864</v>
      </c>
      <c r="K1541" s="3" t="n">
        <f aca="false">IF(D1541&gt;E1541,1,0)</f>
        <v>1</v>
      </c>
      <c r="L1541" s="3" t="n">
        <f aca="false">IF(OR(F1541="Y",G1541="Y",H1541="Y"),1,0)</f>
        <v>0</v>
      </c>
      <c r="M1541" s="3" t="n">
        <f aca="false">IF(H1541="Y",1,0)</f>
        <v>0</v>
      </c>
      <c r="N1541" s="3" t="n">
        <f aca="false">IF(I1541="Y",1,0)</f>
        <v>0</v>
      </c>
    </row>
    <row r="1542" customFormat="false" ht="15" hidden="false" customHeight="true" outlineLevel="0" collapsed="false">
      <c r="A1542" s="7" t="s">
        <v>77</v>
      </c>
      <c r="B1542" s="7" t="n">
        <v>2018</v>
      </c>
      <c r="C1542" s="7" t="s">
        <v>379</v>
      </c>
      <c r="D1542" s="7" t="n">
        <v>96</v>
      </c>
      <c r="E1542" s="7" t="n">
        <v>67</v>
      </c>
      <c r="F1542" s="7" t="s">
        <v>548</v>
      </c>
      <c r="G1542" s="7" t="s">
        <v>546</v>
      </c>
      <c r="H1542" s="7" t="s">
        <v>546</v>
      </c>
      <c r="I1542" s="7" t="s">
        <v>546</v>
      </c>
      <c r="J1542" s="21" t="n">
        <f aca="false">D1542/(D1542+E1542)</f>
        <v>0.588957055214724</v>
      </c>
      <c r="K1542" s="3" t="n">
        <f aca="false">IF(D1542&gt;E1542,1,0)</f>
        <v>1</v>
      </c>
      <c r="L1542" s="3" t="n">
        <f aca="false">IF(OR(F1542="Y",G1542="Y",H1542="Y"),1,0)</f>
        <v>1</v>
      </c>
      <c r="M1542" s="3" t="n">
        <f aca="false">IF(H1542="Y",1,0)</f>
        <v>0</v>
      </c>
      <c r="N1542" s="3" t="n">
        <f aca="false">IF(I1542="Y",1,0)</f>
        <v>0</v>
      </c>
    </row>
    <row r="1543" customFormat="false" ht="15" hidden="false" customHeight="true" outlineLevel="0" collapsed="false">
      <c r="A1543" s="7" t="s">
        <v>77</v>
      </c>
      <c r="B1543" s="7" t="n">
        <v>2019</v>
      </c>
      <c r="C1543" s="7" t="s">
        <v>379</v>
      </c>
      <c r="D1543" s="7" t="n">
        <v>89</v>
      </c>
      <c r="E1543" s="7" t="n">
        <v>73</v>
      </c>
      <c r="F1543" s="7" t="s">
        <v>546</v>
      </c>
      <c r="G1543" s="7" t="s">
        <v>548</v>
      </c>
      <c r="H1543" s="7" t="s">
        <v>546</v>
      </c>
      <c r="I1543" s="7" t="s">
        <v>546</v>
      </c>
      <c r="J1543" s="21" t="n">
        <f aca="false">D1543/(D1543+E1543)</f>
        <v>0.549382716049383</v>
      </c>
      <c r="K1543" s="3" t="n">
        <f aca="false">IF(D1543&gt;E1543,1,0)</f>
        <v>1</v>
      </c>
      <c r="L1543" s="3" t="n">
        <f aca="false">IF(OR(F1543="Y",G1543="Y",H1543="Y"),1,0)</f>
        <v>1</v>
      </c>
      <c r="M1543" s="3" t="n">
        <f aca="false">IF(H1543="Y",1,0)</f>
        <v>0</v>
      </c>
      <c r="N1543" s="3" t="n">
        <f aca="false">IF(I1543="Y",1,0)</f>
        <v>0</v>
      </c>
    </row>
    <row r="1544" customFormat="false" ht="15" hidden="false" customHeight="true" outlineLevel="0" collapsed="false">
      <c r="A1544" s="7" t="s">
        <v>77</v>
      </c>
      <c r="B1544" s="7" t="n">
        <v>2020</v>
      </c>
      <c r="C1544" s="7" t="s">
        <v>379</v>
      </c>
      <c r="D1544" s="7" t="n">
        <v>29</v>
      </c>
      <c r="E1544" s="7" t="n">
        <v>31</v>
      </c>
      <c r="F1544" s="7" t="s">
        <v>546</v>
      </c>
      <c r="G1544" s="7" t="s">
        <v>548</v>
      </c>
      <c r="H1544" s="7" t="s">
        <v>546</v>
      </c>
      <c r="I1544" s="7" t="s">
        <v>546</v>
      </c>
      <c r="J1544" s="21" t="n">
        <f aca="false">D1544/(D1544+E1544)</f>
        <v>0.483333333333333</v>
      </c>
      <c r="K1544" s="3" t="n">
        <f aca="false">IF(D1544&gt;E1544,1,0)</f>
        <v>0</v>
      </c>
      <c r="L1544" s="3" t="n">
        <f aca="false">IF(OR(F1544="Y",G1544="Y",H1544="Y"),1,0)</f>
        <v>1</v>
      </c>
      <c r="M1544" s="3" t="n">
        <f aca="false">IF(H1544="Y",1,0)</f>
        <v>0</v>
      </c>
      <c r="N1544" s="3" t="n">
        <f aca="false">IF(I1544="Y",1,0)</f>
        <v>0</v>
      </c>
    </row>
    <row r="1545" customFormat="false" ht="15" hidden="false" customHeight="true" outlineLevel="0" collapsed="false">
      <c r="A1545" s="7" t="s">
        <v>77</v>
      </c>
      <c r="B1545" s="7" t="n">
        <v>2021</v>
      </c>
      <c r="C1545" s="7" t="s">
        <v>379</v>
      </c>
      <c r="D1545" s="7" t="n">
        <v>95</v>
      </c>
      <c r="E1545" s="7" t="n">
        <v>67</v>
      </c>
      <c r="F1545" s="7" t="s">
        <v>548</v>
      </c>
      <c r="G1545" s="7" t="s">
        <v>546</v>
      </c>
      <c r="H1545" s="7" t="s">
        <v>546</v>
      </c>
      <c r="I1545" s="7" t="s">
        <v>546</v>
      </c>
      <c r="J1545" s="21" t="n">
        <f aca="false">D1545/(D1545+E1545)</f>
        <v>0.58641975308642</v>
      </c>
      <c r="K1545" s="3" t="n">
        <f aca="false">IF(D1545&gt;E1545,1,0)</f>
        <v>1</v>
      </c>
      <c r="L1545" s="3" t="n">
        <f aca="false">IF(OR(F1545="Y",G1545="Y",H1545="Y"),1,0)</f>
        <v>1</v>
      </c>
      <c r="M1545" s="3" t="n">
        <f aca="false">IF(H1545="Y",1,0)</f>
        <v>0</v>
      </c>
      <c r="N1545" s="3" t="n">
        <f aca="false">IF(I1545="Y",1,0)</f>
        <v>0</v>
      </c>
    </row>
    <row r="1546" customFormat="false" ht="15" hidden="false" customHeight="true" outlineLevel="0" collapsed="false">
      <c r="A1546" s="7" t="s">
        <v>77</v>
      </c>
      <c r="B1546" s="7" t="n">
        <v>2022</v>
      </c>
      <c r="C1546" s="7" t="s">
        <v>379</v>
      </c>
      <c r="D1546" s="7" t="n">
        <v>86</v>
      </c>
      <c r="E1546" s="7" t="n">
        <v>76</v>
      </c>
      <c r="F1546" s="7" t="s">
        <v>546</v>
      </c>
      <c r="G1546" s="7" t="s">
        <v>546</v>
      </c>
      <c r="H1546" s="7" t="s">
        <v>546</v>
      </c>
      <c r="I1546" s="7" t="s">
        <v>546</v>
      </c>
      <c r="J1546" s="21" t="n">
        <f aca="false">D1546/(D1546+E1546)</f>
        <v>0.530864197530864</v>
      </c>
      <c r="K1546" s="3" t="n">
        <f aca="false">IF(D1546&gt;E1546,1,0)</f>
        <v>1</v>
      </c>
      <c r="L1546" s="3" t="n">
        <f aca="false">IF(OR(F1546="Y",G1546="Y",H1546="Y"),1,0)</f>
        <v>0</v>
      </c>
      <c r="M1546" s="3" t="n">
        <f aca="false">IF(H1546="Y",1,0)</f>
        <v>0</v>
      </c>
      <c r="N1546" s="3" t="n">
        <f aca="false">IF(I1546="Y",1,0)</f>
        <v>0</v>
      </c>
    </row>
    <row r="1547" customFormat="false" ht="15" hidden="false" customHeight="true" outlineLevel="0" collapsed="false">
      <c r="A1547" s="7" t="s">
        <v>77</v>
      </c>
      <c r="B1547" s="7" t="n">
        <v>2023</v>
      </c>
      <c r="C1547" s="7" t="s">
        <v>379</v>
      </c>
      <c r="D1547" s="7" t="n">
        <v>92</v>
      </c>
      <c r="E1547" s="7" t="n">
        <v>70</v>
      </c>
      <c r="F1547" s="7" t="s">
        <v>548</v>
      </c>
      <c r="G1547" s="7" t="s">
        <v>546</v>
      </c>
      <c r="H1547" s="7" t="s">
        <v>546</v>
      </c>
      <c r="I1547" s="7" t="s">
        <v>546</v>
      </c>
      <c r="J1547" s="21" t="n">
        <f aca="false">D1547/(D1547+E1547)</f>
        <v>0.567901234567901</v>
      </c>
      <c r="K1547" s="3" t="n">
        <f aca="false">IF(D1547&gt;E1547,1,0)</f>
        <v>1</v>
      </c>
      <c r="L1547" s="3" t="n">
        <f aca="false">IF(OR(F1547="Y",G1547="Y",H1547="Y"),1,0)</f>
        <v>1</v>
      </c>
      <c r="M1547" s="3" t="n">
        <f aca="false">IF(H1547="Y",1,0)</f>
        <v>0</v>
      </c>
      <c r="N1547" s="3" t="n">
        <f aca="false">IF(I1547="Y",1,0)</f>
        <v>0</v>
      </c>
    </row>
    <row r="1548" customFormat="false" ht="15" hidden="false" customHeight="true" outlineLevel="0" collapsed="false">
      <c r="A1548" s="7" t="s">
        <v>77</v>
      </c>
      <c r="B1548" s="7" t="n">
        <v>2024</v>
      </c>
      <c r="C1548" s="7" t="s">
        <v>379</v>
      </c>
      <c r="D1548" s="7" t="n">
        <v>93</v>
      </c>
      <c r="E1548" s="7" t="n">
        <v>69</v>
      </c>
      <c r="F1548" s="7" t="s">
        <v>548</v>
      </c>
      <c r="G1548" s="7" t="s">
        <v>546</v>
      </c>
      <c r="H1548" s="7" t="s">
        <v>546</v>
      </c>
      <c r="I1548" s="7" t="s">
        <v>546</v>
      </c>
      <c r="J1548" s="21" t="n">
        <f aca="false">D1548/(D1548+E1548)</f>
        <v>0.574074074074074</v>
      </c>
      <c r="K1548" s="3" t="n">
        <f aca="false">IF(D1548&gt;E1548,1,0)</f>
        <v>1</v>
      </c>
      <c r="L1548" s="3" t="n">
        <f aca="false">IF(OR(F1548="Y",G1548="Y",H1548="Y"),1,0)</f>
        <v>1</v>
      </c>
      <c r="M1548" s="3" t="n">
        <f aca="false">IF(H1548="Y",1,0)</f>
        <v>0</v>
      </c>
      <c r="N1548" s="3" t="n">
        <f aca="false">IF(I1548="Y",1,0)</f>
        <v>0</v>
      </c>
    </row>
    <row r="1549" customFormat="false" ht="15" hidden="false" customHeight="true" outlineLevel="0" collapsed="false">
      <c r="A1549" s="7" t="s">
        <v>77</v>
      </c>
      <c r="B1549" s="7" t="n">
        <v>2025</v>
      </c>
      <c r="C1549" s="7" t="s">
        <v>379</v>
      </c>
      <c r="D1549" s="7" t="n">
        <v>97</v>
      </c>
      <c r="E1549" s="7" t="n">
        <v>65</v>
      </c>
      <c r="F1549" s="7" t="s">
        <v>548</v>
      </c>
      <c r="G1549" s="7" t="s">
        <v>546</v>
      </c>
      <c r="H1549" s="7" t="s">
        <v>546</v>
      </c>
      <c r="I1549" s="7" t="s">
        <v>546</v>
      </c>
      <c r="J1549" s="21" t="n">
        <f aca="false">D1549/(D1549+E1549)</f>
        <v>0.598765432098765</v>
      </c>
      <c r="K1549" s="3" t="n">
        <f aca="false">IF(D1549&gt;E1549,1,0)</f>
        <v>1</v>
      </c>
      <c r="L1549" s="3" t="n">
        <f aca="false">IF(OR(F1549="Y",G1549="Y",H1549="Y"),1,0)</f>
        <v>1</v>
      </c>
      <c r="M1549" s="3" t="n">
        <f aca="false">IF(H1549="Y",1,0)</f>
        <v>0</v>
      </c>
      <c r="N1549" s="3" t="n">
        <f aca="false">IF(I1549="Y",1,0)</f>
        <v>0</v>
      </c>
    </row>
    <row r="1550" customFormat="false" ht="15" hidden="false" customHeight="true" outlineLevel="0" collapsed="false">
      <c r="A1550" s="7" t="s">
        <v>68</v>
      </c>
      <c r="B1550" s="7" t="n">
        <v>1901</v>
      </c>
      <c r="C1550" s="7" t="s">
        <v>509</v>
      </c>
      <c r="D1550" s="7" t="n">
        <v>61</v>
      </c>
      <c r="E1550" s="7" t="n">
        <v>72</v>
      </c>
      <c r="F1550" s="7"/>
      <c r="G1550" s="7"/>
      <c r="H1550" s="7" t="s">
        <v>546</v>
      </c>
      <c r="I1550" s="7"/>
      <c r="J1550" s="21" t="n">
        <f aca="false">D1550/(D1550+E1550)</f>
        <v>0.458646616541353</v>
      </c>
      <c r="K1550" s="3" t="n">
        <f aca="false">IF(D1550&gt;E1550,1,0)</f>
        <v>0</v>
      </c>
      <c r="L1550" s="3" t="n">
        <f aca="false">IF(OR(F1550="Y",G1550="Y",H1550="Y"),1,0)</f>
        <v>0</v>
      </c>
      <c r="M1550" s="3" t="n">
        <f aca="false">IF(H1550="Y",1,0)</f>
        <v>0</v>
      </c>
      <c r="N1550" s="3" t="n">
        <f aca="false">IF(I1550="Y",1,0)</f>
        <v>0</v>
      </c>
    </row>
    <row r="1551" customFormat="false" ht="15" hidden="false" customHeight="true" outlineLevel="0" collapsed="false">
      <c r="A1551" s="7" t="s">
        <v>68</v>
      </c>
      <c r="B1551" s="7" t="n">
        <v>1902</v>
      </c>
      <c r="C1551" s="7" t="s">
        <v>509</v>
      </c>
      <c r="D1551" s="7" t="n">
        <v>61</v>
      </c>
      <c r="E1551" s="7" t="n">
        <v>75</v>
      </c>
      <c r="F1551" s="7"/>
      <c r="G1551" s="7"/>
      <c r="H1551" s="7" t="s">
        <v>546</v>
      </c>
      <c r="I1551" s="7"/>
      <c r="J1551" s="21" t="n">
        <f aca="false">D1551/(D1551+E1551)</f>
        <v>0.448529411764706</v>
      </c>
      <c r="K1551" s="3" t="n">
        <f aca="false">IF(D1551&gt;E1551,1,0)</f>
        <v>0</v>
      </c>
      <c r="L1551" s="3" t="n">
        <f aca="false">IF(OR(F1551="Y",G1551="Y",H1551="Y"),1,0)</f>
        <v>0</v>
      </c>
      <c r="M1551" s="3" t="n">
        <f aca="false">IF(H1551="Y",1,0)</f>
        <v>0</v>
      </c>
      <c r="N1551" s="3" t="n">
        <f aca="false">IF(I1551="Y",1,0)</f>
        <v>0</v>
      </c>
    </row>
    <row r="1552" customFormat="false" ht="15" hidden="false" customHeight="true" outlineLevel="0" collapsed="false">
      <c r="A1552" s="7" t="s">
        <v>68</v>
      </c>
      <c r="B1552" s="7" t="n">
        <v>1903</v>
      </c>
      <c r="C1552" s="7" t="s">
        <v>509</v>
      </c>
      <c r="D1552" s="7" t="n">
        <v>43</v>
      </c>
      <c r="E1552" s="7" t="n">
        <v>94</v>
      </c>
      <c r="F1552" s="7"/>
      <c r="G1552" s="7"/>
      <c r="H1552" s="7" t="s">
        <v>546</v>
      </c>
      <c r="I1552" s="7" t="s">
        <v>546</v>
      </c>
      <c r="J1552" s="21" t="n">
        <f aca="false">D1552/(D1552+E1552)</f>
        <v>0.313868613138686</v>
      </c>
      <c r="K1552" s="3" t="n">
        <f aca="false">IF(D1552&gt;E1552,1,0)</f>
        <v>0</v>
      </c>
      <c r="L1552" s="3" t="n">
        <f aca="false">IF(OR(F1552="Y",G1552="Y",H1552="Y"),1,0)</f>
        <v>0</v>
      </c>
      <c r="M1552" s="3" t="n">
        <f aca="false">IF(H1552="Y",1,0)</f>
        <v>0</v>
      </c>
      <c r="N1552" s="3" t="n">
        <f aca="false">IF(I1552="Y",1,0)</f>
        <v>0</v>
      </c>
    </row>
    <row r="1553" customFormat="false" ht="15" hidden="false" customHeight="true" outlineLevel="0" collapsed="false">
      <c r="A1553" s="7" t="s">
        <v>68</v>
      </c>
      <c r="B1553" s="7" t="n">
        <v>1904</v>
      </c>
      <c r="C1553" s="7" t="s">
        <v>509</v>
      </c>
      <c r="D1553" s="7" t="n">
        <v>38</v>
      </c>
      <c r="E1553" s="7" t="n">
        <v>113</v>
      </c>
      <c r="F1553" s="7"/>
      <c r="G1553" s="7"/>
      <c r="H1553" s="7" t="s">
        <v>546</v>
      </c>
      <c r="I1553" s="7"/>
      <c r="J1553" s="21" t="n">
        <f aca="false">D1553/(D1553+E1553)</f>
        <v>0.251655629139073</v>
      </c>
      <c r="K1553" s="3" t="n">
        <f aca="false">IF(D1553&gt;E1553,1,0)</f>
        <v>0</v>
      </c>
      <c r="L1553" s="3" t="n">
        <f aca="false">IF(OR(F1553="Y",G1553="Y",H1553="Y"),1,0)</f>
        <v>0</v>
      </c>
      <c r="M1553" s="3" t="n">
        <f aca="false">IF(H1553="Y",1,0)</f>
        <v>0</v>
      </c>
      <c r="N1553" s="3" t="n">
        <f aca="false">IF(I1553="Y",1,0)</f>
        <v>0</v>
      </c>
    </row>
    <row r="1554" customFormat="false" ht="15" hidden="false" customHeight="true" outlineLevel="0" collapsed="false">
      <c r="A1554" s="7" t="s">
        <v>68</v>
      </c>
      <c r="B1554" s="7" t="n">
        <v>1905</v>
      </c>
      <c r="C1554" s="7" t="s">
        <v>509</v>
      </c>
      <c r="D1554" s="7" t="n">
        <v>64</v>
      </c>
      <c r="E1554" s="7" t="n">
        <v>87</v>
      </c>
      <c r="F1554" s="7"/>
      <c r="G1554" s="7"/>
      <c r="H1554" s="7" t="s">
        <v>546</v>
      </c>
      <c r="I1554" s="7" t="s">
        <v>546</v>
      </c>
      <c r="J1554" s="21" t="n">
        <f aca="false">D1554/(D1554+E1554)</f>
        <v>0.423841059602649</v>
      </c>
      <c r="K1554" s="3" t="n">
        <f aca="false">IF(D1554&gt;E1554,1,0)</f>
        <v>0</v>
      </c>
      <c r="L1554" s="3" t="n">
        <f aca="false">IF(OR(F1554="Y",G1554="Y",H1554="Y"),1,0)</f>
        <v>0</v>
      </c>
      <c r="M1554" s="3" t="n">
        <f aca="false">IF(H1554="Y",1,0)</f>
        <v>0</v>
      </c>
      <c r="N1554" s="3" t="n">
        <f aca="false">IF(I1554="Y",1,0)</f>
        <v>0</v>
      </c>
    </row>
    <row r="1555" customFormat="false" ht="15" hidden="false" customHeight="true" outlineLevel="0" collapsed="false">
      <c r="A1555" s="7" t="s">
        <v>68</v>
      </c>
      <c r="B1555" s="7" t="n">
        <v>1906</v>
      </c>
      <c r="C1555" s="7" t="s">
        <v>509</v>
      </c>
      <c r="D1555" s="7" t="n">
        <v>55</v>
      </c>
      <c r="E1555" s="7" t="n">
        <v>95</v>
      </c>
      <c r="F1555" s="7"/>
      <c r="G1555" s="7"/>
      <c r="H1555" s="7" t="s">
        <v>546</v>
      </c>
      <c r="I1555" s="7" t="s">
        <v>546</v>
      </c>
      <c r="J1555" s="21" t="n">
        <f aca="false">D1555/(D1555+E1555)</f>
        <v>0.366666666666667</v>
      </c>
      <c r="K1555" s="3" t="n">
        <f aca="false">IF(D1555&gt;E1555,1,0)</f>
        <v>0</v>
      </c>
      <c r="L1555" s="3" t="n">
        <f aca="false">IF(OR(F1555="Y",G1555="Y",H1555="Y"),1,0)</f>
        <v>0</v>
      </c>
      <c r="M1555" s="3" t="n">
        <f aca="false">IF(H1555="Y",1,0)</f>
        <v>0</v>
      </c>
      <c r="N1555" s="3" t="n">
        <f aca="false">IF(I1555="Y",1,0)</f>
        <v>0</v>
      </c>
    </row>
    <row r="1556" customFormat="false" ht="15" hidden="false" customHeight="true" outlineLevel="0" collapsed="false">
      <c r="A1556" s="7" t="s">
        <v>68</v>
      </c>
      <c r="B1556" s="7" t="n">
        <v>1907</v>
      </c>
      <c r="C1556" s="7" t="s">
        <v>509</v>
      </c>
      <c r="D1556" s="7" t="n">
        <v>49</v>
      </c>
      <c r="E1556" s="7" t="n">
        <v>102</v>
      </c>
      <c r="F1556" s="7"/>
      <c r="G1556" s="7"/>
      <c r="H1556" s="7" t="s">
        <v>546</v>
      </c>
      <c r="I1556" s="7" t="s">
        <v>546</v>
      </c>
      <c r="J1556" s="21" t="n">
        <f aca="false">D1556/(D1556+E1556)</f>
        <v>0.324503311258278</v>
      </c>
      <c r="K1556" s="3" t="n">
        <f aca="false">IF(D1556&gt;E1556,1,0)</f>
        <v>0</v>
      </c>
      <c r="L1556" s="3" t="n">
        <f aca="false">IF(OR(F1556="Y",G1556="Y",H1556="Y"),1,0)</f>
        <v>0</v>
      </c>
      <c r="M1556" s="3" t="n">
        <f aca="false">IF(H1556="Y",1,0)</f>
        <v>0</v>
      </c>
      <c r="N1556" s="3" t="n">
        <f aca="false">IF(I1556="Y",1,0)</f>
        <v>0</v>
      </c>
    </row>
    <row r="1557" customFormat="false" ht="15" hidden="false" customHeight="true" outlineLevel="0" collapsed="false">
      <c r="A1557" s="7" t="s">
        <v>68</v>
      </c>
      <c r="B1557" s="7" t="n">
        <v>1908</v>
      </c>
      <c r="C1557" s="7" t="s">
        <v>509</v>
      </c>
      <c r="D1557" s="7" t="n">
        <v>67</v>
      </c>
      <c r="E1557" s="7" t="n">
        <v>85</v>
      </c>
      <c r="F1557" s="7"/>
      <c r="G1557" s="7"/>
      <c r="H1557" s="7" t="s">
        <v>546</v>
      </c>
      <c r="I1557" s="7" t="s">
        <v>546</v>
      </c>
      <c r="J1557" s="21" t="n">
        <f aca="false">D1557/(D1557+E1557)</f>
        <v>0.440789473684211</v>
      </c>
      <c r="K1557" s="3" t="n">
        <f aca="false">IF(D1557&gt;E1557,1,0)</f>
        <v>0</v>
      </c>
      <c r="L1557" s="3" t="n">
        <f aca="false">IF(OR(F1557="Y",G1557="Y",H1557="Y"),1,0)</f>
        <v>0</v>
      </c>
      <c r="M1557" s="3" t="n">
        <f aca="false">IF(H1557="Y",1,0)</f>
        <v>0</v>
      </c>
      <c r="N1557" s="3" t="n">
        <f aca="false">IF(I1557="Y",1,0)</f>
        <v>0</v>
      </c>
    </row>
    <row r="1558" customFormat="false" ht="15" hidden="false" customHeight="true" outlineLevel="0" collapsed="false">
      <c r="A1558" s="7" t="s">
        <v>68</v>
      </c>
      <c r="B1558" s="7" t="n">
        <v>1909</v>
      </c>
      <c r="C1558" s="7" t="s">
        <v>509</v>
      </c>
      <c r="D1558" s="7" t="n">
        <v>42</v>
      </c>
      <c r="E1558" s="7" t="n">
        <v>110</v>
      </c>
      <c r="F1558" s="7"/>
      <c r="G1558" s="7"/>
      <c r="H1558" s="7" t="s">
        <v>546</v>
      </c>
      <c r="I1558" s="7" t="s">
        <v>546</v>
      </c>
      <c r="J1558" s="21" t="n">
        <f aca="false">D1558/(D1558+E1558)</f>
        <v>0.276315789473684</v>
      </c>
      <c r="K1558" s="3" t="n">
        <f aca="false">IF(D1558&gt;E1558,1,0)</f>
        <v>0</v>
      </c>
      <c r="L1558" s="3" t="n">
        <f aca="false">IF(OR(F1558="Y",G1558="Y",H1558="Y"),1,0)</f>
        <v>0</v>
      </c>
      <c r="M1558" s="3" t="n">
        <f aca="false">IF(H1558="Y",1,0)</f>
        <v>0</v>
      </c>
      <c r="N1558" s="3" t="n">
        <f aca="false">IF(I1558="Y",1,0)</f>
        <v>0</v>
      </c>
    </row>
    <row r="1559" customFormat="false" ht="15" hidden="false" customHeight="true" outlineLevel="0" collapsed="false">
      <c r="A1559" s="7" t="s">
        <v>68</v>
      </c>
      <c r="B1559" s="7" t="n">
        <v>1910</v>
      </c>
      <c r="C1559" s="7" t="s">
        <v>509</v>
      </c>
      <c r="D1559" s="7" t="n">
        <v>66</v>
      </c>
      <c r="E1559" s="7" t="n">
        <v>85</v>
      </c>
      <c r="F1559" s="7"/>
      <c r="G1559" s="7"/>
      <c r="H1559" s="7" t="s">
        <v>546</v>
      </c>
      <c r="I1559" s="7" t="s">
        <v>546</v>
      </c>
      <c r="J1559" s="21" t="n">
        <f aca="false">D1559/(D1559+E1559)</f>
        <v>0.437086092715232</v>
      </c>
      <c r="K1559" s="3" t="n">
        <f aca="false">IF(D1559&gt;E1559,1,0)</f>
        <v>0</v>
      </c>
      <c r="L1559" s="3" t="n">
        <f aca="false">IF(OR(F1559="Y",G1559="Y",H1559="Y"),1,0)</f>
        <v>0</v>
      </c>
      <c r="M1559" s="3" t="n">
        <f aca="false">IF(H1559="Y",1,0)</f>
        <v>0</v>
      </c>
      <c r="N1559" s="3" t="n">
        <f aca="false">IF(I1559="Y",1,0)</f>
        <v>0</v>
      </c>
    </row>
    <row r="1560" customFormat="false" ht="15" hidden="false" customHeight="true" outlineLevel="0" collapsed="false">
      <c r="A1560" s="7" t="s">
        <v>68</v>
      </c>
      <c r="B1560" s="7" t="n">
        <v>1911</v>
      </c>
      <c r="C1560" s="7" t="s">
        <v>509</v>
      </c>
      <c r="D1560" s="7" t="n">
        <v>64</v>
      </c>
      <c r="E1560" s="7" t="n">
        <v>90</v>
      </c>
      <c r="F1560" s="7"/>
      <c r="G1560" s="7"/>
      <c r="H1560" s="7" t="s">
        <v>546</v>
      </c>
      <c r="I1560" s="7" t="s">
        <v>546</v>
      </c>
      <c r="J1560" s="21" t="n">
        <f aca="false">D1560/(D1560+E1560)</f>
        <v>0.415584415584416</v>
      </c>
      <c r="K1560" s="3" t="n">
        <f aca="false">IF(D1560&gt;E1560,1,0)</f>
        <v>0</v>
      </c>
      <c r="L1560" s="3" t="n">
        <f aca="false">IF(OR(F1560="Y",G1560="Y",H1560="Y"),1,0)</f>
        <v>0</v>
      </c>
      <c r="M1560" s="3" t="n">
        <f aca="false">IF(H1560="Y",1,0)</f>
        <v>0</v>
      </c>
      <c r="N1560" s="3" t="n">
        <f aca="false">IF(I1560="Y",1,0)</f>
        <v>0</v>
      </c>
    </row>
    <row r="1561" customFormat="false" ht="15" hidden="false" customHeight="true" outlineLevel="0" collapsed="false">
      <c r="A1561" s="7" t="s">
        <v>68</v>
      </c>
      <c r="B1561" s="7" t="n">
        <v>1912</v>
      </c>
      <c r="C1561" s="7" t="s">
        <v>509</v>
      </c>
      <c r="D1561" s="7" t="n">
        <v>91</v>
      </c>
      <c r="E1561" s="7" t="n">
        <v>61</v>
      </c>
      <c r="F1561" s="7"/>
      <c r="G1561" s="7"/>
      <c r="H1561" s="7" t="s">
        <v>546</v>
      </c>
      <c r="I1561" s="7" t="s">
        <v>546</v>
      </c>
      <c r="J1561" s="21" t="n">
        <f aca="false">D1561/(D1561+E1561)</f>
        <v>0.598684210526316</v>
      </c>
      <c r="K1561" s="3" t="n">
        <f aca="false">IF(D1561&gt;E1561,1,0)</f>
        <v>1</v>
      </c>
      <c r="L1561" s="3" t="n">
        <f aca="false">IF(OR(F1561="Y",G1561="Y",H1561="Y"),1,0)</f>
        <v>0</v>
      </c>
      <c r="M1561" s="3" t="n">
        <f aca="false">IF(H1561="Y",1,0)</f>
        <v>0</v>
      </c>
      <c r="N1561" s="3" t="n">
        <f aca="false">IF(I1561="Y",1,0)</f>
        <v>0</v>
      </c>
    </row>
    <row r="1562" customFormat="false" ht="15" hidden="false" customHeight="true" outlineLevel="0" collapsed="false">
      <c r="A1562" s="7" t="s">
        <v>68</v>
      </c>
      <c r="B1562" s="7" t="n">
        <v>1913</v>
      </c>
      <c r="C1562" s="7" t="s">
        <v>509</v>
      </c>
      <c r="D1562" s="7" t="n">
        <v>90</v>
      </c>
      <c r="E1562" s="7" t="n">
        <v>64</v>
      </c>
      <c r="F1562" s="7"/>
      <c r="G1562" s="7"/>
      <c r="H1562" s="7" t="s">
        <v>546</v>
      </c>
      <c r="I1562" s="7" t="s">
        <v>546</v>
      </c>
      <c r="J1562" s="21" t="n">
        <f aca="false">D1562/(D1562+E1562)</f>
        <v>0.584415584415584</v>
      </c>
      <c r="K1562" s="3" t="n">
        <f aca="false">IF(D1562&gt;E1562,1,0)</f>
        <v>1</v>
      </c>
      <c r="L1562" s="3" t="n">
        <f aca="false">IF(OR(F1562="Y",G1562="Y",H1562="Y"),1,0)</f>
        <v>0</v>
      </c>
      <c r="M1562" s="3" t="n">
        <f aca="false">IF(H1562="Y",1,0)</f>
        <v>0</v>
      </c>
      <c r="N1562" s="3" t="n">
        <f aca="false">IF(I1562="Y",1,0)</f>
        <v>0</v>
      </c>
    </row>
    <row r="1563" customFormat="false" ht="15" hidden="false" customHeight="true" outlineLevel="0" collapsed="false">
      <c r="A1563" s="7" t="s">
        <v>68</v>
      </c>
      <c r="B1563" s="7" t="n">
        <v>1914</v>
      </c>
      <c r="C1563" s="7" t="s">
        <v>509</v>
      </c>
      <c r="D1563" s="7" t="n">
        <v>81</v>
      </c>
      <c r="E1563" s="7" t="n">
        <v>73</v>
      </c>
      <c r="F1563" s="7"/>
      <c r="G1563" s="7"/>
      <c r="H1563" s="7" t="s">
        <v>546</v>
      </c>
      <c r="I1563" s="7" t="s">
        <v>546</v>
      </c>
      <c r="J1563" s="21" t="n">
        <f aca="false">D1563/(D1563+E1563)</f>
        <v>0.525974025974026</v>
      </c>
      <c r="K1563" s="3" t="n">
        <f aca="false">IF(D1563&gt;E1563,1,0)</f>
        <v>1</v>
      </c>
      <c r="L1563" s="3" t="n">
        <f aca="false">IF(OR(F1563="Y",G1563="Y",H1563="Y"),1,0)</f>
        <v>0</v>
      </c>
      <c r="M1563" s="3" t="n">
        <f aca="false">IF(H1563="Y",1,0)</f>
        <v>0</v>
      </c>
      <c r="N1563" s="3" t="n">
        <f aca="false">IF(I1563="Y",1,0)</f>
        <v>0</v>
      </c>
    </row>
    <row r="1564" customFormat="false" ht="15" hidden="false" customHeight="true" outlineLevel="0" collapsed="false">
      <c r="A1564" s="7" t="s">
        <v>68</v>
      </c>
      <c r="B1564" s="7" t="n">
        <v>1915</v>
      </c>
      <c r="C1564" s="7" t="s">
        <v>509</v>
      </c>
      <c r="D1564" s="7" t="n">
        <v>85</v>
      </c>
      <c r="E1564" s="7" t="n">
        <v>68</v>
      </c>
      <c r="F1564" s="7"/>
      <c r="G1564" s="7"/>
      <c r="H1564" s="7" t="s">
        <v>546</v>
      </c>
      <c r="I1564" s="7" t="s">
        <v>546</v>
      </c>
      <c r="J1564" s="21" t="n">
        <f aca="false">D1564/(D1564+E1564)</f>
        <v>0.555555555555556</v>
      </c>
      <c r="K1564" s="3" t="n">
        <f aca="false">IF(D1564&gt;E1564,1,0)</f>
        <v>1</v>
      </c>
      <c r="L1564" s="3" t="n">
        <f aca="false">IF(OR(F1564="Y",G1564="Y",H1564="Y"),1,0)</f>
        <v>0</v>
      </c>
      <c r="M1564" s="3" t="n">
        <f aca="false">IF(H1564="Y",1,0)</f>
        <v>0</v>
      </c>
      <c r="N1564" s="3" t="n">
        <f aca="false">IF(I1564="Y",1,0)</f>
        <v>0</v>
      </c>
    </row>
    <row r="1565" customFormat="false" ht="15" hidden="false" customHeight="true" outlineLevel="0" collapsed="false">
      <c r="A1565" s="7" t="s">
        <v>68</v>
      </c>
      <c r="B1565" s="7" t="n">
        <v>1916</v>
      </c>
      <c r="C1565" s="7" t="s">
        <v>509</v>
      </c>
      <c r="D1565" s="7" t="n">
        <v>76</v>
      </c>
      <c r="E1565" s="7" t="n">
        <v>77</v>
      </c>
      <c r="F1565" s="7"/>
      <c r="G1565" s="7"/>
      <c r="H1565" s="7" t="s">
        <v>546</v>
      </c>
      <c r="I1565" s="7" t="s">
        <v>546</v>
      </c>
      <c r="J1565" s="21" t="n">
        <f aca="false">D1565/(D1565+E1565)</f>
        <v>0.496732026143791</v>
      </c>
      <c r="K1565" s="3" t="n">
        <f aca="false">IF(D1565&gt;E1565,1,0)</f>
        <v>0</v>
      </c>
      <c r="L1565" s="3" t="n">
        <f aca="false">IF(OR(F1565="Y",G1565="Y",H1565="Y"),1,0)</f>
        <v>0</v>
      </c>
      <c r="M1565" s="3" t="n">
        <f aca="false">IF(H1565="Y",1,0)</f>
        <v>0</v>
      </c>
      <c r="N1565" s="3" t="n">
        <f aca="false">IF(I1565="Y",1,0)</f>
        <v>0</v>
      </c>
    </row>
    <row r="1566" customFormat="false" ht="15" hidden="false" customHeight="true" outlineLevel="0" collapsed="false">
      <c r="A1566" s="7" t="s">
        <v>68</v>
      </c>
      <c r="B1566" s="7" t="n">
        <v>1917</v>
      </c>
      <c r="C1566" s="7" t="s">
        <v>509</v>
      </c>
      <c r="D1566" s="7" t="n">
        <v>74</v>
      </c>
      <c r="E1566" s="7" t="n">
        <v>79</v>
      </c>
      <c r="F1566" s="7"/>
      <c r="G1566" s="7"/>
      <c r="H1566" s="7" t="s">
        <v>546</v>
      </c>
      <c r="I1566" s="7" t="s">
        <v>546</v>
      </c>
      <c r="J1566" s="21" t="n">
        <f aca="false">D1566/(D1566+E1566)</f>
        <v>0.483660130718954</v>
      </c>
      <c r="K1566" s="3" t="n">
        <f aca="false">IF(D1566&gt;E1566,1,0)</f>
        <v>0</v>
      </c>
      <c r="L1566" s="3" t="n">
        <f aca="false">IF(OR(F1566="Y",G1566="Y",H1566="Y"),1,0)</f>
        <v>0</v>
      </c>
      <c r="M1566" s="3" t="n">
        <f aca="false">IF(H1566="Y",1,0)</f>
        <v>0</v>
      </c>
      <c r="N1566" s="3" t="n">
        <f aca="false">IF(I1566="Y",1,0)</f>
        <v>0</v>
      </c>
    </row>
    <row r="1567" customFormat="false" ht="15" hidden="false" customHeight="true" outlineLevel="0" collapsed="false">
      <c r="A1567" s="7" t="s">
        <v>68</v>
      </c>
      <c r="B1567" s="7" t="n">
        <v>1918</v>
      </c>
      <c r="C1567" s="7" t="s">
        <v>509</v>
      </c>
      <c r="D1567" s="7" t="n">
        <v>72</v>
      </c>
      <c r="E1567" s="7" t="n">
        <v>56</v>
      </c>
      <c r="F1567" s="7"/>
      <c r="G1567" s="7"/>
      <c r="H1567" s="7" t="s">
        <v>546</v>
      </c>
      <c r="I1567" s="7" t="s">
        <v>546</v>
      </c>
      <c r="J1567" s="21" t="n">
        <f aca="false">D1567/(D1567+E1567)</f>
        <v>0.5625</v>
      </c>
      <c r="K1567" s="3" t="n">
        <f aca="false">IF(D1567&gt;E1567,1,0)</f>
        <v>1</v>
      </c>
      <c r="L1567" s="3" t="n">
        <f aca="false">IF(OR(F1567="Y",G1567="Y",H1567="Y"),1,0)</f>
        <v>0</v>
      </c>
      <c r="M1567" s="3" t="n">
        <f aca="false">IF(H1567="Y",1,0)</f>
        <v>0</v>
      </c>
      <c r="N1567" s="3" t="n">
        <f aca="false">IF(I1567="Y",1,0)</f>
        <v>0</v>
      </c>
    </row>
    <row r="1568" customFormat="false" ht="15" hidden="false" customHeight="true" outlineLevel="0" collapsed="false">
      <c r="A1568" s="7" t="s">
        <v>68</v>
      </c>
      <c r="B1568" s="7" t="n">
        <v>1919</v>
      </c>
      <c r="C1568" s="7" t="s">
        <v>509</v>
      </c>
      <c r="D1568" s="7" t="n">
        <v>56</v>
      </c>
      <c r="E1568" s="7" t="n">
        <v>84</v>
      </c>
      <c r="F1568" s="7"/>
      <c r="G1568" s="7"/>
      <c r="H1568" s="7" t="s">
        <v>546</v>
      </c>
      <c r="I1568" s="7" t="s">
        <v>546</v>
      </c>
      <c r="J1568" s="21" t="n">
        <f aca="false">D1568/(D1568+E1568)</f>
        <v>0.4</v>
      </c>
      <c r="K1568" s="3" t="n">
        <f aca="false">IF(D1568&gt;E1568,1,0)</f>
        <v>0</v>
      </c>
      <c r="L1568" s="3" t="n">
        <f aca="false">IF(OR(F1568="Y",G1568="Y",H1568="Y"),1,0)</f>
        <v>0</v>
      </c>
      <c r="M1568" s="3" t="n">
        <f aca="false">IF(H1568="Y",1,0)</f>
        <v>0</v>
      </c>
      <c r="N1568" s="3" t="n">
        <f aca="false">IF(I1568="Y",1,0)</f>
        <v>0</v>
      </c>
    </row>
    <row r="1569" customFormat="false" ht="15" hidden="false" customHeight="true" outlineLevel="0" collapsed="false">
      <c r="A1569" s="7" t="s">
        <v>68</v>
      </c>
      <c r="B1569" s="7" t="n">
        <v>1920</v>
      </c>
      <c r="C1569" s="7" t="s">
        <v>509</v>
      </c>
      <c r="D1569" s="7" t="n">
        <v>68</v>
      </c>
      <c r="E1569" s="7" t="n">
        <v>84</v>
      </c>
      <c r="F1569" s="7"/>
      <c r="G1569" s="7"/>
      <c r="H1569" s="7" t="s">
        <v>546</v>
      </c>
      <c r="I1569" s="7" t="s">
        <v>546</v>
      </c>
      <c r="J1569" s="21" t="n">
        <f aca="false">D1569/(D1569+E1569)</f>
        <v>0.447368421052632</v>
      </c>
      <c r="K1569" s="3" t="n">
        <f aca="false">IF(D1569&gt;E1569,1,0)</f>
        <v>0</v>
      </c>
      <c r="L1569" s="3" t="n">
        <f aca="false">IF(OR(F1569="Y",G1569="Y",H1569="Y"),1,0)</f>
        <v>0</v>
      </c>
      <c r="M1569" s="3" t="n">
        <f aca="false">IF(H1569="Y",1,0)</f>
        <v>0</v>
      </c>
      <c r="N1569" s="3" t="n">
        <f aca="false">IF(I1569="Y",1,0)</f>
        <v>0</v>
      </c>
    </row>
    <row r="1570" customFormat="false" ht="15" hidden="false" customHeight="true" outlineLevel="0" collapsed="false">
      <c r="A1570" s="7" t="s">
        <v>68</v>
      </c>
      <c r="B1570" s="7" t="n">
        <v>1921</v>
      </c>
      <c r="C1570" s="7" t="s">
        <v>509</v>
      </c>
      <c r="D1570" s="7" t="n">
        <v>80</v>
      </c>
      <c r="E1570" s="7" t="n">
        <v>73</v>
      </c>
      <c r="F1570" s="7"/>
      <c r="G1570" s="7"/>
      <c r="H1570" s="7" t="s">
        <v>546</v>
      </c>
      <c r="I1570" s="7" t="s">
        <v>546</v>
      </c>
      <c r="J1570" s="21" t="n">
        <f aca="false">D1570/(D1570+E1570)</f>
        <v>0.522875816993464</v>
      </c>
      <c r="K1570" s="3" t="n">
        <f aca="false">IF(D1570&gt;E1570,1,0)</f>
        <v>1</v>
      </c>
      <c r="L1570" s="3" t="n">
        <f aca="false">IF(OR(F1570="Y",G1570="Y",H1570="Y"),1,0)</f>
        <v>0</v>
      </c>
      <c r="M1570" s="3" t="n">
        <f aca="false">IF(H1570="Y",1,0)</f>
        <v>0</v>
      </c>
      <c r="N1570" s="3" t="n">
        <f aca="false">IF(I1570="Y",1,0)</f>
        <v>0</v>
      </c>
    </row>
    <row r="1571" customFormat="false" ht="15" hidden="false" customHeight="true" outlineLevel="0" collapsed="false">
      <c r="A1571" s="7" t="s">
        <v>68</v>
      </c>
      <c r="B1571" s="7" t="n">
        <v>1922</v>
      </c>
      <c r="C1571" s="7" t="s">
        <v>509</v>
      </c>
      <c r="D1571" s="7" t="n">
        <v>69</v>
      </c>
      <c r="E1571" s="7" t="n">
        <v>85</v>
      </c>
      <c r="F1571" s="7"/>
      <c r="G1571" s="7"/>
      <c r="H1571" s="7" t="s">
        <v>546</v>
      </c>
      <c r="I1571" s="7" t="s">
        <v>546</v>
      </c>
      <c r="J1571" s="21" t="n">
        <f aca="false">D1571/(D1571+E1571)</f>
        <v>0.448051948051948</v>
      </c>
      <c r="K1571" s="3" t="n">
        <f aca="false">IF(D1571&gt;E1571,1,0)</f>
        <v>0</v>
      </c>
      <c r="L1571" s="3" t="n">
        <f aca="false">IF(OR(F1571="Y",G1571="Y",H1571="Y"),1,0)</f>
        <v>0</v>
      </c>
      <c r="M1571" s="3" t="n">
        <f aca="false">IF(H1571="Y",1,0)</f>
        <v>0</v>
      </c>
      <c r="N1571" s="3" t="n">
        <f aca="false">IF(I1571="Y",1,0)</f>
        <v>0</v>
      </c>
    </row>
    <row r="1572" customFormat="false" ht="15" hidden="false" customHeight="true" outlineLevel="0" collapsed="false">
      <c r="A1572" s="7" t="s">
        <v>68</v>
      </c>
      <c r="B1572" s="7" t="n">
        <v>1923</v>
      </c>
      <c r="C1572" s="7" t="s">
        <v>509</v>
      </c>
      <c r="D1572" s="7" t="n">
        <v>75</v>
      </c>
      <c r="E1572" s="7" t="n">
        <v>78</v>
      </c>
      <c r="F1572" s="7"/>
      <c r="G1572" s="7"/>
      <c r="H1572" s="7" t="s">
        <v>546</v>
      </c>
      <c r="I1572" s="7" t="s">
        <v>546</v>
      </c>
      <c r="J1572" s="21" t="n">
        <f aca="false">D1572/(D1572+E1572)</f>
        <v>0.490196078431373</v>
      </c>
      <c r="K1572" s="3" t="n">
        <f aca="false">IF(D1572&gt;E1572,1,0)</f>
        <v>0</v>
      </c>
      <c r="L1572" s="3" t="n">
        <f aca="false">IF(OR(F1572="Y",G1572="Y",H1572="Y"),1,0)</f>
        <v>0</v>
      </c>
      <c r="M1572" s="3" t="n">
        <f aca="false">IF(H1572="Y",1,0)</f>
        <v>0</v>
      </c>
      <c r="N1572" s="3" t="n">
        <f aca="false">IF(I1572="Y",1,0)</f>
        <v>0</v>
      </c>
    </row>
    <row r="1573" customFormat="false" ht="15" hidden="false" customHeight="true" outlineLevel="0" collapsed="false">
      <c r="A1573" s="7" t="s">
        <v>68</v>
      </c>
      <c r="B1573" s="7" t="n">
        <v>1924</v>
      </c>
      <c r="C1573" s="7" t="s">
        <v>509</v>
      </c>
      <c r="D1573" s="7" t="n">
        <v>92</v>
      </c>
      <c r="E1573" s="7" t="n">
        <v>62</v>
      </c>
      <c r="F1573" s="7"/>
      <c r="G1573" s="7"/>
      <c r="H1573" s="7" t="s">
        <v>548</v>
      </c>
      <c r="I1573" s="7" t="s">
        <v>548</v>
      </c>
      <c r="J1573" s="21" t="n">
        <f aca="false">D1573/(D1573+E1573)</f>
        <v>0.597402597402597</v>
      </c>
      <c r="K1573" s="3" t="n">
        <f aca="false">IF(D1573&gt;E1573,1,0)</f>
        <v>1</v>
      </c>
      <c r="L1573" s="3" t="n">
        <f aca="false">IF(OR(F1573="Y",G1573="Y",H1573="Y"),1,0)</f>
        <v>1</v>
      </c>
      <c r="M1573" s="3" t="n">
        <f aca="false">IF(H1573="Y",1,0)</f>
        <v>1</v>
      </c>
      <c r="N1573" s="3" t="n">
        <f aca="false">IF(I1573="Y",1,0)</f>
        <v>1</v>
      </c>
    </row>
    <row r="1574" customFormat="false" ht="15" hidden="false" customHeight="true" outlineLevel="0" collapsed="false">
      <c r="A1574" s="7" t="s">
        <v>68</v>
      </c>
      <c r="B1574" s="7" t="n">
        <v>1925</v>
      </c>
      <c r="C1574" s="7" t="s">
        <v>509</v>
      </c>
      <c r="D1574" s="7" t="n">
        <v>96</v>
      </c>
      <c r="E1574" s="7" t="n">
        <v>55</v>
      </c>
      <c r="F1574" s="7"/>
      <c r="G1574" s="7"/>
      <c r="H1574" s="7" t="s">
        <v>548</v>
      </c>
      <c r="I1574" s="7" t="s">
        <v>546</v>
      </c>
      <c r="J1574" s="21" t="n">
        <f aca="false">D1574/(D1574+E1574)</f>
        <v>0.635761589403974</v>
      </c>
      <c r="K1574" s="3" t="n">
        <f aca="false">IF(D1574&gt;E1574,1,0)</f>
        <v>1</v>
      </c>
      <c r="L1574" s="3" t="n">
        <f aca="false">IF(OR(F1574="Y",G1574="Y",H1574="Y"),1,0)</f>
        <v>1</v>
      </c>
      <c r="M1574" s="3" t="n">
        <f aca="false">IF(H1574="Y",1,0)</f>
        <v>1</v>
      </c>
      <c r="N1574" s="3" t="n">
        <f aca="false">IF(I1574="Y",1,0)</f>
        <v>0</v>
      </c>
    </row>
    <row r="1575" customFormat="false" ht="15" hidden="false" customHeight="true" outlineLevel="0" collapsed="false">
      <c r="A1575" s="7" t="s">
        <v>68</v>
      </c>
      <c r="B1575" s="7" t="n">
        <v>1926</v>
      </c>
      <c r="C1575" s="7" t="s">
        <v>509</v>
      </c>
      <c r="D1575" s="7" t="n">
        <v>81</v>
      </c>
      <c r="E1575" s="7" t="n">
        <v>69</v>
      </c>
      <c r="F1575" s="7"/>
      <c r="G1575" s="7"/>
      <c r="H1575" s="7" t="s">
        <v>546</v>
      </c>
      <c r="I1575" s="7" t="s">
        <v>546</v>
      </c>
      <c r="J1575" s="21" t="n">
        <f aca="false">D1575/(D1575+E1575)</f>
        <v>0.54</v>
      </c>
      <c r="K1575" s="3" t="n">
        <f aca="false">IF(D1575&gt;E1575,1,0)</f>
        <v>1</v>
      </c>
      <c r="L1575" s="3" t="n">
        <f aca="false">IF(OR(F1575="Y",G1575="Y",H1575="Y"),1,0)</f>
        <v>0</v>
      </c>
      <c r="M1575" s="3" t="n">
        <f aca="false">IF(H1575="Y",1,0)</f>
        <v>0</v>
      </c>
      <c r="N1575" s="3" t="n">
        <f aca="false">IF(I1575="Y",1,0)</f>
        <v>0</v>
      </c>
    </row>
    <row r="1576" customFormat="false" ht="15" hidden="false" customHeight="true" outlineLevel="0" collapsed="false">
      <c r="A1576" s="7" t="s">
        <v>68</v>
      </c>
      <c r="B1576" s="7" t="n">
        <v>1927</v>
      </c>
      <c r="C1576" s="7" t="s">
        <v>509</v>
      </c>
      <c r="D1576" s="7" t="n">
        <v>85</v>
      </c>
      <c r="E1576" s="7" t="n">
        <v>69</v>
      </c>
      <c r="F1576" s="7"/>
      <c r="G1576" s="7"/>
      <c r="H1576" s="7" t="s">
        <v>546</v>
      </c>
      <c r="I1576" s="7" t="s">
        <v>546</v>
      </c>
      <c r="J1576" s="21" t="n">
        <f aca="false">D1576/(D1576+E1576)</f>
        <v>0.551948051948052</v>
      </c>
      <c r="K1576" s="3" t="n">
        <f aca="false">IF(D1576&gt;E1576,1,0)</f>
        <v>1</v>
      </c>
      <c r="L1576" s="3" t="n">
        <f aca="false">IF(OR(F1576="Y",G1576="Y",H1576="Y"),1,0)</f>
        <v>0</v>
      </c>
      <c r="M1576" s="3" t="n">
        <f aca="false">IF(H1576="Y",1,0)</f>
        <v>0</v>
      </c>
      <c r="N1576" s="3" t="n">
        <f aca="false">IF(I1576="Y",1,0)</f>
        <v>0</v>
      </c>
    </row>
    <row r="1577" customFormat="false" ht="15" hidden="false" customHeight="true" outlineLevel="0" collapsed="false">
      <c r="A1577" s="7" t="s">
        <v>68</v>
      </c>
      <c r="B1577" s="7" t="n">
        <v>1928</v>
      </c>
      <c r="C1577" s="7" t="s">
        <v>509</v>
      </c>
      <c r="D1577" s="7" t="n">
        <v>75</v>
      </c>
      <c r="E1577" s="7" t="n">
        <v>79</v>
      </c>
      <c r="F1577" s="7"/>
      <c r="G1577" s="7"/>
      <c r="H1577" s="7" t="s">
        <v>546</v>
      </c>
      <c r="I1577" s="7" t="s">
        <v>546</v>
      </c>
      <c r="J1577" s="21" t="n">
        <f aca="false">D1577/(D1577+E1577)</f>
        <v>0.487012987012987</v>
      </c>
      <c r="K1577" s="3" t="n">
        <f aca="false">IF(D1577&gt;E1577,1,0)</f>
        <v>0</v>
      </c>
      <c r="L1577" s="3" t="n">
        <f aca="false">IF(OR(F1577="Y",G1577="Y",H1577="Y"),1,0)</f>
        <v>0</v>
      </c>
      <c r="M1577" s="3" t="n">
        <f aca="false">IF(H1577="Y",1,0)</f>
        <v>0</v>
      </c>
      <c r="N1577" s="3" t="n">
        <f aca="false">IF(I1577="Y",1,0)</f>
        <v>0</v>
      </c>
    </row>
    <row r="1578" customFormat="false" ht="15" hidden="false" customHeight="true" outlineLevel="0" collapsed="false">
      <c r="A1578" s="7" t="s">
        <v>68</v>
      </c>
      <c r="B1578" s="7" t="n">
        <v>1929</v>
      </c>
      <c r="C1578" s="7" t="s">
        <v>509</v>
      </c>
      <c r="D1578" s="7" t="n">
        <v>71</v>
      </c>
      <c r="E1578" s="7" t="n">
        <v>81</v>
      </c>
      <c r="F1578" s="7"/>
      <c r="G1578" s="7"/>
      <c r="H1578" s="7" t="s">
        <v>546</v>
      </c>
      <c r="I1578" s="7" t="s">
        <v>546</v>
      </c>
      <c r="J1578" s="21" t="n">
        <f aca="false">D1578/(D1578+E1578)</f>
        <v>0.467105263157895</v>
      </c>
      <c r="K1578" s="3" t="n">
        <f aca="false">IF(D1578&gt;E1578,1,0)</f>
        <v>0</v>
      </c>
      <c r="L1578" s="3" t="n">
        <f aca="false">IF(OR(F1578="Y",G1578="Y",H1578="Y"),1,0)</f>
        <v>0</v>
      </c>
      <c r="M1578" s="3" t="n">
        <f aca="false">IF(H1578="Y",1,0)</f>
        <v>0</v>
      </c>
      <c r="N1578" s="3" t="n">
        <f aca="false">IF(I1578="Y",1,0)</f>
        <v>0</v>
      </c>
    </row>
    <row r="1579" customFormat="false" ht="15" hidden="false" customHeight="true" outlineLevel="0" collapsed="false">
      <c r="A1579" s="7" t="s">
        <v>68</v>
      </c>
      <c r="B1579" s="7" t="n">
        <v>1930</v>
      </c>
      <c r="C1579" s="7" t="s">
        <v>509</v>
      </c>
      <c r="D1579" s="7" t="n">
        <v>94</v>
      </c>
      <c r="E1579" s="7" t="n">
        <v>60</v>
      </c>
      <c r="F1579" s="7"/>
      <c r="G1579" s="7"/>
      <c r="H1579" s="7" t="s">
        <v>546</v>
      </c>
      <c r="I1579" s="7" t="s">
        <v>546</v>
      </c>
      <c r="J1579" s="21" t="n">
        <f aca="false">D1579/(D1579+E1579)</f>
        <v>0.61038961038961</v>
      </c>
      <c r="K1579" s="3" t="n">
        <f aca="false">IF(D1579&gt;E1579,1,0)</f>
        <v>1</v>
      </c>
      <c r="L1579" s="3" t="n">
        <f aca="false">IF(OR(F1579="Y",G1579="Y",H1579="Y"),1,0)</f>
        <v>0</v>
      </c>
      <c r="M1579" s="3" t="n">
        <f aca="false">IF(H1579="Y",1,0)</f>
        <v>0</v>
      </c>
      <c r="N1579" s="3" t="n">
        <f aca="false">IF(I1579="Y",1,0)</f>
        <v>0</v>
      </c>
    </row>
    <row r="1580" customFormat="false" ht="15" hidden="false" customHeight="true" outlineLevel="0" collapsed="false">
      <c r="A1580" s="7" t="s">
        <v>68</v>
      </c>
      <c r="B1580" s="7" t="n">
        <v>1931</v>
      </c>
      <c r="C1580" s="7" t="s">
        <v>509</v>
      </c>
      <c r="D1580" s="7" t="n">
        <v>92</v>
      </c>
      <c r="E1580" s="7" t="n">
        <v>62</v>
      </c>
      <c r="F1580" s="7"/>
      <c r="G1580" s="7"/>
      <c r="H1580" s="7" t="s">
        <v>546</v>
      </c>
      <c r="I1580" s="7" t="s">
        <v>546</v>
      </c>
      <c r="J1580" s="21" t="n">
        <f aca="false">D1580/(D1580+E1580)</f>
        <v>0.597402597402597</v>
      </c>
      <c r="K1580" s="3" t="n">
        <f aca="false">IF(D1580&gt;E1580,1,0)</f>
        <v>1</v>
      </c>
      <c r="L1580" s="3" t="n">
        <f aca="false">IF(OR(F1580="Y",G1580="Y",H1580="Y"),1,0)</f>
        <v>0</v>
      </c>
      <c r="M1580" s="3" t="n">
        <f aca="false">IF(H1580="Y",1,0)</f>
        <v>0</v>
      </c>
      <c r="N1580" s="3" t="n">
        <f aca="false">IF(I1580="Y",1,0)</f>
        <v>0</v>
      </c>
    </row>
    <row r="1581" customFormat="false" ht="15" hidden="false" customHeight="true" outlineLevel="0" collapsed="false">
      <c r="A1581" s="7" t="s">
        <v>68</v>
      </c>
      <c r="B1581" s="7" t="n">
        <v>1932</v>
      </c>
      <c r="C1581" s="7" t="s">
        <v>509</v>
      </c>
      <c r="D1581" s="7" t="n">
        <v>93</v>
      </c>
      <c r="E1581" s="7" t="n">
        <v>61</v>
      </c>
      <c r="F1581" s="7"/>
      <c r="G1581" s="7"/>
      <c r="H1581" s="7" t="s">
        <v>546</v>
      </c>
      <c r="I1581" s="7" t="s">
        <v>546</v>
      </c>
      <c r="J1581" s="21" t="n">
        <f aca="false">D1581/(D1581+E1581)</f>
        <v>0.603896103896104</v>
      </c>
      <c r="K1581" s="3" t="n">
        <f aca="false">IF(D1581&gt;E1581,1,0)</f>
        <v>1</v>
      </c>
      <c r="L1581" s="3" t="n">
        <f aca="false">IF(OR(F1581="Y",G1581="Y",H1581="Y"),1,0)</f>
        <v>0</v>
      </c>
      <c r="M1581" s="3" t="n">
        <f aca="false">IF(H1581="Y",1,0)</f>
        <v>0</v>
      </c>
      <c r="N1581" s="3" t="n">
        <f aca="false">IF(I1581="Y",1,0)</f>
        <v>0</v>
      </c>
    </row>
    <row r="1582" customFormat="false" ht="15" hidden="false" customHeight="true" outlineLevel="0" collapsed="false">
      <c r="A1582" s="7" t="s">
        <v>68</v>
      </c>
      <c r="B1582" s="7" t="n">
        <v>1933</v>
      </c>
      <c r="C1582" s="7" t="s">
        <v>509</v>
      </c>
      <c r="D1582" s="7" t="n">
        <v>99</v>
      </c>
      <c r="E1582" s="7" t="n">
        <v>53</v>
      </c>
      <c r="F1582" s="7"/>
      <c r="G1582" s="7"/>
      <c r="H1582" s="7" t="s">
        <v>548</v>
      </c>
      <c r="I1582" s="7" t="s">
        <v>546</v>
      </c>
      <c r="J1582" s="21" t="n">
        <f aca="false">D1582/(D1582+E1582)</f>
        <v>0.651315789473684</v>
      </c>
      <c r="K1582" s="3" t="n">
        <f aca="false">IF(D1582&gt;E1582,1,0)</f>
        <v>1</v>
      </c>
      <c r="L1582" s="3" t="n">
        <f aca="false">IF(OR(F1582="Y",G1582="Y",H1582="Y"),1,0)</f>
        <v>1</v>
      </c>
      <c r="M1582" s="3" t="n">
        <f aca="false">IF(H1582="Y",1,0)</f>
        <v>1</v>
      </c>
      <c r="N1582" s="3" t="n">
        <f aca="false">IF(I1582="Y",1,0)</f>
        <v>0</v>
      </c>
    </row>
    <row r="1583" customFormat="false" ht="15" hidden="false" customHeight="true" outlineLevel="0" collapsed="false">
      <c r="A1583" s="7" t="s">
        <v>68</v>
      </c>
      <c r="B1583" s="7" t="n">
        <v>1934</v>
      </c>
      <c r="C1583" s="7" t="s">
        <v>509</v>
      </c>
      <c r="D1583" s="7" t="n">
        <v>66</v>
      </c>
      <c r="E1583" s="7" t="n">
        <v>86</v>
      </c>
      <c r="F1583" s="7"/>
      <c r="G1583" s="7"/>
      <c r="H1583" s="7" t="s">
        <v>546</v>
      </c>
      <c r="I1583" s="7" t="s">
        <v>546</v>
      </c>
      <c r="J1583" s="21" t="n">
        <f aca="false">D1583/(D1583+E1583)</f>
        <v>0.43421052631579</v>
      </c>
      <c r="K1583" s="3" t="n">
        <f aca="false">IF(D1583&gt;E1583,1,0)</f>
        <v>0</v>
      </c>
      <c r="L1583" s="3" t="n">
        <f aca="false">IF(OR(F1583="Y",G1583="Y",H1583="Y"),1,0)</f>
        <v>0</v>
      </c>
      <c r="M1583" s="3" t="n">
        <f aca="false">IF(H1583="Y",1,0)</f>
        <v>0</v>
      </c>
      <c r="N1583" s="3" t="n">
        <f aca="false">IF(I1583="Y",1,0)</f>
        <v>0</v>
      </c>
    </row>
    <row r="1584" customFormat="false" ht="15" hidden="false" customHeight="true" outlineLevel="0" collapsed="false">
      <c r="A1584" s="7" t="s">
        <v>68</v>
      </c>
      <c r="B1584" s="7" t="n">
        <v>1935</v>
      </c>
      <c r="C1584" s="7" t="s">
        <v>509</v>
      </c>
      <c r="D1584" s="7" t="n">
        <v>67</v>
      </c>
      <c r="E1584" s="7" t="n">
        <v>86</v>
      </c>
      <c r="F1584" s="7"/>
      <c r="G1584" s="7"/>
      <c r="H1584" s="7" t="s">
        <v>546</v>
      </c>
      <c r="I1584" s="7" t="s">
        <v>546</v>
      </c>
      <c r="J1584" s="21" t="n">
        <f aca="false">D1584/(D1584+E1584)</f>
        <v>0.437908496732026</v>
      </c>
      <c r="K1584" s="3" t="n">
        <f aca="false">IF(D1584&gt;E1584,1,0)</f>
        <v>0</v>
      </c>
      <c r="L1584" s="3" t="n">
        <f aca="false">IF(OR(F1584="Y",G1584="Y",H1584="Y"),1,0)</f>
        <v>0</v>
      </c>
      <c r="M1584" s="3" t="n">
        <f aca="false">IF(H1584="Y",1,0)</f>
        <v>0</v>
      </c>
      <c r="N1584" s="3" t="n">
        <f aca="false">IF(I1584="Y",1,0)</f>
        <v>0</v>
      </c>
    </row>
    <row r="1585" customFormat="false" ht="15" hidden="false" customHeight="true" outlineLevel="0" collapsed="false">
      <c r="A1585" s="7" t="s">
        <v>68</v>
      </c>
      <c r="B1585" s="7" t="n">
        <v>1936</v>
      </c>
      <c r="C1585" s="7" t="s">
        <v>509</v>
      </c>
      <c r="D1585" s="7" t="n">
        <v>82</v>
      </c>
      <c r="E1585" s="7" t="n">
        <v>71</v>
      </c>
      <c r="F1585" s="7"/>
      <c r="G1585" s="7"/>
      <c r="H1585" s="7" t="s">
        <v>546</v>
      </c>
      <c r="I1585" s="7" t="s">
        <v>546</v>
      </c>
      <c r="J1585" s="21" t="n">
        <f aca="false">D1585/(D1585+E1585)</f>
        <v>0.535947712418301</v>
      </c>
      <c r="K1585" s="3" t="n">
        <f aca="false">IF(D1585&gt;E1585,1,0)</f>
        <v>1</v>
      </c>
      <c r="L1585" s="3" t="n">
        <f aca="false">IF(OR(F1585="Y",G1585="Y",H1585="Y"),1,0)</f>
        <v>0</v>
      </c>
      <c r="M1585" s="3" t="n">
        <f aca="false">IF(H1585="Y",1,0)</f>
        <v>0</v>
      </c>
      <c r="N1585" s="3" t="n">
        <f aca="false">IF(I1585="Y",1,0)</f>
        <v>0</v>
      </c>
    </row>
    <row r="1586" customFormat="false" ht="15" hidden="false" customHeight="true" outlineLevel="0" collapsed="false">
      <c r="A1586" s="7" t="s">
        <v>68</v>
      </c>
      <c r="B1586" s="7" t="n">
        <v>1937</v>
      </c>
      <c r="C1586" s="7" t="s">
        <v>509</v>
      </c>
      <c r="D1586" s="7" t="n">
        <v>73</v>
      </c>
      <c r="E1586" s="7" t="n">
        <v>80</v>
      </c>
      <c r="F1586" s="7"/>
      <c r="G1586" s="7"/>
      <c r="H1586" s="7" t="s">
        <v>546</v>
      </c>
      <c r="I1586" s="7" t="s">
        <v>546</v>
      </c>
      <c r="J1586" s="21" t="n">
        <f aca="false">D1586/(D1586+E1586)</f>
        <v>0.477124183006536</v>
      </c>
      <c r="K1586" s="3" t="n">
        <f aca="false">IF(D1586&gt;E1586,1,0)</f>
        <v>0</v>
      </c>
      <c r="L1586" s="3" t="n">
        <f aca="false">IF(OR(F1586="Y",G1586="Y",H1586="Y"),1,0)</f>
        <v>0</v>
      </c>
      <c r="M1586" s="3" t="n">
        <f aca="false">IF(H1586="Y",1,0)</f>
        <v>0</v>
      </c>
      <c r="N1586" s="3" t="n">
        <f aca="false">IF(I1586="Y",1,0)</f>
        <v>0</v>
      </c>
    </row>
    <row r="1587" customFormat="false" ht="15" hidden="false" customHeight="true" outlineLevel="0" collapsed="false">
      <c r="A1587" s="7" t="s">
        <v>68</v>
      </c>
      <c r="B1587" s="7" t="n">
        <v>1938</v>
      </c>
      <c r="C1587" s="7" t="s">
        <v>509</v>
      </c>
      <c r="D1587" s="7" t="n">
        <v>75</v>
      </c>
      <c r="E1587" s="7" t="n">
        <v>76</v>
      </c>
      <c r="F1587" s="7"/>
      <c r="G1587" s="7"/>
      <c r="H1587" s="7" t="s">
        <v>546</v>
      </c>
      <c r="I1587" s="7" t="s">
        <v>546</v>
      </c>
      <c r="J1587" s="21" t="n">
        <f aca="false">D1587/(D1587+E1587)</f>
        <v>0.496688741721854</v>
      </c>
      <c r="K1587" s="3" t="n">
        <f aca="false">IF(D1587&gt;E1587,1,0)</f>
        <v>0</v>
      </c>
      <c r="L1587" s="3" t="n">
        <f aca="false">IF(OR(F1587="Y",G1587="Y",H1587="Y"),1,0)</f>
        <v>0</v>
      </c>
      <c r="M1587" s="3" t="n">
        <f aca="false">IF(H1587="Y",1,0)</f>
        <v>0</v>
      </c>
      <c r="N1587" s="3" t="n">
        <f aca="false">IF(I1587="Y",1,0)</f>
        <v>0</v>
      </c>
    </row>
    <row r="1588" customFormat="false" ht="15" hidden="false" customHeight="true" outlineLevel="0" collapsed="false">
      <c r="A1588" s="7" t="s">
        <v>68</v>
      </c>
      <c r="B1588" s="7" t="n">
        <v>1939</v>
      </c>
      <c r="C1588" s="7" t="s">
        <v>509</v>
      </c>
      <c r="D1588" s="7" t="n">
        <v>65</v>
      </c>
      <c r="E1588" s="7" t="n">
        <v>87</v>
      </c>
      <c r="F1588" s="7"/>
      <c r="G1588" s="7"/>
      <c r="H1588" s="7" t="s">
        <v>546</v>
      </c>
      <c r="I1588" s="7" t="s">
        <v>546</v>
      </c>
      <c r="J1588" s="21" t="n">
        <f aca="false">D1588/(D1588+E1588)</f>
        <v>0.427631578947368</v>
      </c>
      <c r="K1588" s="3" t="n">
        <f aca="false">IF(D1588&gt;E1588,1,0)</f>
        <v>0</v>
      </c>
      <c r="L1588" s="3" t="n">
        <f aca="false">IF(OR(F1588="Y",G1588="Y",H1588="Y"),1,0)</f>
        <v>0</v>
      </c>
      <c r="M1588" s="3" t="n">
        <f aca="false">IF(H1588="Y",1,0)</f>
        <v>0</v>
      </c>
      <c r="N1588" s="3" t="n">
        <f aca="false">IF(I1588="Y",1,0)</f>
        <v>0</v>
      </c>
    </row>
    <row r="1589" customFormat="false" ht="15" hidden="false" customHeight="true" outlineLevel="0" collapsed="false">
      <c r="A1589" s="7" t="s">
        <v>68</v>
      </c>
      <c r="B1589" s="7" t="n">
        <v>1940</v>
      </c>
      <c r="C1589" s="7" t="s">
        <v>509</v>
      </c>
      <c r="D1589" s="7" t="n">
        <v>64</v>
      </c>
      <c r="E1589" s="7" t="n">
        <v>90</v>
      </c>
      <c r="F1589" s="7"/>
      <c r="G1589" s="7"/>
      <c r="H1589" s="7" t="s">
        <v>546</v>
      </c>
      <c r="I1589" s="7" t="s">
        <v>546</v>
      </c>
      <c r="J1589" s="21" t="n">
        <f aca="false">D1589/(D1589+E1589)</f>
        <v>0.415584415584416</v>
      </c>
      <c r="K1589" s="3" t="n">
        <f aca="false">IF(D1589&gt;E1589,1,0)</f>
        <v>0</v>
      </c>
      <c r="L1589" s="3" t="n">
        <f aca="false">IF(OR(F1589="Y",G1589="Y",H1589="Y"),1,0)</f>
        <v>0</v>
      </c>
      <c r="M1589" s="3" t="n">
        <f aca="false">IF(H1589="Y",1,0)</f>
        <v>0</v>
      </c>
      <c r="N1589" s="3" t="n">
        <f aca="false">IF(I1589="Y",1,0)</f>
        <v>0</v>
      </c>
    </row>
    <row r="1590" customFormat="false" ht="15" hidden="false" customHeight="true" outlineLevel="0" collapsed="false">
      <c r="A1590" s="7" t="s">
        <v>68</v>
      </c>
      <c r="B1590" s="7" t="n">
        <v>1941</v>
      </c>
      <c r="C1590" s="7" t="s">
        <v>509</v>
      </c>
      <c r="D1590" s="7" t="n">
        <v>70</v>
      </c>
      <c r="E1590" s="7" t="n">
        <v>84</v>
      </c>
      <c r="F1590" s="7"/>
      <c r="G1590" s="7"/>
      <c r="H1590" s="7" t="s">
        <v>546</v>
      </c>
      <c r="I1590" s="7" t="s">
        <v>546</v>
      </c>
      <c r="J1590" s="21" t="n">
        <f aca="false">D1590/(D1590+E1590)</f>
        <v>0.454545454545455</v>
      </c>
      <c r="K1590" s="3" t="n">
        <f aca="false">IF(D1590&gt;E1590,1,0)</f>
        <v>0</v>
      </c>
      <c r="L1590" s="3" t="n">
        <f aca="false">IF(OR(F1590="Y",G1590="Y",H1590="Y"),1,0)</f>
        <v>0</v>
      </c>
      <c r="M1590" s="3" t="n">
        <f aca="false">IF(H1590="Y",1,0)</f>
        <v>0</v>
      </c>
      <c r="N1590" s="3" t="n">
        <f aca="false">IF(I1590="Y",1,0)</f>
        <v>0</v>
      </c>
    </row>
    <row r="1591" customFormat="false" ht="15" hidden="false" customHeight="true" outlineLevel="0" collapsed="false">
      <c r="A1591" s="7" t="s">
        <v>68</v>
      </c>
      <c r="B1591" s="7" t="n">
        <v>1942</v>
      </c>
      <c r="C1591" s="7" t="s">
        <v>509</v>
      </c>
      <c r="D1591" s="7" t="n">
        <v>62</v>
      </c>
      <c r="E1591" s="7" t="n">
        <v>89</v>
      </c>
      <c r="F1591" s="7"/>
      <c r="G1591" s="7"/>
      <c r="H1591" s="7" t="s">
        <v>546</v>
      </c>
      <c r="I1591" s="7" t="s">
        <v>546</v>
      </c>
      <c r="J1591" s="21" t="n">
        <f aca="false">D1591/(D1591+E1591)</f>
        <v>0.410596026490066</v>
      </c>
      <c r="K1591" s="3" t="n">
        <f aca="false">IF(D1591&gt;E1591,1,0)</f>
        <v>0</v>
      </c>
      <c r="L1591" s="3" t="n">
        <f aca="false">IF(OR(F1591="Y",G1591="Y",H1591="Y"),1,0)</f>
        <v>0</v>
      </c>
      <c r="M1591" s="3" t="n">
        <f aca="false">IF(H1591="Y",1,0)</f>
        <v>0</v>
      </c>
      <c r="N1591" s="3" t="n">
        <f aca="false">IF(I1591="Y",1,0)</f>
        <v>0</v>
      </c>
    </row>
    <row r="1592" customFormat="false" ht="15" hidden="false" customHeight="true" outlineLevel="0" collapsed="false">
      <c r="A1592" s="7" t="s">
        <v>68</v>
      </c>
      <c r="B1592" s="7" t="n">
        <v>1943</v>
      </c>
      <c r="C1592" s="7" t="s">
        <v>509</v>
      </c>
      <c r="D1592" s="7" t="n">
        <v>84</v>
      </c>
      <c r="E1592" s="7" t="n">
        <v>69</v>
      </c>
      <c r="F1592" s="7"/>
      <c r="G1592" s="7"/>
      <c r="H1592" s="7" t="s">
        <v>546</v>
      </c>
      <c r="I1592" s="7" t="s">
        <v>546</v>
      </c>
      <c r="J1592" s="21" t="n">
        <f aca="false">D1592/(D1592+E1592)</f>
        <v>0.549019607843137</v>
      </c>
      <c r="K1592" s="3" t="n">
        <f aca="false">IF(D1592&gt;E1592,1,0)</f>
        <v>1</v>
      </c>
      <c r="L1592" s="3" t="n">
        <f aca="false">IF(OR(F1592="Y",G1592="Y",H1592="Y"),1,0)</f>
        <v>0</v>
      </c>
      <c r="M1592" s="3" t="n">
        <f aca="false">IF(H1592="Y",1,0)</f>
        <v>0</v>
      </c>
      <c r="N1592" s="3" t="n">
        <f aca="false">IF(I1592="Y",1,0)</f>
        <v>0</v>
      </c>
    </row>
    <row r="1593" customFormat="false" ht="15" hidden="false" customHeight="true" outlineLevel="0" collapsed="false">
      <c r="A1593" s="7" t="s">
        <v>68</v>
      </c>
      <c r="B1593" s="7" t="n">
        <v>1944</v>
      </c>
      <c r="C1593" s="7" t="s">
        <v>509</v>
      </c>
      <c r="D1593" s="7" t="n">
        <v>64</v>
      </c>
      <c r="E1593" s="7" t="n">
        <v>90</v>
      </c>
      <c r="F1593" s="7"/>
      <c r="G1593" s="7"/>
      <c r="H1593" s="7" t="s">
        <v>546</v>
      </c>
      <c r="I1593" s="7" t="s">
        <v>546</v>
      </c>
      <c r="J1593" s="21" t="n">
        <f aca="false">D1593/(D1593+E1593)</f>
        <v>0.415584415584416</v>
      </c>
      <c r="K1593" s="3" t="n">
        <f aca="false">IF(D1593&gt;E1593,1,0)</f>
        <v>0</v>
      </c>
      <c r="L1593" s="3" t="n">
        <f aca="false">IF(OR(F1593="Y",G1593="Y",H1593="Y"),1,0)</f>
        <v>0</v>
      </c>
      <c r="M1593" s="3" t="n">
        <f aca="false">IF(H1593="Y",1,0)</f>
        <v>0</v>
      </c>
      <c r="N1593" s="3" t="n">
        <f aca="false">IF(I1593="Y",1,0)</f>
        <v>0</v>
      </c>
    </row>
    <row r="1594" customFormat="false" ht="15" hidden="false" customHeight="true" outlineLevel="0" collapsed="false">
      <c r="A1594" s="7" t="s">
        <v>68</v>
      </c>
      <c r="B1594" s="7" t="n">
        <v>1945</v>
      </c>
      <c r="C1594" s="7" t="s">
        <v>509</v>
      </c>
      <c r="D1594" s="7" t="n">
        <v>87</v>
      </c>
      <c r="E1594" s="7" t="n">
        <v>67</v>
      </c>
      <c r="F1594" s="7"/>
      <c r="G1594" s="7"/>
      <c r="H1594" s="7" t="s">
        <v>546</v>
      </c>
      <c r="I1594" s="7" t="s">
        <v>546</v>
      </c>
      <c r="J1594" s="21" t="n">
        <f aca="false">D1594/(D1594+E1594)</f>
        <v>0.564935064935065</v>
      </c>
      <c r="K1594" s="3" t="n">
        <f aca="false">IF(D1594&gt;E1594,1,0)</f>
        <v>1</v>
      </c>
      <c r="L1594" s="3" t="n">
        <f aca="false">IF(OR(F1594="Y",G1594="Y",H1594="Y"),1,0)</f>
        <v>0</v>
      </c>
      <c r="M1594" s="3" t="n">
        <f aca="false">IF(H1594="Y",1,0)</f>
        <v>0</v>
      </c>
      <c r="N1594" s="3" t="n">
        <f aca="false">IF(I1594="Y",1,0)</f>
        <v>0</v>
      </c>
    </row>
    <row r="1595" customFormat="false" ht="15" hidden="false" customHeight="true" outlineLevel="0" collapsed="false">
      <c r="A1595" s="7" t="s">
        <v>68</v>
      </c>
      <c r="B1595" s="7" t="n">
        <v>1946</v>
      </c>
      <c r="C1595" s="7" t="s">
        <v>509</v>
      </c>
      <c r="D1595" s="7" t="n">
        <v>76</v>
      </c>
      <c r="E1595" s="7" t="n">
        <v>78</v>
      </c>
      <c r="F1595" s="7"/>
      <c r="G1595" s="7"/>
      <c r="H1595" s="7" t="s">
        <v>546</v>
      </c>
      <c r="I1595" s="7" t="s">
        <v>546</v>
      </c>
      <c r="J1595" s="21" t="n">
        <f aca="false">D1595/(D1595+E1595)</f>
        <v>0.493506493506494</v>
      </c>
      <c r="K1595" s="3" t="n">
        <f aca="false">IF(D1595&gt;E1595,1,0)</f>
        <v>0</v>
      </c>
      <c r="L1595" s="3" t="n">
        <f aca="false">IF(OR(F1595="Y",G1595="Y",H1595="Y"),1,0)</f>
        <v>0</v>
      </c>
      <c r="M1595" s="3" t="n">
        <f aca="false">IF(H1595="Y",1,0)</f>
        <v>0</v>
      </c>
      <c r="N1595" s="3" t="n">
        <f aca="false">IF(I1595="Y",1,0)</f>
        <v>0</v>
      </c>
    </row>
    <row r="1596" customFormat="false" ht="15" hidden="false" customHeight="true" outlineLevel="0" collapsed="false">
      <c r="A1596" s="7" t="s">
        <v>68</v>
      </c>
      <c r="B1596" s="7" t="n">
        <v>1947</v>
      </c>
      <c r="C1596" s="7" t="s">
        <v>509</v>
      </c>
      <c r="D1596" s="7" t="n">
        <v>64</v>
      </c>
      <c r="E1596" s="7" t="n">
        <v>90</v>
      </c>
      <c r="F1596" s="7"/>
      <c r="G1596" s="7"/>
      <c r="H1596" s="7" t="s">
        <v>546</v>
      </c>
      <c r="I1596" s="7" t="s">
        <v>546</v>
      </c>
      <c r="J1596" s="21" t="n">
        <f aca="false">D1596/(D1596+E1596)</f>
        <v>0.415584415584416</v>
      </c>
      <c r="K1596" s="3" t="n">
        <f aca="false">IF(D1596&gt;E1596,1,0)</f>
        <v>0</v>
      </c>
      <c r="L1596" s="3" t="n">
        <f aca="false">IF(OR(F1596="Y",G1596="Y",H1596="Y"),1,0)</f>
        <v>0</v>
      </c>
      <c r="M1596" s="3" t="n">
        <f aca="false">IF(H1596="Y",1,0)</f>
        <v>0</v>
      </c>
      <c r="N1596" s="3" t="n">
        <f aca="false">IF(I1596="Y",1,0)</f>
        <v>0</v>
      </c>
    </row>
    <row r="1597" customFormat="false" ht="15" hidden="false" customHeight="true" outlineLevel="0" collapsed="false">
      <c r="A1597" s="7" t="s">
        <v>68</v>
      </c>
      <c r="B1597" s="7" t="n">
        <v>1948</v>
      </c>
      <c r="C1597" s="7" t="s">
        <v>509</v>
      </c>
      <c r="D1597" s="7" t="n">
        <v>56</v>
      </c>
      <c r="E1597" s="7" t="n">
        <v>97</v>
      </c>
      <c r="F1597" s="7"/>
      <c r="G1597" s="7"/>
      <c r="H1597" s="7" t="s">
        <v>546</v>
      </c>
      <c r="I1597" s="7" t="s">
        <v>546</v>
      </c>
      <c r="J1597" s="21" t="n">
        <f aca="false">D1597/(D1597+E1597)</f>
        <v>0.366013071895425</v>
      </c>
      <c r="K1597" s="3" t="n">
        <f aca="false">IF(D1597&gt;E1597,1,0)</f>
        <v>0</v>
      </c>
      <c r="L1597" s="3" t="n">
        <f aca="false">IF(OR(F1597="Y",G1597="Y",H1597="Y"),1,0)</f>
        <v>0</v>
      </c>
      <c r="M1597" s="3" t="n">
        <f aca="false">IF(H1597="Y",1,0)</f>
        <v>0</v>
      </c>
      <c r="N1597" s="3" t="n">
        <f aca="false">IF(I1597="Y",1,0)</f>
        <v>0</v>
      </c>
    </row>
    <row r="1598" customFormat="false" ht="15" hidden="false" customHeight="true" outlineLevel="0" collapsed="false">
      <c r="A1598" s="7" t="s">
        <v>68</v>
      </c>
      <c r="B1598" s="7" t="n">
        <v>1949</v>
      </c>
      <c r="C1598" s="7" t="s">
        <v>509</v>
      </c>
      <c r="D1598" s="7" t="n">
        <v>50</v>
      </c>
      <c r="E1598" s="7" t="n">
        <v>104</v>
      </c>
      <c r="F1598" s="7"/>
      <c r="G1598" s="7"/>
      <c r="H1598" s="7" t="s">
        <v>546</v>
      </c>
      <c r="I1598" s="7" t="s">
        <v>546</v>
      </c>
      <c r="J1598" s="21" t="n">
        <f aca="false">D1598/(D1598+E1598)</f>
        <v>0.324675324675325</v>
      </c>
      <c r="K1598" s="3" t="n">
        <f aca="false">IF(D1598&gt;E1598,1,0)</f>
        <v>0</v>
      </c>
      <c r="L1598" s="3" t="n">
        <f aca="false">IF(OR(F1598="Y",G1598="Y",H1598="Y"),1,0)</f>
        <v>0</v>
      </c>
      <c r="M1598" s="3" t="n">
        <f aca="false">IF(H1598="Y",1,0)</f>
        <v>0</v>
      </c>
      <c r="N1598" s="3" t="n">
        <f aca="false">IF(I1598="Y",1,0)</f>
        <v>0</v>
      </c>
    </row>
    <row r="1599" customFormat="false" ht="15" hidden="false" customHeight="true" outlineLevel="0" collapsed="false">
      <c r="A1599" s="7" t="s">
        <v>68</v>
      </c>
      <c r="B1599" s="7" t="n">
        <v>1950</v>
      </c>
      <c r="C1599" s="7" t="s">
        <v>509</v>
      </c>
      <c r="D1599" s="7" t="n">
        <v>67</v>
      </c>
      <c r="E1599" s="7" t="n">
        <v>87</v>
      </c>
      <c r="F1599" s="7"/>
      <c r="G1599" s="7"/>
      <c r="H1599" s="7" t="s">
        <v>546</v>
      </c>
      <c r="I1599" s="7" t="s">
        <v>546</v>
      </c>
      <c r="J1599" s="21" t="n">
        <f aca="false">D1599/(D1599+E1599)</f>
        <v>0.435064935064935</v>
      </c>
      <c r="K1599" s="3" t="n">
        <f aca="false">IF(D1599&gt;E1599,1,0)</f>
        <v>0</v>
      </c>
      <c r="L1599" s="3" t="n">
        <f aca="false">IF(OR(F1599="Y",G1599="Y",H1599="Y"),1,0)</f>
        <v>0</v>
      </c>
      <c r="M1599" s="3" t="n">
        <f aca="false">IF(H1599="Y",1,0)</f>
        <v>0</v>
      </c>
      <c r="N1599" s="3" t="n">
        <f aca="false">IF(I1599="Y",1,0)</f>
        <v>0</v>
      </c>
    </row>
    <row r="1600" customFormat="false" ht="15" hidden="false" customHeight="true" outlineLevel="0" collapsed="false">
      <c r="A1600" s="7" t="s">
        <v>68</v>
      </c>
      <c r="B1600" s="7" t="n">
        <v>1951</v>
      </c>
      <c r="C1600" s="7" t="s">
        <v>509</v>
      </c>
      <c r="D1600" s="7" t="n">
        <v>62</v>
      </c>
      <c r="E1600" s="7" t="n">
        <v>92</v>
      </c>
      <c r="F1600" s="7"/>
      <c r="G1600" s="7"/>
      <c r="H1600" s="7" t="s">
        <v>546</v>
      </c>
      <c r="I1600" s="7" t="s">
        <v>546</v>
      </c>
      <c r="J1600" s="21" t="n">
        <f aca="false">D1600/(D1600+E1600)</f>
        <v>0.402597402597403</v>
      </c>
      <c r="K1600" s="3" t="n">
        <f aca="false">IF(D1600&gt;E1600,1,0)</f>
        <v>0</v>
      </c>
      <c r="L1600" s="3" t="n">
        <f aca="false">IF(OR(F1600="Y",G1600="Y",H1600="Y"),1,0)</f>
        <v>0</v>
      </c>
      <c r="M1600" s="3" t="n">
        <f aca="false">IF(H1600="Y",1,0)</f>
        <v>0</v>
      </c>
      <c r="N1600" s="3" t="n">
        <f aca="false">IF(I1600="Y",1,0)</f>
        <v>0</v>
      </c>
    </row>
    <row r="1601" customFormat="false" ht="15" hidden="false" customHeight="true" outlineLevel="0" collapsed="false">
      <c r="A1601" s="7" t="s">
        <v>68</v>
      </c>
      <c r="B1601" s="7" t="n">
        <v>1952</v>
      </c>
      <c r="C1601" s="7" t="s">
        <v>509</v>
      </c>
      <c r="D1601" s="7" t="n">
        <v>78</v>
      </c>
      <c r="E1601" s="7" t="n">
        <v>76</v>
      </c>
      <c r="F1601" s="7"/>
      <c r="G1601" s="7"/>
      <c r="H1601" s="7" t="s">
        <v>546</v>
      </c>
      <c r="I1601" s="7" t="s">
        <v>546</v>
      </c>
      <c r="J1601" s="21" t="n">
        <f aca="false">D1601/(D1601+E1601)</f>
        <v>0.506493506493506</v>
      </c>
      <c r="K1601" s="3" t="n">
        <f aca="false">IF(D1601&gt;E1601,1,0)</f>
        <v>1</v>
      </c>
      <c r="L1601" s="3" t="n">
        <f aca="false">IF(OR(F1601="Y",G1601="Y",H1601="Y"),1,0)</f>
        <v>0</v>
      </c>
      <c r="M1601" s="3" t="n">
        <f aca="false">IF(H1601="Y",1,0)</f>
        <v>0</v>
      </c>
      <c r="N1601" s="3" t="n">
        <f aca="false">IF(I1601="Y",1,0)</f>
        <v>0</v>
      </c>
    </row>
    <row r="1602" customFormat="false" ht="15" hidden="false" customHeight="true" outlineLevel="0" collapsed="false">
      <c r="A1602" s="7" t="s">
        <v>68</v>
      </c>
      <c r="B1602" s="7" t="n">
        <v>1953</v>
      </c>
      <c r="C1602" s="7" t="s">
        <v>509</v>
      </c>
      <c r="D1602" s="7" t="n">
        <v>76</v>
      </c>
      <c r="E1602" s="7" t="n">
        <v>76</v>
      </c>
      <c r="F1602" s="7"/>
      <c r="G1602" s="7"/>
      <c r="H1602" s="7" t="s">
        <v>546</v>
      </c>
      <c r="I1602" s="7" t="s">
        <v>546</v>
      </c>
      <c r="J1602" s="21" t="n">
        <f aca="false">D1602/(D1602+E1602)</f>
        <v>0.5</v>
      </c>
      <c r="K1602" s="3" t="n">
        <f aca="false">IF(D1602&gt;E1602,1,0)</f>
        <v>0</v>
      </c>
      <c r="L1602" s="3" t="n">
        <f aca="false">IF(OR(F1602="Y",G1602="Y",H1602="Y"),1,0)</f>
        <v>0</v>
      </c>
      <c r="M1602" s="3" t="n">
        <f aca="false">IF(H1602="Y",1,0)</f>
        <v>0</v>
      </c>
      <c r="N1602" s="3" t="n">
        <f aca="false">IF(I1602="Y",1,0)</f>
        <v>0</v>
      </c>
    </row>
    <row r="1603" customFormat="false" ht="15" hidden="false" customHeight="true" outlineLevel="0" collapsed="false">
      <c r="A1603" s="7" t="s">
        <v>68</v>
      </c>
      <c r="B1603" s="7" t="n">
        <v>1954</v>
      </c>
      <c r="C1603" s="7" t="s">
        <v>509</v>
      </c>
      <c r="D1603" s="7" t="n">
        <v>66</v>
      </c>
      <c r="E1603" s="7" t="n">
        <v>88</v>
      </c>
      <c r="F1603" s="7"/>
      <c r="G1603" s="7"/>
      <c r="H1603" s="7" t="s">
        <v>546</v>
      </c>
      <c r="I1603" s="7" t="s">
        <v>546</v>
      </c>
      <c r="J1603" s="21" t="n">
        <f aca="false">D1603/(D1603+E1603)</f>
        <v>0.428571428571429</v>
      </c>
      <c r="K1603" s="3" t="n">
        <f aca="false">IF(D1603&gt;E1603,1,0)</f>
        <v>0</v>
      </c>
      <c r="L1603" s="3" t="n">
        <f aca="false">IF(OR(F1603="Y",G1603="Y",H1603="Y"),1,0)</f>
        <v>0</v>
      </c>
      <c r="M1603" s="3" t="n">
        <f aca="false">IF(H1603="Y",1,0)</f>
        <v>0</v>
      </c>
      <c r="N1603" s="3" t="n">
        <f aca="false">IF(I1603="Y",1,0)</f>
        <v>0</v>
      </c>
    </row>
    <row r="1604" customFormat="false" ht="15" hidden="false" customHeight="true" outlineLevel="0" collapsed="false">
      <c r="A1604" s="7" t="s">
        <v>68</v>
      </c>
      <c r="B1604" s="7" t="n">
        <v>1955</v>
      </c>
      <c r="C1604" s="7" t="s">
        <v>509</v>
      </c>
      <c r="D1604" s="7" t="n">
        <v>53</v>
      </c>
      <c r="E1604" s="7" t="n">
        <v>101</v>
      </c>
      <c r="F1604" s="7"/>
      <c r="G1604" s="7"/>
      <c r="H1604" s="7" t="s">
        <v>546</v>
      </c>
      <c r="I1604" s="7" t="s">
        <v>546</v>
      </c>
      <c r="J1604" s="21" t="n">
        <f aca="false">D1604/(D1604+E1604)</f>
        <v>0.344155844155844</v>
      </c>
      <c r="K1604" s="3" t="n">
        <f aca="false">IF(D1604&gt;E1604,1,0)</f>
        <v>0</v>
      </c>
      <c r="L1604" s="3" t="n">
        <f aca="false">IF(OR(F1604="Y",G1604="Y",H1604="Y"),1,0)</f>
        <v>0</v>
      </c>
      <c r="M1604" s="3" t="n">
        <f aca="false">IF(H1604="Y",1,0)</f>
        <v>0</v>
      </c>
      <c r="N1604" s="3" t="n">
        <f aca="false">IF(I1604="Y",1,0)</f>
        <v>0</v>
      </c>
    </row>
    <row r="1605" customFormat="false" ht="15" hidden="false" customHeight="true" outlineLevel="0" collapsed="false">
      <c r="A1605" s="7" t="s">
        <v>68</v>
      </c>
      <c r="B1605" s="7" t="n">
        <v>1956</v>
      </c>
      <c r="C1605" s="7" t="s">
        <v>509</v>
      </c>
      <c r="D1605" s="7" t="n">
        <v>59</v>
      </c>
      <c r="E1605" s="7" t="n">
        <v>95</v>
      </c>
      <c r="F1605" s="7"/>
      <c r="G1605" s="7"/>
      <c r="H1605" s="7" t="s">
        <v>546</v>
      </c>
      <c r="I1605" s="7" t="s">
        <v>546</v>
      </c>
      <c r="J1605" s="21" t="n">
        <f aca="false">D1605/(D1605+E1605)</f>
        <v>0.383116883116883</v>
      </c>
      <c r="K1605" s="3" t="n">
        <f aca="false">IF(D1605&gt;E1605,1,0)</f>
        <v>0</v>
      </c>
      <c r="L1605" s="3" t="n">
        <f aca="false">IF(OR(F1605="Y",G1605="Y",H1605="Y"),1,0)</f>
        <v>0</v>
      </c>
      <c r="M1605" s="3" t="n">
        <f aca="false">IF(H1605="Y",1,0)</f>
        <v>0</v>
      </c>
      <c r="N1605" s="3" t="n">
        <f aca="false">IF(I1605="Y",1,0)</f>
        <v>0</v>
      </c>
    </row>
    <row r="1606" customFormat="false" ht="15" hidden="false" customHeight="true" outlineLevel="0" collapsed="false">
      <c r="A1606" s="7" t="s">
        <v>68</v>
      </c>
      <c r="B1606" s="7" t="n">
        <v>1957</v>
      </c>
      <c r="C1606" s="7" t="s">
        <v>509</v>
      </c>
      <c r="D1606" s="7" t="n">
        <v>55</v>
      </c>
      <c r="E1606" s="7" t="n">
        <v>99</v>
      </c>
      <c r="F1606" s="7"/>
      <c r="G1606" s="7"/>
      <c r="H1606" s="7" t="s">
        <v>546</v>
      </c>
      <c r="I1606" s="7" t="s">
        <v>546</v>
      </c>
      <c r="J1606" s="21" t="n">
        <f aca="false">D1606/(D1606+E1606)</f>
        <v>0.357142857142857</v>
      </c>
      <c r="K1606" s="3" t="n">
        <f aca="false">IF(D1606&gt;E1606,1,0)</f>
        <v>0</v>
      </c>
      <c r="L1606" s="3" t="n">
        <f aca="false">IF(OR(F1606="Y",G1606="Y",H1606="Y"),1,0)</f>
        <v>0</v>
      </c>
      <c r="M1606" s="3" t="n">
        <f aca="false">IF(H1606="Y",1,0)</f>
        <v>0</v>
      </c>
      <c r="N1606" s="3" t="n">
        <f aca="false">IF(I1606="Y",1,0)</f>
        <v>0</v>
      </c>
    </row>
    <row r="1607" customFormat="false" ht="15" hidden="false" customHeight="true" outlineLevel="0" collapsed="false">
      <c r="A1607" s="7" t="s">
        <v>68</v>
      </c>
      <c r="B1607" s="7" t="n">
        <v>1958</v>
      </c>
      <c r="C1607" s="7" t="s">
        <v>509</v>
      </c>
      <c r="D1607" s="7" t="n">
        <v>61</v>
      </c>
      <c r="E1607" s="7" t="n">
        <v>93</v>
      </c>
      <c r="F1607" s="7"/>
      <c r="G1607" s="7"/>
      <c r="H1607" s="7" t="s">
        <v>546</v>
      </c>
      <c r="I1607" s="7" t="s">
        <v>546</v>
      </c>
      <c r="J1607" s="21" t="n">
        <f aca="false">D1607/(D1607+E1607)</f>
        <v>0.396103896103896</v>
      </c>
      <c r="K1607" s="3" t="n">
        <f aca="false">IF(D1607&gt;E1607,1,0)</f>
        <v>0</v>
      </c>
      <c r="L1607" s="3" t="n">
        <f aca="false">IF(OR(F1607="Y",G1607="Y",H1607="Y"),1,0)</f>
        <v>0</v>
      </c>
      <c r="M1607" s="3" t="n">
        <f aca="false">IF(H1607="Y",1,0)</f>
        <v>0</v>
      </c>
      <c r="N1607" s="3" t="n">
        <f aca="false">IF(I1607="Y",1,0)</f>
        <v>0</v>
      </c>
    </row>
    <row r="1608" customFormat="false" ht="15" hidden="false" customHeight="true" outlineLevel="0" collapsed="false">
      <c r="A1608" s="7" t="s">
        <v>68</v>
      </c>
      <c r="B1608" s="7" t="n">
        <v>1959</v>
      </c>
      <c r="C1608" s="7" t="s">
        <v>509</v>
      </c>
      <c r="D1608" s="7" t="n">
        <v>63</v>
      </c>
      <c r="E1608" s="7" t="n">
        <v>91</v>
      </c>
      <c r="F1608" s="7"/>
      <c r="G1608" s="7"/>
      <c r="H1608" s="7" t="s">
        <v>546</v>
      </c>
      <c r="I1608" s="7" t="s">
        <v>546</v>
      </c>
      <c r="J1608" s="21" t="n">
        <f aca="false">D1608/(D1608+E1608)</f>
        <v>0.409090909090909</v>
      </c>
      <c r="K1608" s="3" t="n">
        <f aca="false">IF(D1608&gt;E1608,1,0)</f>
        <v>0</v>
      </c>
      <c r="L1608" s="3" t="n">
        <f aca="false">IF(OR(F1608="Y",G1608="Y",H1608="Y"),1,0)</f>
        <v>0</v>
      </c>
      <c r="M1608" s="3" t="n">
        <f aca="false">IF(H1608="Y",1,0)</f>
        <v>0</v>
      </c>
      <c r="N1608" s="3" t="n">
        <f aca="false">IF(I1608="Y",1,0)</f>
        <v>0</v>
      </c>
    </row>
    <row r="1609" customFormat="false" ht="15" hidden="false" customHeight="true" outlineLevel="0" collapsed="false">
      <c r="A1609" s="7" t="s">
        <v>68</v>
      </c>
      <c r="B1609" s="7" t="n">
        <v>1960</v>
      </c>
      <c r="C1609" s="7" t="s">
        <v>509</v>
      </c>
      <c r="D1609" s="7" t="n">
        <v>73</v>
      </c>
      <c r="E1609" s="7" t="n">
        <v>81</v>
      </c>
      <c r="F1609" s="7"/>
      <c r="G1609" s="7"/>
      <c r="H1609" s="7" t="s">
        <v>546</v>
      </c>
      <c r="I1609" s="7" t="s">
        <v>546</v>
      </c>
      <c r="J1609" s="21" t="n">
        <f aca="false">D1609/(D1609+E1609)</f>
        <v>0.474025974025974</v>
      </c>
      <c r="K1609" s="3" t="n">
        <f aca="false">IF(D1609&gt;E1609,1,0)</f>
        <v>0</v>
      </c>
      <c r="L1609" s="3" t="n">
        <f aca="false">IF(OR(F1609="Y",G1609="Y",H1609="Y"),1,0)</f>
        <v>0</v>
      </c>
      <c r="M1609" s="3" t="n">
        <f aca="false">IF(H1609="Y",1,0)</f>
        <v>0</v>
      </c>
      <c r="N1609" s="3" t="n">
        <f aca="false">IF(I1609="Y",1,0)</f>
        <v>0</v>
      </c>
    </row>
    <row r="1610" customFormat="false" ht="15" hidden="false" customHeight="true" outlineLevel="0" collapsed="false">
      <c r="A1610" s="7" t="s">
        <v>68</v>
      </c>
      <c r="B1610" s="7" t="n">
        <v>1961</v>
      </c>
      <c r="C1610" s="7" t="s">
        <v>369</v>
      </c>
      <c r="D1610" s="7" t="n">
        <v>70</v>
      </c>
      <c r="E1610" s="7" t="n">
        <v>90</v>
      </c>
      <c r="F1610" s="7"/>
      <c r="G1610" s="7"/>
      <c r="H1610" s="7" t="s">
        <v>546</v>
      </c>
      <c r="I1610" s="7" t="s">
        <v>546</v>
      </c>
      <c r="J1610" s="21" t="n">
        <f aca="false">D1610/(D1610+E1610)</f>
        <v>0.4375</v>
      </c>
      <c r="K1610" s="3" t="n">
        <f aca="false">IF(D1610&gt;E1610,1,0)</f>
        <v>0</v>
      </c>
      <c r="L1610" s="3" t="n">
        <f aca="false">IF(OR(F1610="Y",G1610="Y",H1610="Y"),1,0)</f>
        <v>0</v>
      </c>
      <c r="M1610" s="3" t="n">
        <f aca="false">IF(H1610="Y",1,0)</f>
        <v>0</v>
      </c>
      <c r="N1610" s="3" t="n">
        <f aca="false">IF(I1610="Y",1,0)</f>
        <v>0</v>
      </c>
    </row>
    <row r="1611" customFormat="false" ht="15" hidden="false" customHeight="true" outlineLevel="0" collapsed="false">
      <c r="A1611" s="7" t="s">
        <v>68</v>
      </c>
      <c r="B1611" s="7" t="n">
        <v>1962</v>
      </c>
      <c r="C1611" s="7" t="s">
        <v>369</v>
      </c>
      <c r="D1611" s="7" t="n">
        <v>91</v>
      </c>
      <c r="E1611" s="7" t="n">
        <v>71</v>
      </c>
      <c r="F1611" s="7"/>
      <c r="G1611" s="7"/>
      <c r="H1611" s="7" t="s">
        <v>546</v>
      </c>
      <c r="I1611" s="7" t="s">
        <v>546</v>
      </c>
      <c r="J1611" s="21" t="n">
        <f aca="false">D1611/(D1611+E1611)</f>
        <v>0.561728395061728</v>
      </c>
      <c r="K1611" s="3" t="n">
        <f aca="false">IF(D1611&gt;E1611,1,0)</f>
        <v>1</v>
      </c>
      <c r="L1611" s="3" t="n">
        <f aca="false">IF(OR(F1611="Y",G1611="Y",H1611="Y"),1,0)</f>
        <v>0</v>
      </c>
      <c r="M1611" s="3" t="n">
        <f aca="false">IF(H1611="Y",1,0)</f>
        <v>0</v>
      </c>
      <c r="N1611" s="3" t="n">
        <f aca="false">IF(I1611="Y",1,0)</f>
        <v>0</v>
      </c>
    </row>
    <row r="1612" customFormat="false" ht="15" hidden="false" customHeight="true" outlineLevel="0" collapsed="false">
      <c r="A1612" s="7" t="s">
        <v>68</v>
      </c>
      <c r="B1612" s="7" t="n">
        <v>1963</v>
      </c>
      <c r="C1612" s="7" t="s">
        <v>369</v>
      </c>
      <c r="D1612" s="7" t="n">
        <v>91</v>
      </c>
      <c r="E1612" s="7" t="n">
        <v>70</v>
      </c>
      <c r="F1612" s="7"/>
      <c r="G1612" s="7"/>
      <c r="H1612" s="7" t="s">
        <v>546</v>
      </c>
      <c r="I1612" s="7" t="s">
        <v>546</v>
      </c>
      <c r="J1612" s="21" t="n">
        <f aca="false">D1612/(D1612+E1612)</f>
        <v>0.565217391304348</v>
      </c>
      <c r="K1612" s="3" t="n">
        <f aca="false">IF(D1612&gt;E1612,1,0)</f>
        <v>1</v>
      </c>
      <c r="L1612" s="3" t="n">
        <f aca="false">IF(OR(F1612="Y",G1612="Y",H1612="Y"),1,0)</f>
        <v>0</v>
      </c>
      <c r="M1612" s="3" t="n">
        <f aca="false">IF(H1612="Y",1,0)</f>
        <v>0</v>
      </c>
      <c r="N1612" s="3" t="n">
        <f aca="false">IF(I1612="Y",1,0)</f>
        <v>0</v>
      </c>
    </row>
    <row r="1613" customFormat="false" ht="15" hidden="false" customHeight="true" outlineLevel="0" collapsed="false">
      <c r="A1613" s="7" t="s">
        <v>68</v>
      </c>
      <c r="B1613" s="7" t="n">
        <v>1964</v>
      </c>
      <c r="C1613" s="7" t="s">
        <v>369</v>
      </c>
      <c r="D1613" s="7" t="n">
        <v>79</v>
      </c>
      <c r="E1613" s="7" t="n">
        <v>83</v>
      </c>
      <c r="F1613" s="7"/>
      <c r="G1613" s="7"/>
      <c r="H1613" s="7" t="s">
        <v>546</v>
      </c>
      <c r="I1613" s="7" t="s">
        <v>546</v>
      </c>
      <c r="J1613" s="21" t="n">
        <f aca="false">D1613/(D1613+E1613)</f>
        <v>0.487654320987654</v>
      </c>
      <c r="K1613" s="3" t="n">
        <f aca="false">IF(D1613&gt;E1613,1,0)</f>
        <v>0</v>
      </c>
      <c r="L1613" s="3" t="n">
        <f aca="false">IF(OR(F1613="Y",G1613="Y",H1613="Y"),1,0)</f>
        <v>0</v>
      </c>
      <c r="M1613" s="3" t="n">
        <f aca="false">IF(H1613="Y",1,0)</f>
        <v>0</v>
      </c>
      <c r="N1613" s="3" t="n">
        <f aca="false">IF(I1613="Y",1,0)</f>
        <v>0</v>
      </c>
    </row>
    <row r="1614" customFormat="false" ht="15" hidden="false" customHeight="true" outlineLevel="0" collapsed="false">
      <c r="A1614" s="7" t="s">
        <v>68</v>
      </c>
      <c r="B1614" s="7" t="n">
        <v>1965</v>
      </c>
      <c r="C1614" s="7" t="s">
        <v>369</v>
      </c>
      <c r="D1614" s="7" t="n">
        <v>102</v>
      </c>
      <c r="E1614" s="7" t="n">
        <v>60</v>
      </c>
      <c r="F1614" s="7"/>
      <c r="G1614" s="7"/>
      <c r="H1614" s="7" t="s">
        <v>548</v>
      </c>
      <c r="I1614" s="7" t="s">
        <v>546</v>
      </c>
      <c r="J1614" s="21" t="n">
        <f aca="false">D1614/(D1614+E1614)</f>
        <v>0.62962962962963</v>
      </c>
      <c r="K1614" s="3" t="n">
        <f aca="false">IF(D1614&gt;E1614,1,0)</f>
        <v>1</v>
      </c>
      <c r="L1614" s="3" t="n">
        <f aca="false">IF(OR(F1614="Y",G1614="Y",H1614="Y"),1,0)</f>
        <v>1</v>
      </c>
      <c r="M1614" s="3" t="n">
        <f aca="false">IF(H1614="Y",1,0)</f>
        <v>1</v>
      </c>
      <c r="N1614" s="3" t="n">
        <f aca="false">IF(I1614="Y",1,0)</f>
        <v>0</v>
      </c>
    </row>
    <row r="1615" customFormat="false" ht="15" hidden="false" customHeight="true" outlineLevel="0" collapsed="false">
      <c r="A1615" s="7" t="s">
        <v>68</v>
      </c>
      <c r="B1615" s="7" t="n">
        <v>1966</v>
      </c>
      <c r="C1615" s="7" t="s">
        <v>369</v>
      </c>
      <c r="D1615" s="7" t="n">
        <v>89</v>
      </c>
      <c r="E1615" s="7" t="n">
        <v>73</v>
      </c>
      <c r="F1615" s="7"/>
      <c r="G1615" s="7"/>
      <c r="H1615" s="7" t="s">
        <v>546</v>
      </c>
      <c r="I1615" s="7" t="s">
        <v>546</v>
      </c>
      <c r="J1615" s="21" t="n">
        <f aca="false">D1615/(D1615+E1615)</f>
        <v>0.549382716049383</v>
      </c>
      <c r="K1615" s="3" t="n">
        <f aca="false">IF(D1615&gt;E1615,1,0)</f>
        <v>1</v>
      </c>
      <c r="L1615" s="3" t="n">
        <f aca="false">IF(OR(F1615="Y",G1615="Y",H1615="Y"),1,0)</f>
        <v>0</v>
      </c>
      <c r="M1615" s="3" t="n">
        <f aca="false">IF(H1615="Y",1,0)</f>
        <v>0</v>
      </c>
      <c r="N1615" s="3" t="n">
        <f aca="false">IF(I1615="Y",1,0)</f>
        <v>0</v>
      </c>
    </row>
    <row r="1616" customFormat="false" ht="15" hidden="false" customHeight="true" outlineLevel="0" collapsed="false">
      <c r="A1616" s="7" t="s">
        <v>68</v>
      </c>
      <c r="B1616" s="7" t="n">
        <v>1967</v>
      </c>
      <c r="C1616" s="7" t="s">
        <v>369</v>
      </c>
      <c r="D1616" s="7" t="n">
        <v>91</v>
      </c>
      <c r="E1616" s="7" t="n">
        <v>71</v>
      </c>
      <c r="F1616" s="7"/>
      <c r="G1616" s="7"/>
      <c r="H1616" s="7" t="s">
        <v>546</v>
      </c>
      <c r="I1616" s="7" t="s">
        <v>546</v>
      </c>
      <c r="J1616" s="21" t="n">
        <f aca="false">D1616/(D1616+E1616)</f>
        <v>0.561728395061728</v>
      </c>
      <c r="K1616" s="3" t="n">
        <f aca="false">IF(D1616&gt;E1616,1,0)</f>
        <v>1</v>
      </c>
      <c r="L1616" s="3" t="n">
        <f aca="false">IF(OR(F1616="Y",G1616="Y",H1616="Y"),1,0)</f>
        <v>0</v>
      </c>
      <c r="M1616" s="3" t="n">
        <f aca="false">IF(H1616="Y",1,0)</f>
        <v>0</v>
      </c>
      <c r="N1616" s="3" t="n">
        <f aca="false">IF(I1616="Y",1,0)</f>
        <v>0</v>
      </c>
    </row>
    <row r="1617" customFormat="false" ht="15" hidden="false" customHeight="true" outlineLevel="0" collapsed="false">
      <c r="A1617" s="7" t="s">
        <v>68</v>
      </c>
      <c r="B1617" s="7" t="n">
        <v>1968</v>
      </c>
      <c r="C1617" s="7" t="s">
        <v>369</v>
      </c>
      <c r="D1617" s="7" t="n">
        <v>79</v>
      </c>
      <c r="E1617" s="7" t="n">
        <v>83</v>
      </c>
      <c r="F1617" s="7"/>
      <c r="G1617" s="7"/>
      <c r="H1617" s="7" t="s">
        <v>546</v>
      </c>
      <c r="I1617" s="7" t="s">
        <v>546</v>
      </c>
      <c r="J1617" s="21" t="n">
        <f aca="false">D1617/(D1617+E1617)</f>
        <v>0.487654320987654</v>
      </c>
      <c r="K1617" s="3" t="n">
        <f aca="false">IF(D1617&gt;E1617,1,0)</f>
        <v>0</v>
      </c>
      <c r="L1617" s="3" t="n">
        <f aca="false">IF(OR(F1617="Y",G1617="Y",H1617="Y"),1,0)</f>
        <v>0</v>
      </c>
      <c r="M1617" s="3" t="n">
        <f aca="false">IF(H1617="Y",1,0)</f>
        <v>0</v>
      </c>
      <c r="N1617" s="3" t="n">
        <f aca="false">IF(I1617="Y",1,0)</f>
        <v>0</v>
      </c>
    </row>
    <row r="1618" customFormat="false" ht="15" hidden="false" customHeight="true" outlineLevel="0" collapsed="false">
      <c r="A1618" s="7" t="s">
        <v>68</v>
      </c>
      <c r="B1618" s="7" t="n">
        <v>1969</v>
      </c>
      <c r="C1618" s="7" t="s">
        <v>369</v>
      </c>
      <c r="D1618" s="7" t="n">
        <v>97</v>
      </c>
      <c r="E1618" s="7" t="n">
        <v>65</v>
      </c>
      <c r="F1618" s="7" t="s">
        <v>548</v>
      </c>
      <c r="G1618" s="7"/>
      <c r="H1618" s="7" t="s">
        <v>546</v>
      </c>
      <c r="I1618" s="7" t="s">
        <v>546</v>
      </c>
      <c r="J1618" s="21" t="n">
        <f aca="false">D1618/(D1618+E1618)</f>
        <v>0.598765432098765</v>
      </c>
      <c r="K1618" s="3" t="n">
        <f aca="false">IF(D1618&gt;E1618,1,0)</f>
        <v>1</v>
      </c>
      <c r="L1618" s="3" t="n">
        <f aca="false">IF(OR(F1618="Y",G1618="Y",H1618="Y"),1,0)</f>
        <v>1</v>
      </c>
      <c r="M1618" s="3" t="n">
        <f aca="false">IF(H1618="Y",1,0)</f>
        <v>0</v>
      </c>
      <c r="N1618" s="3" t="n">
        <f aca="false">IF(I1618="Y",1,0)</f>
        <v>0</v>
      </c>
    </row>
    <row r="1619" customFormat="false" ht="15" hidden="false" customHeight="true" outlineLevel="0" collapsed="false">
      <c r="A1619" s="7" t="s">
        <v>68</v>
      </c>
      <c r="B1619" s="7" t="n">
        <v>1970</v>
      </c>
      <c r="C1619" s="7" t="s">
        <v>369</v>
      </c>
      <c r="D1619" s="7" t="n">
        <v>98</v>
      </c>
      <c r="E1619" s="7" t="n">
        <v>64</v>
      </c>
      <c r="F1619" s="7" t="s">
        <v>548</v>
      </c>
      <c r="G1619" s="7"/>
      <c r="H1619" s="7" t="s">
        <v>546</v>
      </c>
      <c r="I1619" s="7" t="s">
        <v>546</v>
      </c>
      <c r="J1619" s="21" t="n">
        <f aca="false">D1619/(D1619+E1619)</f>
        <v>0.604938271604938</v>
      </c>
      <c r="K1619" s="3" t="n">
        <f aca="false">IF(D1619&gt;E1619,1,0)</f>
        <v>1</v>
      </c>
      <c r="L1619" s="3" t="n">
        <f aca="false">IF(OR(F1619="Y",G1619="Y",H1619="Y"),1,0)</f>
        <v>1</v>
      </c>
      <c r="M1619" s="3" t="n">
        <f aca="false">IF(H1619="Y",1,0)</f>
        <v>0</v>
      </c>
      <c r="N1619" s="3" t="n">
        <f aca="false">IF(I1619="Y",1,0)</f>
        <v>0</v>
      </c>
    </row>
    <row r="1620" customFormat="false" ht="15" hidden="false" customHeight="true" outlineLevel="0" collapsed="false">
      <c r="A1620" s="7" t="s">
        <v>68</v>
      </c>
      <c r="B1620" s="7" t="n">
        <v>1971</v>
      </c>
      <c r="C1620" s="7" t="s">
        <v>369</v>
      </c>
      <c r="D1620" s="7" t="n">
        <v>74</v>
      </c>
      <c r="E1620" s="7" t="n">
        <v>86</v>
      </c>
      <c r="F1620" s="7" t="s">
        <v>546</v>
      </c>
      <c r="G1620" s="7"/>
      <c r="H1620" s="7" t="s">
        <v>546</v>
      </c>
      <c r="I1620" s="7" t="s">
        <v>546</v>
      </c>
      <c r="J1620" s="21" t="n">
        <f aca="false">D1620/(D1620+E1620)</f>
        <v>0.4625</v>
      </c>
      <c r="K1620" s="3" t="n">
        <f aca="false">IF(D1620&gt;E1620,1,0)</f>
        <v>0</v>
      </c>
      <c r="L1620" s="3" t="n">
        <f aca="false">IF(OR(F1620="Y",G1620="Y",H1620="Y"),1,0)</f>
        <v>0</v>
      </c>
      <c r="M1620" s="3" t="n">
        <f aca="false">IF(H1620="Y",1,0)</f>
        <v>0</v>
      </c>
      <c r="N1620" s="3" t="n">
        <f aca="false">IF(I1620="Y",1,0)</f>
        <v>0</v>
      </c>
    </row>
    <row r="1621" customFormat="false" ht="15" hidden="false" customHeight="true" outlineLevel="0" collapsed="false">
      <c r="A1621" s="7" t="s">
        <v>68</v>
      </c>
      <c r="B1621" s="7" t="n">
        <v>1972</v>
      </c>
      <c r="C1621" s="7" t="s">
        <v>369</v>
      </c>
      <c r="D1621" s="7" t="n">
        <v>77</v>
      </c>
      <c r="E1621" s="7" t="n">
        <v>77</v>
      </c>
      <c r="F1621" s="7" t="s">
        <v>546</v>
      </c>
      <c r="G1621" s="7"/>
      <c r="H1621" s="7" t="s">
        <v>546</v>
      </c>
      <c r="I1621" s="7" t="s">
        <v>546</v>
      </c>
      <c r="J1621" s="21" t="n">
        <f aca="false">D1621/(D1621+E1621)</f>
        <v>0.5</v>
      </c>
      <c r="K1621" s="3" t="n">
        <f aca="false">IF(D1621&gt;E1621,1,0)</f>
        <v>0</v>
      </c>
      <c r="L1621" s="3" t="n">
        <f aca="false">IF(OR(F1621="Y",G1621="Y",H1621="Y"),1,0)</f>
        <v>0</v>
      </c>
      <c r="M1621" s="3" t="n">
        <f aca="false">IF(H1621="Y",1,0)</f>
        <v>0</v>
      </c>
      <c r="N1621" s="3" t="n">
        <f aca="false">IF(I1621="Y",1,0)</f>
        <v>0</v>
      </c>
    </row>
    <row r="1622" customFormat="false" ht="15" hidden="false" customHeight="true" outlineLevel="0" collapsed="false">
      <c r="A1622" s="7" t="s">
        <v>68</v>
      </c>
      <c r="B1622" s="7" t="n">
        <v>1973</v>
      </c>
      <c r="C1622" s="7" t="s">
        <v>369</v>
      </c>
      <c r="D1622" s="7" t="n">
        <v>81</v>
      </c>
      <c r="E1622" s="7" t="n">
        <v>81</v>
      </c>
      <c r="F1622" s="7" t="s">
        <v>546</v>
      </c>
      <c r="G1622" s="7"/>
      <c r="H1622" s="7" t="s">
        <v>546</v>
      </c>
      <c r="I1622" s="7" t="s">
        <v>546</v>
      </c>
      <c r="J1622" s="21" t="n">
        <f aca="false">D1622/(D1622+E1622)</f>
        <v>0.5</v>
      </c>
      <c r="K1622" s="3" t="n">
        <f aca="false">IF(D1622&gt;E1622,1,0)</f>
        <v>0</v>
      </c>
      <c r="L1622" s="3" t="n">
        <f aca="false">IF(OR(F1622="Y",G1622="Y",H1622="Y"),1,0)</f>
        <v>0</v>
      </c>
      <c r="M1622" s="3" t="n">
        <f aca="false">IF(H1622="Y",1,0)</f>
        <v>0</v>
      </c>
      <c r="N1622" s="3" t="n">
        <f aca="false">IF(I1622="Y",1,0)</f>
        <v>0</v>
      </c>
    </row>
    <row r="1623" customFormat="false" ht="15" hidden="false" customHeight="true" outlineLevel="0" collapsed="false">
      <c r="A1623" s="7" t="s">
        <v>68</v>
      </c>
      <c r="B1623" s="7" t="n">
        <v>1974</v>
      </c>
      <c r="C1623" s="7" t="s">
        <v>369</v>
      </c>
      <c r="D1623" s="7" t="n">
        <v>82</v>
      </c>
      <c r="E1623" s="7" t="n">
        <v>80</v>
      </c>
      <c r="F1623" s="7" t="s">
        <v>546</v>
      </c>
      <c r="G1623" s="7"/>
      <c r="H1623" s="7" t="s">
        <v>546</v>
      </c>
      <c r="I1623" s="7" t="s">
        <v>546</v>
      </c>
      <c r="J1623" s="21" t="n">
        <f aca="false">D1623/(D1623+E1623)</f>
        <v>0.506172839506173</v>
      </c>
      <c r="K1623" s="3" t="n">
        <f aca="false">IF(D1623&gt;E1623,1,0)</f>
        <v>1</v>
      </c>
      <c r="L1623" s="3" t="n">
        <f aca="false">IF(OR(F1623="Y",G1623="Y",H1623="Y"),1,0)</f>
        <v>0</v>
      </c>
      <c r="M1623" s="3" t="n">
        <f aca="false">IF(H1623="Y",1,0)</f>
        <v>0</v>
      </c>
      <c r="N1623" s="3" t="n">
        <f aca="false">IF(I1623="Y",1,0)</f>
        <v>0</v>
      </c>
    </row>
    <row r="1624" customFormat="false" ht="15" hidden="false" customHeight="true" outlineLevel="0" collapsed="false">
      <c r="A1624" s="7" t="s">
        <v>68</v>
      </c>
      <c r="B1624" s="7" t="n">
        <v>1975</v>
      </c>
      <c r="C1624" s="7" t="s">
        <v>369</v>
      </c>
      <c r="D1624" s="7" t="n">
        <v>76</v>
      </c>
      <c r="E1624" s="7" t="n">
        <v>83</v>
      </c>
      <c r="F1624" s="7" t="s">
        <v>546</v>
      </c>
      <c r="G1624" s="7"/>
      <c r="H1624" s="7" t="s">
        <v>546</v>
      </c>
      <c r="I1624" s="7" t="s">
        <v>546</v>
      </c>
      <c r="J1624" s="21" t="n">
        <f aca="false">D1624/(D1624+E1624)</f>
        <v>0.477987421383648</v>
      </c>
      <c r="K1624" s="3" t="n">
        <f aca="false">IF(D1624&gt;E1624,1,0)</f>
        <v>0</v>
      </c>
      <c r="L1624" s="3" t="n">
        <f aca="false">IF(OR(F1624="Y",G1624="Y",H1624="Y"),1,0)</f>
        <v>0</v>
      </c>
      <c r="M1624" s="3" t="n">
        <f aca="false">IF(H1624="Y",1,0)</f>
        <v>0</v>
      </c>
      <c r="N1624" s="3" t="n">
        <f aca="false">IF(I1624="Y",1,0)</f>
        <v>0</v>
      </c>
    </row>
    <row r="1625" customFormat="false" ht="15" hidden="false" customHeight="true" outlineLevel="0" collapsed="false">
      <c r="A1625" s="7" t="s">
        <v>68</v>
      </c>
      <c r="B1625" s="7" t="n">
        <v>1976</v>
      </c>
      <c r="C1625" s="7" t="s">
        <v>369</v>
      </c>
      <c r="D1625" s="7" t="n">
        <v>85</v>
      </c>
      <c r="E1625" s="7" t="n">
        <v>77</v>
      </c>
      <c r="F1625" s="7" t="s">
        <v>546</v>
      </c>
      <c r="G1625" s="7"/>
      <c r="H1625" s="7" t="s">
        <v>546</v>
      </c>
      <c r="I1625" s="7" t="s">
        <v>546</v>
      </c>
      <c r="J1625" s="21" t="n">
        <f aca="false">D1625/(D1625+E1625)</f>
        <v>0.524691358024691</v>
      </c>
      <c r="K1625" s="3" t="n">
        <f aca="false">IF(D1625&gt;E1625,1,0)</f>
        <v>1</v>
      </c>
      <c r="L1625" s="3" t="n">
        <f aca="false">IF(OR(F1625="Y",G1625="Y",H1625="Y"),1,0)</f>
        <v>0</v>
      </c>
      <c r="M1625" s="3" t="n">
        <f aca="false">IF(H1625="Y",1,0)</f>
        <v>0</v>
      </c>
      <c r="N1625" s="3" t="n">
        <f aca="false">IF(I1625="Y",1,0)</f>
        <v>0</v>
      </c>
    </row>
    <row r="1626" customFormat="false" ht="15" hidden="false" customHeight="true" outlineLevel="0" collapsed="false">
      <c r="A1626" s="7" t="s">
        <v>68</v>
      </c>
      <c r="B1626" s="7" t="n">
        <v>1977</v>
      </c>
      <c r="C1626" s="7" t="s">
        <v>369</v>
      </c>
      <c r="D1626" s="7" t="n">
        <v>84</v>
      </c>
      <c r="E1626" s="7" t="n">
        <v>77</v>
      </c>
      <c r="F1626" s="7" t="s">
        <v>546</v>
      </c>
      <c r="G1626" s="7"/>
      <c r="H1626" s="7" t="s">
        <v>546</v>
      </c>
      <c r="I1626" s="7" t="s">
        <v>546</v>
      </c>
      <c r="J1626" s="21" t="n">
        <f aca="false">D1626/(D1626+E1626)</f>
        <v>0.521739130434783</v>
      </c>
      <c r="K1626" s="3" t="n">
        <f aca="false">IF(D1626&gt;E1626,1,0)</f>
        <v>1</v>
      </c>
      <c r="L1626" s="3" t="n">
        <f aca="false">IF(OR(F1626="Y",G1626="Y",H1626="Y"),1,0)</f>
        <v>0</v>
      </c>
      <c r="M1626" s="3" t="n">
        <f aca="false">IF(H1626="Y",1,0)</f>
        <v>0</v>
      </c>
      <c r="N1626" s="3" t="n">
        <f aca="false">IF(I1626="Y",1,0)</f>
        <v>0</v>
      </c>
    </row>
    <row r="1627" customFormat="false" ht="15" hidden="false" customHeight="true" outlineLevel="0" collapsed="false">
      <c r="A1627" s="7" t="s">
        <v>68</v>
      </c>
      <c r="B1627" s="7" t="n">
        <v>1978</v>
      </c>
      <c r="C1627" s="7" t="s">
        <v>369</v>
      </c>
      <c r="D1627" s="7" t="n">
        <v>73</v>
      </c>
      <c r="E1627" s="7" t="n">
        <v>89</v>
      </c>
      <c r="F1627" s="7" t="s">
        <v>546</v>
      </c>
      <c r="G1627" s="7"/>
      <c r="H1627" s="7" t="s">
        <v>546</v>
      </c>
      <c r="I1627" s="7" t="s">
        <v>546</v>
      </c>
      <c r="J1627" s="21" t="n">
        <f aca="false">D1627/(D1627+E1627)</f>
        <v>0.450617283950617</v>
      </c>
      <c r="K1627" s="3" t="n">
        <f aca="false">IF(D1627&gt;E1627,1,0)</f>
        <v>0</v>
      </c>
      <c r="L1627" s="3" t="n">
        <f aca="false">IF(OR(F1627="Y",G1627="Y",H1627="Y"),1,0)</f>
        <v>0</v>
      </c>
      <c r="M1627" s="3" t="n">
        <f aca="false">IF(H1627="Y",1,0)</f>
        <v>0</v>
      </c>
      <c r="N1627" s="3" t="n">
        <f aca="false">IF(I1627="Y",1,0)</f>
        <v>0</v>
      </c>
    </row>
    <row r="1628" customFormat="false" ht="15" hidden="false" customHeight="true" outlineLevel="0" collapsed="false">
      <c r="A1628" s="7" t="s">
        <v>68</v>
      </c>
      <c r="B1628" s="7" t="n">
        <v>1979</v>
      </c>
      <c r="C1628" s="7" t="s">
        <v>369</v>
      </c>
      <c r="D1628" s="7" t="n">
        <v>82</v>
      </c>
      <c r="E1628" s="7" t="n">
        <v>80</v>
      </c>
      <c r="F1628" s="7" t="s">
        <v>546</v>
      </c>
      <c r="G1628" s="7"/>
      <c r="H1628" s="7" t="s">
        <v>546</v>
      </c>
      <c r="I1628" s="7" t="s">
        <v>546</v>
      </c>
      <c r="J1628" s="21" t="n">
        <f aca="false">D1628/(D1628+E1628)</f>
        <v>0.506172839506173</v>
      </c>
      <c r="K1628" s="3" t="n">
        <f aca="false">IF(D1628&gt;E1628,1,0)</f>
        <v>1</v>
      </c>
      <c r="L1628" s="3" t="n">
        <f aca="false">IF(OR(F1628="Y",G1628="Y",H1628="Y"),1,0)</f>
        <v>0</v>
      </c>
      <c r="M1628" s="3" t="n">
        <f aca="false">IF(H1628="Y",1,0)</f>
        <v>0</v>
      </c>
      <c r="N1628" s="3" t="n">
        <f aca="false">IF(I1628="Y",1,0)</f>
        <v>0</v>
      </c>
    </row>
    <row r="1629" customFormat="false" ht="15" hidden="false" customHeight="true" outlineLevel="0" collapsed="false">
      <c r="A1629" s="7" t="s">
        <v>68</v>
      </c>
      <c r="B1629" s="7" t="n">
        <v>1980</v>
      </c>
      <c r="C1629" s="7" t="s">
        <v>369</v>
      </c>
      <c r="D1629" s="7" t="n">
        <v>77</v>
      </c>
      <c r="E1629" s="7" t="n">
        <v>84</v>
      </c>
      <c r="F1629" s="7" t="s">
        <v>546</v>
      </c>
      <c r="G1629" s="7"/>
      <c r="H1629" s="7" t="s">
        <v>546</v>
      </c>
      <c r="I1629" s="7" t="s">
        <v>546</v>
      </c>
      <c r="J1629" s="21" t="n">
        <f aca="false">D1629/(D1629+E1629)</f>
        <v>0.478260869565217</v>
      </c>
      <c r="K1629" s="3" t="n">
        <f aca="false">IF(D1629&gt;E1629,1,0)</f>
        <v>0</v>
      </c>
      <c r="L1629" s="3" t="n">
        <f aca="false">IF(OR(F1629="Y",G1629="Y",H1629="Y"),1,0)</f>
        <v>0</v>
      </c>
      <c r="M1629" s="3" t="n">
        <f aca="false">IF(H1629="Y",1,0)</f>
        <v>0</v>
      </c>
      <c r="N1629" s="3" t="n">
        <f aca="false">IF(I1629="Y",1,0)</f>
        <v>0</v>
      </c>
    </row>
    <row r="1630" customFormat="false" ht="15" hidden="false" customHeight="true" outlineLevel="0" collapsed="false">
      <c r="A1630" s="7" t="s">
        <v>68</v>
      </c>
      <c r="B1630" s="7" t="n">
        <v>1981</v>
      </c>
      <c r="C1630" s="7" t="s">
        <v>369</v>
      </c>
      <c r="D1630" s="7" t="n">
        <v>41</v>
      </c>
      <c r="E1630" s="7" t="n">
        <v>68</v>
      </c>
      <c r="F1630" s="7" t="s">
        <v>546</v>
      </c>
      <c r="G1630" s="7"/>
      <c r="H1630" s="7" t="s">
        <v>546</v>
      </c>
      <c r="I1630" s="7" t="s">
        <v>546</v>
      </c>
      <c r="J1630" s="21" t="n">
        <f aca="false">D1630/(D1630+E1630)</f>
        <v>0.376146788990826</v>
      </c>
      <c r="K1630" s="3" t="n">
        <f aca="false">IF(D1630&gt;E1630,1,0)</f>
        <v>0</v>
      </c>
      <c r="L1630" s="3" t="n">
        <f aca="false">IF(OR(F1630="Y",G1630="Y",H1630="Y"),1,0)</f>
        <v>0</v>
      </c>
      <c r="M1630" s="3" t="n">
        <f aca="false">IF(H1630="Y",1,0)</f>
        <v>0</v>
      </c>
      <c r="N1630" s="3" t="n">
        <f aca="false">IF(I1630="Y",1,0)</f>
        <v>0</v>
      </c>
    </row>
    <row r="1631" customFormat="false" ht="15" hidden="false" customHeight="true" outlineLevel="0" collapsed="false">
      <c r="A1631" s="7" t="s">
        <v>68</v>
      </c>
      <c r="B1631" s="7" t="n">
        <v>1982</v>
      </c>
      <c r="C1631" s="7" t="s">
        <v>369</v>
      </c>
      <c r="D1631" s="7" t="n">
        <v>60</v>
      </c>
      <c r="E1631" s="7" t="n">
        <v>102</v>
      </c>
      <c r="F1631" s="7" t="s">
        <v>546</v>
      </c>
      <c r="G1631" s="7"/>
      <c r="H1631" s="7" t="s">
        <v>546</v>
      </c>
      <c r="I1631" s="7" t="s">
        <v>546</v>
      </c>
      <c r="J1631" s="21" t="n">
        <f aca="false">D1631/(D1631+E1631)</f>
        <v>0.37037037037037</v>
      </c>
      <c r="K1631" s="3" t="n">
        <f aca="false">IF(D1631&gt;E1631,1,0)</f>
        <v>0</v>
      </c>
      <c r="L1631" s="3" t="n">
        <f aca="false">IF(OR(F1631="Y",G1631="Y",H1631="Y"),1,0)</f>
        <v>0</v>
      </c>
      <c r="M1631" s="3" t="n">
        <f aca="false">IF(H1631="Y",1,0)</f>
        <v>0</v>
      </c>
      <c r="N1631" s="3" t="n">
        <f aca="false">IF(I1631="Y",1,0)</f>
        <v>0</v>
      </c>
    </row>
    <row r="1632" customFormat="false" ht="15" hidden="false" customHeight="true" outlineLevel="0" collapsed="false">
      <c r="A1632" s="7" t="s">
        <v>68</v>
      </c>
      <c r="B1632" s="7" t="n">
        <v>1983</v>
      </c>
      <c r="C1632" s="7" t="s">
        <v>369</v>
      </c>
      <c r="D1632" s="7" t="n">
        <v>70</v>
      </c>
      <c r="E1632" s="7" t="n">
        <v>92</v>
      </c>
      <c r="F1632" s="7" t="s">
        <v>546</v>
      </c>
      <c r="G1632" s="7"/>
      <c r="H1632" s="7" t="s">
        <v>546</v>
      </c>
      <c r="I1632" s="7" t="s">
        <v>546</v>
      </c>
      <c r="J1632" s="21" t="n">
        <f aca="false">D1632/(D1632+E1632)</f>
        <v>0.432098765432099</v>
      </c>
      <c r="K1632" s="3" t="n">
        <f aca="false">IF(D1632&gt;E1632,1,0)</f>
        <v>0</v>
      </c>
      <c r="L1632" s="3" t="n">
        <f aca="false">IF(OR(F1632="Y",G1632="Y",H1632="Y"),1,0)</f>
        <v>0</v>
      </c>
      <c r="M1632" s="3" t="n">
        <f aca="false">IF(H1632="Y",1,0)</f>
        <v>0</v>
      </c>
      <c r="N1632" s="3" t="n">
        <f aca="false">IF(I1632="Y",1,0)</f>
        <v>0</v>
      </c>
    </row>
    <row r="1633" customFormat="false" ht="15" hidden="false" customHeight="true" outlineLevel="0" collapsed="false">
      <c r="A1633" s="7" t="s">
        <v>68</v>
      </c>
      <c r="B1633" s="7" t="n">
        <v>1984</v>
      </c>
      <c r="C1633" s="7" t="s">
        <v>369</v>
      </c>
      <c r="D1633" s="7" t="n">
        <v>81</v>
      </c>
      <c r="E1633" s="7" t="n">
        <v>81</v>
      </c>
      <c r="F1633" s="7" t="s">
        <v>546</v>
      </c>
      <c r="G1633" s="7"/>
      <c r="H1633" s="7" t="s">
        <v>546</v>
      </c>
      <c r="I1633" s="7" t="s">
        <v>546</v>
      </c>
      <c r="J1633" s="21" t="n">
        <f aca="false">D1633/(D1633+E1633)</f>
        <v>0.5</v>
      </c>
      <c r="K1633" s="3" t="n">
        <f aca="false">IF(D1633&gt;E1633,1,0)</f>
        <v>0</v>
      </c>
      <c r="L1633" s="3" t="n">
        <f aca="false">IF(OR(F1633="Y",G1633="Y",H1633="Y"),1,0)</f>
        <v>0</v>
      </c>
      <c r="M1633" s="3" t="n">
        <f aca="false">IF(H1633="Y",1,0)</f>
        <v>0</v>
      </c>
      <c r="N1633" s="3" t="n">
        <f aca="false">IF(I1633="Y",1,0)</f>
        <v>0</v>
      </c>
    </row>
    <row r="1634" customFormat="false" ht="15" hidden="false" customHeight="true" outlineLevel="0" collapsed="false">
      <c r="A1634" s="7" t="s">
        <v>68</v>
      </c>
      <c r="B1634" s="7" t="n">
        <v>1985</v>
      </c>
      <c r="C1634" s="7" t="s">
        <v>369</v>
      </c>
      <c r="D1634" s="7" t="n">
        <v>77</v>
      </c>
      <c r="E1634" s="7" t="n">
        <v>85</v>
      </c>
      <c r="F1634" s="7" t="s">
        <v>546</v>
      </c>
      <c r="G1634" s="7"/>
      <c r="H1634" s="7" t="s">
        <v>546</v>
      </c>
      <c r="I1634" s="7" t="s">
        <v>546</v>
      </c>
      <c r="J1634" s="21" t="n">
        <f aca="false">D1634/(D1634+E1634)</f>
        <v>0.475308641975309</v>
      </c>
      <c r="K1634" s="3" t="n">
        <f aca="false">IF(D1634&gt;E1634,1,0)</f>
        <v>0</v>
      </c>
      <c r="L1634" s="3" t="n">
        <f aca="false">IF(OR(F1634="Y",G1634="Y",H1634="Y"),1,0)</f>
        <v>0</v>
      </c>
      <c r="M1634" s="3" t="n">
        <f aca="false">IF(H1634="Y",1,0)</f>
        <v>0</v>
      </c>
      <c r="N1634" s="3" t="n">
        <f aca="false">IF(I1634="Y",1,0)</f>
        <v>0</v>
      </c>
    </row>
    <row r="1635" customFormat="false" ht="15" hidden="false" customHeight="true" outlineLevel="0" collapsed="false">
      <c r="A1635" s="7" t="s">
        <v>68</v>
      </c>
      <c r="B1635" s="7" t="n">
        <v>1986</v>
      </c>
      <c r="C1635" s="7" t="s">
        <v>369</v>
      </c>
      <c r="D1635" s="7" t="n">
        <v>71</v>
      </c>
      <c r="E1635" s="7" t="n">
        <v>91</v>
      </c>
      <c r="F1635" s="7" t="s">
        <v>546</v>
      </c>
      <c r="G1635" s="7"/>
      <c r="H1635" s="7" t="s">
        <v>546</v>
      </c>
      <c r="I1635" s="7" t="s">
        <v>546</v>
      </c>
      <c r="J1635" s="21" t="n">
        <f aca="false">D1635/(D1635+E1635)</f>
        <v>0.438271604938272</v>
      </c>
      <c r="K1635" s="3" t="n">
        <f aca="false">IF(D1635&gt;E1635,1,0)</f>
        <v>0</v>
      </c>
      <c r="L1635" s="3" t="n">
        <f aca="false">IF(OR(F1635="Y",G1635="Y",H1635="Y"),1,0)</f>
        <v>0</v>
      </c>
      <c r="M1635" s="3" t="n">
        <f aca="false">IF(H1635="Y",1,0)</f>
        <v>0</v>
      </c>
      <c r="N1635" s="3" t="n">
        <f aca="false">IF(I1635="Y",1,0)</f>
        <v>0</v>
      </c>
    </row>
    <row r="1636" customFormat="false" ht="15" hidden="false" customHeight="true" outlineLevel="0" collapsed="false">
      <c r="A1636" s="7" t="s">
        <v>68</v>
      </c>
      <c r="B1636" s="7" t="n">
        <v>1987</v>
      </c>
      <c r="C1636" s="7" t="s">
        <v>369</v>
      </c>
      <c r="D1636" s="7" t="n">
        <v>85</v>
      </c>
      <c r="E1636" s="7" t="n">
        <v>77</v>
      </c>
      <c r="F1636" s="7" t="s">
        <v>548</v>
      </c>
      <c r="G1636" s="7"/>
      <c r="H1636" s="7" t="s">
        <v>548</v>
      </c>
      <c r="I1636" s="7" t="s">
        <v>548</v>
      </c>
      <c r="J1636" s="21" t="n">
        <f aca="false">D1636/(D1636+E1636)</f>
        <v>0.524691358024691</v>
      </c>
      <c r="K1636" s="3" t="n">
        <f aca="false">IF(D1636&gt;E1636,1,0)</f>
        <v>1</v>
      </c>
      <c r="L1636" s="3" t="n">
        <f aca="false">IF(OR(F1636="Y",G1636="Y",H1636="Y"),1,0)</f>
        <v>1</v>
      </c>
      <c r="M1636" s="3" t="n">
        <f aca="false">IF(H1636="Y",1,0)</f>
        <v>1</v>
      </c>
      <c r="N1636" s="3" t="n">
        <f aca="false">IF(I1636="Y",1,0)</f>
        <v>1</v>
      </c>
    </row>
    <row r="1637" customFormat="false" ht="15" hidden="false" customHeight="true" outlineLevel="0" collapsed="false">
      <c r="A1637" s="7" t="s">
        <v>68</v>
      </c>
      <c r="B1637" s="7" t="n">
        <v>1988</v>
      </c>
      <c r="C1637" s="7" t="s">
        <v>369</v>
      </c>
      <c r="D1637" s="7" t="n">
        <v>91</v>
      </c>
      <c r="E1637" s="7" t="n">
        <v>71</v>
      </c>
      <c r="F1637" s="7" t="s">
        <v>546</v>
      </c>
      <c r="G1637" s="7"/>
      <c r="H1637" s="7" t="s">
        <v>546</v>
      </c>
      <c r="I1637" s="7" t="s">
        <v>546</v>
      </c>
      <c r="J1637" s="21" t="n">
        <f aca="false">D1637/(D1637+E1637)</f>
        <v>0.561728395061728</v>
      </c>
      <c r="K1637" s="3" t="n">
        <f aca="false">IF(D1637&gt;E1637,1,0)</f>
        <v>1</v>
      </c>
      <c r="L1637" s="3" t="n">
        <f aca="false">IF(OR(F1637="Y",G1637="Y",H1637="Y"),1,0)</f>
        <v>0</v>
      </c>
      <c r="M1637" s="3" t="n">
        <f aca="false">IF(H1637="Y",1,0)</f>
        <v>0</v>
      </c>
      <c r="N1637" s="3" t="n">
        <f aca="false">IF(I1637="Y",1,0)</f>
        <v>0</v>
      </c>
    </row>
    <row r="1638" customFormat="false" ht="15" hidden="false" customHeight="true" outlineLevel="0" collapsed="false">
      <c r="A1638" s="7" t="s">
        <v>68</v>
      </c>
      <c r="B1638" s="7" t="n">
        <v>1989</v>
      </c>
      <c r="C1638" s="7" t="s">
        <v>369</v>
      </c>
      <c r="D1638" s="7" t="n">
        <v>80</v>
      </c>
      <c r="E1638" s="7" t="n">
        <v>82</v>
      </c>
      <c r="F1638" s="7" t="s">
        <v>546</v>
      </c>
      <c r="G1638" s="7"/>
      <c r="H1638" s="7" t="s">
        <v>546</v>
      </c>
      <c r="I1638" s="7" t="s">
        <v>546</v>
      </c>
      <c r="J1638" s="21" t="n">
        <f aca="false">D1638/(D1638+E1638)</f>
        <v>0.493827160493827</v>
      </c>
      <c r="K1638" s="3" t="n">
        <f aca="false">IF(D1638&gt;E1638,1,0)</f>
        <v>0</v>
      </c>
      <c r="L1638" s="3" t="n">
        <f aca="false">IF(OR(F1638="Y",G1638="Y",H1638="Y"),1,0)</f>
        <v>0</v>
      </c>
      <c r="M1638" s="3" t="n">
        <f aca="false">IF(H1638="Y",1,0)</f>
        <v>0</v>
      </c>
      <c r="N1638" s="3" t="n">
        <f aca="false">IF(I1638="Y",1,0)</f>
        <v>0</v>
      </c>
    </row>
    <row r="1639" customFormat="false" ht="15" hidden="false" customHeight="true" outlineLevel="0" collapsed="false">
      <c r="A1639" s="7" t="s">
        <v>68</v>
      </c>
      <c r="B1639" s="7" t="n">
        <v>1990</v>
      </c>
      <c r="C1639" s="7" t="s">
        <v>369</v>
      </c>
      <c r="D1639" s="7" t="n">
        <v>74</v>
      </c>
      <c r="E1639" s="7" t="n">
        <v>88</v>
      </c>
      <c r="F1639" s="7" t="s">
        <v>546</v>
      </c>
      <c r="G1639" s="7"/>
      <c r="H1639" s="7" t="s">
        <v>546</v>
      </c>
      <c r="I1639" s="7" t="s">
        <v>546</v>
      </c>
      <c r="J1639" s="21" t="n">
        <f aca="false">D1639/(D1639+E1639)</f>
        <v>0.45679012345679</v>
      </c>
      <c r="K1639" s="3" t="n">
        <f aca="false">IF(D1639&gt;E1639,1,0)</f>
        <v>0</v>
      </c>
      <c r="L1639" s="3" t="n">
        <f aca="false">IF(OR(F1639="Y",G1639="Y",H1639="Y"),1,0)</f>
        <v>0</v>
      </c>
      <c r="M1639" s="3" t="n">
        <f aca="false">IF(H1639="Y",1,0)</f>
        <v>0</v>
      </c>
      <c r="N1639" s="3" t="n">
        <f aca="false">IF(I1639="Y",1,0)</f>
        <v>0</v>
      </c>
    </row>
    <row r="1640" customFormat="false" ht="15" hidden="false" customHeight="true" outlineLevel="0" collapsed="false">
      <c r="A1640" s="7" t="s">
        <v>68</v>
      </c>
      <c r="B1640" s="7" t="n">
        <v>1991</v>
      </c>
      <c r="C1640" s="7" t="s">
        <v>369</v>
      </c>
      <c r="D1640" s="7" t="n">
        <v>95</v>
      </c>
      <c r="E1640" s="7" t="n">
        <v>67</v>
      </c>
      <c r="F1640" s="7" t="s">
        <v>548</v>
      </c>
      <c r="G1640" s="7"/>
      <c r="H1640" s="7" t="s">
        <v>548</v>
      </c>
      <c r="I1640" s="7" t="s">
        <v>548</v>
      </c>
      <c r="J1640" s="21" t="n">
        <f aca="false">D1640/(D1640+E1640)</f>
        <v>0.58641975308642</v>
      </c>
      <c r="K1640" s="3" t="n">
        <f aca="false">IF(D1640&gt;E1640,1,0)</f>
        <v>1</v>
      </c>
      <c r="L1640" s="3" t="n">
        <f aca="false">IF(OR(F1640="Y",G1640="Y",H1640="Y"),1,0)</f>
        <v>1</v>
      </c>
      <c r="M1640" s="3" t="n">
        <f aca="false">IF(H1640="Y",1,0)</f>
        <v>1</v>
      </c>
      <c r="N1640" s="3" t="n">
        <f aca="false">IF(I1640="Y",1,0)</f>
        <v>1</v>
      </c>
    </row>
    <row r="1641" customFormat="false" ht="15" hidden="false" customHeight="true" outlineLevel="0" collapsed="false">
      <c r="A1641" s="7" t="s">
        <v>68</v>
      </c>
      <c r="B1641" s="7" t="n">
        <v>1992</v>
      </c>
      <c r="C1641" s="7" t="s">
        <v>369</v>
      </c>
      <c r="D1641" s="7" t="n">
        <v>90</v>
      </c>
      <c r="E1641" s="7" t="n">
        <v>72</v>
      </c>
      <c r="F1641" s="7" t="s">
        <v>546</v>
      </c>
      <c r="G1641" s="7"/>
      <c r="H1641" s="7" t="s">
        <v>546</v>
      </c>
      <c r="I1641" s="7" t="s">
        <v>546</v>
      </c>
      <c r="J1641" s="21" t="n">
        <f aca="false">D1641/(D1641+E1641)</f>
        <v>0.555555555555556</v>
      </c>
      <c r="K1641" s="3" t="n">
        <f aca="false">IF(D1641&gt;E1641,1,0)</f>
        <v>1</v>
      </c>
      <c r="L1641" s="3" t="n">
        <f aca="false">IF(OR(F1641="Y",G1641="Y",H1641="Y"),1,0)</f>
        <v>0</v>
      </c>
      <c r="M1641" s="3" t="n">
        <f aca="false">IF(H1641="Y",1,0)</f>
        <v>0</v>
      </c>
      <c r="N1641" s="3" t="n">
        <f aca="false">IF(I1641="Y",1,0)</f>
        <v>0</v>
      </c>
    </row>
    <row r="1642" customFormat="false" ht="15" hidden="false" customHeight="true" outlineLevel="0" collapsed="false">
      <c r="A1642" s="7" t="s">
        <v>68</v>
      </c>
      <c r="B1642" s="7" t="n">
        <v>1993</v>
      </c>
      <c r="C1642" s="7" t="s">
        <v>369</v>
      </c>
      <c r="D1642" s="7" t="n">
        <v>71</v>
      </c>
      <c r="E1642" s="7" t="n">
        <v>91</v>
      </c>
      <c r="F1642" s="7" t="s">
        <v>546</v>
      </c>
      <c r="G1642" s="7"/>
      <c r="H1642" s="7" t="s">
        <v>546</v>
      </c>
      <c r="I1642" s="7" t="s">
        <v>546</v>
      </c>
      <c r="J1642" s="21" t="n">
        <f aca="false">D1642/(D1642+E1642)</f>
        <v>0.438271604938272</v>
      </c>
      <c r="K1642" s="3" t="n">
        <f aca="false">IF(D1642&gt;E1642,1,0)</f>
        <v>0</v>
      </c>
      <c r="L1642" s="3" t="n">
        <f aca="false">IF(OR(F1642="Y",G1642="Y",H1642="Y"),1,0)</f>
        <v>0</v>
      </c>
      <c r="M1642" s="3" t="n">
        <f aca="false">IF(H1642="Y",1,0)</f>
        <v>0</v>
      </c>
      <c r="N1642" s="3" t="n">
        <f aca="false">IF(I1642="Y",1,0)</f>
        <v>0</v>
      </c>
    </row>
    <row r="1643" customFormat="false" ht="15" hidden="false" customHeight="true" outlineLevel="0" collapsed="false">
      <c r="A1643" s="7" t="s">
        <v>68</v>
      </c>
      <c r="B1643" s="7" t="n">
        <v>1994</v>
      </c>
      <c r="C1643" s="7" t="s">
        <v>369</v>
      </c>
      <c r="D1643" s="7" t="n">
        <v>53</v>
      </c>
      <c r="E1643" s="7" t="n">
        <v>60</v>
      </c>
      <c r="F1643" s="7"/>
      <c r="G1643" s="7"/>
      <c r="H1643" s="7"/>
      <c r="I1643" s="7"/>
      <c r="J1643" s="21" t="n">
        <f aca="false">D1643/(D1643+E1643)</f>
        <v>0.469026548672566</v>
      </c>
      <c r="K1643" s="3" t="n">
        <f aca="false">IF(D1643&gt;E1643,1,0)</f>
        <v>0</v>
      </c>
      <c r="L1643" s="3" t="n">
        <f aca="false">IF(OR(F1643="Y",G1643="Y",H1643="Y"),1,0)</f>
        <v>0</v>
      </c>
      <c r="M1643" s="3" t="n">
        <f aca="false">IF(H1643="Y",1,0)</f>
        <v>0</v>
      </c>
      <c r="N1643" s="3" t="n">
        <f aca="false">IF(I1643="Y",1,0)</f>
        <v>0</v>
      </c>
    </row>
    <row r="1644" customFormat="false" ht="15" hidden="false" customHeight="true" outlineLevel="0" collapsed="false">
      <c r="A1644" s="7" t="s">
        <v>68</v>
      </c>
      <c r="B1644" s="7" t="n">
        <v>1995</v>
      </c>
      <c r="C1644" s="7" t="s">
        <v>369</v>
      </c>
      <c r="D1644" s="7" t="n">
        <v>56</v>
      </c>
      <c r="E1644" s="7" t="n">
        <v>88</v>
      </c>
      <c r="F1644" s="7" t="s">
        <v>546</v>
      </c>
      <c r="G1644" s="7" t="s">
        <v>546</v>
      </c>
      <c r="H1644" s="7" t="s">
        <v>546</v>
      </c>
      <c r="I1644" s="7" t="s">
        <v>546</v>
      </c>
      <c r="J1644" s="21" t="n">
        <f aca="false">D1644/(D1644+E1644)</f>
        <v>0.388888888888889</v>
      </c>
      <c r="K1644" s="3" t="n">
        <f aca="false">IF(D1644&gt;E1644,1,0)</f>
        <v>0</v>
      </c>
      <c r="L1644" s="3" t="n">
        <f aca="false">IF(OR(F1644="Y",G1644="Y",H1644="Y"),1,0)</f>
        <v>0</v>
      </c>
      <c r="M1644" s="3" t="n">
        <f aca="false">IF(H1644="Y",1,0)</f>
        <v>0</v>
      </c>
      <c r="N1644" s="3" t="n">
        <f aca="false">IF(I1644="Y",1,0)</f>
        <v>0</v>
      </c>
    </row>
    <row r="1645" customFormat="false" ht="15" hidden="false" customHeight="true" outlineLevel="0" collapsed="false">
      <c r="A1645" s="7" t="s">
        <v>68</v>
      </c>
      <c r="B1645" s="7" t="n">
        <v>1996</v>
      </c>
      <c r="C1645" s="7" t="s">
        <v>369</v>
      </c>
      <c r="D1645" s="7" t="n">
        <v>78</v>
      </c>
      <c r="E1645" s="7" t="n">
        <v>84</v>
      </c>
      <c r="F1645" s="7" t="s">
        <v>546</v>
      </c>
      <c r="G1645" s="7" t="s">
        <v>546</v>
      </c>
      <c r="H1645" s="7" t="s">
        <v>546</v>
      </c>
      <c r="I1645" s="7" t="s">
        <v>546</v>
      </c>
      <c r="J1645" s="21" t="n">
        <f aca="false">D1645/(D1645+E1645)</f>
        <v>0.481481481481481</v>
      </c>
      <c r="K1645" s="3" t="n">
        <f aca="false">IF(D1645&gt;E1645,1,0)</f>
        <v>0</v>
      </c>
      <c r="L1645" s="3" t="n">
        <f aca="false">IF(OR(F1645="Y",G1645="Y",H1645="Y"),1,0)</f>
        <v>0</v>
      </c>
      <c r="M1645" s="3" t="n">
        <f aca="false">IF(H1645="Y",1,0)</f>
        <v>0</v>
      </c>
      <c r="N1645" s="3" t="n">
        <f aca="false">IF(I1645="Y",1,0)</f>
        <v>0</v>
      </c>
    </row>
    <row r="1646" customFormat="false" ht="15" hidden="false" customHeight="true" outlineLevel="0" collapsed="false">
      <c r="A1646" s="7" t="s">
        <v>68</v>
      </c>
      <c r="B1646" s="7" t="n">
        <v>1997</v>
      </c>
      <c r="C1646" s="7" t="s">
        <v>369</v>
      </c>
      <c r="D1646" s="7" t="n">
        <v>68</v>
      </c>
      <c r="E1646" s="7" t="n">
        <v>94</v>
      </c>
      <c r="F1646" s="7" t="s">
        <v>546</v>
      </c>
      <c r="G1646" s="7" t="s">
        <v>546</v>
      </c>
      <c r="H1646" s="7" t="s">
        <v>546</v>
      </c>
      <c r="I1646" s="7" t="s">
        <v>546</v>
      </c>
      <c r="J1646" s="21" t="n">
        <f aca="false">D1646/(D1646+E1646)</f>
        <v>0.419753086419753</v>
      </c>
      <c r="K1646" s="3" t="n">
        <f aca="false">IF(D1646&gt;E1646,1,0)</f>
        <v>0</v>
      </c>
      <c r="L1646" s="3" t="n">
        <f aca="false">IF(OR(F1646="Y",G1646="Y",H1646="Y"),1,0)</f>
        <v>0</v>
      </c>
      <c r="M1646" s="3" t="n">
        <f aca="false">IF(H1646="Y",1,0)</f>
        <v>0</v>
      </c>
      <c r="N1646" s="3" t="n">
        <f aca="false">IF(I1646="Y",1,0)</f>
        <v>0</v>
      </c>
    </row>
    <row r="1647" customFormat="false" ht="15" hidden="false" customHeight="true" outlineLevel="0" collapsed="false">
      <c r="A1647" s="7" t="s">
        <v>68</v>
      </c>
      <c r="B1647" s="7" t="n">
        <v>1998</v>
      </c>
      <c r="C1647" s="7" t="s">
        <v>369</v>
      </c>
      <c r="D1647" s="7" t="n">
        <v>70</v>
      </c>
      <c r="E1647" s="7" t="n">
        <v>92</v>
      </c>
      <c r="F1647" s="7" t="s">
        <v>546</v>
      </c>
      <c r="G1647" s="7" t="s">
        <v>546</v>
      </c>
      <c r="H1647" s="7" t="s">
        <v>546</v>
      </c>
      <c r="I1647" s="7" t="s">
        <v>546</v>
      </c>
      <c r="J1647" s="21" t="n">
        <f aca="false">D1647/(D1647+E1647)</f>
        <v>0.432098765432099</v>
      </c>
      <c r="K1647" s="3" t="n">
        <f aca="false">IF(D1647&gt;E1647,1,0)</f>
        <v>0</v>
      </c>
      <c r="L1647" s="3" t="n">
        <f aca="false">IF(OR(F1647="Y",G1647="Y",H1647="Y"),1,0)</f>
        <v>0</v>
      </c>
      <c r="M1647" s="3" t="n">
        <f aca="false">IF(H1647="Y",1,0)</f>
        <v>0</v>
      </c>
      <c r="N1647" s="3" t="n">
        <f aca="false">IF(I1647="Y",1,0)</f>
        <v>0</v>
      </c>
    </row>
    <row r="1648" customFormat="false" ht="15" hidden="false" customHeight="true" outlineLevel="0" collapsed="false">
      <c r="A1648" s="7" t="s">
        <v>68</v>
      </c>
      <c r="B1648" s="7" t="n">
        <v>1999</v>
      </c>
      <c r="C1648" s="7" t="s">
        <v>369</v>
      </c>
      <c r="D1648" s="7" t="n">
        <v>63</v>
      </c>
      <c r="E1648" s="7" t="n">
        <v>97</v>
      </c>
      <c r="F1648" s="7" t="s">
        <v>546</v>
      </c>
      <c r="G1648" s="7" t="s">
        <v>546</v>
      </c>
      <c r="H1648" s="7" t="s">
        <v>546</v>
      </c>
      <c r="I1648" s="7" t="s">
        <v>546</v>
      </c>
      <c r="J1648" s="21" t="n">
        <f aca="false">D1648/(D1648+E1648)</f>
        <v>0.39375</v>
      </c>
      <c r="K1648" s="3" t="n">
        <f aca="false">IF(D1648&gt;E1648,1,0)</f>
        <v>0</v>
      </c>
      <c r="L1648" s="3" t="n">
        <f aca="false">IF(OR(F1648="Y",G1648="Y",H1648="Y"),1,0)</f>
        <v>0</v>
      </c>
      <c r="M1648" s="3" t="n">
        <f aca="false">IF(H1648="Y",1,0)</f>
        <v>0</v>
      </c>
      <c r="N1648" s="3" t="n">
        <f aca="false">IF(I1648="Y",1,0)</f>
        <v>0</v>
      </c>
    </row>
    <row r="1649" customFormat="false" ht="15" hidden="false" customHeight="true" outlineLevel="0" collapsed="false">
      <c r="A1649" s="7" t="s">
        <v>68</v>
      </c>
      <c r="B1649" s="7" t="n">
        <v>2000</v>
      </c>
      <c r="C1649" s="7" t="s">
        <v>369</v>
      </c>
      <c r="D1649" s="7" t="n">
        <v>69</v>
      </c>
      <c r="E1649" s="7" t="n">
        <v>93</v>
      </c>
      <c r="F1649" s="7" t="s">
        <v>546</v>
      </c>
      <c r="G1649" s="7" t="s">
        <v>546</v>
      </c>
      <c r="H1649" s="7" t="s">
        <v>546</v>
      </c>
      <c r="I1649" s="7" t="s">
        <v>546</v>
      </c>
      <c r="J1649" s="21" t="n">
        <f aca="false">D1649/(D1649+E1649)</f>
        <v>0.425925925925926</v>
      </c>
      <c r="K1649" s="3" t="n">
        <f aca="false">IF(D1649&gt;E1649,1,0)</f>
        <v>0</v>
      </c>
      <c r="L1649" s="3" t="n">
        <f aca="false">IF(OR(F1649="Y",G1649="Y",H1649="Y"),1,0)</f>
        <v>0</v>
      </c>
      <c r="M1649" s="3" t="n">
        <f aca="false">IF(H1649="Y",1,0)</f>
        <v>0</v>
      </c>
      <c r="N1649" s="3" t="n">
        <f aca="false">IF(I1649="Y",1,0)</f>
        <v>0</v>
      </c>
    </row>
    <row r="1650" customFormat="false" ht="15" hidden="false" customHeight="true" outlineLevel="0" collapsed="false">
      <c r="A1650" s="7" t="s">
        <v>68</v>
      </c>
      <c r="B1650" s="7" t="n">
        <v>2001</v>
      </c>
      <c r="C1650" s="7" t="s">
        <v>369</v>
      </c>
      <c r="D1650" s="7" t="n">
        <v>85</v>
      </c>
      <c r="E1650" s="7" t="n">
        <v>77</v>
      </c>
      <c r="F1650" s="7" t="s">
        <v>546</v>
      </c>
      <c r="G1650" s="7" t="s">
        <v>546</v>
      </c>
      <c r="H1650" s="7" t="s">
        <v>546</v>
      </c>
      <c r="I1650" s="7" t="s">
        <v>546</v>
      </c>
      <c r="J1650" s="21" t="n">
        <f aca="false">D1650/(D1650+E1650)</f>
        <v>0.524691358024691</v>
      </c>
      <c r="K1650" s="3" t="n">
        <f aca="false">IF(D1650&gt;E1650,1,0)</f>
        <v>1</v>
      </c>
      <c r="L1650" s="3" t="n">
        <f aca="false">IF(OR(F1650="Y",G1650="Y",H1650="Y"),1,0)</f>
        <v>0</v>
      </c>
      <c r="M1650" s="3" t="n">
        <f aca="false">IF(H1650="Y",1,0)</f>
        <v>0</v>
      </c>
      <c r="N1650" s="3" t="n">
        <f aca="false">IF(I1650="Y",1,0)</f>
        <v>0</v>
      </c>
    </row>
    <row r="1651" customFormat="false" ht="15" hidden="false" customHeight="true" outlineLevel="0" collapsed="false">
      <c r="A1651" s="7" t="s">
        <v>68</v>
      </c>
      <c r="B1651" s="7" t="n">
        <v>2002</v>
      </c>
      <c r="C1651" s="7" t="s">
        <v>369</v>
      </c>
      <c r="D1651" s="7" t="n">
        <v>94</v>
      </c>
      <c r="E1651" s="7" t="n">
        <v>67</v>
      </c>
      <c r="F1651" s="7" t="s">
        <v>548</v>
      </c>
      <c r="G1651" s="7" t="s">
        <v>546</v>
      </c>
      <c r="H1651" s="7" t="s">
        <v>546</v>
      </c>
      <c r="I1651" s="7" t="s">
        <v>546</v>
      </c>
      <c r="J1651" s="21" t="n">
        <f aca="false">D1651/(D1651+E1651)</f>
        <v>0.583850931677019</v>
      </c>
      <c r="K1651" s="3" t="n">
        <f aca="false">IF(D1651&gt;E1651,1,0)</f>
        <v>1</v>
      </c>
      <c r="L1651" s="3" t="n">
        <f aca="false">IF(OR(F1651="Y",G1651="Y",H1651="Y"),1,0)</f>
        <v>1</v>
      </c>
      <c r="M1651" s="3" t="n">
        <f aca="false">IF(H1651="Y",1,0)</f>
        <v>0</v>
      </c>
      <c r="N1651" s="3" t="n">
        <f aca="false">IF(I1651="Y",1,0)</f>
        <v>0</v>
      </c>
    </row>
    <row r="1652" customFormat="false" ht="15" hidden="false" customHeight="true" outlineLevel="0" collapsed="false">
      <c r="A1652" s="7" t="s">
        <v>68</v>
      </c>
      <c r="B1652" s="7" t="n">
        <v>2003</v>
      </c>
      <c r="C1652" s="7" t="s">
        <v>369</v>
      </c>
      <c r="D1652" s="7" t="n">
        <v>90</v>
      </c>
      <c r="E1652" s="7" t="n">
        <v>72</v>
      </c>
      <c r="F1652" s="7" t="s">
        <v>548</v>
      </c>
      <c r="G1652" s="7" t="s">
        <v>546</v>
      </c>
      <c r="H1652" s="7" t="s">
        <v>546</v>
      </c>
      <c r="I1652" s="7" t="s">
        <v>546</v>
      </c>
      <c r="J1652" s="21" t="n">
        <f aca="false">D1652/(D1652+E1652)</f>
        <v>0.555555555555556</v>
      </c>
      <c r="K1652" s="3" t="n">
        <f aca="false">IF(D1652&gt;E1652,1,0)</f>
        <v>1</v>
      </c>
      <c r="L1652" s="3" t="n">
        <f aca="false">IF(OR(F1652="Y",G1652="Y",H1652="Y"),1,0)</f>
        <v>1</v>
      </c>
      <c r="M1652" s="3" t="n">
        <f aca="false">IF(H1652="Y",1,0)</f>
        <v>0</v>
      </c>
      <c r="N1652" s="3" t="n">
        <f aca="false">IF(I1652="Y",1,0)</f>
        <v>0</v>
      </c>
    </row>
    <row r="1653" customFormat="false" ht="15" hidden="false" customHeight="true" outlineLevel="0" collapsed="false">
      <c r="A1653" s="7" t="s">
        <v>68</v>
      </c>
      <c r="B1653" s="7" t="n">
        <v>2004</v>
      </c>
      <c r="C1653" s="7" t="s">
        <v>369</v>
      </c>
      <c r="D1653" s="7" t="n">
        <v>92</v>
      </c>
      <c r="E1653" s="7" t="n">
        <v>70</v>
      </c>
      <c r="F1653" s="7" t="s">
        <v>548</v>
      </c>
      <c r="G1653" s="7" t="s">
        <v>546</v>
      </c>
      <c r="H1653" s="7" t="s">
        <v>546</v>
      </c>
      <c r="I1653" s="7" t="s">
        <v>546</v>
      </c>
      <c r="J1653" s="21" t="n">
        <f aca="false">D1653/(D1653+E1653)</f>
        <v>0.567901234567901</v>
      </c>
      <c r="K1653" s="3" t="n">
        <f aca="false">IF(D1653&gt;E1653,1,0)</f>
        <v>1</v>
      </c>
      <c r="L1653" s="3" t="n">
        <f aca="false">IF(OR(F1653="Y",G1653="Y",H1653="Y"),1,0)</f>
        <v>1</v>
      </c>
      <c r="M1653" s="3" t="n">
        <f aca="false">IF(H1653="Y",1,0)</f>
        <v>0</v>
      </c>
      <c r="N1653" s="3" t="n">
        <f aca="false">IF(I1653="Y",1,0)</f>
        <v>0</v>
      </c>
    </row>
    <row r="1654" customFormat="false" ht="15" hidden="false" customHeight="true" outlineLevel="0" collapsed="false">
      <c r="A1654" s="7" t="s">
        <v>68</v>
      </c>
      <c r="B1654" s="7" t="n">
        <v>2005</v>
      </c>
      <c r="C1654" s="7" t="s">
        <v>369</v>
      </c>
      <c r="D1654" s="7" t="n">
        <v>83</v>
      </c>
      <c r="E1654" s="7" t="n">
        <v>79</v>
      </c>
      <c r="F1654" s="7" t="s">
        <v>546</v>
      </c>
      <c r="G1654" s="7" t="s">
        <v>546</v>
      </c>
      <c r="H1654" s="7" t="s">
        <v>546</v>
      </c>
      <c r="I1654" s="7" t="s">
        <v>546</v>
      </c>
      <c r="J1654" s="21" t="n">
        <f aca="false">D1654/(D1654+E1654)</f>
        <v>0.512345679012346</v>
      </c>
      <c r="K1654" s="3" t="n">
        <f aca="false">IF(D1654&gt;E1654,1,0)</f>
        <v>1</v>
      </c>
      <c r="L1654" s="3" t="n">
        <f aca="false">IF(OR(F1654="Y",G1654="Y",H1654="Y"),1,0)</f>
        <v>0</v>
      </c>
      <c r="M1654" s="3" t="n">
        <f aca="false">IF(H1654="Y",1,0)</f>
        <v>0</v>
      </c>
      <c r="N1654" s="3" t="n">
        <f aca="false">IF(I1654="Y",1,0)</f>
        <v>0</v>
      </c>
    </row>
    <row r="1655" customFormat="false" ht="15" hidden="false" customHeight="true" outlineLevel="0" collapsed="false">
      <c r="A1655" s="7" t="s">
        <v>68</v>
      </c>
      <c r="B1655" s="7" t="n">
        <v>2006</v>
      </c>
      <c r="C1655" s="7" t="s">
        <v>369</v>
      </c>
      <c r="D1655" s="7" t="n">
        <v>96</v>
      </c>
      <c r="E1655" s="7" t="n">
        <v>66</v>
      </c>
      <c r="F1655" s="7" t="s">
        <v>548</v>
      </c>
      <c r="G1655" s="7" t="s">
        <v>546</v>
      </c>
      <c r="H1655" s="7" t="s">
        <v>546</v>
      </c>
      <c r="I1655" s="7" t="s">
        <v>546</v>
      </c>
      <c r="J1655" s="21" t="n">
        <f aca="false">D1655/(D1655+E1655)</f>
        <v>0.592592592592593</v>
      </c>
      <c r="K1655" s="3" t="n">
        <f aca="false">IF(D1655&gt;E1655,1,0)</f>
        <v>1</v>
      </c>
      <c r="L1655" s="3" t="n">
        <f aca="false">IF(OR(F1655="Y",G1655="Y",H1655="Y"),1,0)</f>
        <v>1</v>
      </c>
      <c r="M1655" s="3" t="n">
        <f aca="false">IF(H1655="Y",1,0)</f>
        <v>0</v>
      </c>
      <c r="N1655" s="3" t="n">
        <f aca="false">IF(I1655="Y",1,0)</f>
        <v>0</v>
      </c>
    </row>
    <row r="1656" customFormat="false" ht="15" hidden="false" customHeight="true" outlineLevel="0" collapsed="false">
      <c r="A1656" s="7" t="s">
        <v>68</v>
      </c>
      <c r="B1656" s="7" t="n">
        <v>2007</v>
      </c>
      <c r="C1656" s="7" t="s">
        <v>369</v>
      </c>
      <c r="D1656" s="7" t="n">
        <v>79</v>
      </c>
      <c r="E1656" s="7" t="n">
        <v>83</v>
      </c>
      <c r="F1656" s="7" t="s">
        <v>546</v>
      </c>
      <c r="G1656" s="7" t="s">
        <v>546</v>
      </c>
      <c r="H1656" s="7" t="s">
        <v>546</v>
      </c>
      <c r="I1656" s="7" t="s">
        <v>546</v>
      </c>
      <c r="J1656" s="21" t="n">
        <f aca="false">D1656/(D1656+E1656)</f>
        <v>0.487654320987654</v>
      </c>
      <c r="K1656" s="3" t="n">
        <f aca="false">IF(D1656&gt;E1656,1,0)</f>
        <v>0</v>
      </c>
      <c r="L1656" s="3" t="n">
        <f aca="false">IF(OR(F1656="Y",G1656="Y",H1656="Y"),1,0)</f>
        <v>0</v>
      </c>
      <c r="M1656" s="3" t="n">
        <f aca="false">IF(H1656="Y",1,0)</f>
        <v>0</v>
      </c>
      <c r="N1656" s="3" t="n">
        <f aca="false">IF(I1656="Y",1,0)</f>
        <v>0</v>
      </c>
    </row>
    <row r="1657" customFormat="false" ht="15" hidden="false" customHeight="true" outlineLevel="0" collapsed="false">
      <c r="A1657" s="7" t="s">
        <v>68</v>
      </c>
      <c r="B1657" s="7" t="n">
        <v>2008</v>
      </c>
      <c r="C1657" s="7" t="s">
        <v>369</v>
      </c>
      <c r="D1657" s="7" t="n">
        <v>88</v>
      </c>
      <c r="E1657" s="7" t="n">
        <v>75</v>
      </c>
      <c r="F1657" s="7" t="s">
        <v>546</v>
      </c>
      <c r="G1657" s="7" t="s">
        <v>546</v>
      </c>
      <c r="H1657" s="7" t="s">
        <v>546</v>
      </c>
      <c r="I1657" s="7" t="s">
        <v>546</v>
      </c>
      <c r="J1657" s="21" t="n">
        <f aca="false">D1657/(D1657+E1657)</f>
        <v>0.539877300613497</v>
      </c>
      <c r="K1657" s="3" t="n">
        <f aca="false">IF(D1657&gt;E1657,1,0)</f>
        <v>1</v>
      </c>
      <c r="L1657" s="3" t="n">
        <f aca="false">IF(OR(F1657="Y",G1657="Y",H1657="Y"),1,0)</f>
        <v>0</v>
      </c>
      <c r="M1657" s="3" t="n">
        <f aca="false">IF(H1657="Y",1,0)</f>
        <v>0</v>
      </c>
      <c r="N1657" s="3" t="n">
        <f aca="false">IF(I1657="Y",1,0)</f>
        <v>0</v>
      </c>
    </row>
    <row r="1658" customFormat="false" ht="15" hidden="false" customHeight="true" outlineLevel="0" collapsed="false">
      <c r="A1658" s="7" t="s">
        <v>68</v>
      </c>
      <c r="B1658" s="7" t="n">
        <v>2009</v>
      </c>
      <c r="C1658" s="7" t="s">
        <v>369</v>
      </c>
      <c r="D1658" s="7" t="n">
        <v>87</v>
      </c>
      <c r="E1658" s="7" t="n">
        <v>76</v>
      </c>
      <c r="F1658" s="7" t="s">
        <v>548</v>
      </c>
      <c r="G1658" s="7" t="s">
        <v>546</v>
      </c>
      <c r="H1658" s="7" t="s">
        <v>546</v>
      </c>
      <c r="I1658" s="7" t="s">
        <v>546</v>
      </c>
      <c r="J1658" s="21" t="n">
        <f aca="false">D1658/(D1658+E1658)</f>
        <v>0.533742331288344</v>
      </c>
      <c r="K1658" s="3" t="n">
        <f aca="false">IF(D1658&gt;E1658,1,0)</f>
        <v>1</v>
      </c>
      <c r="L1658" s="3" t="n">
        <f aca="false">IF(OR(F1658="Y",G1658="Y",H1658="Y"),1,0)</f>
        <v>1</v>
      </c>
      <c r="M1658" s="3" t="n">
        <f aca="false">IF(H1658="Y",1,0)</f>
        <v>0</v>
      </c>
      <c r="N1658" s="3" t="n">
        <f aca="false">IF(I1658="Y",1,0)</f>
        <v>0</v>
      </c>
    </row>
    <row r="1659" customFormat="false" ht="15" hidden="false" customHeight="true" outlineLevel="0" collapsed="false">
      <c r="A1659" s="7" t="s">
        <v>68</v>
      </c>
      <c r="B1659" s="7" t="n">
        <v>2010</v>
      </c>
      <c r="C1659" s="7" t="s">
        <v>369</v>
      </c>
      <c r="D1659" s="7" t="n">
        <v>94</v>
      </c>
      <c r="E1659" s="7" t="n">
        <v>68</v>
      </c>
      <c r="F1659" s="7" t="s">
        <v>548</v>
      </c>
      <c r="G1659" s="7" t="s">
        <v>546</v>
      </c>
      <c r="H1659" s="7" t="s">
        <v>546</v>
      </c>
      <c r="I1659" s="7" t="s">
        <v>546</v>
      </c>
      <c r="J1659" s="21" t="n">
        <f aca="false">D1659/(D1659+E1659)</f>
        <v>0.580246913580247</v>
      </c>
      <c r="K1659" s="3" t="n">
        <f aca="false">IF(D1659&gt;E1659,1,0)</f>
        <v>1</v>
      </c>
      <c r="L1659" s="3" t="n">
        <f aca="false">IF(OR(F1659="Y",G1659="Y",H1659="Y"),1,0)</f>
        <v>1</v>
      </c>
      <c r="M1659" s="3" t="n">
        <f aca="false">IF(H1659="Y",1,0)</f>
        <v>0</v>
      </c>
      <c r="N1659" s="3" t="n">
        <f aca="false">IF(I1659="Y",1,0)</f>
        <v>0</v>
      </c>
    </row>
    <row r="1660" customFormat="false" ht="15" hidden="false" customHeight="true" outlineLevel="0" collapsed="false">
      <c r="A1660" s="7" t="s">
        <v>68</v>
      </c>
      <c r="B1660" s="7" t="n">
        <v>2011</v>
      </c>
      <c r="C1660" s="7" t="s">
        <v>369</v>
      </c>
      <c r="D1660" s="7" t="n">
        <v>63</v>
      </c>
      <c r="E1660" s="7" t="n">
        <v>99</v>
      </c>
      <c r="F1660" s="7" t="s">
        <v>546</v>
      </c>
      <c r="G1660" s="7" t="s">
        <v>546</v>
      </c>
      <c r="H1660" s="7" t="s">
        <v>546</v>
      </c>
      <c r="I1660" s="7" t="s">
        <v>546</v>
      </c>
      <c r="J1660" s="21" t="n">
        <f aca="false">D1660/(D1660+E1660)</f>
        <v>0.388888888888889</v>
      </c>
      <c r="K1660" s="3" t="n">
        <f aca="false">IF(D1660&gt;E1660,1,0)</f>
        <v>0</v>
      </c>
      <c r="L1660" s="3" t="n">
        <f aca="false">IF(OR(F1660="Y",G1660="Y",H1660="Y"),1,0)</f>
        <v>0</v>
      </c>
      <c r="M1660" s="3" t="n">
        <f aca="false">IF(H1660="Y",1,0)</f>
        <v>0</v>
      </c>
      <c r="N1660" s="3" t="n">
        <f aca="false">IF(I1660="Y",1,0)</f>
        <v>0</v>
      </c>
    </row>
    <row r="1661" customFormat="false" ht="15" hidden="false" customHeight="true" outlineLevel="0" collapsed="false">
      <c r="A1661" s="7" t="s">
        <v>68</v>
      </c>
      <c r="B1661" s="7" t="n">
        <v>2012</v>
      </c>
      <c r="C1661" s="7" t="s">
        <v>369</v>
      </c>
      <c r="D1661" s="7" t="n">
        <v>66</v>
      </c>
      <c r="E1661" s="7" t="n">
        <v>96</v>
      </c>
      <c r="F1661" s="7" t="s">
        <v>546</v>
      </c>
      <c r="G1661" s="7" t="s">
        <v>546</v>
      </c>
      <c r="H1661" s="7" t="s">
        <v>546</v>
      </c>
      <c r="I1661" s="7" t="s">
        <v>546</v>
      </c>
      <c r="J1661" s="21" t="n">
        <f aca="false">D1661/(D1661+E1661)</f>
        <v>0.407407407407407</v>
      </c>
      <c r="K1661" s="3" t="n">
        <f aca="false">IF(D1661&gt;E1661,1,0)</f>
        <v>0</v>
      </c>
      <c r="L1661" s="3" t="n">
        <f aca="false">IF(OR(F1661="Y",G1661="Y",H1661="Y"),1,0)</f>
        <v>0</v>
      </c>
      <c r="M1661" s="3" t="n">
        <f aca="false">IF(H1661="Y",1,0)</f>
        <v>0</v>
      </c>
      <c r="N1661" s="3" t="n">
        <f aca="false">IF(I1661="Y",1,0)</f>
        <v>0</v>
      </c>
    </row>
    <row r="1662" customFormat="false" ht="15" hidden="false" customHeight="true" outlineLevel="0" collapsed="false">
      <c r="A1662" s="7" t="s">
        <v>68</v>
      </c>
      <c r="B1662" s="7" t="n">
        <v>2013</v>
      </c>
      <c r="C1662" s="7" t="s">
        <v>369</v>
      </c>
      <c r="D1662" s="7" t="n">
        <v>66</v>
      </c>
      <c r="E1662" s="7" t="n">
        <v>96</v>
      </c>
      <c r="F1662" s="7" t="s">
        <v>546</v>
      </c>
      <c r="G1662" s="7" t="s">
        <v>546</v>
      </c>
      <c r="H1662" s="7" t="s">
        <v>546</v>
      </c>
      <c r="I1662" s="7" t="s">
        <v>546</v>
      </c>
      <c r="J1662" s="21" t="n">
        <f aca="false">D1662/(D1662+E1662)</f>
        <v>0.407407407407407</v>
      </c>
      <c r="K1662" s="3" t="n">
        <f aca="false">IF(D1662&gt;E1662,1,0)</f>
        <v>0</v>
      </c>
      <c r="L1662" s="3" t="n">
        <f aca="false">IF(OR(F1662="Y",G1662="Y",H1662="Y"),1,0)</f>
        <v>0</v>
      </c>
      <c r="M1662" s="3" t="n">
        <f aca="false">IF(H1662="Y",1,0)</f>
        <v>0</v>
      </c>
      <c r="N1662" s="3" t="n">
        <f aca="false">IF(I1662="Y",1,0)</f>
        <v>0</v>
      </c>
    </row>
    <row r="1663" customFormat="false" ht="15" hidden="false" customHeight="true" outlineLevel="0" collapsed="false">
      <c r="A1663" s="7" t="s">
        <v>68</v>
      </c>
      <c r="B1663" s="7" t="n">
        <v>2014</v>
      </c>
      <c r="C1663" s="7" t="s">
        <v>369</v>
      </c>
      <c r="D1663" s="7" t="n">
        <v>70</v>
      </c>
      <c r="E1663" s="7" t="n">
        <v>92</v>
      </c>
      <c r="F1663" s="7" t="s">
        <v>546</v>
      </c>
      <c r="G1663" s="7" t="s">
        <v>546</v>
      </c>
      <c r="H1663" s="7" t="s">
        <v>546</v>
      </c>
      <c r="I1663" s="7" t="s">
        <v>546</v>
      </c>
      <c r="J1663" s="21" t="n">
        <f aca="false">D1663/(D1663+E1663)</f>
        <v>0.432098765432099</v>
      </c>
      <c r="K1663" s="3" t="n">
        <f aca="false">IF(D1663&gt;E1663,1,0)</f>
        <v>0</v>
      </c>
      <c r="L1663" s="3" t="n">
        <f aca="false">IF(OR(F1663="Y",G1663="Y",H1663="Y"),1,0)</f>
        <v>0</v>
      </c>
      <c r="M1663" s="3" t="n">
        <f aca="false">IF(H1663="Y",1,0)</f>
        <v>0</v>
      </c>
      <c r="N1663" s="3" t="n">
        <f aca="false">IF(I1663="Y",1,0)</f>
        <v>0</v>
      </c>
    </row>
    <row r="1664" customFormat="false" ht="15" hidden="false" customHeight="true" outlineLevel="0" collapsed="false">
      <c r="A1664" s="7" t="s">
        <v>68</v>
      </c>
      <c r="B1664" s="7" t="n">
        <v>2015</v>
      </c>
      <c r="C1664" s="7" t="s">
        <v>369</v>
      </c>
      <c r="D1664" s="7" t="n">
        <v>83</v>
      </c>
      <c r="E1664" s="7" t="n">
        <v>79</v>
      </c>
      <c r="F1664" s="7" t="s">
        <v>546</v>
      </c>
      <c r="G1664" s="7" t="s">
        <v>546</v>
      </c>
      <c r="H1664" s="7" t="s">
        <v>546</v>
      </c>
      <c r="I1664" s="7" t="s">
        <v>546</v>
      </c>
      <c r="J1664" s="21" t="n">
        <f aca="false">D1664/(D1664+E1664)</f>
        <v>0.512345679012346</v>
      </c>
      <c r="K1664" s="3" t="n">
        <f aca="false">IF(D1664&gt;E1664,1,0)</f>
        <v>1</v>
      </c>
      <c r="L1664" s="3" t="n">
        <f aca="false">IF(OR(F1664="Y",G1664="Y",H1664="Y"),1,0)</f>
        <v>0</v>
      </c>
      <c r="M1664" s="3" t="n">
        <f aca="false">IF(H1664="Y",1,0)</f>
        <v>0</v>
      </c>
      <c r="N1664" s="3" t="n">
        <f aca="false">IF(I1664="Y",1,0)</f>
        <v>0</v>
      </c>
    </row>
    <row r="1665" customFormat="false" ht="15" hidden="false" customHeight="true" outlineLevel="0" collapsed="false">
      <c r="A1665" s="7" t="s">
        <v>68</v>
      </c>
      <c r="B1665" s="7" t="n">
        <v>2016</v>
      </c>
      <c r="C1665" s="7" t="s">
        <v>369</v>
      </c>
      <c r="D1665" s="7" t="n">
        <v>59</v>
      </c>
      <c r="E1665" s="7" t="n">
        <v>103</v>
      </c>
      <c r="F1665" s="7" t="s">
        <v>546</v>
      </c>
      <c r="G1665" s="7" t="s">
        <v>546</v>
      </c>
      <c r="H1665" s="7" t="s">
        <v>546</v>
      </c>
      <c r="I1665" s="7" t="s">
        <v>546</v>
      </c>
      <c r="J1665" s="21" t="n">
        <f aca="false">D1665/(D1665+E1665)</f>
        <v>0.364197530864198</v>
      </c>
      <c r="K1665" s="3" t="n">
        <f aca="false">IF(D1665&gt;E1665,1,0)</f>
        <v>0</v>
      </c>
      <c r="L1665" s="3" t="n">
        <f aca="false">IF(OR(F1665="Y",G1665="Y",H1665="Y"),1,0)</f>
        <v>0</v>
      </c>
      <c r="M1665" s="3" t="n">
        <f aca="false">IF(H1665="Y",1,0)</f>
        <v>0</v>
      </c>
      <c r="N1665" s="3" t="n">
        <f aca="false">IF(I1665="Y",1,0)</f>
        <v>0</v>
      </c>
    </row>
    <row r="1666" customFormat="false" ht="15" hidden="false" customHeight="true" outlineLevel="0" collapsed="false">
      <c r="A1666" s="7" t="s">
        <v>68</v>
      </c>
      <c r="B1666" s="7" t="n">
        <v>2017</v>
      </c>
      <c r="C1666" s="7" t="s">
        <v>369</v>
      </c>
      <c r="D1666" s="7" t="n">
        <v>85</v>
      </c>
      <c r="E1666" s="7" t="n">
        <v>77</v>
      </c>
      <c r="F1666" s="7" t="s">
        <v>546</v>
      </c>
      <c r="G1666" s="7" t="s">
        <v>548</v>
      </c>
      <c r="H1666" s="7" t="s">
        <v>546</v>
      </c>
      <c r="I1666" s="7" t="s">
        <v>546</v>
      </c>
      <c r="J1666" s="21" t="n">
        <f aca="false">D1666/(D1666+E1666)</f>
        <v>0.524691358024691</v>
      </c>
      <c r="K1666" s="3" t="n">
        <f aca="false">IF(D1666&gt;E1666,1,0)</f>
        <v>1</v>
      </c>
      <c r="L1666" s="3" t="n">
        <f aca="false">IF(OR(F1666="Y",G1666="Y",H1666="Y"),1,0)</f>
        <v>1</v>
      </c>
      <c r="M1666" s="3" t="n">
        <f aca="false">IF(H1666="Y",1,0)</f>
        <v>0</v>
      </c>
      <c r="N1666" s="3" t="n">
        <f aca="false">IF(I1666="Y",1,0)</f>
        <v>0</v>
      </c>
    </row>
    <row r="1667" customFormat="false" ht="15" hidden="false" customHeight="true" outlineLevel="0" collapsed="false">
      <c r="A1667" s="7" t="s">
        <v>68</v>
      </c>
      <c r="B1667" s="7" t="n">
        <v>2018</v>
      </c>
      <c r="C1667" s="7" t="s">
        <v>369</v>
      </c>
      <c r="D1667" s="7" t="n">
        <v>78</v>
      </c>
      <c r="E1667" s="7" t="n">
        <v>84</v>
      </c>
      <c r="F1667" s="7" t="s">
        <v>546</v>
      </c>
      <c r="G1667" s="7" t="s">
        <v>546</v>
      </c>
      <c r="H1667" s="7" t="s">
        <v>546</v>
      </c>
      <c r="I1667" s="7" t="s">
        <v>546</v>
      </c>
      <c r="J1667" s="21" t="n">
        <f aca="false">D1667/(D1667+E1667)</f>
        <v>0.481481481481481</v>
      </c>
      <c r="K1667" s="3" t="n">
        <f aca="false">IF(D1667&gt;E1667,1,0)</f>
        <v>0</v>
      </c>
      <c r="L1667" s="3" t="n">
        <f aca="false">IF(OR(F1667="Y",G1667="Y",H1667="Y"),1,0)</f>
        <v>0</v>
      </c>
      <c r="M1667" s="3" t="n">
        <f aca="false">IF(H1667="Y",1,0)</f>
        <v>0</v>
      </c>
      <c r="N1667" s="3" t="n">
        <f aca="false">IF(I1667="Y",1,0)</f>
        <v>0</v>
      </c>
    </row>
    <row r="1668" customFormat="false" ht="15" hidden="false" customHeight="true" outlineLevel="0" collapsed="false">
      <c r="A1668" s="7" t="s">
        <v>68</v>
      </c>
      <c r="B1668" s="7" t="n">
        <v>2019</v>
      </c>
      <c r="C1668" s="7" t="s">
        <v>369</v>
      </c>
      <c r="D1668" s="7" t="n">
        <v>101</v>
      </c>
      <c r="E1668" s="7" t="n">
        <v>61</v>
      </c>
      <c r="F1668" s="7" t="s">
        <v>548</v>
      </c>
      <c r="G1668" s="7" t="s">
        <v>546</v>
      </c>
      <c r="H1668" s="7" t="s">
        <v>546</v>
      </c>
      <c r="I1668" s="7" t="s">
        <v>546</v>
      </c>
      <c r="J1668" s="21" t="n">
        <f aca="false">D1668/(D1668+E1668)</f>
        <v>0.623456790123457</v>
      </c>
      <c r="K1668" s="3" t="n">
        <f aca="false">IF(D1668&gt;E1668,1,0)</f>
        <v>1</v>
      </c>
      <c r="L1668" s="3" t="n">
        <f aca="false">IF(OR(F1668="Y",G1668="Y",H1668="Y"),1,0)</f>
        <v>1</v>
      </c>
      <c r="M1668" s="3" t="n">
        <f aca="false">IF(H1668="Y",1,0)</f>
        <v>0</v>
      </c>
      <c r="N1668" s="3" t="n">
        <f aca="false">IF(I1668="Y",1,0)</f>
        <v>0</v>
      </c>
    </row>
    <row r="1669" customFormat="false" ht="15" hidden="false" customHeight="true" outlineLevel="0" collapsed="false">
      <c r="A1669" s="7" t="s">
        <v>68</v>
      </c>
      <c r="B1669" s="7" t="n">
        <v>2020</v>
      </c>
      <c r="C1669" s="7" t="s">
        <v>369</v>
      </c>
      <c r="D1669" s="7" t="n">
        <v>36</v>
      </c>
      <c r="E1669" s="7" t="n">
        <v>24</v>
      </c>
      <c r="F1669" s="7" t="s">
        <v>548</v>
      </c>
      <c r="G1669" s="7" t="s">
        <v>546</v>
      </c>
      <c r="H1669" s="7" t="s">
        <v>546</v>
      </c>
      <c r="I1669" s="7" t="s">
        <v>546</v>
      </c>
      <c r="J1669" s="21" t="n">
        <f aca="false">D1669/(D1669+E1669)</f>
        <v>0.6</v>
      </c>
      <c r="K1669" s="3" t="n">
        <f aca="false">IF(D1669&gt;E1669,1,0)</f>
        <v>1</v>
      </c>
      <c r="L1669" s="3" t="n">
        <f aca="false">IF(OR(F1669="Y",G1669="Y",H1669="Y"),1,0)</f>
        <v>1</v>
      </c>
      <c r="M1669" s="3" t="n">
        <f aca="false">IF(H1669="Y",1,0)</f>
        <v>0</v>
      </c>
      <c r="N1669" s="3" t="n">
        <f aca="false">IF(I1669="Y",1,0)</f>
        <v>0</v>
      </c>
    </row>
    <row r="1670" customFormat="false" ht="15" hidden="false" customHeight="true" outlineLevel="0" collapsed="false">
      <c r="A1670" s="7" t="s">
        <v>68</v>
      </c>
      <c r="B1670" s="7" t="n">
        <v>2021</v>
      </c>
      <c r="C1670" s="7" t="s">
        <v>369</v>
      </c>
      <c r="D1670" s="7" t="n">
        <v>73</v>
      </c>
      <c r="E1670" s="7" t="n">
        <v>89</v>
      </c>
      <c r="F1670" s="7" t="s">
        <v>546</v>
      </c>
      <c r="G1670" s="7" t="s">
        <v>546</v>
      </c>
      <c r="H1670" s="7" t="s">
        <v>546</v>
      </c>
      <c r="I1670" s="7" t="s">
        <v>546</v>
      </c>
      <c r="J1670" s="21" t="n">
        <f aca="false">D1670/(D1670+E1670)</f>
        <v>0.450617283950617</v>
      </c>
      <c r="K1670" s="3" t="n">
        <f aca="false">IF(D1670&gt;E1670,1,0)</f>
        <v>0</v>
      </c>
      <c r="L1670" s="3" t="n">
        <f aca="false">IF(OR(F1670="Y",G1670="Y",H1670="Y"),1,0)</f>
        <v>0</v>
      </c>
      <c r="M1670" s="3" t="n">
        <f aca="false">IF(H1670="Y",1,0)</f>
        <v>0</v>
      </c>
      <c r="N1670" s="3" t="n">
        <f aca="false">IF(I1670="Y",1,0)</f>
        <v>0</v>
      </c>
    </row>
    <row r="1671" customFormat="false" ht="15" hidden="false" customHeight="true" outlineLevel="0" collapsed="false">
      <c r="A1671" s="7" t="s">
        <v>68</v>
      </c>
      <c r="B1671" s="7" t="n">
        <v>2022</v>
      </c>
      <c r="C1671" s="7" t="s">
        <v>369</v>
      </c>
      <c r="D1671" s="7" t="n">
        <v>78</v>
      </c>
      <c r="E1671" s="7" t="n">
        <v>84</v>
      </c>
      <c r="F1671" s="7" t="s">
        <v>546</v>
      </c>
      <c r="G1671" s="7" t="s">
        <v>546</v>
      </c>
      <c r="H1671" s="7" t="s">
        <v>546</v>
      </c>
      <c r="I1671" s="7" t="s">
        <v>546</v>
      </c>
      <c r="J1671" s="21" t="n">
        <f aca="false">D1671/(D1671+E1671)</f>
        <v>0.481481481481481</v>
      </c>
      <c r="K1671" s="3" t="n">
        <f aca="false">IF(D1671&gt;E1671,1,0)</f>
        <v>0</v>
      </c>
      <c r="L1671" s="3" t="n">
        <f aca="false">IF(OR(F1671="Y",G1671="Y",H1671="Y"),1,0)</f>
        <v>0</v>
      </c>
      <c r="M1671" s="3" t="n">
        <f aca="false">IF(H1671="Y",1,0)</f>
        <v>0</v>
      </c>
      <c r="N1671" s="3" t="n">
        <f aca="false">IF(I1671="Y",1,0)</f>
        <v>0</v>
      </c>
    </row>
    <row r="1672" customFormat="false" ht="15" hidden="false" customHeight="true" outlineLevel="0" collapsed="false">
      <c r="A1672" s="7" t="s">
        <v>68</v>
      </c>
      <c r="B1672" s="7" t="n">
        <v>2023</v>
      </c>
      <c r="C1672" s="7" t="s">
        <v>369</v>
      </c>
      <c r="D1672" s="7" t="n">
        <v>87</v>
      </c>
      <c r="E1672" s="7" t="n">
        <v>75</v>
      </c>
      <c r="F1672" s="7" t="s">
        <v>548</v>
      </c>
      <c r="G1672" s="7" t="s">
        <v>546</v>
      </c>
      <c r="H1672" s="7" t="s">
        <v>546</v>
      </c>
      <c r="I1672" s="7" t="s">
        <v>546</v>
      </c>
      <c r="J1672" s="21" t="n">
        <f aca="false">D1672/(D1672+E1672)</f>
        <v>0.537037037037037</v>
      </c>
      <c r="K1672" s="3" t="n">
        <f aca="false">IF(D1672&gt;E1672,1,0)</f>
        <v>1</v>
      </c>
      <c r="L1672" s="3" t="n">
        <f aca="false">IF(OR(F1672="Y",G1672="Y",H1672="Y"),1,0)</f>
        <v>1</v>
      </c>
      <c r="M1672" s="3" t="n">
        <f aca="false">IF(H1672="Y",1,0)</f>
        <v>0</v>
      </c>
      <c r="N1672" s="3" t="n">
        <f aca="false">IF(I1672="Y",1,0)</f>
        <v>0</v>
      </c>
    </row>
    <row r="1673" customFormat="false" ht="15" hidden="false" customHeight="true" outlineLevel="0" collapsed="false">
      <c r="A1673" s="7" t="s">
        <v>68</v>
      </c>
      <c r="B1673" s="7" t="n">
        <v>2024</v>
      </c>
      <c r="C1673" s="7" t="s">
        <v>369</v>
      </c>
      <c r="D1673" s="7" t="n">
        <v>82</v>
      </c>
      <c r="E1673" s="7" t="n">
        <v>80</v>
      </c>
      <c r="F1673" s="7" t="s">
        <v>546</v>
      </c>
      <c r="G1673" s="7" t="s">
        <v>546</v>
      </c>
      <c r="H1673" s="7" t="s">
        <v>546</v>
      </c>
      <c r="I1673" s="7" t="s">
        <v>546</v>
      </c>
      <c r="J1673" s="21" t="n">
        <f aca="false">D1673/(D1673+E1673)</f>
        <v>0.506172839506173</v>
      </c>
      <c r="K1673" s="3" t="n">
        <f aca="false">IF(D1673&gt;E1673,1,0)</f>
        <v>1</v>
      </c>
      <c r="L1673" s="3" t="n">
        <f aca="false">IF(OR(F1673="Y",G1673="Y",H1673="Y"),1,0)</f>
        <v>0</v>
      </c>
      <c r="M1673" s="3" t="n">
        <f aca="false">IF(H1673="Y",1,0)</f>
        <v>0</v>
      </c>
      <c r="N1673" s="3" t="n">
        <f aca="false">IF(I1673="Y",1,0)</f>
        <v>0</v>
      </c>
    </row>
    <row r="1674" customFormat="false" ht="15" hidden="false" customHeight="true" outlineLevel="0" collapsed="false">
      <c r="A1674" s="7" t="s">
        <v>68</v>
      </c>
      <c r="B1674" s="7" t="n">
        <v>2025</v>
      </c>
      <c r="C1674" s="7" t="s">
        <v>369</v>
      </c>
      <c r="D1674" s="7" t="n">
        <v>70</v>
      </c>
      <c r="E1674" s="7" t="n">
        <v>92</v>
      </c>
      <c r="F1674" s="7" t="s">
        <v>546</v>
      </c>
      <c r="G1674" s="7" t="s">
        <v>546</v>
      </c>
      <c r="H1674" s="7" t="s">
        <v>546</v>
      </c>
      <c r="I1674" s="7" t="s">
        <v>546</v>
      </c>
      <c r="J1674" s="21" t="n">
        <f aca="false">D1674/(D1674+E1674)</f>
        <v>0.432098765432099</v>
      </c>
      <c r="K1674" s="3" t="n">
        <f aca="false">IF(D1674&gt;E1674,1,0)</f>
        <v>0</v>
      </c>
      <c r="L1674" s="3" t="n">
        <f aca="false">IF(OR(F1674="Y",G1674="Y",H1674="Y"),1,0)</f>
        <v>0</v>
      </c>
      <c r="M1674" s="3" t="n">
        <f aca="false">IF(H1674="Y",1,0)</f>
        <v>0</v>
      </c>
      <c r="N1674" s="3" t="n">
        <f aca="false">IF(I1674="Y",1,0)</f>
        <v>0</v>
      </c>
    </row>
    <row r="1675" customFormat="false" ht="15" hidden="false" customHeight="true" outlineLevel="0" collapsed="false">
      <c r="A1675" s="7" t="s">
        <v>75</v>
      </c>
      <c r="B1675" s="7" t="n">
        <v>1962</v>
      </c>
      <c r="C1675" s="7" t="s">
        <v>376</v>
      </c>
      <c r="D1675" s="7" t="n">
        <v>40</v>
      </c>
      <c r="E1675" s="7" t="n">
        <v>120</v>
      </c>
      <c r="F1675" s="7"/>
      <c r="G1675" s="7"/>
      <c r="H1675" s="7" t="s">
        <v>546</v>
      </c>
      <c r="I1675" s="7" t="s">
        <v>546</v>
      </c>
      <c r="J1675" s="21" t="n">
        <f aca="false">D1675/(D1675+E1675)</f>
        <v>0.25</v>
      </c>
      <c r="K1675" s="3" t="n">
        <f aca="false">IF(D1675&gt;E1675,1,0)</f>
        <v>0</v>
      </c>
      <c r="L1675" s="3" t="n">
        <f aca="false">IF(OR(F1675="Y",G1675="Y",H1675="Y"),1,0)</f>
        <v>0</v>
      </c>
      <c r="M1675" s="3" t="n">
        <f aca="false">IF(H1675="Y",1,0)</f>
        <v>0</v>
      </c>
      <c r="N1675" s="3" t="n">
        <f aca="false">IF(I1675="Y",1,0)</f>
        <v>0</v>
      </c>
    </row>
    <row r="1676" customFormat="false" ht="15" hidden="false" customHeight="true" outlineLevel="0" collapsed="false">
      <c r="A1676" s="7" t="s">
        <v>75</v>
      </c>
      <c r="B1676" s="7" t="n">
        <v>1963</v>
      </c>
      <c r="C1676" s="7" t="s">
        <v>376</v>
      </c>
      <c r="D1676" s="7" t="n">
        <v>51</v>
      </c>
      <c r="E1676" s="7" t="n">
        <v>111</v>
      </c>
      <c r="F1676" s="7"/>
      <c r="G1676" s="7"/>
      <c r="H1676" s="7" t="s">
        <v>546</v>
      </c>
      <c r="I1676" s="7" t="s">
        <v>546</v>
      </c>
      <c r="J1676" s="21" t="n">
        <f aca="false">D1676/(D1676+E1676)</f>
        <v>0.314814814814815</v>
      </c>
      <c r="K1676" s="3" t="n">
        <f aca="false">IF(D1676&gt;E1676,1,0)</f>
        <v>0</v>
      </c>
      <c r="L1676" s="3" t="n">
        <f aca="false">IF(OR(F1676="Y",G1676="Y",H1676="Y"),1,0)</f>
        <v>0</v>
      </c>
      <c r="M1676" s="3" t="n">
        <f aca="false">IF(H1676="Y",1,0)</f>
        <v>0</v>
      </c>
      <c r="N1676" s="3" t="n">
        <f aca="false">IF(I1676="Y",1,0)</f>
        <v>0</v>
      </c>
    </row>
    <row r="1677" customFormat="false" ht="15" hidden="false" customHeight="true" outlineLevel="0" collapsed="false">
      <c r="A1677" s="7" t="s">
        <v>75</v>
      </c>
      <c r="B1677" s="7" t="n">
        <v>1964</v>
      </c>
      <c r="C1677" s="7" t="s">
        <v>376</v>
      </c>
      <c r="D1677" s="7" t="n">
        <v>53</v>
      </c>
      <c r="E1677" s="7" t="n">
        <v>109</v>
      </c>
      <c r="F1677" s="7"/>
      <c r="G1677" s="7"/>
      <c r="H1677" s="7" t="s">
        <v>546</v>
      </c>
      <c r="I1677" s="7" t="s">
        <v>546</v>
      </c>
      <c r="J1677" s="21" t="n">
        <f aca="false">D1677/(D1677+E1677)</f>
        <v>0.327160493827161</v>
      </c>
      <c r="K1677" s="3" t="n">
        <f aca="false">IF(D1677&gt;E1677,1,0)</f>
        <v>0</v>
      </c>
      <c r="L1677" s="3" t="n">
        <f aca="false">IF(OR(F1677="Y",G1677="Y",H1677="Y"),1,0)</f>
        <v>0</v>
      </c>
      <c r="M1677" s="3" t="n">
        <f aca="false">IF(H1677="Y",1,0)</f>
        <v>0</v>
      </c>
      <c r="N1677" s="3" t="n">
        <f aca="false">IF(I1677="Y",1,0)</f>
        <v>0</v>
      </c>
    </row>
    <row r="1678" customFormat="false" ht="15" hidden="false" customHeight="true" outlineLevel="0" collapsed="false">
      <c r="A1678" s="7" t="s">
        <v>75</v>
      </c>
      <c r="B1678" s="7" t="n">
        <v>1965</v>
      </c>
      <c r="C1678" s="7" t="s">
        <v>376</v>
      </c>
      <c r="D1678" s="7" t="n">
        <v>50</v>
      </c>
      <c r="E1678" s="7" t="n">
        <v>112</v>
      </c>
      <c r="F1678" s="7"/>
      <c r="G1678" s="7"/>
      <c r="H1678" s="7" t="s">
        <v>546</v>
      </c>
      <c r="I1678" s="7" t="s">
        <v>546</v>
      </c>
      <c r="J1678" s="21" t="n">
        <f aca="false">D1678/(D1678+E1678)</f>
        <v>0.308641975308642</v>
      </c>
      <c r="K1678" s="3" t="n">
        <f aca="false">IF(D1678&gt;E1678,1,0)</f>
        <v>0</v>
      </c>
      <c r="L1678" s="3" t="n">
        <f aca="false">IF(OR(F1678="Y",G1678="Y",H1678="Y"),1,0)</f>
        <v>0</v>
      </c>
      <c r="M1678" s="3" t="n">
        <f aca="false">IF(H1678="Y",1,0)</f>
        <v>0</v>
      </c>
      <c r="N1678" s="3" t="n">
        <f aca="false">IF(I1678="Y",1,0)</f>
        <v>0</v>
      </c>
    </row>
    <row r="1679" customFormat="false" ht="15" hidden="false" customHeight="true" outlineLevel="0" collapsed="false">
      <c r="A1679" s="7" t="s">
        <v>75</v>
      </c>
      <c r="B1679" s="7" t="n">
        <v>1966</v>
      </c>
      <c r="C1679" s="7" t="s">
        <v>376</v>
      </c>
      <c r="D1679" s="7" t="n">
        <v>66</v>
      </c>
      <c r="E1679" s="7" t="n">
        <v>95</v>
      </c>
      <c r="F1679" s="7"/>
      <c r="G1679" s="7"/>
      <c r="H1679" s="7" t="s">
        <v>546</v>
      </c>
      <c r="I1679" s="7" t="s">
        <v>546</v>
      </c>
      <c r="J1679" s="21" t="n">
        <f aca="false">D1679/(D1679+E1679)</f>
        <v>0.409937888198758</v>
      </c>
      <c r="K1679" s="3" t="n">
        <f aca="false">IF(D1679&gt;E1679,1,0)</f>
        <v>0</v>
      </c>
      <c r="L1679" s="3" t="n">
        <f aca="false">IF(OR(F1679="Y",G1679="Y",H1679="Y"),1,0)</f>
        <v>0</v>
      </c>
      <c r="M1679" s="3" t="n">
        <f aca="false">IF(H1679="Y",1,0)</f>
        <v>0</v>
      </c>
      <c r="N1679" s="3" t="n">
        <f aca="false">IF(I1679="Y",1,0)</f>
        <v>0</v>
      </c>
    </row>
    <row r="1680" customFormat="false" ht="15" hidden="false" customHeight="true" outlineLevel="0" collapsed="false">
      <c r="A1680" s="7" t="s">
        <v>75</v>
      </c>
      <c r="B1680" s="7" t="n">
        <v>1967</v>
      </c>
      <c r="C1680" s="7" t="s">
        <v>376</v>
      </c>
      <c r="D1680" s="7" t="n">
        <v>61</v>
      </c>
      <c r="E1680" s="7" t="n">
        <v>101</v>
      </c>
      <c r="F1680" s="7"/>
      <c r="G1680" s="7"/>
      <c r="H1680" s="7" t="s">
        <v>546</v>
      </c>
      <c r="I1680" s="7" t="s">
        <v>546</v>
      </c>
      <c r="J1680" s="21" t="n">
        <f aca="false">D1680/(D1680+E1680)</f>
        <v>0.376543209876543</v>
      </c>
      <c r="K1680" s="3" t="n">
        <f aca="false">IF(D1680&gt;E1680,1,0)</f>
        <v>0</v>
      </c>
      <c r="L1680" s="3" t="n">
        <f aca="false">IF(OR(F1680="Y",G1680="Y",H1680="Y"),1,0)</f>
        <v>0</v>
      </c>
      <c r="M1680" s="3" t="n">
        <f aca="false">IF(H1680="Y",1,0)</f>
        <v>0</v>
      </c>
      <c r="N1680" s="3" t="n">
        <f aca="false">IF(I1680="Y",1,0)</f>
        <v>0</v>
      </c>
    </row>
    <row r="1681" customFormat="false" ht="15" hidden="false" customHeight="true" outlineLevel="0" collapsed="false">
      <c r="A1681" s="7" t="s">
        <v>75</v>
      </c>
      <c r="B1681" s="7" t="n">
        <v>1968</v>
      </c>
      <c r="C1681" s="7" t="s">
        <v>376</v>
      </c>
      <c r="D1681" s="7" t="n">
        <v>73</v>
      </c>
      <c r="E1681" s="7" t="n">
        <v>89</v>
      </c>
      <c r="F1681" s="7"/>
      <c r="G1681" s="7"/>
      <c r="H1681" s="7" t="s">
        <v>546</v>
      </c>
      <c r="I1681" s="7" t="s">
        <v>546</v>
      </c>
      <c r="J1681" s="21" t="n">
        <f aca="false">D1681/(D1681+E1681)</f>
        <v>0.450617283950617</v>
      </c>
      <c r="K1681" s="3" t="n">
        <f aca="false">IF(D1681&gt;E1681,1,0)</f>
        <v>0</v>
      </c>
      <c r="L1681" s="3" t="n">
        <f aca="false">IF(OR(F1681="Y",G1681="Y",H1681="Y"),1,0)</f>
        <v>0</v>
      </c>
      <c r="M1681" s="3" t="n">
        <f aca="false">IF(H1681="Y",1,0)</f>
        <v>0</v>
      </c>
      <c r="N1681" s="3" t="n">
        <f aca="false">IF(I1681="Y",1,0)</f>
        <v>0</v>
      </c>
    </row>
    <row r="1682" customFormat="false" ht="15" hidden="false" customHeight="true" outlineLevel="0" collapsed="false">
      <c r="A1682" s="7" t="s">
        <v>75</v>
      </c>
      <c r="B1682" s="7" t="n">
        <v>1969</v>
      </c>
      <c r="C1682" s="7" t="s">
        <v>376</v>
      </c>
      <c r="D1682" s="7" t="n">
        <v>100</v>
      </c>
      <c r="E1682" s="7" t="n">
        <v>62</v>
      </c>
      <c r="F1682" s="7" t="s">
        <v>548</v>
      </c>
      <c r="G1682" s="7"/>
      <c r="H1682" s="7" t="s">
        <v>548</v>
      </c>
      <c r="I1682" s="7" t="s">
        <v>548</v>
      </c>
      <c r="J1682" s="21" t="n">
        <f aca="false">D1682/(D1682+E1682)</f>
        <v>0.617283950617284</v>
      </c>
      <c r="K1682" s="3" t="n">
        <f aca="false">IF(D1682&gt;E1682,1,0)</f>
        <v>1</v>
      </c>
      <c r="L1682" s="3" t="n">
        <f aca="false">IF(OR(F1682="Y",G1682="Y",H1682="Y"),1,0)</f>
        <v>1</v>
      </c>
      <c r="M1682" s="3" t="n">
        <f aca="false">IF(H1682="Y",1,0)</f>
        <v>1</v>
      </c>
      <c r="N1682" s="3" t="n">
        <f aca="false">IF(I1682="Y",1,0)</f>
        <v>1</v>
      </c>
    </row>
    <row r="1683" customFormat="false" ht="15" hidden="false" customHeight="true" outlineLevel="0" collapsed="false">
      <c r="A1683" s="7" t="s">
        <v>75</v>
      </c>
      <c r="B1683" s="7" t="n">
        <v>1970</v>
      </c>
      <c r="C1683" s="7" t="s">
        <v>376</v>
      </c>
      <c r="D1683" s="7" t="n">
        <v>83</v>
      </c>
      <c r="E1683" s="7" t="n">
        <v>79</v>
      </c>
      <c r="F1683" s="7" t="s">
        <v>546</v>
      </c>
      <c r="G1683" s="7"/>
      <c r="H1683" s="7" t="s">
        <v>546</v>
      </c>
      <c r="I1683" s="7" t="s">
        <v>546</v>
      </c>
      <c r="J1683" s="21" t="n">
        <f aca="false">D1683/(D1683+E1683)</f>
        <v>0.512345679012346</v>
      </c>
      <c r="K1683" s="3" t="n">
        <f aca="false">IF(D1683&gt;E1683,1,0)</f>
        <v>1</v>
      </c>
      <c r="L1683" s="3" t="n">
        <f aca="false">IF(OR(F1683="Y",G1683="Y",H1683="Y"),1,0)</f>
        <v>0</v>
      </c>
      <c r="M1683" s="3" t="n">
        <f aca="false">IF(H1683="Y",1,0)</f>
        <v>0</v>
      </c>
      <c r="N1683" s="3" t="n">
        <f aca="false">IF(I1683="Y",1,0)</f>
        <v>0</v>
      </c>
    </row>
    <row r="1684" customFormat="false" ht="15" hidden="false" customHeight="true" outlineLevel="0" collapsed="false">
      <c r="A1684" s="7" t="s">
        <v>75</v>
      </c>
      <c r="B1684" s="7" t="n">
        <v>1971</v>
      </c>
      <c r="C1684" s="7" t="s">
        <v>376</v>
      </c>
      <c r="D1684" s="7" t="n">
        <v>83</v>
      </c>
      <c r="E1684" s="7" t="n">
        <v>79</v>
      </c>
      <c r="F1684" s="7" t="s">
        <v>546</v>
      </c>
      <c r="G1684" s="7"/>
      <c r="H1684" s="7" t="s">
        <v>546</v>
      </c>
      <c r="I1684" s="7" t="s">
        <v>546</v>
      </c>
      <c r="J1684" s="21" t="n">
        <f aca="false">D1684/(D1684+E1684)</f>
        <v>0.512345679012346</v>
      </c>
      <c r="K1684" s="3" t="n">
        <f aca="false">IF(D1684&gt;E1684,1,0)</f>
        <v>1</v>
      </c>
      <c r="L1684" s="3" t="n">
        <f aca="false">IF(OR(F1684="Y",G1684="Y",H1684="Y"),1,0)</f>
        <v>0</v>
      </c>
      <c r="M1684" s="3" t="n">
        <f aca="false">IF(H1684="Y",1,0)</f>
        <v>0</v>
      </c>
      <c r="N1684" s="3" t="n">
        <f aca="false">IF(I1684="Y",1,0)</f>
        <v>0</v>
      </c>
    </row>
    <row r="1685" customFormat="false" ht="15" hidden="false" customHeight="true" outlineLevel="0" collapsed="false">
      <c r="A1685" s="7" t="s">
        <v>75</v>
      </c>
      <c r="B1685" s="7" t="n">
        <v>1972</v>
      </c>
      <c r="C1685" s="7" t="s">
        <v>376</v>
      </c>
      <c r="D1685" s="7" t="n">
        <v>83</v>
      </c>
      <c r="E1685" s="7" t="n">
        <v>73</v>
      </c>
      <c r="F1685" s="7" t="s">
        <v>546</v>
      </c>
      <c r="G1685" s="7"/>
      <c r="H1685" s="7" t="s">
        <v>546</v>
      </c>
      <c r="I1685" s="7" t="s">
        <v>546</v>
      </c>
      <c r="J1685" s="21" t="n">
        <f aca="false">D1685/(D1685+E1685)</f>
        <v>0.532051282051282</v>
      </c>
      <c r="K1685" s="3" t="n">
        <f aca="false">IF(D1685&gt;E1685,1,0)</f>
        <v>1</v>
      </c>
      <c r="L1685" s="3" t="n">
        <f aca="false">IF(OR(F1685="Y",G1685="Y",H1685="Y"),1,0)</f>
        <v>0</v>
      </c>
      <c r="M1685" s="3" t="n">
        <f aca="false">IF(H1685="Y",1,0)</f>
        <v>0</v>
      </c>
      <c r="N1685" s="3" t="n">
        <f aca="false">IF(I1685="Y",1,0)</f>
        <v>0</v>
      </c>
    </row>
    <row r="1686" customFormat="false" ht="15" hidden="false" customHeight="true" outlineLevel="0" collapsed="false">
      <c r="A1686" s="7" t="s">
        <v>75</v>
      </c>
      <c r="B1686" s="7" t="n">
        <v>1973</v>
      </c>
      <c r="C1686" s="7" t="s">
        <v>376</v>
      </c>
      <c r="D1686" s="7" t="n">
        <v>82</v>
      </c>
      <c r="E1686" s="7" t="n">
        <v>79</v>
      </c>
      <c r="F1686" s="7" t="s">
        <v>548</v>
      </c>
      <c r="G1686" s="7"/>
      <c r="H1686" s="7" t="s">
        <v>548</v>
      </c>
      <c r="I1686" s="7" t="s">
        <v>546</v>
      </c>
      <c r="J1686" s="21" t="n">
        <f aca="false">D1686/(D1686+E1686)</f>
        <v>0.509316770186335</v>
      </c>
      <c r="K1686" s="3" t="n">
        <f aca="false">IF(D1686&gt;E1686,1,0)</f>
        <v>1</v>
      </c>
      <c r="L1686" s="3" t="n">
        <f aca="false">IF(OR(F1686="Y",G1686="Y",H1686="Y"),1,0)</f>
        <v>1</v>
      </c>
      <c r="M1686" s="3" t="n">
        <f aca="false">IF(H1686="Y",1,0)</f>
        <v>1</v>
      </c>
      <c r="N1686" s="3" t="n">
        <f aca="false">IF(I1686="Y",1,0)</f>
        <v>0</v>
      </c>
    </row>
    <row r="1687" customFormat="false" ht="15" hidden="false" customHeight="true" outlineLevel="0" collapsed="false">
      <c r="A1687" s="7" t="s">
        <v>75</v>
      </c>
      <c r="B1687" s="7" t="n">
        <v>1974</v>
      </c>
      <c r="C1687" s="7" t="s">
        <v>376</v>
      </c>
      <c r="D1687" s="7" t="n">
        <v>71</v>
      </c>
      <c r="E1687" s="7" t="n">
        <v>91</v>
      </c>
      <c r="F1687" s="7" t="s">
        <v>546</v>
      </c>
      <c r="G1687" s="7"/>
      <c r="H1687" s="7" t="s">
        <v>546</v>
      </c>
      <c r="I1687" s="7" t="s">
        <v>546</v>
      </c>
      <c r="J1687" s="21" t="n">
        <f aca="false">D1687/(D1687+E1687)</f>
        <v>0.438271604938272</v>
      </c>
      <c r="K1687" s="3" t="n">
        <f aca="false">IF(D1687&gt;E1687,1,0)</f>
        <v>0</v>
      </c>
      <c r="L1687" s="3" t="n">
        <f aca="false">IF(OR(F1687="Y",G1687="Y",H1687="Y"),1,0)</f>
        <v>0</v>
      </c>
      <c r="M1687" s="3" t="n">
        <f aca="false">IF(H1687="Y",1,0)</f>
        <v>0</v>
      </c>
      <c r="N1687" s="3" t="n">
        <f aca="false">IF(I1687="Y",1,0)</f>
        <v>0</v>
      </c>
    </row>
    <row r="1688" customFormat="false" ht="15" hidden="false" customHeight="true" outlineLevel="0" collapsed="false">
      <c r="A1688" s="7" t="s">
        <v>75</v>
      </c>
      <c r="B1688" s="7" t="n">
        <v>1975</v>
      </c>
      <c r="C1688" s="7" t="s">
        <v>376</v>
      </c>
      <c r="D1688" s="7" t="n">
        <v>82</v>
      </c>
      <c r="E1688" s="7" t="n">
        <v>80</v>
      </c>
      <c r="F1688" s="7" t="s">
        <v>546</v>
      </c>
      <c r="G1688" s="7"/>
      <c r="H1688" s="7" t="s">
        <v>546</v>
      </c>
      <c r="I1688" s="7" t="s">
        <v>546</v>
      </c>
      <c r="J1688" s="21" t="n">
        <f aca="false">D1688/(D1688+E1688)</f>
        <v>0.506172839506173</v>
      </c>
      <c r="K1688" s="3" t="n">
        <f aca="false">IF(D1688&gt;E1688,1,0)</f>
        <v>1</v>
      </c>
      <c r="L1688" s="3" t="n">
        <f aca="false">IF(OR(F1688="Y",G1688="Y",H1688="Y"),1,0)</f>
        <v>0</v>
      </c>
      <c r="M1688" s="3" t="n">
        <f aca="false">IF(H1688="Y",1,0)</f>
        <v>0</v>
      </c>
      <c r="N1688" s="3" t="n">
        <f aca="false">IF(I1688="Y",1,0)</f>
        <v>0</v>
      </c>
    </row>
    <row r="1689" customFormat="false" ht="15" hidden="false" customHeight="true" outlineLevel="0" collapsed="false">
      <c r="A1689" s="7" t="s">
        <v>75</v>
      </c>
      <c r="B1689" s="7" t="n">
        <v>1976</v>
      </c>
      <c r="C1689" s="7" t="s">
        <v>376</v>
      </c>
      <c r="D1689" s="7" t="n">
        <v>86</v>
      </c>
      <c r="E1689" s="7" t="n">
        <v>76</v>
      </c>
      <c r="F1689" s="7" t="s">
        <v>546</v>
      </c>
      <c r="G1689" s="7"/>
      <c r="H1689" s="7" t="s">
        <v>546</v>
      </c>
      <c r="I1689" s="7" t="s">
        <v>546</v>
      </c>
      <c r="J1689" s="21" t="n">
        <f aca="false">D1689/(D1689+E1689)</f>
        <v>0.530864197530864</v>
      </c>
      <c r="K1689" s="3" t="n">
        <f aca="false">IF(D1689&gt;E1689,1,0)</f>
        <v>1</v>
      </c>
      <c r="L1689" s="3" t="n">
        <f aca="false">IF(OR(F1689="Y",G1689="Y",H1689="Y"),1,0)</f>
        <v>0</v>
      </c>
      <c r="M1689" s="3" t="n">
        <f aca="false">IF(H1689="Y",1,0)</f>
        <v>0</v>
      </c>
      <c r="N1689" s="3" t="n">
        <f aca="false">IF(I1689="Y",1,0)</f>
        <v>0</v>
      </c>
    </row>
    <row r="1690" customFormat="false" ht="15" hidden="false" customHeight="true" outlineLevel="0" collapsed="false">
      <c r="A1690" s="7" t="s">
        <v>75</v>
      </c>
      <c r="B1690" s="7" t="n">
        <v>1977</v>
      </c>
      <c r="C1690" s="7" t="s">
        <v>376</v>
      </c>
      <c r="D1690" s="7" t="n">
        <v>64</v>
      </c>
      <c r="E1690" s="7" t="n">
        <v>98</v>
      </c>
      <c r="F1690" s="7" t="s">
        <v>546</v>
      </c>
      <c r="G1690" s="7"/>
      <c r="H1690" s="7" t="s">
        <v>546</v>
      </c>
      <c r="I1690" s="7" t="s">
        <v>546</v>
      </c>
      <c r="J1690" s="21" t="n">
        <f aca="false">D1690/(D1690+E1690)</f>
        <v>0.395061728395062</v>
      </c>
      <c r="K1690" s="3" t="n">
        <f aca="false">IF(D1690&gt;E1690,1,0)</f>
        <v>0</v>
      </c>
      <c r="L1690" s="3" t="n">
        <f aca="false">IF(OR(F1690="Y",G1690="Y",H1690="Y"),1,0)</f>
        <v>0</v>
      </c>
      <c r="M1690" s="3" t="n">
        <f aca="false">IF(H1690="Y",1,0)</f>
        <v>0</v>
      </c>
      <c r="N1690" s="3" t="n">
        <f aca="false">IF(I1690="Y",1,0)</f>
        <v>0</v>
      </c>
    </row>
    <row r="1691" customFormat="false" ht="15" hidden="false" customHeight="true" outlineLevel="0" collapsed="false">
      <c r="A1691" s="7" t="s">
        <v>75</v>
      </c>
      <c r="B1691" s="7" t="n">
        <v>1978</v>
      </c>
      <c r="C1691" s="7" t="s">
        <v>376</v>
      </c>
      <c r="D1691" s="7" t="n">
        <v>66</v>
      </c>
      <c r="E1691" s="7" t="n">
        <v>96</v>
      </c>
      <c r="F1691" s="7" t="s">
        <v>546</v>
      </c>
      <c r="G1691" s="7"/>
      <c r="H1691" s="7" t="s">
        <v>546</v>
      </c>
      <c r="I1691" s="7" t="s">
        <v>546</v>
      </c>
      <c r="J1691" s="21" t="n">
        <f aca="false">D1691/(D1691+E1691)</f>
        <v>0.407407407407407</v>
      </c>
      <c r="K1691" s="3" t="n">
        <f aca="false">IF(D1691&gt;E1691,1,0)</f>
        <v>0</v>
      </c>
      <c r="L1691" s="3" t="n">
        <f aca="false">IF(OR(F1691="Y",G1691="Y",H1691="Y"),1,0)</f>
        <v>0</v>
      </c>
      <c r="M1691" s="3" t="n">
        <f aca="false">IF(H1691="Y",1,0)</f>
        <v>0</v>
      </c>
      <c r="N1691" s="3" t="n">
        <f aca="false">IF(I1691="Y",1,0)</f>
        <v>0</v>
      </c>
    </row>
    <row r="1692" customFormat="false" ht="15" hidden="false" customHeight="true" outlineLevel="0" collapsed="false">
      <c r="A1692" s="7" t="s">
        <v>75</v>
      </c>
      <c r="B1692" s="7" t="n">
        <v>1979</v>
      </c>
      <c r="C1692" s="7" t="s">
        <v>376</v>
      </c>
      <c r="D1692" s="7" t="n">
        <v>63</v>
      </c>
      <c r="E1692" s="7" t="n">
        <v>99</v>
      </c>
      <c r="F1692" s="7" t="s">
        <v>546</v>
      </c>
      <c r="G1692" s="7"/>
      <c r="H1692" s="7" t="s">
        <v>546</v>
      </c>
      <c r="I1692" s="7" t="s">
        <v>546</v>
      </c>
      <c r="J1692" s="21" t="n">
        <f aca="false">D1692/(D1692+E1692)</f>
        <v>0.388888888888889</v>
      </c>
      <c r="K1692" s="3" t="n">
        <f aca="false">IF(D1692&gt;E1692,1,0)</f>
        <v>0</v>
      </c>
      <c r="L1692" s="3" t="n">
        <f aca="false">IF(OR(F1692="Y",G1692="Y",H1692="Y"),1,0)</f>
        <v>0</v>
      </c>
      <c r="M1692" s="3" t="n">
        <f aca="false">IF(H1692="Y",1,0)</f>
        <v>0</v>
      </c>
      <c r="N1692" s="3" t="n">
        <f aca="false">IF(I1692="Y",1,0)</f>
        <v>0</v>
      </c>
    </row>
    <row r="1693" customFormat="false" ht="15" hidden="false" customHeight="true" outlineLevel="0" collapsed="false">
      <c r="A1693" s="7" t="s">
        <v>75</v>
      </c>
      <c r="B1693" s="7" t="n">
        <v>1980</v>
      </c>
      <c r="C1693" s="7" t="s">
        <v>376</v>
      </c>
      <c r="D1693" s="7" t="n">
        <v>67</v>
      </c>
      <c r="E1693" s="7" t="n">
        <v>95</v>
      </c>
      <c r="F1693" s="7" t="s">
        <v>546</v>
      </c>
      <c r="G1693" s="7"/>
      <c r="H1693" s="7" t="s">
        <v>546</v>
      </c>
      <c r="I1693" s="7" t="s">
        <v>546</v>
      </c>
      <c r="J1693" s="21" t="n">
        <f aca="false">D1693/(D1693+E1693)</f>
        <v>0.41358024691358</v>
      </c>
      <c r="K1693" s="3" t="n">
        <f aca="false">IF(D1693&gt;E1693,1,0)</f>
        <v>0</v>
      </c>
      <c r="L1693" s="3" t="n">
        <f aca="false">IF(OR(F1693="Y",G1693="Y",H1693="Y"),1,0)</f>
        <v>0</v>
      </c>
      <c r="M1693" s="3" t="n">
        <f aca="false">IF(H1693="Y",1,0)</f>
        <v>0</v>
      </c>
      <c r="N1693" s="3" t="n">
        <f aca="false">IF(I1693="Y",1,0)</f>
        <v>0</v>
      </c>
    </row>
    <row r="1694" customFormat="false" ht="15" hidden="false" customHeight="true" outlineLevel="0" collapsed="false">
      <c r="A1694" s="7" t="s">
        <v>75</v>
      </c>
      <c r="B1694" s="7" t="n">
        <v>1981</v>
      </c>
      <c r="C1694" s="7" t="s">
        <v>376</v>
      </c>
      <c r="D1694" s="7" t="n">
        <v>41</v>
      </c>
      <c r="E1694" s="7" t="n">
        <v>62</v>
      </c>
      <c r="F1694" s="7" t="s">
        <v>546</v>
      </c>
      <c r="G1694" s="7"/>
      <c r="H1694" s="7" t="s">
        <v>546</v>
      </c>
      <c r="I1694" s="7" t="s">
        <v>546</v>
      </c>
      <c r="J1694" s="21" t="n">
        <f aca="false">D1694/(D1694+E1694)</f>
        <v>0.398058252427184</v>
      </c>
      <c r="K1694" s="3" t="n">
        <f aca="false">IF(D1694&gt;E1694,1,0)</f>
        <v>0</v>
      </c>
      <c r="L1694" s="3" t="n">
        <f aca="false">IF(OR(F1694="Y",G1694="Y",H1694="Y"),1,0)</f>
        <v>0</v>
      </c>
      <c r="M1694" s="3" t="n">
        <f aca="false">IF(H1694="Y",1,0)</f>
        <v>0</v>
      </c>
      <c r="N1694" s="3" t="n">
        <f aca="false">IF(I1694="Y",1,0)</f>
        <v>0</v>
      </c>
    </row>
    <row r="1695" customFormat="false" ht="15" hidden="false" customHeight="true" outlineLevel="0" collapsed="false">
      <c r="A1695" s="7" t="s">
        <v>75</v>
      </c>
      <c r="B1695" s="7" t="n">
        <v>1982</v>
      </c>
      <c r="C1695" s="7" t="s">
        <v>376</v>
      </c>
      <c r="D1695" s="7" t="n">
        <v>65</v>
      </c>
      <c r="E1695" s="7" t="n">
        <v>97</v>
      </c>
      <c r="F1695" s="7" t="s">
        <v>546</v>
      </c>
      <c r="G1695" s="7"/>
      <c r="H1695" s="7" t="s">
        <v>546</v>
      </c>
      <c r="I1695" s="7" t="s">
        <v>546</v>
      </c>
      <c r="J1695" s="21" t="n">
        <f aca="false">D1695/(D1695+E1695)</f>
        <v>0.401234567901235</v>
      </c>
      <c r="K1695" s="3" t="n">
        <f aca="false">IF(D1695&gt;E1695,1,0)</f>
        <v>0</v>
      </c>
      <c r="L1695" s="3" t="n">
        <f aca="false">IF(OR(F1695="Y",G1695="Y",H1695="Y"),1,0)</f>
        <v>0</v>
      </c>
      <c r="M1695" s="3" t="n">
        <f aca="false">IF(H1695="Y",1,0)</f>
        <v>0</v>
      </c>
      <c r="N1695" s="3" t="n">
        <f aca="false">IF(I1695="Y",1,0)</f>
        <v>0</v>
      </c>
    </row>
    <row r="1696" customFormat="false" ht="15" hidden="false" customHeight="true" outlineLevel="0" collapsed="false">
      <c r="A1696" s="7" t="s">
        <v>75</v>
      </c>
      <c r="B1696" s="7" t="n">
        <v>1983</v>
      </c>
      <c r="C1696" s="7" t="s">
        <v>376</v>
      </c>
      <c r="D1696" s="7" t="n">
        <v>68</v>
      </c>
      <c r="E1696" s="7" t="n">
        <v>94</v>
      </c>
      <c r="F1696" s="7" t="s">
        <v>546</v>
      </c>
      <c r="G1696" s="7"/>
      <c r="H1696" s="7" t="s">
        <v>546</v>
      </c>
      <c r="I1696" s="7" t="s">
        <v>546</v>
      </c>
      <c r="J1696" s="21" t="n">
        <f aca="false">D1696/(D1696+E1696)</f>
        <v>0.419753086419753</v>
      </c>
      <c r="K1696" s="3" t="n">
        <f aca="false">IF(D1696&gt;E1696,1,0)</f>
        <v>0</v>
      </c>
      <c r="L1696" s="3" t="n">
        <f aca="false">IF(OR(F1696="Y",G1696="Y",H1696="Y"),1,0)</f>
        <v>0</v>
      </c>
      <c r="M1696" s="3" t="n">
        <f aca="false">IF(H1696="Y",1,0)</f>
        <v>0</v>
      </c>
      <c r="N1696" s="3" t="n">
        <f aca="false">IF(I1696="Y",1,0)</f>
        <v>0</v>
      </c>
    </row>
    <row r="1697" customFormat="false" ht="15" hidden="false" customHeight="true" outlineLevel="0" collapsed="false">
      <c r="A1697" s="7" t="s">
        <v>75</v>
      </c>
      <c r="B1697" s="7" t="n">
        <v>1984</v>
      </c>
      <c r="C1697" s="7" t="s">
        <v>376</v>
      </c>
      <c r="D1697" s="7" t="n">
        <v>90</v>
      </c>
      <c r="E1697" s="7" t="n">
        <v>72</v>
      </c>
      <c r="F1697" s="7" t="s">
        <v>546</v>
      </c>
      <c r="G1697" s="7"/>
      <c r="H1697" s="7" t="s">
        <v>546</v>
      </c>
      <c r="I1697" s="7" t="s">
        <v>546</v>
      </c>
      <c r="J1697" s="21" t="n">
        <f aca="false">D1697/(D1697+E1697)</f>
        <v>0.555555555555556</v>
      </c>
      <c r="K1697" s="3" t="n">
        <f aca="false">IF(D1697&gt;E1697,1,0)</f>
        <v>1</v>
      </c>
      <c r="L1697" s="3" t="n">
        <f aca="false">IF(OR(F1697="Y",G1697="Y",H1697="Y"),1,0)</f>
        <v>0</v>
      </c>
      <c r="M1697" s="3" t="n">
        <f aca="false">IF(H1697="Y",1,0)</f>
        <v>0</v>
      </c>
      <c r="N1697" s="3" t="n">
        <f aca="false">IF(I1697="Y",1,0)</f>
        <v>0</v>
      </c>
    </row>
    <row r="1698" customFormat="false" ht="15" hidden="false" customHeight="true" outlineLevel="0" collapsed="false">
      <c r="A1698" s="7" t="s">
        <v>75</v>
      </c>
      <c r="B1698" s="7" t="n">
        <v>1985</v>
      </c>
      <c r="C1698" s="7" t="s">
        <v>376</v>
      </c>
      <c r="D1698" s="7" t="n">
        <v>98</v>
      </c>
      <c r="E1698" s="7" t="n">
        <v>64</v>
      </c>
      <c r="F1698" s="7" t="s">
        <v>546</v>
      </c>
      <c r="G1698" s="7"/>
      <c r="H1698" s="7" t="s">
        <v>546</v>
      </c>
      <c r="I1698" s="7" t="s">
        <v>546</v>
      </c>
      <c r="J1698" s="21" t="n">
        <f aca="false">D1698/(D1698+E1698)</f>
        <v>0.604938271604938</v>
      </c>
      <c r="K1698" s="3" t="n">
        <f aca="false">IF(D1698&gt;E1698,1,0)</f>
        <v>1</v>
      </c>
      <c r="L1698" s="3" t="n">
        <f aca="false">IF(OR(F1698="Y",G1698="Y",H1698="Y"),1,0)</f>
        <v>0</v>
      </c>
      <c r="M1698" s="3" t="n">
        <f aca="false">IF(H1698="Y",1,0)</f>
        <v>0</v>
      </c>
      <c r="N1698" s="3" t="n">
        <f aca="false">IF(I1698="Y",1,0)</f>
        <v>0</v>
      </c>
    </row>
    <row r="1699" customFormat="false" ht="15" hidden="false" customHeight="true" outlineLevel="0" collapsed="false">
      <c r="A1699" s="7" t="s">
        <v>75</v>
      </c>
      <c r="B1699" s="7" t="n">
        <v>1986</v>
      </c>
      <c r="C1699" s="7" t="s">
        <v>376</v>
      </c>
      <c r="D1699" s="7" t="n">
        <v>108</v>
      </c>
      <c r="E1699" s="7" t="n">
        <v>54</v>
      </c>
      <c r="F1699" s="7" t="s">
        <v>548</v>
      </c>
      <c r="G1699" s="7"/>
      <c r="H1699" s="7" t="s">
        <v>548</v>
      </c>
      <c r="I1699" s="7" t="s">
        <v>548</v>
      </c>
      <c r="J1699" s="21" t="n">
        <f aca="false">D1699/(D1699+E1699)</f>
        <v>0.666666666666667</v>
      </c>
      <c r="K1699" s="3" t="n">
        <f aca="false">IF(D1699&gt;E1699,1,0)</f>
        <v>1</v>
      </c>
      <c r="L1699" s="3" t="n">
        <f aca="false">IF(OR(F1699="Y",G1699="Y",H1699="Y"),1,0)</f>
        <v>1</v>
      </c>
      <c r="M1699" s="3" t="n">
        <f aca="false">IF(H1699="Y",1,0)</f>
        <v>1</v>
      </c>
      <c r="N1699" s="3" t="n">
        <f aca="false">IF(I1699="Y",1,0)</f>
        <v>1</v>
      </c>
    </row>
    <row r="1700" customFormat="false" ht="15" hidden="false" customHeight="true" outlineLevel="0" collapsed="false">
      <c r="A1700" s="7" t="s">
        <v>75</v>
      </c>
      <c r="B1700" s="7" t="n">
        <v>1987</v>
      </c>
      <c r="C1700" s="7" t="s">
        <v>376</v>
      </c>
      <c r="D1700" s="7" t="n">
        <v>92</v>
      </c>
      <c r="E1700" s="7" t="n">
        <v>70</v>
      </c>
      <c r="F1700" s="7" t="s">
        <v>546</v>
      </c>
      <c r="G1700" s="7"/>
      <c r="H1700" s="7" t="s">
        <v>546</v>
      </c>
      <c r="I1700" s="7" t="s">
        <v>546</v>
      </c>
      <c r="J1700" s="21" t="n">
        <f aca="false">D1700/(D1700+E1700)</f>
        <v>0.567901234567901</v>
      </c>
      <c r="K1700" s="3" t="n">
        <f aca="false">IF(D1700&gt;E1700,1,0)</f>
        <v>1</v>
      </c>
      <c r="L1700" s="3" t="n">
        <f aca="false">IF(OR(F1700="Y",G1700="Y",H1700="Y"),1,0)</f>
        <v>0</v>
      </c>
      <c r="M1700" s="3" t="n">
        <f aca="false">IF(H1700="Y",1,0)</f>
        <v>0</v>
      </c>
      <c r="N1700" s="3" t="n">
        <f aca="false">IF(I1700="Y",1,0)</f>
        <v>0</v>
      </c>
    </row>
    <row r="1701" customFormat="false" ht="15" hidden="false" customHeight="true" outlineLevel="0" collapsed="false">
      <c r="A1701" s="7" t="s">
        <v>75</v>
      </c>
      <c r="B1701" s="7" t="n">
        <v>1988</v>
      </c>
      <c r="C1701" s="7" t="s">
        <v>376</v>
      </c>
      <c r="D1701" s="7" t="n">
        <v>100</v>
      </c>
      <c r="E1701" s="7" t="n">
        <v>60</v>
      </c>
      <c r="F1701" s="7" t="s">
        <v>548</v>
      </c>
      <c r="G1701" s="7"/>
      <c r="H1701" s="7" t="s">
        <v>546</v>
      </c>
      <c r="I1701" s="7" t="s">
        <v>546</v>
      </c>
      <c r="J1701" s="21" t="n">
        <f aca="false">D1701/(D1701+E1701)</f>
        <v>0.625</v>
      </c>
      <c r="K1701" s="3" t="n">
        <f aca="false">IF(D1701&gt;E1701,1,0)</f>
        <v>1</v>
      </c>
      <c r="L1701" s="3" t="n">
        <f aca="false">IF(OR(F1701="Y",G1701="Y",H1701="Y"),1,0)</f>
        <v>1</v>
      </c>
      <c r="M1701" s="3" t="n">
        <f aca="false">IF(H1701="Y",1,0)</f>
        <v>0</v>
      </c>
      <c r="N1701" s="3" t="n">
        <f aca="false">IF(I1701="Y",1,0)</f>
        <v>0</v>
      </c>
    </row>
    <row r="1702" customFormat="false" ht="15" hidden="false" customHeight="true" outlineLevel="0" collapsed="false">
      <c r="A1702" s="7" t="s">
        <v>75</v>
      </c>
      <c r="B1702" s="7" t="n">
        <v>1989</v>
      </c>
      <c r="C1702" s="7" t="s">
        <v>376</v>
      </c>
      <c r="D1702" s="7" t="n">
        <v>87</v>
      </c>
      <c r="E1702" s="7" t="n">
        <v>75</v>
      </c>
      <c r="F1702" s="7" t="s">
        <v>546</v>
      </c>
      <c r="G1702" s="7"/>
      <c r="H1702" s="7" t="s">
        <v>546</v>
      </c>
      <c r="I1702" s="7" t="s">
        <v>546</v>
      </c>
      <c r="J1702" s="21" t="n">
        <f aca="false">D1702/(D1702+E1702)</f>
        <v>0.537037037037037</v>
      </c>
      <c r="K1702" s="3" t="n">
        <f aca="false">IF(D1702&gt;E1702,1,0)</f>
        <v>1</v>
      </c>
      <c r="L1702" s="3" t="n">
        <f aca="false">IF(OR(F1702="Y",G1702="Y",H1702="Y"),1,0)</f>
        <v>0</v>
      </c>
      <c r="M1702" s="3" t="n">
        <f aca="false">IF(H1702="Y",1,0)</f>
        <v>0</v>
      </c>
      <c r="N1702" s="3" t="n">
        <f aca="false">IF(I1702="Y",1,0)</f>
        <v>0</v>
      </c>
    </row>
    <row r="1703" customFormat="false" ht="15" hidden="false" customHeight="true" outlineLevel="0" collapsed="false">
      <c r="A1703" s="7" t="s">
        <v>75</v>
      </c>
      <c r="B1703" s="7" t="n">
        <v>1990</v>
      </c>
      <c r="C1703" s="7" t="s">
        <v>376</v>
      </c>
      <c r="D1703" s="7" t="n">
        <v>91</v>
      </c>
      <c r="E1703" s="7" t="n">
        <v>71</v>
      </c>
      <c r="F1703" s="7" t="s">
        <v>546</v>
      </c>
      <c r="G1703" s="7"/>
      <c r="H1703" s="7" t="s">
        <v>546</v>
      </c>
      <c r="I1703" s="7" t="s">
        <v>546</v>
      </c>
      <c r="J1703" s="21" t="n">
        <f aca="false">D1703/(D1703+E1703)</f>
        <v>0.561728395061728</v>
      </c>
      <c r="K1703" s="3" t="n">
        <f aca="false">IF(D1703&gt;E1703,1,0)</f>
        <v>1</v>
      </c>
      <c r="L1703" s="3" t="n">
        <f aca="false">IF(OR(F1703="Y",G1703="Y",H1703="Y"),1,0)</f>
        <v>0</v>
      </c>
      <c r="M1703" s="3" t="n">
        <f aca="false">IF(H1703="Y",1,0)</f>
        <v>0</v>
      </c>
      <c r="N1703" s="3" t="n">
        <f aca="false">IF(I1703="Y",1,0)</f>
        <v>0</v>
      </c>
    </row>
    <row r="1704" customFormat="false" ht="15" hidden="false" customHeight="true" outlineLevel="0" collapsed="false">
      <c r="A1704" s="7" t="s">
        <v>75</v>
      </c>
      <c r="B1704" s="7" t="n">
        <v>1991</v>
      </c>
      <c r="C1704" s="7" t="s">
        <v>376</v>
      </c>
      <c r="D1704" s="7" t="n">
        <v>77</v>
      </c>
      <c r="E1704" s="7" t="n">
        <v>84</v>
      </c>
      <c r="F1704" s="7" t="s">
        <v>546</v>
      </c>
      <c r="G1704" s="7"/>
      <c r="H1704" s="7" t="s">
        <v>546</v>
      </c>
      <c r="I1704" s="7" t="s">
        <v>546</v>
      </c>
      <c r="J1704" s="21" t="n">
        <f aca="false">D1704/(D1704+E1704)</f>
        <v>0.478260869565217</v>
      </c>
      <c r="K1704" s="3" t="n">
        <f aca="false">IF(D1704&gt;E1704,1,0)</f>
        <v>0</v>
      </c>
      <c r="L1704" s="3" t="n">
        <f aca="false">IF(OR(F1704="Y",G1704="Y",H1704="Y"),1,0)</f>
        <v>0</v>
      </c>
      <c r="M1704" s="3" t="n">
        <f aca="false">IF(H1704="Y",1,0)</f>
        <v>0</v>
      </c>
      <c r="N1704" s="3" t="n">
        <f aca="false">IF(I1704="Y",1,0)</f>
        <v>0</v>
      </c>
    </row>
    <row r="1705" customFormat="false" ht="15" hidden="false" customHeight="true" outlineLevel="0" collapsed="false">
      <c r="A1705" s="7" t="s">
        <v>75</v>
      </c>
      <c r="B1705" s="7" t="n">
        <v>1992</v>
      </c>
      <c r="C1705" s="7" t="s">
        <v>376</v>
      </c>
      <c r="D1705" s="7" t="n">
        <v>72</v>
      </c>
      <c r="E1705" s="7" t="n">
        <v>90</v>
      </c>
      <c r="F1705" s="7" t="s">
        <v>546</v>
      </c>
      <c r="G1705" s="7"/>
      <c r="H1705" s="7" t="s">
        <v>546</v>
      </c>
      <c r="I1705" s="7" t="s">
        <v>546</v>
      </c>
      <c r="J1705" s="21" t="n">
        <f aca="false">D1705/(D1705+E1705)</f>
        <v>0.444444444444444</v>
      </c>
      <c r="K1705" s="3" t="n">
        <f aca="false">IF(D1705&gt;E1705,1,0)</f>
        <v>0</v>
      </c>
      <c r="L1705" s="3" t="n">
        <f aca="false">IF(OR(F1705="Y",G1705="Y",H1705="Y"),1,0)</f>
        <v>0</v>
      </c>
      <c r="M1705" s="3" t="n">
        <f aca="false">IF(H1705="Y",1,0)</f>
        <v>0</v>
      </c>
      <c r="N1705" s="3" t="n">
        <f aca="false">IF(I1705="Y",1,0)</f>
        <v>0</v>
      </c>
    </row>
    <row r="1706" customFormat="false" ht="15" hidden="false" customHeight="true" outlineLevel="0" collapsed="false">
      <c r="A1706" s="7" t="s">
        <v>75</v>
      </c>
      <c r="B1706" s="7" t="n">
        <v>1993</v>
      </c>
      <c r="C1706" s="7" t="s">
        <v>376</v>
      </c>
      <c r="D1706" s="7" t="n">
        <v>59</v>
      </c>
      <c r="E1706" s="7" t="n">
        <v>103</v>
      </c>
      <c r="F1706" s="7" t="s">
        <v>546</v>
      </c>
      <c r="G1706" s="7"/>
      <c r="H1706" s="7" t="s">
        <v>546</v>
      </c>
      <c r="I1706" s="7" t="s">
        <v>546</v>
      </c>
      <c r="J1706" s="21" t="n">
        <f aca="false">D1706/(D1706+E1706)</f>
        <v>0.364197530864198</v>
      </c>
      <c r="K1706" s="3" t="n">
        <f aca="false">IF(D1706&gt;E1706,1,0)</f>
        <v>0</v>
      </c>
      <c r="L1706" s="3" t="n">
        <f aca="false">IF(OR(F1706="Y",G1706="Y",H1706="Y"),1,0)</f>
        <v>0</v>
      </c>
      <c r="M1706" s="3" t="n">
        <f aca="false">IF(H1706="Y",1,0)</f>
        <v>0</v>
      </c>
      <c r="N1706" s="3" t="n">
        <f aca="false">IF(I1706="Y",1,0)</f>
        <v>0</v>
      </c>
    </row>
    <row r="1707" customFormat="false" ht="15" hidden="false" customHeight="true" outlineLevel="0" collapsed="false">
      <c r="A1707" s="7" t="s">
        <v>75</v>
      </c>
      <c r="B1707" s="7" t="n">
        <v>1994</v>
      </c>
      <c r="C1707" s="7" t="s">
        <v>376</v>
      </c>
      <c r="D1707" s="7" t="n">
        <v>55</v>
      </c>
      <c r="E1707" s="7" t="n">
        <v>58</v>
      </c>
      <c r="F1707" s="7"/>
      <c r="G1707" s="7"/>
      <c r="H1707" s="7"/>
      <c r="I1707" s="7"/>
      <c r="J1707" s="21" t="n">
        <f aca="false">D1707/(D1707+E1707)</f>
        <v>0.486725663716814</v>
      </c>
      <c r="K1707" s="3" t="n">
        <f aca="false">IF(D1707&gt;E1707,1,0)</f>
        <v>0</v>
      </c>
      <c r="L1707" s="3" t="n">
        <f aca="false">IF(OR(F1707="Y",G1707="Y",H1707="Y"),1,0)</f>
        <v>0</v>
      </c>
      <c r="M1707" s="3" t="n">
        <f aca="false">IF(H1707="Y",1,0)</f>
        <v>0</v>
      </c>
      <c r="N1707" s="3" t="n">
        <f aca="false">IF(I1707="Y",1,0)</f>
        <v>0</v>
      </c>
    </row>
    <row r="1708" customFormat="false" ht="15" hidden="false" customHeight="true" outlineLevel="0" collapsed="false">
      <c r="A1708" s="7" t="s">
        <v>75</v>
      </c>
      <c r="B1708" s="7" t="n">
        <v>1995</v>
      </c>
      <c r="C1708" s="7" t="s">
        <v>376</v>
      </c>
      <c r="D1708" s="7" t="n">
        <v>69</v>
      </c>
      <c r="E1708" s="7" t="n">
        <v>75</v>
      </c>
      <c r="F1708" s="7" t="s">
        <v>546</v>
      </c>
      <c r="G1708" s="7" t="s">
        <v>546</v>
      </c>
      <c r="H1708" s="7" t="s">
        <v>546</v>
      </c>
      <c r="I1708" s="7" t="s">
        <v>546</v>
      </c>
      <c r="J1708" s="21" t="n">
        <f aca="false">D1708/(D1708+E1708)</f>
        <v>0.479166666666667</v>
      </c>
      <c r="K1708" s="3" t="n">
        <f aca="false">IF(D1708&gt;E1708,1,0)</f>
        <v>0</v>
      </c>
      <c r="L1708" s="3" t="n">
        <f aca="false">IF(OR(F1708="Y",G1708="Y",H1708="Y"),1,0)</f>
        <v>0</v>
      </c>
      <c r="M1708" s="3" t="n">
        <f aca="false">IF(H1708="Y",1,0)</f>
        <v>0</v>
      </c>
      <c r="N1708" s="3" t="n">
        <f aca="false">IF(I1708="Y",1,0)</f>
        <v>0</v>
      </c>
    </row>
    <row r="1709" customFormat="false" ht="15" hidden="false" customHeight="true" outlineLevel="0" collapsed="false">
      <c r="A1709" s="7" t="s">
        <v>75</v>
      </c>
      <c r="B1709" s="7" t="n">
        <v>1996</v>
      </c>
      <c r="C1709" s="7" t="s">
        <v>376</v>
      </c>
      <c r="D1709" s="7" t="n">
        <v>71</v>
      </c>
      <c r="E1709" s="7" t="n">
        <v>91</v>
      </c>
      <c r="F1709" s="7" t="s">
        <v>546</v>
      </c>
      <c r="G1709" s="7" t="s">
        <v>546</v>
      </c>
      <c r="H1709" s="7" t="s">
        <v>546</v>
      </c>
      <c r="I1709" s="7" t="s">
        <v>546</v>
      </c>
      <c r="J1709" s="21" t="n">
        <f aca="false">D1709/(D1709+E1709)</f>
        <v>0.438271604938272</v>
      </c>
      <c r="K1709" s="3" t="n">
        <f aca="false">IF(D1709&gt;E1709,1,0)</f>
        <v>0</v>
      </c>
      <c r="L1709" s="3" t="n">
        <f aca="false">IF(OR(F1709="Y",G1709="Y",H1709="Y"),1,0)</f>
        <v>0</v>
      </c>
      <c r="M1709" s="3" t="n">
        <f aca="false">IF(H1709="Y",1,0)</f>
        <v>0</v>
      </c>
      <c r="N1709" s="3" t="n">
        <f aca="false">IF(I1709="Y",1,0)</f>
        <v>0</v>
      </c>
    </row>
    <row r="1710" customFormat="false" ht="15" hidden="false" customHeight="true" outlineLevel="0" collapsed="false">
      <c r="A1710" s="7" t="s">
        <v>75</v>
      </c>
      <c r="B1710" s="7" t="n">
        <v>1997</v>
      </c>
      <c r="C1710" s="7" t="s">
        <v>376</v>
      </c>
      <c r="D1710" s="7" t="n">
        <v>88</v>
      </c>
      <c r="E1710" s="7" t="n">
        <v>74</v>
      </c>
      <c r="F1710" s="7" t="s">
        <v>546</v>
      </c>
      <c r="G1710" s="7" t="s">
        <v>546</v>
      </c>
      <c r="H1710" s="7" t="s">
        <v>546</v>
      </c>
      <c r="I1710" s="7" t="s">
        <v>546</v>
      </c>
      <c r="J1710" s="21" t="n">
        <f aca="false">D1710/(D1710+E1710)</f>
        <v>0.54320987654321</v>
      </c>
      <c r="K1710" s="3" t="n">
        <f aca="false">IF(D1710&gt;E1710,1,0)</f>
        <v>1</v>
      </c>
      <c r="L1710" s="3" t="n">
        <f aca="false">IF(OR(F1710="Y",G1710="Y",H1710="Y"),1,0)</f>
        <v>0</v>
      </c>
      <c r="M1710" s="3" t="n">
        <f aca="false">IF(H1710="Y",1,0)</f>
        <v>0</v>
      </c>
      <c r="N1710" s="3" t="n">
        <f aca="false">IF(I1710="Y",1,0)</f>
        <v>0</v>
      </c>
    </row>
    <row r="1711" customFormat="false" ht="15" hidden="false" customHeight="true" outlineLevel="0" collapsed="false">
      <c r="A1711" s="7" t="s">
        <v>75</v>
      </c>
      <c r="B1711" s="7" t="n">
        <v>1998</v>
      </c>
      <c r="C1711" s="7" t="s">
        <v>376</v>
      </c>
      <c r="D1711" s="7" t="n">
        <v>88</v>
      </c>
      <c r="E1711" s="7" t="n">
        <v>74</v>
      </c>
      <c r="F1711" s="7" t="s">
        <v>546</v>
      </c>
      <c r="G1711" s="7" t="s">
        <v>546</v>
      </c>
      <c r="H1711" s="7" t="s">
        <v>546</v>
      </c>
      <c r="I1711" s="7" t="s">
        <v>546</v>
      </c>
      <c r="J1711" s="21" t="n">
        <f aca="false">D1711/(D1711+E1711)</f>
        <v>0.54320987654321</v>
      </c>
      <c r="K1711" s="3" t="n">
        <f aca="false">IF(D1711&gt;E1711,1,0)</f>
        <v>1</v>
      </c>
      <c r="L1711" s="3" t="n">
        <f aca="false">IF(OR(F1711="Y",G1711="Y",H1711="Y"),1,0)</f>
        <v>0</v>
      </c>
      <c r="M1711" s="3" t="n">
        <f aca="false">IF(H1711="Y",1,0)</f>
        <v>0</v>
      </c>
      <c r="N1711" s="3" t="n">
        <f aca="false">IF(I1711="Y",1,0)</f>
        <v>0</v>
      </c>
    </row>
    <row r="1712" customFormat="false" ht="15" hidden="false" customHeight="true" outlineLevel="0" collapsed="false">
      <c r="A1712" s="7" t="s">
        <v>75</v>
      </c>
      <c r="B1712" s="7" t="n">
        <v>1999</v>
      </c>
      <c r="C1712" s="7" t="s">
        <v>376</v>
      </c>
      <c r="D1712" s="7" t="n">
        <v>97</v>
      </c>
      <c r="E1712" s="7" t="n">
        <v>66</v>
      </c>
      <c r="F1712" s="7" t="s">
        <v>546</v>
      </c>
      <c r="G1712" s="7" t="s">
        <v>548</v>
      </c>
      <c r="H1712" s="7" t="s">
        <v>546</v>
      </c>
      <c r="I1712" s="7" t="s">
        <v>546</v>
      </c>
      <c r="J1712" s="21" t="n">
        <f aca="false">D1712/(D1712+E1712)</f>
        <v>0.595092024539877</v>
      </c>
      <c r="K1712" s="3" t="n">
        <f aca="false">IF(D1712&gt;E1712,1,0)</f>
        <v>1</v>
      </c>
      <c r="L1712" s="3" t="n">
        <f aca="false">IF(OR(F1712="Y",G1712="Y",H1712="Y"),1,0)</f>
        <v>1</v>
      </c>
      <c r="M1712" s="3" t="n">
        <f aca="false">IF(H1712="Y",1,0)</f>
        <v>0</v>
      </c>
      <c r="N1712" s="3" t="n">
        <f aca="false">IF(I1712="Y",1,0)</f>
        <v>0</v>
      </c>
    </row>
    <row r="1713" customFormat="false" ht="15" hidden="false" customHeight="true" outlineLevel="0" collapsed="false">
      <c r="A1713" s="7" t="s">
        <v>75</v>
      </c>
      <c r="B1713" s="7" t="n">
        <v>2000</v>
      </c>
      <c r="C1713" s="7" t="s">
        <v>376</v>
      </c>
      <c r="D1713" s="7" t="n">
        <v>94</v>
      </c>
      <c r="E1713" s="7" t="n">
        <v>68</v>
      </c>
      <c r="F1713" s="7" t="s">
        <v>546</v>
      </c>
      <c r="G1713" s="7" t="s">
        <v>548</v>
      </c>
      <c r="H1713" s="7" t="s">
        <v>548</v>
      </c>
      <c r="I1713" s="7" t="s">
        <v>546</v>
      </c>
      <c r="J1713" s="21" t="n">
        <f aca="false">D1713/(D1713+E1713)</f>
        <v>0.580246913580247</v>
      </c>
      <c r="K1713" s="3" t="n">
        <f aca="false">IF(D1713&gt;E1713,1,0)</f>
        <v>1</v>
      </c>
      <c r="L1713" s="3" t="n">
        <f aca="false">IF(OR(F1713="Y",G1713="Y",H1713="Y"),1,0)</f>
        <v>1</v>
      </c>
      <c r="M1713" s="3" t="n">
        <f aca="false">IF(H1713="Y",1,0)</f>
        <v>1</v>
      </c>
      <c r="N1713" s="3" t="n">
        <f aca="false">IF(I1713="Y",1,0)</f>
        <v>0</v>
      </c>
    </row>
    <row r="1714" customFormat="false" ht="15" hidden="false" customHeight="true" outlineLevel="0" collapsed="false">
      <c r="A1714" s="7" t="s">
        <v>75</v>
      </c>
      <c r="B1714" s="7" t="n">
        <v>2001</v>
      </c>
      <c r="C1714" s="7" t="s">
        <v>376</v>
      </c>
      <c r="D1714" s="7" t="n">
        <v>82</v>
      </c>
      <c r="E1714" s="7" t="n">
        <v>80</v>
      </c>
      <c r="F1714" s="7" t="s">
        <v>546</v>
      </c>
      <c r="G1714" s="7" t="s">
        <v>546</v>
      </c>
      <c r="H1714" s="7" t="s">
        <v>546</v>
      </c>
      <c r="I1714" s="7" t="s">
        <v>546</v>
      </c>
      <c r="J1714" s="21" t="n">
        <f aca="false">D1714/(D1714+E1714)</f>
        <v>0.506172839506173</v>
      </c>
      <c r="K1714" s="3" t="n">
        <f aca="false">IF(D1714&gt;E1714,1,0)</f>
        <v>1</v>
      </c>
      <c r="L1714" s="3" t="n">
        <f aca="false">IF(OR(F1714="Y",G1714="Y",H1714="Y"),1,0)</f>
        <v>0</v>
      </c>
      <c r="M1714" s="3" t="n">
        <f aca="false">IF(H1714="Y",1,0)</f>
        <v>0</v>
      </c>
      <c r="N1714" s="3" t="n">
        <f aca="false">IF(I1714="Y",1,0)</f>
        <v>0</v>
      </c>
    </row>
    <row r="1715" customFormat="false" ht="15" hidden="false" customHeight="true" outlineLevel="0" collapsed="false">
      <c r="A1715" s="7" t="s">
        <v>75</v>
      </c>
      <c r="B1715" s="7" t="n">
        <v>2002</v>
      </c>
      <c r="C1715" s="7" t="s">
        <v>376</v>
      </c>
      <c r="D1715" s="7" t="n">
        <v>75</v>
      </c>
      <c r="E1715" s="7" t="n">
        <v>86</v>
      </c>
      <c r="F1715" s="7" t="s">
        <v>546</v>
      </c>
      <c r="G1715" s="7" t="s">
        <v>546</v>
      </c>
      <c r="H1715" s="7" t="s">
        <v>546</v>
      </c>
      <c r="I1715" s="7" t="s">
        <v>546</v>
      </c>
      <c r="J1715" s="21" t="n">
        <f aca="false">D1715/(D1715+E1715)</f>
        <v>0.46583850931677</v>
      </c>
      <c r="K1715" s="3" t="n">
        <f aca="false">IF(D1715&gt;E1715,1,0)</f>
        <v>0</v>
      </c>
      <c r="L1715" s="3" t="n">
        <f aca="false">IF(OR(F1715="Y",G1715="Y",H1715="Y"),1,0)</f>
        <v>0</v>
      </c>
      <c r="M1715" s="3" t="n">
        <f aca="false">IF(H1715="Y",1,0)</f>
        <v>0</v>
      </c>
      <c r="N1715" s="3" t="n">
        <f aca="false">IF(I1715="Y",1,0)</f>
        <v>0</v>
      </c>
    </row>
    <row r="1716" customFormat="false" ht="15" hidden="false" customHeight="true" outlineLevel="0" collapsed="false">
      <c r="A1716" s="7" t="s">
        <v>75</v>
      </c>
      <c r="B1716" s="7" t="n">
        <v>2003</v>
      </c>
      <c r="C1716" s="7" t="s">
        <v>376</v>
      </c>
      <c r="D1716" s="7" t="n">
        <v>66</v>
      </c>
      <c r="E1716" s="7" t="n">
        <v>95</v>
      </c>
      <c r="F1716" s="7" t="s">
        <v>546</v>
      </c>
      <c r="G1716" s="7" t="s">
        <v>546</v>
      </c>
      <c r="H1716" s="7" t="s">
        <v>546</v>
      </c>
      <c r="I1716" s="7" t="s">
        <v>546</v>
      </c>
      <c r="J1716" s="21" t="n">
        <f aca="false">D1716/(D1716+E1716)</f>
        <v>0.409937888198758</v>
      </c>
      <c r="K1716" s="3" t="n">
        <f aca="false">IF(D1716&gt;E1716,1,0)</f>
        <v>0</v>
      </c>
      <c r="L1716" s="3" t="n">
        <f aca="false">IF(OR(F1716="Y",G1716="Y",H1716="Y"),1,0)</f>
        <v>0</v>
      </c>
      <c r="M1716" s="3" t="n">
        <f aca="false">IF(H1716="Y",1,0)</f>
        <v>0</v>
      </c>
      <c r="N1716" s="3" t="n">
        <f aca="false">IF(I1716="Y",1,0)</f>
        <v>0</v>
      </c>
    </row>
    <row r="1717" customFormat="false" ht="15" hidden="false" customHeight="true" outlineLevel="0" collapsed="false">
      <c r="A1717" s="7" t="s">
        <v>75</v>
      </c>
      <c r="B1717" s="7" t="n">
        <v>2004</v>
      </c>
      <c r="C1717" s="7" t="s">
        <v>376</v>
      </c>
      <c r="D1717" s="7" t="n">
        <v>71</v>
      </c>
      <c r="E1717" s="7" t="n">
        <v>91</v>
      </c>
      <c r="F1717" s="7" t="s">
        <v>546</v>
      </c>
      <c r="G1717" s="7" t="s">
        <v>546</v>
      </c>
      <c r="H1717" s="7" t="s">
        <v>546</v>
      </c>
      <c r="I1717" s="7" t="s">
        <v>546</v>
      </c>
      <c r="J1717" s="21" t="n">
        <f aca="false">D1717/(D1717+E1717)</f>
        <v>0.438271604938272</v>
      </c>
      <c r="K1717" s="3" t="n">
        <f aca="false">IF(D1717&gt;E1717,1,0)</f>
        <v>0</v>
      </c>
      <c r="L1717" s="3" t="n">
        <f aca="false">IF(OR(F1717="Y",G1717="Y",H1717="Y"),1,0)</f>
        <v>0</v>
      </c>
      <c r="M1717" s="3" t="n">
        <f aca="false">IF(H1717="Y",1,0)</f>
        <v>0</v>
      </c>
      <c r="N1717" s="3" t="n">
        <f aca="false">IF(I1717="Y",1,0)</f>
        <v>0</v>
      </c>
    </row>
    <row r="1718" customFormat="false" ht="15" hidden="false" customHeight="true" outlineLevel="0" collapsed="false">
      <c r="A1718" s="7" t="s">
        <v>75</v>
      </c>
      <c r="B1718" s="7" t="n">
        <v>2005</v>
      </c>
      <c r="C1718" s="7" t="s">
        <v>376</v>
      </c>
      <c r="D1718" s="7" t="n">
        <v>83</v>
      </c>
      <c r="E1718" s="7" t="n">
        <v>79</v>
      </c>
      <c r="F1718" s="7" t="s">
        <v>546</v>
      </c>
      <c r="G1718" s="7" t="s">
        <v>546</v>
      </c>
      <c r="H1718" s="7" t="s">
        <v>546</v>
      </c>
      <c r="I1718" s="7" t="s">
        <v>546</v>
      </c>
      <c r="J1718" s="21" t="n">
        <f aca="false">D1718/(D1718+E1718)</f>
        <v>0.512345679012346</v>
      </c>
      <c r="K1718" s="3" t="n">
        <f aca="false">IF(D1718&gt;E1718,1,0)</f>
        <v>1</v>
      </c>
      <c r="L1718" s="3" t="n">
        <f aca="false">IF(OR(F1718="Y",G1718="Y",H1718="Y"),1,0)</f>
        <v>0</v>
      </c>
      <c r="M1718" s="3" t="n">
        <f aca="false">IF(H1718="Y",1,0)</f>
        <v>0</v>
      </c>
      <c r="N1718" s="3" t="n">
        <f aca="false">IF(I1718="Y",1,0)</f>
        <v>0</v>
      </c>
    </row>
    <row r="1719" customFormat="false" ht="15" hidden="false" customHeight="true" outlineLevel="0" collapsed="false">
      <c r="A1719" s="7" t="s">
        <v>75</v>
      </c>
      <c r="B1719" s="7" t="n">
        <v>2006</v>
      </c>
      <c r="C1719" s="7" t="s">
        <v>376</v>
      </c>
      <c r="D1719" s="7" t="n">
        <v>97</v>
      </c>
      <c r="E1719" s="7" t="n">
        <v>65</v>
      </c>
      <c r="F1719" s="7" t="s">
        <v>548</v>
      </c>
      <c r="G1719" s="7" t="s">
        <v>546</v>
      </c>
      <c r="H1719" s="7" t="s">
        <v>546</v>
      </c>
      <c r="I1719" s="7" t="s">
        <v>546</v>
      </c>
      <c r="J1719" s="21" t="n">
        <f aca="false">D1719/(D1719+E1719)</f>
        <v>0.598765432098765</v>
      </c>
      <c r="K1719" s="3" t="n">
        <f aca="false">IF(D1719&gt;E1719,1,0)</f>
        <v>1</v>
      </c>
      <c r="L1719" s="3" t="n">
        <f aca="false">IF(OR(F1719="Y",G1719="Y",H1719="Y"),1,0)</f>
        <v>1</v>
      </c>
      <c r="M1719" s="3" t="n">
        <f aca="false">IF(H1719="Y",1,0)</f>
        <v>0</v>
      </c>
      <c r="N1719" s="3" t="n">
        <f aca="false">IF(I1719="Y",1,0)</f>
        <v>0</v>
      </c>
    </row>
    <row r="1720" customFormat="false" ht="15" hidden="false" customHeight="true" outlineLevel="0" collapsed="false">
      <c r="A1720" s="7" t="s">
        <v>75</v>
      </c>
      <c r="B1720" s="7" t="n">
        <v>2007</v>
      </c>
      <c r="C1720" s="7" t="s">
        <v>376</v>
      </c>
      <c r="D1720" s="7" t="n">
        <v>88</v>
      </c>
      <c r="E1720" s="7" t="n">
        <v>74</v>
      </c>
      <c r="F1720" s="7" t="s">
        <v>546</v>
      </c>
      <c r="G1720" s="7" t="s">
        <v>546</v>
      </c>
      <c r="H1720" s="7" t="s">
        <v>546</v>
      </c>
      <c r="I1720" s="7" t="s">
        <v>546</v>
      </c>
      <c r="J1720" s="21" t="n">
        <f aca="false">D1720/(D1720+E1720)</f>
        <v>0.54320987654321</v>
      </c>
      <c r="K1720" s="3" t="n">
        <f aca="false">IF(D1720&gt;E1720,1,0)</f>
        <v>1</v>
      </c>
      <c r="L1720" s="3" t="n">
        <f aca="false">IF(OR(F1720="Y",G1720="Y",H1720="Y"),1,0)</f>
        <v>0</v>
      </c>
      <c r="M1720" s="3" t="n">
        <f aca="false">IF(H1720="Y",1,0)</f>
        <v>0</v>
      </c>
      <c r="N1720" s="3" t="n">
        <f aca="false">IF(I1720="Y",1,0)</f>
        <v>0</v>
      </c>
    </row>
    <row r="1721" customFormat="false" ht="15" hidden="false" customHeight="true" outlineLevel="0" collapsed="false">
      <c r="A1721" s="7" t="s">
        <v>75</v>
      </c>
      <c r="B1721" s="7" t="n">
        <v>2008</v>
      </c>
      <c r="C1721" s="7" t="s">
        <v>376</v>
      </c>
      <c r="D1721" s="7" t="n">
        <v>89</v>
      </c>
      <c r="E1721" s="7" t="n">
        <v>73</v>
      </c>
      <c r="F1721" s="7" t="s">
        <v>546</v>
      </c>
      <c r="G1721" s="7" t="s">
        <v>546</v>
      </c>
      <c r="H1721" s="7" t="s">
        <v>546</v>
      </c>
      <c r="I1721" s="7" t="s">
        <v>546</v>
      </c>
      <c r="J1721" s="21" t="n">
        <f aca="false">D1721/(D1721+E1721)</f>
        <v>0.549382716049383</v>
      </c>
      <c r="K1721" s="3" t="n">
        <f aca="false">IF(D1721&gt;E1721,1,0)</f>
        <v>1</v>
      </c>
      <c r="L1721" s="3" t="n">
        <f aca="false">IF(OR(F1721="Y",G1721="Y",H1721="Y"),1,0)</f>
        <v>0</v>
      </c>
      <c r="M1721" s="3" t="n">
        <f aca="false">IF(H1721="Y",1,0)</f>
        <v>0</v>
      </c>
      <c r="N1721" s="3" t="n">
        <f aca="false">IF(I1721="Y",1,0)</f>
        <v>0</v>
      </c>
    </row>
    <row r="1722" customFormat="false" ht="15" hidden="false" customHeight="true" outlineLevel="0" collapsed="false">
      <c r="A1722" s="7" t="s">
        <v>75</v>
      </c>
      <c r="B1722" s="7" t="n">
        <v>2009</v>
      </c>
      <c r="C1722" s="7" t="s">
        <v>376</v>
      </c>
      <c r="D1722" s="7" t="n">
        <v>70</v>
      </c>
      <c r="E1722" s="7" t="n">
        <v>92</v>
      </c>
      <c r="F1722" s="7" t="s">
        <v>546</v>
      </c>
      <c r="G1722" s="7" t="s">
        <v>546</v>
      </c>
      <c r="H1722" s="7" t="s">
        <v>546</v>
      </c>
      <c r="I1722" s="7" t="s">
        <v>546</v>
      </c>
      <c r="J1722" s="21" t="n">
        <f aca="false">D1722/(D1722+E1722)</f>
        <v>0.432098765432099</v>
      </c>
      <c r="K1722" s="3" t="n">
        <f aca="false">IF(D1722&gt;E1722,1,0)</f>
        <v>0</v>
      </c>
      <c r="L1722" s="3" t="n">
        <f aca="false">IF(OR(F1722="Y",G1722="Y",H1722="Y"),1,0)</f>
        <v>0</v>
      </c>
      <c r="M1722" s="3" t="n">
        <f aca="false">IF(H1722="Y",1,0)</f>
        <v>0</v>
      </c>
      <c r="N1722" s="3" t="n">
        <f aca="false">IF(I1722="Y",1,0)</f>
        <v>0</v>
      </c>
    </row>
    <row r="1723" customFormat="false" ht="15" hidden="false" customHeight="true" outlineLevel="0" collapsed="false">
      <c r="A1723" s="7" t="s">
        <v>75</v>
      </c>
      <c r="B1723" s="7" t="n">
        <v>2010</v>
      </c>
      <c r="C1723" s="7" t="s">
        <v>376</v>
      </c>
      <c r="D1723" s="7" t="n">
        <v>79</v>
      </c>
      <c r="E1723" s="7" t="n">
        <v>83</v>
      </c>
      <c r="F1723" s="7" t="s">
        <v>546</v>
      </c>
      <c r="G1723" s="7" t="s">
        <v>546</v>
      </c>
      <c r="H1723" s="7" t="s">
        <v>546</v>
      </c>
      <c r="I1723" s="7" t="s">
        <v>546</v>
      </c>
      <c r="J1723" s="21" t="n">
        <f aca="false">D1723/(D1723+E1723)</f>
        <v>0.487654320987654</v>
      </c>
      <c r="K1723" s="3" t="n">
        <f aca="false">IF(D1723&gt;E1723,1,0)</f>
        <v>0</v>
      </c>
      <c r="L1723" s="3" t="n">
        <f aca="false">IF(OR(F1723="Y",G1723="Y",H1723="Y"),1,0)</f>
        <v>0</v>
      </c>
      <c r="M1723" s="3" t="n">
        <f aca="false">IF(H1723="Y",1,0)</f>
        <v>0</v>
      </c>
      <c r="N1723" s="3" t="n">
        <f aca="false">IF(I1723="Y",1,0)</f>
        <v>0</v>
      </c>
    </row>
    <row r="1724" customFormat="false" ht="15" hidden="false" customHeight="true" outlineLevel="0" collapsed="false">
      <c r="A1724" s="7" t="s">
        <v>75</v>
      </c>
      <c r="B1724" s="7" t="n">
        <v>2011</v>
      </c>
      <c r="C1724" s="7" t="s">
        <v>376</v>
      </c>
      <c r="D1724" s="7" t="n">
        <v>77</v>
      </c>
      <c r="E1724" s="7" t="n">
        <v>85</v>
      </c>
      <c r="F1724" s="7" t="s">
        <v>546</v>
      </c>
      <c r="G1724" s="7" t="s">
        <v>546</v>
      </c>
      <c r="H1724" s="7" t="s">
        <v>546</v>
      </c>
      <c r="I1724" s="7" t="s">
        <v>546</v>
      </c>
      <c r="J1724" s="21" t="n">
        <f aca="false">D1724/(D1724+E1724)</f>
        <v>0.475308641975309</v>
      </c>
      <c r="K1724" s="3" t="n">
        <f aca="false">IF(D1724&gt;E1724,1,0)</f>
        <v>0</v>
      </c>
      <c r="L1724" s="3" t="n">
        <f aca="false">IF(OR(F1724="Y",G1724="Y",H1724="Y"),1,0)</f>
        <v>0</v>
      </c>
      <c r="M1724" s="3" t="n">
        <f aca="false">IF(H1724="Y",1,0)</f>
        <v>0</v>
      </c>
      <c r="N1724" s="3" t="n">
        <f aca="false">IF(I1724="Y",1,0)</f>
        <v>0</v>
      </c>
    </row>
    <row r="1725" customFormat="false" ht="15" hidden="false" customHeight="true" outlineLevel="0" collapsed="false">
      <c r="A1725" s="7" t="s">
        <v>75</v>
      </c>
      <c r="B1725" s="7" t="n">
        <v>2012</v>
      </c>
      <c r="C1725" s="7" t="s">
        <v>376</v>
      </c>
      <c r="D1725" s="7" t="n">
        <v>74</v>
      </c>
      <c r="E1725" s="7" t="n">
        <v>88</v>
      </c>
      <c r="F1725" s="7" t="s">
        <v>546</v>
      </c>
      <c r="G1725" s="7" t="s">
        <v>546</v>
      </c>
      <c r="H1725" s="7" t="s">
        <v>546</v>
      </c>
      <c r="I1725" s="7" t="s">
        <v>546</v>
      </c>
      <c r="J1725" s="21" t="n">
        <f aca="false">D1725/(D1725+E1725)</f>
        <v>0.45679012345679</v>
      </c>
      <c r="K1725" s="3" t="n">
        <f aca="false">IF(D1725&gt;E1725,1,0)</f>
        <v>0</v>
      </c>
      <c r="L1725" s="3" t="n">
        <f aca="false">IF(OR(F1725="Y",G1725="Y",H1725="Y"),1,0)</f>
        <v>0</v>
      </c>
      <c r="M1725" s="3" t="n">
        <f aca="false">IF(H1725="Y",1,0)</f>
        <v>0</v>
      </c>
      <c r="N1725" s="3" t="n">
        <f aca="false">IF(I1725="Y",1,0)</f>
        <v>0</v>
      </c>
    </row>
    <row r="1726" customFormat="false" ht="15" hidden="false" customHeight="true" outlineLevel="0" collapsed="false">
      <c r="A1726" s="7" t="s">
        <v>75</v>
      </c>
      <c r="B1726" s="7" t="n">
        <v>2013</v>
      </c>
      <c r="C1726" s="7" t="s">
        <v>376</v>
      </c>
      <c r="D1726" s="7" t="n">
        <v>74</v>
      </c>
      <c r="E1726" s="7" t="n">
        <v>88</v>
      </c>
      <c r="F1726" s="7" t="s">
        <v>546</v>
      </c>
      <c r="G1726" s="7" t="s">
        <v>546</v>
      </c>
      <c r="H1726" s="7" t="s">
        <v>546</v>
      </c>
      <c r="I1726" s="7" t="s">
        <v>546</v>
      </c>
      <c r="J1726" s="21" t="n">
        <f aca="false">D1726/(D1726+E1726)</f>
        <v>0.45679012345679</v>
      </c>
      <c r="K1726" s="3" t="n">
        <f aca="false">IF(D1726&gt;E1726,1,0)</f>
        <v>0</v>
      </c>
      <c r="L1726" s="3" t="n">
        <f aca="false">IF(OR(F1726="Y",G1726="Y",H1726="Y"),1,0)</f>
        <v>0</v>
      </c>
      <c r="M1726" s="3" t="n">
        <f aca="false">IF(H1726="Y",1,0)</f>
        <v>0</v>
      </c>
      <c r="N1726" s="3" t="n">
        <f aca="false">IF(I1726="Y",1,0)</f>
        <v>0</v>
      </c>
    </row>
    <row r="1727" customFormat="false" ht="15" hidden="false" customHeight="true" outlineLevel="0" collapsed="false">
      <c r="A1727" s="7" t="s">
        <v>75</v>
      </c>
      <c r="B1727" s="7" t="n">
        <v>2014</v>
      </c>
      <c r="C1727" s="7" t="s">
        <v>376</v>
      </c>
      <c r="D1727" s="7" t="n">
        <v>79</v>
      </c>
      <c r="E1727" s="7" t="n">
        <v>83</v>
      </c>
      <c r="F1727" s="7" t="s">
        <v>546</v>
      </c>
      <c r="G1727" s="7" t="s">
        <v>546</v>
      </c>
      <c r="H1727" s="7" t="s">
        <v>546</v>
      </c>
      <c r="I1727" s="7" t="s">
        <v>546</v>
      </c>
      <c r="J1727" s="21" t="n">
        <f aca="false">D1727/(D1727+E1727)</f>
        <v>0.487654320987654</v>
      </c>
      <c r="K1727" s="3" t="n">
        <f aca="false">IF(D1727&gt;E1727,1,0)</f>
        <v>0</v>
      </c>
      <c r="L1727" s="3" t="n">
        <f aca="false">IF(OR(F1727="Y",G1727="Y",H1727="Y"),1,0)</f>
        <v>0</v>
      </c>
      <c r="M1727" s="3" t="n">
        <f aca="false">IF(H1727="Y",1,0)</f>
        <v>0</v>
      </c>
      <c r="N1727" s="3" t="n">
        <f aca="false">IF(I1727="Y",1,0)</f>
        <v>0</v>
      </c>
    </row>
    <row r="1728" customFormat="false" ht="15" hidden="false" customHeight="true" outlineLevel="0" collapsed="false">
      <c r="A1728" s="7" t="s">
        <v>75</v>
      </c>
      <c r="B1728" s="7" t="n">
        <v>2015</v>
      </c>
      <c r="C1728" s="7" t="s">
        <v>376</v>
      </c>
      <c r="D1728" s="7" t="n">
        <v>90</v>
      </c>
      <c r="E1728" s="7" t="n">
        <v>72</v>
      </c>
      <c r="F1728" s="7" t="s">
        <v>548</v>
      </c>
      <c r="G1728" s="7" t="s">
        <v>546</v>
      </c>
      <c r="H1728" s="7" t="s">
        <v>548</v>
      </c>
      <c r="I1728" s="7" t="s">
        <v>546</v>
      </c>
      <c r="J1728" s="21" t="n">
        <f aca="false">D1728/(D1728+E1728)</f>
        <v>0.555555555555556</v>
      </c>
      <c r="K1728" s="3" t="n">
        <f aca="false">IF(D1728&gt;E1728,1,0)</f>
        <v>1</v>
      </c>
      <c r="L1728" s="3" t="n">
        <f aca="false">IF(OR(F1728="Y",G1728="Y",H1728="Y"),1,0)</f>
        <v>1</v>
      </c>
      <c r="M1728" s="3" t="n">
        <f aca="false">IF(H1728="Y",1,0)</f>
        <v>1</v>
      </c>
      <c r="N1728" s="3" t="n">
        <f aca="false">IF(I1728="Y",1,0)</f>
        <v>0</v>
      </c>
    </row>
    <row r="1729" customFormat="false" ht="15" hidden="false" customHeight="true" outlineLevel="0" collapsed="false">
      <c r="A1729" s="7" t="s">
        <v>75</v>
      </c>
      <c r="B1729" s="7" t="n">
        <v>2016</v>
      </c>
      <c r="C1729" s="7" t="s">
        <v>376</v>
      </c>
      <c r="D1729" s="7" t="n">
        <v>87</v>
      </c>
      <c r="E1729" s="7" t="n">
        <v>75</v>
      </c>
      <c r="F1729" s="7" t="s">
        <v>546</v>
      </c>
      <c r="G1729" s="7" t="s">
        <v>548</v>
      </c>
      <c r="H1729" s="7" t="s">
        <v>546</v>
      </c>
      <c r="I1729" s="7" t="s">
        <v>546</v>
      </c>
      <c r="J1729" s="21" t="n">
        <f aca="false">D1729/(D1729+E1729)</f>
        <v>0.537037037037037</v>
      </c>
      <c r="K1729" s="3" t="n">
        <f aca="false">IF(D1729&gt;E1729,1,0)</f>
        <v>1</v>
      </c>
      <c r="L1729" s="3" t="n">
        <f aca="false">IF(OR(F1729="Y",G1729="Y",H1729="Y"),1,0)</f>
        <v>1</v>
      </c>
      <c r="M1729" s="3" t="n">
        <f aca="false">IF(H1729="Y",1,0)</f>
        <v>0</v>
      </c>
      <c r="N1729" s="3" t="n">
        <f aca="false">IF(I1729="Y",1,0)</f>
        <v>0</v>
      </c>
    </row>
    <row r="1730" customFormat="false" ht="15" hidden="false" customHeight="true" outlineLevel="0" collapsed="false">
      <c r="A1730" s="7" t="s">
        <v>75</v>
      </c>
      <c r="B1730" s="7" t="n">
        <v>2017</v>
      </c>
      <c r="C1730" s="7" t="s">
        <v>376</v>
      </c>
      <c r="D1730" s="7" t="n">
        <v>70</v>
      </c>
      <c r="E1730" s="7" t="n">
        <v>92</v>
      </c>
      <c r="F1730" s="7" t="s">
        <v>546</v>
      </c>
      <c r="G1730" s="7" t="s">
        <v>546</v>
      </c>
      <c r="H1730" s="7" t="s">
        <v>546</v>
      </c>
      <c r="I1730" s="7" t="s">
        <v>546</v>
      </c>
      <c r="J1730" s="21" t="n">
        <f aca="false">D1730/(D1730+E1730)</f>
        <v>0.432098765432099</v>
      </c>
      <c r="K1730" s="3" t="n">
        <f aca="false">IF(D1730&gt;E1730,1,0)</f>
        <v>0</v>
      </c>
      <c r="L1730" s="3" t="n">
        <f aca="false">IF(OR(F1730="Y",G1730="Y",H1730="Y"),1,0)</f>
        <v>0</v>
      </c>
      <c r="M1730" s="3" t="n">
        <f aca="false">IF(H1730="Y",1,0)</f>
        <v>0</v>
      </c>
      <c r="N1730" s="3" t="n">
        <f aca="false">IF(I1730="Y",1,0)</f>
        <v>0</v>
      </c>
    </row>
    <row r="1731" customFormat="false" ht="15" hidden="false" customHeight="true" outlineLevel="0" collapsed="false">
      <c r="A1731" s="7" t="s">
        <v>75</v>
      </c>
      <c r="B1731" s="7" t="n">
        <v>2018</v>
      </c>
      <c r="C1731" s="7" t="s">
        <v>376</v>
      </c>
      <c r="D1731" s="7" t="n">
        <v>77</v>
      </c>
      <c r="E1731" s="7" t="n">
        <v>85</v>
      </c>
      <c r="F1731" s="7" t="s">
        <v>546</v>
      </c>
      <c r="G1731" s="7" t="s">
        <v>546</v>
      </c>
      <c r="H1731" s="7" t="s">
        <v>546</v>
      </c>
      <c r="I1731" s="7" t="s">
        <v>546</v>
      </c>
      <c r="J1731" s="21" t="n">
        <f aca="false">D1731/(D1731+E1731)</f>
        <v>0.475308641975309</v>
      </c>
      <c r="K1731" s="3" t="n">
        <f aca="false">IF(D1731&gt;E1731,1,0)</f>
        <v>0</v>
      </c>
      <c r="L1731" s="3" t="n">
        <f aca="false">IF(OR(F1731="Y",G1731="Y",H1731="Y"),1,0)</f>
        <v>0</v>
      </c>
      <c r="M1731" s="3" t="n">
        <f aca="false">IF(H1731="Y",1,0)</f>
        <v>0</v>
      </c>
      <c r="N1731" s="3" t="n">
        <f aca="false">IF(I1731="Y",1,0)</f>
        <v>0</v>
      </c>
    </row>
    <row r="1732" customFormat="false" ht="15" hidden="false" customHeight="true" outlineLevel="0" collapsed="false">
      <c r="A1732" s="7" t="s">
        <v>75</v>
      </c>
      <c r="B1732" s="7" t="n">
        <v>2019</v>
      </c>
      <c r="C1732" s="7" t="s">
        <v>376</v>
      </c>
      <c r="D1732" s="7" t="n">
        <v>86</v>
      </c>
      <c r="E1732" s="7" t="n">
        <v>76</v>
      </c>
      <c r="F1732" s="7" t="s">
        <v>546</v>
      </c>
      <c r="G1732" s="7" t="s">
        <v>546</v>
      </c>
      <c r="H1732" s="7" t="s">
        <v>546</v>
      </c>
      <c r="I1732" s="7" t="s">
        <v>546</v>
      </c>
      <c r="J1732" s="21" t="n">
        <f aca="false">D1732/(D1732+E1732)</f>
        <v>0.530864197530864</v>
      </c>
      <c r="K1732" s="3" t="n">
        <f aca="false">IF(D1732&gt;E1732,1,0)</f>
        <v>1</v>
      </c>
      <c r="L1732" s="3" t="n">
        <f aca="false">IF(OR(F1732="Y",G1732="Y",H1732="Y"),1,0)</f>
        <v>0</v>
      </c>
      <c r="M1732" s="3" t="n">
        <f aca="false">IF(H1732="Y",1,0)</f>
        <v>0</v>
      </c>
      <c r="N1732" s="3" t="n">
        <f aca="false">IF(I1732="Y",1,0)</f>
        <v>0</v>
      </c>
    </row>
    <row r="1733" customFormat="false" ht="15" hidden="false" customHeight="true" outlineLevel="0" collapsed="false">
      <c r="A1733" s="7" t="s">
        <v>75</v>
      </c>
      <c r="B1733" s="7" t="n">
        <v>2020</v>
      </c>
      <c r="C1733" s="7" t="s">
        <v>376</v>
      </c>
      <c r="D1733" s="7" t="n">
        <v>26</v>
      </c>
      <c r="E1733" s="7" t="n">
        <v>34</v>
      </c>
      <c r="F1733" s="7" t="s">
        <v>546</v>
      </c>
      <c r="G1733" s="7" t="s">
        <v>546</v>
      </c>
      <c r="H1733" s="7" t="s">
        <v>546</v>
      </c>
      <c r="I1733" s="7" t="s">
        <v>546</v>
      </c>
      <c r="J1733" s="21" t="n">
        <f aca="false">D1733/(D1733+E1733)</f>
        <v>0.433333333333333</v>
      </c>
      <c r="K1733" s="3" t="n">
        <f aca="false">IF(D1733&gt;E1733,1,0)</f>
        <v>0</v>
      </c>
      <c r="L1733" s="3" t="n">
        <f aca="false">IF(OR(F1733="Y",G1733="Y",H1733="Y"),1,0)</f>
        <v>0</v>
      </c>
      <c r="M1733" s="3" t="n">
        <f aca="false">IF(H1733="Y",1,0)</f>
        <v>0</v>
      </c>
      <c r="N1733" s="3" t="n">
        <f aca="false">IF(I1733="Y",1,0)</f>
        <v>0</v>
      </c>
    </row>
    <row r="1734" customFormat="false" ht="15" hidden="false" customHeight="true" outlineLevel="0" collapsed="false">
      <c r="A1734" s="7" t="s">
        <v>75</v>
      </c>
      <c r="B1734" s="7" t="n">
        <v>2021</v>
      </c>
      <c r="C1734" s="7" t="s">
        <v>376</v>
      </c>
      <c r="D1734" s="7" t="n">
        <v>77</v>
      </c>
      <c r="E1734" s="7" t="n">
        <v>85</v>
      </c>
      <c r="F1734" s="7" t="s">
        <v>546</v>
      </c>
      <c r="G1734" s="7" t="s">
        <v>546</v>
      </c>
      <c r="H1734" s="7" t="s">
        <v>546</v>
      </c>
      <c r="I1734" s="7" t="s">
        <v>546</v>
      </c>
      <c r="J1734" s="21" t="n">
        <f aca="false">D1734/(D1734+E1734)</f>
        <v>0.475308641975309</v>
      </c>
      <c r="K1734" s="3" t="n">
        <f aca="false">IF(D1734&gt;E1734,1,0)</f>
        <v>0</v>
      </c>
      <c r="L1734" s="3" t="n">
        <f aca="false">IF(OR(F1734="Y",G1734="Y",H1734="Y"),1,0)</f>
        <v>0</v>
      </c>
      <c r="M1734" s="3" t="n">
        <f aca="false">IF(H1734="Y",1,0)</f>
        <v>0</v>
      </c>
      <c r="N1734" s="3" t="n">
        <f aca="false">IF(I1734="Y",1,0)</f>
        <v>0</v>
      </c>
    </row>
    <row r="1735" customFormat="false" ht="15" hidden="false" customHeight="true" outlineLevel="0" collapsed="false">
      <c r="A1735" s="7" t="s">
        <v>75</v>
      </c>
      <c r="B1735" s="7" t="n">
        <v>2022</v>
      </c>
      <c r="C1735" s="7" t="s">
        <v>376</v>
      </c>
      <c r="D1735" s="7" t="n">
        <v>101</v>
      </c>
      <c r="E1735" s="7" t="n">
        <v>61</v>
      </c>
      <c r="F1735" s="7" t="s">
        <v>546</v>
      </c>
      <c r="G1735" s="7" t="s">
        <v>548</v>
      </c>
      <c r="H1735" s="7" t="s">
        <v>546</v>
      </c>
      <c r="I1735" s="7" t="s">
        <v>546</v>
      </c>
      <c r="J1735" s="21" t="n">
        <f aca="false">D1735/(D1735+E1735)</f>
        <v>0.623456790123457</v>
      </c>
      <c r="K1735" s="3" t="n">
        <f aca="false">IF(D1735&gt;E1735,1,0)</f>
        <v>1</v>
      </c>
      <c r="L1735" s="3" t="n">
        <f aca="false">IF(OR(F1735="Y",G1735="Y",H1735="Y"),1,0)</f>
        <v>1</v>
      </c>
      <c r="M1735" s="3" t="n">
        <f aca="false">IF(H1735="Y",1,0)</f>
        <v>0</v>
      </c>
      <c r="N1735" s="3" t="n">
        <f aca="false">IF(I1735="Y",1,0)</f>
        <v>0</v>
      </c>
    </row>
    <row r="1736" customFormat="false" ht="15" hidden="false" customHeight="true" outlineLevel="0" collapsed="false">
      <c r="A1736" s="7" t="s">
        <v>75</v>
      </c>
      <c r="B1736" s="7" t="n">
        <v>2023</v>
      </c>
      <c r="C1736" s="7" t="s">
        <v>376</v>
      </c>
      <c r="D1736" s="7" t="n">
        <v>75</v>
      </c>
      <c r="E1736" s="7" t="n">
        <v>87</v>
      </c>
      <c r="F1736" s="7" t="s">
        <v>546</v>
      </c>
      <c r="G1736" s="7" t="s">
        <v>546</v>
      </c>
      <c r="H1736" s="7" t="s">
        <v>546</v>
      </c>
      <c r="I1736" s="7" t="s">
        <v>546</v>
      </c>
      <c r="J1736" s="21" t="n">
        <f aca="false">D1736/(D1736+E1736)</f>
        <v>0.462962962962963</v>
      </c>
      <c r="K1736" s="3" t="n">
        <f aca="false">IF(D1736&gt;E1736,1,0)</f>
        <v>0</v>
      </c>
      <c r="L1736" s="3" t="n">
        <f aca="false">IF(OR(F1736="Y",G1736="Y",H1736="Y"),1,0)</f>
        <v>0</v>
      </c>
      <c r="M1736" s="3" t="n">
        <f aca="false">IF(H1736="Y",1,0)</f>
        <v>0</v>
      </c>
      <c r="N1736" s="3" t="n">
        <f aca="false">IF(I1736="Y",1,0)</f>
        <v>0</v>
      </c>
    </row>
    <row r="1737" customFormat="false" ht="15" hidden="false" customHeight="true" outlineLevel="0" collapsed="false">
      <c r="A1737" s="7" t="s">
        <v>75</v>
      </c>
      <c r="B1737" s="7" t="n">
        <v>2024</v>
      </c>
      <c r="C1737" s="7" t="s">
        <v>376</v>
      </c>
      <c r="D1737" s="7" t="n">
        <v>89</v>
      </c>
      <c r="E1737" s="7" t="n">
        <v>73</v>
      </c>
      <c r="F1737" s="7" t="s">
        <v>546</v>
      </c>
      <c r="G1737" s="7" t="s">
        <v>548</v>
      </c>
      <c r="H1737" s="7" t="s">
        <v>546</v>
      </c>
      <c r="I1737" s="7" t="s">
        <v>546</v>
      </c>
      <c r="J1737" s="21" t="n">
        <f aca="false">D1737/(D1737+E1737)</f>
        <v>0.549382716049383</v>
      </c>
      <c r="K1737" s="3" t="n">
        <f aca="false">IF(D1737&gt;E1737,1,0)</f>
        <v>1</v>
      </c>
      <c r="L1737" s="3" t="n">
        <f aca="false">IF(OR(F1737="Y",G1737="Y",H1737="Y"),1,0)</f>
        <v>1</v>
      </c>
      <c r="M1737" s="3" t="n">
        <f aca="false">IF(H1737="Y",1,0)</f>
        <v>0</v>
      </c>
      <c r="N1737" s="3" t="n">
        <f aca="false">IF(I1737="Y",1,0)</f>
        <v>0</v>
      </c>
    </row>
    <row r="1738" customFormat="false" ht="15" hidden="false" customHeight="true" outlineLevel="0" collapsed="false">
      <c r="A1738" s="7" t="s">
        <v>75</v>
      </c>
      <c r="B1738" s="7" t="n">
        <v>2025</v>
      </c>
      <c r="C1738" s="7" t="s">
        <v>376</v>
      </c>
      <c r="D1738" s="7" t="n">
        <v>83</v>
      </c>
      <c r="E1738" s="7" t="n">
        <v>79</v>
      </c>
      <c r="F1738" s="7" t="s">
        <v>546</v>
      </c>
      <c r="G1738" s="7" t="s">
        <v>546</v>
      </c>
      <c r="H1738" s="7" t="s">
        <v>546</v>
      </c>
      <c r="I1738" s="7" t="s">
        <v>546</v>
      </c>
      <c r="J1738" s="21" t="n">
        <f aca="false">D1738/(D1738+E1738)</f>
        <v>0.512345679012346</v>
      </c>
      <c r="K1738" s="3" t="n">
        <f aca="false">IF(D1738&gt;E1738,1,0)</f>
        <v>1</v>
      </c>
      <c r="L1738" s="3" t="n">
        <f aca="false">IF(OR(F1738="Y",G1738="Y",H1738="Y"),1,0)</f>
        <v>0</v>
      </c>
      <c r="M1738" s="3" t="n">
        <f aca="false">IF(H1738="Y",1,0)</f>
        <v>0</v>
      </c>
      <c r="N1738" s="3" t="n">
        <f aca="false">IF(I1738="Y",1,0)</f>
        <v>0</v>
      </c>
    </row>
    <row r="1739" customFormat="false" ht="15" hidden="false" customHeight="true" outlineLevel="0" collapsed="false">
      <c r="A1739" s="7" t="s">
        <v>70</v>
      </c>
      <c r="B1739" s="7" t="n">
        <v>1903</v>
      </c>
      <c r="C1739" s="7" t="s">
        <v>578</v>
      </c>
      <c r="D1739" s="7" t="n">
        <v>72</v>
      </c>
      <c r="E1739" s="7" t="n">
        <v>62</v>
      </c>
      <c r="F1739" s="7"/>
      <c r="G1739" s="7"/>
      <c r="H1739" s="7" t="s">
        <v>546</v>
      </c>
      <c r="I1739" s="7" t="s">
        <v>546</v>
      </c>
      <c r="J1739" s="21" t="n">
        <f aca="false">D1739/(D1739+E1739)</f>
        <v>0.537313432835821</v>
      </c>
      <c r="K1739" s="3" t="n">
        <f aca="false">IF(D1739&gt;E1739,1,0)</f>
        <v>1</v>
      </c>
      <c r="L1739" s="3" t="n">
        <f aca="false">IF(OR(F1739="Y",G1739="Y",H1739="Y"),1,0)</f>
        <v>0</v>
      </c>
      <c r="M1739" s="3" t="n">
        <f aca="false">IF(H1739="Y",1,0)</f>
        <v>0</v>
      </c>
      <c r="N1739" s="3" t="n">
        <f aca="false">IF(I1739="Y",1,0)</f>
        <v>0</v>
      </c>
    </row>
    <row r="1740" customFormat="false" ht="15" hidden="false" customHeight="true" outlineLevel="0" collapsed="false">
      <c r="A1740" s="7" t="s">
        <v>70</v>
      </c>
      <c r="B1740" s="7" t="n">
        <v>1904</v>
      </c>
      <c r="C1740" s="7" t="s">
        <v>578</v>
      </c>
      <c r="D1740" s="7" t="n">
        <v>92</v>
      </c>
      <c r="E1740" s="7" t="n">
        <v>59</v>
      </c>
      <c r="F1740" s="7"/>
      <c r="G1740" s="7"/>
      <c r="H1740" s="7" t="s">
        <v>546</v>
      </c>
      <c r="I1740" s="7"/>
      <c r="J1740" s="21" t="n">
        <f aca="false">D1740/(D1740+E1740)</f>
        <v>0.609271523178808</v>
      </c>
      <c r="K1740" s="3" t="n">
        <f aca="false">IF(D1740&gt;E1740,1,0)</f>
        <v>1</v>
      </c>
      <c r="L1740" s="3" t="n">
        <f aca="false">IF(OR(F1740="Y",G1740="Y",H1740="Y"),1,0)</f>
        <v>0</v>
      </c>
      <c r="M1740" s="3" t="n">
        <f aca="false">IF(H1740="Y",1,0)</f>
        <v>0</v>
      </c>
      <c r="N1740" s="3" t="n">
        <f aca="false">IF(I1740="Y",1,0)</f>
        <v>0</v>
      </c>
    </row>
    <row r="1741" customFormat="false" ht="15" hidden="false" customHeight="true" outlineLevel="0" collapsed="false">
      <c r="A1741" s="7" t="s">
        <v>70</v>
      </c>
      <c r="B1741" s="7" t="n">
        <v>1905</v>
      </c>
      <c r="C1741" s="7" t="s">
        <v>578</v>
      </c>
      <c r="D1741" s="7" t="n">
        <v>71</v>
      </c>
      <c r="E1741" s="7" t="n">
        <v>78</v>
      </c>
      <c r="F1741" s="7"/>
      <c r="G1741" s="7"/>
      <c r="H1741" s="7" t="s">
        <v>546</v>
      </c>
      <c r="I1741" s="7" t="s">
        <v>546</v>
      </c>
      <c r="J1741" s="21" t="n">
        <f aca="false">D1741/(D1741+E1741)</f>
        <v>0.476510067114094</v>
      </c>
      <c r="K1741" s="3" t="n">
        <f aca="false">IF(D1741&gt;E1741,1,0)</f>
        <v>0</v>
      </c>
      <c r="L1741" s="3" t="n">
        <f aca="false">IF(OR(F1741="Y",G1741="Y",H1741="Y"),1,0)</f>
        <v>0</v>
      </c>
      <c r="M1741" s="3" t="n">
        <f aca="false">IF(H1741="Y",1,0)</f>
        <v>0</v>
      </c>
      <c r="N1741" s="3" t="n">
        <f aca="false">IF(I1741="Y",1,0)</f>
        <v>0</v>
      </c>
    </row>
    <row r="1742" customFormat="false" ht="15" hidden="false" customHeight="true" outlineLevel="0" collapsed="false">
      <c r="A1742" s="7" t="s">
        <v>70</v>
      </c>
      <c r="B1742" s="7" t="n">
        <v>1906</v>
      </c>
      <c r="C1742" s="7" t="s">
        <v>578</v>
      </c>
      <c r="D1742" s="7" t="n">
        <v>90</v>
      </c>
      <c r="E1742" s="7" t="n">
        <v>61</v>
      </c>
      <c r="F1742" s="7"/>
      <c r="G1742" s="7"/>
      <c r="H1742" s="7" t="s">
        <v>546</v>
      </c>
      <c r="I1742" s="7" t="s">
        <v>546</v>
      </c>
      <c r="J1742" s="21" t="n">
        <f aca="false">D1742/(D1742+E1742)</f>
        <v>0.596026490066225</v>
      </c>
      <c r="K1742" s="3" t="n">
        <f aca="false">IF(D1742&gt;E1742,1,0)</f>
        <v>1</v>
      </c>
      <c r="L1742" s="3" t="n">
        <f aca="false">IF(OR(F1742="Y",G1742="Y",H1742="Y"),1,0)</f>
        <v>0</v>
      </c>
      <c r="M1742" s="3" t="n">
        <f aca="false">IF(H1742="Y",1,0)</f>
        <v>0</v>
      </c>
      <c r="N1742" s="3" t="n">
        <f aca="false">IF(I1742="Y",1,0)</f>
        <v>0</v>
      </c>
    </row>
    <row r="1743" customFormat="false" ht="15" hidden="false" customHeight="true" outlineLevel="0" collapsed="false">
      <c r="A1743" s="7" t="s">
        <v>70</v>
      </c>
      <c r="B1743" s="7" t="n">
        <v>1907</v>
      </c>
      <c r="C1743" s="7" t="s">
        <v>578</v>
      </c>
      <c r="D1743" s="7" t="n">
        <v>70</v>
      </c>
      <c r="E1743" s="7" t="n">
        <v>78</v>
      </c>
      <c r="F1743" s="7"/>
      <c r="G1743" s="7"/>
      <c r="H1743" s="7" t="s">
        <v>546</v>
      </c>
      <c r="I1743" s="7" t="s">
        <v>546</v>
      </c>
      <c r="J1743" s="21" t="n">
        <f aca="false">D1743/(D1743+E1743)</f>
        <v>0.472972972972973</v>
      </c>
      <c r="K1743" s="3" t="n">
        <f aca="false">IF(D1743&gt;E1743,1,0)</f>
        <v>0</v>
      </c>
      <c r="L1743" s="3" t="n">
        <f aca="false">IF(OR(F1743="Y",G1743="Y",H1743="Y"),1,0)</f>
        <v>0</v>
      </c>
      <c r="M1743" s="3" t="n">
        <f aca="false">IF(H1743="Y",1,0)</f>
        <v>0</v>
      </c>
      <c r="N1743" s="3" t="n">
        <f aca="false">IF(I1743="Y",1,0)</f>
        <v>0</v>
      </c>
    </row>
    <row r="1744" customFormat="false" ht="15" hidden="false" customHeight="true" outlineLevel="0" collapsed="false">
      <c r="A1744" s="7" t="s">
        <v>70</v>
      </c>
      <c r="B1744" s="7" t="n">
        <v>1908</v>
      </c>
      <c r="C1744" s="7" t="s">
        <v>578</v>
      </c>
      <c r="D1744" s="7" t="n">
        <v>51</v>
      </c>
      <c r="E1744" s="7" t="n">
        <v>103</v>
      </c>
      <c r="F1744" s="7"/>
      <c r="G1744" s="7"/>
      <c r="H1744" s="7" t="s">
        <v>546</v>
      </c>
      <c r="I1744" s="7" t="s">
        <v>546</v>
      </c>
      <c r="J1744" s="21" t="n">
        <f aca="false">D1744/(D1744+E1744)</f>
        <v>0.331168831168831</v>
      </c>
      <c r="K1744" s="3" t="n">
        <f aca="false">IF(D1744&gt;E1744,1,0)</f>
        <v>0</v>
      </c>
      <c r="L1744" s="3" t="n">
        <f aca="false">IF(OR(F1744="Y",G1744="Y",H1744="Y"),1,0)</f>
        <v>0</v>
      </c>
      <c r="M1744" s="3" t="n">
        <f aca="false">IF(H1744="Y",1,0)</f>
        <v>0</v>
      </c>
      <c r="N1744" s="3" t="n">
        <f aca="false">IF(I1744="Y",1,0)</f>
        <v>0</v>
      </c>
    </row>
    <row r="1745" customFormat="false" ht="15" hidden="false" customHeight="true" outlineLevel="0" collapsed="false">
      <c r="A1745" s="7" t="s">
        <v>70</v>
      </c>
      <c r="B1745" s="7" t="n">
        <v>1909</v>
      </c>
      <c r="C1745" s="7" t="s">
        <v>578</v>
      </c>
      <c r="D1745" s="7" t="n">
        <v>74</v>
      </c>
      <c r="E1745" s="7" t="n">
        <v>77</v>
      </c>
      <c r="F1745" s="7"/>
      <c r="G1745" s="7"/>
      <c r="H1745" s="7" t="s">
        <v>546</v>
      </c>
      <c r="I1745" s="7" t="s">
        <v>546</v>
      </c>
      <c r="J1745" s="21" t="n">
        <f aca="false">D1745/(D1745+E1745)</f>
        <v>0.490066225165563</v>
      </c>
      <c r="K1745" s="3" t="n">
        <f aca="false">IF(D1745&gt;E1745,1,0)</f>
        <v>0</v>
      </c>
      <c r="L1745" s="3" t="n">
        <f aca="false">IF(OR(F1745="Y",G1745="Y",H1745="Y"),1,0)</f>
        <v>0</v>
      </c>
      <c r="M1745" s="3" t="n">
        <f aca="false">IF(H1745="Y",1,0)</f>
        <v>0</v>
      </c>
      <c r="N1745" s="3" t="n">
        <f aca="false">IF(I1745="Y",1,0)</f>
        <v>0</v>
      </c>
    </row>
    <row r="1746" customFormat="false" ht="15" hidden="false" customHeight="true" outlineLevel="0" collapsed="false">
      <c r="A1746" s="7" t="s">
        <v>70</v>
      </c>
      <c r="B1746" s="7" t="n">
        <v>1910</v>
      </c>
      <c r="C1746" s="7" t="s">
        <v>578</v>
      </c>
      <c r="D1746" s="7" t="n">
        <v>88</v>
      </c>
      <c r="E1746" s="7" t="n">
        <v>63</v>
      </c>
      <c r="F1746" s="7"/>
      <c r="G1746" s="7"/>
      <c r="H1746" s="7" t="s">
        <v>546</v>
      </c>
      <c r="I1746" s="7" t="s">
        <v>546</v>
      </c>
      <c r="J1746" s="21" t="n">
        <f aca="false">D1746/(D1746+E1746)</f>
        <v>0.582781456953642</v>
      </c>
      <c r="K1746" s="3" t="n">
        <f aca="false">IF(D1746&gt;E1746,1,0)</f>
        <v>1</v>
      </c>
      <c r="L1746" s="3" t="n">
        <f aca="false">IF(OR(F1746="Y",G1746="Y",H1746="Y"),1,0)</f>
        <v>0</v>
      </c>
      <c r="M1746" s="3" t="n">
        <f aca="false">IF(H1746="Y",1,0)</f>
        <v>0</v>
      </c>
      <c r="N1746" s="3" t="n">
        <f aca="false">IF(I1746="Y",1,0)</f>
        <v>0</v>
      </c>
    </row>
    <row r="1747" customFormat="false" ht="15" hidden="false" customHeight="true" outlineLevel="0" collapsed="false">
      <c r="A1747" s="7" t="s">
        <v>70</v>
      </c>
      <c r="B1747" s="7" t="n">
        <v>1911</v>
      </c>
      <c r="C1747" s="7" t="s">
        <v>578</v>
      </c>
      <c r="D1747" s="7" t="n">
        <v>76</v>
      </c>
      <c r="E1747" s="7" t="n">
        <v>76</v>
      </c>
      <c r="F1747" s="7"/>
      <c r="G1747" s="7"/>
      <c r="H1747" s="7" t="s">
        <v>546</v>
      </c>
      <c r="I1747" s="7" t="s">
        <v>546</v>
      </c>
      <c r="J1747" s="21" t="n">
        <f aca="false">D1747/(D1747+E1747)</f>
        <v>0.5</v>
      </c>
      <c r="K1747" s="3" t="n">
        <f aca="false">IF(D1747&gt;E1747,1,0)</f>
        <v>0</v>
      </c>
      <c r="L1747" s="3" t="n">
        <f aca="false">IF(OR(F1747="Y",G1747="Y",H1747="Y"),1,0)</f>
        <v>0</v>
      </c>
      <c r="M1747" s="3" t="n">
        <f aca="false">IF(H1747="Y",1,0)</f>
        <v>0</v>
      </c>
      <c r="N1747" s="3" t="n">
        <f aca="false">IF(I1747="Y",1,0)</f>
        <v>0</v>
      </c>
    </row>
    <row r="1748" customFormat="false" ht="15" hidden="false" customHeight="true" outlineLevel="0" collapsed="false">
      <c r="A1748" s="7" t="s">
        <v>70</v>
      </c>
      <c r="B1748" s="7" t="n">
        <v>1912</v>
      </c>
      <c r="C1748" s="7" t="s">
        <v>578</v>
      </c>
      <c r="D1748" s="7" t="n">
        <v>50</v>
      </c>
      <c r="E1748" s="7" t="n">
        <v>102</v>
      </c>
      <c r="F1748" s="7"/>
      <c r="G1748" s="7"/>
      <c r="H1748" s="7" t="s">
        <v>546</v>
      </c>
      <c r="I1748" s="7" t="s">
        <v>546</v>
      </c>
      <c r="J1748" s="21" t="n">
        <f aca="false">D1748/(D1748+E1748)</f>
        <v>0.328947368421053</v>
      </c>
      <c r="K1748" s="3" t="n">
        <f aca="false">IF(D1748&gt;E1748,1,0)</f>
        <v>0</v>
      </c>
      <c r="L1748" s="3" t="n">
        <f aca="false">IF(OR(F1748="Y",G1748="Y",H1748="Y"),1,0)</f>
        <v>0</v>
      </c>
      <c r="M1748" s="3" t="n">
        <f aca="false">IF(H1748="Y",1,0)</f>
        <v>0</v>
      </c>
      <c r="N1748" s="3" t="n">
        <f aca="false">IF(I1748="Y",1,0)</f>
        <v>0</v>
      </c>
    </row>
    <row r="1749" customFormat="false" ht="15" hidden="false" customHeight="true" outlineLevel="0" collapsed="false">
      <c r="A1749" s="7" t="s">
        <v>70</v>
      </c>
      <c r="B1749" s="7" t="n">
        <v>1913</v>
      </c>
      <c r="C1749" s="7" t="s">
        <v>371</v>
      </c>
      <c r="D1749" s="7" t="n">
        <v>57</v>
      </c>
      <c r="E1749" s="7" t="n">
        <v>94</v>
      </c>
      <c r="F1749" s="7"/>
      <c r="G1749" s="7"/>
      <c r="H1749" s="7" t="s">
        <v>546</v>
      </c>
      <c r="I1749" s="7" t="s">
        <v>546</v>
      </c>
      <c r="J1749" s="21" t="n">
        <f aca="false">D1749/(D1749+E1749)</f>
        <v>0.377483443708609</v>
      </c>
      <c r="K1749" s="3" t="n">
        <f aca="false">IF(D1749&gt;E1749,1,0)</f>
        <v>0</v>
      </c>
      <c r="L1749" s="3" t="n">
        <f aca="false">IF(OR(F1749="Y",G1749="Y",H1749="Y"),1,0)</f>
        <v>0</v>
      </c>
      <c r="M1749" s="3" t="n">
        <f aca="false">IF(H1749="Y",1,0)</f>
        <v>0</v>
      </c>
      <c r="N1749" s="3" t="n">
        <f aca="false">IF(I1749="Y",1,0)</f>
        <v>0</v>
      </c>
    </row>
    <row r="1750" customFormat="false" ht="15" hidden="false" customHeight="true" outlineLevel="0" collapsed="false">
      <c r="A1750" s="7" t="s">
        <v>70</v>
      </c>
      <c r="B1750" s="7" t="n">
        <v>1914</v>
      </c>
      <c r="C1750" s="7" t="s">
        <v>371</v>
      </c>
      <c r="D1750" s="7" t="n">
        <v>70</v>
      </c>
      <c r="E1750" s="7" t="n">
        <v>84</v>
      </c>
      <c r="F1750" s="7"/>
      <c r="G1750" s="7"/>
      <c r="H1750" s="7" t="s">
        <v>546</v>
      </c>
      <c r="I1750" s="7" t="s">
        <v>546</v>
      </c>
      <c r="J1750" s="21" t="n">
        <f aca="false">D1750/(D1750+E1750)</f>
        <v>0.454545454545455</v>
      </c>
      <c r="K1750" s="3" t="n">
        <f aca="false">IF(D1750&gt;E1750,1,0)</f>
        <v>0</v>
      </c>
      <c r="L1750" s="3" t="n">
        <f aca="false">IF(OR(F1750="Y",G1750="Y",H1750="Y"),1,0)</f>
        <v>0</v>
      </c>
      <c r="M1750" s="3" t="n">
        <f aca="false">IF(H1750="Y",1,0)</f>
        <v>0</v>
      </c>
      <c r="N1750" s="3" t="n">
        <f aca="false">IF(I1750="Y",1,0)</f>
        <v>0</v>
      </c>
    </row>
    <row r="1751" customFormat="false" ht="15" hidden="false" customHeight="true" outlineLevel="0" collapsed="false">
      <c r="A1751" s="7" t="s">
        <v>70</v>
      </c>
      <c r="B1751" s="7" t="n">
        <v>1915</v>
      </c>
      <c r="C1751" s="7" t="s">
        <v>371</v>
      </c>
      <c r="D1751" s="7" t="n">
        <v>69</v>
      </c>
      <c r="E1751" s="7" t="n">
        <v>83</v>
      </c>
      <c r="F1751" s="7"/>
      <c r="G1751" s="7"/>
      <c r="H1751" s="7" t="s">
        <v>546</v>
      </c>
      <c r="I1751" s="7" t="s">
        <v>546</v>
      </c>
      <c r="J1751" s="21" t="n">
        <f aca="false">D1751/(D1751+E1751)</f>
        <v>0.453947368421053</v>
      </c>
      <c r="K1751" s="3" t="n">
        <f aca="false">IF(D1751&gt;E1751,1,0)</f>
        <v>0</v>
      </c>
      <c r="L1751" s="3" t="n">
        <f aca="false">IF(OR(F1751="Y",G1751="Y",H1751="Y"),1,0)</f>
        <v>0</v>
      </c>
      <c r="M1751" s="3" t="n">
        <f aca="false">IF(H1751="Y",1,0)</f>
        <v>0</v>
      </c>
      <c r="N1751" s="3" t="n">
        <f aca="false">IF(I1751="Y",1,0)</f>
        <v>0</v>
      </c>
    </row>
    <row r="1752" customFormat="false" ht="15" hidden="false" customHeight="true" outlineLevel="0" collapsed="false">
      <c r="A1752" s="7" t="s">
        <v>70</v>
      </c>
      <c r="B1752" s="7" t="n">
        <v>1916</v>
      </c>
      <c r="C1752" s="7" t="s">
        <v>371</v>
      </c>
      <c r="D1752" s="7" t="n">
        <v>80</v>
      </c>
      <c r="E1752" s="7" t="n">
        <v>74</v>
      </c>
      <c r="F1752" s="7"/>
      <c r="G1752" s="7"/>
      <c r="H1752" s="7" t="s">
        <v>546</v>
      </c>
      <c r="I1752" s="7" t="s">
        <v>546</v>
      </c>
      <c r="J1752" s="21" t="n">
        <f aca="false">D1752/(D1752+E1752)</f>
        <v>0.519480519480519</v>
      </c>
      <c r="K1752" s="3" t="n">
        <f aca="false">IF(D1752&gt;E1752,1,0)</f>
        <v>1</v>
      </c>
      <c r="L1752" s="3" t="n">
        <f aca="false">IF(OR(F1752="Y",G1752="Y",H1752="Y"),1,0)</f>
        <v>0</v>
      </c>
      <c r="M1752" s="3" t="n">
        <f aca="false">IF(H1752="Y",1,0)</f>
        <v>0</v>
      </c>
      <c r="N1752" s="3" t="n">
        <f aca="false">IF(I1752="Y",1,0)</f>
        <v>0</v>
      </c>
    </row>
    <row r="1753" customFormat="false" ht="15" hidden="false" customHeight="true" outlineLevel="0" collapsed="false">
      <c r="A1753" s="7" t="s">
        <v>70</v>
      </c>
      <c r="B1753" s="7" t="n">
        <v>1917</v>
      </c>
      <c r="C1753" s="7" t="s">
        <v>371</v>
      </c>
      <c r="D1753" s="7" t="n">
        <v>71</v>
      </c>
      <c r="E1753" s="7" t="n">
        <v>82</v>
      </c>
      <c r="F1753" s="7"/>
      <c r="G1753" s="7"/>
      <c r="H1753" s="7" t="s">
        <v>546</v>
      </c>
      <c r="I1753" s="7" t="s">
        <v>546</v>
      </c>
      <c r="J1753" s="21" t="n">
        <f aca="false">D1753/(D1753+E1753)</f>
        <v>0.464052287581699</v>
      </c>
      <c r="K1753" s="3" t="n">
        <f aca="false">IF(D1753&gt;E1753,1,0)</f>
        <v>0</v>
      </c>
      <c r="L1753" s="3" t="n">
        <f aca="false">IF(OR(F1753="Y",G1753="Y",H1753="Y"),1,0)</f>
        <v>0</v>
      </c>
      <c r="M1753" s="3" t="n">
        <f aca="false">IF(H1753="Y",1,0)</f>
        <v>0</v>
      </c>
      <c r="N1753" s="3" t="n">
        <f aca="false">IF(I1753="Y",1,0)</f>
        <v>0</v>
      </c>
    </row>
    <row r="1754" customFormat="false" ht="15" hidden="false" customHeight="true" outlineLevel="0" collapsed="false">
      <c r="A1754" s="7" t="s">
        <v>70</v>
      </c>
      <c r="B1754" s="7" t="n">
        <v>1918</v>
      </c>
      <c r="C1754" s="7" t="s">
        <v>371</v>
      </c>
      <c r="D1754" s="7" t="n">
        <v>60</v>
      </c>
      <c r="E1754" s="7" t="n">
        <v>63</v>
      </c>
      <c r="F1754" s="7"/>
      <c r="G1754" s="7"/>
      <c r="H1754" s="7" t="s">
        <v>546</v>
      </c>
      <c r="I1754" s="7" t="s">
        <v>546</v>
      </c>
      <c r="J1754" s="21" t="n">
        <f aca="false">D1754/(D1754+E1754)</f>
        <v>0.487804878048781</v>
      </c>
      <c r="K1754" s="3" t="n">
        <f aca="false">IF(D1754&gt;E1754,1,0)</f>
        <v>0</v>
      </c>
      <c r="L1754" s="3" t="n">
        <f aca="false">IF(OR(F1754="Y",G1754="Y",H1754="Y"),1,0)</f>
        <v>0</v>
      </c>
      <c r="M1754" s="3" t="n">
        <f aca="false">IF(H1754="Y",1,0)</f>
        <v>0</v>
      </c>
      <c r="N1754" s="3" t="n">
        <f aca="false">IF(I1754="Y",1,0)</f>
        <v>0</v>
      </c>
    </row>
    <row r="1755" customFormat="false" ht="15" hidden="false" customHeight="true" outlineLevel="0" collapsed="false">
      <c r="A1755" s="7" t="s">
        <v>70</v>
      </c>
      <c r="B1755" s="7" t="n">
        <v>1919</v>
      </c>
      <c r="C1755" s="7" t="s">
        <v>371</v>
      </c>
      <c r="D1755" s="7" t="n">
        <v>80</v>
      </c>
      <c r="E1755" s="7" t="n">
        <v>59</v>
      </c>
      <c r="F1755" s="7"/>
      <c r="G1755" s="7"/>
      <c r="H1755" s="7" t="s">
        <v>546</v>
      </c>
      <c r="I1755" s="7" t="s">
        <v>546</v>
      </c>
      <c r="J1755" s="21" t="n">
        <f aca="false">D1755/(D1755+E1755)</f>
        <v>0.575539568345324</v>
      </c>
      <c r="K1755" s="3" t="n">
        <f aca="false">IF(D1755&gt;E1755,1,0)</f>
        <v>1</v>
      </c>
      <c r="L1755" s="3" t="n">
        <f aca="false">IF(OR(F1755="Y",G1755="Y",H1755="Y"),1,0)</f>
        <v>0</v>
      </c>
      <c r="M1755" s="3" t="n">
        <f aca="false">IF(H1755="Y",1,0)</f>
        <v>0</v>
      </c>
      <c r="N1755" s="3" t="n">
        <f aca="false">IF(I1755="Y",1,0)</f>
        <v>0</v>
      </c>
    </row>
    <row r="1756" customFormat="false" ht="15" hidden="false" customHeight="true" outlineLevel="0" collapsed="false">
      <c r="A1756" s="7" t="s">
        <v>70</v>
      </c>
      <c r="B1756" s="7" t="n">
        <v>1920</v>
      </c>
      <c r="C1756" s="7" t="s">
        <v>371</v>
      </c>
      <c r="D1756" s="7" t="n">
        <v>95</v>
      </c>
      <c r="E1756" s="7" t="n">
        <v>59</v>
      </c>
      <c r="F1756" s="7"/>
      <c r="G1756" s="7"/>
      <c r="H1756" s="7" t="s">
        <v>546</v>
      </c>
      <c r="I1756" s="7" t="s">
        <v>546</v>
      </c>
      <c r="J1756" s="21" t="n">
        <f aca="false">D1756/(D1756+E1756)</f>
        <v>0.616883116883117</v>
      </c>
      <c r="K1756" s="3" t="n">
        <f aca="false">IF(D1756&gt;E1756,1,0)</f>
        <v>1</v>
      </c>
      <c r="L1756" s="3" t="n">
        <f aca="false">IF(OR(F1756="Y",G1756="Y",H1756="Y"),1,0)</f>
        <v>0</v>
      </c>
      <c r="M1756" s="3" t="n">
        <f aca="false">IF(H1756="Y",1,0)</f>
        <v>0</v>
      </c>
      <c r="N1756" s="3" t="n">
        <f aca="false">IF(I1756="Y",1,0)</f>
        <v>0</v>
      </c>
    </row>
    <row r="1757" customFormat="false" ht="15" hidden="false" customHeight="true" outlineLevel="0" collapsed="false">
      <c r="A1757" s="7" t="s">
        <v>70</v>
      </c>
      <c r="B1757" s="7" t="n">
        <v>1921</v>
      </c>
      <c r="C1757" s="7" t="s">
        <v>371</v>
      </c>
      <c r="D1757" s="7" t="n">
        <v>98</v>
      </c>
      <c r="E1757" s="7" t="n">
        <v>55</v>
      </c>
      <c r="F1757" s="7"/>
      <c r="G1757" s="7"/>
      <c r="H1757" s="7" t="s">
        <v>548</v>
      </c>
      <c r="I1757" s="7" t="s">
        <v>546</v>
      </c>
      <c r="J1757" s="21" t="n">
        <f aca="false">D1757/(D1757+E1757)</f>
        <v>0.640522875816993</v>
      </c>
      <c r="K1757" s="3" t="n">
        <f aca="false">IF(D1757&gt;E1757,1,0)</f>
        <v>1</v>
      </c>
      <c r="L1757" s="3" t="n">
        <f aca="false">IF(OR(F1757="Y",G1757="Y",H1757="Y"),1,0)</f>
        <v>1</v>
      </c>
      <c r="M1757" s="3" t="n">
        <f aca="false">IF(H1757="Y",1,0)</f>
        <v>1</v>
      </c>
      <c r="N1757" s="3" t="n">
        <f aca="false">IF(I1757="Y",1,0)</f>
        <v>0</v>
      </c>
    </row>
    <row r="1758" customFormat="false" ht="15" hidden="false" customHeight="true" outlineLevel="0" collapsed="false">
      <c r="A1758" s="7" t="s">
        <v>70</v>
      </c>
      <c r="B1758" s="7" t="n">
        <v>1922</v>
      </c>
      <c r="C1758" s="7" t="s">
        <v>371</v>
      </c>
      <c r="D1758" s="7" t="n">
        <v>94</v>
      </c>
      <c r="E1758" s="7" t="n">
        <v>60</v>
      </c>
      <c r="F1758" s="7"/>
      <c r="G1758" s="7"/>
      <c r="H1758" s="7" t="s">
        <v>548</v>
      </c>
      <c r="I1758" s="7" t="s">
        <v>546</v>
      </c>
      <c r="J1758" s="21" t="n">
        <f aca="false">D1758/(D1758+E1758)</f>
        <v>0.61038961038961</v>
      </c>
      <c r="K1758" s="3" t="n">
        <f aca="false">IF(D1758&gt;E1758,1,0)</f>
        <v>1</v>
      </c>
      <c r="L1758" s="3" t="n">
        <f aca="false">IF(OR(F1758="Y",G1758="Y",H1758="Y"),1,0)</f>
        <v>1</v>
      </c>
      <c r="M1758" s="3" t="n">
        <f aca="false">IF(H1758="Y",1,0)</f>
        <v>1</v>
      </c>
      <c r="N1758" s="3" t="n">
        <f aca="false">IF(I1758="Y",1,0)</f>
        <v>0</v>
      </c>
    </row>
    <row r="1759" customFormat="false" ht="15" hidden="false" customHeight="true" outlineLevel="0" collapsed="false">
      <c r="A1759" s="7" t="s">
        <v>70</v>
      </c>
      <c r="B1759" s="7" t="n">
        <v>1923</v>
      </c>
      <c r="C1759" s="7" t="s">
        <v>371</v>
      </c>
      <c r="D1759" s="7" t="n">
        <v>98</v>
      </c>
      <c r="E1759" s="7" t="n">
        <v>54</v>
      </c>
      <c r="F1759" s="7"/>
      <c r="G1759" s="7"/>
      <c r="H1759" s="7" t="s">
        <v>548</v>
      </c>
      <c r="I1759" s="7" t="s">
        <v>548</v>
      </c>
      <c r="J1759" s="21" t="n">
        <f aca="false">D1759/(D1759+E1759)</f>
        <v>0.644736842105263</v>
      </c>
      <c r="K1759" s="3" t="n">
        <f aca="false">IF(D1759&gt;E1759,1,0)</f>
        <v>1</v>
      </c>
      <c r="L1759" s="3" t="n">
        <f aca="false">IF(OR(F1759="Y",G1759="Y",H1759="Y"),1,0)</f>
        <v>1</v>
      </c>
      <c r="M1759" s="3" t="n">
        <f aca="false">IF(H1759="Y",1,0)</f>
        <v>1</v>
      </c>
      <c r="N1759" s="3" t="n">
        <f aca="false">IF(I1759="Y",1,0)</f>
        <v>1</v>
      </c>
    </row>
    <row r="1760" customFormat="false" ht="15" hidden="false" customHeight="true" outlineLevel="0" collapsed="false">
      <c r="A1760" s="7" t="s">
        <v>70</v>
      </c>
      <c r="B1760" s="7" t="n">
        <v>1924</v>
      </c>
      <c r="C1760" s="7" t="s">
        <v>371</v>
      </c>
      <c r="D1760" s="7" t="n">
        <v>89</v>
      </c>
      <c r="E1760" s="7" t="n">
        <v>63</v>
      </c>
      <c r="F1760" s="7"/>
      <c r="G1760" s="7"/>
      <c r="H1760" s="7" t="s">
        <v>546</v>
      </c>
      <c r="I1760" s="7" t="s">
        <v>546</v>
      </c>
      <c r="J1760" s="21" t="n">
        <f aca="false">D1760/(D1760+E1760)</f>
        <v>0.585526315789474</v>
      </c>
      <c r="K1760" s="3" t="n">
        <f aca="false">IF(D1760&gt;E1760,1,0)</f>
        <v>1</v>
      </c>
      <c r="L1760" s="3" t="n">
        <f aca="false">IF(OR(F1760="Y",G1760="Y",H1760="Y"),1,0)</f>
        <v>0</v>
      </c>
      <c r="M1760" s="3" t="n">
        <f aca="false">IF(H1760="Y",1,0)</f>
        <v>0</v>
      </c>
      <c r="N1760" s="3" t="n">
        <f aca="false">IF(I1760="Y",1,0)</f>
        <v>0</v>
      </c>
    </row>
    <row r="1761" customFormat="false" ht="15" hidden="false" customHeight="true" outlineLevel="0" collapsed="false">
      <c r="A1761" s="7" t="s">
        <v>70</v>
      </c>
      <c r="B1761" s="7" t="n">
        <v>1925</v>
      </c>
      <c r="C1761" s="7" t="s">
        <v>371</v>
      </c>
      <c r="D1761" s="7" t="n">
        <v>69</v>
      </c>
      <c r="E1761" s="7" t="n">
        <v>85</v>
      </c>
      <c r="F1761" s="7"/>
      <c r="G1761" s="7"/>
      <c r="H1761" s="7" t="s">
        <v>546</v>
      </c>
      <c r="I1761" s="7" t="s">
        <v>546</v>
      </c>
      <c r="J1761" s="21" t="n">
        <f aca="false">D1761/(D1761+E1761)</f>
        <v>0.448051948051948</v>
      </c>
      <c r="K1761" s="3" t="n">
        <f aca="false">IF(D1761&gt;E1761,1,0)</f>
        <v>0</v>
      </c>
      <c r="L1761" s="3" t="n">
        <f aca="false">IF(OR(F1761="Y",G1761="Y",H1761="Y"),1,0)</f>
        <v>0</v>
      </c>
      <c r="M1761" s="3" t="n">
        <f aca="false">IF(H1761="Y",1,0)</f>
        <v>0</v>
      </c>
      <c r="N1761" s="3" t="n">
        <f aca="false">IF(I1761="Y",1,0)</f>
        <v>0</v>
      </c>
    </row>
    <row r="1762" customFormat="false" ht="15" hidden="false" customHeight="true" outlineLevel="0" collapsed="false">
      <c r="A1762" s="7" t="s">
        <v>70</v>
      </c>
      <c r="B1762" s="7" t="n">
        <v>1926</v>
      </c>
      <c r="C1762" s="7" t="s">
        <v>371</v>
      </c>
      <c r="D1762" s="7" t="n">
        <v>91</v>
      </c>
      <c r="E1762" s="7" t="n">
        <v>63</v>
      </c>
      <c r="F1762" s="7"/>
      <c r="G1762" s="7"/>
      <c r="H1762" s="7" t="s">
        <v>548</v>
      </c>
      <c r="I1762" s="7" t="s">
        <v>546</v>
      </c>
      <c r="J1762" s="21" t="n">
        <f aca="false">D1762/(D1762+E1762)</f>
        <v>0.590909090909091</v>
      </c>
      <c r="K1762" s="3" t="n">
        <f aca="false">IF(D1762&gt;E1762,1,0)</f>
        <v>1</v>
      </c>
      <c r="L1762" s="3" t="n">
        <f aca="false">IF(OR(F1762="Y",G1762="Y",H1762="Y"),1,0)</f>
        <v>1</v>
      </c>
      <c r="M1762" s="3" t="n">
        <f aca="false">IF(H1762="Y",1,0)</f>
        <v>1</v>
      </c>
      <c r="N1762" s="3" t="n">
        <f aca="false">IF(I1762="Y",1,0)</f>
        <v>0</v>
      </c>
    </row>
    <row r="1763" customFormat="false" ht="15" hidden="false" customHeight="true" outlineLevel="0" collapsed="false">
      <c r="A1763" s="7" t="s">
        <v>70</v>
      </c>
      <c r="B1763" s="7" t="n">
        <v>1927</v>
      </c>
      <c r="C1763" s="7" t="s">
        <v>371</v>
      </c>
      <c r="D1763" s="7" t="n">
        <v>110</v>
      </c>
      <c r="E1763" s="7" t="n">
        <v>44</v>
      </c>
      <c r="F1763" s="7"/>
      <c r="G1763" s="7"/>
      <c r="H1763" s="7" t="s">
        <v>548</v>
      </c>
      <c r="I1763" s="7" t="s">
        <v>548</v>
      </c>
      <c r="J1763" s="21" t="n">
        <f aca="false">D1763/(D1763+E1763)</f>
        <v>0.714285714285714</v>
      </c>
      <c r="K1763" s="3" t="n">
        <f aca="false">IF(D1763&gt;E1763,1,0)</f>
        <v>1</v>
      </c>
      <c r="L1763" s="3" t="n">
        <f aca="false">IF(OR(F1763="Y",G1763="Y",H1763="Y"),1,0)</f>
        <v>1</v>
      </c>
      <c r="M1763" s="3" t="n">
        <f aca="false">IF(H1763="Y",1,0)</f>
        <v>1</v>
      </c>
      <c r="N1763" s="3" t="n">
        <f aca="false">IF(I1763="Y",1,0)</f>
        <v>1</v>
      </c>
    </row>
    <row r="1764" customFormat="false" ht="15" hidden="false" customHeight="true" outlineLevel="0" collapsed="false">
      <c r="A1764" s="7" t="s">
        <v>70</v>
      </c>
      <c r="B1764" s="7" t="n">
        <v>1928</v>
      </c>
      <c r="C1764" s="7" t="s">
        <v>371</v>
      </c>
      <c r="D1764" s="7" t="n">
        <v>101</v>
      </c>
      <c r="E1764" s="7" t="n">
        <v>53</v>
      </c>
      <c r="F1764" s="7"/>
      <c r="G1764" s="7"/>
      <c r="H1764" s="7" t="s">
        <v>548</v>
      </c>
      <c r="I1764" s="7" t="s">
        <v>548</v>
      </c>
      <c r="J1764" s="21" t="n">
        <f aca="false">D1764/(D1764+E1764)</f>
        <v>0.655844155844156</v>
      </c>
      <c r="K1764" s="3" t="n">
        <f aca="false">IF(D1764&gt;E1764,1,0)</f>
        <v>1</v>
      </c>
      <c r="L1764" s="3" t="n">
        <f aca="false">IF(OR(F1764="Y",G1764="Y",H1764="Y"),1,0)</f>
        <v>1</v>
      </c>
      <c r="M1764" s="3" t="n">
        <f aca="false">IF(H1764="Y",1,0)</f>
        <v>1</v>
      </c>
      <c r="N1764" s="3" t="n">
        <f aca="false">IF(I1764="Y",1,0)</f>
        <v>1</v>
      </c>
    </row>
    <row r="1765" customFormat="false" ht="15" hidden="false" customHeight="true" outlineLevel="0" collapsed="false">
      <c r="A1765" s="7" t="s">
        <v>70</v>
      </c>
      <c r="B1765" s="7" t="n">
        <v>1929</v>
      </c>
      <c r="C1765" s="7" t="s">
        <v>371</v>
      </c>
      <c r="D1765" s="7" t="n">
        <v>88</v>
      </c>
      <c r="E1765" s="7" t="n">
        <v>66</v>
      </c>
      <c r="F1765" s="7"/>
      <c r="G1765" s="7"/>
      <c r="H1765" s="7" t="s">
        <v>546</v>
      </c>
      <c r="I1765" s="7" t="s">
        <v>546</v>
      </c>
      <c r="J1765" s="21" t="n">
        <f aca="false">D1765/(D1765+E1765)</f>
        <v>0.571428571428571</v>
      </c>
      <c r="K1765" s="3" t="n">
        <f aca="false">IF(D1765&gt;E1765,1,0)</f>
        <v>1</v>
      </c>
      <c r="L1765" s="3" t="n">
        <f aca="false">IF(OR(F1765="Y",G1765="Y",H1765="Y"),1,0)</f>
        <v>0</v>
      </c>
      <c r="M1765" s="3" t="n">
        <f aca="false">IF(H1765="Y",1,0)</f>
        <v>0</v>
      </c>
      <c r="N1765" s="3" t="n">
        <f aca="false">IF(I1765="Y",1,0)</f>
        <v>0</v>
      </c>
    </row>
    <row r="1766" customFormat="false" ht="15" hidden="false" customHeight="true" outlineLevel="0" collapsed="false">
      <c r="A1766" s="7" t="s">
        <v>70</v>
      </c>
      <c r="B1766" s="7" t="n">
        <v>1930</v>
      </c>
      <c r="C1766" s="7" t="s">
        <v>371</v>
      </c>
      <c r="D1766" s="7" t="n">
        <v>86</v>
      </c>
      <c r="E1766" s="7" t="n">
        <v>68</v>
      </c>
      <c r="F1766" s="7"/>
      <c r="G1766" s="7"/>
      <c r="H1766" s="7" t="s">
        <v>546</v>
      </c>
      <c r="I1766" s="7" t="s">
        <v>546</v>
      </c>
      <c r="J1766" s="21" t="n">
        <f aca="false">D1766/(D1766+E1766)</f>
        <v>0.558441558441558</v>
      </c>
      <c r="K1766" s="3" t="n">
        <f aca="false">IF(D1766&gt;E1766,1,0)</f>
        <v>1</v>
      </c>
      <c r="L1766" s="3" t="n">
        <f aca="false">IF(OR(F1766="Y",G1766="Y",H1766="Y"),1,0)</f>
        <v>0</v>
      </c>
      <c r="M1766" s="3" t="n">
        <f aca="false">IF(H1766="Y",1,0)</f>
        <v>0</v>
      </c>
      <c r="N1766" s="3" t="n">
        <f aca="false">IF(I1766="Y",1,0)</f>
        <v>0</v>
      </c>
    </row>
    <row r="1767" customFormat="false" ht="15" hidden="false" customHeight="true" outlineLevel="0" collapsed="false">
      <c r="A1767" s="7" t="s">
        <v>70</v>
      </c>
      <c r="B1767" s="7" t="n">
        <v>1931</v>
      </c>
      <c r="C1767" s="7" t="s">
        <v>371</v>
      </c>
      <c r="D1767" s="7" t="n">
        <v>94</v>
      </c>
      <c r="E1767" s="7" t="n">
        <v>59</v>
      </c>
      <c r="F1767" s="7"/>
      <c r="G1767" s="7"/>
      <c r="H1767" s="7" t="s">
        <v>546</v>
      </c>
      <c r="I1767" s="7" t="s">
        <v>546</v>
      </c>
      <c r="J1767" s="21" t="n">
        <f aca="false">D1767/(D1767+E1767)</f>
        <v>0.61437908496732</v>
      </c>
      <c r="K1767" s="3" t="n">
        <f aca="false">IF(D1767&gt;E1767,1,0)</f>
        <v>1</v>
      </c>
      <c r="L1767" s="3" t="n">
        <f aca="false">IF(OR(F1767="Y",G1767="Y",H1767="Y"),1,0)</f>
        <v>0</v>
      </c>
      <c r="M1767" s="3" t="n">
        <f aca="false">IF(H1767="Y",1,0)</f>
        <v>0</v>
      </c>
      <c r="N1767" s="3" t="n">
        <f aca="false">IF(I1767="Y",1,0)</f>
        <v>0</v>
      </c>
    </row>
    <row r="1768" customFormat="false" ht="15" hidden="false" customHeight="true" outlineLevel="0" collapsed="false">
      <c r="A1768" s="7" t="s">
        <v>70</v>
      </c>
      <c r="B1768" s="7" t="n">
        <v>1932</v>
      </c>
      <c r="C1768" s="7" t="s">
        <v>371</v>
      </c>
      <c r="D1768" s="7" t="n">
        <v>107</v>
      </c>
      <c r="E1768" s="7" t="n">
        <v>47</v>
      </c>
      <c r="F1768" s="7"/>
      <c r="G1768" s="7"/>
      <c r="H1768" s="7" t="s">
        <v>548</v>
      </c>
      <c r="I1768" s="7" t="s">
        <v>548</v>
      </c>
      <c r="J1768" s="21" t="n">
        <f aca="false">D1768/(D1768+E1768)</f>
        <v>0.694805194805195</v>
      </c>
      <c r="K1768" s="3" t="n">
        <f aca="false">IF(D1768&gt;E1768,1,0)</f>
        <v>1</v>
      </c>
      <c r="L1768" s="3" t="n">
        <f aca="false">IF(OR(F1768="Y",G1768="Y",H1768="Y"),1,0)</f>
        <v>1</v>
      </c>
      <c r="M1768" s="3" t="n">
        <f aca="false">IF(H1768="Y",1,0)</f>
        <v>1</v>
      </c>
      <c r="N1768" s="3" t="n">
        <f aca="false">IF(I1768="Y",1,0)</f>
        <v>1</v>
      </c>
    </row>
    <row r="1769" customFormat="false" ht="15" hidden="false" customHeight="true" outlineLevel="0" collapsed="false">
      <c r="A1769" s="7" t="s">
        <v>70</v>
      </c>
      <c r="B1769" s="7" t="n">
        <v>1933</v>
      </c>
      <c r="C1769" s="7" t="s">
        <v>371</v>
      </c>
      <c r="D1769" s="7" t="n">
        <v>91</v>
      </c>
      <c r="E1769" s="7" t="n">
        <v>59</v>
      </c>
      <c r="F1769" s="7"/>
      <c r="G1769" s="7"/>
      <c r="H1769" s="7" t="s">
        <v>546</v>
      </c>
      <c r="I1769" s="7" t="s">
        <v>546</v>
      </c>
      <c r="J1769" s="21" t="n">
        <f aca="false">D1769/(D1769+E1769)</f>
        <v>0.606666666666667</v>
      </c>
      <c r="K1769" s="3" t="n">
        <f aca="false">IF(D1769&gt;E1769,1,0)</f>
        <v>1</v>
      </c>
      <c r="L1769" s="3" t="n">
        <f aca="false">IF(OR(F1769="Y",G1769="Y",H1769="Y"),1,0)</f>
        <v>0</v>
      </c>
      <c r="M1769" s="3" t="n">
        <f aca="false">IF(H1769="Y",1,0)</f>
        <v>0</v>
      </c>
      <c r="N1769" s="3" t="n">
        <f aca="false">IF(I1769="Y",1,0)</f>
        <v>0</v>
      </c>
    </row>
    <row r="1770" customFormat="false" ht="15" hidden="false" customHeight="true" outlineLevel="0" collapsed="false">
      <c r="A1770" s="7" t="s">
        <v>70</v>
      </c>
      <c r="B1770" s="7" t="n">
        <v>1934</v>
      </c>
      <c r="C1770" s="7" t="s">
        <v>371</v>
      </c>
      <c r="D1770" s="7" t="n">
        <v>94</v>
      </c>
      <c r="E1770" s="7" t="n">
        <v>60</v>
      </c>
      <c r="F1770" s="7"/>
      <c r="G1770" s="7"/>
      <c r="H1770" s="7" t="s">
        <v>546</v>
      </c>
      <c r="I1770" s="7" t="s">
        <v>546</v>
      </c>
      <c r="J1770" s="21" t="n">
        <f aca="false">D1770/(D1770+E1770)</f>
        <v>0.61038961038961</v>
      </c>
      <c r="K1770" s="3" t="n">
        <f aca="false">IF(D1770&gt;E1770,1,0)</f>
        <v>1</v>
      </c>
      <c r="L1770" s="3" t="n">
        <f aca="false">IF(OR(F1770="Y",G1770="Y",H1770="Y"),1,0)</f>
        <v>0</v>
      </c>
      <c r="M1770" s="3" t="n">
        <f aca="false">IF(H1770="Y",1,0)</f>
        <v>0</v>
      </c>
      <c r="N1770" s="3" t="n">
        <f aca="false">IF(I1770="Y",1,0)</f>
        <v>0</v>
      </c>
    </row>
    <row r="1771" customFormat="false" ht="15" hidden="false" customHeight="true" outlineLevel="0" collapsed="false">
      <c r="A1771" s="7" t="s">
        <v>70</v>
      </c>
      <c r="B1771" s="7" t="n">
        <v>1935</v>
      </c>
      <c r="C1771" s="7" t="s">
        <v>371</v>
      </c>
      <c r="D1771" s="7" t="n">
        <v>89</v>
      </c>
      <c r="E1771" s="7" t="n">
        <v>60</v>
      </c>
      <c r="F1771" s="7"/>
      <c r="G1771" s="7"/>
      <c r="H1771" s="7" t="s">
        <v>546</v>
      </c>
      <c r="I1771" s="7" t="s">
        <v>546</v>
      </c>
      <c r="J1771" s="21" t="n">
        <f aca="false">D1771/(D1771+E1771)</f>
        <v>0.597315436241611</v>
      </c>
      <c r="K1771" s="3" t="n">
        <f aca="false">IF(D1771&gt;E1771,1,0)</f>
        <v>1</v>
      </c>
      <c r="L1771" s="3" t="n">
        <f aca="false">IF(OR(F1771="Y",G1771="Y",H1771="Y"),1,0)</f>
        <v>0</v>
      </c>
      <c r="M1771" s="3" t="n">
        <f aca="false">IF(H1771="Y",1,0)</f>
        <v>0</v>
      </c>
      <c r="N1771" s="3" t="n">
        <f aca="false">IF(I1771="Y",1,0)</f>
        <v>0</v>
      </c>
    </row>
    <row r="1772" customFormat="false" ht="15" hidden="false" customHeight="true" outlineLevel="0" collapsed="false">
      <c r="A1772" s="7" t="s">
        <v>70</v>
      </c>
      <c r="B1772" s="7" t="n">
        <v>1936</v>
      </c>
      <c r="C1772" s="7" t="s">
        <v>371</v>
      </c>
      <c r="D1772" s="7" t="n">
        <v>102</v>
      </c>
      <c r="E1772" s="7" t="n">
        <v>51</v>
      </c>
      <c r="F1772" s="7"/>
      <c r="G1772" s="7"/>
      <c r="H1772" s="7" t="s">
        <v>548</v>
      </c>
      <c r="I1772" s="7" t="s">
        <v>548</v>
      </c>
      <c r="J1772" s="21" t="n">
        <f aca="false">D1772/(D1772+E1772)</f>
        <v>0.666666666666667</v>
      </c>
      <c r="K1772" s="3" t="n">
        <f aca="false">IF(D1772&gt;E1772,1,0)</f>
        <v>1</v>
      </c>
      <c r="L1772" s="3" t="n">
        <f aca="false">IF(OR(F1772="Y",G1772="Y",H1772="Y"),1,0)</f>
        <v>1</v>
      </c>
      <c r="M1772" s="3" t="n">
        <f aca="false">IF(H1772="Y",1,0)</f>
        <v>1</v>
      </c>
      <c r="N1772" s="3" t="n">
        <f aca="false">IF(I1772="Y",1,0)</f>
        <v>1</v>
      </c>
    </row>
    <row r="1773" customFormat="false" ht="15" hidden="false" customHeight="true" outlineLevel="0" collapsed="false">
      <c r="A1773" s="7" t="s">
        <v>70</v>
      </c>
      <c r="B1773" s="7" t="n">
        <v>1937</v>
      </c>
      <c r="C1773" s="7" t="s">
        <v>371</v>
      </c>
      <c r="D1773" s="7" t="n">
        <v>102</v>
      </c>
      <c r="E1773" s="7" t="n">
        <v>52</v>
      </c>
      <c r="F1773" s="7"/>
      <c r="G1773" s="7"/>
      <c r="H1773" s="7" t="s">
        <v>548</v>
      </c>
      <c r="I1773" s="7" t="s">
        <v>548</v>
      </c>
      <c r="J1773" s="21" t="n">
        <f aca="false">D1773/(D1773+E1773)</f>
        <v>0.662337662337662</v>
      </c>
      <c r="K1773" s="3" t="n">
        <f aca="false">IF(D1773&gt;E1773,1,0)</f>
        <v>1</v>
      </c>
      <c r="L1773" s="3" t="n">
        <f aca="false">IF(OR(F1773="Y",G1773="Y",H1773="Y"),1,0)</f>
        <v>1</v>
      </c>
      <c r="M1773" s="3" t="n">
        <f aca="false">IF(H1773="Y",1,0)</f>
        <v>1</v>
      </c>
      <c r="N1773" s="3" t="n">
        <f aca="false">IF(I1773="Y",1,0)</f>
        <v>1</v>
      </c>
    </row>
    <row r="1774" customFormat="false" ht="15" hidden="false" customHeight="true" outlineLevel="0" collapsed="false">
      <c r="A1774" s="7" t="s">
        <v>70</v>
      </c>
      <c r="B1774" s="7" t="n">
        <v>1938</v>
      </c>
      <c r="C1774" s="7" t="s">
        <v>371</v>
      </c>
      <c r="D1774" s="7" t="n">
        <v>99</v>
      </c>
      <c r="E1774" s="7" t="n">
        <v>53</v>
      </c>
      <c r="F1774" s="7"/>
      <c r="G1774" s="7"/>
      <c r="H1774" s="7" t="s">
        <v>548</v>
      </c>
      <c r="I1774" s="7" t="s">
        <v>548</v>
      </c>
      <c r="J1774" s="21" t="n">
        <f aca="false">D1774/(D1774+E1774)</f>
        <v>0.651315789473684</v>
      </c>
      <c r="K1774" s="3" t="n">
        <f aca="false">IF(D1774&gt;E1774,1,0)</f>
        <v>1</v>
      </c>
      <c r="L1774" s="3" t="n">
        <f aca="false">IF(OR(F1774="Y",G1774="Y",H1774="Y"),1,0)</f>
        <v>1</v>
      </c>
      <c r="M1774" s="3" t="n">
        <f aca="false">IF(H1774="Y",1,0)</f>
        <v>1</v>
      </c>
      <c r="N1774" s="3" t="n">
        <f aca="false">IF(I1774="Y",1,0)</f>
        <v>1</v>
      </c>
    </row>
    <row r="1775" customFormat="false" ht="15" hidden="false" customHeight="true" outlineLevel="0" collapsed="false">
      <c r="A1775" s="7" t="s">
        <v>70</v>
      </c>
      <c r="B1775" s="7" t="n">
        <v>1939</v>
      </c>
      <c r="C1775" s="7" t="s">
        <v>371</v>
      </c>
      <c r="D1775" s="7" t="n">
        <v>106</v>
      </c>
      <c r="E1775" s="7" t="n">
        <v>45</v>
      </c>
      <c r="F1775" s="7"/>
      <c r="G1775" s="7"/>
      <c r="H1775" s="7" t="s">
        <v>548</v>
      </c>
      <c r="I1775" s="7" t="s">
        <v>548</v>
      </c>
      <c r="J1775" s="21" t="n">
        <f aca="false">D1775/(D1775+E1775)</f>
        <v>0.701986754966887</v>
      </c>
      <c r="K1775" s="3" t="n">
        <f aca="false">IF(D1775&gt;E1775,1,0)</f>
        <v>1</v>
      </c>
      <c r="L1775" s="3" t="n">
        <f aca="false">IF(OR(F1775="Y",G1775="Y",H1775="Y"),1,0)</f>
        <v>1</v>
      </c>
      <c r="M1775" s="3" t="n">
        <f aca="false">IF(H1775="Y",1,0)</f>
        <v>1</v>
      </c>
      <c r="N1775" s="3" t="n">
        <f aca="false">IF(I1775="Y",1,0)</f>
        <v>1</v>
      </c>
    </row>
    <row r="1776" customFormat="false" ht="15" hidden="false" customHeight="true" outlineLevel="0" collapsed="false">
      <c r="A1776" s="7" t="s">
        <v>70</v>
      </c>
      <c r="B1776" s="7" t="n">
        <v>1940</v>
      </c>
      <c r="C1776" s="7" t="s">
        <v>371</v>
      </c>
      <c r="D1776" s="7" t="n">
        <v>88</v>
      </c>
      <c r="E1776" s="7" t="n">
        <v>66</v>
      </c>
      <c r="F1776" s="7"/>
      <c r="G1776" s="7"/>
      <c r="H1776" s="7" t="s">
        <v>546</v>
      </c>
      <c r="I1776" s="7" t="s">
        <v>546</v>
      </c>
      <c r="J1776" s="21" t="n">
        <f aca="false">D1776/(D1776+E1776)</f>
        <v>0.571428571428571</v>
      </c>
      <c r="K1776" s="3" t="n">
        <f aca="false">IF(D1776&gt;E1776,1,0)</f>
        <v>1</v>
      </c>
      <c r="L1776" s="3" t="n">
        <f aca="false">IF(OR(F1776="Y",G1776="Y",H1776="Y"),1,0)</f>
        <v>0</v>
      </c>
      <c r="M1776" s="3" t="n">
        <f aca="false">IF(H1776="Y",1,0)</f>
        <v>0</v>
      </c>
      <c r="N1776" s="3" t="n">
        <f aca="false">IF(I1776="Y",1,0)</f>
        <v>0</v>
      </c>
    </row>
    <row r="1777" customFormat="false" ht="15" hidden="false" customHeight="true" outlineLevel="0" collapsed="false">
      <c r="A1777" s="7" t="s">
        <v>70</v>
      </c>
      <c r="B1777" s="7" t="n">
        <v>1941</v>
      </c>
      <c r="C1777" s="7" t="s">
        <v>371</v>
      </c>
      <c r="D1777" s="7" t="n">
        <v>101</v>
      </c>
      <c r="E1777" s="7" t="n">
        <v>53</v>
      </c>
      <c r="F1777" s="7"/>
      <c r="G1777" s="7"/>
      <c r="H1777" s="7" t="s">
        <v>548</v>
      </c>
      <c r="I1777" s="7" t="s">
        <v>548</v>
      </c>
      <c r="J1777" s="21" t="n">
        <f aca="false">D1777/(D1777+E1777)</f>
        <v>0.655844155844156</v>
      </c>
      <c r="K1777" s="3" t="n">
        <f aca="false">IF(D1777&gt;E1777,1,0)</f>
        <v>1</v>
      </c>
      <c r="L1777" s="3" t="n">
        <f aca="false">IF(OR(F1777="Y",G1777="Y",H1777="Y"),1,0)</f>
        <v>1</v>
      </c>
      <c r="M1777" s="3" t="n">
        <f aca="false">IF(H1777="Y",1,0)</f>
        <v>1</v>
      </c>
      <c r="N1777" s="3" t="n">
        <f aca="false">IF(I1777="Y",1,0)</f>
        <v>1</v>
      </c>
    </row>
    <row r="1778" customFormat="false" ht="15" hidden="false" customHeight="true" outlineLevel="0" collapsed="false">
      <c r="A1778" s="7" t="s">
        <v>70</v>
      </c>
      <c r="B1778" s="7" t="n">
        <v>1942</v>
      </c>
      <c r="C1778" s="7" t="s">
        <v>371</v>
      </c>
      <c r="D1778" s="7" t="n">
        <v>103</v>
      </c>
      <c r="E1778" s="7" t="n">
        <v>51</v>
      </c>
      <c r="F1778" s="7"/>
      <c r="G1778" s="7"/>
      <c r="H1778" s="7" t="s">
        <v>548</v>
      </c>
      <c r="I1778" s="7" t="s">
        <v>546</v>
      </c>
      <c r="J1778" s="21" t="n">
        <f aca="false">D1778/(D1778+E1778)</f>
        <v>0.668831168831169</v>
      </c>
      <c r="K1778" s="3" t="n">
        <f aca="false">IF(D1778&gt;E1778,1,0)</f>
        <v>1</v>
      </c>
      <c r="L1778" s="3" t="n">
        <f aca="false">IF(OR(F1778="Y",G1778="Y",H1778="Y"),1,0)</f>
        <v>1</v>
      </c>
      <c r="M1778" s="3" t="n">
        <f aca="false">IF(H1778="Y",1,0)</f>
        <v>1</v>
      </c>
      <c r="N1778" s="3" t="n">
        <f aca="false">IF(I1778="Y",1,0)</f>
        <v>0</v>
      </c>
    </row>
    <row r="1779" customFormat="false" ht="15" hidden="false" customHeight="true" outlineLevel="0" collapsed="false">
      <c r="A1779" s="7" t="s">
        <v>70</v>
      </c>
      <c r="B1779" s="7" t="n">
        <v>1943</v>
      </c>
      <c r="C1779" s="7" t="s">
        <v>371</v>
      </c>
      <c r="D1779" s="7" t="n">
        <v>98</v>
      </c>
      <c r="E1779" s="7" t="n">
        <v>56</v>
      </c>
      <c r="F1779" s="7"/>
      <c r="G1779" s="7"/>
      <c r="H1779" s="7" t="s">
        <v>548</v>
      </c>
      <c r="I1779" s="7" t="s">
        <v>548</v>
      </c>
      <c r="J1779" s="21" t="n">
        <f aca="false">D1779/(D1779+E1779)</f>
        <v>0.636363636363636</v>
      </c>
      <c r="K1779" s="3" t="n">
        <f aca="false">IF(D1779&gt;E1779,1,0)</f>
        <v>1</v>
      </c>
      <c r="L1779" s="3" t="n">
        <f aca="false">IF(OR(F1779="Y",G1779="Y",H1779="Y"),1,0)</f>
        <v>1</v>
      </c>
      <c r="M1779" s="3" t="n">
        <f aca="false">IF(H1779="Y",1,0)</f>
        <v>1</v>
      </c>
      <c r="N1779" s="3" t="n">
        <f aca="false">IF(I1779="Y",1,0)</f>
        <v>1</v>
      </c>
    </row>
    <row r="1780" customFormat="false" ht="15" hidden="false" customHeight="true" outlineLevel="0" collapsed="false">
      <c r="A1780" s="7" t="s">
        <v>70</v>
      </c>
      <c r="B1780" s="7" t="n">
        <v>1944</v>
      </c>
      <c r="C1780" s="7" t="s">
        <v>371</v>
      </c>
      <c r="D1780" s="7" t="n">
        <v>83</v>
      </c>
      <c r="E1780" s="7" t="n">
        <v>71</v>
      </c>
      <c r="F1780" s="7"/>
      <c r="G1780" s="7"/>
      <c r="H1780" s="7" t="s">
        <v>546</v>
      </c>
      <c r="I1780" s="7" t="s">
        <v>546</v>
      </c>
      <c r="J1780" s="21" t="n">
        <f aca="false">D1780/(D1780+E1780)</f>
        <v>0.538961038961039</v>
      </c>
      <c r="K1780" s="3" t="n">
        <f aca="false">IF(D1780&gt;E1780,1,0)</f>
        <v>1</v>
      </c>
      <c r="L1780" s="3" t="n">
        <f aca="false">IF(OR(F1780="Y",G1780="Y",H1780="Y"),1,0)</f>
        <v>0</v>
      </c>
      <c r="M1780" s="3" t="n">
        <f aca="false">IF(H1780="Y",1,0)</f>
        <v>0</v>
      </c>
      <c r="N1780" s="3" t="n">
        <f aca="false">IF(I1780="Y",1,0)</f>
        <v>0</v>
      </c>
    </row>
    <row r="1781" customFormat="false" ht="15" hidden="false" customHeight="true" outlineLevel="0" collapsed="false">
      <c r="A1781" s="7" t="s">
        <v>70</v>
      </c>
      <c r="B1781" s="7" t="n">
        <v>1945</v>
      </c>
      <c r="C1781" s="7" t="s">
        <v>371</v>
      </c>
      <c r="D1781" s="7" t="n">
        <v>81</v>
      </c>
      <c r="E1781" s="7" t="n">
        <v>71</v>
      </c>
      <c r="F1781" s="7"/>
      <c r="G1781" s="7"/>
      <c r="H1781" s="7" t="s">
        <v>546</v>
      </c>
      <c r="I1781" s="7" t="s">
        <v>546</v>
      </c>
      <c r="J1781" s="21" t="n">
        <f aca="false">D1781/(D1781+E1781)</f>
        <v>0.532894736842105</v>
      </c>
      <c r="K1781" s="3" t="n">
        <f aca="false">IF(D1781&gt;E1781,1,0)</f>
        <v>1</v>
      </c>
      <c r="L1781" s="3" t="n">
        <f aca="false">IF(OR(F1781="Y",G1781="Y",H1781="Y"),1,0)</f>
        <v>0</v>
      </c>
      <c r="M1781" s="3" t="n">
        <f aca="false">IF(H1781="Y",1,0)</f>
        <v>0</v>
      </c>
      <c r="N1781" s="3" t="n">
        <f aca="false">IF(I1781="Y",1,0)</f>
        <v>0</v>
      </c>
    </row>
    <row r="1782" customFormat="false" ht="15" hidden="false" customHeight="true" outlineLevel="0" collapsed="false">
      <c r="A1782" s="7" t="s">
        <v>70</v>
      </c>
      <c r="B1782" s="7" t="n">
        <v>1946</v>
      </c>
      <c r="C1782" s="7" t="s">
        <v>371</v>
      </c>
      <c r="D1782" s="7" t="n">
        <v>87</v>
      </c>
      <c r="E1782" s="7" t="n">
        <v>67</v>
      </c>
      <c r="F1782" s="7"/>
      <c r="G1782" s="7"/>
      <c r="H1782" s="7" t="s">
        <v>546</v>
      </c>
      <c r="I1782" s="7" t="s">
        <v>546</v>
      </c>
      <c r="J1782" s="21" t="n">
        <f aca="false">D1782/(D1782+E1782)</f>
        <v>0.564935064935065</v>
      </c>
      <c r="K1782" s="3" t="n">
        <f aca="false">IF(D1782&gt;E1782,1,0)</f>
        <v>1</v>
      </c>
      <c r="L1782" s="3" t="n">
        <f aca="false">IF(OR(F1782="Y",G1782="Y",H1782="Y"),1,0)</f>
        <v>0</v>
      </c>
      <c r="M1782" s="3" t="n">
        <f aca="false">IF(H1782="Y",1,0)</f>
        <v>0</v>
      </c>
      <c r="N1782" s="3" t="n">
        <f aca="false">IF(I1782="Y",1,0)</f>
        <v>0</v>
      </c>
    </row>
    <row r="1783" customFormat="false" ht="15" hidden="false" customHeight="true" outlineLevel="0" collapsed="false">
      <c r="A1783" s="7" t="s">
        <v>70</v>
      </c>
      <c r="B1783" s="7" t="n">
        <v>1947</v>
      </c>
      <c r="C1783" s="7" t="s">
        <v>371</v>
      </c>
      <c r="D1783" s="7" t="n">
        <v>97</v>
      </c>
      <c r="E1783" s="7" t="n">
        <v>57</v>
      </c>
      <c r="F1783" s="7"/>
      <c r="G1783" s="7"/>
      <c r="H1783" s="7" t="s">
        <v>548</v>
      </c>
      <c r="I1783" s="7" t="s">
        <v>548</v>
      </c>
      <c r="J1783" s="21" t="n">
        <f aca="false">D1783/(D1783+E1783)</f>
        <v>0.62987012987013</v>
      </c>
      <c r="K1783" s="3" t="n">
        <f aca="false">IF(D1783&gt;E1783,1,0)</f>
        <v>1</v>
      </c>
      <c r="L1783" s="3" t="n">
        <f aca="false">IF(OR(F1783="Y",G1783="Y",H1783="Y"),1,0)</f>
        <v>1</v>
      </c>
      <c r="M1783" s="3" t="n">
        <f aca="false">IF(H1783="Y",1,0)</f>
        <v>1</v>
      </c>
      <c r="N1783" s="3" t="n">
        <f aca="false">IF(I1783="Y",1,0)</f>
        <v>1</v>
      </c>
    </row>
    <row r="1784" customFormat="false" ht="15" hidden="false" customHeight="true" outlineLevel="0" collapsed="false">
      <c r="A1784" s="7" t="s">
        <v>70</v>
      </c>
      <c r="B1784" s="7" t="n">
        <v>1948</v>
      </c>
      <c r="C1784" s="7" t="s">
        <v>371</v>
      </c>
      <c r="D1784" s="7" t="n">
        <v>94</v>
      </c>
      <c r="E1784" s="7" t="n">
        <v>60</v>
      </c>
      <c r="F1784" s="7"/>
      <c r="G1784" s="7"/>
      <c r="H1784" s="7" t="s">
        <v>546</v>
      </c>
      <c r="I1784" s="7" t="s">
        <v>546</v>
      </c>
      <c r="J1784" s="21" t="n">
        <f aca="false">D1784/(D1784+E1784)</f>
        <v>0.61038961038961</v>
      </c>
      <c r="K1784" s="3" t="n">
        <f aca="false">IF(D1784&gt;E1784,1,0)</f>
        <v>1</v>
      </c>
      <c r="L1784" s="3" t="n">
        <f aca="false">IF(OR(F1784="Y",G1784="Y",H1784="Y"),1,0)</f>
        <v>0</v>
      </c>
      <c r="M1784" s="3" t="n">
        <f aca="false">IF(H1784="Y",1,0)</f>
        <v>0</v>
      </c>
      <c r="N1784" s="3" t="n">
        <f aca="false">IF(I1784="Y",1,0)</f>
        <v>0</v>
      </c>
    </row>
    <row r="1785" customFormat="false" ht="15" hidden="false" customHeight="true" outlineLevel="0" collapsed="false">
      <c r="A1785" s="7" t="s">
        <v>70</v>
      </c>
      <c r="B1785" s="7" t="n">
        <v>1949</v>
      </c>
      <c r="C1785" s="7" t="s">
        <v>371</v>
      </c>
      <c r="D1785" s="7" t="n">
        <v>97</v>
      </c>
      <c r="E1785" s="7" t="n">
        <v>57</v>
      </c>
      <c r="F1785" s="7"/>
      <c r="G1785" s="7"/>
      <c r="H1785" s="7" t="s">
        <v>548</v>
      </c>
      <c r="I1785" s="7" t="s">
        <v>548</v>
      </c>
      <c r="J1785" s="21" t="n">
        <f aca="false">D1785/(D1785+E1785)</f>
        <v>0.62987012987013</v>
      </c>
      <c r="K1785" s="3" t="n">
        <f aca="false">IF(D1785&gt;E1785,1,0)</f>
        <v>1</v>
      </c>
      <c r="L1785" s="3" t="n">
        <f aca="false">IF(OR(F1785="Y",G1785="Y",H1785="Y"),1,0)</f>
        <v>1</v>
      </c>
      <c r="M1785" s="3" t="n">
        <f aca="false">IF(H1785="Y",1,0)</f>
        <v>1</v>
      </c>
      <c r="N1785" s="3" t="n">
        <f aca="false">IF(I1785="Y",1,0)</f>
        <v>1</v>
      </c>
    </row>
    <row r="1786" customFormat="false" ht="15" hidden="false" customHeight="true" outlineLevel="0" collapsed="false">
      <c r="A1786" s="7" t="s">
        <v>70</v>
      </c>
      <c r="B1786" s="7" t="n">
        <v>1950</v>
      </c>
      <c r="C1786" s="7" t="s">
        <v>371</v>
      </c>
      <c r="D1786" s="7" t="n">
        <v>98</v>
      </c>
      <c r="E1786" s="7" t="n">
        <v>56</v>
      </c>
      <c r="F1786" s="7"/>
      <c r="G1786" s="7"/>
      <c r="H1786" s="7" t="s">
        <v>548</v>
      </c>
      <c r="I1786" s="7" t="s">
        <v>548</v>
      </c>
      <c r="J1786" s="21" t="n">
        <f aca="false">D1786/(D1786+E1786)</f>
        <v>0.636363636363636</v>
      </c>
      <c r="K1786" s="3" t="n">
        <f aca="false">IF(D1786&gt;E1786,1,0)</f>
        <v>1</v>
      </c>
      <c r="L1786" s="3" t="n">
        <f aca="false">IF(OR(F1786="Y",G1786="Y",H1786="Y"),1,0)</f>
        <v>1</v>
      </c>
      <c r="M1786" s="3" t="n">
        <f aca="false">IF(H1786="Y",1,0)</f>
        <v>1</v>
      </c>
      <c r="N1786" s="3" t="n">
        <f aca="false">IF(I1786="Y",1,0)</f>
        <v>1</v>
      </c>
    </row>
    <row r="1787" customFormat="false" ht="15" hidden="false" customHeight="true" outlineLevel="0" collapsed="false">
      <c r="A1787" s="7" t="s">
        <v>70</v>
      </c>
      <c r="B1787" s="7" t="n">
        <v>1951</v>
      </c>
      <c r="C1787" s="7" t="s">
        <v>371</v>
      </c>
      <c r="D1787" s="7" t="n">
        <v>98</v>
      </c>
      <c r="E1787" s="7" t="n">
        <v>56</v>
      </c>
      <c r="F1787" s="7"/>
      <c r="G1787" s="7"/>
      <c r="H1787" s="7" t="s">
        <v>548</v>
      </c>
      <c r="I1787" s="7" t="s">
        <v>548</v>
      </c>
      <c r="J1787" s="21" t="n">
        <f aca="false">D1787/(D1787+E1787)</f>
        <v>0.636363636363636</v>
      </c>
      <c r="K1787" s="3" t="n">
        <f aca="false">IF(D1787&gt;E1787,1,0)</f>
        <v>1</v>
      </c>
      <c r="L1787" s="3" t="n">
        <f aca="false">IF(OR(F1787="Y",G1787="Y",H1787="Y"),1,0)</f>
        <v>1</v>
      </c>
      <c r="M1787" s="3" t="n">
        <f aca="false">IF(H1787="Y",1,0)</f>
        <v>1</v>
      </c>
      <c r="N1787" s="3" t="n">
        <f aca="false">IF(I1787="Y",1,0)</f>
        <v>1</v>
      </c>
    </row>
    <row r="1788" customFormat="false" ht="15" hidden="false" customHeight="true" outlineLevel="0" collapsed="false">
      <c r="A1788" s="7" t="s">
        <v>70</v>
      </c>
      <c r="B1788" s="7" t="n">
        <v>1952</v>
      </c>
      <c r="C1788" s="7" t="s">
        <v>371</v>
      </c>
      <c r="D1788" s="7" t="n">
        <v>95</v>
      </c>
      <c r="E1788" s="7" t="n">
        <v>59</v>
      </c>
      <c r="F1788" s="7"/>
      <c r="G1788" s="7"/>
      <c r="H1788" s="7" t="s">
        <v>548</v>
      </c>
      <c r="I1788" s="7" t="s">
        <v>548</v>
      </c>
      <c r="J1788" s="21" t="n">
        <f aca="false">D1788/(D1788+E1788)</f>
        <v>0.616883116883117</v>
      </c>
      <c r="K1788" s="3" t="n">
        <f aca="false">IF(D1788&gt;E1788,1,0)</f>
        <v>1</v>
      </c>
      <c r="L1788" s="3" t="n">
        <f aca="false">IF(OR(F1788="Y",G1788="Y",H1788="Y"),1,0)</f>
        <v>1</v>
      </c>
      <c r="M1788" s="3" t="n">
        <f aca="false">IF(H1788="Y",1,0)</f>
        <v>1</v>
      </c>
      <c r="N1788" s="3" t="n">
        <f aca="false">IF(I1788="Y",1,0)</f>
        <v>1</v>
      </c>
    </row>
    <row r="1789" customFormat="false" ht="15" hidden="false" customHeight="true" outlineLevel="0" collapsed="false">
      <c r="A1789" s="7" t="s">
        <v>70</v>
      </c>
      <c r="B1789" s="7" t="n">
        <v>1953</v>
      </c>
      <c r="C1789" s="7" t="s">
        <v>371</v>
      </c>
      <c r="D1789" s="7" t="n">
        <v>99</v>
      </c>
      <c r="E1789" s="7" t="n">
        <v>52</v>
      </c>
      <c r="F1789" s="7"/>
      <c r="G1789" s="7"/>
      <c r="H1789" s="7" t="s">
        <v>548</v>
      </c>
      <c r="I1789" s="7" t="s">
        <v>548</v>
      </c>
      <c r="J1789" s="21" t="n">
        <f aca="false">D1789/(D1789+E1789)</f>
        <v>0.655629139072848</v>
      </c>
      <c r="K1789" s="3" t="n">
        <f aca="false">IF(D1789&gt;E1789,1,0)</f>
        <v>1</v>
      </c>
      <c r="L1789" s="3" t="n">
        <f aca="false">IF(OR(F1789="Y",G1789="Y",H1789="Y"),1,0)</f>
        <v>1</v>
      </c>
      <c r="M1789" s="3" t="n">
        <f aca="false">IF(H1789="Y",1,0)</f>
        <v>1</v>
      </c>
      <c r="N1789" s="3" t="n">
        <f aca="false">IF(I1789="Y",1,0)</f>
        <v>1</v>
      </c>
    </row>
    <row r="1790" customFormat="false" ht="15" hidden="false" customHeight="true" outlineLevel="0" collapsed="false">
      <c r="A1790" s="7" t="s">
        <v>70</v>
      </c>
      <c r="B1790" s="7" t="n">
        <v>1954</v>
      </c>
      <c r="C1790" s="7" t="s">
        <v>371</v>
      </c>
      <c r="D1790" s="7" t="n">
        <v>103</v>
      </c>
      <c r="E1790" s="7" t="n">
        <v>51</v>
      </c>
      <c r="F1790" s="7"/>
      <c r="G1790" s="7"/>
      <c r="H1790" s="7" t="s">
        <v>546</v>
      </c>
      <c r="I1790" s="7" t="s">
        <v>546</v>
      </c>
      <c r="J1790" s="21" t="n">
        <f aca="false">D1790/(D1790+E1790)</f>
        <v>0.668831168831169</v>
      </c>
      <c r="K1790" s="3" t="n">
        <f aca="false">IF(D1790&gt;E1790,1,0)</f>
        <v>1</v>
      </c>
      <c r="L1790" s="3" t="n">
        <f aca="false">IF(OR(F1790="Y",G1790="Y",H1790="Y"),1,0)</f>
        <v>0</v>
      </c>
      <c r="M1790" s="3" t="n">
        <f aca="false">IF(H1790="Y",1,0)</f>
        <v>0</v>
      </c>
      <c r="N1790" s="3" t="n">
        <f aca="false">IF(I1790="Y",1,0)</f>
        <v>0</v>
      </c>
    </row>
    <row r="1791" customFormat="false" ht="15" hidden="false" customHeight="true" outlineLevel="0" collapsed="false">
      <c r="A1791" s="7" t="s">
        <v>70</v>
      </c>
      <c r="B1791" s="7" t="n">
        <v>1955</v>
      </c>
      <c r="C1791" s="7" t="s">
        <v>371</v>
      </c>
      <c r="D1791" s="7" t="n">
        <v>96</v>
      </c>
      <c r="E1791" s="7" t="n">
        <v>58</v>
      </c>
      <c r="F1791" s="7"/>
      <c r="G1791" s="7"/>
      <c r="H1791" s="7" t="s">
        <v>548</v>
      </c>
      <c r="I1791" s="7" t="s">
        <v>546</v>
      </c>
      <c r="J1791" s="21" t="n">
        <f aca="false">D1791/(D1791+E1791)</f>
        <v>0.623376623376623</v>
      </c>
      <c r="K1791" s="3" t="n">
        <f aca="false">IF(D1791&gt;E1791,1,0)</f>
        <v>1</v>
      </c>
      <c r="L1791" s="3" t="n">
        <f aca="false">IF(OR(F1791="Y",G1791="Y",H1791="Y"),1,0)</f>
        <v>1</v>
      </c>
      <c r="M1791" s="3" t="n">
        <f aca="false">IF(H1791="Y",1,0)</f>
        <v>1</v>
      </c>
      <c r="N1791" s="3" t="n">
        <f aca="false">IF(I1791="Y",1,0)</f>
        <v>0</v>
      </c>
    </row>
    <row r="1792" customFormat="false" ht="15" hidden="false" customHeight="true" outlineLevel="0" collapsed="false">
      <c r="A1792" s="7" t="s">
        <v>70</v>
      </c>
      <c r="B1792" s="7" t="n">
        <v>1956</v>
      </c>
      <c r="C1792" s="7" t="s">
        <v>371</v>
      </c>
      <c r="D1792" s="7" t="n">
        <v>97</v>
      </c>
      <c r="E1792" s="7" t="n">
        <v>57</v>
      </c>
      <c r="F1792" s="7"/>
      <c r="G1792" s="7"/>
      <c r="H1792" s="7" t="s">
        <v>548</v>
      </c>
      <c r="I1792" s="7" t="s">
        <v>548</v>
      </c>
      <c r="J1792" s="21" t="n">
        <f aca="false">D1792/(D1792+E1792)</f>
        <v>0.62987012987013</v>
      </c>
      <c r="K1792" s="3" t="n">
        <f aca="false">IF(D1792&gt;E1792,1,0)</f>
        <v>1</v>
      </c>
      <c r="L1792" s="3" t="n">
        <f aca="false">IF(OR(F1792="Y",G1792="Y",H1792="Y"),1,0)</f>
        <v>1</v>
      </c>
      <c r="M1792" s="3" t="n">
        <f aca="false">IF(H1792="Y",1,0)</f>
        <v>1</v>
      </c>
      <c r="N1792" s="3" t="n">
        <f aca="false">IF(I1792="Y",1,0)</f>
        <v>1</v>
      </c>
    </row>
    <row r="1793" customFormat="false" ht="15" hidden="false" customHeight="true" outlineLevel="0" collapsed="false">
      <c r="A1793" s="7" t="s">
        <v>70</v>
      </c>
      <c r="B1793" s="7" t="n">
        <v>1957</v>
      </c>
      <c r="C1793" s="7" t="s">
        <v>371</v>
      </c>
      <c r="D1793" s="7" t="n">
        <v>98</v>
      </c>
      <c r="E1793" s="7" t="n">
        <v>56</v>
      </c>
      <c r="F1793" s="7"/>
      <c r="G1793" s="7"/>
      <c r="H1793" s="7" t="s">
        <v>548</v>
      </c>
      <c r="I1793" s="7" t="s">
        <v>546</v>
      </c>
      <c r="J1793" s="21" t="n">
        <f aca="false">D1793/(D1793+E1793)</f>
        <v>0.636363636363636</v>
      </c>
      <c r="K1793" s="3" t="n">
        <f aca="false">IF(D1793&gt;E1793,1,0)</f>
        <v>1</v>
      </c>
      <c r="L1793" s="3" t="n">
        <f aca="false">IF(OR(F1793="Y",G1793="Y",H1793="Y"),1,0)</f>
        <v>1</v>
      </c>
      <c r="M1793" s="3" t="n">
        <f aca="false">IF(H1793="Y",1,0)</f>
        <v>1</v>
      </c>
      <c r="N1793" s="3" t="n">
        <f aca="false">IF(I1793="Y",1,0)</f>
        <v>0</v>
      </c>
    </row>
    <row r="1794" customFormat="false" ht="15" hidden="false" customHeight="true" outlineLevel="0" collapsed="false">
      <c r="A1794" s="7" t="s">
        <v>70</v>
      </c>
      <c r="B1794" s="7" t="n">
        <v>1958</v>
      </c>
      <c r="C1794" s="7" t="s">
        <v>371</v>
      </c>
      <c r="D1794" s="7" t="n">
        <v>92</v>
      </c>
      <c r="E1794" s="7" t="n">
        <v>62</v>
      </c>
      <c r="F1794" s="7"/>
      <c r="G1794" s="7"/>
      <c r="H1794" s="7" t="s">
        <v>548</v>
      </c>
      <c r="I1794" s="7" t="s">
        <v>548</v>
      </c>
      <c r="J1794" s="21" t="n">
        <f aca="false">D1794/(D1794+E1794)</f>
        <v>0.597402597402597</v>
      </c>
      <c r="K1794" s="3" t="n">
        <f aca="false">IF(D1794&gt;E1794,1,0)</f>
        <v>1</v>
      </c>
      <c r="L1794" s="3" t="n">
        <f aca="false">IF(OR(F1794="Y",G1794="Y",H1794="Y"),1,0)</f>
        <v>1</v>
      </c>
      <c r="M1794" s="3" t="n">
        <f aca="false">IF(H1794="Y",1,0)</f>
        <v>1</v>
      </c>
      <c r="N1794" s="3" t="n">
        <f aca="false">IF(I1794="Y",1,0)</f>
        <v>1</v>
      </c>
    </row>
    <row r="1795" customFormat="false" ht="15" hidden="false" customHeight="true" outlineLevel="0" collapsed="false">
      <c r="A1795" s="7" t="s">
        <v>70</v>
      </c>
      <c r="B1795" s="7" t="n">
        <v>1959</v>
      </c>
      <c r="C1795" s="7" t="s">
        <v>371</v>
      </c>
      <c r="D1795" s="7" t="n">
        <v>79</v>
      </c>
      <c r="E1795" s="7" t="n">
        <v>75</v>
      </c>
      <c r="F1795" s="7"/>
      <c r="G1795" s="7"/>
      <c r="H1795" s="7" t="s">
        <v>546</v>
      </c>
      <c r="I1795" s="7" t="s">
        <v>546</v>
      </c>
      <c r="J1795" s="21" t="n">
        <f aca="false">D1795/(D1795+E1795)</f>
        <v>0.512987012987013</v>
      </c>
      <c r="K1795" s="3" t="n">
        <f aca="false">IF(D1795&gt;E1795,1,0)</f>
        <v>1</v>
      </c>
      <c r="L1795" s="3" t="n">
        <f aca="false">IF(OR(F1795="Y",G1795="Y",H1795="Y"),1,0)</f>
        <v>0</v>
      </c>
      <c r="M1795" s="3" t="n">
        <f aca="false">IF(H1795="Y",1,0)</f>
        <v>0</v>
      </c>
      <c r="N1795" s="3" t="n">
        <f aca="false">IF(I1795="Y",1,0)</f>
        <v>0</v>
      </c>
    </row>
    <row r="1796" customFormat="false" ht="15" hidden="false" customHeight="true" outlineLevel="0" collapsed="false">
      <c r="A1796" s="7" t="s">
        <v>70</v>
      </c>
      <c r="B1796" s="7" t="n">
        <v>1960</v>
      </c>
      <c r="C1796" s="7" t="s">
        <v>371</v>
      </c>
      <c r="D1796" s="7" t="n">
        <v>97</v>
      </c>
      <c r="E1796" s="7" t="n">
        <v>57</v>
      </c>
      <c r="F1796" s="7"/>
      <c r="G1796" s="7"/>
      <c r="H1796" s="7" t="s">
        <v>548</v>
      </c>
      <c r="I1796" s="7" t="s">
        <v>546</v>
      </c>
      <c r="J1796" s="21" t="n">
        <f aca="false">D1796/(D1796+E1796)</f>
        <v>0.62987012987013</v>
      </c>
      <c r="K1796" s="3" t="n">
        <f aca="false">IF(D1796&gt;E1796,1,0)</f>
        <v>1</v>
      </c>
      <c r="L1796" s="3" t="n">
        <f aca="false">IF(OR(F1796="Y",G1796="Y",H1796="Y"),1,0)</f>
        <v>1</v>
      </c>
      <c r="M1796" s="3" t="n">
        <f aca="false">IF(H1796="Y",1,0)</f>
        <v>1</v>
      </c>
      <c r="N1796" s="3" t="n">
        <f aca="false">IF(I1796="Y",1,0)</f>
        <v>0</v>
      </c>
    </row>
    <row r="1797" customFormat="false" ht="15" hidden="false" customHeight="true" outlineLevel="0" collapsed="false">
      <c r="A1797" s="7" t="s">
        <v>70</v>
      </c>
      <c r="B1797" s="7" t="n">
        <v>1961</v>
      </c>
      <c r="C1797" s="7" t="s">
        <v>371</v>
      </c>
      <c r="D1797" s="7" t="n">
        <v>109</v>
      </c>
      <c r="E1797" s="7" t="n">
        <v>53</v>
      </c>
      <c r="F1797" s="7"/>
      <c r="G1797" s="7"/>
      <c r="H1797" s="7" t="s">
        <v>548</v>
      </c>
      <c r="I1797" s="7" t="s">
        <v>548</v>
      </c>
      <c r="J1797" s="21" t="n">
        <f aca="false">D1797/(D1797+E1797)</f>
        <v>0.67283950617284</v>
      </c>
      <c r="K1797" s="3" t="n">
        <f aca="false">IF(D1797&gt;E1797,1,0)</f>
        <v>1</v>
      </c>
      <c r="L1797" s="3" t="n">
        <f aca="false">IF(OR(F1797="Y",G1797="Y",H1797="Y"),1,0)</f>
        <v>1</v>
      </c>
      <c r="M1797" s="3" t="n">
        <f aca="false">IF(H1797="Y",1,0)</f>
        <v>1</v>
      </c>
      <c r="N1797" s="3" t="n">
        <f aca="false">IF(I1797="Y",1,0)</f>
        <v>1</v>
      </c>
    </row>
    <row r="1798" customFormat="false" ht="15" hidden="false" customHeight="true" outlineLevel="0" collapsed="false">
      <c r="A1798" s="7" t="s">
        <v>70</v>
      </c>
      <c r="B1798" s="7" t="n">
        <v>1962</v>
      </c>
      <c r="C1798" s="7" t="s">
        <v>371</v>
      </c>
      <c r="D1798" s="7" t="n">
        <v>96</v>
      </c>
      <c r="E1798" s="7" t="n">
        <v>66</v>
      </c>
      <c r="F1798" s="7"/>
      <c r="G1798" s="7"/>
      <c r="H1798" s="7" t="s">
        <v>548</v>
      </c>
      <c r="I1798" s="7" t="s">
        <v>548</v>
      </c>
      <c r="J1798" s="21" t="n">
        <f aca="false">D1798/(D1798+E1798)</f>
        <v>0.592592592592593</v>
      </c>
      <c r="K1798" s="3" t="n">
        <f aca="false">IF(D1798&gt;E1798,1,0)</f>
        <v>1</v>
      </c>
      <c r="L1798" s="3" t="n">
        <f aca="false">IF(OR(F1798="Y",G1798="Y",H1798="Y"),1,0)</f>
        <v>1</v>
      </c>
      <c r="M1798" s="3" t="n">
        <f aca="false">IF(H1798="Y",1,0)</f>
        <v>1</v>
      </c>
      <c r="N1798" s="3" t="n">
        <f aca="false">IF(I1798="Y",1,0)</f>
        <v>1</v>
      </c>
    </row>
    <row r="1799" customFormat="false" ht="15" hidden="false" customHeight="true" outlineLevel="0" collapsed="false">
      <c r="A1799" s="7" t="s">
        <v>70</v>
      </c>
      <c r="B1799" s="7" t="n">
        <v>1963</v>
      </c>
      <c r="C1799" s="7" t="s">
        <v>371</v>
      </c>
      <c r="D1799" s="7" t="n">
        <v>104</v>
      </c>
      <c r="E1799" s="7" t="n">
        <v>57</v>
      </c>
      <c r="F1799" s="7"/>
      <c r="G1799" s="7"/>
      <c r="H1799" s="7" t="s">
        <v>548</v>
      </c>
      <c r="I1799" s="7" t="s">
        <v>546</v>
      </c>
      <c r="J1799" s="21" t="n">
        <f aca="false">D1799/(D1799+E1799)</f>
        <v>0.645962732919255</v>
      </c>
      <c r="K1799" s="3" t="n">
        <f aca="false">IF(D1799&gt;E1799,1,0)</f>
        <v>1</v>
      </c>
      <c r="L1799" s="3" t="n">
        <f aca="false">IF(OR(F1799="Y",G1799="Y",H1799="Y"),1,0)</f>
        <v>1</v>
      </c>
      <c r="M1799" s="3" t="n">
        <f aca="false">IF(H1799="Y",1,0)</f>
        <v>1</v>
      </c>
      <c r="N1799" s="3" t="n">
        <f aca="false">IF(I1799="Y",1,0)</f>
        <v>0</v>
      </c>
    </row>
    <row r="1800" customFormat="false" ht="15" hidden="false" customHeight="true" outlineLevel="0" collapsed="false">
      <c r="A1800" s="7" t="s">
        <v>70</v>
      </c>
      <c r="B1800" s="7" t="n">
        <v>1964</v>
      </c>
      <c r="C1800" s="7" t="s">
        <v>371</v>
      </c>
      <c r="D1800" s="7" t="n">
        <v>99</v>
      </c>
      <c r="E1800" s="7" t="n">
        <v>63</v>
      </c>
      <c r="F1800" s="7"/>
      <c r="G1800" s="7"/>
      <c r="H1800" s="7" t="s">
        <v>548</v>
      </c>
      <c r="I1800" s="7" t="s">
        <v>546</v>
      </c>
      <c r="J1800" s="21" t="n">
        <f aca="false">D1800/(D1800+E1800)</f>
        <v>0.611111111111111</v>
      </c>
      <c r="K1800" s="3" t="n">
        <f aca="false">IF(D1800&gt;E1800,1,0)</f>
        <v>1</v>
      </c>
      <c r="L1800" s="3" t="n">
        <f aca="false">IF(OR(F1800="Y",G1800="Y",H1800="Y"),1,0)</f>
        <v>1</v>
      </c>
      <c r="M1800" s="3" t="n">
        <f aca="false">IF(H1800="Y",1,0)</f>
        <v>1</v>
      </c>
      <c r="N1800" s="3" t="n">
        <f aca="false">IF(I1800="Y",1,0)</f>
        <v>0</v>
      </c>
    </row>
    <row r="1801" customFormat="false" ht="15" hidden="false" customHeight="true" outlineLevel="0" collapsed="false">
      <c r="A1801" s="7" t="s">
        <v>70</v>
      </c>
      <c r="B1801" s="7" t="n">
        <v>1965</v>
      </c>
      <c r="C1801" s="7" t="s">
        <v>371</v>
      </c>
      <c r="D1801" s="7" t="n">
        <v>77</v>
      </c>
      <c r="E1801" s="7" t="n">
        <v>85</v>
      </c>
      <c r="F1801" s="7"/>
      <c r="G1801" s="7"/>
      <c r="H1801" s="7" t="s">
        <v>546</v>
      </c>
      <c r="I1801" s="7" t="s">
        <v>546</v>
      </c>
      <c r="J1801" s="21" t="n">
        <f aca="false">D1801/(D1801+E1801)</f>
        <v>0.475308641975309</v>
      </c>
      <c r="K1801" s="3" t="n">
        <f aca="false">IF(D1801&gt;E1801,1,0)</f>
        <v>0</v>
      </c>
      <c r="L1801" s="3" t="n">
        <f aca="false">IF(OR(F1801="Y",G1801="Y",H1801="Y"),1,0)</f>
        <v>0</v>
      </c>
      <c r="M1801" s="3" t="n">
        <f aca="false">IF(H1801="Y",1,0)</f>
        <v>0</v>
      </c>
      <c r="N1801" s="3" t="n">
        <f aca="false">IF(I1801="Y",1,0)</f>
        <v>0</v>
      </c>
    </row>
    <row r="1802" customFormat="false" ht="15" hidden="false" customHeight="true" outlineLevel="0" collapsed="false">
      <c r="A1802" s="7" t="s">
        <v>70</v>
      </c>
      <c r="B1802" s="7" t="n">
        <v>1966</v>
      </c>
      <c r="C1802" s="7" t="s">
        <v>371</v>
      </c>
      <c r="D1802" s="7" t="n">
        <v>70</v>
      </c>
      <c r="E1802" s="7" t="n">
        <v>89</v>
      </c>
      <c r="F1802" s="7"/>
      <c r="G1802" s="7"/>
      <c r="H1802" s="7" t="s">
        <v>546</v>
      </c>
      <c r="I1802" s="7" t="s">
        <v>546</v>
      </c>
      <c r="J1802" s="21" t="n">
        <f aca="false">D1802/(D1802+E1802)</f>
        <v>0.440251572327044</v>
      </c>
      <c r="K1802" s="3" t="n">
        <f aca="false">IF(D1802&gt;E1802,1,0)</f>
        <v>0</v>
      </c>
      <c r="L1802" s="3" t="n">
        <f aca="false">IF(OR(F1802="Y",G1802="Y",H1802="Y"),1,0)</f>
        <v>0</v>
      </c>
      <c r="M1802" s="3" t="n">
        <f aca="false">IF(H1802="Y",1,0)</f>
        <v>0</v>
      </c>
      <c r="N1802" s="3" t="n">
        <f aca="false">IF(I1802="Y",1,0)</f>
        <v>0</v>
      </c>
    </row>
    <row r="1803" customFormat="false" ht="15" hidden="false" customHeight="true" outlineLevel="0" collapsed="false">
      <c r="A1803" s="7" t="s">
        <v>70</v>
      </c>
      <c r="B1803" s="7" t="n">
        <v>1967</v>
      </c>
      <c r="C1803" s="7" t="s">
        <v>371</v>
      </c>
      <c r="D1803" s="7" t="n">
        <v>72</v>
      </c>
      <c r="E1803" s="7" t="n">
        <v>90</v>
      </c>
      <c r="F1803" s="7"/>
      <c r="G1803" s="7"/>
      <c r="H1803" s="7" t="s">
        <v>546</v>
      </c>
      <c r="I1803" s="7" t="s">
        <v>546</v>
      </c>
      <c r="J1803" s="21" t="n">
        <f aca="false">D1803/(D1803+E1803)</f>
        <v>0.444444444444444</v>
      </c>
      <c r="K1803" s="3" t="n">
        <f aca="false">IF(D1803&gt;E1803,1,0)</f>
        <v>0</v>
      </c>
      <c r="L1803" s="3" t="n">
        <f aca="false">IF(OR(F1803="Y",G1803="Y",H1803="Y"),1,0)</f>
        <v>0</v>
      </c>
      <c r="M1803" s="3" t="n">
        <f aca="false">IF(H1803="Y",1,0)</f>
        <v>0</v>
      </c>
      <c r="N1803" s="3" t="n">
        <f aca="false">IF(I1803="Y",1,0)</f>
        <v>0</v>
      </c>
    </row>
    <row r="1804" customFormat="false" ht="15" hidden="false" customHeight="true" outlineLevel="0" collapsed="false">
      <c r="A1804" s="7" t="s">
        <v>70</v>
      </c>
      <c r="B1804" s="7" t="n">
        <v>1968</v>
      </c>
      <c r="C1804" s="7" t="s">
        <v>371</v>
      </c>
      <c r="D1804" s="7" t="n">
        <v>83</v>
      </c>
      <c r="E1804" s="7" t="n">
        <v>79</v>
      </c>
      <c r="F1804" s="7"/>
      <c r="G1804" s="7"/>
      <c r="H1804" s="7" t="s">
        <v>546</v>
      </c>
      <c r="I1804" s="7" t="s">
        <v>546</v>
      </c>
      <c r="J1804" s="21" t="n">
        <f aca="false">D1804/(D1804+E1804)</f>
        <v>0.512345679012346</v>
      </c>
      <c r="K1804" s="3" t="n">
        <f aca="false">IF(D1804&gt;E1804,1,0)</f>
        <v>1</v>
      </c>
      <c r="L1804" s="3" t="n">
        <f aca="false">IF(OR(F1804="Y",G1804="Y",H1804="Y"),1,0)</f>
        <v>0</v>
      </c>
      <c r="M1804" s="3" t="n">
        <f aca="false">IF(H1804="Y",1,0)</f>
        <v>0</v>
      </c>
      <c r="N1804" s="3" t="n">
        <f aca="false">IF(I1804="Y",1,0)</f>
        <v>0</v>
      </c>
    </row>
    <row r="1805" customFormat="false" ht="15" hidden="false" customHeight="true" outlineLevel="0" collapsed="false">
      <c r="A1805" s="7" t="s">
        <v>70</v>
      </c>
      <c r="B1805" s="7" t="n">
        <v>1969</v>
      </c>
      <c r="C1805" s="7" t="s">
        <v>371</v>
      </c>
      <c r="D1805" s="7" t="n">
        <v>80</v>
      </c>
      <c r="E1805" s="7" t="n">
        <v>81</v>
      </c>
      <c r="F1805" s="7" t="s">
        <v>546</v>
      </c>
      <c r="G1805" s="7"/>
      <c r="H1805" s="7" t="s">
        <v>546</v>
      </c>
      <c r="I1805" s="7" t="s">
        <v>546</v>
      </c>
      <c r="J1805" s="21" t="n">
        <f aca="false">D1805/(D1805+E1805)</f>
        <v>0.496894409937888</v>
      </c>
      <c r="K1805" s="3" t="n">
        <f aca="false">IF(D1805&gt;E1805,1,0)</f>
        <v>0</v>
      </c>
      <c r="L1805" s="3" t="n">
        <f aca="false">IF(OR(F1805="Y",G1805="Y",H1805="Y"),1,0)</f>
        <v>0</v>
      </c>
      <c r="M1805" s="3" t="n">
        <f aca="false">IF(H1805="Y",1,0)</f>
        <v>0</v>
      </c>
      <c r="N1805" s="3" t="n">
        <f aca="false">IF(I1805="Y",1,0)</f>
        <v>0</v>
      </c>
    </row>
    <row r="1806" customFormat="false" ht="15" hidden="false" customHeight="true" outlineLevel="0" collapsed="false">
      <c r="A1806" s="7" t="s">
        <v>70</v>
      </c>
      <c r="B1806" s="7" t="n">
        <v>1970</v>
      </c>
      <c r="C1806" s="7" t="s">
        <v>371</v>
      </c>
      <c r="D1806" s="7" t="n">
        <v>93</v>
      </c>
      <c r="E1806" s="7" t="n">
        <v>69</v>
      </c>
      <c r="F1806" s="7" t="s">
        <v>546</v>
      </c>
      <c r="G1806" s="7"/>
      <c r="H1806" s="7" t="s">
        <v>546</v>
      </c>
      <c r="I1806" s="7" t="s">
        <v>546</v>
      </c>
      <c r="J1806" s="21" t="n">
        <f aca="false">D1806/(D1806+E1806)</f>
        <v>0.574074074074074</v>
      </c>
      <c r="K1806" s="3" t="n">
        <f aca="false">IF(D1806&gt;E1806,1,0)</f>
        <v>1</v>
      </c>
      <c r="L1806" s="3" t="n">
        <f aca="false">IF(OR(F1806="Y",G1806="Y",H1806="Y"),1,0)</f>
        <v>0</v>
      </c>
      <c r="M1806" s="3" t="n">
        <f aca="false">IF(H1806="Y",1,0)</f>
        <v>0</v>
      </c>
      <c r="N1806" s="3" t="n">
        <f aca="false">IF(I1806="Y",1,0)</f>
        <v>0</v>
      </c>
    </row>
    <row r="1807" customFormat="false" ht="15" hidden="false" customHeight="true" outlineLevel="0" collapsed="false">
      <c r="A1807" s="7" t="s">
        <v>70</v>
      </c>
      <c r="B1807" s="7" t="n">
        <v>1971</v>
      </c>
      <c r="C1807" s="7" t="s">
        <v>371</v>
      </c>
      <c r="D1807" s="7" t="n">
        <v>82</v>
      </c>
      <c r="E1807" s="7" t="n">
        <v>80</v>
      </c>
      <c r="F1807" s="7" t="s">
        <v>546</v>
      </c>
      <c r="G1807" s="7"/>
      <c r="H1807" s="7" t="s">
        <v>546</v>
      </c>
      <c r="I1807" s="7" t="s">
        <v>546</v>
      </c>
      <c r="J1807" s="21" t="n">
        <f aca="false">D1807/(D1807+E1807)</f>
        <v>0.506172839506173</v>
      </c>
      <c r="K1807" s="3" t="n">
        <f aca="false">IF(D1807&gt;E1807,1,0)</f>
        <v>1</v>
      </c>
      <c r="L1807" s="3" t="n">
        <f aca="false">IF(OR(F1807="Y",G1807="Y",H1807="Y"),1,0)</f>
        <v>0</v>
      </c>
      <c r="M1807" s="3" t="n">
        <f aca="false">IF(H1807="Y",1,0)</f>
        <v>0</v>
      </c>
      <c r="N1807" s="3" t="n">
        <f aca="false">IF(I1807="Y",1,0)</f>
        <v>0</v>
      </c>
    </row>
    <row r="1808" customFormat="false" ht="15" hidden="false" customHeight="true" outlineLevel="0" collapsed="false">
      <c r="A1808" s="7" t="s">
        <v>70</v>
      </c>
      <c r="B1808" s="7" t="n">
        <v>1972</v>
      </c>
      <c r="C1808" s="7" t="s">
        <v>371</v>
      </c>
      <c r="D1808" s="7" t="n">
        <v>79</v>
      </c>
      <c r="E1808" s="7" t="n">
        <v>76</v>
      </c>
      <c r="F1808" s="7" t="s">
        <v>546</v>
      </c>
      <c r="G1808" s="7"/>
      <c r="H1808" s="7" t="s">
        <v>546</v>
      </c>
      <c r="I1808" s="7" t="s">
        <v>546</v>
      </c>
      <c r="J1808" s="21" t="n">
        <f aca="false">D1808/(D1808+E1808)</f>
        <v>0.509677419354839</v>
      </c>
      <c r="K1808" s="3" t="n">
        <f aca="false">IF(D1808&gt;E1808,1,0)</f>
        <v>1</v>
      </c>
      <c r="L1808" s="3" t="n">
        <f aca="false">IF(OR(F1808="Y",G1808="Y",H1808="Y"),1,0)</f>
        <v>0</v>
      </c>
      <c r="M1808" s="3" t="n">
        <f aca="false">IF(H1808="Y",1,0)</f>
        <v>0</v>
      </c>
      <c r="N1808" s="3" t="n">
        <f aca="false">IF(I1808="Y",1,0)</f>
        <v>0</v>
      </c>
    </row>
    <row r="1809" customFormat="false" ht="15" hidden="false" customHeight="true" outlineLevel="0" collapsed="false">
      <c r="A1809" s="7" t="s">
        <v>70</v>
      </c>
      <c r="B1809" s="7" t="n">
        <v>1973</v>
      </c>
      <c r="C1809" s="7" t="s">
        <v>371</v>
      </c>
      <c r="D1809" s="7" t="n">
        <v>80</v>
      </c>
      <c r="E1809" s="7" t="n">
        <v>82</v>
      </c>
      <c r="F1809" s="7" t="s">
        <v>546</v>
      </c>
      <c r="G1809" s="7"/>
      <c r="H1809" s="7" t="s">
        <v>546</v>
      </c>
      <c r="I1809" s="7" t="s">
        <v>546</v>
      </c>
      <c r="J1809" s="21" t="n">
        <f aca="false">D1809/(D1809+E1809)</f>
        <v>0.493827160493827</v>
      </c>
      <c r="K1809" s="3" t="n">
        <f aca="false">IF(D1809&gt;E1809,1,0)</f>
        <v>0</v>
      </c>
      <c r="L1809" s="3" t="n">
        <f aca="false">IF(OR(F1809="Y",G1809="Y",H1809="Y"),1,0)</f>
        <v>0</v>
      </c>
      <c r="M1809" s="3" t="n">
        <f aca="false">IF(H1809="Y",1,0)</f>
        <v>0</v>
      </c>
      <c r="N1809" s="3" t="n">
        <f aca="false">IF(I1809="Y",1,0)</f>
        <v>0</v>
      </c>
    </row>
    <row r="1810" customFormat="false" ht="15" hidden="false" customHeight="true" outlineLevel="0" collapsed="false">
      <c r="A1810" s="7" t="s">
        <v>70</v>
      </c>
      <c r="B1810" s="7" t="n">
        <v>1974</v>
      </c>
      <c r="C1810" s="7" t="s">
        <v>371</v>
      </c>
      <c r="D1810" s="7" t="n">
        <v>89</v>
      </c>
      <c r="E1810" s="7" t="n">
        <v>73</v>
      </c>
      <c r="F1810" s="7" t="s">
        <v>546</v>
      </c>
      <c r="G1810" s="7"/>
      <c r="H1810" s="7" t="s">
        <v>546</v>
      </c>
      <c r="I1810" s="7" t="s">
        <v>546</v>
      </c>
      <c r="J1810" s="21" t="n">
        <f aca="false">D1810/(D1810+E1810)</f>
        <v>0.549382716049383</v>
      </c>
      <c r="K1810" s="3" t="n">
        <f aca="false">IF(D1810&gt;E1810,1,0)</f>
        <v>1</v>
      </c>
      <c r="L1810" s="3" t="n">
        <f aca="false">IF(OR(F1810="Y",G1810="Y",H1810="Y"),1,0)</f>
        <v>0</v>
      </c>
      <c r="M1810" s="3" t="n">
        <f aca="false">IF(H1810="Y",1,0)</f>
        <v>0</v>
      </c>
      <c r="N1810" s="3" t="n">
        <f aca="false">IF(I1810="Y",1,0)</f>
        <v>0</v>
      </c>
    </row>
    <row r="1811" customFormat="false" ht="15" hidden="false" customHeight="true" outlineLevel="0" collapsed="false">
      <c r="A1811" s="7" t="s">
        <v>70</v>
      </c>
      <c r="B1811" s="7" t="n">
        <v>1975</v>
      </c>
      <c r="C1811" s="7" t="s">
        <v>371</v>
      </c>
      <c r="D1811" s="7" t="n">
        <v>83</v>
      </c>
      <c r="E1811" s="7" t="n">
        <v>77</v>
      </c>
      <c r="F1811" s="7" t="s">
        <v>546</v>
      </c>
      <c r="G1811" s="7"/>
      <c r="H1811" s="7" t="s">
        <v>546</v>
      </c>
      <c r="I1811" s="7" t="s">
        <v>546</v>
      </c>
      <c r="J1811" s="21" t="n">
        <f aca="false">D1811/(D1811+E1811)</f>
        <v>0.51875</v>
      </c>
      <c r="K1811" s="3" t="n">
        <f aca="false">IF(D1811&gt;E1811,1,0)</f>
        <v>1</v>
      </c>
      <c r="L1811" s="3" t="n">
        <f aca="false">IF(OR(F1811="Y",G1811="Y",H1811="Y"),1,0)</f>
        <v>0</v>
      </c>
      <c r="M1811" s="3" t="n">
        <f aca="false">IF(H1811="Y",1,0)</f>
        <v>0</v>
      </c>
      <c r="N1811" s="3" t="n">
        <f aca="false">IF(I1811="Y",1,0)</f>
        <v>0</v>
      </c>
    </row>
    <row r="1812" customFormat="false" ht="15" hidden="false" customHeight="true" outlineLevel="0" collapsed="false">
      <c r="A1812" s="7" t="s">
        <v>70</v>
      </c>
      <c r="B1812" s="7" t="n">
        <v>1976</v>
      </c>
      <c r="C1812" s="7" t="s">
        <v>371</v>
      </c>
      <c r="D1812" s="7" t="n">
        <v>97</v>
      </c>
      <c r="E1812" s="7" t="n">
        <v>62</v>
      </c>
      <c r="F1812" s="7" t="s">
        <v>548</v>
      </c>
      <c r="G1812" s="7"/>
      <c r="H1812" s="7" t="s">
        <v>548</v>
      </c>
      <c r="I1812" s="7" t="s">
        <v>546</v>
      </c>
      <c r="J1812" s="21" t="n">
        <f aca="false">D1812/(D1812+E1812)</f>
        <v>0.610062893081761</v>
      </c>
      <c r="K1812" s="3" t="n">
        <f aca="false">IF(D1812&gt;E1812,1,0)</f>
        <v>1</v>
      </c>
      <c r="L1812" s="3" t="n">
        <f aca="false">IF(OR(F1812="Y",G1812="Y",H1812="Y"),1,0)</f>
        <v>1</v>
      </c>
      <c r="M1812" s="3" t="n">
        <f aca="false">IF(H1812="Y",1,0)</f>
        <v>1</v>
      </c>
      <c r="N1812" s="3" t="n">
        <f aca="false">IF(I1812="Y",1,0)</f>
        <v>0</v>
      </c>
    </row>
    <row r="1813" customFormat="false" ht="15" hidden="false" customHeight="true" outlineLevel="0" collapsed="false">
      <c r="A1813" s="7" t="s">
        <v>70</v>
      </c>
      <c r="B1813" s="7" t="n">
        <v>1977</v>
      </c>
      <c r="C1813" s="7" t="s">
        <v>371</v>
      </c>
      <c r="D1813" s="7" t="n">
        <v>100</v>
      </c>
      <c r="E1813" s="7" t="n">
        <v>62</v>
      </c>
      <c r="F1813" s="7" t="s">
        <v>548</v>
      </c>
      <c r="G1813" s="7"/>
      <c r="H1813" s="7" t="s">
        <v>548</v>
      </c>
      <c r="I1813" s="7" t="s">
        <v>548</v>
      </c>
      <c r="J1813" s="21" t="n">
        <f aca="false">D1813/(D1813+E1813)</f>
        <v>0.617283950617284</v>
      </c>
      <c r="K1813" s="3" t="n">
        <f aca="false">IF(D1813&gt;E1813,1,0)</f>
        <v>1</v>
      </c>
      <c r="L1813" s="3" t="n">
        <f aca="false">IF(OR(F1813="Y",G1813="Y",H1813="Y"),1,0)</f>
        <v>1</v>
      </c>
      <c r="M1813" s="3" t="n">
        <f aca="false">IF(H1813="Y",1,0)</f>
        <v>1</v>
      </c>
      <c r="N1813" s="3" t="n">
        <f aca="false">IF(I1813="Y",1,0)</f>
        <v>1</v>
      </c>
    </row>
    <row r="1814" customFormat="false" ht="15" hidden="false" customHeight="true" outlineLevel="0" collapsed="false">
      <c r="A1814" s="7" t="s">
        <v>70</v>
      </c>
      <c r="B1814" s="7" t="n">
        <v>1978</v>
      </c>
      <c r="C1814" s="7" t="s">
        <v>371</v>
      </c>
      <c r="D1814" s="7" t="n">
        <v>100</v>
      </c>
      <c r="E1814" s="7" t="n">
        <v>63</v>
      </c>
      <c r="F1814" s="7" t="s">
        <v>548</v>
      </c>
      <c r="G1814" s="7"/>
      <c r="H1814" s="7" t="s">
        <v>548</v>
      </c>
      <c r="I1814" s="7" t="s">
        <v>548</v>
      </c>
      <c r="J1814" s="21" t="n">
        <f aca="false">D1814/(D1814+E1814)</f>
        <v>0.613496932515337</v>
      </c>
      <c r="K1814" s="3" t="n">
        <f aca="false">IF(D1814&gt;E1814,1,0)</f>
        <v>1</v>
      </c>
      <c r="L1814" s="3" t="n">
        <f aca="false">IF(OR(F1814="Y",G1814="Y",H1814="Y"),1,0)</f>
        <v>1</v>
      </c>
      <c r="M1814" s="3" t="n">
        <f aca="false">IF(H1814="Y",1,0)</f>
        <v>1</v>
      </c>
      <c r="N1814" s="3" t="n">
        <f aca="false">IF(I1814="Y",1,0)</f>
        <v>1</v>
      </c>
    </row>
    <row r="1815" customFormat="false" ht="15" hidden="false" customHeight="true" outlineLevel="0" collapsed="false">
      <c r="A1815" s="7" t="s">
        <v>70</v>
      </c>
      <c r="B1815" s="7" t="n">
        <v>1979</v>
      </c>
      <c r="C1815" s="7" t="s">
        <v>371</v>
      </c>
      <c r="D1815" s="7" t="n">
        <v>89</v>
      </c>
      <c r="E1815" s="7" t="n">
        <v>71</v>
      </c>
      <c r="F1815" s="7" t="s">
        <v>546</v>
      </c>
      <c r="G1815" s="7"/>
      <c r="H1815" s="7" t="s">
        <v>546</v>
      </c>
      <c r="I1815" s="7" t="s">
        <v>546</v>
      </c>
      <c r="J1815" s="21" t="n">
        <f aca="false">D1815/(D1815+E1815)</f>
        <v>0.55625</v>
      </c>
      <c r="K1815" s="3" t="n">
        <f aca="false">IF(D1815&gt;E1815,1,0)</f>
        <v>1</v>
      </c>
      <c r="L1815" s="3" t="n">
        <f aca="false">IF(OR(F1815="Y",G1815="Y",H1815="Y"),1,0)</f>
        <v>0</v>
      </c>
      <c r="M1815" s="3" t="n">
        <f aca="false">IF(H1815="Y",1,0)</f>
        <v>0</v>
      </c>
      <c r="N1815" s="3" t="n">
        <f aca="false">IF(I1815="Y",1,0)</f>
        <v>0</v>
      </c>
    </row>
    <row r="1816" customFormat="false" ht="15" hidden="false" customHeight="true" outlineLevel="0" collapsed="false">
      <c r="A1816" s="7" t="s">
        <v>70</v>
      </c>
      <c r="B1816" s="7" t="n">
        <v>1980</v>
      </c>
      <c r="C1816" s="7" t="s">
        <v>371</v>
      </c>
      <c r="D1816" s="7" t="n">
        <v>103</v>
      </c>
      <c r="E1816" s="7" t="n">
        <v>59</v>
      </c>
      <c r="F1816" s="7" t="s">
        <v>548</v>
      </c>
      <c r="G1816" s="7"/>
      <c r="H1816" s="7" t="s">
        <v>546</v>
      </c>
      <c r="I1816" s="7" t="s">
        <v>546</v>
      </c>
      <c r="J1816" s="21" t="n">
        <f aca="false">D1816/(D1816+E1816)</f>
        <v>0.635802469135803</v>
      </c>
      <c r="K1816" s="3" t="n">
        <f aca="false">IF(D1816&gt;E1816,1,0)</f>
        <v>1</v>
      </c>
      <c r="L1816" s="3" t="n">
        <f aca="false">IF(OR(F1816="Y",G1816="Y",H1816="Y"),1,0)</f>
        <v>1</v>
      </c>
      <c r="M1816" s="3" t="n">
        <f aca="false">IF(H1816="Y",1,0)</f>
        <v>0</v>
      </c>
      <c r="N1816" s="3" t="n">
        <f aca="false">IF(I1816="Y",1,0)</f>
        <v>0</v>
      </c>
    </row>
    <row r="1817" customFormat="false" ht="15" hidden="false" customHeight="true" outlineLevel="0" collapsed="false">
      <c r="A1817" s="7" t="s">
        <v>70</v>
      </c>
      <c r="B1817" s="7" t="n">
        <v>1981</v>
      </c>
      <c r="C1817" s="7" t="s">
        <v>371</v>
      </c>
      <c r="D1817" s="7" t="n">
        <v>59</v>
      </c>
      <c r="E1817" s="7" t="n">
        <v>48</v>
      </c>
      <c r="F1817" s="7" t="s">
        <v>548</v>
      </c>
      <c r="G1817" s="7"/>
      <c r="H1817" s="7" t="s">
        <v>548</v>
      </c>
      <c r="I1817" s="7" t="s">
        <v>546</v>
      </c>
      <c r="J1817" s="21" t="n">
        <f aca="false">D1817/(D1817+E1817)</f>
        <v>0.551401869158879</v>
      </c>
      <c r="K1817" s="3" t="n">
        <f aca="false">IF(D1817&gt;E1817,1,0)</f>
        <v>1</v>
      </c>
      <c r="L1817" s="3" t="n">
        <f aca="false">IF(OR(F1817="Y",G1817="Y",H1817="Y"),1,0)</f>
        <v>1</v>
      </c>
      <c r="M1817" s="3" t="n">
        <f aca="false">IF(H1817="Y",1,0)</f>
        <v>1</v>
      </c>
      <c r="N1817" s="3" t="n">
        <f aca="false">IF(I1817="Y",1,0)</f>
        <v>0</v>
      </c>
    </row>
    <row r="1818" customFormat="false" ht="15" hidden="false" customHeight="true" outlineLevel="0" collapsed="false">
      <c r="A1818" s="7" t="s">
        <v>70</v>
      </c>
      <c r="B1818" s="7" t="n">
        <v>1982</v>
      </c>
      <c r="C1818" s="7" t="s">
        <v>371</v>
      </c>
      <c r="D1818" s="7" t="n">
        <v>79</v>
      </c>
      <c r="E1818" s="7" t="n">
        <v>83</v>
      </c>
      <c r="F1818" s="7" t="s">
        <v>546</v>
      </c>
      <c r="G1818" s="7"/>
      <c r="H1818" s="7" t="s">
        <v>546</v>
      </c>
      <c r="I1818" s="7" t="s">
        <v>546</v>
      </c>
      <c r="J1818" s="21" t="n">
        <f aca="false">D1818/(D1818+E1818)</f>
        <v>0.487654320987654</v>
      </c>
      <c r="K1818" s="3" t="n">
        <f aca="false">IF(D1818&gt;E1818,1,0)</f>
        <v>0</v>
      </c>
      <c r="L1818" s="3" t="n">
        <f aca="false">IF(OR(F1818="Y",G1818="Y",H1818="Y"),1,0)</f>
        <v>0</v>
      </c>
      <c r="M1818" s="3" t="n">
        <f aca="false">IF(H1818="Y",1,0)</f>
        <v>0</v>
      </c>
      <c r="N1818" s="3" t="n">
        <f aca="false">IF(I1818="Y",1,0)</f>
        <v>0</v>
      </c>
    </row>
    <row r="1819" customFormat="false" ht="15" hidden="false" customHeight="true" outlineLevel="0" collapsed="false">
      <c r="A1819" s="7" t="s">
        <v>70</v>
      </c>
      <c r="B1819" s="7" t="n">
        <v>1983</v>
      </c>
      <c r="C1819" s="7" t="s">
        <v>371</v>
      </c>
      <c r="D1819" s="7" t="n">
        <v>91</v>
      </c>
      <c r="E1819" s="7" t="n">
        <v>71</v>
      </c>
      <c r="F1819" s="7" t="s">
        <v>546</v>
      </c>
      <c r="G1819" s="7"/>
      <c r="H1819" s="7" t="s">
        <v>546</v>
      </c>
      <c r="I1819" s="7" t="s">
        <v>546</v>
      </c>
      <c r="J1819" s="21" t="n">
        <f aca="false">D1819/(D1819+E1819)</f>
        <v>0.561728395061728</v>
      </c>
      <c r="K1819" s="3" t="n">
        <f aca="false">IF(D1819&gt;E1819,1,0)</f>
        <v>1</v>
      </c>
      <c r="L1819" s="3" t="n">
        <f aca="false">IF(OR(F1819="Y",G1819="Y",H1819="Y"),1,0)</f>
        <v>0</v>
      </c>
      <c r="M1819" s="3" t="n">
        <f aca="false">IF(H1819="Y",1,0)</f>
        <v>0</v>
      </c>
      <c r="N1819" s="3" t="n">
        <f aca="false">IF(I1819="Y",1,0)</f>
        <v>0</v>
      </c>
    </row>
    <row r="1820" customFormat="false" ht="15" hidden="false" customHeight="true" outlineLevel="0" collapsed="false">
      <c r="A1820" s="7" t="s">
        <v>70</v>
      </c>
      <c r="B1820" s="7" t="n">
        <v>1984</v>
      </c>
      <c r="C1820" s="7" t="s">
        <v>371</v>
      </c>
      <c r="D1820" s="7" t="n">
        <v>87</v>
      </c>
      <c r="E1820" s="7" t="n">
        <v>75</v>
      </c>
      <c r="F1820" s="7" t="s">
        <v>546</v>
      </c>
      <c r="G1820" s="7"/>
      <c r="H1820" s="7" t="s">
        <v>546</v>
      </c>
      <c r="I1820" s="7" t="s">
        <v>546</v>
      </c>
      <c r="J1820" s="21" t="n">
        <f aca="false">D1820/(D1820+E1820)</f>
        <v>0.537037037037037</v>
      </c>
      <c r="K1820" s="3" t="n">
        <f aca="false">IF(D1820&gt;E1820,1,0)</f>
        <v>1</v>
      </c>
      <c r="L1820" s="3" t="n">
        <f aca="false">IF(OR(F1820="Y",G1820="Y",H1820="Y"),1,0)</f>
        <v>0</v>
      </c>
      <c r="M1820" s="3" t="n">
        <f aca="false">IF(H1820="Y",1,0)</f>
        <v>0</v>
      </c>
      <c r="N1820" s="3" t="n">
        <f aca="false">IF(I1820="Y",1,0)</f>
        <v>0</v>
      </c>
    </row>
    <row r="1821" customFormat="false" ht="15" hidden="false" customHeight="true" outlineLevel="0" collapsed="false">
      <c r="A1821" s="7" t="s">
        <v>70</v>
      </c>
      <c r="B1821" s="7" t="n">
        <v>1985</v>
      </c>
      <c r="C1821" s="7" t="s">
        <v>371</v>
      </c>
      <c r="D1821" s="7" t="n">
        <v>97</v>
      </c>
      <c r="E1821" s="7" t="n">
        <v>64</v>
      </c>
      <c r="F1821" s="7" t="s">
        <v>546</v>
      </c>
      <c r="G1821" s="7"/>
      <c r="H1821" s="7" t="s">
        <v>546</v>
      </c>
      <c r="I1821" s="7" t="s">
        <v>546</v>
      </c>
      <c r="J1821" s="21" t="n">
        <f aca="false">D1821/(D1821+E1821)</f>
        <v>0.60248447204969</v>
      </c>
      <c r="K1821" s="3" t="n">
        <f aca="false">IF(D1821&gt;E1821,1,0)</f>
        <v>1</v>
      </c>
      <c r="L1821" s="3" t="n">
        <f aca="false">IF(OR(F1821="Y",G1821="Y",H1821="Y"),1,0)</f>
        <v>0</v>
      </c>
      <c r="M1821" s="3" t="n">
        <f aca="false">IF(H1821="Y",1,0)</f>
        <v>0</v>
      </c>
      <c r="N1821" s="3" t="n">
        <f aca="false">IF(I1821="Y",1,0)</f>
        <v>0</v>
      </c>
    </row>
    <row r="1822" customFormat="false" ht="15" hidden="false" customHeight="true" outlineLevel="0" collapsed="false">
      <c r="A1822" s="7" t="s">
        <v>70</v>
      </c>
      <c r="B1822" s="7" t="n">
        <v>1986</v>
      </c>
      <c r="C1822" s="7" t="s">
        <v>371</v>
      </c>
      <c r="D1822" s="7" t="n">
        <v>90</v>
      </c>
      <c r="E1822" s="7" t="n">
        <v>72</v>
      </c>
      <c r="F1822" s="7" t="s">
        <v>546</v>
      </c>
      <c r="G1822" s="7"/>
      <c r="H1822" s="7" t="s">
        <v>546</v>
      </c>
      <c r="I1822" s="7" t="s">
        <v>546</v>
      </c>
      <c r="J1822" s="21" t="n">
        <f aca="false">D1822/(D1822+E1822)</f>
        <v>0.555555555555556</v>
      </c>
      <c r="K1822" s="3" t="n">
        <f aca="false">IF(D1822&gt;E1822,1,0)</f>
        <v>1</v>
      </c>
      <c r="L1822" s="3" t="n">
        <f aca="false">IF(OR(F1822="Y",G1822="Y",H1822="Y"),1,0)</f>
        <v>0</v>
      </c>
      <c r="M1822" s="3" t="n">
        <f aca="false">IF(H1822="Y",1,0)</f>
        <v>0</v>
      </c>
      <c r="N1822" s="3" t="n">
        <f aca="false">IF(I1822="Y",1,0)</f>
        <v>0</v>
      </c>
    </row>
    <row r="1823" customFormat="false" ht="15" hidden="false" customHeight="true" outlineLevel="0" collapsed="false">
      <c r="A1823" s="7" t="s">
        <v>70</v>
      </c>
      <c r="B1823" s="7" t="n">
        <v>1987</v>
      </c>
      <c r="C1823" s="7" t="s">
        <v>371</v>
      </c>
      <c r="D1823" s="7" t="n">
        <v>89</v>
      </c>
      <c r="E1823" s="7" t="n">
        <v>73</v>
      </c>
      <c r="F1823" s="7" t="s">
        <v>546</v>
      </c>
      <c r="G1823" s="7"/>
      <c r="H1823" s="7" t="s">
        <v>546</v>
      </c>
      <c r="I1823" s="7" t="s">
        <v>546</v>
      </c>
      <c r="J1823" s="21" t="n">
        <f aca="false">D1823/(D1823+E1823)</f>
        <v>0.549382716049383</v>
      </c>
      <c r="K1823" s="3" t="n">
        <f aca="false">IF(D1823&gt;E1823,1,0)</f>
        <v>1</v>
      </c>
      <c r="L1823" s="3" t="n">
        <f aca="false">IF(OR(F1823="Y",G1823="Y",H1823="Y"),1,0)</f>
        <v>0</v>
      </c>
      <c r="M1823" s="3" t="n">
        <f aca="false">IF(H1823="Y",1,0)</f>
        <v>0</v>
      </c>
      <c r="N1823" s="3" t="n">
        <f aca="false">IF(I1823="Y",1,0)</f>
        <v>0</v>
      </c>
    </row>
    <row r="1824" customFormat="false" ht="15" hidden="false" customHeight="true" outlineLevel="0" collapsed="false">
      <c r="A1824" s="7" t="s">
        <v>70</v>
      </c>
      <c r="B1824" s="7" t="n">
        <v>1988</v>
      </c>
      <c r="C1824" s="7" t="s">
        <v>371</v>
      </c>
      <c r="D1824" s="7" t="n">
        <v>85</v>
      </c>
      <c r="E1824" s="7" t="n">
        <v>76</v>
      </c>
      <c r="F1824" s="7" t="s">
        <v>546</v>
      </c>
      <c r="G1824" s="7"/>
      <c r="H1824" s="7" t="s">
        <v>546</v>
      </c>
      <c r="I1824" s="7" t="s">
        <v>546</v>
      </c>
      <c r="J1824" s="21" t="n">
        <f aca="false">D1824/(D1824+E1824)</f>
        <v>0.527950310559006</v>
      </c>
      <c r="K1824" s="3" t="n">
        <f aca="false">IF(D1824&gt;E1824,1,0)</f>
        <v>1</v>
      </c>
      <c r="L1824" s="3" t="n">
        <f aca="false">IF(OR(F1824="Y",G1824="Y",H1824="Y"),1,0)</f>
        <v>0</v>
      </c>
      <c r="M1824" s="3" t="n">
        <f aca="false">IF(H1824="Y",1,0)</f>
        <v>0</v>
      </c>
      <c r="N1824" s="3" t="n">
        <f aca="false">IF(I1824="Y",1,0)</f>
        <v>0</v>
      </c>
    </row>
    <row r="1825" customFormat="false" ht="15" hidden="false" customHeight="true" outlineLevel="0" collapsed="false">
      <c r="A1825" s="7" t="s">
        <v>70</v>
      </c>
      <c r="B1825" s="7" t="n">
        <v>1989</v>
      </c>
      <c r="C1825" s="7" t="s">
        <v>371</v>
      </c>
      <c r="D1825" s="7" t="n">
        <v>74</v>
      </c>
      <c r="E1825" s="7" t="n">
        <v>87</v>
      </c>
      <c r="F1825" s="7" t="s">
        <v>546</v>
      </c>
      <c r="G1825" s="7"/>
      <c r="H1825" s="7" t="s">
        <v>546</v>
      </c>
      <c r="I1825" s="7" t="s">
        <v>546</v>
      </c>
      <c r="J1825" s="21" t="n">
        <f aca="false">D1825/(D1825+E1825)</f>
        <v>0.459627329192547</v>
      </c>
      <c r="K1825" s="3" t="n">
        <f aca="false">IF(D1825&gt;E1825,1,0)</f>
        <v>0</v>
      </c>
      <c r="L1825" s="3" t="n">
        <f aca="false">IF(OR(F1825="Y",G1825="Y",H1825="Y"),1,0)</f>
        <v>0</v>
      </c>
      <c r="M1825" s="3" t="n">
        <f aca="false">IF(H1825="Y",1,0)</f>
        <v>0</v>
      </c>
      <c r="N1825" s="3" t="n">
        <f aca="false">IF(I1825="Y",1,0)</f>
        <v>0</v>
      </c>
    </row>
    <row r="1826" customFormat="false" ht="15" hidden="false" customHeight="true" outlineLevel="0" collapsed="false">
      <c r="A1826" s="7" t="s">
        <v>70</v>
      </c>
      <c r="B1826" s="7" t="n">
        <v>1990</v>
      </c>
      <c r="C1826" s="7" t="s">
        <v>371</v>
      </c>
      <c r="D1826" s="7" t="n">
        <v>67</v>
      </c>
      <c r="E1826" s="7" t="n">
        <v>95</v>
      </c>
      <c r="F1826" s="7" t="s">
        <v>546</v>
      </c>
      <c r="G1826" s="7"/>
      <c r="H1826" s="7" t="s">
        <v>546</v>
      </c>
      <c r="I1826" s="7" t="s">
        <v>546</v>
      </c>
      <c r="J1826" s="21" t="n">
        <f aca="false">D1826/(D1826+E1826)</f>
        <v>0.41358024691358</v>
      </c>
      <c r="K1826" s="3" t="n">
        <f aca="false">IF(D1826&gt;E1826,1,0)</f>
        <v>0</v>
      </c>
      <c r="L1826" s="3" t="n">
        <f aca="false">IF(OR(F1826="Y",G1826="Y",H1826="Y"),1,0)</f>
        <v>0</v>
      </c>
      <c r="M1826" s="3" t="n">
        <f aca="false">IF(H1826="Y",1,0)</f>
        <v>0</v>
      </c>
      <c r="N1826" s="3" t="n">
        <f aca="false">IF(I1826="Y",1,0)</f>
        <v>0</v>
      </c>
    </row>
    <row r="1827" customFormat="false" ht="15" hidden="false" customHeight="true" outlineLevel="0" collapsed="false">
      <c r="A1827" s="7" t="s">
        <v>70</v>
      </c>
      <c r="B1827" s="7" t="n">
        <v>1991</v>
      </c>
      <c r="C1827" s="7" t="s">
        <v>371</v>
      </c>
      <c r="D1827" s="7" t="n">
        <v>71</v>
      </c>
      <c r="E1827" s="7" t="n">
        <v>91</v>
      </c>
      <c r="F1827" s="7" t="s">
        <v>546</v>
      </c>
      <c r="G1827" s="7"/>
      <c r="H1827" s="7" t="s">
        <v>546</v>
      </c>
      <c r="I1827" s="7" t="s">
        <v>546</v>
      </c>
      <c r="J1827" s="21" t="n">
        <f aca="false">D1827/(D1827+E1827)</f>
        <v>0.438271604938272</v>
      </c>
      <c r="K1827" s="3" t="n">
        <f aca="false">IF(D1827&gt;E1827,1,0)</f>
        <v>0</v>
      </c>
      <c r="L1827" s="3" t="n">
        <f aca="false">IF(OR(F1827="Y",G1827="Y",H1827="Y"),1,0)</f>
        <v>0</v>
      </c>
      <c r="M1827" s="3" t="n">
        <f aca="false">IF(H1827="Y",1,0)</f>
        <v>0</v>
      </c>
      <c r="N1827" s="3" t="n">
        <f aca="false">IF(I1827="Y",1,0)</f>
        <v>0</v>
      </c>
    </row>
    <row r="1828" customFormat="false" ht="15" hidden="false" customHeight="true" outlineLevel="0" collapsed="false">
      <c r="A1828" s="7" t="s">
        <v>70</v>
      </c>
      <c r="B1828" s="7" t="n">
        <v>1992</v>
      </c>
      <c r="C1828" s="7" t="s">
        <v>371</v>
      </c>
      <c r="D1828" s="7" t="n">
        <v>76</v>
      </c>
      <c r="E1828" s="7" t="n">
        <v>86</v>
      </c>
      <c r="F1828" s="7" t="s">
        <v>546</v>
      </c>
      <c r="G1828" s="7"/>
      <c r="H1828" s="7" t="s">
        <v>546</v>
      </c>
      <c r="I1828" s="7" t="s">
        <v>546</v>
      </c>
      <c r="J1828" s="21" t="n">
        <f aca="false">D1828/(D1828+E1828)</f>
        <v>0.469135802469136</v>
      </c>
      <c r="K1828" s="3" t="n">
        <f aca="false">IF(D1828&gt;E1828,1,0)</f>
        <v>0</v>
      </c>
      <c r="L1828" s="3" t="n">
        <f aca="false">IF(OR(F1828="Y",G1828="Y",H1828="Y"),1,0)</f>
        <v>0</v>
      </c>
      <c r="M1828" s="3" t="n">
        <f aca="false">IF(H1828="Y",1,0)</f>
        <v>0</v>
      </c>
      <c r="N1828" s="3" t="n">
        <f aca="false">IF(I1828="Y",1,0)</f>
        <v>0</v>
      </c>
    </row>
    <row r="1829" customFormat="false" ht="15" hidden="false" customHeight="true" outlineLevel="0" collapsed="false">
      <c r="A1829" s="7" t="s">
        <v>70</v>
      </c>
      <c r="B1829" s="7" t="n">
        <v>1993</v>
      </c>
      <c r="C1829" s="7" t="s">
        <v>371</v>
      </c>
      <c r="D1829" s="7" t="n">
        <v>88</v>
      </c>
      <c r="E1829" s="7" t="n">
        <v>74</v>
      </c>
      <c r="F1829" s="7" t="s">
        <v>546</v>
      </c>
      <c r="G1829" s="7"/>
      <c r="H1829" s="7" t="s">
        <v>546</v>
      </c>
      <c r="I1829" s="7" t="s">
        <v>546</v>
      </c>
      <c r="J1829" s="21" t="n">
        <f aca="false">D1829/(D1829+E1829)</f>
        <v>0.54320987654321</v>
      </c>
      <c r="K1829" s="3" t="n">
        <f aca="false">IF(D1829&gt;E1829,1,0)</f>
        <v>1</v>
      </c>
      <c r="L1829" s="3" t="n">
        <f aca="false">IF(OR(F1829="Y",G1829="Y",H1829="Y"),1,0)</f>
        <v>0</v>
      </c>
      <c r="M1829" s="3" t="n">
        <f aca="false">IF(H1829="Y",1,0)</f>
        <v>0</v>
      </c>
      <c r="N1829" s="3" t="n">
        <f aca="false">IF(I1829="Y",1,0)</f>
        <v>0</v>
      </c>
    </row>
    <row r="1830" customFormat="false" ht="15" hidden="false" customHeight="true" outlineLevel="0" collapsed="false">
      <c r="A1830" s="7" t="s">
        <v>70</v>
      </c>
      <c r="B1830" s="7" t="n">
        <v>1994</v>
      </c>
      <c r="C1830" s="7" t="s">
        <v>371</v>
      </c>
      <c r="D1830" s="7" t="n">
        <v>70</v>
      </c>
      <c r="E1830" s="7" t="n">
        <v>43</v>
      </c>
      <c r="F1830" s="7"/>
      <c r="G1830" s="7"/>
      <c r="H1830" s="7"/>
      <c r="I1830" s="7"/>
      <c r="J1830" s="21" t="n">
        <f aca="false">D1830/(D1830+E1830)</f>
        <v>0.619469026548673</v>
      </c>
      <c r="K1830" s="3" t="n">
        <f aca="false">IF(D1830&gt;E1830,1,0)</f>
        <v>1</v>
      </c>
      <c r="L1830" s="3" t="n">
        <f aca="false">IF(OR(F1830="Y",G1830="Y",H1830="Y"),1,0)</f>
        <v>0</v>
      </c>
      <c r="M1830" s="3" t="n">
        <f aca="false">IF(H1830="Y",1,0)</f>
        <v>0</v>
      </c>
      <c r="N1830" s="3" t="n">
        <f aca="false">IF(I1830="Y",1,0)</f>
        <v>0</v>
      </c>
    </row>
    <row r="1831" customFormat="false" ht="15" hidden="false" customHeight="true" outlineLevel="0" collapsed="false">
      <c r="A1831" s="7" t="s">
        <v>70</v>
      </c>
      <c r="B1831" s="7" t="n">
        <v>1995</v>
      </c>
      <c r="C1831" s="7" t="s">
        <v>371</v>
      </c>
      <c r="D1831" s="7" t="n">
        <v>79</v>
      </c>
      <c r="E1831" s="7" t="n">
        <v>65</v>
      </c>
      <c r="F1831" s="7" t="s">
        <v>546</v>
      </c>
      <c r="G1831" s="7" t="s">
        <v>548</v>
      </c>
      <c r="H1831" s="7" t="s">
        <v>546</v>
      </c>
      <c r="I1831" s="7" t="s">
        <v>546</v>
      </c>
      <c r="J1831" s="21" t="n">
        <f aca="false">D1831/(D1831+E1831)</f>
        <v>0.548611111111111</v>
      </c>
      <c r="K1831" s="3" t="n">
        <f aca="false">IF(D1831&gt;E1831,1,0)</f>
        <v>1</v>
      </c>
      <c r="L1831" s="3" t="n">
        <f aca="false">IF(OR(F1831="Y",G1831="Y",H1831="Y"),1,0)</f>
        <v>1</v>
      </c>
      <c r="M1831" s="3" t="n">
        <f aca="false">IF(H1831="Y",1,0)</f>
        <v>0</v>
      </c>
      <c r="N1831" s="3" t="n">
        <f aca="false">IF(I1831="Y",1,0)</f>
        <v>0</v>
      </c>
    </row>
    <row r="1832" customFormat="false" ht="15" hidden="false" customHeight="true" outlineLevel="0" collapsed="false">
      <c r="A1832" s="7" t="s">
        <v>70</v>
      </c>
      <c r="B1832" s="7" t="n">
        <v>1996</v>
      </c>
      <c r="C1832" s="7" t="s">
        <v>371</v>
      </c>
      <c r="D1832" s="7" t="n">
        <v>92</v>
      </c>
      <c r="E1832" s="7" t="n">
        <v>70</v>
      </c>
      <c r="F1832" s="7" t="s">
        <v>548</v>
      </c>
      <c r="G1832" s="7" t="s">
        <v>546</v>
      </c>
      <c r="H1832" s="7" t="s">
        <v>548</v>
      </c>
      <c r="I1832" s="7" t="s">
        <v>548</v>
      </c>
      <c r="J1832" s="21" t="n">
        <f aca="false">D1832/(D1832+E1832)</f>
        <v>0.567901234567901</v>
      </c>
      <c r="K1832" s="3" t="n">
        <f aca="false">IF(D1832&gt;E1832,1,0)</f>
        <v>1</v>
      </c>
      <c r="L1832" s="3" t="n">
        <f aca="false">IF(OR(F1832="Y",G1832="Y",H1832="Y"),1,0)</f>
        <v>1</v>
      </c>
      <c r="M1832" s="3" t="n">
        <f aca="false">IF(H1832="Y",1,0)</f>
        <v>1</v>
      </c>
      <c r="N1832" s="3" t="n">
        <f aca="false">IF(I1832="Y",1,0)</f>
        <v>1</v>
      </c>
    </row>
    <row r="1833" customFormat="false" ht="15" hidden="false" customHeight="true" outlineLevel="0" collapsed="false">
      <c r="A1833" s="7" t="s">
        <v>70</v>
      </c>
      <c r="B1833" s="7" t="n">
        <v>1997</v>
      </c>
      <c r="C1833" s="7" t="s">
        <v>371</v>
      </c>
      <c r="D1833" s="7" t="n">
        <v>96</v>
      </c>
      <c r="E1833" s="7" t="n">
        <v>66</v>
      </c>
      <c r="F1833" s="7" t="s">
        <v>546</v>
      </c>
      <c r="G1833" s="7" t="s">
        <v>548</v>
      </c>
      <c r="H1833" s="7" t="s">
        <v>546</v>
      </c>
      <c r="I1833" s="7" t="s">
        <v>546</v>
      </c>
      <c r="J1833" s="21" t="n">
        <f aca="false">D1833/(D1833+E1833)</f>
        <v>0.592592592592593</v>
      </c>
      <c r="K1833" s="3" t="n">
        <f aca="false">IF(D1833&gt;E1833,1,0)</f>
        <v>1</v>
      </c>
      <c r="L1833" s="3" t="n">
        <f aca="false">IF(OR(F1833="Y",G1833="Y",H1833="Y"),1,0)</f>
        <v>1</v>
      </c>
      <c r="M1833" s="3" t="n">
        <f aca="false">IF(H1833="Y",1,0)</f>
        <v>0</v>
      </c>
      <c r="N1833" s="3" t="n">
        <f aca="false">IF(I1833="Y",1,0)</f>
        <v>0</v>
      </c>
    </row>
    <row r="1834" customFormat="false" ht="15" hidden="false" customHeight="true" outlineLevel="0" collapsed="false">
      <c r="A1834" s="7" t="s">
        <v>70</v>
      </c>
      <c r="B1834" s="7" t="n">
        <v>1998</v>
      </c>
      <c r="C1834" s="7" t="s">
        <v>371</v>
      </c>
      <c r="D1834" s="7" t="n">
        <v>114</v>
      </c>
      <c r="E1834" s="7" t="n">
        <v>48</v>
      </c>
      <c r="F1834" s="7" t="s">
        <v>548</v>
      </c>
      <c r="G1834" s="7" t="s">
        <v>546</v>
      </c>
      <c r="H1834" s="7" t="s">
        <v>548</v>
      </c>
      <c r="I1834" s="7" t="s">
        <v>548</v>
      </c>
      <c r="J1834" s="21" t="n">
        <f aca="false">D1834/(D1834+E1834)</f>
        <v>0.703703703703704</v>
      </c>
      <c r="K1834" s="3" t="n">
        <f aca="false">IF(D1834&gt;E1834,1,0)</f>
        <v>1</v>
      </c>
      <c r="L1834" s="3" t="n">
        <f aca="false">IF(OR(F1834="Y",G1834="Y",H1834="Y"),1,0)</f>
        <v>1</v>
      </c>
      <c r="M1834" s="3" t="n">
        <f aca="false">IF(H1834="Y",1,0)</f>
        <v>1</v>
      </c>
      <c r="N1834" s="3" t="n">
        <f aca="false">IF(I1834="Y",1,0)</f>
        <v>1</v>
      </c>
    </row>
    <row r="1835" customFormat="false" ht="15" hidden="false" customHeight="true" outlineLevel="0" collapsed="false">
      <c r="A1835" s="7" t="s">
        <v>70</v>
      </c>
      <c r="B1835" s="7" t="n">
        <v>1999</v>
      </c>
      <c r="C1835" s="7" t="s">
        <v>371</v>
      </c>
      <c r="D1835" s="7" t="n">
        <v>98</v>
      </c>
      <c r="E1835" s="7" t="n">
        <v>64</v>
      </c>
      <c r="F1835" s="7" t="s">
        <v>548</v>
      </c>
      <c r="G1835" s="7" t="s">
        <v>546</v>
      </c>
      <c r="H1835" s="7" t="s">
        <v>548</v>
      </c>
      <c r="I1835" s="7" t="s">
        <v>548</v>
      </c>
      <c r="J1835" s="21" t="n">
        <f aca="false">D1835/(D1835+E1835)</f>
        <v>0.604938271604938</v>
      </c>
      <c r="K1835" s="3" t="n">
        <f aca="false">IF(D1835&gt;E1835,1,0)</f>
        <v>1</v>
      </c>
      <c r="L1835" s="3" t="n">
        <f aca="false">IF(OR(F1835="Y",G1835="Y",H1835="Y"),1,0)</f>
        <v>1</v>
      </c>
      <c r="M1835" s="3" t="n">
        <f aca="false">IF(H1835="Y",1,0)</f>
        <v>1</v>
      </c>
      <c r="N1835" s="3" t="n">
        <f aca="false">IF(I1835="Y",1,0)</f>
        <v>1</v>
      </c>
    </row>
    <row r="1836" customFormat="false" ht="15" hidden="false" customHeight="true" outlineLevel="0" collapsed="false">
      <c r="A1836" s="7" t="s">
        <v>70</v>
      </c>
      <c r="B1836" s="7" t="n">
        <v>2000</v>
      </c>
      <c r="C1836" s="7" t="s">
        <v>371</v>
      </c>
      <c r="D1836" s="7" t="n">
        <v>87</v>
      </c>
      <c r="E1836" s="7" t="n">
        <v>74</v>
      </c>
      <c r="F1836" s="7" t="s">
        <v>548</v>
      </c>
      <c r="G1836" s="7" t="s">
        <v>546</v>
      </c>
      <c r="H1836" s="7" t="s">
        <v>548</v>
      </c>
      <c r="I1836" s="7" t="s">
        <v>548</v>
      </c>
      <c r="J1836" s="21" t="n">
        <f aca="false">D1836/(D1836+E1836)</f>
        <v>0.540372670807453</v>
      </c>
      <c r="K1836" s="3" t="n">
        <f aca="false">IF(D1836&gt;E1836,1,0)</f>
        <v>1</v>
      </c>
      <c r="L1836" s="3" t="n">
        <f aca="false">IF(OR(F1836="Y",G1836="Y",H1836="Y"),1,0)</f>
        <v>1</v>
      </c>
      <c r="M1836" s="3" t="n">
        <f aca="false">IF(H1836="Y",1,0)</f>
        <v>1</v>
      </c>
      <c r="N1836" s="3" t="n">
        <f aca="false">IF(I1836="Y",1,0)</f>
        <v>1</v>
      </c>
    </row>
    <row r="1837" customFormat="false" ht="15" hidden="false" customHeight="true" outlineLevel="0" collapsed="false">
      <c r="A1837" s="7" t="s">
        <v>70</v>
      </c>
      <c r="B1837" s="7" t="n">
        <v>2001</v>
      </c>
      <c r="C1837" s="7" t="s">
        <v>371</v>
      </c>
      <c r="D1837" s="7" t="n">
        <v>95</v>
      </c>
      <c r="E1837" s="7" t="n">
        <v>65</v>
      </c>
      <c r="F1837" s="7" t="s">
        <v>548</v>
      </c>
      <c r="G1837" s="7" t="s">
        <v>546</v>
      </c>
      <c r="H1837" s="7" t="s">
        <v>548</v>
      </c>
      <c r="I1837" s="7" t="s">
        <v>546</v>
      </c>
      <c r="J1837" s="21" t="n">
        <f aca="false">D1837/(D1837+E1837)</f>
        <v>0.59375</v>
      </c>
      <c r="K1837" s="3" t="n">
        <f aca="false">IF(D1837&gt;E1837,1,0)</f>
        <v>1</v>
      </c>
      <c r="L1837" s="3" t="n">
        <f aca="false">IF(OR(F1837="Y",G1837="Y",H1837="Y"),1,0)</f>
        <v>1</v>
      </c>
      <c r="M1837" s="3" t="n">
        <f aca="false">IF(H1837="Y",1,0)</f>
        <v>1</v>
      </c>
      <c r="N1837" s="3" t="n">
        <f aca="false">IF(I1837="Y",1,0)</f>
        <v>0</v>
      </c>
    </row>
    <row r="1838" customFormat="false" ht="15" hidden="false" customHeight="true" outlineLevel="0" collapsed="false">
      <c r="A1838" s="7" t="s">
        <v>70</v>
      </c>
      <c r="B1838" s="7" t="n">
        <v>2002</v>
      </c>
      <c r="C1838" s="7" t="s">
        <v>371</v>
      </c>
      <c r="D1838" s="7" t="n">
        <v>103</v>
      </c>
      <c r="E1838" s="7" t="n">
        <v>58</v>
      </c>
      <c r="F1838" s="7" t="s">
        <v>548</v>
      </c>
      <c r="G1838" s="7" t="s">
        <v>546</v>
      </c>
      <c r="H1838" s="7" t="s">
        <v>546</v>
      </c>
      <c r="I1838" s="7" t="s">
        <v>546</v>
      </c>
      <c r="J1838" s="21" t="n">
        <f aca="false">D1838/(D1838+E1838)</f>
        <v>0.639751552795031</v>
      </c>
      <c r="K1838" s="3" t="n">
        <f aca="false">IF(D1838&gt;E1838,1,0)</f>
        <v>1</v>
      </c>
      <c r="L1838" s="3" t="n">
        <f aca="false">IF(OR(F1838="Y",G1838="Y",H1838="Y"),1,0)</f>
        <v>1</v>
      </c>
      <c r="M1838" s="3" t="n">
        <f aca="false">IF(H1838="Y",1,0)</f>
        <v>0</v>
      </c>
      <c r="N1838" s="3" t="n">
        <f aca="false">IF(I1838="Y",1,0)</f>
        <v>0</v>
      </c>
    </row>
    <row r="1839" customFormat="false" ht="15" hidden="false" customHeight="true" outlineLevel="0" collapsed="false">
      <c r="A1839" s="7" t="s">
        <v>70</v>
      </c>
      <c r="B1839" s="7" t="n">
        <v>2003</v>
      </c>
      <c r="C1839" s="7" t="s">
        <v>371</v>
      </c>
      <c r="D1839" s="7" t="n">
        <v>101</v>
      </c>
      <c r="E1839" s="7" t="n">
        <v>61</v>
      </c>
      <c r="F1839" s="7" t="s">
        <v>548</v>
      </c>
      <c r="G1839" s="7" t="s">
        <v>546</v>
      </c>
      <c r="H1839" s="7" t="s">
        <v>548</v>
      </c>
      <c r="I1839" s="7" t="s">
        <v>546</v>
      </c>
      <c r="J1839" s="21" t="n">
        <f aca="false">D1839/(D1839+E1839)</f>
        <v>0.623456790123457</v>
      </c>
      <c r="K1839" s="3" t="n">
        <f aca="false">IF(D1839&gt;E1839,1,0)</f>
        <v>1</v>
      </c>
      <c r="L1839" s="3" t="n">
        <f aca="false">IF(OR(F1839="Y",G1839="Y",H1839="Y"),1,0)</f>
        <v>1</v>
      </c>
      <c r="M1839" s="3" t="n">
        <f aca="false">IF(H1839="Y",1,0)</f>
        <v>1</v>
      </c>
      <c r="N1839" s="3" t="n">
        <f aca="false">IF(I1839="Y",1,0)</f>
        <v>0</v>
      </c>
    </row>
    <row r="1840" customFormat="false" ht="15" hidden="false" customHeight="true" outlineLevel="0" collapsed="false">
      <c r="A1840" s="7" t="s">
        <v>70</v>
      </c>
      <c r="B1840" s="7" t="n">
        <v>2004</v>
      </c>
      <c r="C1840" s="7" t="s">
        <v>371</v>
      </c>
      <c r="D1840" s="7" t="n">
        <v>101</v>
      </c>
      <c r="E1840" s="7" t="n">
        <v>61</v>
      </c>
      <c r="F1840" s="7" t="s">
        <v>548</v>
      </c>
      <c r="G1840" s="7" t="s">
        <v>546</v>
      </c>
      <c r="H1840" s="7" t="s">
        <v>546</v>
      </c>
      <c r="I1840" s="7" t="s">
        <v>546</v>
      </c>
      <c r="J1840" s="21" t="n">
        <f aca="false">D1840/(D1840+E1840)</f>
        <v>0.623456790123457</v>
      </c>
      <c r="K1840" s="3" t="n">
        <f aca="false">IF(D1840&gt;E1840,1,0)</f>
        <v>1</v>
      </c>
      <c r="L1840" s="3" t="n">
        <f aca="false">IF(OR(F1840="Y",G1840="Y",H1840="Y"),1,0)</f>
        <v>1</v>
      </c>
      <c r="M1840" s="3" t="n">
        <f aca="false">IF(H1840="Y",1,0)</f>
        <v>0</v>
      </c>
      <c r="N1840" s="3" t="n">
        <f aca="false">IF(I1840="Y",1,0)</f>
        <v>0</v>
      </c>
    </row>
    <row r="1841" customFormat="false" ht="15" hidden="false" customHeight="true" outlineLevel="0" collapsed="false">
      <c r="A1841" s="7" t="s">
        <v>70</v>
      </c>
      <c r="B1841" s="7" t="n">
        <v>2005</v>
      </c>
      <c r="C1841" s="7" t="s">
        <v>371</v>
      </c>
      <c r="D1841" s="7" t="n">
        <v>95</v>
      </c>
      <c r="E1841" s="7" t="n">
        <v>67</v>
      </c>
      <c r="F1841" s="7" t="s">
        <v>548</v>
      </c>
      <c r="G1841" s="7" t="s">
        <v>546</v>
      </c>
      <c r="H1841" s="7" t="s">
        <v>546</v>
      </c>
      <c r="I1841" s="7" t="s">
        <v>546</v>
      </c>
      <c r="J1841" s="21" t="n">
        <f aca="false">D1841/(D1841+E1841)</f>
        <v>0.58641975308642</v>
      </c>
      <c r="K1841" s="3" t="n">
        <f aca="false">IF(D1841&gt;E1841,1,0)</f>
        <v>1</v>
      </c>
      <c r="L1841" s="3" t="n">
        <f aca="false">IF(OR(F1841="Y",G1841="Y",H1841="Y"),1,0)</f>
        <v>1</v>
      </c>
      <c r="M1841" s="3" t="n">
        <f aca="false">IF(H1841="Y",1,0)</f>
        <v>0</v>
      </c>
      <c r="N1841" s="3" t="n">
        <f aca="false">IF(I1841="Y",1,0)</f>
        <v>0</v>
      </c>
    </row>
    <row r="1842" customFormat="false" ht="15" hidden="false" customHeight="true" outlineLevel="0" collapsed="false">
      <c r="A1842" s="7" t="s">
        <v>70</v>
      </c>
      <c r="B1842" s="7" t="n">
        <v>2006</v>
      </c>
      <c r="C1842" s="7" t="s">
        <v>371</v>
      </c>
      <c r="D1842" s="7" t="n">
        <v>97</v>
      </c>
      <c r="E1842" s="7" t="n">
        <v>65</v>
      </c>
      <c r="F1842" s="7" t="s">
        <v>548</v>
      </c>
      <c r="G1842" s="7" t="s">
        <v>546</v>
      </c>
      <c r="H1842" s="7" t="s">
        <v>546</v>
      </c>
      <c r="I1842" s="7" t="s">
        <v>546</v>
      </c>
      <c r="J1842" s="21" t="n">
        <f aca="false">D1842/(D1842+E1842)</f>
        <v>0.598765432098765</v>
      </c>
      <c r="K1842" s="3" t="n">
        <f aca="false">IF(D1842&gt;E1842,1,0)</f>
        <v>1</v>
      </c>
      <c r="L1842" s="3" t="n">
        <f aca="false">IF(OR(F1842="Y",G1842="Y",H1842="Y"),1,0)</f>
        <v>1</v>
      </c>
      <c r="M1842" s="3" t="n">
        <f aca="false">IF(H1842="Y",1,0)</f>
        <v>0</v>
      </c>
      <c r="N1842" s="3" t="n">
        <f aca="false">IF(I1842="Y",1,0)</f>
        <v>0</v>
      </c>
    </row>
    <row r="1843" customFormat="false" ht="15" hidden="false" customHeight="true" outlineLevel="0" collapsed="false">
      <c r="A1843" s="7" t="s">
        <v>70</v>
      </c>
      <c r="B1843" s="7" t="n">
        <v>2007</v>
      </c>
      <c r="C1843" s="7" t="s">
        <v>371</v>
      </c>
      <c r="D1843" s="7" t="n">
        <v>94</v>
      </c>
      <c r="E1843" s="7" t="n">
        <v>68</v>
      </c>
      <c r="F1843" s="7" t="s">
        <v>546</v>
      </c>
      <c r="G1843" s="7" t="s">
        <v>548</v>
      </c>
      <c r="H1843" s="7" t="s">
        <v>546</v>
      </c>
      <c r="I1843" s="7" t="s">
        <v>546</v>
      </c>
      <c r="J1843" s="21" t="n">
        <f aca="false">D1843/(D1843+E1843)</f>
        <v>0.580246913580247</v>
      </c>
      <c r="K1843" s="3" t="n">
        <f aca="false">IF(D1843&gt;E1843,1,0)</f>
        <v>1</v>
      </c>
      <c r="L1843" s="3" t="n">
        <f aca="false">IF(OR(F1843="Y",G1843="Y",H1843="Y"),1,0)</f>
        <v>1</v>
      </c>
      <c r="M1843" s="3" t="n">
        <f aca="false">IF(H1843="Y",1,0)</f>
        <v>0</v>
      </c>
      <c r="N1843" s="3" t="n">
        <f aca="false">IF(I1843="Y",1,0)</f>
        <v>0</v>
      </c>
    </row>
    <row r="1844" customFormat="false" ht="15" hidden="false" customHeight="true" outlineLevel="0" collapsed="false">
      <c r="A1844" s="7" t="s">
        <v>70</v>
      </c>
      <c r="B1844" s="7" t="n">
        <v>2008</v>
      </c>
      <c r="C1844" s="7" t="s">
        <v>371</v>
      </c>
      <c r="D1844" s="7" t="n">
        <v>89</v>
      </c>
      <c r="E1844" s="7" t="n">
        <v>73</v>
      </c>
      <c r="F1844" s="7" t="s">
        <v>546</v>
      </c>
      <c r="G1844" s="7" t="s">
        <v>546</v>
      </c>
      <c r="H1844" s="7" t="s">
        <v>546</v>
      </c>
      <c r="I1844" s="7" t="s">
        <v>546</v>
      </c>
      <c r="J1844" s="21" t="n">
        <f aca="false">D1844/(D1844+E1844)</f>
        <v>0.549382716049383</v>
      </c>
      <c r="K1844" s="3" t="n">
        <f aca="false">IF(D1844&gt;E1844,1,0)</f>
        <v>1</v>
      </c>
      <c r="L1844" s="3" t="n">
        <f aca="false">IF(OR(F1844="Y",G1844="Y",H1844="Y"),1,0)</f>
        <v>0</v>
      </c>
      <c r="M1844" s="3" t="n">
        <f aca="false">IF(H1844="Y",1,0)</f>
        <v>0</v>
      </c>
      <c r="N1844" s="3" t="n">
        <f aca="false">IF(I1844="Y",1,0)</f>
        <v>0</v>
      </c>
    </row>
    <row r="1845" customFormat="false" ht="15" hidden="false" customHeight="true" outlineLevel="0" collapsed="false">
      <c r="A1845" s="7" t="s">
        <v>70</v>
      </c>
      <c r="B1845" s="7" t="n">
        <v>2009</v>
      </c>
      <c r="C1845" s="7" t="s">
        <v>371</v>
      </c>
      <c r="D1845" s="7" t="n">
        <v>103</v>
      </c>
      <c r="E1845" s="7" t="n">
        <v>59</v>
      </c>
      <c r="F1845" s="7" t="s">
        <v>548</v>
      </c>
      <c r="G1845" s="7" t="s">
        <v>546</v>
      </c>
      <c r="H1845" s="7" t="s">
        <v>548</v>
      </c>
      <c r="I1845" s="7" t="s">
        <v>548</v>
      </c>
      <c r="J1845" s="21" t="n">
        <f aca="false">D1845/(D1845+E1845)</f>
        <v>0.635802469135803</v>
      </c>
      <c r="K1845" s="3" t="n">
        <f aca="false">IF(D1845&gt;E1845,1,0)</f>
        <v>1</v>
      </c>
      <c r="L1845" s="3" t="n">
        <f aca="false">IF(OR(F1845="Y",G1845="Y",H1845="Y"),1,0)</f>
        <v>1</v>
      </c>
      <c r="M1845" s="3" t="n">
        <f aca="false">IF(H1845="Y",1,0)</f>
        <v>1</v>
      </c>
      <c r="N1845" s="3" t="n">
        <f aca="false">IF(I1845="Y",1,0)</f>
        <v>1</v>
      </c>
    </row>
    <row r="1846" customFormat="false" ht="15" hidden="false" customHeight="true" outlineLevel="0" collapsed="false">
      <c r="A1846" s="7" t="s">
        <v>70</v>
      </c>
      <c r="B1846" s="7" t="n">
        <v>2010</v>
      </c>
      <c r="C1846" s="7" t="s">
        <v>371</v>
      </c>
      <c r="D1846" s="7" t="n">
        <v>95</v>
      </c>
      <c r="E1846" s="7" t="n">
        <v>67</v>
      </c>
      <c r="F1846" s="7" t="s">
        <v>546</v>
      </c>
      <c r="G1846" s="7" t="s">
        <v>548</v>
      </c>
      <c r="H1846" s="7" t="s">
        <v>546</v>
      </c>
      <c r="I1846" s="7" t="s">
        <v>546</v>
      </c>
      <c r="J1846" s="21" t="n">
        <f aca="false">D1846/(D1846+E1846)</f>
        <v>0.58641975308642</v>
      </c>
      <c r="K1846" s="3" t="n">
        <f aca="false">IF(D1846&gt;E1846,1,0)</f>
        <v>1</v>
      </c>
      <c r="L1846" s="3" t="n">
        <f aca="false">IF(OR(F1846="Y",G1846="Y",H1846="Y"),1,0)</f>
        <v>1</v>
      </c>
      <c r="M1846" s="3" t="n">
        <f aca="false">IF(H1846="Y",1,0)</f>
        <v>0</v>
      </c>
      <c r="N1846" s="3" t="n">
        <f aca="false">IF(I1846="Y",1,0)</f>
        <v>0</v>
      </c>
    </row>
    <row r="1847" customFormat="false" ht="15" hidden="false" customHeight="true" outlineLevel="0" collapsed="false">
      <c r="A1847" s="7" t="s">
        <v>70</v>
      </c>
      <c r="B1847" s="7" t="n">
        <v>2011</v>
      </c>
      <c r="C1847" s="7" t="s">
        <v>371</v>
      </c>
      <c r="D1847" s="7" t="n">
        <v>97</v>
      </c>
      <c r="E1847" s="7" t="n">
        <v>65</v>
      </c>
      <c r="F1847" s="7" t="s">
        <v>548</v>
      </c>
      <c r="G1847" s="7" t="s">
        <v>546</v>
      </c>
      <c r="H1847" s="7" t="s">
        <v>546</v>
      </c>
      <c r="I1847" s="7" t="s">
        <v>546</v>
      </c>
      <c r="J1847" s="21" t="n">
        <f aca="false">D1847/(D1847+E1847)</f>
        <v>0.598765432098765</v>
      </c>
      <c r="K1847" s="3" t="n">
        <f aca="false">IF(D1847&gt;E1847,1,0)</f>
        <v>1</v>
      </c>
      <c r="L1847" s="3" t="n">
        <f aca="false">IF(OR(F1847="Y",G1847="Y",H1847="Y"),1,0)</f>
        <v>1</v>
      </c>
      <c r="M1847" s="3" t="n">
        <f aca="false">IF(H1847="Y",1,0)</f>
        <v>0</v>
      </c>
      <c r="N1847" s="3" t="n">
        <f aca="false">IF(I1847="Y",1,0)</f>
        <v>0</v>
      </c>
    </row>
    <row r="1848" customFormat="false" ht="15" hidden="false" customHeight="true" outlineLevel="0" collapsed="false">
      <c r="A1848" s="7" t="s">
        <v>70</v>
      </c>
      <c r="B1848" s="7" t="n">
        <v>2012</v>
      </c>
      <c r="C1848" s="7" t="s">
        <v>371</v>
      </c>
      <c r="D1848" s="7" t="n">
        <v>95</v>
      </c>
      <c r="E1848" s="7" t="n">
        <v>67</v>
      </c>
      <c r="F1848" s="7" t="s">
        <v>548</v>
      </c>
      <c r="G1848" s="7" t="s">
        <v>546</v>
      </c>
      <c r="H1848" s="7" t="s">
        <v>546</v>
      </c>
      <c r="I1848" s="7" t="s">
        <v>546</v>
      </c>
      <c r="J1848" s="21" t="n">
        <f aca="false">D1848/(D1848+E1848)</f>
        <v>0.58641975308642</v>
      </c>
      <c r="K1848" s="3" t="n">
        <f aca="false">IF(D1848&gt;E1848,1,0)</f>
        <v>1</v>
      </c>
      <c r="L1848" s="3" t="n">
        <f aca="false">IF(OR(F1848="Y",G1848="Y",H1848="Y"),1,0)</f>
        <v>1</v>
      </c>
      <c r="M1848" s="3" t="n">
        <f aca="false">IF(H1848="Y",1,0)</f>
        <v>0</v>
      </c>
      <c r="N1848" s="3" t="n">
        <f aca="false">IF(I1848="Y",1,0)</f>
        <v>0</v>
      </c>
    </row>
    <row r="1849" customFormat="false" ht="15" hidden="false" customHeight="true" outlineLevel="0" collapsed="false">
      <c r="A1849" s="7" t="s">
        <v>70</v>
      </c>
      <c r="B1849" s="7" t="n">
        <v>2013</v>
      </c>
      <c r="C1849" s="7" t="s">
        <v>371</v>
      </c>
      <c r="D1849" s="7" t="n">
        <v>85</v>
      </c>
      <c r="E1849" s="7" t="n">
        <v>77</v>
      </c>
      <c r="F1849" s="7" t="s">
        <v>546</v>
      </c>
      <c r="G1849" s="7" t="s">
        <v>546</v>
      </c>
      <c r="H1849" s="7" t="s">
        <v>546</v>
      </c>
      <c r="I1849" s="7" t="s">
        <v>546</v>
      </c>
      <c r="J1849" s="21" t="n">
        <f aca="false">D1849/(D1849+E1849)</f>
        <v>0.524691358024691</v>
      </c>
      <c r="K1849" s="3" t="n">
        <f aca="false">IF(D1849&gt;E1849,1,0)</f>
        <v>1</v>
      </c>
      <c r="L1849" s="3" t="n">
        <f aca="false">IF(OR(F1849="Y",G1849="Y",H1849="Y"),1,0)</f>
        <v>0</v>
      </c>
      <c r="M1849" s="3" t="n">
        <f aca="false">IF(H1849="Y",1,0)</f>
        <v>0</v>
      </c>
      <c r="N1849" s="3" t="n">
        <f aca="false">IF(I1849="Y",1,0)</f>
        <v>0</v>
      </c>
    </row>
    <row r="1850" customFormat="false" ht="15" hidden="false" customHeight="true" outlineLevel="0" collapsed="false">
      <c r="A1850" s="7" t="s">
        <v>70</v>
      </c>
      <c r="B1850" s="7" t="n">
        <v>2014</v>
      </c>
      <c r="C1850" s="7" t="s">
        <v>371</v>
      </c>
      <c r="D1850" s="7" t="n">
        <v>84</v>
      </c>
      <c r="E1850" s="7" t="n">
        <v>78</v>
      </c>
      <c r="F1850" s="7" t="s">
        <v>546</v>
      </c>
      <c r="G1850" s="7" t="s">
        <v>546</v>
      </c>
      <c r="H1850" s="7" t="s">
        <v>546</v>
      </c>
      <c r="I1850" s="7" t="s">
        <v>546</v>
      </c>
      <c r="J1850" s="21" t="n">
        <f aca="false">D1850/(D1850+E1850)</f>
        <v>0.518518518518519</v>
      </c>
      <c r="K1850" s="3" t="n">
        <f aca="false">IF(D1850&gt;E1850,1,0)</f>
        <v>1</v>
      </c>
      <c r="L1850" s="3" t="n">
        <f aca="false">IF(OR(F1850="Y",G1850="Y",H1850="Y"),1,0)</f>
        <v>0</v>
      </c>
      <c r="M1850" s="3" t="n">
        <f aca="false">IF(H1850="Y",1,0)</f>
        <v>0</v>
      </c>
      <c r="N1850" s="3" t="n">
        <f aca="false">IF(I1850="Y",1,0)</f>
        <v>0</v>
      </c>
    </row>
    <row r="1851" customFormat="false" ht="15" hidden="false" customHeight="true" outlineLevel="0" collapsed="false">
      <c r="A1851" s="7" t="s">
        <v>70</v>
      </c>
      <c r="B1851" s="7" t="n">
        <v>2015</v>
      </c>
      <c r="C1851" s="7" t="s">
        <v>371</v>
      </c>
      <c r="D1851" s="7" t="n">
        <v>87</v>
      </c>
      <c r="E1851" s="7" t="n">
        <v>75</v>
      </c>
      <c r="F1851" s="7" t="s">
        <v>546</v>
      </c>
      <c r="G1851" s="7" t="s">
        <v>548</v>
      </c>
      <c r="H1851" s="7" t="s">
        <v>546</v>
      </c>
      <c r="I1851" s="7" t="s">
        <v>546</v>
      </c>
      <c r="J1851" s="21" t="n">
        <f aca="false">D1851/(D1851+E1851)</f>
        <v>0.537037037037037</v>
      </c>
      <c r="K1851" s="3" t="n">
        <f aca="false">IF(D1851&gt;E1851,1,0)</f>
        <v>1</v>
      </c>
      <c r="L1851" s="3" t="n">
        <f aca="false">IF(OR(F1851="Y",G1851="Y",H1851="Y"),1,0)</f>
        <v>1</v>
      </c>
      <c r="M1851" s="3" t="n">
        <f aca="false">IF(H1851="Y",1,0)</f>
        <v>0</v>
      </c>
      <c r="N1851" s="3" t="n">
        <f aca="false">IF(I1851="Y",1,0)</f>
        <v>0</v>
      </c>
    </row>
    <row r="1852" customFormat="false" ht="15" hidden="false" customHeight="true" outlineLevel="0" collapsed="false">
      <c r="A1852" s="7" t="s">
        <v>70</v>
      </c>
      <c r="B1852" s="7" t="n">
        <v>2016</v>
      </c>
      <c r="C1852" s="7" t="s">
        <v>371</v>
      </c>
      <c r="D1852" s="7" t="n">
        <v>84</v>
      </c>
      <c r="E1852" s="7" t="n">
        <v>78</v>
      </c>
      <c r="F1852" s="7" t="s">
        <v>546</v>
      </c>
      <c r="G1852" s="7" t="s">
        <v>546</v>
      </c>
      <c r="H1852" s="7" t="s">
        <v>546</v>
      </c>
      <c r="I1852" s="7" t="s">
        <v>546</v>
      </c>
      <c r="J1852" s="21" t="n">
        <f aca="false">D1852/(D1852+E1852)</f>
        <v>0.518518518518519</v>
      </c>
      <c r="K1852" s="3" t="n">
        <f aca="false">IF(D1852&gt;E1852,1,0)</f>
        <v>1</v>
      </c>
      <c r="L1852" s="3" t="n">
        <f aca="false">IF(OR(F1852="Y",G1852="Y",H1852="Y"),1,0)</f>
        <v>0</v>
      </c>
      <c r="M1852" s="3" t="n">
        <f aca="false">IF(H1852="Y",1,0)</f>
        <v>0</v>
      </c>
      <c r="N1852" s="3" t="n">
        <f aca="false">IF(I1852="Y",1,0)</f>
        <v>0</v>
      </c>
    </row>
    <row r="1853" customFormat="false" ht="15" hidden="false" customHeight="true" outlineLevel="0" collapsed="false">
      <c r="A1853" s="7" t="s">
        <v>70</v>
      </c>
      <c r="B1853" s="7" t="n">
        <v>2017</v>
      </c>
      <c r="C1853" s="7" t="s">
        <v>371</v>
      </c>
      <c r="D1853" s="7" t="n">
        <v>91</v>
      </c>
      <c r="E1853" s="7" t="n">
        <v>71</v>
      </c>
      <c r="F1853" s="7" t="s">
        <v>546</v>
      </c>
      <c r="G1853" s="7" t="s">
        <v>548</v>
      </c>
      <c r="H1853" s="7" t="s">
        <v>546</v>
      </c>
      <c r="I1853" s="7" t="s">
        <v>546</v>
      </c>
      <c r="J1853" s="21" t="n">
        <f aca="false">D1853/(D1853+E1853)</f>
        <v>0.561728395061728</v>
      </c>
      <c r="K1853" s="3" t="n">
        <f aca="false">IF(D1853&gt;E1853,1,0)</f>
        <v>1</v>
      </c>
      <c r="L1853" s="3" t="n">
        <f aca="false">IF(OR(F1853="Y",G1853="Y",H1853="Y"),1,0)</f>
        <v>1</v>
      </c>
      <c r="M1853" s="3" t="n">
        <f aca="false">IF(H1853="Y",1,0)</f>
        <v>0</v>
      </c>
      <c r="N1853" s="3" t="n">
        <f aca="false">IF(I1853="Y",1,0)</f>
        <v>0</v>
      </c>
    </row>
    <row r="1854" customFormat="false" ht="15" hidden="false" customHeight="true" outlineLevel="0" collapsed="false">
      <c r="A1854" s="7" t="s">
        <v>70</v>
      </c>
      <c r="B1854" s="7" t="n">
        <v>2018</v>
      </c>
      <c r="C1854" s="7" t="s">
        <v>371</v>
      </c>
      <c r="D1854" s="7" t="n">
        <v>100</v>
      </c>
      <c r="E1854" s="7" t="n">
        <v>62</v>
      </c>
      <c r="F1854" s="7" t="s">
        <v>546</v>
      </c>
      <c r="G1854" s="7" t="s">
        <v>548</v>
      </c>
      <c r="H1854" s="7" t="s">
        <v>546</v>
      </c>
      <c r="I1854" s="7" t="s">
        <v>546</v>
      </c>
      <c r="J1854" s="21" t="n">
        <f aca="false">D1854/(D1854+E1854)</f>
        <v>0.617283950617284</v>
      </c>
      <c r="K1854" s="3" t="n">
        <f aca="false">IF(D1854&gt;E1854,1,0)</f>
        <v>1</v>
      </c>
      <c r="L1854" s="3" t="n">
        <f aca="false">IF(OR(F1854="Y",G1854="Y",H1854="Y"),1,0)</f>
        <v>1</v>
      </c>
      <c r="M1854" s="3" t="n">
        <f aca="false">IF(H1854="Y",1,0)</f>
        <v>0</v>
      </c>
      <c r="N1854" s="3" t="n">
        <f aca="false">IF(I1854="Y",1,0)</f>
        <v>0</v>
      </c>
    </row>
    <row r="1855" customFormat="false" ht="15" hidden="false" customHeight="true" outlineLevel="0" collapsed="false">
      <c r="A1855" s="7" t="s">
        <v>70</v>
      </c>
      <c r="B1855" s="7" t="n">
        <v>2019</v>
      </c>
      <c r="C1855" s="7" t="s">
        <v>371</v>
      </c>
      <c r="D1855" s="7" t="n">
        <v>103</v>
      </c>
      <c r="E1855" s="7" t="n">
        <v>59</v>
      </c>
      <c r="F1855" s="7" t="s">
        <v>548</v>
      </c>
      <c r="G1855" s="7" t="s">
        <v>546</v>
      </c>
      <c r="H1855" s="7" t="s">
        <v>546</v>
      </c>
      <c r="I1855" s="7" t="s">
        <v>546</v>
      </c>
      <c r="J1855" s="21" t="n">
        <f aca="false">D1855/(D1855+E1855)</f>
        <v>0.635802469135803</v>
      </c>
      <c r="K1855" s="3" t="n">
        <f aca="false">IF(D1855&gt;E1855,1,0)</f>
        <v>1</v>
      </c>
      <c r="L1855" s="3" t="n">
        <f aca="false">IF(OR(F1855="Y",G1855="Y",H1855="Y"),1,0)</f>
        <v>1</v>
      </c>
      <c r="M1855" s="3" t="n">
        <f aca="false">IF(H1855="Y",1,0)</f>
        <v>0</v>
      </c>
      <c r="N1855" s="3" t="n">
        <f aca="false">IF(I1855="Y",1,0)</f>
        <v>0</v>
      </c>
    </row>
    <row r="1856" customFormat="false" ht="15" hidden="false" customHeight="true" outlineLevel="0" collapsed="false">
      <c r="A1856" s="7" t="s">
        <v>70</v>
      </c>
      <c r="B1856" s="7" t="n">
        <v>2020</v>
      </c>
      <c r="C1856" s="7" t="s">
        <v>371</v>
      </c>
      <c r="D1856" s="7" t="n">
        <v>33</v>
      </c>
      <c r="E1856" s="7" t="n">
        <v>27</v>
      </c>
      <c r="F1856" s="7" t="s">
        <v>546</v>
      </c>
      <c r="G1856" s="7" t="s">
        <v>548</v>
      </c>
      <c r="H1856" s="7" t="s">
        <v>546</v>
      </c>
      <c r="I1856" s="7" t="s">
        <v>546</v>
      </c>
      <c r="J1856" s="21" t="n">
        <f aca="false">D1856/(D1856+E1856)</f>
        <v>0.55</v>
      </c>
      <c r="K1856" s="3" t="n">
        <f aca="false">IF(D1856&gt;E1856,1,0)</f>
        <v>1</v>
      </c>
      <c r="L1856" s="3" t="n">
        <f aca="false">IF(OR(F1856="Y",G1856="Y",H1856="Y"),1,0)</f>
        <v>1</v>
      </c>
      <c r="M1856" s="3" t="n">
        <f aca="false">IF(H1856="Y",1,0)</f>
        <v>0</v>
      </c>
      <c r="N1856" s="3" t="n">
        <f aca="false">IF(I1856="Y",1,0)</f>
        <v>0</v>
      </c>
    </row>
    <row r="1857" customFormat="false" ht="15" hidden="false" customHeight="true" outlineLevel="0" collapsed="false">
      <c r="A1857" s="7" t="s">
        <v>70</v>
      </c>
      <c r="B1857" s="7" t="n">
        <v>2021</v>
      </c>
      <c r="C1857" s="7" t="s">
        <v>371</v>
      </c>
      <c r="D1857" s="7" t="n">
        <v>92</v>
      </c>
      <c r="E1857" s="7" t="n">
        <v>70</v>
      </c>
      <c r="F1857" s="7" t="s">
        <v>546</v>
      </c>
      <c r="G1857" s="7" t="s">
        <v>548</v>
      </c>
      <c r="H1857" s="7" t="s">
        <v>546</v>
      </c>
      <c r="I1857" s="7" t="s">
        <v>546</v>
      </c>
      <c r="J1857" s="21" t="n">
        <f aca="false">D1857/(D1857+E1857)</f>
        <v>0.567901234567901</v>
      </c>
      <c r="K1857" s="3" t="n">
        <f aca="false">IF(D1857&gt;E1857,1,0)</f>
        <v>1</v>
      </c>
      <c r="L1857" s="3" t="n">
        <f aca="false">IF(OR(F1857="Y",G1857="Y",H1857="Y"),1,0)</f>
        <v>1</v>
      </c>
      <c r="M1857" s="3" t="n">
        <f aca="false">IF(H1857="Y",1,0)</f>
        <v>0</v>
      </c>
      <c r="N1857" s="3" t="n">
        <f aca="false">IF(I1857="Y",1,0)</f>
        <v>0</v>
      </c>
    </row>
    <row r="1858" customFormat="false" ht="15" hidden="false" customHeight="true" outlineLevel="0" collapsed="false">
      <c r="A1858" s="7" t="s">
        <v>70</v>
      </c>
      <c r="B1858" s="7" t="n">
        <v>2022</v>
      </c>
      <c r="C1858" s="7" t="s">
        <v>371</v>
      </c>
      <c r="D1858" s="7" t="n">
        <v>99</v>
      </c>
      <c r="E1858" s="7" t="n">
        <v>63</v>
      </c>
      <c r="F1858" s="7" t="s">
        <v>548</v>
      </c>
      <c r="G1858" s="7" t="s">
        <v>546</v>
      </c>
      <c r="H1858" s="7" t="s">
        <v>546</v>
      </c>
      <c r="I1858" s="7" t="s">
        <v>546</v>
      </c>
      <c r="J1858" s="21" t="n">
        <f aca="false">D1858/(D1858+E1858)</f>
        <v>0.611111111111111</v>
      </c>
      <c r="K1858" s="3" t="n">
        <f aca="false">IF(D1858&gt;E1858,1,0)</f>
        <v>1</v>
      </c>
      <c r="L1858" s="3" t="n">
        <f aca="false">IF(OR(F1858="Y",G1858="Y",H1858="Y"),1,0)</f>
        <v>1</v>
      </c>
      <c r="M1858" s="3" t="n">
        <f aca="false">IF(H1858="Y",1,0)</f>
        <v>0</v>
      </c>
      <c r="N1858" s="3" t="n">
        <f aca="false">IF(I1858="Y",1,0)</f>
        <v>0</v>
      </c>
    </row>
    <row r="1859" customFormat="false" ht="15" hidden="false" customHeight="true" outlineLevel="0" collapsed="false">
      <c r="A1859" s="7" t="s">
        <v>70</v>
      </c>
      <c r="B1859" s="7" t="n">
        <v>2023</v>
      </c>
      <c r="C1859" s="7" t="s">
        <v>371</v>
      </c>
      <c r="D1859" s="7" t="n">
        <v>82</v>
      </c>
      <c r="E1859" s="7" t="n">
        <v>80</v>
      </c>
      <c r="F1859" s="7" t="s">
        <v>546</v>
      </c>
      <c r="G1859" s="7" t="s">
        <v>546</v>
      </c>
      <c r="H1859" s="7" t="s">
        <v>546</v>
      </c>
      <c r="I1859" s="7" t="s">
        <v>546</v>
      </c>
      <c r="J1859" s="21" t="n">
        <f aca="false">D1859/(D1859+E1859)</f>
        <v>0.506172839506173</v>
      </c>
      <c r="K1859" s="3" t="n">
        <f aca="false">IF(D1859&gt;E1859,1,0)</f>
        <v>1</v>
      </c>
      <c r="L1859" s="3" t="n">
        <f aca="false">IF(OR(F1859="Y",G1859="Y",H1859="Y"),1,0)</f>
        <v>0</v>
      </c>
      <c r="M1859" s="3" t="n">
        <f aca="false">IF(H1859="Y",1,0)</f>
        <v>0</v>
      </c>
      <c r="N1859" s="3" t="n">
        <f aca="false">IF(I1859="Y",1,0)</f>
        <v>0</v>
      </c>
    </row>
    <row r="1860" customFormat="false" ht="15" hidden="false" customHeight="true" outlineLevel="0" collapsed="false">
      <c r="A1860" s="7" t="s">
        <v>70</v>
      </c>
      <c r="B1860" s="7" t="n">
        <v>2024</v>
      </c>
      <c r="C1860" s="7" t="s">
        <v>371</v>
      </c>
      <c r="D1860" s="7" t="n">
        <v>94</v>
      </c>
      <c r="E1860" s="7" t="n">
        <v>68</v>
      </c>
      <c r="F1860" s="7" t="s">
        <v>548</v>
      </c>
      <c r="G1860" s="7" t="s">
        <v>546</v>
      </c>
      <c r="H1860" s="7" t="s">
        <v>548</v>
      </c>
      <c r="I1860" s="7" t="s">
        <v>546</v>
      </c>
      <c r="J1860" s="21" t="n">
        <f aca="false">D1860/(D1860+E1860)</f>
        <v>0.580246913580247</v>
      </c>
      <c r="K1860" s="3" t="n">
        <f aca="false">IF(D1860&gt;E1860,1,0)</f>
        <v>1</v>
      </c>
      <c r="L1860" s="3" t="n">
        <f aca="false">IF(OR(F1860="Y",G1860="Y",H1860="Y"),1,0)</f>
        <v>1</v>
      </c>
      <c r="M1860" s="3" t="n">
        <f aca="false">IF(H1860="Y",1,0)</f>
        <v>1</v>
      </c>
      <c r="N1860" s="3" t="n">
        <f aca="false">IF(I1860="Y",1,0)</f>
        <v>0</v>
      </c>
    </row>
    <row r="1861" customFormat="false" ht="15" hidden="false" customHeight="true" outlineLevel="0" collapsed="false">
      <c r="A1861" s="7" t="s">
        <v>70</v>
      </c>
      <c r="B1861" s="7" t="n">
        <v>2025</v>
      </c>
      <c r="C1861" s="7" t="s">
        <v>371</v>
      </c>
      <c r="D1861" s="7" t="n">
        <v>94</v>
      </c>
      <c r="E1861" s="7" t="n">
        <v>68</v>
      </c>
      <c r="F1861" s="7" t="s">
        <v>546</v>
      </c>
      <c r="G1861" s="7" t="s">
        <v>548</v>
      </c>
      <c r="H1861" s="7" t="s">
        <v>546</v>
      </c>
      <c r="I1861" s="7" t="s">
        <v>546</v>
      </c>
      <c r="J1861" s="21" t="n">
        <f aca="false">D1861/(D1861+E1861)</f>
        <v>0.580246913580247</v>
      </c>
      <c r="K1861" s="3" t="n">
        <f aca="false">IF(D1861&gt;E1861,1,0)</f>
        <v>1</v>
      </c>
      <c r="L1861" s="3" t="n">
        <f aca="false">IF(OR(F1861="Y",G1861="Y",H1861="Y"),1,0)</f>
        <v>1</v>
      </c>
      <c r="M1861" s="3" t="n">
        <f aca="false">IF(H1861="Y",1,0)</f>
        <v>0</v>
      </c>
      <c r="N1861" s="3" t="n">
        <f aca="false">IF(I1861="Y",1,0)</f>
        <v>0</v>
      </c>
    </row>
    <row r="1862" customFormat="false" ht="15" hidden="false" customHeight="true" outlineLevel="0" collapsed="false">
      <c r="A1862" s="7" t="s">
        <v>69</v>
      </c>
      <c r="B1862" s="7" t="n">
        <v>1901</v>
      </c>
      <c r="C1862" s="7" t="s">
        <v>405</v>
      </c>
      <c r="D1862" s="7" t="n">
        <v>74</v>
      </c>
      <c r="E1862" s="7" t="n">
        <v>62</v>
      </c>
      <c r="F1862" s="7"/>
      <c r="G1862" s="7"/>
      <c r="H1862" s="7" t="s">
        <v>546</v>
      </c>
      <c r="I1862" s="7"/>
      <c r="J1862" s="21" t="n">
        <f aca="false">D1862/(D1862+E1862)</f>
        <v>0.544117647058824</v>
      </c>
      <c r="K1862" s="3" t="n">
        <f aca="false">IF(D1862&gt;E1862,1,0)</f>
        <v>1</v>
      </c>
      <c r="L1862" s="3" t="n">
        <f aca="false">IF(OR(F1862="Y",G1862="Y",H1862="Y"),1,0)</f>
        <v>0</v>
      </c>
      <c r="M1862" s="3" t="n">
        <f aca="false">IF(H1862="Y",1,0)</f>
        <v>0</v>
      </c>
      <c r="N1862" s="3" t="n">
        <f aca="false">IF(I1862="Y",1,0)</f>
        <v>0</v>
      </c>
    </row>
    <row r="1863" customFormat="false" ht="15" hidden="false" customHeight="true" outlineLevel="0" collapsed="false">
      <c r="A1863" s="7" t="s">
        <v>69</v>
      </c>
      <c r="B1863" s="7" t="n">
        <v>1902</v>
      </c>
      <c r="C1863" s="7" t="s">
        <v>405</v>
      </c>
      <c r="D1863" s="7" t="n">
        <v>83</v>
      </c>
      <c r="E1863" s="7" t="n">
        <v>53</v>
      </c>
      <c r="F1863" s="7"/>
      <c r="G1863" s="7"/>
      <c r="H1863" s="7" t="s">
        <v>548</v>
      </c>
      <c r="I1863" s="7"/>
      <c r="J1863" s="21" t="n">
        <f aca="false">D1863/(D1863+E1863)</f>
        <v>0.610294117647059</v>
      </c>
      <c r="K1863" s="3" t="n">
        <f aca="false">IF(D1863&gt;E1863,1,0)</f>
        <v>1</v>
      </c>
      <c r="L1863" s="3" t="n">
        <f aca="false">IF(OR(F1863="Y",G1863="Y",H1863="Y"),1,0)</f>
        <v>1</v>
      </c>
      <c r="M1863" s="3" t="n">
        <f aca="false">IF(H1863="Y",1,0)</f>
        <v>1</v>
      </c>
      <c r="N1863" s="3" t="n">
        <f aca="false">IF(I1863="Y",1,0)</f>
        <v>0</v>
      </c>
    </row>
    <row r="1864" customFormat="false" ht="15" hidden="false" customHeight="true" outlineLevel="0" collapsed="false">
      <c r="A1864" s="7" t="s">
        <v>69</v>
      </c>
      <c r="B1864" s="7" t="n">
        <v>1903</v>
      </c>
      <c r="C1864" s="7" t="s">
        <v>405</v>
      </c>
      <c r="D1864" s="7" t="n">
        <v>75</v>
      </c>
      <c r="E1864" s="7" t="n">
        <v>60</v>
      </c>
      <c r="F1864" s="7"/>
      <c r="G1864" s="7"/>
      <c r="H1864" s="7" t="s">
        <v>546</v>
      </c>
      <c r="I1864" s="7" t="s">
        <v>546</v>
      </c>
      <c r="J1864" s="21" t="n">
        <f aca="false">D1864/(D1864+E1864)</f>
        <v>0.555555555555556</v>
      </c>
      <c r="K1864" s="3" t="n">
        <f aca="false">IF(D1864&gt;E1864,1,0)</f>
        <v>1</v>
      </c>
      <c r="L1864" s="3" t="n">
        <f aca="false">IF(OR(F1864="Y",G1864="Y",H1864="Y"),1,0)</f>
        <v>0</v>
      </c>
      <c r="M1864" s="3" t="n">
        <f aca="false">IF(H1864="Y",1,0)</f>
        <v>0</v>
      </c>
      <c r="N1864" s="3" t="n">
        <f aca="false">IF(I1864="Y",1,0)</f>
        <v>0</v>
      </c>
    </row>
    <row r="1865" customFormat="false" ht="15" hidden="false" customHeight="true" outlineLevel="0" collapsed="false">
      <c r="A1865" s="7" t="s">
        <v>69</v>
      </c>
      <c r="B1865" s="7" t="n">
        <v>1904</v>
      </c>
      <c r="C1865" s="7" t="s">
        <v>405</v>
      </c>
      <c r="D1865" s="7" t="n">
        <v>81</v>
      </c>
      <c r="E1865" s="7" t="n">
        <v>70</v>
      </c>
      <c r="F1865" s="7"/>
      <c r="G1865" s="7"/>
      <c r="H1865" s="7" t="s">
        <v>546</v>
      </c>
      <c r="I1865" s="7"/>
      <c r="J1865" s="21" t="n">
        <f aca="false">D1865/(D1865+E1865)</f>
        <v>0.536423841059603</v>
      </c>
      <c r="K1865" s="3" t="n">
        <f aca="false">IF(D1865&gt;E1865,1,0)</f>
        <v>1</v>
      </c>
      <c r="L1865" s="3" t="n">
        <f aca="false">IF(OR(F1865="Y",G1865="Y",H1865="Y"),1,0)</f>
        <v>0</v>
      </c>
      <c r="M1865" s="3" t="n">
        <f aca="false">IF(H1865="Y",1,0)</f>
        <v>0</v>
      </c>
      <c r="N1865" s="3" t="n">
        <f aca="false">IF(I1865="Y",1,0)</f>
        <v>0</v>
      </c>
    </row>
    <row r="1866" customFormat="false" ht="15" hidden="false" customHeight="true" outlineLevel="0" collapsed="false">
      <c r="A1866" s="7" t="s">
        <v>69</v>
      </c>
      <c r="B1866" s="7" t="n">
        <v>1905</v>
      </c>
      <c r="C1866" s="7" t="s">
        <v>405</v>
      </c>
      <c r="D1866" s="7" t="n">
        <v>92</v>
      </c>
      <c r="E1866" s="7" t="n">
        <v>56</v>
      </c>
      <c r="F1866" s="7"/>
      <c r="G1866" s="7"/>
      <c r="H1866" s="7" t="s">
        <v>548</v>
      </c>
      <c r="I1866" s="7" t="s">
        <v>546</v>
      </c>
      <c r="J1866" s="21" t="n">
        <f aca="false">D1866/(D1866+E1866)</f>
        <v>0.621621621621622</v>
      </c>
      <c r="K1866" s="3" t="n">
        <f aca="false">IF(D1866&gt;E1866,1,0)</f>
        <v>1</v>
      </c>
      <c r="L1866" s="3" t="n">
        <f aca="false">IF(OR(F1866="Y",G1866="Y",H1866="Y"),1,0)</f>
        <v>1</v>
      </c>
      <c r="M1866" s="3" t="n">
        <f aca="false">IF(H1866="Y",1,0)</f>
        <v>1</v>
      </c>
      <c r="N1866" s="3" t="n">
        <f aca="false">IF(I1866="Y",1,0)</f>
        <v>0</v>
      </c>
    </row>
    <row r="1867" customFormat="false" ht="15" hidden="false" customHeight="true" outlineLevel="0" collapsed="false">
      <c r="A1867" s="7" t="s">
        <v>69</v>
      </c>
      <c r="B1867" s="7" t="n">
        <v>1906</v>
      </c>
      <c r="C1867" s="7" t="s">
        <v>405</v>
      </c>
      <c r="D1867" s="7" t="n">
        <v>78</v>
      </c>
      <c r="E1867" s="7" t="n">
        <v>67</v>
      </c>
      <c r="F1867" s="7"/>
      <c r="G1867" s="7"/>
      <c r="H1867" s="7" t="s">
        <v>546</v>
      </c>
      <c r="I1867" s="7" t="s">
        <v>546</v>
      </c>
      <c r="J1867" s="21" t="n">
        <f aca="false">D1867/(D1867+E1867)</f>
        <v>0.537931034482759</v>
      </c>
      <c r="K1867" s="3" t="n">
        <f aca="false">IF(D1867&gt;E1867,1,0)</f>
        <v>1</v>
      </c>
      <c r="L1867" s="3" t="n">
        <f aca="false">IF(OR(F1867="Y",G1867="Y",H1867="Y"),1,0)</f>
        <v>0</v>
      </c>
      <c r="M1867" s="3" t="n">
        <f aca="false">IF(H1867="Y",1,0)</f>
        <v>0</v>
      </c>
      <c r="N1867" s="3" t="n">
        <f aca="false">IF(I1867="Y",1,0)</f>
        <v>0</v>
      </c>
    </row>
    <row r="1868" customFormat="false" ht="15" hidden="false" customHeight="true" outlineLevel="0" collapsed="false">
      <c r="A1868" s="7" t="s">
        <v>69</v>
      </c>
      <c r="B1868" s="7" t="n">
        <v>1907</v>
      </c>
      <c r="C1868" s="7" t="s">
        <v>405</v>
      </c>
      <c r="D1868" s="7" t="n">
        <v>88</v>
      </c>
      <c r="E1868" s="7" t="n">
        <v>57</v>
      </c>
      <c r="F1868" s="7"/>
      <c r="G1868" s="7"/>
      <c r="H1868" s="7" t="s">
        <v>546</v>
      </c>
      <c r="I1868" s="7" t="s">
        <v>546</v>
      </c>
      <c r="J1868" s="21" t="n">
        <f aca="false">D1868/(D1868+E1868)</f>
        <v>0.606896551724138</v>
      </c>
      <c r="K1868" s="3" t="n">
        <f aca="false">IF(D1868&gt;E1868,1,0)</f>
        <v>1</v>
      </c>
      <c r="L1868" s="3" t="n">
        <f aca="false">IF(OR(F1868="Y",G1868="Y",H1868="Y"),1,0)</f>
        <v>0</v>
      </c>
      <c r="M1868" s="3" t="n">
        <f aca="false">IF(H1868="Y",1,0)</f>
        <v>0</v>
      </c>
      <c r="N1868" s="3" t="n">
        <f aca="false">IF(I1868="Y",1,0)</f>
        <v>0</v>
      </c>
    </row>
    <row r="1869" customFormat="false" ht="15" hidden="false" customHeight="true" outlineLevel="0" collapsed="false">
      <c r="A1869" s="7" t="s">
        <v>69</v>
      </c>
      <c r="B1869" s="7" t="n">
        <v>1908</v>
      </c>
      <c r="C1869" s="7" t="s">
        <v>405</v>
      </c>
      <c r="D1869" s="7" t="n">
        <v>68</v>
      </c>
      <c r="E1869" s="7" t="n">
        <v>85</v>
      </c>
      <c r="F1869" s="7"/>
      <c r="G1869" s="7"/>
      <c r="H1869" s="7" t="s">
        <v>546</v>
      </c>
      <c r="I1869" s="7" t="s">
        <v>546</v>
      </c>
      <c r="J1869" s="21" t="n">
        <f aca="false">D1869/(D1869+E1869)</f>
        <v>0.444444444444444</v>
      </c>
      <c r="K1869" s="3" t="n">
        <f aca="false">IF(D1869&gt;E1869,1,0)</f>
        <v>0</v>
      </c>
      <c r="L1869" s="3" t="n">
        <f aca="false">IF(OR(F1869="Y",G1869="Y",H1869="Y"),1,0)</f>
        <v>0</v>
      </c>
      <c r="M1869" s="3" t="n">
        <f aca="false">IF(H1869="Y",1,0)</f>
        <v>0</v>
      </c>
      <c r="N1869" s="3" t="n">
        <f aca="false">IF(I1869="Y",1,0)</f>
        <v>0</v>
      </c>
    </row>
    <row r="1870" customFormat="false" ht="15" hidden="false" customHeight="true" outlineLevel="0" collapsed="false">
      <c r="A1870" s="7" t="s">
        <v>69</v>
      </c>
      <c r="B1870" s="7" t="n">
        <v>1909</v>
      </c>
      <c r="C1870" s="7" t="s">
        <v>405</v>
      </c>
      <c r="D1870" s="7" t="n">
        <v>95</v>
      </c>
      <c r="E1870" s="7" t="n">
        <v>58</v>
      </c>
      <c r="F1870" s="7"/>
      <c r="G1870" s="7"/>
      <c r="H1870" s="7" t="s">
        <v>546</v>
      </c>
      <c r="I1870" s="7" t="s">
        <v>546</v>
      </c>
      <c r="J1870" s="21" t="n">
        <f aca="false">D1870/(D1870+E1870)</f>
        <v>0.620915032679739</v>
      </c>
      <c r="K1870" s="3" t="n">
        <f aca="false">IF(D1870&gt;E1870,1,0)</f>
        <v>1</v>
      </c>
      <c r="L1870" s="3" t="n">
        <f aca="false">IF(OR(F1870="Y",G1870="Y",H1870="Y"),1,0)</f>
        <v>0</v>
      </c>
      <c r="M1870" s="3" t="n">
        <f aca="false">IF(H1870="Y",1,0)</f>
        <v>0</v>
      </c>
      <c r="N1870" s="3" t="n">
        <f aca="false">IF(I1870="Y",1,0)</f>
        <v>0</v>
      </c>
    </row>
    <row r="1871" customFormat="false" ht="15" hidden="false" customHeight="true" outlineLevel="0" collapsed="false">
      <c r="A1871" s="7" t="s">
        <v>69</v>
      </c>
      <c r="B1871" s="7" t="n">
        <v>1910</v>
      </c>
      <c r="C1871" s="7" t="s">
        <v>405</v>
      </c>
      <c r="D1871" s="7" t="n">
        <v>102</v>
      </c>
      <c r="E1871" s="7" t="n">
        <v>48</v>
      </c>
      <c r="F1871" s="7"/>
      <c r="G1871" s="7"/>
      <c r="H1871" s="7" t="s">
        <v>548</v>
      </c>
      <c r="I1871" s="7" t="s">
        <v>548</v>
      </c>
      <c r="J1871" s="21" t="n">
        <f aca="false">D1871/(D1871+E1871)</f>
        <v>0.68</v>
      </c>
      <c r="K1871" s="3" t="n">
        <f aca="false">IF(D1871&gt;E1871,1,0)</f>
        <v>1</v>
      </c>
      <c r="L1871" s="3" t="n">
        <f aca="false">IF(OR(F1871="Y",G1871="Y",H1871="Y"),1,0)</f>
        <v>1</v>
      </c>
      <c r="M1871" s="3" t="n">
        <f aca="false">IF(H1871="Y",1,0)</f>
        <v>1</v>
      </c>
      <c r="N1871" s="3" t="n">
        <f aca="false">IF(I1871="Y",1,0)</f>
        <v>1</v>
      </c>
    </row>
    <row r="1872" customFormat="false" ht="15" hidden="false" customHeight="true" outlineLevel="0" collapsed="false">
      <c r="A1872" s="7" t="s">
        <v>69</v>
      </c>
      <c r="B1872" s="7" t="n">
        <v>1911</v>
      </c>
      <c r="C1872" s="7" t="s">
        <v>405</v>
      </c>
      <c r="D1872" s="7" t="n">
        <v>101</v>
      </c>
      <c r="E1872" s="7" t="n">
        <v>50</v>
      </c>
      <c r="F1872" s="7"/>
      <c r="G1872" s="7"/>
      <c r="H1872" s="7" t="s">
        <v>548</v>
      </c>
      <c r="I1872" s="7" t="s">
        <v>548</v>
      </c>
      <c r="J1872" s="21" t="n">
        <f aca="false">D1872/(D1872+E1872)</f>
        <v>0.66887417218543</v>
      </c>
      <c r="K1872" s="3" t="n">
        <f aca="false">IF(D1872&gt;E1872,1,0)</f>
        <v>1</v>
      </c>
      <c r="L1872" s="3" t="n">
        <f aca="false">IF(OR(F1872="Y",G1872="Y",H1872="Y"),1,0)</f>
        <v>1</v>
      </c>
      <c r="M1872" s="3" t="n">
        <f aca="false">IF(H1872="Y",1,0)</f>
        <v>1</v>
      </c>
      <c r="N1872" s="3" t="n">
        <f aca="false">IF(I1872="Y",1,0)</f>
        <v>1</v>
      </c>
    </row>
    <row r="1873" customFormat="false" ht="15" hidden="false" customHeight="true" outlineLevel="0" collapsed="false">
      <c r="A1873" s="7" t="s">
        <v>69</v>
      </c>
      <c r="B1873" s="7" t="n">
        <v>1912</v>
      </c>
      <c r="C1873" s="7" t="s">
        <v>405</v>
      </c>
      <c r="D1873" s="7" t="n">
        <v>90</v>
      </c>
      <c r="E1873" s="7" t="n">
        <v>62</v>
      </c>
      <c r="F1873" s="7"/>
      <c r="G1873" s="7"/>
      <c r="H1873" s="7" t="s">
        <v>546</v>
      </c>
      <c r="I1873" s="7" t="s">
        <v>546</v>
      </c>
      <c r="J1873" s="21" t="n">
        <f aca="false">D1873/(D1873+E1873)</f>
        <v>0.592105263157895</v>
      </c>
      <c r="K1873" s="3" t="n">
        <f aca="false">IF(D1873&gt;E1873,1,0)</f>
        <v>1</v>
      </c>
      <c r="L1873" s="3" t="n">
        <f aca="false">IF(OR(F1873="Y",G1873="Y",H1873="Y"),1,0)</f>
        <v>0</v>
      </c>
      <c r="M1873" s="3" t="n">
        <f aca="false">IF(H1873="Y",1,0)</f>
        <v>0</v>
      </c>
      <c r="N1873" s="3" t="n">
        <f aca="false">IF(I1873="Y",1,0)</f>
        <v>0</v>
      </c>
    </row>
    <row r="1874" customFormat="false" ht="15" hidden="false" customHeight="true" outlineLevel="0" collapsed="false">
      <c r="A1874" s="7" t="s">
        <v>69</v>
      </c>
      <c r="B1874" s="7" t="n">
        <v>1913</v>
      </c>
      <c r="C1874" s="7" t="s">
        <v>405</v>
      </c>
      <c r="D1874" s="7" t="n">
        <v>96</v>
      </c>
      <c r="E1874" s="7" t="n">
        <v>57</v>
      </c>
      <c r="F1874" s="7"/>
      <c r="G1874" s="7"/>
      <c r="H1874" s="7" t="s">
        <v>548</v>
      </c>
      <c r="I1874" s="7" t="s">
        <v>548</v>
      </c>
      <c r="J1874" s="21" t="n">
        <f aca="false">D1874/(D1874+E1874)</f>
        <v>0.627450980392157</v>
      </c>
      <c r="K1874" s="3" t="n">
        <f aca="false">IF(D1874&gt;E1874,1,0)</f>
        <v>1</v>
      </c>
      <c r="L1874" s="3" t="n">
        <f aca="false">IF(OR(F1874="Y",G1874="Y",H1874="Y"),1,0)</f>
        <v>1</v>
      </c>
      <c r="M1874" s="3" t="n">
        <f aca="false">IF(H1874="Y",1,0)</f>
        <v>1</v>
      </c>
      <c r="N1874" s="3" t="n">
        <f aca="false">IF(I1874="Y",1,0)</f>
        <v>1</v>
      </c>
    </row>
    <row r="1875" customFormat="false" ht="15" hidden="false" customHeight="true" outlineLevel="0" collapsed="false">
      <c r="A1875" s="7" t="s">
        <v>69</v>
      </c>
      <c r="B1875" s="7" t="n">
        <v>1914</v>
      </c>
      <c r="C1875" s="7" t="s">
        <v>405</v>
      </c>
      <c r="D1875" s="7" t="n">
        <v>99</v>
      </c>
      <c r="E1875" s="7" t="n">
        <v>53</v>
      </c>
      <c r="F1875" s="7"/>
      <c r="G1875" s="7"/>
      <c r="H1875" s="7" t="s">
        <v>548</v>
      </c>
      <c r="I1875" s="7" t="s">
        <v>546</v>
      </c>
      <c r="J1875" s="21" t="n">
        <f aca="false">D1875/(D1875+E1875)</f>
        <v>0.651315789473684</v>
      </c>
      <c r="K1875" s="3" t="n">
        <f aca="false">IF(D1875&gt;E1875,1,0)</f>
        <v>1</v>
      </c>
      <c r="L1875" s="3" t="n">
        <f aca="false">IF(OR(F1875="Y",G1875="Y",H1875="Y"),1,0)</f>
        <v>1</v>
      </c>
      <c r="M1875" s="3" t="n">
        <f aca="false">IF(H1875="Y",1,0)</f>
        <v>1</v>
      </c>
      <c r="N1875" s="3" t="n">
        <f aca="false">IF(I1875="Y",1,0)</f>
        <v>0</v>
      </c>
    </row>
    <row r="1876" customFormat="false" ht="15" hidden="false" customHeight="true" outlineLevel="0" collapsed="false">
      <c r="A1876" s="7" t="s">
        <v>69</v>
      </c>
      <c r="B1876" s="7" t="n">
        <v>1915</v>
      </c>
      <c r="C1876" s="7" t="s">
        <v>405</v>
      </c>
      <c r="D1876" s="7" t="n">
        <v>43</v>
      </c>
      <c r="E1876" s="7" t="n">
        <v>109</v>
      </c>
      <c r="F1876" s="7"/>
      <c r="G1876" s="7"/>
      <c r="H1876" s="7" t="s">
        <v>546</v>
      </c>
      <c r="I1876" s="7" t="s">
        <v>546</v>
      </c>
      <c r="J1876" s="21" t="n">
        <f aca="false">D1876/(D1876+E1876)</f>
        <v>0.282894736842105</v>
      </c>
      <c r="K1876" s="3" t="n">
        <f aca="false">IF(D1876&gt;E1876,1,0)</f>
        <v>0</v>
      </c>
      <c r="L1876" s="3" t="n">
        <f aca="false">IF(OR(F1876="Y",G1876="Y",H1876="Y"),1,0)</f>
        <v>0</v>
      </c>
      <c r="M1876" s="3" t="n">
        <f aca="false">IF(H1876="Y",1,0)</f>
        <v>0</v>
      </c>
      <c r="N1876" s="3" t="n">
        <f aca="false">IF(I1876="Y",1,0)</f>
        <v>0</v>
      </c>
    </row>
    <row r="1877" customFormat="false" ht="15" hidden="false" customHeight="true" outlineLevel="0" collapsed="false">
      <c r="A1877" s="7" t="s">
        <v>69</v>
      </c>
      <c r="B1877" s="7" t="n">
        <v>1916</v>
      </c>
      <c r="C1877" s="7" t="s">
        <v>405</v>
      </c>
      <c r="D1877" s="7" t="n">
        <v>36</v>
      </c>
      <c r="E1877" s="7" t="n">
        <v>117</v>
      </c>
      <c r="F1877" s="7"/>
      <c r="G1877" s="7"/>
      <c r="H1877" s="7" t="s">
        <v>546</v>
      </c>
      <c r="I1877" s="7" t="s">
        <v>546</v>
      </c>
      <c r="J1877" s="21" t="n">
        <f aca="false">D1877/(D1877+E1877)</f>
        <v>0.235294117647059</v>
      </c>
      <c r="K1877" s="3" t="n">
        <f aca="false">IF(D1877&gt;E1877,1,0)</f>
        <v>0</v>
      </c>
      <c r="L1877" s="3" t="n">
        <f aca="false">IF(OR(F1877="Y",G1877="Y",H1877="Y"),1,0)</f>
        <v>0</v>
      </c>
      <c r="M1877" s="3" t="n">
        <f aca="false">IF(H1877="Y",1,0)</f>
        <v>0</v>
      </c>
      <c r="N1877" s="3" t="n">
        <f aca="false">IF(I1877="Y",1,0)</f>
        <v>0</v>
      </c>
    </row>
    <row r="1878" customFormat="false" ht="15" hidden="false" customHeight="true" outlineLevel="0" collapsed="false">
      <c r="A1878" s="7" t="s">
        <v>69</v>
      </c>
      <c r="B1878" s="7" t="n">
        <v>1917</v>
      </c>
      <c r="C1878" s="7" t="s">
        <v>405</v>
      </c>
      <c r="D1878" s="7" t="n">
        <v>55</v>
      </c>
      <c r="E1878" s="7" t="n">
        <v>98</v>
      </c>
      <c r="F1878" s="7"/>
      <c r="G1878" s="7"/>
      <c r="H1878" s="7" t="s">
        <v>546</v>
      </c>
      <c r="I1878" s="7" t="s">
        <v>546</v>
      </c>
      <c r="J1878" s="21" t="n">
        <f aca="false">D1878/(D1878+E1878)</f>
        <v>0.359477124183007</v>
      </c>
      <c r="K1878" s="3" t="n">
        <f aca="false">IF(D1878&gt;E1878,1,0)</f>
        <v>0</v>
      </c>
      <c r="L1878" s="3" t="n">
        <f aca="false">IF(OR(F1878="Y",G1878="Y",H1878="Y"),1,0)</f>
        <v>0</v>
      </c>
      <c r="M1878" s="3" t="n">
        <f aca="false">IF(H1878="Y",1,0)</f>
        <v>0</v>
      </c>
      <c r="N1878" s="3" t="n">
        <f aca="false">IF(I1878="Y",1,0)</f>
        <v>0</v>
      </c>
    </row>
    <row r="1879" customFormat="false" ht="15" hidden="false" customHeight="true" outlineLevel="0" collapsed="false">
      <c r="A1879" s="7" t="s">
        <v>69</v>
      </c>
      <c r="B1879" s="7" t="n">
        <v>1918</v>
      </c>
      <c r="C1879" s="7" t="s">
        <v>405</v>
      </c>
      <c r="D1879" s="7" t="n">
        <v>52</v>
      </c>
      <c r="E1879" s="7" t="n">
        <v>76</v>
      </c>
      <c r="F1879" s="7"/>
      <c r="G1879" s="7"/>
      <c r="H1879" s="7" t="s">
        <v>546</v>
      </c>
      <c r="I1879" s="7" t="s">
        <v>546</v>
      </c>
      <c r="J1879" s="21" t="n">
        <f aca="false">D1879/(D1879+E1879)</f>
        <v>0.40625</v>
      </c>
      <c r="K1879" s="3" t="n">
        <f aca="false">IF(D1879&gt;E1879,1,0)</f>
        <v>0</v>
      </c>
      <c r="L1879" s="3" t="n">
        <f aca="false">IF(OR(F1879="Y",G1879="Y",H1879="Y"),1,0)</f>
        <v>0</v>
      </c>
      <c r="M1879" s="3" t="n">
        <f aca="false">IF(H1879="Y",1,0)</f>
        <v>0</v>
      </c>
      <c r="N1879" s="3" t="n">
        <f aca="false">IF(I1879="Y",1,0)</f>
        <v>0</v>
      </c>
    </row>
    <row r="1880" customFormat="false" ht="15" hidden="false" customHeight="true" outlineLevel="0" collapsed="false">
      <c r="A1880" s="7" t="s">
        <v>69</v>
      </c>
      <c r="B1880" s="7" t="n">
        <v>1919</v>
      </c>
      <c r="C1880" s="7" t="s">
        <v>405</v>
      </c>
      <c r="D1880" s="7" t="n">
        <v>36</v>
      </c>
      <c r="E1880" s="7" t="n">
        <v>104</v>
      </c>
      <c r="F1880" s="7"/>
      <c r="G1880" s="7"/>
      <c r="H1880" s="7" t="s">
        <v>546</v>
      </c>
      <c r="I1880" s="7" t="s">
        <v>546</v>
      </c>
      <c r="J1880" s="21" t="n">
        <f aca="false">D1880/(D1880+E1880)</f>
        <v>0.257142857142857</v>
      </c>
      <c r="K1880" s="3" t="n">
        <f aca="false">IF(D1880&gt;E1880,1,0)</f>
        <v>0</v>
      </c>
      <c r="L1880" s="3" t="n">
        <f aca="false">IF(OR(F1880="Y",G1880="Y",H1880="Y"),1,0)</f>
        <v>0</v>
      </c>
      <c r="M1880" s="3" t="n">
        <f aca="false">IF(H1880="Y",1,0)</f>
        <v>0</v>
      </c>
      <c r="N1880" s="3" t="n">
        <f aca="false">IF(I1880="Y",1,0)</f>
        <v>0</v>
      </c>
    </row>
    <row r="1881" customFormat="false" ht="15" hidden="false" customHeight="true" outlineLevel="0" collapsed="false">
      <c r="A1881" s="7" t="s">
        <v>69</v>
      </c>
      <c r="B1881" s="7" t="n">
        <v>1920</v>
      </c>
      <c r="C1881" s="7" t="s">
        <v>405</v>
      </c>
      <c r="D1881" s="7" t="n">
        <v>48</v>
      </c>
      <c r="E1881" s="7" t="n">
        <v>106</v>
      </c>
      <c r="F1881" s="7"/>
      <c r="G1881" s="7"/>
      <c r="H1881" s="7" t="s">
        <v>546</v>
      </c>
      <c r="I1881" s="7" t="s">
        <v>546</v>
      </c>
      <c r="J1881" s="21" t="n">
        <f aca="false">D1881/(D1881+E1881)</f>
        <v>0.311688311688312</v>
      </c>
      <c r="K1881" s="3" t="n">
        <f aca="false">IF(D1881&gt;E1881,1,0)</f>
        <v>0</v>
      </c>
      <c r="L1881" s="3" t="n">
        <f aca="false">IF(OR(F1881="Y",G1881="Y",H1881="Y"),1,0)</f>
        <v>0</v>
      </c>
      <c r="M1881" s="3" t="n">
        <f aca="false">IF(H1881="Y",1,0)</f>
        <v>0</v>
      </c>
      <c r="N1881" s="3" t="n">
        <f aca="false">IF(I1881="Y",1,0)</f>
        <v>0</v>
      </c>
    </row>
    <row r="1882" customFormat="false" ht="15" hidden="false" customHeight="true" outlineLevel="0" collapsed="false">
      <c r="A1882" s="7" t="s">
        <v>69</v>
      </c>
      <c r="B1882" s="7" t="n">
        <v>1921</v>
      </c>
      <c r="C1882" s="7" t="s">
        <v>405</v>
      </c>
      <c r="D1882" s="7" t="n">
        <v>53</v>
      </c>
      <c r="E1882" s="7" t="n">
        <v>100</v>
      </c>
      <c r="F1882" s="7"/>
      <c r="G1882" s="7"/>
      <c r="H1882" s="7" t="s">
        <v>546</v>
      </c>
      <c r="I1882" s="7" t="s">
        <v>546</v>
      </c>
      <c r="J1882" s="21" t="n">
        <f aca="false">D1882/(D1882+E1882)</f>
        <v>0.34640522875817</v>
      </c>
      <c r="K1882" s="3" t="n">
        <f aca="false">IF(D1882&gt;E1882,1,0)</f>
        <v>0</v>
      </c>
      <c r="L1882" s="3" t="n">
        <f aca="false">IF(OR(F1882="Y",G1882="Y",H1882="Y"),1,0)</f>
        <v>0</v>
      </c>
      <c r="M1882" s="3" t="n">
        <f aca="false">IF(H1882="Y",1,0)</f>
        <v>0</v>
      </c>
      <c r="N1882" s="3" t="n">
        <f aca="false">IF(I1882="Y",1,0)</f>
        <v>0</v>
      </c>
    </row>
    <row r="1883" customFormat="false" ht="15" hidden="false" customHeight="true" outlineLevel="0" collapsed="false">
      <c r="A1883" s="7" t="s">
        <v>69</v>
      </c>
      <c r="B1883" s="7" t="n">
        <v>1922</v>
      </c>
      <c r="C1883" s="7" t="s">
        <v>405</v>
      </c>
      <c r="D1883" s="7" t="n">
        <v>65</v>
      </c>
      <c r="E1883" s="7" t="n">
        <v>89</v>
      </c>
      <c r="F1883" s="7"/>
      <c r="G1883" s="7"/>
      <c r="H1883" s="7" t="s">
        <v>546</v>
      </c>
      <c r="I1883" s="7" t="s">
        <v>546</v>
      </c>
      <c r="J1883" s="21" t="n">
        <f aca="false">D1883/(D1883+E1883)</f>
        <v>0.422077922077922</v>
      </c>
      <c r="K1883" s="3" t="n">
        <f aca="false">IF(D1883&gt;E1883,1,0)</f>
        <v>0</v>
      </c>
      <c r="L1883" s="3" t="n">
        <f aca="false">IF(OR(F1883="Y",G1883="Y",H1883="Y"),1,0)</f>
        <v>0</v>
      </c>
      <c r="M1883" s="3" t="n">
        <f aca="false">IF(H1883="Y",1,0)</f>
        <v>0</v>
      </c>
      <c r="N1883" s="3" t="n">
        <f aca="false">IF(I1883="Y",1,0)</f>
        <v>0</v>
      </c>
    </row>
    <row r="1884" customFormat="false" ht="15" hidden="false" customHeight="true" outlineLevel="0" collapsed="false">
      <c r="A1884" s="7" t="s">
        <v>69</v>
      </c>
      <c r="B1884" s="7" t="n">
        <v>1923</v>
      </c>
      <c r="C1884" s="7" t="s">
        <v>405</v>
      </c>
      <c r="D1884" s="7" t="n">
        <v>69</v>
      </c>
      <c r="E1884" s="7" t="n">
        <v>83</v>
      </c>
      <c r="F1884" s="7"/>
      <c r="G1884" s="7"/>
      <c r="H1884" s="7" t="s">
        <v>546</v>
      </c>
      <c r="I1884" s="7" t="s">
        <v>546</v>
      </c>
      <c r="J1884" s="21" t="n">
        <f aca="false">D1884/(D1884+E1884)</f>
        <v>0.453947368421053</v>
      </c>
      <c r="K1884" s="3" t="n">
        <f aca="false">IF(D1884&gt;E1884,1,0)</f>
        <v>0</v>
      </c>
      <c r="L1884" s="3" t="n">
        <f aca="false">IF(OR(F1884="Y",G1884="Y",H1884="Y"),1,0)</f>
        <v>0</v>
      </c>
      <c r="M1884" s="3" t="n">
        <f aca="false">IF(H1884="Y",1,0)</f>
        <v>0</v>
      </c>
      <c r="N1884" s="3" t="n">
        <f aca="false">IF(I1884="Y",1,0)</f>
        <v>0</v>
      </c>
    </row>
    <row r="1885" customFormat="false" ht="15" hidden="false" customHeight="true" outlineLevel="0" collapsed="false">
      <c r="A1885" s="7" t="s">
        <v>69</v>
      </c>
      <c r="B1885" s="7" t="n">
        <v>1924</v>
      </c>
      <c r="C1885" s="7" t="s">
        <v>405</v>
      </c>
      <c r="D1885" s="7" t="n">
        <v>71</v>
      </c>
      <c r="E1885" s="7" t="n">
        <v>81</v>
      </c>
      <c r="F1885" s="7"/>
      <c r="G1885" s="7"/>
      <c r="H1885" s="7" t="s">
        <v>546</v>
      </c>
      <c r="I1885" s="7" t="s">
        <v>546</v>
      </c>
      <c r="J1885" s="21" t="n">
        <f aca="false">D1885/(D1885+E1885)</f>
        <v>0.467105263157895</v>
      </c>
      <c r="K1885" s="3" t="n">
        <f aca="false">IF(D1885&gt;E1885,1,0)</f>
        <v>0</v>
      </c>
      <c r="L1885" s="3" t="n">
        <f aca="false">IF(OR(F1885="Y",G1885="Y",H1885="Y"),1,0)</f>
        <v>0</v>
      </c>
      <c r="M1885" s="3" t="n">
        <f aca="false">IF(H1885="Y",1,0)</f>
        <v>0</v>
      </c>
      <c r="N1885" s="3" t="n">
        <f aca="false">IF(I1885="Y",1,0)</f>
        <v>0</v>
      </c>
    </row>
    <row r="1886" customFormat="false" ht="15" hidden="false" customHeight="true" outlineLevel="0" collapsed="false">
      <c r="A1886" s="7" t="s">
        <v>69</v>
      </c>
      <c r="B1886" s="7" t="n">
        <v>1925</v>
      </c>
      <c r="C1886" s="7" t="s">
        <v>405</v>
      </c>
      <c r="D1886" s="7" t="n">
        <v>88</v>
      </c>
      <c r="E1886" s="7" t="n">
        <v>64</v>
      </c>
      <c r="F1886" s="7"/>
      <c r="G1886" s="7"/>
      <c r="H1886" s="7" t="s">
        <v>546</v>
      </c>
      <c r="I1886" s="7" t="s">
        <v>546</v>
      </c>
      <c r="J1886" s="21" t="n">
        <f aca="false">D1886/(D1886+E1886)</f>
        <v>0.578947368421053</v>
      </c>
      <c r="K1886" s="3" t="n">
        <f aca="false">IF(D1886&gt;E1886,1,0)</f>
        <v>1</v>
      </c>
      <c r="L1886" s="3" t="n">
        <f aca="false">IF(OR(F1886="Y",G1886="Y",H1886="Y"),1,0)</f>
        <v>0</v>
      </c>
      <c r="M1886" s="3" t="n">
        <f aca="false">IF(H1886="Y",1,0)</f>
        <v>0</v>
      </c>
      <c r="N1886" s="3" t="n">
        <f aca="false">IF(I1886="Y",1,0)</f>
        <v>0</v>
      </c>
    </row>
    <row r="1887" customFormat="false" ht="15" hidden="false" customHeight="true" outlineLevel="0" collapsed="false">
      <c r="A1887" s="7" t="s">
        <v>69</v>
      </c>
      <c r="B1887" s="7" t="n">
        <v>1926</v>
      </c>
      <c r="C1887" s="7" t="s">
        <v>405</v>
      </c>
      <c r="D1887" s="7" t="n">
        <v>83</v>
      </c>
      <c r="E1887" s="7" t="n">
        <v>67</v>
      </c>
      <c r="F1887" s="7"/>
      <c r="G1887" s="7"/>
      <c r="H1887" s="7" t="s">
        <v>546</v>
      </c>
      <c r="I1887" s="7" t="s">
        <v>546</v>
      </c>
      <c r="J1887" s="21" t="n">
        <f aca="false">D1887/(D1887+E1887)</f>
        <v>0.553333333333333</v>
      </c>
      <c r="K1887" s="3" t="n">
        <f aca="false">IF(D1887&gt;E1887,1,0)</f>
        <v>1</v>
      </c>
      <c r="L1887" s="3" t="n">
        <f aca="false">IF(OR(F1887="Y",G1887="Y",H1887="Y"),1,0)</f>
        <v>0</v>
      </c>
      <c r="M1887" s="3" t="n">
        <f aca="false">IF(H1887="Y",1,0)</f>
        <v>0</v>
      </c>
      <c r="N1887" s="3" t="n">
        <f aca="false">IF(I1887="Y",1,0)</f>
        <v>0</v>
      </c>
    </row>
    <row r="1888" customFormat="false" ht="15" hidden="false" customHeight="true" outlineLevel="0" collapsed="false">
      <c r="A1888" s="7" t="s">
        <v>69</v>
      </c>
      <c r="B1888" s="7" t="n">
        <v>1927</v>
      </c>
      <c r="C1888" s="7" t="s">
        <v>405</v>
      </c>
      <c r="D1888" s="7" t="n">
        <v>91</v>
      </c>
      <c r="E1888" s="7" t="n">
        <v>63</v>
      </c>
      <c r="F1888" s="7"/>
      <c r="G1888" s="7"/>
      <c r="H1888" s="7" t="s">
        <v>546</v>
      </c>
      <c r="I1888" s="7" t="s">
        <v>546</v>
      </c>
      <c r="J1888" s="21" t="n">
        <f aca="false">D1888/(D1888+E1888)</f>
        <v>0.590909090909091</v>
      </c>
      <c r="K1888" s="3" t="n">
        <f aca="false">IF(D1888&gt;E1888,1,0)</f>
        <v>1</v>
      </c>
      <c r="L1888" s="3" t="n">
        <f aca="false">IF(OR(F1888="Y",G1888="Y",H1888="Y"),1,0)</f>
        <v>0</v>
      </c>
      <c r="M1888" s="3" t="n">
        <f aca="false">IF(H1888="Y",1,0)</f>
        <v>0</v>
      </c>
      <c r="N1888" s="3" t="n">
        <f aca="false">IF(I1888="Y",1,0)</f>
        <v>0</v>
      </c>
    </row>
    <row r="1889" customFormat="false" ht="15" hidden="false" customHeight="true" outlineLevel="0" collapsed="false">
      <c r="A1889" s="7" t="s">
        <v>69</v>
      </c>
      <c r="B1889" s="7" t="n">
        <v>1928</v>
      </c>
      <c r="C1889" s="7" t="s">
        <v>405</v>
      </c>
      <c r="D1889" s="7" t="n">
        <v>98</v>
      </c>
      <c r="E1889" s="7" t="n">
        <v>55</v>
      </c>
      <c r="F1889" s="7"/>
      <c r="G1889" s="7"/>
      <c r="H1889" s="7" t="s">
        <v>546</v>
      </c>
      <c r="I1889" s="7" t="s">
        <v>546</v>
      </c>
      <c r="J1889" s="21" t="n">
        <f aca="false">D1889/(D1889+E1889)</f>
        <v>0.640522875816993</v>
      </c>
      <c r="K1889" s="3" t="n">
        <f aca="false">IF(D1889&gt;E1889,1,0)</f>
        <v>1</v>
      </c>
      <c r="L1889" s="3" t="n">
        <f aca="false">IF(OR(F1889="Y",G1889="Y",H1889="Y"),1,0)</f>
        <v>0</v>
      </c>
      <c r="M1889" s="3" t="n">
        <f aca="false">IF(H1889="Y",1,0)</f>
        <v>0</v>
      </c>
      <c r="N1889" s="3" t="n">
        <f aca="false">IF(I1889="Y",1,0)</f>
        <v>0</v>
      </c>
    </row>
    <row r="1890" customFormat="false" ht="15" hidden="false" customHeight="true" outlineLevel="0" collapsed="false">
      <c r="A1890" s="7" t="s">
        <v>69</v>
      </c>
      <c r="B1890" s="7" t="n">
        <v>1929</v>
      </c>
      <c r="C1890" s="7" t="s">
        <v>405</v>
      </c>
      <c r="D1890" s="7" t="n">
        <v>104</v>
      </c>
      <c r="E1890" s="7" t="n">
        <v>46</v>
      </c>
      <c r="F1890" s="7"/>
      <c r="G1890" s="7"/>
      <c r="H1890" s="7" t="s">
        <v>548</v>
      </c>
      <c r="I1890" s="7" t="s">
        <v>548</v>
      </c>
      <c r="J1890" s="21" t="n">
        <f aca="false">D1890/(D1890+E1890)</f>
        <v>0.693333333333333</v>
      </c>
      <c r="K1890" s="3" t="n">
        <f aca="false">IF(D1890&gt;E1890,1,0)</f>
        <v>1</v>
      </c>
      <c r="L1890" s="3" t="n">
        <f aca="false">IF(OR(F1890="Y",G1890="Y",H1890="Y"),1,0)</f>
        <v>1</v>
      </c>
      <c r="M1890" s="3" t="n">
        <f aca="false">IF(H1890="Y",1,0)</f>
        <v>1</v>
      </c>
      <c r="N1890" s="3" t="n">
        <f aca="false">IF(I1890="Y",1,0)</f>
        <v>1</v>
      </c>
    </row>
    <row r="1891" customFormat="false" ht="15" hidden="false" customHeight="true" outlineLevel="0" collapsed="false">
      <c r="A1891" s="7" t="s">
        <v>69</v>
      </c>
      <c r="B1891" s="7" t="n">
        <v>1930</v>
      </c>
      <c r="C1891" s="7" t="s">
        <v>405</v>
      </c>
      <c r="D1891" s="7" t="n">
        <v>102</v>
      </c>
      <c r="E1891" s="7" t="n">
        <v>52</v>
      </c>
      <c r="F1891" s="7"/>
      <c r="G1891" s="7"/>
      <c r="H1891" s="7" t="s">
        <v>548</v>
      </c>
      <c r="I1891" s="7" t="s">
        <v>548</v>
      </c>
      <c r="J1891" s="21" t="n">
        <f aca="false">D1891/(D1891+E1891)</f>
        <v>0.662337662337662</v>
      </c>
      <c r="K1891" s="3" t="n">
        <f aca="false">IF(D1891&gt;E1891,1,0)</f>
        <v>1</v>
      </c>
      <c r="L1891" s="3" t="n">
        <f aca="false">IF(OR(F1891="Y",G1891="Y",H1891="Y"),1,0)</f>
        <v>1</v>
      </c>
      <c r="M1891" s="3" t="n">
        <f aca="false">IF(H1891="Y",1,0)</f>
        <v>1</v>
      </c>
      <c r="N1891" s="3" t="n">
        <f aca="false">IF(I1891="Y",1,0)</f>
        <v>1</v>
      </c>
    </row>
    <row r="1892" customFormat="false" ht="15" hidden="false" customHeight="true" outlineLevel="0" collapsed="false">
      <c r="A1892" s="7" t="s">
        <v>69</v>
      </c>
      <c r="B1892" s="7" t="n">
        <v>1931</v>
      </c>
      <c r="C1892" s="7" t="s">
        <v>405</v>
      </c>
      <c r="D1892" s="7" t="n">
        <v>107</v>
      </c>
      <c r="E1892" s="7" t="n">
        <v>45</v>
      </c>
      <c r="F1892" s="7"/>
      <c r="G1892" s="7"/>
      <c r="H1892" s="7" t="s">
        <v>548</v>
      </c>
      <c r="I1892" s="7" t="s">
        <v>546</v>
      </c>
      <c r="J1892" s="21" t="n">
        <f aca="false">D1892/(D1892+E1892)</f>
        <v>0.703947368421053</v>
      </c>
      <c r="K1892" s="3" t="n">
        <f aca="false">IF(D1892&gt;E1892,1,0)</f>
        <v>1</v>
      </c>
      <c r="L1892" s="3" t="n">
        <f aca="false">IF(OR(F1892="Y",G1892="Y",H1892="Y"),1,0)</f>
        <v>1</v>
      </c>
      <c r="M1892" s="3" t="n">
        <f aca="false">IF(H1892="Y",1,0)</f>
        <v>1</v>
      </c>
      <c r="N1892" s="3" t="n">
        <f aca="false">IF(I1892="Y",1,0)</f>
        <v>0</v>
      </c>
    </row>
    <row r="1893" customFormat="false" ht="15" hidden="false" customHeight="true" outlineLevel="0" collapsed="false">
      <c r="A1893" s="7" t="s">
        <v>69</v>
      </c>
      <c r="B1893" s="7" t="n">
        <v>1932</v>
      </c>
      <c r="C1893" s="7" t="s">
        <v>405</v>
      </c>
      <c r="D1893" s="7" t="n">
        <v>94</v>
      </c>
      <c r="E1893" s="7" t="n">
        <v>60</v>
      </c>
      <c r="F1893" s="7"/>
      <c r="G1893" s="7"/>
      <c r="H1893" s="7" t="s">
        <v>546</v>
      </c>
      <c r="I1893" s="7" t="s">
        <v>546</v>
      </c>
      <c r="J1893" s="21" t="n">
        <f aca="false">D1893/(D1893+E1893)</f>
        <v>0.61038961038961</v>
      </c>
      <c r="K1893" s="3" t="n">
        <f aca="false">IF(D1893&gt;E1893,1,0)</f>
        <v>1</v>
      </c>
      <c r="L1893" s="3" t="n">
        <f aca="false">IF(OR(F1893="Y",G1893="Y",H1893="Y"),1,0)</f>
        <v>0</v>
      </c>
      <c r="M1893" s="3" t="n">
        <f aca="false">IF(H1893="Y",1,0)</f>
        <v>0</v>
      </c>
      <c r="N1893" s="3" t="n">
        <f aca="false">IF(I1893="Y",1,0)</f>
        <v>0</v>
      </c>
    </row>
    <row r="1894" customFormat="false" ht="15" hidden="false" customHeight="true" outlineLevel="0" collapsed="false">
      <c r="A1894" s="7" t="s">
        <v>69</v>
      </c>
      <c r="B1894" s="7" t="n">
        <v>1933</v>
      </c>
      <c r="C1894" s="7" t="s">
        <v>405</v>
      </c>
      <c r="D1894" s="7" t="n">
        <v>79</v>
      </c>
      <c r="E1894" s="7" t="n">
        <v>72</v>
      </c>
      <c r="F1894" s="7"/>
      <c r="G1894" s="7"/>
      <c r="H1894" s="7" t="s">
        <v>546</v>
      </c>
      <c r="I1894" s="7" t="s">
        <v>546</v>
      </c>
      <c r="J1894" s="21" t="n">
        <f aca="false">D1894/(D1894+E1894)</f>
        <v>0.52317880794702</v>
      </c>
      <c r="K1894" s="3" t="n">
        <f aca="false">IF(D1894&gt;E1894,1,0)</f>
        <v>1</v>
      </c>
      <c r="L1894" s="3" t="n">
        <f aca="false">IF(OR(F1894="Y",G1894="Y",H1894="Y"),1,0)</f>
        <v>0</v>
      </c>
      <c r="M1894" s="3" t="n">
        <f aca="false">IF(H1894="Y",1,0)</f>
        <v>0</v>
      </c>
      <c r="N1894" s="3" t="n">
        <f aca="false">IF(I1894="Y",1,0)</f>
        <v>0</v>
      </c>
    </row>
    <row r="1895" customFormat="false" ht="15" hidden="false" customHeight="true" outlineLevel="0" collapsed="false">
      <c r="A1895" s="7" t="s">
        <v>69</v>
      </c>
      <c r="B1895" s="7" t="n">
        <v>1934</v>
      </c>
      <c r="C1895" s="7" t="s">
        <v>405</v>
      </c>
      <c r="D1895" s="7" t="n">
        <v>68</v>
      </c>
      <c r="E1895" s="7" t="n">
        <v>82</v>
      </c>
      <c r="F1895" s="7"/>
      <c r="G1895" s="7"/>
      <c r="H1895" s="7" t="s">
        <v>546</v>
      </c>
      <c r="I1895" s="7" t="s">
        <v>546</v>
      </c>
      <c r="J1895" s="21" t="n">
        <f aca="false">D1895/(D1895+E1895)</f>
        <v>0.453333333333333</v>
      </c>
      <c r="K1895" s="3" t="n">
        <f aca="false">IF(D1895&gt;E1895,1,0)</f>
        <v>0</v>
      </c>
      <c r="L1895" s="3" t="n">
        <f aca="false">IF(OR(F1895="Y",G1895="Y",H1895="Y"),1,0)</f>
        <v>0</v>
      </c>
      <c r="M1895" s="3" t="n">
        <f aca="false">IF(H1895="Y",1,0)</f>
        <v>0</v>
      </c>
      <c r="N1895" s="3" t="n">
        <f aca="false">IF(I1895="Y",1,0)</f>
        <v>0</v>
      </c>
    </row>
    <row r="1896" customFormat="false" ht="15" hidden="false" customHeight="true" outlineLevel="0" collapsed="false">
      <c r="A1896" s="7" t="s">
        <v>69</v>
      </c>
      <c r="B1896" s="7" t="n">
        <v>1935</v>
      </c>
      <c r="C1896" s="7" t="s">
        <v>405</v>
      </c>
      <c r="D1896" s="7" t="n">
        <v>58</v>
      </c>
      <c r="E1896" s="7" t="n">
        <v>91</v>
      </c>
      <c r="F1896" s="7"/>
      <c r="G1896" s="7"/>
      <c r="H1896" s="7" t="s">
        <v>546</v>
      </c>
      <c r="I1896" s="7" t="s">
        <v>546</v>
      </c>
      <c r="J1896" s="21" t="n">
        <f aca="false">D1896/(D1896+E1896)</f>
        <v>0.389261744966443</v>
      </c>
      <c r="K1896" s="3" t="n">
        <f aca="false">IF(D1896&gt;E1896,1,0)</f>
        <v>0</v>
      </c>
      <c r="L1896" s="3" t="n">
        <f aca="false">IF(OR(F1896="Y",G1896="Y",H1896="Y"),1,0)</f>
        <v>0</v>
      </c>
      <c r="M1896" s="3" t="n">
        <f aca="false">IF(H1896="Y",1,0)</f>
        <v>0</v>
      </c>
      <c r="N1896" s="3" t="n">
        <f aca="false">IF(I1896="Y",1,0)</f>
        <v>0</v>
      </c>
    </row>
    <row r="1897" customFormat="false" ht="15" hidden="false" customHeight="true" outlineLevel="0" collapsed="false">
      <c r="A1897" s="7" t="s">
        <v>69</v>
      </c>
      <c r="B1897" s="7" t="n">
        <v>1936</v>
      </c>
      <c r="C1897" s="7" t="s">
        <v>405</v>
      </c>
      <c r="D1897" s="7" t="n">
        <v>53</v>
      </c>
      <c r="E1897" s="7" t="n">
        <v>100</v>
      </c>
      <c r="F1897" s="7"/>
      <c r="G1897" s="7"/>
      <c r="H1897" s="7" t="s">
        <v>546</v>
      </c>
      <c r="I1897" s="7" t="s">
        <v>546</v>
      </c>
      <c r="J1897" s="21" t="n">
        <f aca="false">D1897/(D1897+E1897)</f>
        <v>0.34640522875817</v>
      </c>
      <c r="K1897" s="3" t="n">
        <f aca="false">IF(D1897&gt;E1897,1,0)</f>
        <v>0</v>
      </c>
      <c r="L1897" s="3" t="n">
        <f aca="false">IF(OR(F1897="Y",G1897="Y",H1897="Y"),1,0)</f>
        <v>0</v>
      </c>
      <c r="M1897" s="3" t="n">
        <f aca="false">IF(H1897="Y",1,0)</f>
        <v>0</v>
      </c>
      <c r="N1897" s="3" t="n">
        <f aca="false">IF(I1897="Y",1,0)</f>
        <v>0</v>
      </c>
    </row>
    <row r="1898" customFormat="false" ht="15" hidden="false" customHeight="true" outlineLevel="0" collapsed="false">
      <c r="A1898" s="7" t="s">
        <v>69</v>
      </c>
      <c r="B1898" s="7" t="n">
        <v>1937</v>
      </c>
      <c r="C1898" s="7" t="s">
        <v>405</v>
      </c>
      <c r="D1898" s="7" t="n">
        <v>54</v>
      </c>
      <c r="E1898" s="7" t="n">
        <v>97</v>
      </c>
      <c r="F1898" s="7"/>
      <c r="G1898" s="7"/>
      <c r="H1898" s="7" t="s">
        <v>546</v>
      </c>
      <c r="I1898" s="7" t="s">
        <v>546</v>
      </c>
      <c r="J1898" s="21" t="n">
        <f aca="false">D1898/(D1898+E1898)</f>
        <v>0.357615894039735</v>
      </c>
      <c r="K1898" s="3" t="n">
        <f aca="false">IF(D1898&gt;E1898,1,0)</f>
        <v>0</v>
      </c>
      <c r="L1898" s="3" t="n">
        <f aca="false">IF(OR(F1898="Y",G1898="Y",H1898="Y"),1,0)</f>
        <v>0</v>
      </c>
      <c r="M1898" s="3" t="n">
        <f aca="false">IF(H1898="Y",1,0)</f>
        <v>0</v>
      </c>
      <c r="N1898" s="3" t="n">
        <f aca="false">IF(I1898="Y",1,0)</f>
        <v>0</v>
      </c>
    </row>
    <row r="1899" customFormat="false" ht="15" hidden="false" customHeight="true" outlineLevel="0" collapsed="false">
      <c r="A1899" s="7" t="s">
        <v>69</v>
      </c>
      <c r="B1899" s="7" t="n">
        <v>1938</v>
      </c>
      <c r="C1899" s="7" t="s">
        <v>405</v>
      </c>
      <c r="D1899" s="7" t="n">
        <v>53</v>
      </c>
      <c r="E1899" s="7" t="n">
        <v>99</v>
      </c>
      <c r="F1899" s="7"/>
      <c r="G1899" s="7"/>
      <c r="H1899" s="7" t="s">
        <v>546</v>
      </c>
      <c r="I1899" s="7" t="s">
        <v>546</v>
      </c>
      <c r="J1899" s="21" t="n">
        <f aca="false">D1899/(D1899+E1899)</f>
        <v>0.348684210526316</v>
      </c>
      <c r="K1899" s="3" t="n">
        <f aca="false">IF(D1899&gt;E1899,1,0)</f>
        <v>0</v>
      </c>
      <c r="L1899" s="3" t="n">
        <f aca="false">IF(OR(F1899="Y",G1899="Y",H1899="Y"),1,0)</f>
        <v>0</v>
      </c>
      <c r="M1899" s="3" t="n">
        <f aca="false">IF(H1899="Y",1,0)</f>
        <v>0</v>
      </c>
      <c r="N1899" s="3" t="n">
        <f aca="false">IF(I1899="Y",1,0)</f>
        <v>0</v>
      </c>
    </row>
    <row r="1900" customFormat="false" ht="15" hidden="false" customHeight="true" outlineLevel="0" collapsed="false">
      <c r="A1900" s="7" t="s">
        <v>69</v>
      </c>
      <c r="B1900" s="7" t="n">
        <v>1939</v>
      </c>
      <c r="C1900" s="7" t="s">
        <v>405</v>
      </c>
      <c r="D1900" s="7" t="n">
        <v>55</v>
      </c>
      <c r="E1900" s="7" t="n">
        <v>97</v>
      </c>
      <c r="F1900" s="7"/>
      <c r="G1900" s="7"/>
      <c r="H1900" s="7" t="s">
        <v>546</v>
      </c>
      <c r="I1900" s="7" t="s">
        <v>546</v>
      </c>
      <c r="J1900" s="21" t="n">
        <f aca="false">D1900/(D1900+E1900)</f>
        <v>0.361842105263158</v>
      </c>
      <c r="K1900" s="3" t="n">
        <f aca="false">IF(D1900&gt;E1900,1,0)</f>
        <v>0</v>
      </c>
      <c r="L1900" s="3" t="n">
        <f aca="false">IF(OR(F1900="Y",G1900="Y",H1900="Y"),1,0)</f>
        <v>0</v>
      </c>
      <c r="M1900" s="3" t="n">
        <f aca="false">IF(H1900="Y",1,0)</f>
        <v>0</v>
      </c>
      <c r="N1900" s="3" t="n">
        <f aca="false">IF(I1900="Y",1,0)</f>
        <v>0</v>
      </c>
    </row>
    <row r="1901" customFormat="false" ht="15" hidden="false" customHeight="true" outlineLevel="0" collapsed="false">
      <c r="A1901" s="7" t="s">
        <v>69</v>
      </c>
      <c r="B1901" s="7" t="n">
        <v>1940</v>
      </c>
      <c r="C1901" s="7" t="s">
        <v>405</v>
      </c>
      <c r="D1901" s="7" t="n">
        <v>54</v>
      </c>
      <c r="E1901" s="7" t="n">
        <v>100</v>
      </c>
      <c r="F1901" s="7"/>
      <c r="G1901" s="7"/>
      <c r="H1901" s="7" t="s">
        <v>546</v>
      </c>
      <c r="I1901" s="7" t="s">
        <v>546</v>
      </c>
      <c r="J1901" s="21" t="n">
        <f aca="false">D1901/(D1901+E1901)</f>
        <v>0.350649350649351</v>
      </c>
      <c r="K1901" s="3" t="n">
        <f aca="false">IF(D1901&gt;E1901,1,0)</f>
        <v>0</v>
      </c>
      <c r="L1901" s="3" t="n">
        <f aca="false">IF(OR(F1901="Y",G1901="Y",H1901="Y"),1,0)</f>
        <v>0</v>
      </c>
      <c r="M1901" s="3" t="n">
        <f aca="false">IF(H1901="Y",1,0)</f>
        <v>0</v>
      </c>
      <c r="N1901" s="3" t="n">
        <f aca="false">IF(I1901="Y",1,0)</f>
        <v>0</v>
      </c>
    </row>
    <row r="1902" customFormat="false" ht="15" hidden="false" customHeight="true" outlineLevel="0" collapsed="false">
      <c r="A1902" s="7" t="s">
        <v>69</v>
      </c>
      <c r="B1902" s="7" t="n">
        <v>1941</v>
      </c>
      <c r="C1902" s="7" t="s">
        <v>405</v>
      </c>
      <c r="D1902" s="7" t="n">
        <v>64</v>
      </c>
      <c r="E1902" s="7" t="n">
        <v>90</v>
      </c>
      <c r="F1902" s="7"/>
      <c r="G1902" s="7"/>
      <c r="H1902" s="7" t="s">
        <v>546</v>
      </c>
      <c r="I1902" s="7" t="s">
        <v>546</v>
      </c>
      <c r="J1902" s="21" t="n">
        <f aca="false">D1902/(D1902+E1902)</f>
        <v>0.415584415584416</v>
      </c>
      <c r="K1902" s="3" t="n">
        <f aca="false">IF(D1902&gt;E1902,1,0)</f>
        <v>0</v>
      </c>
      <c r="L1902" s="3" t="n">
        <f aca="false">IF(OR(F1902="Y",G1902="Y",H1902="Y"),1,0)</f>
        <v>0</v>
      </c>
      <c r="M1902" s="3" t="n">
        <f aca="false">IF(H1902="Y",1,0)</f>
        <v>0</v>
      </c>
      <c r="N1902" s="3" t="n">
        <f aca="false">IF(I1902="Y",1,0)</f>
        <v>0</v>
      </c>
    </row>
    <row r="1903" customFormat="false" ht="15" hidden="false" customHeight="true" outlineLevel="0" collapsed="false">
      <c r="A1903" s="7" t="s">
        <v>69</v>
      </c>
      <c r="B1903" s="7" t="n">
        <v>1942</v>
      </c>
      <c r="C1903" s="7" t="s">
        <v>405</v>
      </c>
      <c r="D1903" s="7" t="n">
        <v>55</v>
      </c>
      <c r="E1903" s="7" t="n">
        <v>99</v>
      </c>
      <c r="F1903" s="7"/>
      <c r="G1903" s="7"/>
      <c r="H1903" s="7" t="s">
        <v>546</v>
      </c>
      <c r="I1903" s="7" t="s">
        <v>546</v>
      </c>
      <c r="J1903" s="21" t="n">
        <f aca="false">D1903/(D1903+E1903)</f>
        <v>0.357142857142857</v>
      </c>
      <c r="K1903" s="3" t="n">
        <f aca="false">IF(D1903&gt;E1903,1,0)</f>
        <v>0</v>
      </c>
      <c r="L1903" s="3" t="n">
        <f aca="false">IF(OR(F1903="Y",G1903="Y",H1903="Y"),1,0)</f>
        <v>0</v>
      </c>
      <c r="M1903" s="3" t="n">
        <f aca="false">IF(H1903="Y",1,0)</f>
        <v>0</v>
      </c>
      <c r="N1903" s="3" t="n">
        <f aca="false">IF(I1903="Y",1,0)</f>
        <v>0</v>
      </c>
    </row>
    <row r="1904" customFormat="false" ht="15" hidden="false" customHeight="true" outlineLevel="0" collapsed="false">
      <c r="A1904" s="7" t="s">
        <v>69</v>
      </c>
      <c r="B1904" s="7" t="n">
        <v>1943</v>
      </c>
      <c r="C1904" s="7" t="s">
        <v>405</v>
      </c>
      <c r="D1904" s="7" t="n">
        <v>49</v>
      </c>
      <c r="E1904" s="7" t="n">
        <v>105</v>
      </c>
      <c r="F1904" s="7"/>
      <c r="G1904" s="7"/>
      <c r="H1904" s="7" t="s">
        <v>546</v>
      </c>
      <c r="I1904" s="7" t="s">
        <v>546</v>
      </c>
      <c r="J1904" s="21" t="n">
        <f aca="false">D1904/(D1904+E1904)</f>
        <v>0.318181818181818</v>
      </c>
      <c r="K1904" s="3" t="n">
        <f aca="false">IF(D1904&gt;E1904,1,0)</f>
        <v>0</v>
      </c>
      <c r="L1904" s="3" t="n">
        <f aca="false">IF(OR(F1904="Y",G1904="Y",H1904="Y"),1,0)</f>
        <v>0</v>
      </c>
      <c r="M1904" s="3" t="n">
        <f aca="false">IF(H1904="Y",1,0)</f>
        <v>0</v>
      </c>
      <c r="N1904" s="3" t="n">
        <f aca="false">IF(I1904="Y",1,0)</f>
        <v>0</v>
      </c>
    </row>
    <row r="1905" customFormat="false" ht="15" hidden="false" customHeight="true" outlineLevel="0" collapsed="false">
      <c r="A1905" s="7" t="s">
        <v>69</v>
      </c>
      <c r="B1905" s="7" t="n">
        <v>1944</v>
      </c>
      <c r="C1905" s="7" t="s">
        <v>405</v>
      </c>
      <c r="D1905" s="7" t="n">
        <v>72</v>
      </c>
      <c r="E1905" s="7" t="n">
        <v>82</v>
      </c>
      <c r="F1905" s="7"/>
      <c r="G1905" s="7"/>
      <c r="H1905" s="7" t="s">
        <v>546</v>
      </c>
      <c r="I1905" s="7" t="s">
        <v>546</v>
      </c>
      <c r="J1905" s="21" t="n">
        <f aca="false">D1905/(D1905+E1905)</f>
        <v>0.467532467532468</v>
      </c>
      <c r="K1905" s="3" t="n">
        <f aca="false">IF(D1905&gt;E1905,1,0)</f>
        <v>0</v>
      </c>
      <c r="L1905" s="3" t="n">
        <f aca="false">IF(OR(F1905="Y",G1905="Y",H1905="Y"),1,0)</f>
        <v>0</v>
      </c>
      <c r="M1905" s="3" t="n">
        <f aca="false">IF(H1905="Y",1,0)</f>
        <v>0</v>
      </c>
      <c r="N1905" s="3" t="n">
        <f aca="false">IF(I1905="Y",1,0)</f>
        <v>0</v>
      </c>
    </row>
    <row r="1906" customFormat="false" ht="15" hidden="false" customHeight="true" outlineLevel="0" collapsed="false">
      <c r="A1906" s="7" t="s">
        <v>69</v>
      </c>
      <c r="B1906" s="7" t="n">
        <v>1945</v>
      </c>
      <c r="C1906" s="7" t="s">
        <v>405</v>
      </c>
      <c r="D1906" s="7" t="n">
        <v>52</v>
      </c>
      <c r="E1906" s="7" t="n">
        <v>98</v>
      </c>
      <c r="F1906" s="7"/>
      <c r="G1906" s="7"/>
      <c r="H1906" s="7" t="s">
        <v>546</v>
      </c>
      <c r="I1906" s="7" t="s">
        <v>546</v>
      </c>
      <c r="J1906" s="21" t="n">
        <f aca="false">D1906/(D1906+E1906)</f>
        <v>0.346666666666667</v>
      </c>
      <c r="K1906" s="3" t="n">
        <f aca="false">IF(D1906&gt;E1906,1,0)</f>
        <v>0</v>
      </c>
      <c r="L1906" s="3" t="n">
        <f aca="false">IF(OR(F1906="Y",G1906="Y",H1906="Y"),1,0)</f>
        <v>0</v>
      </c>
      <c r="M1906" s="3" t="n">
        <f aca="false">IF(H1906="Y",1,0)</f>
        <v>0</v>
      </c>
      <c r="N1906" s="3" t="n">
        <f aca="false">IF(I1906="Y",1,0)</f>
        <v>0</v>
      </c>
    </row>
    <row r="1907" customFormat="false" ht="15" hidden="false" customHeight="true" outlineLevel="0" collapsed="false">
      <c r="A1907" s="7" t="s">
        <v>69</v>
      </c>
      <c r="B1907" s="7" t="n">
        <v>1946</v>
      </c>
      <c r="C1907" s="7" t="s">
        <v>405</v>
      </c>
      <c r="D1907" s="7" t="n">
        <v>49</v>
      </c>
      <c r="E1907" s="7" t="n">
        <v>105</v>
      </c>
      <c r="F1907" s="7"/>
      <c r="G1907" s="7"/>
      <c r="H1907" s="7" t="s">
        <v>546</v>
      </c>
      <c r="I1907" s="7" t="s">
        <v>546</v>
      </c>
      <c r="J1907" s="21" t="n">
        <f aca="false">D1907/(D1907+E1907)</f>
        <v>0.318181818181818</v>
      </c>
      <c r="K1907" s="3" t="n">
        <f aca="false">IF(D1907&gt;E1907,1,0)</f>
        <v>0</v>
      </c>
      <c r="L1907" s="3" t="n">
        <f aca="false">IF(OR(F1907="Y",G1907="Y",H1907="Y"),1,0)</f>
        <v>0</v>
      </c>
      <c r="M1907" s="3" t="n">
        <f aca="false">IF(H1907="Y",1,0)</f>
        <v>0</v>
      </c>
      <c r="N1907" s="3" t="n">
        <f aca="false">IF(I1907="Y",1,0)</f>
        <v>0</v>
      </c>
    </row>
    <row r="1908" customFormat="false" ht="15" hidden="false" customHeight="true" outlineLevel="0" collapsed="false">
      <c r="A1908" s="7" t="s">
        <v>69</v>
      </c>
      <c r="B1908" s="7" t="n">
        <v>1947</v>
      </c>
      <c r="C1908" s="7" t="s">
        <v>405</v>
      </c>
      <c r="D1908" s="7" t="n">
        <v>78</v>
      </c>
      <c r="E1908" s="7" t="n">
        <v>76</v>
      </c>
      <c r="F1908" s="7"/>
      <c r="G1908" s="7"/>
      <c r="H1908" s="7" t="s">
        <v>546</v>
      </c>
      <c r="I1908" s="7" t="s">
        <v>546</v>
      </c>
      <c r="J1908" s="21" t="n">
        <f aca="false">D1908/(D1908+E1908)</f>
        <v>0.506493506493506</v>
      </c>
      <c r="K1908" s="3" t="n">
        <f aca="false">IF(D1908&gt;E1908,1,0)</f>
        <v>1</v>
      </c>
      <c r="L1908" s="3" t="n">
        <f aca="false">IF(OR(F1908="Y",G1908="Y",H1908="Y"),1,0)</f>
        <v>0</v>
      </c>
      <c r="M1908" s="3" t="n">
        <f aca="false">IF(H1908="Y",1,0)</f>
        <v>0</v>
      </c>
      <c r="N1908" s="3" t="n">
        <f aca="false">IF(I1908="Y",1,0)</f>
        <v>0</v>
      </c>
    </row>
    <row r="1909" customFormat="false" ht="15" hidden="false" customHeight="true" outlineLevel="0" collapsed="false">
      <c r="A1909" s="7" t="s">
        <v>69</v>
      </c>
      <c r="B1909" s="7" t="n">
        <v>1948</v>
      </c>
      <c r="C1909" s="7" t="s">
        <v>405</v>
      </c>
      <c r="D1909" s="7" t="n">
        <v>84</v>
      </c>
      <c r="E1909" s="7" t="n">
        <v>70</v>
      </c>
      <c r="F1909" s="7"/>
      <c r="G1909" s="7"/>
      <c r="H1909" s="7" t="s">
        <v>546</v>
      </c>
      <c r="I1909" s="7" t="s">
        <v>546</v>
      </c>
      <c r="J1909" s="21" t="n">
        <f aca="false">D1909/(D1909+E1909)</f>
        <v>0.545454545454545</v>
      </c>
      <c r="K1909" s="3" t="n">
        <f aca="false">IF(D1909&gt;E1909,1,0)</f>
        <v>1</v>
      </c>
      <c r="L1909" s="3" t="n">
        <f aca="false">IF(OR(F1909="Y",G1909="Y",H1909="Y"),1,0)</f>
        <v>0</v>
      </c>
      <c r="M1909" s="3" t="n">
        <f aca="false">IF(H1909="Y",1,0)</f>
        <v>0</v>
      </c>
      <c r="N1909" s="3" t="n">
        <f aca="false">IF(I1909="Y",1,0)</f>
        <v>0</v>
      </c>
    </row>
    <row r="1910" customFormat="false" ht="15" hidden="false" customHeight="true" outlineLevel="0" collapsed="false">
      <c r="A1910" s="7" t="s">
        <v>69</v>
      </c>
      <c r="B1910" s="7" t="n">
        <v>1949</v>
      </c>
      <c r="C1910" s="7" t="s">
        <v>405</v>
      </c>
      <c r="D1910" s="7" t="n">
        <v>81</v>
      </c>
      <c r="E1910" s="7" t="n">
        <v>73</v>
      </c>
      <c r="F1910" s="7"/>
      <c r="G1910" s="7"/>
      <c r="H1910" s="7" t="s">
        <v>546</v>
      </c>
      <c r="I1910" s="7" t="s">
        <v>546</v>
      </c>
      <c r="J1910" s="21" t="n">
        <f aca="false">D1910/(D1910+E1910)</f>
        <v>0.525974025974026</v>
      </c>
      <c r="K1910" s="3" t="n">
        <f aca="false">IF(D1910&gt;E1910,1,0)</f>
        <v>1</v>
      </c>
      <c r="L1910" s="3" t="n">
        <f aca="false">IF(OR(F1910="Y",G1910="Y",H1910="Y"),1,0)</f>
        <v>0</v>
      </c>
      <c r="M1910" s="3" t="n">
        <f aca="false">IF(H1910="Y",1,0)</f>
        <v>0</v>
      </c>
      <c r="N1910" s="3" t="n">
        <f aca="false">IF(I1910="Y",1,0)</f>
        <v>0</v>
      </c>
    </row>
    <row r="1911" customFormat="false" ht="15" hidden="false" customHeight="true" outlineLevel="0" collapsed="false">
      <c r="A1911" s="7" t="s">
        <v>69</v>
      </c>
      <c r="B1911" s="7" t="n">
        <v>1950</v>
      </c>
      <c r="C1911" s="7" t="s">
        <v>405</v>
      </c>
      <c r="D1911" s="7" t="n">
        <v>52</v>
      </c>
      <c r="E1911" s="7" t="n">
        <v>102</v>
      </c>
      <c r="F1911" s="7"/>
      <c r="G1911" s="7"/>
      <c r="H1911" s="7" t="s">
        <v>546</v>
      </c>
      <c r="I1911" s="7" t="s">
        <v>546</v>
      </c>
      <c r="J1911" s="21" t="n">
        <f aca="false">D1911/(D1911+E1911)</f>
        <v>0.337662337662338</v>
      </c>
      <c r="K1911" s="3" t="n">
        <f aca="false">IF(D1911&gt;E1911,1,0)</f>
        <v>0</v>
      </c>
      <c r="L1911" s="3" t="n">
        <f aca="false">IF(OR(F1911="Y",G1911="Y",H1911="Y"),1,0)</f>
        <v>0</v>
      </c>
      <c r="M1911" s="3" t="n">
        <f aca="false">IF(H1911="Y",1,0)</f>
        <v>0</v>
      </c>
      <c r="N1911" s="3" t="n">
        <f aca="false">IF(I1911="Y",1,0)</f>
        <v>0</v>
      </c>
    </row>
    <row r="1912" customFormat="false" ht="15" hidden="false" customHeight="true" outlineLevel="0" collapsed="false">
      <c r="A1912" s="7" t="s">
        <v>69</v>
      </c>
      <c r="B1912" s="7" t="n">
        <v>1951</v>
      </c>
      <c r="C1912" s="7" t="s">
        <v>405</v>
      </c>
      <c r="D1912" s="7" t="n">
        <v>70</v>
      </c>
      <c r="E1912" s="7" t="n">
        <v>84</v>
      </c>
      <c r="F1912" s="7"/>
      <c r="G1912" s="7"/>
      <c r="H1912" s="7" t="s">
        <v>546</v>
      </c>
      <c r="I1912" s="7" t="s">
        <v>546</v>
      </c>
      <c r="J1912" s="21" t="n">
        <f aca="false">D1912/(D1912+E1912)</f>
        <v>0.454545454545455</v>
      </c>
      <c r="K1912" s="3" t="n">
        <f aca="false">IF(D1912&gt;E1912,1,0)</f>
        <v>0</v>
      </c>
      <c r="L1912" s="3" t="n">
        <f aca="false">IF(OR(F1912="Y",G1912="Y",H1912="Y"),1,0)</f>
        <v>0</v>
      </c>
      <c r="M1912" s="3" t="n">
        <f aca="false">IF(H1912="Y",1,0)</f>
        <v>0</v>
      </c>
      <c r="N1912" s="3" t="n">
        <f aca="false">IF(I1912="Y",1,0)</f>
        <v>0</v>
      </c>
    </row>
    <row r="1913" customFormat="false" ht="15" hidden="false" customHeight="true" outlineLevel="0" collapsed="false">
      <c r="A1913" s="7" t="s">
        <v>69</v>
      </c>
      <c r="B1913" s="7" t="n">
        <v>1952</v>
      </c>
      <c r="C1913" s="7" t="s">
        <v>405</v>
      </c>
      <c r="D1913" s="7" t="n">
        <v>79</v>
      </c>
      <c r="E1913" s="7" t="n">
        <v>75</v>
      </c>
      <c r="F1913" s="7"/>
      <c r="G1913" s="7"/>
      <c r="H1913" s="7" t="s">
        <v>546</v>
      </c>
      <c r="I1913" s="7" t="s">
        <v>546</v>
      </c>
      <c r="J1913" s="21" t="n">
        <f aca="false">D1913/(D1913+E1913)</f>
        <v>0.512987012987013</v>
      </c>
      <c r="K1913" s="3" t="n">
        <f aca="false">IF(D1913&gt;E1913,1,0)</f>
        <v>1</v>
      </c>
      <c r="L1913" s="3" t="n">
        <f aca="false">IF(OR(F1913="Y",G1913="Y",H1913="Y"),1,0)</f>
        <v>0</v>
      </c>
      <c r="M1913" s="3" t="n">
        <f aca="false">IF(H1913="Y",1,0)</f>
        <v>0</v>
      </c>
      <c r="N1913" s="3" t="n">
        <f aca="false">IF(I1913="Y",1,0)</f>
        <v>0</v>
      </c>
    </row>
    <row r="1914" customFormat="false" ht="15" hidden="false" customHeight="true" outlineLevel="0" collapsed="false">
      <c r="A1914" s="7" t="s">
        <v>69</v>
      </c>
      <c r="B1914" s="7" t="n">
        <v>1953</v>
      </c>
      <c r="C1914" s="7" t="s">
        <v>405</v>
      </c>
      <c r="D1914" s="7" t="n">
        <v>59</v>
      </c>
      <c r="E1914" s="7" t="n">
        <v>95</v>
      </c>
      <c r="F1914" s="7"/>
      <c r="G1914" s="7"/>
      <c r="H1914" s="7" t="s">
        <v>546</v>
      </c>
      <c r="I1914" s="7" t="s">
        <v>546</v>
      </c>
      <c r="J1914" s="21" t="n">
        <f aca="false">D1914/(D1914+E1914)</f>
        <v>0.383116883116883</v>
      </c>
      <c r="K1914" s="3" t="n">
        <f aca="false">IF(D1914&gt;E1914,1,0)</f>
        <v>0</v>
      </c>
      <c r="L1914" s="3" t="n">
        <f aca="false">IF(OR(F1914="Y",G1914="Y",H1914="Y"),1,0)</f>
        <v>0</v>
      </c>
      <c r="M1914" s="3" t="n">
        <f aca="false">IF(H1914="Y",1,0)</f>
        <v>0</v>
      </c>
      <c r="N1914" s="3" t="n">
        <f aca="false">IF(I1914="Y",1,0)</f>
        <v>0</v>
      </c>
    </row>
    <row r="1915" customFormat="false" ht="15" hidden="false" customHeight="true" outlineLevel="0" collapsed="false">
      <c r="A1915" s="7" t="s">
        <v>69</v>
      </c>
      <c r="B1915" s="7" t="n">
        <v>1954</v>
      </c>
      <c r="C1915" s="7" t="s">
        <v>405</v>
      </c>
      <c r="D1915" s="7" t="n">
        <v>51</v>
      </c>
      <c r="E1915" s="7" t="n">
        <v>103</v>
      </c>
      <c r="F1915" s="7"/>
      <c r="G1915" s="7"/>
      <c r="H1915" s="7" t="s">
        <v>546</v>
      </c>
      <c r="I1915" s="7" t="s">
        <v>546</v>
      </c>
      <c r="J1915" s="21" t="n">
        <f aca="false">D1915/(D1915+E1915)</f>
        <v>0.331168831168831</v>
      </c>
      <c r="K1915" s="3" t="n">
        <f aca="false">IF(D1915&gt;E1915,1,0)</f>
        <v>0</v>
      </c>
      <c r="L1915" s="3" t="n">
        <f aca="false">IF(OR(F1915="Y",G1915="Y",H1915="Y"),1,0)</f>
        <v>0</v>
      </c>
      <c r="M1915" s="3" t="n">
        <f aca="false">IF(H1915="Y",1,0)</f>
        <v>0</v>
      </c>
      <c r="N1915" s="3" t="n">
        <f aca="false">IF(I1915="Y",1,0)</f>
        <v>0</v>
      </c>
    </row>
    <row r="1916" customFormat="false" ht="15" hidden="false" customHeight="true" outlineLevel="0" collapsed="false">
      <c r="A1916" s="7" t="s">
        <v>69</v>
      </c>
      <c r="B1916" s="7" t="n">
        <v>1955</v>
      </c>
      <c r="C1916" s="7" t="s">
        <v>579</v>
      </c>
      <c r="D1916" s="7" t="n">
        <v>63</v>
      </c>
      <c r="E1916" s="7" t="n">
        <v>91</v>
      </c>
      <c r="F1916" s="7"/>
      <c r="G1916" s="7"/>
      <c r="H1916" s="7" t="s">
        <v>546</v>
      </c>
      <c r="I1916" s="7" t="s">
        <v>546</v>
      </c>
      <c r="J1916" s="21" t="n">
        <f aca="false">D1916/(D1916+E1916)</f>
        <v>0.409090909090909</v>
      </c>
      <c r="K1916" s="3" t="n">
        <f aca="false">IF(D1916&gt;E1916,1,0)</f>
        <v>0</v>
      </c>
      <c r="L1916" s="3" t="n">
        <f aca="false">IF(OR(F1916="Y",G1916="Y",H1916="Y"),1,0)</f>
        <v>0</v>
      </c>
      <c r="M1916" s="3" t="n">
        <f aca="false">IF(H1916="Y",1,0)</f>
        <v>0</v>
      </c>
      <c r="N1916" s="3" t="n">
        <f aca="false">IF(I1916="Y",1,0)</f>
        <v>0</v>
      </c>
    </row>
    <row r="1917" customFormat="false" ht="15" hidden="false" customHeight="true" outlineLevel="0" collapsed="false">
      <c r="A1917" s="7" t="s">
        <v>69</v>
      </c>
      <c r="B1917" s="7" t="n">
        <v>1956</v>
      </c>
      <c r="C1917" s="7" t="s">
        <v>579</v>
      </c>
      <c r="D1917" s="7" t="n">
        <v>52</v>
      </c>
      <c r="E1917" s="7" t="n">
        <v>102</v>
      </c>
      <c r="F1917" s="7"/>
      <c r="G1917" s="7"/>
      <c r="H1917" s="7" t="s">
        <v>546</v>
      </c>
      <c r="I1917" s="7" t="s">
        <v>546</v>
      </c>
      <c r="J1917" s="21" t="n">
        <f aca="false">D1917/(D1917+E1917)</f>
        <v>0.337662337662338</v>
      </c>
      <c r="K1917" s="3" t="n">
        <f aca="false">IF(D1917&gt;E1917,1,0)</f>
        <v>0</v>
      </c>
      <c r="L1917" s="3" t="n">
        <f aca="false">IF(OR(F1917="Y",G1917="Y",H1917="Y"),1,0)</f>
        <v>0</v>
      </c>
      <c r="M1917" s="3" t="n">
        <f aca="false">IF(H1917="Y",1,0)</f>
        <v>0</v>
      </c>
      <c r="N1917" s="3" t="n">
        <f aca="false">IF(I1917="Y",1,0)</f>
        <v>0</v>
      </c>
    </row>
    <row r="1918" customFormat="false" ht="15" hidden="false" customHeight="true" outlineLevel="0" collapsed="false">
      <c r="A1918" s="7" t="s">
        <v>69</v>
      </c>
      <c r="B1918" s="7" t="n">
        <v>1957</v>
      </c>
      <c r="C1918" s="7" t="s">
        <v>579</v>
      </c>
      <c r="D1918" s="7" t="n">
        <v>59</v>
      </c>
      <c r="E1918" s="7" t="n">
        <v>94</v>
      </c>
      <c r="F1918" s="7"/>
      <c r="G1918" s="7"/>
      <c r="H1918" s="7" t="s">
        <v>546</v>
      </c>
      <c r="I1918" s="7" t="s">
        <v>546</v>
      </c>
      <c r="J1918" s="21" t="n">
        <f aca="false">D1918/(D1918+E1918)</f>
        <v>0.38562091503268</v>
      </c>
      <c r="K1918" s="3" t="n">
        <f aca="false">IF(D1918&gt;E1918,1,0)</f>
        <v>0</v>
      </c>
      <c r="L1918" s="3" t="n">
        <f aca="false">IF(OR(F1918="Y",G1918="Y",H1918="Y"),1,0)</f>
        <v>0</v>
      </c>
      <c r="M1918" s="3" t="n">
        <f aca="false">IF(H1918="Y",1,0)</f>
        <v>0</v>
      </c>
      <c r="N1918" s="3" t="n">
        <f aca="false">IF(I1918="Y",1,0)</f>
        <v>0</v>
      </c>
    </row>
    <row r="1919" customFormat="false" ht="15" hidden="false" customHeight="true" outlineLevel="0" collapsed="false">
      <c r="A1919" s="7" t="s">
        <v>69</v>
      </c>
      <c r="B1919" s="7" t="n">
        <v>1958</v>
      </c>
      <c r="C1919" s="7" t="s">
        <v>579</v>
      </c>
      <c r="D1919" s="7" t="n">
        <v>73</v>
      </c>
      <c r="E1919" s="7" t="n">
        <v>81</v>
      </c>
      <c r="F1919" s="7"/>
      <c r="G1919" s="7"/>
      <c r="H1919" s="7" t="s">
        <v>546</v>
      </c>
      <c r="I1919" s="7" t="s">
        <v>546</v>
      </c>
      <c r="J1919" s="21" t="n">
        <f aca="false">D1919/(D1919+E1919)</f>
        <v>0.474025974025974</v>
      </c>
      <c r="K1919" s="3" t="n">
        <f aca="false">IF(D1919&gt;E1919,1,0)</f>
        <v>0</v>
      </c>
      <c r="L1919" s="3" t="n">
        <f aca="false">IF(OR(F1919="Y",G1919="Y",H1919="Y"),1,0)</f>
        <v>0</v>
      </c>
      <c r="M1919" s="3" t="n">
        <f aca="false">IF(H1919="Y",1,0)</f>
        <v>0</v>
      </c>
      <c r="N1919" s="3" t="n">
        <f aca="false">IF(I1919="Y",1,0)</f>
        <v>0</v>
      </c>
    </row>
    <row r="1920" customFormat="false" ht="15" hidden="false" customHeight="true" outlineLevel="0" collapsed="false">
      <c r="A1920" s="7" t="s">
        <v>69</v>
      </c>
      <c r="B1920" s="7" t="n">
        <v>1959</v>
      </c>
      <c r="C1920" s="7" t="s">
        <v>579</v>
      </c>
      <c r="D1920" s="7" t="n">
        <v>66</v>
      </c>
      <c r="E1920" s="7" t="n">
        <v>88</v>
      </c>
      <c r="F1920" s="7"/>
      <c r="G1920" s="7"/>
      <c r="H1920" s="7" t="s">
        <v>546</v>
      </c>
      <c r="I1920" s="7" t="s">
        <v>546</v>
      </c>
      <c r="J1920" s="21" t="n">
        <f aca="false">D1920/(D1920+E1920)</f>
        <v>0.428571428571429</v>
      </c>
      <c r="K1920" s="3" t="n">
        <f aca="false">IF(D1920&gt;E1920,1,0)</f>
        <v>0</v>
      </c>
      <c r="L1920" s="3" t="n">
        <f aca="false">IF(OR(F1920="Y",G1920="Y",H1920="Y"),1,0)</f>
        <v>0</v>
      </c>
      <c r="M1920" s="3" t="n">
        <f aca="false">IF(H1920="Y",1,0)</f>
        <v>0</v>
      </c>
      <c r="N1920" s="3" t="n">
        <f aca="false">IF(I1920="Y",1,0)</f>
        <v>0</v>
      </c>
    </row>
    <row r="1921" customFormat="false" ht="15" hidden="false" customHeight="true" outlineLevel="0" collapsed="false">
      <c r="A1921" s="7" t="s">
        <v>69</v>
      </c>
      <c r="B1921" s="7" t="n">
        <v>1960</v>
      </c>
      <c r="C1921" s="7" t="s">
        <v>579</v>
      </c>
      <c r="D1921" s="7" t="n">
        <v>58</v>
      </c>
      <c r="E1921" s="7" t="n">
        <v>96</v>
      </c>
      <c r="F1921" s="7"/>
      <c r="G1921" s="7"/>
      <c r="H1921" s="7" t="s">
        <v>546</v>
      </c>
      <c r="I1921" s="7" t="s">
        <v>546</v>
      </c>
      <c r="J1921" s="21" t="n">
        <f aca="false">D1921/(D1921+E1921)</f>
        <v>0.376623376623377</v>
      </c>
      <c r="K1921" s="3" t="n">
        <f aca="false">IF(D1921&gt;E1921,1,0)</f>
        <v>0</v>
      </c>
      <c r="L1921" s="3" t="n">
        <f aca="false">IF(OR(F1921="Y",G1921="Y",H1921="Y"),1,0)</f>
        <v>0</v>
      </c>
      <c r="M1921" s="3" t="n">
        <f aca="false">IF(H1921="Y",1,0)</f>
        <v>0</v>
      </c>
      <c r="N1921" s="3" t="n">
        <f aca="false">IF(I1921="Y",1,0)</f>
        <v>0</v>
      </c>
    </row>
    <row r="1922" customFormat="false" ht="15" hidden="false" customHeight="true" outlineLevel="0" collapsed="false">
      <c r="A1922" s="7" t="s">
        <v>69</v>
      </c>
      <c r="B1922" s="7" t="n">
        <v>1961</v>
      </c>
      <c r="C1922" s="7" t="s">
        <v>579</v>
      </c>
      <c r="D1922" s="7" t="n">
        <v>61</v>
      </c>
      <c r="E1922" s="7" t="n">
        <v>100</v>
      </c>
      <c r="F1922" s="7"/>
      <c r="G1922" s="7"/>
      <c r="H1922" s="7" t="s">
        <v>546</v>
      </c>
      <c r="I1922" s="7" t="s">
        <v>546</v>
      </c>
      <c r="J1922" s="21" t="n">
        <f aca="false">D1922/(D1922+E1922)</f>
        <v>0.37888198757764</v>
      </c>
      <c r="K1922" s="3" t="n">
        <f aca="false">IF(D1922&gt;E1922,1,0)</f>
        <v>0</v>
      </c>
      <c r="L1922" s="3" t="n">
        <f aca="false">IF(OR(F1922="Y",G1922="Y",H1922="Y"),1,0)</f>
        <v>0</v>
      </c>
      <c r="M1922" s="3" t="n">
        <f aca="false">IF(H1922="Y",1,0)</f>
        <v>0</v>
      </c>
      <c r="N1922" s="3" t="n">
        <f aca="false">IF(I1922="Y",1,0)</f>
        <v>0</v>
      </c>
    </row>
    <row r="1923" customFormat="false" ht="15" hidden="false" customHeight="true" outlineLevel="0" collapsed="false">
      <c r="A1923" s="7" t="s">
        <v>69</v>
      </c>
      <c r="B1923" s="7" t="n">
        <v>1962</v>
      </c>
      <c r="C1923" s="7" t="s">
        <v>579</v>
      </c>
      <c r="D1923" s="7" t="n">
        <v>72</v>
      </c>
      <c r="E1923" s="7" t="n">
        <v>90</v>
      </c>
      <c r="F1923" s="7"/>
      <c r="G1923" s="7"/>
      <c r="H1923" s="7" t="s">
        <v>546</v>
      </c>
      <c r="I1923" s="7" t="s">
        <v>546</v>
      </c>
      <c r="J1923" s="21" t="n">
        <f aca="false">D1923/(D1923+E1923)</f>
        <v>0.444444444444444</v>
      </c>
      <c r="K1923" s="3" t="n">
        <f aca="false">IF(D1923&gt;E1923,1,0)</f>
        <v>0</v>
      </c>
      <c r="L1923" s="3" t="n">
        <f aca="false">IF(OR(F1923="Y",G1923="Y",H1923="Y"),1,0)</f>
        <v>0</v>
      </c>
      <c r="M1923" s="3" t="n">
        <f aca="false">IF(H1923="Y",1,0)</f>
        <v>0</v>
      </c>
      <c r="N1923" s="3" t="n">
        <f aca="false">IF(I1923="Y",1,0)</f>
        <v>0</v>
      </c>
    </row>
    <row r="1924" customFormat="false" ht="15" hidden="false" customHeight="true" outlineLevel="0" collapsed="false">
      <c r="A1924" s="7" t="s">
        <v>69</v>
      </c>
      <c r="B1924" s="7" t="n">
        <v>1963</v>
      </c>
      <c r="C1924" s="7" t="s">
        <v>579</v>
      </c>
      <c r="D1924" s="7" t="n">
        <v>73</v>
      </c>
      <c r="E1924" s="7" t="n">
        <v>89</v>
      </c>
      <c r="F1924" s="7"/>
      <c r="G1924" s="7"/>
      <c r="H1924" s="7" t="s">
        <v>546</v>
      </c>
      <c r="I1924" s="7" t="s">
        <v>546</v>
      </c>
      <c r="J1924" s="21" t="n">
        <f aca="false">D1924/(D1924+E1924)</f>
        <v>0.450617283950617</v>
      </c>
      <c r="K1924" s="3" t="n">
        <f aca="false">IF(D1924&gt;E1924,1,0)</f>
        <v>0</v>
      </c>
      <c r="L1924" s="3" t="n">
        <f aca="false">IF(OR(F1924="Y",G1924="Y",H1924="Y"),1,0)</f>
        <v>0</v>
      </c>
      <c r="M1924" s="3" t="n">
        <f aca="false">IF(H1924="Y",1,0)</f>
        <v>0</v>
      </c>
      <c r="N1924" s="3" t="n">
        <f aca="false">IF(I1924="Y",1,0)</f>
        <v>0</v>
      </c>
    </row>
    <row r="1925" customFormat="false" ht="15" hidden="false" customHeight="true" outlineLevel="0" collapsed="false">
      <c r="A1925" s="7" t="s">
        <v>69</v>
      </c>
      <c r="B1925" s="7" t="n">
        <v>1964</v>
      </c>
      <c r="C1925" s="7" t="s">
        <v>579</v>
      </c>
      <c r="D1925" s="7" t="n">
        <v>57</v>
      </c>
      <c r="E1925" s="7" t="n">
        <v>105</v>
      </c>
      <c r="F1925" s="7"/>
      <c r="G1925" s="7"/>
      <c r="H1925" s="7" t="s">
        <v>546</v>
      </c>
      <c r="I1925" s="7" t="s">
        <v>546</v>
      </c>
      <c r="J1925" s="21" t="n">
        <f aca="false">D1925/(D1925+E1925)</f>
        <v>0.351851851851852</v>
      </c>
      <c r="K1925" s="3" t="n">
        <f aca="false">IF(D1925&gt;E1925,1,0)</f>
        <v>0</v>
      </c>
      <c r="L1925" s="3" t="n">
        <f aca="false">IF(OR(F1925="Y",G1925="Y",H1925="Y"),1,0)</f>
        <v>0</v>
      </c>
      <c r="M1925" s="3" t="n">
        <f aca="false">IF(H1925="Y",1,0)</f>
        <v>0</v>
      </c>
      <c r="N1925" s="3" t="n">
        <f aca="false">IF(I1925="Y",1,0)</f>
        <v>0</v>
      </c>
    </row>
    <row r="1926" customFormat="false" ht="15" hidden="false" customHeight="true" outlineLevel="0" collapsed="false">
      <c r="A1926" s="7" t="s">
        <v>69</v>
      </c>
      <c r="B1926" s="7" t="n">
        <v>1965</v>
      </c>
      <c r="C1926" s="7" t="s">
        <v>579</v>
      </c>
      <c r="D1926" s="7" t="n">
        <v>59</v>
      </c>
      <c r="E1926" s="7" t="n">
        <v>103</v>
      </c>
      <c r="F1926" s="7"/>
      <c r="G1926" s="7"/>
      <c r="H1926" s="7" t="s">
        <v>546</v>
      </c>
      <c r="I1926" s="7" t="s">
        <v>546</v>
      </c>
      <c r="J1926" s="21" t="n">
        <f aca="false">D1926/(D1926+E1926)</f>
        <v>0.364197530864198</v>
      </c>
      <c r="K1926" s="3" t="n">
        <f aca="false">IF(D1926&gt;E1926,1,0)</f>
        <v>0</v>
      </c>
      <c r="L1926" s="3" t="n">
        <f aca="false">IF(OR(F1926="Y",G1926="Y",H1926="Y"),1,0)</f>
        <v>0</v>
      </c>
      <c r="M1926" s="3" t="n">
        <f aca="false">IF(H1926="Y",1,0)</f>
        <v>0</v>
      </c>
      <c r="N1926" s="3" t="n">
        <f aca="false">IF(I1926="Y",1,0)</f>
        <v>0</v>
      </c>
    </row>
    <row r="1927" customFormat="false" ht="15" hidden="false" customHeight="true" outlineLevel="0" collapsed="false">
      <c r="A1927" s="7" t="s">
        <v>69</v>
      </c>
      <c r="B1927" s="7" t="n">
        <v>1966</v>
      </c>
      <c r="C1927" s="7" t="s">
        <v>579</v>
      </c>
      <c r="D1927" s="7" t="n">
        <v>74</v>
      </c>
      <c r="E1927" s="7" t="n">
        <v>86</v>
      </c>
      <c r="F1927" s="7"/>
      <c r="G1927" s="7"/>
      <c r="H1927" s="7" t="s">
        <v>546</v>
      </c>
      <c r="I1927" s="7" t="s">
        <v>546</v>
      </c>
      <c r="J1927" s="21" t="n">
        <f aca="false">D1927/(D1927+E1927)</f>
        <v>0.4625</v>
      </c>
      <c r="K1927" s="3" t="n">
        <f aca="false">IF(D1927&gt;E1927,1,0)</f>
        <v>0</v>
      </c>
      <c r="L1927" s="3" t="n">
        <f aca="false">IF(OR(F1927="Y",G1927="Y",H1927="Y"),1,0)</f>
        <v>0</v>
      </c>
      <c r="M1927" s="3" t="n">
        <f aca="false">IF(H1927="Y",1,0)</f>
        <v>0</v>
      </c>
      <c r="N1927" s="3" t="n">
        <f aca="false">IF(I1927="Y",1,0)</f>
        <v>0</v>
      </c>
    </row>
    <row r="1928" customFormat="false" ht="15" hidden="false" customHeight="true" outlineLevel="0" collapsed="false">
      <c r="A1928" s="7" t="s">
        <v>69</v>
      </c>
      <c r="B1928" s="7" t="n">
        <v>1967</v>
      </c>
      <c r="C1928" s="7" t="s">
        <v>579</v>
      </c>
      <c r="D1928" s="7" t="n">
        <v>62</v>
      </c>
      <c r="E1928" s="7" t="n">
        <v>99</v>
      </c>
      <c r="F1928" s="7"/>
      <c r="G1928" s="7"/>
      <c r="H1928" s="7" t="s">
        <v>546</v>
      </c>
      <c r="I1928" s="7" t="s">
        <v>546</v>
      </c>
      <c r="J1928" s="21" t="n">
        <f aca="false">D1928/(D1928+E1928)</f>
        <v>0.385093167701863</v>
      </c>
      <c r="K1928" s="3" t="n">
        <f aca="false">IF(D1928&gt;E1928,1,0)</f>
        <v>0</v>
      </c>
      <c r="L1928" s="3" t="n">
        <f aca="false">IF(OR(F1928="Y",G1928="Y",H1928="Y"),1,0)</f>
        <v>0</v>
      </c>
      <c r="M1928" s="3" t="n">
        <f aca="false">IF(H1928="Y",1,0)</f>
        <v>0</v>
      </c>
      <c r="N1928" s="3" t="n">
        <f aca="false">IF(I1928="Y",1,0)</f>
        <v>0</v>
      </c>
    </row>
    <row r="1929" customFormat="false" ht="15" hidden="false" customHeight="true" outlineLevel="0" collapsed="false">
      <c r="A1929" s="7" t="s">
        <v>69</v>
      </c>
      <c r="B1929" s="7" t="n">
        <v>1968</v>
      </c>
      <c r="C1929" s="7" t="s">
        <v>580</v>
      </c>
      <c r="D1929" s="7" t="n">
        <v>82</v>
      </c>
      <c r="E1929" s="7" t="n">
        <v>80</v>
      </c>
      <c r="F1929" s="7"/>
      <c r="G1929" s="7"/>
      <c r="H1929" s="7" t="s">
        <v>546</v>
      </c>
      <c r="I1929" s="7" t="s">
        <v>546</v>
      </c>
      <c r="J1929" s="21" t="n">
        <f aca="false">D1929/(D1929+E1929)</f>
        <v>0.506172839506173</v>
      </c>
      <c r="K1929" s="3" t="n">
        <f aca="false">IF(D1929&gt;E1929,1,0)</f>
        <v>1</v>
      </c>
      <c r="L1929" s="3" t="n">
        <f aca="false">IF(OR(F1929="Y",G1929="Y",H1929="Y"),1,0)</f>
        <v>0</v>
      </c>
      <c r="M1929" s="3" t="n">
        <f aca="false">IF(H1929="Y",1,0)</f>
        <v>0</v>
      </c>
      <c r="N1929" s="3" t="n">
        <f aca="false">IF(I1929="Y",1,0)</f>
        <v>0</v>
      </c>
    </row>
    <row r="1930" customFormat="false" ht="15" hidden="false" customHeight="true" outlineLevel="0" collapsed="false">
      <c r="A1930" s="7" t="s">
        <v>69</v>
      </c>
      <c r="B1930" s="7" t="n">
        <v>1969</v>
      </c>
      <c r="C1930" s="7" t="s">
        <v>580</v>
      </c>
      <c r="D1930" s="7" t="n">
        <v>88</v>
      </c>
      <c r="E1930" s="7" t="n">
        <v>74</v>
      </c>
      <c r="F1930" s="7" t="s">
        <v>546</v>
      </c>
      <c r="G1930" s="7"/>
      <c r="H1930" s="7" t="s">
        <v>546</v>
      </c>
      <c r="I1930" s="7" t="s">
        <v>546</v>
      </c>
      <c r="J1930" s="21" t="n">
        <f aca="false">D1930/(D1930+E1930)</f>
        <v>0.54320987654321</v>
      </c>
      <c r="K1930" s="3" t="n">
        <f aca="false">IF(D1930&gt;E1930,1,0)</f>
        <v>1</v>
      </c>
      <c r="L1930" s="3" t="n">
        <f aca="false">IF(OR(F1930="Y",G1930="Y",H1930="Y"),1,0)</f>
        <v>0</v>
      </c>
      <c r="M1930" s="3" t="n">
        <f aca="false">IF(H1930="Y",1,0)</f>
        <v>0</v>
      </c>
      <c r="N1930" s="3" t="n">
        <f aca="false">IF(I1930="Y",1,0)</f>
        <v>0</v>
      </c>
    </row>
    <row r="1931" customFormat="false" ht="15" hidden="false" customHeight="true" outlineLevel="0" collapsed="false">
      <c r="A1931" s="7" t="s">
        <v>69</v>
      </c>
      <c r="B1931" s="7" t="n">
        <v>1970</v>
      </c>
      <c r="C1931" s="7" t="s">
        <v>580</v>
      </c>
      <c r="D1931" s="7" t="n">
        <v>89</v>
      </c>
      <c r="E1931" s="7" t="n">
        <v>73</v>
      </c>
      <c r="F1931" s="7" t="s">
        <v>546</v>
      </c>
      <c r="G1931" s="7"/>
      <c r="H1931" s="7" t="s">
        <v>546</v>
      </c>
      <c r="I1931" s="7" t="s">
        <v>546</v>
      </c>
      <c r="J1931" s="21" t="n">
        <f aca="false">D1931/(D1931+E1931)</f>
        <v>0.549382716049383</v>
      </c>
      <c r="K1931" s="3" t="n">
        <f aca="false">IF(D1931&gt;E1931,1,0)</f>
        <v>1</v>
      </c>
      <c r="L1931" s="3" t="n">
        <f aca="false">IF(OR(F1931="Y",G1931="Y",H1931="Y"),1,0)</f>
        <v>0</v>
      </c>
      <c r="M1931" s="3" t="n">
        <f aca="false">IF(H1931="Y",1,0)</f>
        <v>0</v>
      </c>
      <c r="N1931" s="3" t="n">
        <f aca="false">IF(I1931="Y",1,0)</f>
        <v>0</v>
      </c>
    </row>
    <row r="1932" customFormat="false" ht="15" hidden="false" customHeight="true" outlineLevel="0" collapsed="false">
      <c r="A1932" s="7" t="s">
        <v>69</v>
      </c>
      <c r="B1932" s="7" t="n">
        <v>1971</v>
      </c>
      <c r="C1932" s="7" t="s">
        <v>580</v>
      </c>
      <c r="D1932" s="7" t="n">
        <v>101</v>
      </c>
      <c r="E1932" s="7" t="n">
        <v>60</v>
      </c>
      <c r="F1932" s="7" t="s">
        <v>548</v>
      </c>
      <c r="G1932" s="7"/>
      <c r="H1932" s="7" t="s">
        <v>546</v>
      </c>
      <c r="I1932" s="7" t="s">
        <v>546</v>
      </c>
      <c r="J1932" s="21" t="n">
        <f aca="false">D1932/(D1932+E1932)</f>
        <v>0.627329192546584</v>
      </c>
      <c r="K1932" s="3" t="n">
        <f aca="false">IF(D1932&gt;E1932,1,0)</f>
        <v>1</v>
      </c>
      <c r="L1932" s="3" t="n">
        <f aca="false">IF(OR(F1932="Y",G1932="Y",H1932="Y"),1,0)</f>
        <v>1</v>
      </c>
      <c r="M1932" s="3" t="n">
        <f aca="false">IF(H1932="Y",1,0)</f>
        <v>0</v>
      </c>
      <c r="N1932" s="3" t="n">
        <f aca="false">IF(I1932="Y",1,0)</f>
        <v>0</v>
      </c>
    </row>
    <row r="1933" customFormat="false" ht="15" hidden="false" customHeight="true" outlineLevel="0" collapsed="false">
      <c r="A1933" s="7" t="s">
        <v>69</v>
      </c>
      <c r="B1933" s="7" t="n">
        <v>1972</v>
      </c>
      <c r="C1933" s="7" t="s">
        <v>580</v>
      </c>
      <c r="D1933" s="7" t="n">
        <v>93</v>
      </c>
      <c r="E1933" s="7" t="n">
        <v>62</v>
      </c>
      <c r="F1933" s="7" t="s">
        <v>548</v>
      </c>
      <c r="G1933" s="7"/>
      <c r="H1933" s="7" t="s">
        <v>548</v>
      </c>
      <c r="I1933" s="7" t="s">
        <v>548</v>
      </c>
      <c r="J1933" s="21" t="n">
        <f aca="false">D1933/(D1933+E1933)</f>
        <v>0.6</v>
      </c>
      <c r="K1933" s="3" t="n">
        <f aca="false">IF(D1933&gt;E1933,1,0)</f>
        <v>1</v>
      </c>
      <c r="L1933" s="3" t="n">
        <f aca="false">IF(OR(F1933="Y",G1933="Y",H1933="Y"),1,0)</f>
        <v>1</v>
      </c>
      <c r="M1933" s="3" t="n">
        <f aca="false">IF(H1933="Y",1,0)</f>
        <v>1</v>
      </c>
      <c r="N1933" s="3" t="n">
        <f aca="false">IF(I1933="Y",1,0)</f>
        <v>1</v>
      </c>
    </row>
    <row r="1934" customFormat="false" ht="15" hidden="false" customHeight="true" outlineLevel="0" collapsed="false">
      <c r="A1934" s="7" t="s">
        <v>69</v>
      </c>
      <c r="B1934" s="7" t="n">
        <v>1973</v>
      </c>
      <c r="C1934" s="7" t="s">
        <v>580</v>
      </c>
      <c r="D1934" s="7" t="n">
        <v>94</v>
      </c>
      <c r="E1934" s="7" t="n">
        <v>68</v>
      </c>
      <c r="F1934" s="7" t="s">
        <v>548</v>
      </c>
      <c r="G1934" s="7"/>
      <c r="H1934" s="7" t="s">
        <v>548</v>
      </c>
      <c r="I1934" s="7" t="s">
        <v>548</v>
      </c>
      <c r="J1934" s="21" t="n">
        <f aca="false">D1934/(D1934+E1934)</f>
        <v>0.580246913580247</v>
      </c>
      <c r="K1934" s="3" t="n">
        <f aca="false">IF(D1934&gt;E1934,1,0)</f>
        <v>1</v>
      </c>
      <c r="L1934" s="3" t="n">
        <f aca="false">IF(OR(F1934="Y",G1934="Y",H1934="Y"),1,0)</f>
        <v>1</v>
      </c>
      <c r="M1934" s="3" t="n">
        <f aca="false">IF(H1934="Y",1,0)</f>
        <v>1</v>
      </c>
      <c r="N1934" s="3" t="n">
        <f aca="false">IF(I1934="Y",1,0)</f>
        <v>1</v>
      </c>
    </row>
    <row r="1935" customFormat="false" ht="15" hidden="false" customHeight="true" outlineLevel="0" collapsed="false">
      <c r="A1935" s="7" t="s">
        <v>69</v>
      </c>
      <c r="B1935" s="7" t="n">
        <v>1974</v>
      </c>
      <c r="C1935" s="7" t="s">
        <v>580</v>
      </c>
      <c r="D1935" s="7" t="n">
        <v>90</v>
      </c>
      <c r="E1935" s="7" t="n">
        <v>72</v>
      </c>
      <c r="F1935" s="7" t="s">
        <v>548</v>
      </c>
      <c r="G1935" s="7"/>
      <c r="H1935" s="7" t="s">
        <v>548</v>
      </c>
      <c r="I1935" s="7" t="s">
        <v>548</v>
      </c>
      <c r="J1935" s="21" t="n">
        <f aca="false">D1935/(D1935+E1935)</f>
        <v>0.555555555555556</v>
      </c>
      <c r="K1935" s="3" t="n">
        <f aca="false">IF(D1935&gt;E1935,1,0)</f>
        <v>1</v>
      </c>
      <c r="L1935" s="3" t="n">
        <f aca="false">IF(OR(F1935="Y",G1935="Y",H1935="Y"),1,0)</f>
        <v>1</v>
      </c>
      <c r="M1935" s="3" t="n">
        <f aca="false">IF(H1935="Y",1,0)</f>
        <v>1</v>
      </c>
      <c r="N1935" s="3" t="n">
        <f aca="false">IF(I1935="Y",1,0)</f>
        <v>1</v>
      </c>
    </row>
    <row r="1936" customFormat="false" ht="15" hidden="false" customHeight="true" outlineLevel="0" collapsed="false">
      <c r="A1936" s="7" t="s">
        <v>69</v>
      </c>
      <c r="B1936" s="7" t="n">
        <v>1975</v>
      </c>
      <c r="C1936" s="7" t="s">
        <v>580</v>
      </c>
      <c r="D1936" s="7" t="n">
        <v>98</v>
      </c>
      <c r="E1936" s="7" t="n">
        <v>64</v>
      </c>
      <c r="F1936" s="7" t="s">
        <v>548</v>
      </c>
      <c r="G1936" s="7"/>
      <c r="H1936" s="7" t="s">
        <v>546</v>
      </c>
      <c r="I1936" s="7" t="s">
        <v>546</v>
      </c>
      <c r="J1936" s="21" t="n">
        <f aca="false">D1936/(D1936+E1936)</f>
        <v>0.604938271604938</v>
      </c>
      <c r="K1936" s="3" t="n">
        <f aca="false">IF(D1936&gt;E1936,1,0)</f>
        <v>1</v>
      </c>
      <c r="L1936" s="3" t="n">
        <f aca="false">IF(OR(F1936="Y",G1936="Y",H1936="Y"),1,0)</f>
        <v>1</v>
      </c>
      <c r="M1936" s="3" t="n">
        <f aca="false">IF(H1936="Y",1,0)</f>
        <v>0</v>
      </c>
      <c r="N1936" s="3" t="n">
        <f aca="false">IF(I1936="Y",1,0)</f>
        <v>0</v>
      </c>
    </row>
    <row r="1937" customFormat="false" ht="15" hidden="false" customHeight="true" outlineLevel="0" collapsed="false">
      <c r="A1937" s="7" t="s">
        <v>69</v>
      </c>
      <c r="B1937" s="7" t="n">
        <v>1976</v>
      </c>
      <c r="C1937" s="7" t="s">
        <v>580</v>
      </c>
      <c r="D1937" s="7" t="n">
        <v>87</v>
      </c>
      <c r="E1937" s="7" t="n">
        <v>74</v>
      </c>
      <c r="F1937" s="7" t="s">
        <v>546</v>
      </c>
      <c r="G1937" s="7"/>
      <c r="H1937" s="7" t="s">
        <v>546</v>
      </c>
      <c r="I1937" s="7" t="s">
        <v>546</v>
      </c>
      <c r="J1937" s="21" t="n">
        <f aca="false">D1937/(D1937+E1937)</f>
        <v>0.540372670807453</v>
      </c>
      <c r="K1937" s="3" t="n">
        <f aca="false">IF(D1937&gt;E1937,1,0)</f>
        <v>1</v>
      </c>
      <c r="L1937" s="3" t="n">
        <f aca="false">IF(OR(F1937="Y",G1937="Y",H1937="Y"),1,0)</f>
        <v>0</v>
      </c>
      <c r="M1937" s="3" t="n">
        <f aca="false">IF(H1937="Y",1,0)</f>
        <v>0</v>
      </c>
      <c r="N1937" s="3" t="n">
        <f aca="false">IF(I1937="Y",1,0)</f>
        <v>0</v>
      </c>
    </row>
    <row r="1938" customFormat="false" ht="15" hidden="false" customHeight="true" outlineLevel="0" collapsed="false">
      <c r="A1938" s="7" t="s">
        <v>69</v>
      </c>
      <c r="B1938" s="7" t="n">
        <v>1977</v>
      </c>
      <c r="C1938" s="7" t="s">
        <v>580</v>
      </c>
      <c r="D1938" s="7" t="n">
        <v>63</v>
      </c>
      <c r="E1938" s="7" t="n">
        <v>98</v>
      </c>
      <c r="F1938" s="7" t="s">
        <v>546</v>
      </c>
      <c r="G1938" s="7"/>
      <c r="H1938" s="7" t="s">
        <v>546</v>
      </c>
      <c r="I1938" s="7" t="s">
        <v>546</v>
      </c>
      <c r="J1938" s="21" t="n">
        <f aca="false">D1938/(D1938+E1938)</f>
        <v>0.391304347826087</v>
      </c>
      <c r="K1938" s="3" t="n">
        <f aca="false">IF(D1938&gt;E1938,1,0)</f>
        <v>0</v>
      </c>
      <c r="L1938" s="3" t="n">
        <f aca="false">IF(OR(F1938="Y",G1938="Y",H1938="Y"),1,0)</f>
        <v>0</v>
      </c>
      <c r="M1938" s="3" t="n">
        <f aca="false">IF(H1938="Y",1,0)</f>
        <v>0</v>
      </c>
      <c r="N1938" s="3" t="n">
        <f aca="false">IF(I1938="Y",1,0)</f>
        <v>0</v>
      </c>
    </row>
    <row r="1939" customFormat="false" ht="15" hidden="false" customHeight="true" outlineLevel="0" collapsed="false">
      <c r="A1939" s="7" t="s">
        <v>69</v>
      </c>
      <c r="B1939" s="7" t="n">
        <v>1978</v>
      </c>
      <c r="C1939" s="7" t="s">
        <v>580</v>
      </c>
      <c r="D1939" s="7" t="n">
        <v>69</v>
      </c>
      <c r="E1939" s="7" t="n">
        <v>93</v>
      </c>
      <c r="F1939" s="7" t="s">
        <v>546</v>
      </c>
      <c r="G1939" s="7"/>
      <c r="H1939" s="7" t="s">
        <v>546</v>
      </c>
      <c r="I1939" s="7" t="s">
        <v>546</v>
      </c>
      <c r="J1939" s="21" t="n">
        <f aca="false">D1939/(D1939+E1939)</f>
        <v>0.425925925925926</v>
      </c>
      <c r="K1939" s="3" t="n">
        <f aca="false">IF(D1939&gt;E1939,1,0)</f>
        <v>0</v>
      </c>
      <c r="L1939" s="3" t="n">
        <f aca="false">IF(OR(F1939="Y",G1939="Y",H1939="Y"),1,0)</f>
        <v>0</v>
      </c>
      <c r="M1939" s="3" t="n">
        <f aca="false">IF(H1939="Y",1,0)</f>
        <v>0</v>
      </c>
      <c r="N1939" s="3" t="n">
        <f aca="false">IF(I1939="Y",1,0)</f>
        <v>0</v>
      </c>
    </row>
    <row r="1940" customFormat="false" ht="15" hidden="false" customHeight="true" outlineLevel="0" collapsed="false">
      <c r="A1940" s="7" t="s">
        <v>69</v>
      </c>
      <c r="B1940" s="7" t="n">
        <v>1979</v>
      </c>
      <c r="C1940" s="7" t="s">
        <v>580</v>
      </c>
      <c r="D1940" s="7" t="n">
        <v>54</v>
      </c>
      <c r="E1940" s="7" t="n">
        <v>108</v>
      </c>
      <c r="F1940" s="7" t="s">
        <v>546</v>
      </c>
      <c r="G1940" s="7"/>
      <c r="H1940" s="7" t="s">
        <v>546</v>
      </c>
      <c r="I1940" s="7" t="s">
        <v>546</v>
      </c>
      <c r="J1940" s="21" t="n">
        <f aca="false">D1940/(D1940+E1940)</f>
        <v>0.333333333333333</v>
      </c>
      <c r="K1940" s="3" t="n">
        <f aca="false">IF(D1940&gt;E1940,1,0)</f>
        <v>0</v>
      </c>
      <c r="L1940" s="3" t="n">
        <f aca="false">IF(OR(F1940="Y",G1940="Y",H1940="Y"),1,0)</f>
        <v>0</v>
      </c>
      <c r="M1940" s="3" t="n">
        <f aca="false">IF(H1940="Y",1,0)</f>
        <v>0</v>
      </c>
      <c r="N1940" s="3" t="n">
        <f aca="false">IF(I1940="Y",1,0)</f>
        <v>0</v>
      </c>
    </row>
    <row r="1941" customFormat="false" ht="15" hidden="false" customHeight="true" outlineLevel="0" collapsed="false">
      <c r="A1941" s="7" t="s">
        <v>69</v>
      </c>
      <c r="B1941" s="7" t="n">
        <v>1980</v>
      </c>
      <c r="C1941" s="7" t="s">
        <v>580</v>
      </c>
      <c r="D1941" s="7" t="n">
        <v>83</v>
      </c>
      <c r="E1941" s="7" t="n">
        <v>79</v>
      </c>
      <c r="F1941" s="7" t="s">
        <v>546</v>
      </c>
      <c r="G1941" s="7"/>
      <c r="H1941" s="7" t="s">
        <v>546</v>
      </c>
      <c r="I1941" s="7" t="s">
        <v>546</v>
      </c>
      <c r="J1941" s="21" t="n">
        <f aca="false">D1941/(D1941+E1941)</f>
        <v>0.512345679012346</v>
      </c>
      <c r="K1941" s="3" t="n">
        <f aca="false">IF(D1941&gt;E1941,1,0)</f>
        <v>1</v>
      </c>
      <c r="L1941" s="3" t="n">
        <f aca="false">IF(OR(F1941="Y",G1941="Y",H1941="Y"),1,0)</f>
        <v>0</v>
      </c>
      <c r="M1941" s="3" t="n">
        <f aca="false">IF(H1941="Y",1,0)</f>
        <v>0</v>
      </c>
      <c r="N1941" s="3" t="n">
        <f aca="false">IF(I1941="Y",1,0)</f>
        <v>0</v>
      </c>
    </row>
    <row r="1942" customFormat="false" ht="15" hidden="false" customHeight="true" outlineLevel="0" collapsed="false">
      <c r="A1942" s="7" t="s">
        <v>69</v>
      </c>
      <c r="B1942" s="7" t="n">
        <v>1981</v>
      </c>
      <c r="C1942" s="7" t="s">
        <v>580</v>
      </c>
      <c r="D1942" s="7" t="n">
        <v>64</v>
      </c>
      <c r="E1942" s="7" t="n">
        <v>45</v>
      </c>
      <c r="F1942" s="7" t="s">
        <v>548</v>
      </c>
      <c r="G1942" s="7"/>
      <c r="H1942" s="7" t="s">
        <v>546</v>
      </c>
      <c r="I1942" s="7" t="s">
        <v>546</v>
      </c>
      <c r="J1942" s="21" t="n">
        <f aca="false">D1942/(D1942+E1942)</f>
        <v>0.587155963302752</v>
      </c>
      <c r="K1942" s="3" t="n">
        <f aca="false">IF(D1942&gt;E1942,1,0)</f>
        <v>1</v>
      </c>
      <c r="L1942" s="3" t="n">
        <f aca="false">IF(OR(F1942="Y",G1942="Y",H1942="Y"),1,0)</f>
        <v>1</v>
      </c>
      <c r="M1942" s="3" t="n">
        <f aca="false">IF(H1942="Y",1,0)</f>
        <v>0</v>
      </c>
      <c r="N1942" s="3" t="n">
        <f aca="false">IF(I1942="Y",1,0)</f>
        <v>0</v>
      </c>
    </row>
    <row r="1943" customFormat="false" ht="15" hidden="false" customHeight="true" outlineLevel="0" collapsed="false">
      <c r="A1943" s="7" t="s">
        <v>69</v>
      </c>
      <c r="B1943" s="7" t="n">
        <v>1982</v>
      </c>
      <c r="C1943" s="7" t="s">
        <v>580</v>
      </c>
      <c r="D1943" s="7" t="n">
        <v>68</v>
      </c>
      <c r="E1943" s="7" t="n">
        <v>94</v>
      </c>
      <c r="F1943" s="7" t="s">
        <v>546</v>
      </c>
      <c r="G1943" s="7"/>
      <c r="H1943" s="7" t="s">
        <v>546</v>
      </c>
      <c r="I1943" s="7" t="s">
        <v>546</v>
      </c>
      <c r="J1943" s="21" t="n">
        <f aca="false">D1943/(D1943+E1943)</f>
        <v>0.419753086419753</v>
      </c>
      <c r="K1943" s="3" t="n">
        <f aca="false">IF(D1943&gt;E1943,1,0)</f>
        <v>0</v>
      </c>
      <c r="L1943" s="3" t="n">
        <f aca="false">IF(OR(F1943="Y",G1943="Y",H1943="Y"),1,0)</f>
        <v>0</v>
      </c>
      <c r="M1943" s="3" t="n">
        <f aca="false">IF(H1943="Y",1,0)</f>
        <v>0</v>
      </c>
      <c r="N1943" s="3" t="n">
        <f aca="false">IF(I1943="Y",1,0)</f>
        <v>0</v>
      </c>
    </row>
    <row r="1944" customFormat="false" ht="15" hidden="false" customHeight="true" outlineLevel="0" collapsed="false">
      <c r="A1944" s="7" t="s">
        <v>69</v>
      </c>
      <c r="B1944" s="7" t="n">
        <v>1983</v>
      </c>
      <c r="C1944" s="7" t="s">
        <v>580</v>
      </c>
      <c r="D1944" s="7" t="n">
        <v>74</v>
      </c>
      <c r="E1944" s="7" t="n">
        <v>88</v>
      </c>
      <c r="F1944" s="7" t="s">
        <v>546</v>
      </c>
      <c r="G1944" s="7"/>
      <c r="H1944" s="7" t="s">
        <v>546</v>
      </c>
      <c r="I1944" s="7" t="s">
        <v>546</v>
      </c>
      <c r="J1944" s="21" t="n">
        <f aca="false">D1944/(D1944+E1944)</f>
        <v>0.45679012345679</v>
      </c>
      <c r="K1944" s="3" t="n">
        <f aca="false">IF(D1944&gt;E1944,1,0)</f>
        <v>0</v>
      </c>
      <c r="L1944" s="3" t="n">
        <f aca="false">IF(OR(F1944="Y",G1944="Y",H1944="Y"),1,0)</f>
        <v>0</v>
      </c>
      <c r="M1944" s="3" t="n">
        <f aca="false">IF(H1944="Y",1,0)</f>
        <v>0</v>
      </c>
      <c r="N1944" s="3" t="n">
        <f aca="false">IF(I1944="Y",1,0)</f>
        <v>0</v>
      </c>
    </row>
    <row r="1945" customFormat="false" ht="15" hidden="false" customHeight="true" outlineLevel="0" collapsed="false">
      <c r="A1945" s="7" t="s">
        <v>69</v>
      </c>
      <c r="B1945" s="7" t="n">
        <v>1984</v>
      </c>
      <c r="C1945" s="7" t="s">
        <v>580</v>
      </c>
      <c r="D1945" s="7" t="n">
        <v>77</v>
      </c>
      <c r="E1945" s="7" t="n">
        <v>85</v>
      </c>
      <c r="F1945" s="7" t="s">
        <v>546</v>
      </c>
      <c r="G1945" s="7"/>
      <c r="H1945" s="7" t="s">
        <v>546</v>
      </c>
      <c r="I1945" s="7" t="s">
        <v>546</v>
      </c>
      <c r="J1945" s="21" t="n">
        <f aca="false">D1945/(D1945+E1945)</f>
        <v>0.475308641975309</v>
      </c>
      <c r="K1945" s="3" t="n">
        <f aca="false">IF(D1945&gt;E1945,1,0)</f>
        <v>0</v>
      </c>
      <c r="L1945" s="3" t="n">
        <f aca="false">IF(OR(F1945="Y",G1945="Y",H1945="Y"),1,0)</f>
        <v>0</v>
      </c>
      <c r="M1945" s="3" t="n">
        <f aca="false">IF(H1945="Y",1,0)</f>
        <v>0</v>
      </c>
      <c r="N1945" s="3" t="n">
        <f aca="false">IF(I1945="Y",1,0)</f>
        <v>0</v>
      </c>
    </row>
    <row r="1946" customFormat="false" ht="15" hidden="false" customHeight="true" outlineLevel="0" collapsed="false">
      <c r="A1946" s="7" t="s">
        <v>69</v>
      </c>
      <c r="B1946" s="7" t="n">
        <v>1985</v>
      </c>
      <c r="C1946" s="7" t="s">
        <v>580</v>
      </c>
      <c r="D1946" s="7" t="n">
        <v>77</v>
      </c>
      <c r="E1946" s="7" t="n">
        <v>85</v>
      </c>
      <c r="F1946" s="7" t="s">
        <v>546</v>
      </c>
      <c r="G1946" s="7"/>
      <c r="H1946" s="7" t="s">
        <v>546</v>
      </c>
      <c r="I1946" s="7" t="s">
        <v>546</v>
      </c>
      <c r="J1946" s="21" t="n">
        <f aca="false">D1946/(D1946+E1946)</f>
        <v>0.475308641975309</v>
      </c>
      <c r="K1946" s="3" t="n">
        <f aca="false">IF(D1946&gt;E1946,1,0)</f>
        <v>0</v>
      </c>
      <c r="L1946" s="3" t="n">
        <f aca="false">IF(OR(F1946="Y",G1946="Y",H1946="Y"),1,0)</f>
        <v>0</v>
      </c>
      <c r="M1946" s="3" t="n">
        <f aca="false">IF(H1946="Y",1,0)</f>
        <v>0</v>
      </c>
      <c r="N1946" s="3" t="n">
        <f aca="false">IF(I1946="Y",1,0)</f>
        <v>0</v>
      </c>
    </row>
    <row r="1947" customFormat="false" ht="15" hidden="false" customHeight="true" outlineLevel="0" collapsed="false">
      <c r="A1947" s="7" t="s">
        <v>69</v>
      </c>
      <c r="B1947" s="7" t="n">
        <v>1986</v>
      </c>
      <c r="C1947" s="7" t="s">
        <v>580</v>
      </c>
      <c r="D1947" s="7" t="n">
        <v>76</v>
      </c>
      <c r="E1947" s="7" t="n">
        <v>86</v>
      </c>
      <c r="F1947" s="7" t="s">
        <v>546</v>
      </c>
      <c r="G1947" s="7"/>
      <c r="H1947" s="7" t="s">
        <v>546</v>
      </c>
      <c r="I1947" s="7" t="s">
        <v>546</v>
      </c>
      <c r="J1947" s="21" t="n">
        <f aca="false">D1947/(D1947+E1947)</f>
        <v>0.469135802469136</v>
      </c>
      <c r="K1947" s="3" t="n">
        <f aca="false">IF(D1947&gt;E1947,1,0)</f>
        <v>0</v>
      </c>
      <c r="L1947" s="3" t="n">
        <f aca="false">IF(OR(F1947="Y",G1947="Y",H1947="Y"),1,0)</f>
        <v>0</v>
      </c>
      <c r="M1947" s="3" t="n">
        <f aca="false">IF(H1947="Y",1,0)</f>
        <v>0</v>
      </c>
      <c r="N1947" s="3" t="n">
        <f aca="false">IF(I1947="Y",1,0)</f>
        <v>0</v>
      </c>
    </row>
    <row r="1948" customFormat="false" ht="15" hidden="false" customHeight="true" outlineLevel="0" collapsed="false">
      <c r="A1948" s="7" t="s">
        <v>69</v>
      </c>
      <c r="B1948" s="7" t="n">
        <v>1987</v>
      </c>
      <c r="C1948" s="7" t="s">
        <v>580</v>
      </c>
      <c r="D1948" s="7" t="n">
        <v>81</v>
      </c>
      <c r="E1948" s="7" t="n">
        <v>81</v>
      </c>
      <c r="F1948" s="7" t="s">
        <v>546</v>
      </c>
      <c r="G1948" s="7"/>
      <c r="H1948" s="7" t="s">
        <v>546</v>
      </c>
      <c r="I1948" s="7" t="s">
        <v>546</v>
      </c>
      <c r="J1948" s="21" t="n">
        <f aca="false">D1948/(D1948+E1948)</f>
        <v>0.5</v>
      </c>
      <c r="K1948" s="3" t="n">
        <f aca="false">IF(D1948&gt;E1948,1,0)</f>
        <v>0</v>
      </c>
      <c r="L1948" s="3" t="n">
        <f aca="false">IF(OR(F1948="Y",G1948="Y",H1948="Y"),1,0)</f>
        <v>0</v>
      </c>
      <c r="M1948" s="3" t="n">
        <f aca="false">IF(H1948="Y",1,0)</f>
        <v>0</v>
      </c>
      <c r="N1948" s="3" t="n">
        <f aca="false">IF(I1948="Y",1,0)</f>
        <v>0</v>
      </c>
    </row>
    <row r="1949" customFormat="false" ht="15" hidden="false" customHeight="true" outlineLevel="0" collapsed="false">
      <c r="A1949" s="7" t="s">
        <v>69</v>
      </c>
      <c r="B1949" s="7" t="n">
        <v>1988</v>
      </c>
      <c r="C1949" s="7" t="s">
        <v>580</v>
      </c>
      <c r="D1949" s="7" t="n">
        <v>104</v>
      </c>
      <c r="E1949" s="7" t="n">
        <v>58</v>
      </c>
      <c r="F1949" s="7" t="s">
        <v>548</v>
      </c>
      <c r="G1949" s="7"/>
      <c r="H1949" s="7" t="s">
        <v>548</v>
      </c>
      <c r="I1949" s="7" t="s">
        <v>546</v>
      </c>
      <c r="J1949" s="21" t="n">
        <f aca="false">D1949/(D1949+E1949)</f>
        <v>0.641975308641975</v>
      </c>
      <c r="K1949" s="3" t="n">
        <f aca="false">IF(D1949&gt;E1949,1,0)</f>
        <v>1</v>
      </c>
      <c r="L1949" s="3" t="n">
        <f aca="false">IF(OR(F1949="Y",G1949="Y",H1949="Y"),1,0)</f>
        <v>1</v>
      </c>
      <c r="M1949" s="3" t="n">
        <f aca="false">IF(H1949="Y",1,0)</f>
        <v>1</v>
      </c>
      <c r="N1949" s="3" t="n">
        <f aca="false">IF(I1949="Y",1,0)</f>
        <v>0</v>
      </c>
    </row>
    <row r="1950" customFormat="false" ht="15" hidden="false" customHeight="true" outlineLevel="0" collapsed="false">
      <c r="A1950" s="7" t="s">
        <v>69</v>
      </c>
      <c r="B1950" s="7" t="n">
        <v>1989</v>
      </c>
      <c r="C1950" s="7" t="s">
        <v>580</v>
      </c>
      <c r="D1950" s="7" t="n">
        <v>99</v>
      </c>
      <c r="E1950" s="7" t="n">
        <v>63</v>
      </c>
      <c r="F1950" s="7" t="s">
        <v>548</v>
      </c>
      <c r="G1950" s="7"/>
      <c r="H1950" s="7" t="s">
        <v>548</v>
      </c>
      <c r="I1950" s="7" t="s">
        <v>548</v>
      </c>
      <c r="J1950" s="21" t="n">
        <f aca="false">D1950/(D1950+E1950)</f>
        <v>0.611111111111111</v>
      </c>
      <c r="K1950" s="3" t="n">
        <f aca="false">IF(D1950&gt;E1950,1,0)</f>
        <v>1</v>
      </c>
      <c r="L1950" s="3" t="n">
        <f aca="false">IF(OR(F1950="Y",G1950="Y",H1950="Y"),1,0)</f>
        <v>1</v>
      </c>
      <c r="M1950" s="3" t="n">
        <f aca="false">IF(H1950="Y",1,0)</f>
        <v>1</v>
      </c>
      <c r="N1950" s="3" t="n">
        <f aca="false">IF(I1950="Y",1,0)</f>
        <v>1</v>
      </c>
    </row>
    <row r="1951" customFormat="false" ht="15" hidden="false" customHeight="true" outlineLevel="0" collapsed="false">
      <c r="A1951" s="7" t="s">
        <v>69</v>
      </c>
      <c r="B1951" s="7" t="n">
        <v>1990</v>
      </c>
      <c r="C1951" s="7" t="s">
        <v>580</v>
      </c>
      <c r="D1951" s="7" t="n">
        <v>103</v>
      </c>
      <c r="E1951" s="7" t="n">
        <v>59</v>
      </c>
      <c r="F1951" s="7" t="s">
        <v>548</v>
      </c>
      <c r="G1951" s="7"/>
      <c r="H1951" s="7" t="s">
        <v>548</v>
      </c>
      <c r="I1951" s="7" t="s">
        <v>546</v>
      </c>
      <c r="J1951" s="21" t="n">
        <f aca="false">D1951/(D1951+E1951)</f>
        <v>0.635802469135803</v>
      </c>
      <c r="K1951" s="3" t="n">
        <f aca="false">IF(D1951&gt;E1951,1,0)</f>
        <v>1</v>
      </c>
      <c r="L1951" s="3" t="n">
        <f aca="false">IF(OR(F1951="Y",G1951="Y",H1951="Y"),1,0)</f>
        <v>1</v>
      </c>
      <c r="M1951" s="3" t="n">
        <f aca="false">IF(H1951="Y",1,0)</f>
        <v>1</v>
      </c>
      <c r="N1951" s="3" t="n">
        <f aca="false">IF(I1951="Y",1,0)</f>
        <v>0</v>
      </c>
    </row>
    <row r="1952" customFormat="false" ht="15" hidden="false" customHeight="true" outlineLevel="0" collapsed="false">
      <c r="A1952" s="7" t="s">
        <v>69</v>
      </c>
      <c r="B1952" s="7" t="n">
        <v>1991</v>
      </c>
      <c r="C1952" s="7" t="s">
        <v>580</v>
      </c>
      <c r="D1952" s="7" t="n">
        <v>84</v>
      </c>
      <c r="E1952" s="7" t="n">
        <v>78</v>
      </c>
      <c r="F1952" s="7" t="s">
        <v>546</v>
      </c>
      <c r="G1952" s="7"/>
      <c r="H1952" s="7" t="s">
        <v>546</v>
      </c>
      <c r="I1952" s="7" t="s">
        <v>546</v>
      </c>
      <c r="J1952" s="21" t="n">
        <f aca="false">D1952/(D1952+E1952)</f>
        <v>0.518518518518519</v>
      </c>
      <c r="K1952" s="3" t="n">
        <f aca="false">IF(D1952&gt;E1952,1,0)</f>
        <v>1</v>
      </c>
      <c r="L1952" s="3" t="n">
        <f aca="false">IF(OR(F1952="Y",G1952="Y",H1952="Y"),1,0)</f>
        <v>0</v>
      </c>
      <c r="M1952" s="3" t="n">
        <f aca="false">IF(H1952="Y",1,0)</f>
        <v>0</v>
      </c>
      <c r="N1952" s="3" t="n">
        <f aca="false">IF(I1952="Y",1,0)</f>
        <v>0</v>
      </c>
    </row>
    <row r="1953" customFormat="false" ht="15" hidden="false" customHeight="true" outlineLevel="0" collapsed="false">
      <c r="A1953" s="7" t="s">
        <v>69</v>
      </c>
      <c r="B1953" s="7" t="n">
        <v>1992</v>
      </c>
      <c r="C1953" s="7" t="s">
        <v>580</v>
      </c>
      <c r="D1953" s="7" t="n">
        <v>96</v>
      </c>
      <c r="E1953" s="7" t="n">
        <v>66</v>
      </c>
      <c r="F1953" s="7" t="s">
        <v>548</v>
      </c>
      <c r="G1953" s="7"/>
      <c r="H1953" s="7" t="s">
        <v>546</v>
      </c>
      <c r="I1953" s="7" t="s">
        <v>546</v>
      </c>
      <c r="J1953" s="21" t="n">
        <f aca="false">D1953/(D1953+E1953)</f>
        <v>0.592592592592593</v>
      </c>
      <c r="K1953" s="3" t="n">
        <f aca="false">IF(D1953&gt;E1953,1,0)</f>
        <v>1</v>
      </c>
      <c r="L1953" s="3" t="n">
        <f aca="false">IF(OR(F1953="Y",G1953="Y",H1953="Y"),1,0)</f>
        <v>1</v>
      </c>
      <c r="M1953" s="3" t="n">
        <f aca="false">IF(H1953="Y",1,0)</f>
        <v>0</v>
      </c>
      <c r="N1953" s="3" t="n">
        <f aca="false">IF(I1953="Y",1,0)</f>
        <v>0</v>
      </c>
    </row>
    <row r="1954" customFormat="false" ht="15" hidden="false" customHeight="true" outlineLevel="0" collapsed="false">
      <c r="A1954" s="7" t="s">
        <v>69</v>
      </c>
      <c r="B1954" s="7" t="n">
        <v>1993</v>
      </c>
      <c r="C1954" s="7" t="s">
        <v>580</v>
      </c>
      <c r="D1954" s="7" t="n">
        <v>68</v>
      </c>
      <c r="E1954" s="7" t="n">
        <v>94</v>
      </c>
      <c r="F1954" s="7" t="s">
        <v>546</v>
      </c>
      <c r="G1954" s="7"/>
      <c r="H1954" s="7" t="s">
        <v>546</v>
      </c>
      <c r="I1954" s="7" t="s">
        <v>546</v>
      </c>
      <c r="J1954" s="21" t="n">
        <f aca="false">D1954/(D1954+E1954)</f>
        <v>0.419753086419753</v>
      </c>
      <c r="K1954" s="3" t="n">
        <f aca="false">IF(D1954&gt;E1954,1,0)</f>
        <v>0</v>
      </c>
      <c r="L1954" s="3" t="n">
        <f aca="false">IF(OR(F1954="Y",G1954="Y",H1954="Y"),1,0)</f>
        <v>0</v>
      </c>
      <c r="M1954" s="3" t="n">
        <f aca="false">IF(H1954="Y",1,0)</f>
        <v>0</v>
      </c>
      <c r="N1954" s="3" t="n">
        <f aca="false">IF(I1954="Y",1,0)</f>
        <v>0</v>
      </c>
    </row>
    <row r="1955" customFormat="false" ht="15" hidden="false" customHeight="true" outlineLevel="0" collapsed="false">
      <c r="A1955" s="7" t="s">
        <v>69</v>
      </c>
      <c r="B1955" s="7" t="n">
        <v>1994</v>
      </c>
      <c r="C1955" s="7" t="s">
        <v>580</v>
      </c>
      <c r="D1955" s="7" t="n">
        <v>51</v>
      </c>
      <c r="E1955" s="7" t="n">
        <v>63</v>
      </c>
      <c r="F1955" s="7"/>
      <c r="G1955" s="7"/>
      <c r="H1955" s="7"/>
      <c r="I1955" s="7"/>
      <c r="J1955" s="21" t="n">
        <f aca="false">D1955/(D1955+E1955)</f>
        <v>0.447368421052632</v>
      </c>
      <c r="K1955" s="3" t="n">
        <f aca="false">IF(D1955&gt;E1955,1,0)</f>
        <v>0</v>
      </c>
      <c r="L1955" s="3" t="n">
        <f aca="false">IF(OR(F1955="Y",G1955="Y",H1955="Y"),1,0)</f>
        <v>0</v>
      </c>
      <c r="M1955" s="3" t="n">
        <f aca="false">IF(H1955="Y",1,0)</f>
        <v>0</v>
      </c>
      <c r="N1955" s="3" t="n">
        <f aca="false">IF(I1955="Y",1,0)</f>
        <v>0</v>
      </c>
    </row>
    <row r="1956" customFormat="false" ht="15" hidden="false" customHeight="true" outlineLevel="0" collapsed="false">
      <c r="A1956" s="7" t="s">
        <v>69</v>
      </c>
      <c r="B1956" s="7" t="n">
        <v>1995</v>
      </c>
      <c r="C1956" s="7" t="s">
        <v>580</v>
      </c>
      <c r="D1956" s="7" t="n">
        <v>67</v>
      </c>
      <c r="E1956" s="7" t="n">
        <v>77</v>
      </c>
      <c r="F1956" s="7" t="s">
        <v>546</v>
      </c>
      <c r="G1956" s="7" t="s">
        <v>546</v>
      </c>
      <c r="H1956" s="7" t="s">
        <v>546</v>
      </c>
      <c r="I1956" s="7" t="s">
        <v>546</v>
      </c>
      <c r="J1956" s="21" t="n">
        <f aca="false">D1956/(D1956+E1956)</f>
        <v>0.465277777777778</v>
      </c>
      <c r="K1956" s="3" t="n">
        <f aca="false">IF(D1956&gt;E1956,1,0)</f>
        <v>0</v>
      </c>
      <c r="L1956" s="3" t="n">
        <f aca="false">IF(OR(F1956="Y",G1956="Y",H1956="Y"),1,0)</f>
        <v>0</v>
      </c>
      <c r="M1956" s="3" t="n">
        <f aca="false">IF(H1956="Y",1,0)</f>
        <v>0</v>
      </c>
      <c r="N1956" s="3" t="n">
        <f aca="false">IF(I1956="Y",1,0)</f>
        <v>0</v>
      </c>
    </row>
    <row r="1957" customFormat="false" ht="15" hidden="false" customHeight="true" outlineLevel="0" collapsed="false">
      <c r="A1957" s="7" t="s">
        <v>69</v>
      </c>
      <c r="B1957" s="7" t="n">
        <v>1996</v>
      </c>
      <c r="C1957" s="7" t="s">
        <v>580</v>
      </c>
      <c r="D1957" s="7" t="n">
        <v>78</v>
      </c>
      <c r="E1957" s="7" t="n">
        <v>84</v>
      </c>
      <c r="F1957" s="7" t="s">
        <v>546</v>
      </c>
      <c r="G1957" s="7" t="s">
        <v>546</v>
      </c>
      <c r="H1957" s="7" t="s">
        <v>546</v>
      </c>
      <c r="I1957" s="7" t="s">
        <v>546</v>
      </c>
      <c r="J1957" s="21" t="n">
        <f aca="false">D1957/(D1957+E1957)</f>
        <v>0.481481481481481</v>
      </c>
      <c r="K1957" s="3" t="n">
        <f aca="false">IF(D1957&gt;E1957,1,0)</f>
        <v>0</v>
      </c>
      <c r="L1957" s="3" t="n">
        <f aca="false">IF(OR(F1957="Y",G1957="Y",H1957="Y"),1,0)</f>
        <v>0</v>
      </c>
      <c r="M1957" s="3" t="n">
        <f aca="false">IF(H1957="Y",1,0)</f>
        <v>0</v>
      </c>
      <c r="N1957" s="3" t="n">
        <f aca="false">IF(I1957="Y",1,0)</f>
        <v>0</v>
      </c>
    </row>
    <row r="1958" customFormat="false" ht="15" hidden="false" customHeight="true" outlineLevel="0" collapsed="false">
      <c r="A1958" s="7" t="s">
        <v>69</v>
      </c>
      <c r="B1958" s="7" t="n">
        <v>1997</v>
      </c>
      <c r="C1958" s="7" t="s">
        <v>580</v>
      </c>
      <c r="D1958" s="7" t="n">
        <v>65</v>
      </c>
      <c r="E1958" s="7" t="n">
        <v>97</v>
      </c>
      <c r="F1958" s="7" t="s">
        <v>546</v>
      </c>
      <c r="G1958" s="7" t="s">
        <v>546</v>
      </c>
      <c r="H1958" s="7" t="s">
        <v>546</v>
      </c>
      <c r="I1958" s="7" t="s">
        <v>546</v>
      </c>
      <c r="J1958" s="21" t="n">
        <f aca="false">D1958/(D1958+E1958)</f>
        <v>0.401234567901235</v>
      </c>
      <c r="K1958" s="3" t="n">
        <f aca="false">IF(D1958&gt;E1958,1,0)</f>
        <v>0</v>
      </c>
      <c r="L1958" s="3" t="n">
        <f aca="false">IF(OR(F1958="Y",G1958="Y",H1958="Y"),1,0)</f>
        <v>0</v>
      </c>
      <c r="M1958" s="3" t="n">
        <f aca="false">IF(H1958="Y",1,0)</f>
        <v>0</v>
      </c>
      <c r="N1958" s="3" t="n">
        <f aca="false">IF(I1958="Y",1,0)</f>
        <v>0</v>
      </c>
    </row>
    <row r="1959" customFormat="false" ht="15" hidden="false" customHeight="true" outlineLevel="0" collapsed="false">
      <c r="A1959" s="7" t="s">
        <v>69</v>
      </c>
      <c r="B1959" s="7" t="n">
        <v>1998</v>
      </c>
      <c r="C1959" s="7" t="s">
        <v>580</v>
      </c>
      <c r="D1959" s="7" t="n">
        <v>74</v>
      </c>
      <c r="E1959" s="7" t="n">
        <v>88</v>
      </c>
      <c r="F1959" s="7" t="s">
        <v>546</v>
      </c>
      <c r="G1959" s="7" t="s">
        <v>546</v>
      </c>
      <c r="H1959" s="7" t="s">
        <v>546</v>
      </c>
      <c r="I1959" s="7" t="s">
        <v>546</v>
      </c>
      <c r="J1959" s="21" t="n">
        <f aca="false">D1959/(D1959+E1959)</f>
        <v>0.45679012345679</v>
      </c>
      <c r="K1959" s="3" t="n">
        <f aca="false">IF(D1959&gt;E1959,1,0)</f>
        <v>0</v>
      </c>
      <c r="L1959" s="3" t="n">
        <f aca="false">IF(OR(F1959="Y",G1959="Y",H1959="Y"),1,0)</f>
        <v>0</v>
      </c>
      <c r="M1959" s="3" t="n">
        <f aca="false">IF(H1959="Y",1,0)</f>
        <v>0</v>
      </c>
      <c r="N1959" s="3" t="n">
        <f aca="false">IF(I1959="Y",1,0)</f>
        <v>0</v>
      </c>
    </row>
    <row r="1960" customFormat="false" ht="15" hidden="false" customHeight="true" outlineLevel="0" collapsed="false">
      <c r="A1960" s="7" t="s">
        <v>69</v>
      </c>
      <c r="B1960" s="7" t="n">
        <v>1999</v>
      </c>
      <c r="C1960" s="7" t="s">
        <v>580</v>
      </c>
      <c r="D1960" s="7" t="n">
        <v>87</v>
      </c>
      <c r="E1960" s="7" t="n">
        <v>75</v>
      </c>
      <c r="F1960" s="7" t="s">
        <v>546</v>
      </c>
      <c r="G1960" s="7" t="s">
        <v>546</v>
      </c>
      <c r="H1960" s="7" t="s">
        <v>546</v>
      </c>
      <c r="I1960" s="7" t="s">
        <v>546</v>
      </c>
      <c r="J1960" s="21" t="n">
        <f aca="false">D1960/(D1960+E1960)</f>
        <v>0.537037037037037</v>
      </c>
      <c r="K1960" s="3" t="n">
        <f aca="false">IF(D1960&gt;E1960,1,0)</f>
        <v>1</v>
      </c>
      <c r="L1960" s="3" t="n">
        <f aca="false">IF(OR(F1960="Y",G1960="Y",H1960="Y"),1,0)</f>
        <v>0</v>
      </c>
      <c r="M1960" s="3" t="n">
        <f aca="false">IF(H1960="Y",1,0)</f>
        <v>0</v>
      </c>
      <c r="N1960" s="3" t="n">
        <f aca="false">IF(I1960="Y",1,0)</f>
        <v>0</v>
      </c>
    </row>
    <row r="1961" customFormat="false" ht="15" hidden="false" customHeight="true" outlineLevel="0" collapsed="false">
      <c r="A1961" s="7" t="s">
        <v>69</v>
      </c>
      <c r="B1961" s="7" t="n">
        <v>2000</v>
      </c>
      <c r="C1961" s="7" t="s">
        <v>580</v>
      </c>
      <c r="D1961" s="7" t="n">
        <v>91</v>
      </c>
      <c r="E1961" s="7" t="n">
        <v>70</v>
      </c>
      <c r="F1961" s="7" t="s">
        <v>548</v>
      </c>
      <c r="G1961" s="7" t="s">
        <v>546</v>
      </c>
      <c r="H1961" s="7" t="s">
        <v>546</v>
      </c>
      <c r="I1961" s="7" t="s">
        <v>546</v>
      </c>
      <c r="J1961" s="21" t="n">
        <f aca="false">D1961/(D1961+E1961)</f>
        <v>0.565217391304348</v>
      </c>
      <c r="K1961" s="3" t="n">
        <f aca="false">IF(D1961&gt;E1961,1,0)</f>
        <v>1</v>
      </c>
      <c r="L1961" s="3" t="n">
        <f aca="false">IF(OR(F1961="Y",G1961="Y",H1961="Y"),1,0)</f>
        <v>1</v>
      </c>
      <c r="M1961" s="3" t="n">
        <f aca="false">IF(H1961="Y",1,0)</f>
        <v>0</v>
      </c>
      <c r="N1961" s="3" t="n">
        <f aca="false">IF(I1961="Y",1,0)</f>
        <v>0</v>
      </c>
    </row>
    <row r="1962" customFormat="false" ht="15" hidden="false" customHeight="true" outlineLevel="0" collapsed="false">
      <c r="A1962" s="7" t="s">
        <v>69</v>
      </c>
      <c r="B1962" s="7" t="n">
        <v>2001</v>
      </c>
      <c r="C1962" s="7" t="s">
        <v>580</v>
      </c>
      <c r="D1962" s="7" t="n">
        <v>102</v>
      </c>
      <c r="E1962" s="7" t="n">
        <v>60</v>
      </c>
      <c r="F1962" s="7" t="s">
        <v>546</v>
      </c>
      <c r="G1962" s="7" t="s">
        <v>548</v>
      </c>
      <c r="H1962" s="7" t="s">
        <v>546</v>
      </c>
      <c r="I1962" s="7" t="s">
        <v>546</v>
      </c>
      <c r="J1962" s="21" t="n">
        <f aca="false">D1962/(D1962+E1962)</f>
        <v>0.62962962962963</v>
      </c>
      <c r="K1962" s="3" t="n">
        <f aca="false">IF(D1962&gt;E1962,1,0)</f>
        <v>1</v>
      </c>
      <c r="L1962" s="3" t="n">
        <f aca="false">IF(OR(F1962="Y",G1962="Y",H1962="Y"),1,0)</f>
        <v>1</v>
      </c>
      <c r="M1962" s="3" t="n">
        <f aca="false">IF(H1962="Y",1,0)</f>
        <v>0</v>
      </c>
      <c r="N1962" s="3" t="n">
        <f aca="false">IF(I1962="Y",1,0)</f>
        <v>0</v>
      </c>
    </row>
    <row r="1963" customFormat="false" ht="15" hidden="false" customHeight="true" outlineLevel="0" collapsed="false">
      <c r="A1963" s="7" t="s">
        <v>69</v>
      </c>
      <c r="B1963" s="7" t="n">
        <v>2002</v>
      </c>
      <c r="C1963" s="7" t="s">
        <v>580</v>
      </c>
      <c r="D1963" s="7" t="n">
        <v>103</v>
      </c>
      <c r="E1963" s="7" t="n">
        <v>59</v>
      </c>
      <c r="F1963" s="7" t="s">
        <v>548</v>
      </c>
      <c r="G1963" s="7" t="s">
        <v>546</v>
      </c>
      <c r="H1963" s="7" t="s">
        <v>546</v>
      </c>
      <c r="I1963" s="7" t="s">
        <v>546</v>
      </c>
      <c r="J1963" s="21" t="n">
        <f aca="false">D1963/(D1963+E1963)</f>
        <v>0.635802469135803</v>
      </c>
      <c r="K1963" s="3" t="n">
        <f aca="false">IF(D1963&gt;E1963,1,0)</f>
        <v>1</v>
      </c>
      <c r="L1963" s="3" t="n">
        <f aca="false">IF(OR(F1963="Y",G1963="Y",H1963="Y"),1,0)</f>
        <v>1</v>
      </c>
      <c r="M1963" s="3" t="n">
        <f aca="false">IF(H1963="Y",1,0)</f>
        <v>0</v>
      </c>
      <c r="N1963" s="3" t="n">
        <f aca="false">IF(I1963="Y",1,0)</f>
        <v>0</v>
      </c>
    </row>
    <row r="1964" customFormat="false" ht="15" hidden="false" customHeight="true" outlineLevel="0" collapsed="false">
      <c r="A1964" s="7" t="s">
        <v>69</v>
      </c>
      <c r="B1964" s="7" t="n">
        <v>2003</v>
      </c>
      <c r="C1964" s="7" t="s">
        <v>580</v>
      </c>
      <c r="D1964" s="7" t="n">
        <v>96</v>
      </c>
      <c r="E1964" s="7" t="n">
        <v>66</v>
      </c>
      <c r="F1964" s="7" t="s">
        <v>548</v>
      </c>
      <c r="G1964" s="7" t="s">
        <v>546</v>
      </c>
      <c r="H1964" s="7" t="s">
        <v>546</v>
      </c>
      <c r="I1964" s="7" t="s">
        <v>546</v>
      </c>
      <c r="J1964" s="21" t="n">
        <f aca="false">D1964/(D1964+E1964)</f>
        <v>0.592592592592593</v>
      </c>
      <c r="K1964" s="3" t="n">
        <f aca="false">IF(D1964&gt;E1964,1,0)</f>
        <v>1</v>
      </c>
      <c r="L1964" s="3" t="n">
        <f aca="false">IF(OR(F1964="Y",G1964="Y",H1964="Y"),1,0)</f>
        <v>1</v>
      </c>
      <c r="M1964" s="3" t="n">
        <f aca="false">IF(H1964="Y",1,0)</f>
        <v>0</v>
      </c>
      <c r="N1964" s="3" t="n">
        <f aca="false">IF(I1964="Y",1,0)</f>
        <v>0</v>
      </c>
    </row>
    <row r="1965" customFormat="false" ht="15" hidden="false" customHeight="true" outlineLevel="0" collapsed="false">
      <c r="A1965" s="7" t="s">
        <v>69</v>
      </c>
      <c r="B1965" s="7" t="n">
        <v>2004</v>
      </c>
      <c r="C1965" s="7" t="s">
        <v>580</v>
      </c>
      <c r="D1965" s="7" t="n">
        <v>91</v>
      </c>
      <c r="E1965" s="7" t="n">
        <v>71</v>
      </c>
      <c r="F1965" s="7" t="s">
        <v>546</v>
      </c>
      <c r="G1965" s="7" t="s">
        <v>546</v>
      </c>
      <c r="H1965" s="7" t="s">
        <v>546</v>
      </c>
      <c r="I1965" s="7" t="s">
        <v>546</v>
      </c>
      <c r="J1965" s="21" t="n">
        <f aca="false">D1965/(D1965+E1965)</f>
        <v>0.561728395061728</v>
      </c>
      <c r="K1965" s="3" t="n">
        <f aca="false">IF(D1965&gt;E1965,1,0)</f>
        <v>1</v>
      </c>
      <c r="L1965" s="3" t="n">
        <f aca="false">IF(OR(F1965="Y",G1965="Y",H1965="Y"),1,0)</f>
        <v>0</v>
      </c>
      <c r="M1965" s="3" t="n">
        <f aca="false">IF(H1965="Y",1,0)</f>
        <v>0</v>
      </c>
      <c r="N1965" s="3" t="n">
        <f aca="false">IF(I1965="Y",1,0)</f>
        <v>0</v>
      </c>
    </row>
    <row r="1966" customFormat="false" ht="15" hidden="false" customHeight="true" outlineLevel="0" collapsed="false">
      <c r="A1966" s="7" t="s">
        <v>69</v>
      </c>
      <c r="B1966" s="7" t="n">
        <v>2005</v>
      </c>
      <c r="C1966" s="7" t="s">
        <v>580</v>
      </c>
      <c r="D1966" s="7" t="n">
        <v>88</v>
      </c>
      <c r="E1966" s="7" t="n">
        <v>74</v>
      </c>
      <c r="F1966" s="7" t="s">
        <v>546</v>
      </c>
      <c r="G1966" s="7" t="s">
        <v>546</v>
      </c>
      <c r="H1966" s="7" t="s">
        <v>546</v>
      </c>
      <c r="I1966" s="7" t="s">
        <v>546</v>
      </c>
      <c r="J1966" s="21" t="n">
        <f aca="false">D1966/(D1966+E1966)</f>
        <v>0.54320987654321</v>
      </c>
      <c r="K1966" s="3" t="n">
        <f aca="false">IF(D1966&gt;E1966,1,0)</f>
        <v>1</v>
      </c>
      <c r="L1966" s="3" t="n">
        <f aca="false">IF(OR(F1966="Y",G1966="Y",H1966="Y"),1,0)</f>
        <v>0</v>
      </c>
      <c r="M1966" s="3" t="n">
        <f aca="false">IF(H1966="Y",1,0)</f>
        <v>0</v>
      </c>
      <c r="N1966" s="3" t="n">
        <f aca="false">IF(I1966="Y",1,0)</f>
        <v>0</v>
      </c>
    </row>
    <row r="1967" customFormat="false" ht="15" hidden="false" customHeight="true" outlineLevel="0" collapsed="false">
      <c r="A1967" s="7" t="s">
        <v>69</v>
      </c>
      <c r="B1967" s="7" t="n">
        <v>2006</v>
      </c>
      <c r="C1967" s="7" t="s">
        <v>580</v>
      </c>
      <c r="D1967" s="7" t="n">
        <v>93</v>
      </c>
      <c r="E1967" s="7" t="n">
        <v>69</v>
      </c>
      <c r="F1967" s="7" t="s">
        <v>548</v>
      </c>
      <c r="G1967" s="7" t="s">
        <v>546</v>
      </c>
      <c r="H1967" s="7" t="s">
        <v>546</v>
      </c>
      <c r="I1967" s="7" t="s">
        <v>546</v>
      </c>
      <c r="J1967" s="21" t="n">
        <f aca="false">D1967/(D1967+E1967)</f>
        <v>0.574074074074074</v>
      </c>
      <c r="K1967" s="3" t="n">
        <f aca="false">IF(D1967&gt;E1967,1,0)</f>
        <v>1</v>
      </c>
      <c r="L1967" s="3" t="n">
        <f aca="false">IF(OR(F1967="Y",G1967="Y",H1967="Y"),1,0)</f>
        <v>1</v>
      </c>
      <c r="M1967" s="3" t="n">
        <f aca="false">IF(H1967="Y",1,0)</f>
        <v>0</v>
      </c>
      <c r="N1967" s="3" t="n">
        <f aca="false">IF(I1967="Y",1,0)</f>
        <v>0</v>
      </c>
    </row>
    <row r="1968" customFormat="false" ht="15" hidden="false" customHeight="true" outlineLevel="0" collapsed="false">
      <c r="A1968" s="7" t="s">
        <v>69</v>
      </c>
      <c r="B1968" s="7" t="n">
        <v>2007</v>
      </c>
      <c r="C1968" s="7" t="s">
        <v>580</v>
      </c>
      <c r="D1968" s="7" t="n">
        <v>76</v>
      </c>
      <c r="E1968" s="7" t="n">
        <v>86</v>
      </c>
      <c r="F1968" s="7" t="s">
        <v>546</v>
      </c>
      <c r="G1968" s="7" t="s">
        <v>546</v>
      </c>
      <c r="H1968" s="7" t="s">
        <v>546</v>
      </c>
      <c r="I1968" s="7" t="s">
        <v>546</v>
      </c>
      <c r="J1968" s="21" t="n">
        <f aca="false">D1968/(D1968+E1968)</f>
        <v>0.469135802469136</v>
      </c>
      <c r="K1968" s="3" t="n">
        <f aca="false">IF(D1968&gt;E1968,1,0)</f>
        <v>0</v>
      </c>
      <c r="L1968" s="3" t="n">
        <f aca="false">IF(OR(F1968="Y",G1968="Y",H1968="Y"),1,0)</f>
        <v>0</v>
      </c>
      <c r="M1968" s="3" t="n">
        <f aca="false">IF(H1968="Y",1,0)</f>
        <v>0</v>
      </c>
      <c r="N1968" s="3" t="n">
        <f aca="false">IF(I1968="Y",1,0)</f>
        <v>0</v>
      </c>
    </row>
    <row r="1969" customFormat="false" ht="15" hidden="false" customHeight="true" outlineLevel="0" collapsed="false">
      <c r="A1969" s="7" t="s">
        <v>69</v>
      </c>
      <c r="B1969" s="7" t="n">
        <v>2008</v>
      </c>
      <c r="C1969" s="7" t="s">
        <v>580</v>
      </c>
      <c r="D1969" s="7" t="n">
        <v>75</v>
      </c>
      <c r="E1969" s="7" t="n">
        <v>86</v>
      </c>
      <c r="F1969" s="7" t="s">
        <v>546</v>
      </c>
      <c r="G1969" s="7" t="s">
        <v>546</v>
      </c>
      <c r="H1969" s="7" t="s">
        <v>546</v>
      </c>
      <c r="I1969" s="7" t="s">
        <v>546</v>
      </c>
      <c r="J1969" s="21" t="n">
        <f aca="false">D1969/(D1969+E1969)</f>
        <v>0.46583850931677</v>
      </c>
      <c r="K1969" s="3" t="n">
        <f aca="false">IF(D1969&gt;E1969,1,0)</f>
        <v>0</v>
      </c>
      <c r="L1969" s="3" t="n">
        <f aca="false">IF(OR(F1969="Y",G1969="Y",H1969="Y"),1,0)</f>
        <v>0</v>
      </c>
      <c r="M1969" s="3" t="n">
        <f aca="false">IF(H1969="Y",1,0)</f>
        <v>0</v>
      </c>
      <c r="N1969" s="3" t="n">
        <f aca="false">IF(I1969="Y",1,0)</f>
        <v>0</v>
      </c>
    </row>
    <row r="1970" customFormat="false" ht="15" hidden="false" customHeight="true" outlineLevel="0" collapsed="false">
      <c r="A1970" s="7" t="s">
        <v>69</v>
      </c>
      <c r="B1970" s="7" t="n">
        <v>2009</v>
      </c>
      <c r="C1970" s="7" t="s">
        <v>580</v>
      </c>
      <c r="D1970" s="7" t="n">
        <v>75</v>
      </c>
      <c r="E1970" s="7" t="n">
        <v>87</v>
      </c>
      <c r="F1970" s="7" t="s">
        <v>546</v>
      </c>
      <c r="G1970" s="7" t="s">
        <v>546</v>
      </c>
      <c r="H1970" s="7" t="s">
        <v>546</v>
      </c>
      <c r="I1970" s="7" t="s">
        <v>546</v>
      </c>
      <c r="J1970" s="21" t="n">
        <f aca="false">D1970/(D1970+E1970)</f>
        <v>0.462962962962963</v>
      </c>
      <c r="K1970" s="3" t="n">
        <f aca="false">IF(D1970&gt;E1970,1,0)</f>
        <v>0</v>
      </c>
      <c r="L1970" s="3" t="n">
        <f aca="false">IF(OR(F1970="Y",G1970="Y",H1970="Y"),1,0)</f>
        <v>0</v>
      </c>
      <c r="M1970" s="3" t="n">
        <f aca="false">IF(H1970="Y",1,0)</f>
        <v>0</v>
      </c>
      <c r="N1970" s="3" t="n">
        <f aca="false">IF(I1970="Y",1,0)</f>
        <v>0</v>
      </c>
    </row>
    <row r="1971" customFormat="false" ht="15" hidden="false" customHeight="true" outlineLevel="0" collapsed="false">
      <c r="A1971" s="7" t="s">
        <v>69</v>
      </c>
      <c r="B1971" s="7" t="n">
        <v>2010</v>
      </c>
      <c r="C1971" s="7" t="s">
        <v>580</v>
      </c>
      <c r="D1971" s="7" t="n">
        <v>81</v>
      </c>
      <c r="E1971" s="7" t="n">
        <v>81</v>
      </c>
      <c r="F1971" s="7" t="s">
        <v>546</v>
      </c>
      <c r="G1971" s="7" t="s">
        <v>546</v>
      </c>
      <c r="H1971" s="7" t="s">
        <v>546</v>
      </c>
      <c r="I1971" s="7" t="s">
        <v>546</v>
      </c>
      <c r="J1971" s="21" t="n">
        <f aca="false">D1971/(D1971+E1971)</f>
        <v>0.5</v>
      </c>
      <c r="K1971" s="3" t="n">
        <f aca="false">IF(D1971&gt;E1971,1,0)</f>
        <v>0</v>
      </c>
      <c r="L1971" s="3" t="n">
        <f aca="false">IF(OR(F1971="Y",G1971="Y",H1971="Y"),1,0)</f>
        <v>0</v>
      </c>
      <c r="M1971" s="3" t="n">
        <f aca="false">IF(H1971="Y",1,0)</f>
        <v>0</v>
      </c>
      <c r="N1971" s="3" t="n">
        <f aca="false">IF(I1971="Y",1,0)</f>
        <v>0</v>
      </c>
    </row>
    <row r="1972" customFormat="false" ht="15" hidden="false" customHeight="true" outlineLevel="0" collapsed="false">
      <c r="A1972" s="7" t="s">
        <v>69</v>
      </c>
      <c r="B1972" s="7" t="n">
        <v>2011</v>
      </c>
      <c r="C1972" s="7" t="s">
        <v>580</v>
      </c>
      <c r="D1972" s="7" t="n">
        <v>74</v>
      </c>
      <c r="E1972" s="7" t="n">
        <v>88</v>
      </c>
      <c r="F1972" s="7" t="s">
        <v>546</v>
      </c>
      <c r="G1972" s="7" t="s">
        <v>546</v>
      </c>
      <c r="H1972" s="7" t="s">
        <v>546</v>
      </c>
      <c r="I1972" s="7" t="s">
        <v>546</v>
      </c>
      <c r="J1972" s="21" t="n">
        <f aca="false">D1972/(D1972+E1972)</f>
        <v>0.45679012345679</v>
      </c>
      <c r="K1972" s="3" t="n">
        <f aca="false">IF(D1972&gt;E1972,1,0)</f>
        <v>0</v>
      </c>
      <c r="L1972" s="3" t="n">
        <f aca="false">IF(OR(F1972="Y",G1972="Y",H1972="Y"),1,0)</f>
        <v>0</v>
      </c>
      <c r="M1972" s="3" t="n">
        <f aca="false">IF(H1972="Y",1,0)</f>
        <v>0</v>
      </c>
      <c r="N1972" s="3" t="n">
        <f aca="false">IF(I1972="Y",1,0)</f>
        <v>0</v>
      </c>
    </row>
    <row r="1973" customFormat="false" ht="15" hidden="false" customHeight="true" outlineLevel="0" collapsed="false">
      <c r="A1973" s="7" t="s">
        <v>69</v>
      </c>
      <c r="B1973" s="7" t="n">
        <v>2012</v>
      </c>
      <c r="C1973" s="7" t="s">
        <v>580</v>
      </c>
      <c r="D1973" s="7" t="n">
        <v>94</v>
      </c>
      <c r="E1973" s="7" t="n">
        <v>68</v>
      </c>
      <c r="F1973" s="7" t="s">
        <v>548</v>
      </c>
      <c r="G1973" s="7" t="s">
        <v>546</v>
      </c>
      <c r="H1973" s="7" t="s">
        <v>546</v>
      </c>
      <c r="I1973" s="7" t="s">
        <v>546</v>
      </c>
      <c r="J1973" s="21" t="n">
        <f aca="false">D1973/(D1973+E1973)</f>
        <v>0.580246913580247</v>
      </c>
      <c r="K1973" s="3" t="n">
        <f aca="false">IF(D1973&gt;E1973,1,0)</f>
        <v>1</v>
      </c>
      <c r="L1973" s="3" t="n">
        <f aca="false">IF(OR(F1973="Y",G1973="Y",H1973="Y"),1,0)</f>
        <v>1</v>
      </c>
      <c r="M1973" s="3" t="n">
        <f aca="false">IF(H1973="Y",1,0)</f>
        <v>0</v>
      </c>
      <c r="N1973" s="3" t="n">
        <f aca="false">IF(I1973="Y",1,0)</f>
        <v>0</v>
      </c>
    </row>
    <row r="1974" customFormat="false" ht="15" hidden="false" customHeight="true" outlineLevel="0" collapsed="false">
      <c r="A1974" s="7" t="s">
        <v>69</v>
      </c>
      <c r="B1974" s="7" t="n">
        <v>2013</v>
      </c>
      <c r="C1974" s="7" t="s">
        <v>580</v>
      </c>
      <c r="D1974" s="7" t="n">
        <v>96</v>
      </c>
      <c r="E1974" s="7" t="n">
        <v>66</v>
      </c>
      <c r="F1974" s="7" t="s">
        <v>548</v>
      </c>
      <c r="G1974" s="7" t="s">
        <v>546</v>
      </c>
      <c r="H1974" s="7" t="s">
        <v>546</v>
      </c>
      <c r="I1974" s="7" t="s">
        <v>546</v>
      </c>
      <c r="J1974" s="21" t="n">
        <f aca="false">D1974/(D1974+E1974)</f>
        <v>0.592592592592593</v>
      </c>
      <c r="K1974" s="3" t="n">
        <f aca="false">IF(D1974&gt;E1974,1,0)</f>
        <v>1</v>
      </c>
      <c r="L1974" s="3" t="n">
        <f aca="false">IF(OR(F1974="Y",G1974="Y",H1974="Y"),1,0)</f>
        <v>1</v>
      </c>
      <c r="M1974" s="3" t="n">
        <f aca="false">IF(H1974="Y",1,0)</f>
        <v>0</v>
      </c>
      <c r="N1974" s="3" t="n">
        <f aca="false">IF(I1974="Y",1,0)</f>
        <v>0</v>
      </c>
    </row>
    <row r="1975" customFormat="false" ht="15" hidden="false" customHeight="true" outlineLevel="0" collapsed="false">
      <c r="A1975" s="7" t="s">
        <v>69</v>
      </c>
      <c r="B1975" s="7" t="n">
        <v>2014</v>
      </c>
      <c r="C1975" s="7" t="s">
        <v>580</v>
      </c>
      <c r="D1975" s="7" t="n">
        <v>88</v>
      </c>
      <c r="E1975" s="7" t="n">
        <v>74</v>
      </c>
      <c r="F1975" s="7" t="s">
        <v>546</v>
      </c>
      <c r="G1975" s="7" t="s">
        <v>548</v>
      </c>
      <c r="H1975" s="7" t="s">
        <v>546</v>
      </c>
      <c r="I1975" s="7" t="s">
        <v>546</v>
      </c>
      <c r="J1975" s="21" t="n">
        <f aca="false">D1975/(D1975+E1975)</f>
        <v>0.54320987654321</v>
      </c>
      <c r="K1975" s="3" t="n">
        <f aca="false">IF(D1975&gt;E1975,1,0)</f>
        <v>1</v>
      </c>
      <c r="L1975" s="3" t="n">
        <f aca="false">IF(OR(F1975="Y",G1975="Y",H1975="Y"),1,0)</f>
        <v>1</v>
      </c>
      <c r="M1975" s="3" t="n">
        <f aca="false">IF(H1975="Y",1,0)</f>
        <v>0</v>
      </c>
      <c r="N1975" s="3" t="n">
        <f aca="false">IF(I1975="Y",1,0)</f>
        <v>0</v>
      </c>
    </row>
    <row r="1976" customFormat="false" ht="15" hidden="false" customHeight="true" outlineLevel="0" collapsed="false">
      <c r="A1976" s="7" t="s">
        <v>69</v>
      </c>
      <c r="B1976" s="7" t="n">
        <v>2015</v>
      </c>
      <c r="C1976" s="7" t="s">
        <v>580</v>
      </c>
      <c r="D1976" s="7" t="n">
        <v>68</v>
      </c>
      <c r="E1976" s="7" t="n">
        <v>94</v>
      </c>
      <c r="F1976" s="7" t="s">
        <v>546</v>
      </c>
      <c r="G1976" s="7" t="s">
        <v>546</v>
      </c>
      <c r="H1976" s="7" t="s">
        <v>546</v>
      </c>
      <c r="I1976" s="7" t="s">
        <v>546</v>
      </c>
      <c r="J1976" s="21" t="n">
        <f aca="false">D1976/(D1976+E1976)</f>
        <v>0.419753086419753</v>
      </c>
      <c r="K1976" s="3" t="n">
        <f aca="false">IF(D1976&gt;E1976,1,0)</f>
        <v>0</v>
      </c>
      <c r="L1976" s="3" t="n">
        <f aca="false">IF(OR(F1976="Y",G1976="Y",H1976="Y"),1,0)</f>
        <v>0</v>
      </c>
      <c r="M1976" s="3" t="n">
        <f aca="false">IF(H1976="Y",1,0)</f>
        <v>0</v>
      </c>
      <c r="N1976" s="3" t="n">
        <f aca="false">IF(I1976="Y",1,0)</f>
        <v>0</v>
      </c>
    </row>
    <row r="1977" customFormat="false" ht="15" hidden="false" customHeight="true" outlineLevel="0" collapsed="false">
      <c r="A1977" s="7" t="s">
        <v>69</v>
      </c>
      <c r="B1977" s="7" t="n">
        <v>2016</v>
      </c>
      <c r="C1977" s="7" t="s">
        <v>580</v>
      </c>
      <c r="D1977" s="7" t="n">
        <v>69</v>
      </c>
      <c r="E1977" s="7" t="n">
        <v>93</v>
      </c>
      <c r="F1977" s="7" t="s">
        <v>546</v>
      </c>
      <c r="G1977" s="7" t="s">
        <v>546</v>
      </c>
      <c r="H1977" s="7" t="s">
        <v>546</v>
      </c>
      <c r="I1977" s="7" t="s">
        <v>546</v>
      </c>
      <c r="J1977" s="21" t="n">
        <f aca="false">D1977/(D1977+E1977)</f>
        <v>0.425925925925926</v>
      </c>
      <c r="K1977" s="3" t="n">
        <f aca="false">IF(D1977&gt;E1977,1,0)</f>
        <v>0</v>
      </c>
      <c r="L1977" s="3" t="n">
        <f aca="false">IF(OR(F1977="Y",G1977="Y",H1977="Y"),1,0)</f>
        <v>0</v>
      </c>
      <c r="M1977" s="3" t="n">
        <f aca="false">IF(H1977="Y",1,0)</f>
        <v>0</v>
      </c>
      <c r="N1977" s="3" t="n">
        <f aca="false">IF(I1977="Y",1,0)</f>
        <v>0</v>
      </c>
    </row>
    <row r="1978" customFormat="false" ht="15" hidden="false" customHeight="true" outlineLevel="0" collapsed="false">
      <c r="A1978" s="7" t="s">
        <v>69</v>
      </c>
      <c r="B1978" s="7" t="n">
        <v>2017</v>
      </c>
      <c r="C1978" s="7" t="s">
        <v>580</v>
      </c>
      <c r="D1978" s="7" t="n">
        <v>75</v>
      </c>
      <c r="E1978" s="7" t="n">
        <v>87</v>
      </c>
      <c r="F1978" s="7" t="s">
        <v>546</v>
      </c>
      <c r="G1978" s="7" t="s">
        <v>546</v>
      </c>
      <c r="H1978" s="7" t="s">
        <v>546</v>
      </c>
      <c r="I1978" s="7" t="s">
        <v>546</v>
      </c>
      <c r="J1978" s="21" t="n">
        <f aca="false">D1978/(D1978+E1978)</f>
        <v>0.462962962962963</v>
      </c>
      <c r="K1978" s="3" t="n">
        <f aca="false">IF(D1978&gt;E1978,1,0)</f>
        <v>0</v>
      </c>
      <c r="L1978" s="3" t="n">
        <f aca="false">IF(OR(F1978="Y",G1978="Y",H1978="Y"),1,0)</f>
        <v>0</v>
      </c>
      <c r="M1978" s="3" t="n">
        <f aca="false">IF(H1978="Y",1,0)</f>
        <v>0</v>
      </c>
      <c r="N1978" s="3" t="n">
        <f aca="false">IF(I1978="Y",1,0)</f>
        <v>0</v>
      </c>
    </row>
    <row r="1979" customFormat="false" ht="15" hidden="false" customHeight="true" outlineLevel="0" collapsed="false">
      <c r="A1979" s="7" t="s">
        <v>69</v>
      </c>
      <c r="B1979" s="7" t="n">
        <v>2018</v>
      </c>
      <c r="C1979" s="7" t="s">
        <v>580</v>
      </c>
      <c r="D1979" s="7" t="n">
        <v>97</v>
      </c>
      <c r="E1979" s="7" t="n">
        <v>65</v>
      </c>
      <c r="F1979" s="7" t="s">
        <v>546</v>
      </c>
      <c r="G1979" s="7" t="s">
        <v>548</v>
      </c>
      <c r="H1979" s="7" t="s">
        <v>546</v>
      </c>
      <c r="I1979" s="7" t="s">
        <v>546</v>
      </c>
      <c r="J1979" s="21" t="n">
        <f aca="false">D1979/(D1979+E1979)</f>
        <v>0.598765432098765</v>
      </c>
      <c r="K1979" s="3" t="n">
        <f aca="false">IF(D1979&gt;E1979,1,0)</f>
        <v>1</v>
      </c>
      <c r="L1979" s="3" t="n">
        <f aca="false">IF(OR(F1979="Y",G1979="Y",H1979="Y"),1,0)</f>
        <v>1</v>
      </c>
      <c r="M1979" s="3" t="n">
        <f aca="false">IF(H1979="Y",1,0)</f>
        <v>0</v>
      </c>
      <c r="N1979" s="3" t="n">
        <f aca="false">IF(I1979="Y",1,0)</f>
        <v>0</v>
      </c>
    </row>
    <row r="1980" customFormat="false" ht="15" hidden="false" customHeight="true" outlineLevel="0" collapsed="false">
      <c r="A1980" s="7" t="s">
        <v>69</v>
      </c>
      <c r="B1980" s="7" t="n">
        <v>2019</v>
      </c>
      <c r="C1980" s="7" t="s">
        <v>580</v>
      </c>
      <c r="D1980" s="7" t="n">
        <v>97</v>
      </c>
      <c r="E1980" s="7" t="n">
        <v>65</v>
      </c>
      <c r="F1980" s="7" t="s">
        <v>546</v>
      </c>
      <c r="G1980" s="7" t="s">
        <v>548</v>
      </c>
      <c r="H1980" s="7" t="s">
        <v>546</v>
      </c>
      <c r="I1980" s="7" t="s">
        <v>546</v>
      </c>
      <c r="J1980" s="21" t="n">
        <f aca="false">D1980/(D1980+E1980)</f>
        <v>0.598765432098765</v>
      </c>
      <c r="K1980" s="3" t="n">
        <f aca="false">IF(D1980&gt;E1980,1,0)</f>
        <v>1</v>
      </c>
      <c r="L1980" s="3" t="n">
        <f aca="false">IF(OR(F1980="Y",G1980="Y",H1980="Y"),1,0)</f>
        <v>1</v>
      </c>
      <c r="M1980" s="3" t="n">
        <f aca="false">IF(H1980="Y",1,0)</f>
        <v>0</v>
      </c>
      <c r="N1980" s="3" t="n">
        <f aca="false">IF(I1980="Y",1,0)</f>
        <v>0</v>
      </c>
    </row>
    <row r="1981" customFormat="false" ht="15" hidden="false" customHeight="true" outlineLevel="0" collapsed="false">
      <c r="A1981" s="7" t="s">
        <v>69</v>
      </c>
      <c r="B1981" s="7" t="n">
        <v>2020</v>
      </c>
      <c r="C1981" s="7" t="s">
        <v>580</v>
      </c>
      <c r="D1981" s="7" t="n">
        <v>36</v>
      </c>
      <c r="E1981" s="7" t="n">
        <v>24</v>
      </c>
      <c r="F1981" s="7" t="s">
        <v>548</v>
      </c>
      <c r="G1981" s="7" t="s">
        <v>546</v>
      </c>
      <c r="H1981" s="7" t="s">
        <v>546</v>
      </c>
      <c r="I1981" s="7" t="s">
        <v>546</v>
      </c>
      <c r="J1981" s="21" t="n">
        <f aca="false">D1981/(D1981+E1981)</f>
        <v>0.6</v>
      </c>
      <c r="K1981" s="3" t="n">
        <f aca="false">IF(D1981&gt;E1981,1,0)</f>
        <v>1</v>
      </c>
      <c r="L1981" s="3" t="n">
        <f aca="false">IF(OR(F1981="Y",G1981="Y",H1981="Y"),1,0)</f>
        <v>1</v>
      </c>
      <c r="M1981" s="3" t="n">
        <f aca="false">IF(H1981="Y",1,0)</f>
        <v>0</v>
      </c>
      <c r="N1981" s="3" t="n">
        <f aca="false">IF(I1981="Y",1,0)</f>
        <v>0</v>
      </c>
    </row>
    <row r="1982" customFormat="false" ht="15" hidden="false" customHeight="true" outlineLevel="0" collapsed="false">
      <c r="A1982" s="7" t="s">
        <v>69</v>
      </c>
      <c r="B1982" s="7" t="n">
        <v>2021</v>
      </c>
      <c r="C1982" s="7" t="s">
        <v>580</v>
      </c>
      <c r="D1982" s="7" t="n">
        <v>86</v>
      </c>
      <c r="E1982" s="7" t="n">
        <v>76</v>
      </c>
      <c r="F1982" s="7" t="s">
        <v>546</v>
      </c>
      <c r="G1982" s="7" t="s">
        <v>546</v>
      </c>
      <c r="H1982" s="7" t="s">
        <v>546</v>
      </c>
      <c r="I1982" s="7" t="s">
        <v>546</v>
      </c>
      <c r="J1982" s="21" t="n">
        <f aca="false">D1982/(D1982+E1982)</f>
        <v>0.530864197530864</v>
      </c>
      <c r="K1982" s="3" t="n">
        <f aca="false">IF(D1982&gt;E1982,1,0)</f>
        <v>1</v>
      </c>
      <c r="L1982" s="3" t="n">
        <f aca="false">IF(OR(F1982="Y",G1982="Y",H1982="Y"),1,0)</f>
        <v>0</v>
      </c>
      <c r="M1982" s="3" t="n">
        <f aca="false">IF(H1982="Y",1,0)</f>
        <v>0</v>
      </c>
      <c r="N1982" s="3" t="n">
        <f aca="false">IF(I1982="Y",1,0)</f>
        <v>0</v>
      </c>
    </row>
    <row r="1983" customFormat="false" ht="15" hidden="false" customHeight="true" outlineLevel="0" collapsed="false">
      <c r="A1983" s="7" t="s">
        <v>69</v>
      </c>
      <c r="B1983" s="7" t="n">
        <v>2022</v>
      </c>
      <c r="C1983" s="7" t="s">
        <v>580</v>
      </c>
      <c r="D1983" s="7" t="n">
        <v>60</v>
      </c>
      <c r="E1983" s="7" t="n">
        <v>102</v>
      </c>
      <c r="F1983" s="7" t="s">
        <v>546</v>
      </c>
      <c r="G1983" s="7" t="s">
        <v>546</v>
      </c>
      <c r="H1983" s="7" t="s">
        <v>546</v>
      </c>
      <c r="I1983" s="7" t="s">
        <v>546</v>
      </c>
      <c r="J1983" s="21" t="n">
        <f aca="false">D1983/(D1983+E1983)</f>
        <v>0.37037037037037</v>
      </c>
      <c r="K1983" s="3" t="n">
        <f aca="false">IF(D1983&gt;E1983,1,0)</f>
        <v>0</v>
      </c>
      <c r="L1983" s="3" t="n">
        <f aca="false">IF(OR(F1983="Y",G1983="Y",H1983="Y"),1,0)</f>
        <v>0</v>
      </c>
      <c r="M1983" s="3" t="n">
        <f aca="false">IF(H1983="Y",1,0)</f>
        <v>0</v>
      </c>
      <c r="N1983" s="3" t="n">
        <f aca="false">IF(I1983="Y",1,0)</f>
        <v>0</v>
      </c>
    </row>
    <row r="1984" customFormat="false" ht="15" hidden="false" customHeight="true" outlineLevel="0" collapsed="false">
      <c r="A1984" s="7" t="s">
        <v>69</v>
      </c>
      <c r="B1984" s="7" t="n">
        <v>2023</v>
      </c>
      <c r="C1984" s="7" t="s">
        <v>580</v>
      </c>
      <c r="D1984" s="7" t="n">
        <v>50</v>
      </c>
      <c r="E1984" s="7" t="n">
        <v>112</v>
      </c>
      <c r="F1984" s="7" t="s">
        <v>546</v>
      </c>
      <c r="G1984" s="7" t="s">
        <v>546</v>
      </c>
      <c r="H1984" s="7" t="s">
        <v>546</v>
      </c>
      <c r="I1984" s="7" t="s">
        <v>546</v>
      </c>
      <c r="J1984" s="21" t="n">
        <f aca="false">D1984/(D1984+E1984)</f>
        <v>0.308641975308642</v>
      </c>
      <c r="K1984" s="3" t="n">
        <f aca="false">IF(D1984&gt;E1984,1,0)</f>
        <v>0</v>
      </c>
      <c r="L1984" s="3" t="n">
        <f aca="false">IF(OR(F1984="Y",G1984="Y",H1984="Y"),1,0)</f>
        <v>0</v>
      </c>
      <c r="M1984" s="3" t="n">
        <f aca="false">IF(H1984="Y",1,0)</f>
        <v>0</v>
      </c>
      <c r="N1984" s="3" t="n">
        <f aca="false">IF(I1984="Y",1,0)</f>
        <v>0</v>
      </c>
    </row>
    <row r="1985" customFormat="false" ht="15" hidden="false" customHeight="true" outlineLevel="0" collapsed="false">
      <c r="A1985" s="7" t="s">
        <v>69</v>
      </c>
      <c r="B1985" s="7" t="n">
        <v>2024</v>
      </c>
      <c r="C1985" s="7" t="s">
        <v>580</v>
      </c>
      <c r="D1985" s="7" t="n">
        <v>69</v>
      </c>
      <c r="E1985" s="7" t="n">
        <v>93</v>
      </c>
      <c r="F1985" s="7" t="s">
        <v>546</v>
      </c>
      <c r="G1985" s="7" t="s">
        <v>546</v>
      </c>
      <c r="H1985" s="7" t="s">
        <v>546</v>
      </c>
      <c r="I1985" s="7" t="s">
        <v>546</v>
      </c>
      <c r="J1985" s="21" t="n">
        <f aca="false">D1985/(D1985+E1985)</f>
        <v>0.425925925925926</v>
      </c>
      <c r="K1985" s="3" t="n">
        <f aca="false">IF(D1985&gt;E1985,1,0)</f>
        <v>0</v>
      </c>
      <c r="L1985" s="3" t="n">
        <f aca="false">IF(OR(F1985="Y",G1985="Y",H1985="Y"),1,0)</f>
        <v>0</v>
      </c>
      <c r="M1985" s="3" t="n">
        <f aca="false">IF(H1985="Y",1,0)</f>
        <v>0</v>
      </c>
      <c r="N1985" s="3" t="n">
        <f aca="false">IF(I1985="Y",1,0)</f>
        <v>0</v>
      </c>
    </row>
    <row r="1986" customFormat="false" ht="15" hidden="false" customHeight="true" outlineLevel="0" collapsed="false">
      <c r="A1986" s="7" t="s">
        <v>69</v>
      </c>
      <c r="B1986" s="7" t="n">
        <v>2025</v>
      </c>
      <c r="C1986" s="7" t="s">
        <v>370</v>
      </c>
      <c r="D1986" s="7" t="n">
        <v>76</v>
      </c>
      <c r="E1986" s="7" t="n">
        <v>86</v>
      </c>
      <c r="F1986" s="7" t="s">
        <v>546</v>
      </c>
      <c r="G1986" s="7" t="s">
        <v>546</v>
      </c>
      <c r="H1986" s="7" t="s">
        <v>546</v>
      </c>
      <c r="I1986" s="7" t="s">
        <v>546</v>
      </c>
      <c r="J1986" s="21" t="n">
        <f aca="false">D1986/(D1986+E1986)</f>
        <v>0.469135802469136</v>
      </c>
      <c r="K1986" s="3" t="n">
        <f aca="false">IF(D1986&gt;E1986,1,0)</f>
        <v>0</v>
      </c>
      <c r="L1986" s="3" t="n">
        <f aca="false">IF(OR(F1986="Y",G1986="Y",H1986="Y"),1,0)</f>
        <v>0</v>
      </c>
      <c r="M1986" s="3" t="n">
        <f aca="false">IF(H1986="Y",1,0)</f>
        <v>0</v>
      </c>
      <c r="N1986" s="3" t="n">
        <f aca="false">IF(I1986="Y",1,0)</f>
        <v>0</v>
      </c>
    </row>
    <row r="1987" customFormat="false" ht="15" hidden="false" customHeight="true" outlineLevel="0" collapsed="false">
      <c r="A1987" s="7" t="s">
        <v>60</v>
      </c>
      <c r="B1987" s="7" t="n">
        <v>1883</v>
      </c>
      <c r="C1987" s="7" t="s">
        <v>581</v>
      </c>
      <c r="D1987" s="7" t="n">
        <v>17</v>
      </c>
      <c r="E1987" s="7" t="n">
        <v>81</v>
      </c>
      <c r="F1987" s="7"/>
      <c r="G1987" s="7"/>
      <c r="H1987" s="7" t="s">
        <v>546</v>
      </c>
      <c r="I1987" s="7"/>
      <c r="J1987" s="21" t="n">
        <f aca="false">D1987/(D1987+E1987)</f>
        <v>0.173469387755102</v>
      </c>
      <c r="K1987" s="3" t="n">
        <f aca="false">IF(D1987&gt;E1987,1,0)</f>
        <v>0</v>
      </c>
      <c r="L1987" s="3" t="n">
        <f aca="false">IF(OR(F1987="Y",G1987="Y",H1987="Y"),1,0)</f>
        <v>0</v>
      </c>
      <c r="M1987" s="3" t="n">
        <f aca="false">IF(H1987="Y",1,0)</f>
        <v>0</v>
      </c>
      <c r="N1987" s="3" t="n">
        <f aca="false">IF(I1987="Y",1,0)</f>
        <v>0</v>
      </c>
    </row>
    <row r="1988" customFormat="false" ht="15" hidden="false" customHeight="true" outlineLevel="0" collapsed="false">
      <c r="A1988" s="7" t="s">
        <v>60</v>
      </c>
      <c r="B1988" s="7" t="n">
        <v>1884</v>
      </c>
      <c r="C1988" s="7" t="s">
        <v>581</v>
      </c>
      <c r="D1988" s="7" t="n">
        <v>39</v>
      </c>
      <c r="E1988" s="7" t="n">
        <v>73</v>
      </c>
      <c r="F1988" s="7"/>
      <c r="G1988" s="7"/>
      <c r="H1988" s="7" t="s">
        <v>546</v>
      </c>
      <c r="I1988" s="7" t="s">
        <v>546</v>
      </c>
      <c r="J1988" s="21" t="n">
        <f aca="false">D1988/(D1988+E1988)</f>
        <v>0.348214285714286</v>
      </c>
      <c r="K1988" s="3" t="n">
        <f aca="false">IF(D1988&gt;E1988,1,0)</f>
        <v>0</v>
      </c>
      <c r="L1988" s="3" t="n">
        <f aca="false">IF(OR(F1988="Y",G1988="Y",H1988="Y"),1,0)</f>
        <v>0</v>
      </c>
      <c r="M1988" s="3" t="n">
        <f aca="false">IF(H1988="Y",1,0)</f>
        <v>0</v>
      </c>
      <c r="N1988" s="3" t="n">
        <f aca="false">IF(I1988="Y",1,0)</f>
        <v>0</v>
      </c>
    </row>
    <row r="1989" customFormat="false" ht="15" hidden="false" customHeight="true" outlineLevel="0" collapsed="false">
      <c r="A1989" s="7" t="s">
        <v>60</v>
      </c>
      <c r="B1989" s="7" t="n">
        <v>1885</v>
      </c>
      <c r="C1989" s="7" t="s">
        <v>581</v>
      </c>
      <c r="D1989" s="7" t="n">
        <v>56</v>
      </c>
      <c r="E1989" s="7" t="n">
        <v>54</v>
      </c>
      <c r="F1989" s="7"/>
      <c r="G1989" s="7"/>
      <c r="H1989" s="7" t="s">
        <v>546</v>
      </c>
      <c r="I1989" s="7" t="s">
        <v>546</v>
      </c>
      <c r="J1989" s="21" t="n">
        <f aca="false">D1989/(D1989+E1989)</f>
        <v>0.509090909090909</v>
      </c>
      <c r="K1989" s="3" t="n">
        <f aca="false">IF(D1989&gt;E1989,1,0)</f>
        <v>1</v>
      </c>
      <c r="L1989" s="3" t="n">
        <f aca="false">IF(OR(F1989="Y",G1989="Y",H1989="Y"),1,0)</f>
        <v>0</v>
      </c>
      <c r="M1989" s="3" t="n">
        <f aca="false">IF(H1989="Y",1,0)</f>
        <v>0</v>
      </c>
      <c r="N1989" s="3" t="n">
        <f aca="false">IF(I1989="Y",1,0)</f>
        <v>0</v>
      </c>
    </row>
    <row r="1990" customFormat="false" ht="15" hidden="false" customHeight="true" outlineLevel="0" collapsed="false">
      <c r="A1990" s="7" t="s">
        <v>60</v>
      </c>
      <c r="B1990" s="7" t="n">
        <v>1886</v>
      </c>
      <c r="C1990" s="7" t="s">
        <v>581</v>
      </c>
      <c r="D1990" s="7" t="n">
        <v>71</v>
      </c>
      <c r="E1990" s="7" t="n">
        <v>43</v>
      </c>
      <c r="F1990" s="7"/>
      <c r="G1990" s="7"/>
      <c r="H1990" s="7" t="s">
        <v>546</v>
      </c>
      <c r="I1990" s="7" t="s">
        <v>546</v>
      </c>
      <c r="J1990" s="21" t="n">
        <f aca="false">D1990/(D1990+E1990)</f>
        <v>0.62280701754386</v>
      </c>
      <c r="K1990" s="3" t="n">
        <f aca="false">IF(D1990&gt;E1990,1,0)</f>
        <v>1</v>
      </c>
      <c r="L1990" s="3" t="n">
        <f aca="false">IF(OR(F1990="Y",G1990="Y",H1990="Y"),1,0)</f>
        <v>0</v>
      </c>
      <c r="M1990" s="3" t="n">
        <f aca="false">IF(H1990="Y",1,0)</f>
        <v>0</v>
      </c>
      <c r="N1990" s="3" t="n">
        <f aca="false">IF(I1990="Y",1,0)</f>
        <v>0</v>
      </c>
    </row>
    <row r="1991" customFormat="false" ht="15" hidden="false" customHeight="true" outlineLevel="0" collapsed="false">
      <c r="A1991" s="7" t="s">
        <v>60</v>
      </c>
      <c r="B1991" s="7" t="n">
        <v>1887</v>
      </c>
      <c r="C1991" s="7" t="s">
        <v>581</v>
      </c>
      <c r="D1991" s="7" t="n">
        <v>75</v>
      </c>
      <c r="E1991" s="7" t="n">
        <v>48</v>
      </c>
      <c r="F1991" s="7"/>
      <c r="G1991" s="7"/>
      <c r="H1991" s="7" t="s">
        <v>546</v>
      </c>
      <c r="I1991" s="7" t="s">
        <v>546</v>
      </c>
      <c r="J1991" s="21" t="n">
        <f aca="false">D1991/(D1991+E1991)</f>
        <v>0.609756097560976</v>
      </c>
      <c r="K1991" s="3" t="n">
        <f aca="false">IF(D1991&gt;E1991,1,0)</f>
        <v>1</v>
      </c>
      <c r="L1991" s="3" t="n">
        <f aca="false">IF(OR(F1991="Y",G1991="Y",H1991="Y"),1,0)</f>
        <v>0</v>
      </c>
      <c r="M1991" s="3" t="n">
        <f aca="false">IF(H1991="Y",1,0)</f>
        <v>0</v>
      </c>
      <c r="N1991" s="3" t="n">
        <f aca="false">IF(I1991="Y",1,0)</f>
        <v>0</v>
      </c>
    </row>
    <row r="1992" customFormat="false" ht="15" hidden="false" customHeight="true" outlineLevel="0" collapsed="false">
      <c r="A1992" s="7" t="s">
        <v>60</v>
      </c>
      <c r="B1992" s="7" t="n">
        <v>1888</v>
      </c>
      <c r="C1992" s="7" t="s">
        <v>581</v>
      </c>
      <c r="D1992" s="7" t="n">
        <v>69</v>
      </c>
      <c r="E1992" s="7" t="n">
        <v>61</v>
      </c>
      <c r="F1992" s="7"/>
      <c r="G1992" s="7"/>
      <c r="H1992" s="7" t="s">
        <v>546</v>
      </c>
      <c r="I1992" s="7" t="s">
        <v>546</v>
      </c>
      <c r="J1992" s="21" t="n">
        <f aca="false">D1992/(D1992+E1992)</f>
        <v>0.530769230769231</v>
      </c>
      <c r="K1992" s="3" t="n">
        <f aca="false">IF(D1992&gt;E1992,1,0)</f>
        <v>1</v>
      </c>
      <c r="L1992" s="3" t="n">
        <f aca="false">IF(OR(F1992="Y",G1992="Y",H1992="Y"),1,0)</f>
        <v>0</v>
      </c>
      <c r="M1992" s="3" t="n">
        <f aca="false">IF(H1992="Y",1,0)</f>
        <v>0</v>
      </c>
      <c r="N1992" s="3" t="n">
        <f aca="false">IF(I1992="Y",1,0)</f>
        <v>0</v>
      </c>
    </row>
    <row r="1993" customFormat="false" ht="15" hidden="false" customHeight="true" outlineLevel="0" collapsed="false">
      <c r="A1993" s="7" t="s">
        <v>60</v>
      </c>
      <c r="B1993" s="7" t="n">
        <v>1889</v>
      </c>
      <c r="C1993" s="7" t="s">
        <v>581</v>
      </c>
      <c r="D1993" s="7" t="n">
        <v>63</v>
      </c>
      <c r="E1993" s="7" t="n">
        <v>64</v>
      </c>
      <c r="F1993" s="7"/>
      <c r="G1993" s="7"/>
      <c r="H1993" s="7" t="s">
        <v>546</v>
      </c>
      <c r="I1993" s="7" t="s">
        <v>546</v>
      </c>
      <c r="J1993" s="21" t="n">
        <f aca="false">D1993/(D1993+E1993)</f>
        <v>0.496062992125984</v>
      </c>
      <c r="K1993" s="3" t="n">
        <f aca="false">IF(D1993&gt;E1993,1,0)</f>
        <v>0</v>
      </c>
      <c r="L1993" s="3" t="n">
        <f aca="false">IF(OR(F1993="Y",G1993="Y",H1993="Y"),1,0)</f>
        <v>0</v>
      </c>
      <c r="M1993" s="3" t="n">
        <f aca="false">IF(H1993="Y",1,0)</f>
        <v>0</v>
      </c>
      <c r="N1993" s="3" t="n">
        <f aca="false">IF(I1993="Y",1,0)</f>
        <v>0</v>
      </c>
    </row>
    <row r="1994" customFormat="false" ht="15" hidden="false" customHeight="true" outlineLevel="0" collapsed="false">
      <c r="A1994" s="7" t="s">
        <v>60</v>
      </c>
      <c r="B1994" s="7" t="n">
        <v>1890</v>
      </c>
      <c r="C1994" s="7" t="s">
        <v>361</v>
      </c>
      <c r="D1994" s="7" t="n">
        <v>78</v>
      </c>
      <c r="E1994" s="7" t="n">
        <v>53</v>
      </c>
      <c r="F1994" s="7"/>
      <c r="G1994" s="7"/>
      <c r="H1994" s="7" t="s">
        <v>546</v>
      </c>
      <c r="I1994" s="7" t="s">
        <v>546</v>
      </c>
      <c r="J1994" s="21" t="n">
        <f aca="false">D1994/(D1994+E1994)</f>
        <v>0.595419847328244</v>
      </c>
      <c r="K1994" s="3" t="n">
        <f aca="false">IF(D1994&gt;E1994,1,0)</f>
        <v>1</v>
      </c>
      <c r="L1994" s="3" t="n">
        <f aca="false">IF(OR(F1994="Y",G1994="Y",H1994="Y"),1,0)</f>
        <v>0</v>
      </c>
      <c r="M1994" s="3" t="n">
        <f aca="false">IF(H1994="Y",1,0)</f>
        <v>0</v>
      </c>
      <c r="N1994" s="3" t="n">
        <f aca="false">IF(I1994="Y",1,0)</f>
        <v>0</v>
      </c>
    </row>
    <row r="1995" customFormat="false" ht="15" hidden="false" customHeight="true" outlineLevel="0" collapsed="false">
      <c r="A1995" s="7" t="s">
        <v>60</v>
      </c>
      <c r="B1995" s="7" t="n">
        <v>1891</v>
      </c>
      <c r="C1995" s="7" t="s">
        <v>361</v>
      </c>
      <c r="D1995" s="7" t="n">
        <v>68</v>
      </c>
      <c r="E1995" s="7" t="n">
        <v>69</v>
      </c>
      <c r="F1995" s="7"/>
      <c r="G1995" s="7"/>
      <c r="H1995" s="7" t="s">
        <v>546</v>
      </c>
      <c r="I1995" s="7"/>
      <c r="J1995" s="21" t="n">
        <f aca="false">D1995/(D1995+E1995)</f>
        <v>0.496350364963504</v>
      </c>
      <c r="K1995" s="3" t="n">
        <f aca="false">IF(D1995&gt;E1995,1,0)</f>
        <v>0</v>
      </c>
      <c r="L1995" s="3" t="n">
        <f aca="false">IF(OR(F1995="Y",G1995="Y",H1995="Y"),1,0)</f>
        <v>0</v>
      </c>
      <c r="M1995" s="3" t="n">
        <f aca="false">IF(H1995="Y",1,0)</f>
        <v>0</v>
      </c>
      <c r="N1995" s="3" t="n">
        <f aca="false">IF(I1995="Y",1,0)</f>
        <v>0</v>
      </c>
    </row>
    <row r="1996" customFormat="false" ht="15" hidden="false" customHeight="true" outlineLevel="0" collapsed="false">
      <c r="A1996" s="7" t="s">
        <v>60</v>
      </c>
      <c r="B1996" s="7" t="n">
        <v>1892</v>
      </c>
      <c r="C1996" s="7" t="s">
        <v>361</v>
      </c>
      <c r="D1996" s="7" t="n">
        <v>87</v>
      </c>
      <c r="E1996" s="7" t="n">
        <v>66</v>
      </c>
      <c r="F1996" s="7"/>
      <c r="G1996" s="7"/>
      <c r="H1996" s="7" t="s">
        <v>546</v>
      </c>
      <c r="I1996" s="7"/>
      <c r="J1996" s="21" t="n">
        <f aca="false">D1996/(D1996+E1996)</f>
        <v>0.568627450980392</v>
      </c>
      <c r="K1996" s="3" t="n">
        <f aca="false">IF(D1996&gt;E1996,1,0)</f>
        <v>1</v>
      </c>
      <c r="L1996" s="3" t="n">
        <f aca="false">IF(OR(F1996="Y",G1996="Y",H1996="Y"),1,0)</f>
        <v>0</v>
      </c>
      <c r="M1996" s="3" t="n">
        <f aca="false">IF(H1996="Y",1,0)</f>
        <v>0</v>
      </c>
      <c r="N1996" s="3" t="n">
        <f aca="false">IF(I1996="Y",1,0)</f>
        <v>0</v>
      </c>
    </row>
    <row r="1997" customFormat="false" ht="15" hidden="false" customHeight="true" outlineLevel="0" collapsed="false">
      <c r="A1997" s="7" t="s">
        <v>60</v>
      </c>
      <c r="B1997" s="7" t="n">
        <v>1893</v>
      </c>
      <c r="C1997" s="7" t="s">
        <v>361</v>
      </c>
      <c r="D1997" s="7" t="n">
        <v>72</v>
      </c>
      <c r="E1997" s="7" t="n">
        <v>57</v>
      </c>
      <c r="F1997" s="7"/>
      <c r="G1997" s="7"/>
      <c r="H1997" s="7" t="s">
        <v>546</v>
      </c>
      <c r="I1997" s="7"/>
      <c r="J1997" s="21" t="n">
        <f aca="false">D1997/(D1997+E1997)</f>
        <v>0.558139534883721</v>
      </c>
      <c r="K1997" s="3" t="n">
        <f aca="false">IF(D1997&gt;E1997,1,0)</f>
        <v>1</v>
      </c>
      <c r="L1997" s="3" t="n">
        <f aca="false">IF(OR(F1997="Y",G1997="Y",H1997="Y"),1,0)</f>
        <v>0</v>
      </c>
      <c r="M1997" s="3" t="n">
        <f aca="false">IF(H1997="Y",1,0)</f>
        <v>0</v>
      </c>
      <c r="N1997" s="3" t="n">
        <f aca="false">IF(I1997="Y",1,0)</f>
        <v>0</v>
      </c>
    </row>
    <row r="1998" customFormat="false" ht="15" hidden="false" customHeight="true" outlineLevel="0" collapsed="false">
      <c r="A1998" s="7" t="s">
        <v>60</v>
      </c>
      <c r="B1998" s="7" t="n">
        <v>1894</v>
      </c>
      <c r="C1998" s="7" t="s">
        <v>361</v>
      </c>
      <c r="D1998" s="7" t="n">
        <v>71</v>
      </c>
      <c r="E1998" s="7" t="n">
        <v>57</v>
      </c>
      <c r="F1998" s="7"/>
      <c r="G1998" s="7"/>
      <c r="H1998" s="7" t="s">
        <v>546</v>
      </c>
      <c r="I1998" s="7"/>
      <c r="J1998" s="21" t="n">
        <f aca="false">D1998/(D1998+E1998)</f>
        <v>0.5546875</v>
      </c>
      <c r="K1998" s="3" t="n">
        <f aca="false">IF(D1998&gt;E1998,1,0)</f>
        <v>1</v>
      </c>
      <c r="L1998" s="3" t="n">
        <f aca="false">IF(OR(F1998="Y",G1998="Y",H1998="Y"),1,0)</f>
        <v>0</v>
      </c>
      <c r="M1998" s="3" t="n">
        <f aca="false">IF(H1998="Y",1,0)</f>
        <v>0</v>
      </c>
      <c r="N1998" s="3" t="n">
        <f aca="false">IF(I1998="Y",1,0)</f>
        <v>0</v>
      </c>
    </row>
    <row r="1999" customFormat="false" ht="15" hidden="false" customHeight="true" outlineLevel="0" collapsed="false">
      <c r="A1999" s="7" t="s">
        <v>60</v>
      </c>
      <c r="B1999" s="7" t="n">
        <v>1895</v>
      </c>
      <c r="C1999" s="7" t="s">
        <v>361</v>
      </c>
      <c r="D1999" s="7" t="n">
        <v>78</v>
      </c>
      <c r="E1999" s="7" t="n">
        <v>53</v>
      </c>
      <c r="F1999" s="7"/>
      <c r="G1999" s="7"/>
      <c r="H1999" s="7" t="s">
        <v>546</v>
      </c>
      <c r="I1999" s="7"/>
      <c r="J1999" s="21" t="n">
        <f aca="false">D1999/(D1999+E1999)</f>
        <v>0.595419847328244</v>
      </c>
      <c r="K1999" s="3" t="n">
        <f aca="false">IF(D1999&gt;E1999,1,0)</f>
        <v>1</v>
      </c>
      <c r="L1999" s="3" t="n">
        <f aca="false">IF(OR(F1999="Y",G1999="Y",H1999="Y"),1,0)</f>
        <v>0</v>
      </c>
      <c r="M1999" s="3" t="n">
        <f aca="false">IF(H1999="Y",1,0)</f>
        <v>0</v>
      </c>
      <c r="N1999" s="3" t="n">
        <f aca="false">IF(I1999="Y",1,0)</f>
        <v>0</v>
      </c>
    </row>
    <row r="2000" customFormat="false" ht="15" hidden="false" customHeight="true" outlineLevel="0" collapsed="false">
      <c r="A2000" s="7" t="s">
        <v>60</v>
      </c>
      <c r="B2000" s="7" t="n">
        <v>1896</v>
      </c>
      <c r="C2000" s="7" t="s">
        <v>361</v>
      </c>
      <c r="D2000" s="7" t="n">
        <v>62</v>
      </c>
      <c r="E2000" s="7" t="n">
        <v>68</v>
      </c>
      <c r="F2000" s="7"/>
      <c r="G2000" s="7"/>
      <c r="H2000" s="7" t="s">
        <v>546</v>
      </c>
      <c r="I2000" s="7"/>
      <c r="J2000" s="21" t="n">
        <f aca="false">D2000/(D2000+E2000)</f>
        <v>0.476923076923077</v>
      </c>
      <c r="K2000" s="3" t="n">
        <f aca="false">IF(D2000&gt;E2000,1,0)</f>
        <v>0</v>
      </c>
      <c r="L2000" s="3" t="n">
        <f aca="false">IF(OR(F2000="Y",G2000="Y",H2000="Y"),1,0)</f>
        <v>0</v>
      </c>
      <c r="M2000" s="3" t="n">
        <f aca="false">IF(H2000="Y",1,0)</f>
        <v>0</v>
      </c>
      <c r="N2000" s="3" t="n">
        <f aca="false">IF(I2000="Y",1,0)</f>
        <v>0</v>
      </c>
    </row>
    <row r="2001" customFormat="false" ht="15" hidden="false" customHeight="true" outlineLevel="0" collapsed="false">
      <c r="A2001" s="7" t="s">
        <v>60</v>
      </c>
      <c r="B2001" s="7" t="n">
        <v>1897</v>
      </c>
      <c r="C2001" s="7" t="s">
        <v>361</v>
      </c>
      <c r="D2001" s="7" t="n">
        <v>55</v>
      </c>
      <c r="E2001" s="7" t="n">
        <v>77</v>
      </c>
      <c r="F2001" s="7"/>
      <c r="G2001" s="7"/>
      <c r="H2001" s="7" t="s">
        <v>546</v>
      </c>
      <c r="I2001" s="7"/>
      <c r="J2001" s="21" t="n">
        <f aca="false">D2001/(D2001+E2001)</f>
        <v>0.416666666666667</v>
      </c>
      <c r="K2001" s="3" t="n">
        <f aca="false">IF(D2001&gt;E2001,1,0)</f>
        <v>0</v>
      </c>
      <c r="L2001" s="3" t="n">
        <f aca="false">IF(OR(F2001="Y",G2001="Y",H2001="Y"),1,0)</f>
        <v>0</v>
      </c>
      <c r="M2001" s="3" t="n">
        <f aca="false">IF(H2001="Y",1,0)</f>
        <v>0</v>
      </c>
      <c r="N2001" s="3" t="n">
        <f aca="false">IF(I2001="Y",1,0)</f>
        <v>0</v>
      </c>
    </row>
    <row r="2002" customFormat="false" ht="15" hidden="false" customHeight="true" outlineLevel="0" collapsed="false">
      <c r="A2002" s="7" t="s">
        <v>60</v>
      </c>
      <c r="B2002" s="7" t="n">
        <v>1898</v>
      </c>
      <c r="C2002" s="7" t="s">
        <v>361</v>
      </c>
      <c r="D2002" s="7" t="n">
        <v>78</v>
      </c>
      <c r="E2002" s="7" t="n">
        <v>71</v>
      </c>
      <c r="F2002" s="7"/>
      <c r="G2002" s="7"/>
      <c r="H2002" s="7" t="s">
        <v>546</v>
      </c>
      <c r="I2002" s="7"/>
      <c r="J2002" s="21" t="n">
        <f aca="false">D2002/(D2002+E2002)</f>
        <v>0.523489932885906</v>
      </c>
      <c r="K2002" s="3" t="n">
        <f aca="false">IF(D2002&gt;E2002,1,0)</f>
        <v>1</v>
      </c>
      <c r="L2002" s="3" t="n">
        <f aca="false">IF(OR(F2002="Y",G2002="Y",H2002="Y"),1,0)</f>
        <v>0</v>
      </c>
      <c r="M2002" s="3" t="n">
        <f aca="false">IF(H2002="Y",1,0)</f>
        <v>0</v>
      </c>
      <c r="N2002" s="3" t="n">
        <f aca="false">IF(I2002="Y",1,0)</f>
        <v>0</v>
      </c>
    </row>
    <row r="2003" customFormat="false" ht="15" hidden="false" customHeight="true" outlineLevel="0" collapsed="false">
      <c r="A2003" s="7" t="s">
        <v>60</v>
      </c>
      <c r="B2003" s="7" t="n">
        <v>1899</v>
      </c>
      <c r="C2003" s="7" t="s">
        <v>361</v>
      </c>
      <c r="D2003" s="7" t="n">
        <v>94</v>
      </c>
      <c r="E2003" s="7" t="n">
        <v>58</v>
      </c>
      <c r="F2003" s="7"/>
      <c r="G2003" s="7"/>
      <c r="H2003" s="7" t="s">
        <v>546</v>
      </c>
      <c r="I2003" s="7"/>
      <c r="J2003" s="21" t="n">
        <f aca="false">D2003/(D2003+E2003)</f>
        <v>0.618421052631579</v>
      </c>
      <c r="K2003" s="3" t="n">
        <f aca="false">IF(D2003&gt;E2003,1,0)</f>
        <v>1</v>
      </c>
      <c r="L2003" s="3" t="n">
        <f aca="false">IF(OR(F2003="Y",G2003="Y",H2003="Y"),1,0)</f>
        <v>0</v>
      </c>
      <c r="M2003" s="3" t="n">
        <f aca="false">IF(H2003="Y",1,0)</f>
        <v>0</v>
      </c>
      <c r="N2003" s="3" t="n">
        <f aca="false">IF(I2003="Y",1,0)</f>
        <v>0</v>
      </c>
    </row>
    <row r="2004" customFormat="false" ht="15" hidden="false" customHeight="true" outlineLevel="0" collapsed="false">
      <c r="A2004" s="7" t="s">
        <v>60</v>
      </c>
      <c r="B2004" s="7" t="n">
        <v>1900</v>
      </c>
      <c r="C2004" s="7" t="s">
        <v>361</v>
      </c>
      <c r="D2004" s="7" t="n">
        <v>75</v>
      </c>
      <c r="E2004" s="7" t="n">
        <v>63</v>
      </c>
      <c r="F2004" s="7"/>
      <c r="G2004" s="7"/>
      <c r="H2004" s="7" t="s">
        <v>546</v>
      </c>
      <c r="I2004" s="7"/>
      <c r="J2004" s="21" t="n">
        <f aca="false">D2004/(D2004+E2004)</f>
        <v>0.543478260869565</v>
      </c>
      <c r="K2004" s="3" t="n">
        <f aca="false">IF(D2004&gt;E2004,1,0)</f>
        <v>1</v>
      </c>
      <c r="L2004" s="3" t="n">
        <f aca="false">IF(OR(F2004="Y",G2004="Y",H2004="Y"),1,0)</f>
        <v>0</v>
      </c>
      <c r="M2004" s="3" t="n">
        <f aca="false">IF(H2004="Y",1,0)</f>
        <v>0</v>
      </c>
      <c r="N2004" s="3" t="n">
        <f aca="false">IF(I2004="Y",1,0)</f>
        <v>0</v>
      </c>
    </row>
    <row r="2005" customFormat="false" ht="15" hidden="false" customHeight="true" outlineLevel="0" collapsed="false">
      <c r="A2005" s="7" t="s">
        <v>60</v>
      </c>
      <c r="B2005" s="7" t="n">
        <v>1901</v>
      </c>
      <c r="C2005" s="7" t="s">
        <v>361</v>
      </c>
      <c r="D2005" s="7" t="n">
        <v>83</v>
      </c>
      <c r="E2005" s="7" t="n">
        <v>57</v>
      </c>
      <c r="F2005" s="7"/>
      <c r="G2005" s="7"/>
      <c r="H2005" s="7" t="s">
        <v>546</v>
      </c>
      <c r="I2005" s="7"/>
      <c r="J2005" s="21" t="n">
        <f aca="false">D2005/(D2005+E2005)</f>
        <v>0.592857142857143</v>
      </c>
      <c r="K2005" s="3" t="n">
        <f aca="false">IF(D2005&gt;E2005,1,0)</f>
        <v>1</v>
      </c>
      <c r="L2005" s="3" t="n">
        <f aca="false">IF(OR(F2005="Y",G2005="Y",H2005="Y"),1,0)</f>
        <v>0</v>
      </c>
      <c r="M2005" s="3" t="n">
        <f aca="false">IF(H2005="Y",1,0)</f>
        <v>0</v>
      </c>
      <c r="N2005" s="3" t="n">
        <f aca="false">IF(I2005="Y",1,0)</f>
        <v>0</v>
      </c>
    </row>
    <row r="2006" customFormat="false" ht="15" hidden="false" customHeight="true" outlineLevel="0" collapsed="false">
      <c r="A2006" s="7" t="s">
        <v>60</v>
      </c>
      <c r="B2006" s="7" t="n">
        <v>1902</v>
      </c>
      <c r="C2006" s="7" t="s">
        <v>361</v>
      </c>
      <c r="D2006" s="7" t="n">
        <v>56</v>
      </c>
      <c r="E2006" s="7" t="n">
        <v>81</v>
      </c>
      <c r="F2006" s="7"/>
      <c r="G2006" s="7"/>
      <c r="H2006" s="7" t="s">
        <v>546</v>
      </c>
      <c r="I2006" s="7"/>
      <c r="J2006" s="21" t="n">
        <f aca="false">D2006/(D2006+E2006)</f>
        <v>0.408759124087591</v>
      </c>
      <c r="K2006" s="3" t="n">
        <f aca="false">IF(D2006&gt;E2006,1,0)</f>
        <v>0</v>
      </c>
      <c r="L2006" s="3" t="n">
        <f aca="false">IF(OR(F2006="Y",G2006="Y",H2006="Y"),1,0)</f>
        <v>0</v>
      </c>
      <c r="M2006" s="3" t="n">
        <f aca="false">IF(H2006="Y",1,0)</f>
        <v>0</v>
      </c>
      <c r="N2006" s="3" t="n">
        <f aca="false">IF(I2006="Y",1,0)</f>
        <v>0</v>
      </c>
    </row>
    <row r="2007" customFormat="false" ht="15" hidden="false" customHeight="true" outlineLevel="0" collapsed="false">
      <c r="A2007" s="7" t="s">
        <v>60</v>
      </c>
      <c r="B2007" s="7" t="n">
        <v>1903</v>
      </c>
      <c r="C2007" s="7" t="s">
        <v>361</v>
      </c>
      <c r="D2007" s="7" t="n">
        <v>49</v>
      </c>
      <c r="E2007" s="7" t="n">
        <v>86</v>
      </c>
      <c r="F2007" s="7"/>
      <c r="G2007" s="7"/>
      <c r="H2007" s="7" t="s">
        <v>546</v>
      </c>
      <c r="I2007" s="7" t="s">
        <v>546</v>
      </c>
      <c r="J2007" s="21" t="n">
        <f aca="false">D2007/(D2007+E2007)</f>
        <v>0.362962962962963</v>
      </c>
      <c r="K2007" s="3" t="n">
        <f aca="false">IF(D2007&gt;E2007,1,0)</f>
        <v>0</v>
      </c>
      <c r="L2007" s="3" t="n">
        <f aca="false">IF(OR(F2007="Y",G2007="Y",H2007="Y"),1,0)</f>
        <v>0</v>
      </c>
      <c r="M2007" s="3" t="n">
        <f aca="false">IF(H2007="Y",1,0)</f>
        <v>0</v>
      </c>
      <c r="N2007" s="3" t="n">
        <f aca="false">IF(I2007="Y",1,0)</f>
        <v>0</v>
      </c>
    </row>
    <row r="2008" customFormat="false" ht="15" hidden="false" customHeight="true" outlineLevel="0" collapsed="false">
      <c r="A2008" s="7" t="s">
        <v>60</v>
      </c>
      <c r="B2008" s="7" t="n">
        <v>1904</v>
      </c>
      <c r="C2008" s="7" t="s">
        <v>361</v>
      </c>
      <c r="D2008" s="7" t="n">
        <v>52</v>
      </c>
      <c r="E2008" s="7" t="n">
        <v>100</v>
      </c>
      <c r="F2008" s="7"/>
      <c r="G2008" s="7"/>
      <c r="H2008" s="7" t="s">
        <v>546</v>
      </c>
      <c r="I2008" s="7"/>
      <c r="J2008" s="21" t="n">
        <f aca="false">D2008/(D2008+E2008)</f>
        <v>0.342105263157895</v>
      </c>
      <c r="K2008" s="3" t="n">
        <f aca="false">IF(D2008&gt;E2008,1,0)</f>
        <v>0</v>
      </c>
      <c r="L2008" s="3" t="n">
        <f aca="false">IF(OR(F2008="Y",G2008="Y",H2008="Y"),1,0)</f>
        <v>0</v>
      </c>
      <c r="M2008" s="3" t="n">
        <f aca="false">IF(H2008="Y",1,0)</f>
        <v>0</v>
      </c>
      <c r="N2008" s="3" t="n">
        <f aca="false">IF(I2008="Y",1,0)</f>
        <v>0</v>
      </c>
    </row>
    <row r="2009" customFormat="false" ht="15" hidden="false" customHeight="true" outlineLevel="0" collapsed="false">
      <c r="A2009" s="7" t="s">
        <v>60</v>
      </c>
      <c r="B2009" s="7" t="n">
        <v>1905</v>
      </c>
      <c r="C2009" s="7" t="s">
        <v>361</v>
      </c>
      <c r="D2009" s="7" t="n">
        <v>83</v>
      </c>
      <c r="E2009" s="7" t="n">
        <v>69</v>
      </c>
      <c r="F2009" s="7"/>
      <c r="G2009" s="7"/>
      <c r="H2009" s="7" t="s">
        <v>546</v>
      </c>
      <c r="I2009" s="7" t="s">
        <v>546</v>
      </c>
      <c r="J2009" s="21" t="n">
        <f aca="false">D2009/(D2009+E2009)</f>
        <v>0.546052631578947</v>
      </c>
      <c r="K2009" s="3" t="n">
        <f aca="false">IF(D2009&gt;E2009,1,0)</f>
        <v>1</v>
      </c>
      <c r="L2009" s="3" t="n">
        <f aca="false">IF(OR(F2009="Y",G2009="Y",H2009="Y"),1,0)</f>
        <v>0</v>
      </c>
      <c r="M2009" s="3" t="n">
        <f aca="false">IF(H2009="Y",1,0)</f>
        <v>0</v>
      </c>
      <c r="N2009" s="3" t="n">
        <f aca="false">IF(I2009="Y",1,0)</f>
        <v>0</v>
      </c>
    </row>
    <row r="2010" customFormat="false" ht="15" hidden="false" customHeight="true" outlineLevel="0" collapsed="false">
      <c r="A2010" s="7" t="s">
        <v>60</v>
      </c>
      <c r="B2010" s="7" t="n">
        <v>1906</v>
      </c>
      <c r="C2010" s="7" t="s">
        <v>361</v>
      </c>
      <c r="D2010" s="7" t="n">
        <v>71</v>
      </c>
      <c r="E2010" s="7" t="n">
        <v>82</v>
      </c>
      <c r="F2010" s="7"/>
      <c r="G2010" s="7"/>
      <c r="H2010" s="7" t="s">
        <v>546</v>
      </c>
      <c r="I2010" s="7" t="s">
        <v>546</v>
      </c>
      <c r="J2010" s="21" t="n">
        <f aca="false">D2010/(D2010+E2010)</f>
        <v>0.464052287581699</v>
      </c>
      <c r="K2010" s="3" t="n">
        <f aca="false">IF(D2010&gt;E2010,1,0)</f>
        <v>0</v>
      </c>
      <c r="L2010" s="3" t="n">
        <f aca="false">IF(OR(F2010="Y",G2010="Y",H2010="Y"),1,0)</f>
        <v>0</v>
      </c>
      <c r="M2010" s="3" t="n">
        <f aca="false">IF(H2010="Y",1,0)</f>
        <v>0</v>
      </c>
      <c r="N2010" s="3" t="n">
        <f aca="false">IF(I2010="Y",1,0)</f>
        <v>0</v>
      </c>
    </row>
    <row r="2011" customFormat="false" ht="15" hidden="false" customHeight="true" outlineLevel="0" collapsed="false">
      <c r="A2011" s="7" t="s">
        <v>60</v>
      </c>
      <c r="B2011" s="7" t="n">
        <v>1907</v>
      </c>
      <c r="C2011" s="7" t="s">
        <v>361</v>
      </c>
      <c r="D2011" s="7" t="n">
        <v>83</v>
      </c>
      <c r="E2011" s="7" t="n">
        <v>64</v>
      </c>
      <c r="F2011" s="7"/>
      <c r="G2011" s="7"/>
      <c r="H2011" s="7" t="s">
        <v>546</v>
      </c>
      <c r="I2011" s="7" t="s">
        <v>546</v>
      </c>
      <c r="J2011" s="21" t="n">
        <f aca="false">D2011/(D2011+E2011)</f>
        <v>0.564625850340136</v>
      </c>
      <c r="K2011" s="3" t="n">
        <f aca="false">IF(D2011&gt;E2011,1,0)</f>
        <v>1</v>
      </c>
      <c r="L2011" s="3" t="n">
        <f aca="false">IF(OR(F2011="Y",G2011="Y",H2011="Y"),1,0)</f>
        <v>0</v>
      </c>
      <c r="M2011" s="3" t="n">
        <f aca="false">IF(H2011="Y",1,0)</f>
        <v>0</v>
      </c>
      <c r="N2011" s="3" t="n">
        <f aca="false">IF(I2011="Y",1,0)</f>
        <v>0</v>
      </c>
    </row>
    <row r="2012" customFormat="false" ht="15" hidden="false" customHeight="true" outlineLevel="0" collapsed="false">
      <c r="A2012" s="7" t="s">
        <v>60</v>
      </c>
      <c r="B2012" s="7" t="n">
        <v>1908</v>
      </c>
      <c r="C2012" s="7" t="s">
        <v>361</v>
      </c>
      <c r="D2012" s="7" t="n">
        <v>83</v>
      </c>
      <c r="E2012" s="7" t="n">
        <v>71</v>
      </c>
      <c r="F2012" s="7"/>
      <c r="G2012" s="7"/>
      <c r="H2012" s="7" t="s">
        <v>546</v>
      </c>
      <c r="I2012" s="7" t="s">
        <v>546</v>
      </c>
      <c r="J2012" s="21" t="n">
        <f aca="false">D2012/(D2012+E2012)</f>
        <v>0.538961038961039</v>
      </c>
      <c r="K2012" s="3" t="n">
        <f aca="false">IF(D2012&gt;E2012,1,0)</f>
        <v>1</v>
      </c>
      <c r="L2012" s="3" t="n">
        <f aca="false">IF(OR(F2012="Y",G2012="Y",H2012="Y"),1,0)</f>
        <v>0</v>
      </c>
      <c r="M2012" s="3" t="n">
        <f aca="false">IF(H2012="Y",1,0)</f>
        <v>0</v>
      </c>
      <c r="N2012" s="3" t="n">
        <f aca="false">IF(I2012="Y",1,0)</f>
        <v>0</v>
      </c>
    </row>
    <row r="2013" customFormat="false" ht="15" hidden="false" customHeight="true" outlineLevel="0" collapsed="false">
      <c r="A2013" s="7" t="s">
        <v>60</v>
      </c>
      <c r="B2013" s="7" t="n">
        <v>1909</v>
      </c>
      <c r="C2013" s="7" t="s">
        <v>361</v>
      </c>
      <c r="D2013" s="7" t="n">
        <v>74</v>
      </c>
      <c r="E2013" s="7" t="n">
        <v>79</v>
      </c>
      <c r="F2013" s="7"/>
      <c r="G2013" s="7"/>
      <c r="H2013" s="7" t="s">
        <v>546</v>
      </c>
      <c r="I2013" s="7" t="s">
        <v>546</v>
      </c>
      <c r="J2013" s="21" t="n">
        <f aca="false">D2013/(D2013+E2013)</f>
        <v>0.483660130718954</v>
      </c>
      <c r="K2013" s="3" t="n">
        <f aca="false">IF(D2013&gt;E2013,1,0)</f>
        <v>0</v>
      </c>
      <c r="L2013" s="3" t="n">
        <f aca="false">IF(OR(F2013="Y",G2013="Y",H2013="Y"),1,0)</f>
        <v>0</v>
      </c>
      <c r="M2013" s="3" t="n">
        <f aca="false">IF(H2013="Y",1,0)</f>
        <v>0</v>
      </c>
      <c r="N2013" s="3" t="n">
        <f aca="false">IF(I2013="Y",1,0)</f>
        <v>0</v>
      </c>
    </row>
    <row r="2014" customFormat="false" ht="15" hidden="false" customHeight="true" outlineLevel="0" collapsed="false">
      <c r="A2014" s="7" t="s">
        <v>60</v>
      </c>
      <c r="B2014" s="7" t="n">
        <v>1910</v>
      </c>
      <c r="C2014" s="7" t="s">
        <v>361</v>
      </c>
      <c r="D2014" s="7" t="n">
        <v>78</v>
      </c>
      <c r="E2014" s="7" t="n">
        <v>75</v>
      </c>
      <c r="F2014" s="7"/>
      <c r="G2014" s="7"/>
      <c r="H2014" s="7" t="s">
        <v>546</v>
      </c>
      <c r="I2014" s="7" t="s">
        <v>546</v>
      </c>
      <c r="J2014" s="21" t="n">
        <f aca="false">D2014/(D2014+E2014)</f>
        <v>0.509803921568627</v>
      </c>
      <c r="K2014" s="3" t="n">
        <f aca="false">IF(D2014&gt;E2014,1,0)</f>
        <v>1</v>
      </c>
      <c r="L2014" s="3" t="n">
        <f aca="false">IF(OR(F2014="Y",G2014="Y",H2014="Y"),1,0)</f>
        <v>0</v>
      </c>
      <c r="M2014" s="3" t="n">
        <f aca="false">IF(H2014="Y",1,0)</f>
        <v>0</v>
      </c>
      <c r="N2014" s="3" t="n">
        <f aca="false">IF(I2014="Y",1,0)</f>
        <v>0</v>
      </c>
    </row>
    <row r="2015" customFormat="false" ht="15" hidden="false" customHeight="true" outlineLevel="0" collapsed="false">
      <c r="A2015" s="7" t="s">
        <v>60</v>
      </c>
      <c r="B2015" s="7" t="n">
        <v>1911</v>
      </c>
      <c r="C2015" s="7" t="s">
        <v>361</v>
      </c>
      <c r="D2015" s="7" t="n">
        <v>79</v>
      </c>
      <c r="E2015" s="7" t="n">
        <v>73</v>
      </c>
      <c r="F2015" s="7"/>
      <c r="G2015" s="7"/>
      <c r="H2015" s="7" t="s">
        <v>546</v>
      </c>
      <c r="I2015" s="7" t="s">
        <v>546</v>
      </c>
      <c r="J2015" s="21" t="n">
        <f aca="false">D2015/(D2015+E2015)</f>
        <v>0.519736842105263</v>
      </c>
      <c r="K2015" s="3" t="n">
        <f aca="false">IF(D2015&gt;E2015,1,0)</f>
        <v>1</v>
      </c>
      <c r="L2015" s="3" t="n">
        <f aca="false">IF(OR(F2015="Y",G2015="Y",H2015="Y"),1,0)</f>
        <v>0</v>
      </c>
      <c r="M2015" s="3" t="n">
        <f aca="false">IF(H2015="Y",1,0)</f>
        <v>0</v>
      </c>
      <c r="N2015" s="3" t="n">
        <f aca="false">IF(I2015="Y",1,0)</f>
        <v>0</v>
      </c>
    </row>
    <row r="2016" customFormat="false" ht="15" hidden="false" customHeight="true" outlineLevel="0" collapsed="false">
      <c r="A2016" s="7" t="s">
        <v>60</v>
      </c>
      <c r="B2016" s="7" t="n">
        <v>1912</v>
      </c>
      <c r="C2016" s="7" t="s">
        <v>361</v>
      </c>
      <c r="D2016" s="7" t="n">
        <v>73</v>
      </c>
      <c r="E2016" s="7" t="n">
        <v>79</v>
      </c>
      <c r="F2016" s="7"/>
      <c r="G2016" s="7"/>
      <c r="H2016" s="7" t="s">
        <v>546</v>
      </c>
      <c r="I2016" s="7" t="s">
        <v>546</v>
      </c>
      <c r="J2016" s="21" t="n">
        <f aca="false">D2016/(D2016+E2016)</f>
        <v>0.480263157894737</v>
      </c>
      <c r="K2016" s="3" t="n">
        <f aca="false">IF(D2016&gt;E2016,1,0)</f>
        <v>0</v>
      </c>
      <c r="L2016" s="3" t="n">
        <f aca="false">IF(OR(F2016="Y",G2016="Y",H2016="Y"),1,0)</f>
        <v>0</v>
      </c>
      <c r="M2016" s="3" t="n">
        <f aca="false">IF(H2016="Y",1,0)</f>
        <v>0</v>
      </c>
      <c r="N2016" s="3" t="n">
        <f aca="false">IF(I2016="Y",1,0)</f>
        <v>0</v>
      </c>
    </row>
    <row r="2017" customFormat="false" ht="15" hidden="false" customHeight="true" outlineLevel="0" collapsed="false">
      <c r="A2017" s="7" t="s">
        <v>60</v>
      </c>
      <c r="B2017" s="7" t="n">
        <v>1913</v>
      </c>
      <c r="C2017" s="7" t="s">
        <v>361</v>
      </c>
      <c r="D2017" s="7" t="n">
        <v>88</v>
      </c>
      <c r="E2017" s="7" t="n">
        <v>63</v>
      </c>
      <c r="F2017" s="7"/>
      <c r="G2017" s="7"/>
      <c r="H2017" s="7" t="s">
        <v>546</v>
      </c>
      <c r="I2017" s="7" t="s">
        <v>546</v>
      </c>
      <c r="J2017" s="21" t="n">
        <f aca="false">D2017/(D2017+E2017)</f>
        <v>0.582781456953642</v>
      </c>
      <c r="K2017" s="3" t="n">
        <f aca="false">IF(D2017&gt;E2017,1,0)</f>
        <v>1</v>
      </c>
      <c r="L2017" s="3" t="n">
        <f aca="false">IF(OR(F2017="Y",G2017="Y",H2017="Y"),1,0)</f>
        <v>0</v>
      </c>
      <c r="M2017" s="3" t="n">
        <f aca="false">IF(H2017="Y",1,0)</f>
        <v>0</v>
      </c>
      <c r="N2017" s="3" t="n">
        <f aca="false">IF(I2017="Y",1,0)</f>
        <v>0</v>
      </c>
    </row>
    <row r="2018" customFormat="false" ht="15" hidden="false" customHeight="true" outlineLevel="0" collapsed="false">
      <c r="A2018" s="7" t="s">
        <v>60</v>
      </c>
      <c r="B2018" s="7" t="n">
        <v>1914</v>
      </c>
      <c r="C2018" s="7" t="s">
        <v>361</v>
      </c>
      <c r="D2018" s="7" t="n">
        <v>74</v>
      </c>
      <c r="E2018" s="7" t="n">
        <v>80</v>
      </c>
      <c r="F2018" s="7"/>
      <c r="G2018" s="7"/>
      <c r="H2018" s="7" t="s">
        <v>546</v>
      </c>
      <c r="I2018" s="7" t="s">
        <v>546</v>
      </c>
      <c r="J2018" s="21" t="n">
        <f aca="false">D2018/(D2018+E2018)</f>
        <v>0.480519480519481</v>
      </c>
      <c r="K2018" s="3" t="n">
        <f aca="false">IF(D2018&gt;E2018,1,0)</f>
        <v>0</v>
      </c>
      <c r="L2018" s="3" t="n">
        <f aca="false">IF(OR(F2018="Y",G2018="Y",H2018="Y"),1,0)</f>
        <v>0</v>
      </c>
      <c r="M2018" s="3" t="n">
        <f aca="false">IF(H2018="Y",1,0)</f>
        <v>0</v>
      </c>
      <c r="N2018" s="3" t="n">
        <f aca="false">IF(I2018="Y",1,0)</f>
        <v>0</v>
      </c>
    </row>
    <row r="2019" customFormat="false" ht="15" hidden="false" customHeight="true" outlineLevel="0" collapsed="false">
      <c r="A2019" s="7" t="s">
        <v>60</v>
      </c>
      <c r="B2019" s="7" t="n">
        <v>1915</v>
      </c>
      <c r="C2019" s="7" t="s">
        <v>361</v>
      </c>
      <c r="D2019" s="7" t="n">
        <v>90</v>
      </c>
      <c r="E2019" s="7" t="n">
        <v>62</v>
      </c>
      <c r="F2019" s="7"/>
      <c r="G2019" s="7"/>
      <c r="H2019" s="7" t="s">
        <v>548</v>
      </c>
      <c r="I2019" s="7" t="s">
        <v>546</v>
      </c>
      <c r="J2019" s="21" t="n">
        <f aca="false">D2019/(D2019+E2019)</f>
        <v>0.592105263157895</v>
      </c>
      <c r="K2019" s="3" t="n">
        <f aca="false">IF(D2019&gt;E2019,1,0)</f>
        <v>1</v>
      </c>
      <c r="L2019" s="3" t="n">
        <f aca="false">IF(OR(F2019="Y",G2019="Y",H2019="Y"),1,0)</f>
        <v>1</v>
      </c>
      <c r="M2019" s="3" t="n">
        <f aca="false">IF(H2019="Y",1,0)</f>
        <v>1</v>
      </c>
      <c r="N2019" s="3" t="n">
        <f aca="false">IF(I2019="Y",1,0)</f>
        <v>0</v>
      </c>
    </row>
    <row r="2020" customFormat="false" ht="15" hidden="false" customHeight="true" outlineLevel="0" collapsed="false">
      <c r="A2020" s="7" t="s">
        <v>60</v>
      </c>
      <c r="B2020" s="7" t="n">
        <v>1916</v>
      </c>
      <c r="C2020" s="7" t="s">
        <v>361</v>
      </c>
      <c r="D2020" s="7" t="n">
        <v>91</v>
      </c>
      <c r="E2020" s="7" t="n">
        <v>62</v>
      </c>
      <c r="F2020" s="7"/>
      <c r="G2020" s="7"/>
      <c r="H2020" s="7" t="s">
        <v>546</v>
      </c>
      <c r="I2020" s="7" t="s">
        <v>546</v>
      </c>
      <c r="J2020" s="21" t="n">
        <f aca="false">D2020/(D2020+E2020)</f>
        <v>0.594771241830065</v>
      </c>
      <c r="K2020" s="3" t="n">
        <f aca="false">IF(D2020&gt;E2020,1,0)</f>
        <v>1</v>
      </c>
      <c r="L2020" s="3" t="n">
        <f aca="false">IF(OR(F2020="Y",G2020="Y",H2020="Y"),1,0)</f>
        <v>0</v>
      </c>
      <c r="M2020" s="3" t="n">
        <f aca="false">IF(H2020="Y",1,0)</f>
        <v>0</v>
      </c>
      <c r="N2020" s="3" t="n">
        <f aca="false">IF(I2020="Y",1,0)</f>
        <v>0</v>
      </c>
    </row>
    <row r="2021" customFormat="false" ht="15" hidden="false" customHeight="true" outlineLevel="0" collapsed="false">
      <c r="A2021" s="7" t="s">
        <v>60</v>
      </c>
      <c r="B2021" s="7" t="n">
        <v>1917</v>
      </c>
      <c r="C2021" s="7" t="s">
        <v>361</v>
      </c>
      <c r="D2021" s="7" t="n">
        <v>87</v>
      </c>
      <c r="E2021" s="7" t="n">
        <v>65</v>
      </c>
      <c r="F2021" s="7"/>
      <c r="G2021" s="7"/>
      <c r="H2021" s="7" t="s">
        <v>546</v>
      </c>
      <c r="I2021" s="7" t="s">
        <v>546</v>
      </c>
      <c r="J2021" s="21" t="n">
        <f aca="false">D2021/(D2021+E2021)</f>
        <v>0.572368421052632</v>
      </c>
      <c r="K2021" s="3" t="n">
        <f aca="false">IF(D2021&gt;E2021,1,0)</f>
        <v>1</v>
      </c>
      <c r="L2021" s="3" t="n">
        <f aca="false">IF(OR(F2021="Y",G2021="Y",H2021="Y"),1,0)</f>
        <v>0</v>
      </c>
      <c r="M2021" s="3" t="n">
        <f aca="false">IF(H2021="Y",1,0)</f>
        <v>0</v>
      </c>
      <c r="N2021" s="3" t="n">
        <f aca="false">IF(I2021="Y",1,0)</f>
        <v>0</v>
      </c>
    </row>
    <row r="2022" customFormat="false" ht="15" hidden="false" customHeight="true" outlineLevel="0" collapsed="false">
      <c r="A2022" s="7" t="s">
        <v>60</v>
      </c>
      <c r="B2022" s="7" t="n">
        <v>1918</v>
      </c>
      <c r="C2022" s="7" t="s">
        <v>361</v>
      </c>
      <c r="D2022" s="7" t="n">
        <v>55</v>
      </c>
      <c r="E2022" s="7" t="n">
        <v>68</v>
      </c>
      <c r="F2022" s="7"/>
      <c r="G2022" s="7"/>
      <c r="H2022" s="7" t="s">
        <v>546</v>
      </c>
      <c r="I2022" s="7" t="s">
        <v>546</v>
      </c>
      <c r="J2022" s="21" t="n">
        <f aca="false">D2022/(D2022+E2022)</f>
        <v>0.447154471544715</v>
      </c>
      <c r="K2022" s="3" t="n">
        <f aca="false">IF(D2022&gt;E2022,1,0)</f>
        <v>0</v>
      </c>
      <c r="L2022" s="3" t="n">
        <f aca="false">IF(OR(F2022="Y",G2022="Y",H2022="Y"),1,0)</f>
        <v>0</v>
      </c>
      <c r="M2022" s="3" t="n">
        <f aca="false">IF(H2022="Y",1,0)</f>
        <v>0</v>
      </c>
      <c r="N2022" s="3" t="n">
        <f aca="false">IF(I2022="Y",1,0)</f>
        <v>0</v>
      </c>
    </row>
    <row r="2023" customFormat="false" ht="15" hidden="false" customHeight="true" outlineLevel="0" collapsed="false">
      <c r="A2023" s="7" t="s">
        <v>60</v>
      </c>
      <c r="B2023" s="7" t="n">
        <v>1919</v>
      </c>
      <c r="C2023" s="7" t="s">
        <v>361</v>
      </c>
      <c r="D2023" s="7" t="n">
        <v>47</v>
      </c>
      <c r="E2023" s="7" t="n">
        <v>90</v>
      </c>
      <c r="F2023" s="7"/>
      <c r="G2023" s="7"/>
      <c r="H2023" s="7" t="s">
        <v>546</v>
      </c>
      <c r="I2023" s="7" t="s">
        <v>546</v>
      </c>
      <c r="J2023" s="21" t="n">
        <f aca="false">D2023/(D2023+E2023)</f>
        <v>0.343065693430657</v>
      </c>
      <c r="K2023" s="3" t="n">
        <f aca="false">IF(D2023&gt;E2023,1,0)</f>
        <v>0</v>
      </c>
      <c r="L2023" s="3" t="n">
        <f aca="false">IF(OR(F2023="Y",G2023="Y",H2023="Y"),1,0)</f>
        <v>0</v>
      </c>
      <c r="M2023" s="3" t="n">
        <f aca="false">IF(H2023="Y",1,0)</f>
        <v>0</v>
      </c>
      <c r="N2023" s="3" t="n">
        <f aca="false">IF(I2023="Y",1,0)</f>
        <v>0</v>
      </c>
    </row>
    <row r="2024" customFormat="false" ht="15" hidden="false" customHeight="true" outlineLevel="0" collapsed="false">
      <c r="A2024" s="7" t="s">
        <v>60</v>
      </c>
      <c r="B2024" s="7" t="n">
        <v>1920</v>
      </c>
      <c r="C2024" s="7" t="s">
        <v>361</v>
      </c>
      <c r="D2024" s="7" t="n">
        <v>62</v>
      </c>
      <c r="E2024" s="7" t="n">
        <v>91</v>
      </c>
      <c r="F2024" s="7"/>
      <c r="G2024" s="7"/>
      <c r="H2024" s="7" t="s">
        <v>546</v>
      </c>
      <c r="I2024" s="7" t="s">
        <v>546</v>
      </c>
      <c r="J2024" s="21" t="n">
        <f aca="false">D2024/(D2024+E2024)</f>
        <v>0.405228758169935</v>
      </c>
      <c r="K2024" s="3" t="n">
        <f aca="false">IF(D2024&gt;E2024,1,0)</f>
        <v>0</v>
      </c>
      <c r="L2024" s="3" t="n">
        <f aca="false">IF(OR(F2024="Y",G2024="Y",H2024="Y"),1,0)</f>
        <v>0</v>
      </c>
      <c r="M2024" s="3" t="n">
        <f aca="false">IF(H2024="Y",1,0)</f>
        <v>0</v>
      </c>
      <c r="N2024" s="3" t="n">
        <f aca="false">IF(I2024="Y",1,0)</f>
        <v>0</v>
      </c>
    </row>
    <row r="2025" customFormat="false" ht="15" hidden="false" customHeight="true" outlineLevel="0" collapsed="false">
      <c r="A2025" s="7" t="s">
        <v>60</v>
      </c>
      <c r="B2025" s="7" t="n">
        <v>1921</v>
      </c>
      <c r="C2025" s="7" t="s">
        <v>361</v>
      </c>
      <c r="D2025" s="7" t="n">
        <v>51</v>
      </c>
      <c r="E2025" s="7" t="n">
        <v>103</v>
      </c>
      <c r="F2025" s="7"/>
      <c r="G2025" s="7"/>
      <c r="H2025" s="7" t="s">
        <v>546</v>
      </c>
      <c r="I2025" s="7" t="s">
        <v>546</v>
      </c>
      <c r="J2025" s="21" t="n">
        <f aca="false">D2025/(D2025+E2025)</f>
        <v>0.331168831168831</v>
      </c>
      <c r="K2025" s="3" t="n">
        <f aca="false">IF(D2025&gt;E2025,1,0)</f>
        <v>0</v>
      </c>
      <c r="L2025" s="3" t="n">
        <f aca="false">IF(OR(F2025="Y",G2025="Y",H2025="Y"),1,0)</f>
        <v>0</v>
      </c>
      <c r="M2025" s="3" t="n">
        <f aca="false">IF(H2025="Y",1,0)</f>
        <v>0</v>
      </c>
      <c r="N2025" s="3" t="n">
        <f aca="false">IF(I2025="Y",1,0)</f>
        <v>0</v>
      </c>
    </row>
    <row r="2026" customFormat="false" ht="15" hidden="false" customHeight="true" outlineLevel="0" collapsed="false">
      <c r="A2026" s="7" t="s">
        <v>60</v>
      </c>
      <c r="B2026" s="7" t="n">
        <v>1922</v>
      </c>
      <c r="C2026" s="7" t="s">
        <v>361</v>
      </c>
      <c r="D2026" s="7" t="n">
        <v>57</v>
      </c>
      <c r="E2026" s="7" t="n">
        <v>96</v>
      </c>
      <c r="F2026" s="7"/>
      <c r="G2026" s="7"/>
      <c r="H2026" s="7" t="s">
        <v>546</v>
      </c>
      <c r="I2026" s="7" t="s">
        <v>546</v>
      </c>
      <c r="J2026" s="21" t="n">
        <f aca="false">D2026/(D2026+E2026)</f>
        <v>0.372549019607843</v>
      </c>
      <c r="K2026" s="3" t="n">
        <f aca="false">IF(D2026&gt;E2026,1,0)</f>
        <v>0</v>
      </c>
      <c r="L2026" s="3" t="n">
        <f aca="false">IF(OR(F2026="Y",G2026="Y",H2026="Y"),1,0)</f>
        <v>0</v>
      </c>
      <c r="M2026" s="3" t="n">
        <f aca="false">IF(H2026="Y",1,0)</f>
        <v>0</v>
      </c>
      <c r="N2026" s="3" t="n">
        <f aca="false">IF(I2026="Y",1,0)</f>
        <v>0</v>
      </c>
    </row>
    <row r="2027" customFormat="false" ht="15" hidden="false" customHeight="true" outlineLevel="0" collapsed="false">
      <c r="A2027" s="7" t="s">
        <v>60</v>
      </c>
      <c r="B2027" s="7" t="n">
        <v>1923</v>
      </c>
      <c r="C2027" s="7" t="s">
        <v>361</v>
      </c>
      <c r="D2027" s="7" t="n">
        <v>50</v>
      </c>
      <c r="E2027" s="7" t="n">
        <v>104</v>
      </c>
      <c r="F2027" s="7"/>
      <c r="G2027" s="7"/>
      <c r="H2027" s="7" t="s">
        <v>546</v>
      </c>
      <c r="I2027" s="7" t="s">
        <v>546</v>
      </c>
      <c r="J2027" s="21" t="n">
        <f aca="false">D2027/(D2027+E2027)</f>
        <v>0.324675324675325</v>
      </c>
      <c r="K2027" s="3" t="n">
        <f aca="false">IF(D2027&gt;E2027,1,0)</f>
        <v>0</v>
      </c>
      <c r="L2027" s="3" t="n">
        <f aca="false">IF(OR(F2027="Y",G2027="Y",H2027="Y"),1,0)</f>
        <v>0</v>
      </c>
      <c r="M2027" s="3" t="n">
        <f aca="false">IF(H2027="Y",1,0)</f>
        <v>0</v>
      </c>
      <c r="N2027" s="3" t="n">
        <f aca="false">IF(I2027="Y",1,0)</f>
        <v>0</v>
      </c>
    </row>
    <row r="2028" customFormat="false" ht="15" hidden="false" customHeight="true" outlineLevel="0" collapsed="false">
      <c r="A2028" s="7" t="s">
        <v>60</v>
      </c>
      <c r="B2028" s="7" t="n">
        <v>1924</v>
      </c>
      <c r="C2028" s="7" t="s">
        <v>361</v>
      </c>
      <c r="D2028" s="7" t="n">
        <v>55</v>
      </c>
      <c r="E2028" s="7" t="n">
        <v>96</v>
      </c>
      <c r="F2028" s="7"/>
      <c r="G2028" s="7"/>
      <c r="H2028" s="7" t="s">
        <v>546</v>
      </c>
      <c r="I2028" s="7" t="s">
        <v>546</v>
      </c>
      <c r="J2028" s="21" t="n">
        <f aca="false">D2028/(D2028+E2028)</f>
        <v>0.364238410596026</v>
      </c>
      <c r="K2028" s="3" t="n">
        <f aca="false">IF(D2028&gt;E2028,1,0)</f>
        <v>0</v>
      </c>
      <c r="L2028" s="3" t="n">
        <f aca="false">IF(OR(F2028="Y",G2028="Y",H2028="Y"),1,0)</f>
        <v>0</v>
      </c>
      <c r="M2028" s="3" t="n">
        <f aca="false">IF(H2028="Y",1,0)</f>
        <v>0</v>
      </c>
      <c r="N2028" s="3" t="n">
        <f aca="false">IF(I2028="Y",1,0)</f>
        <v>0</v>
      </c>
    </row>
    <row r="2029" customFormat="false" ht="15" hidden="false" customHeight="true" outlineLevel="0" collapsed="false">
      <c r="A2029" s="7" t="s">
        <v>60</v>
      </c>
      <c r="B2029" s="7" t="n">
        <v>1925</v>
      </c>
      <c r="C2029" s="7" t="s">
        <v>361</v>
      </c>
      <c r="D2029" s="7" t="n">
        <v>68</v>
      </c>
      <c r="E2029" s="7" t="n">
        <v>85</v>
      </c>
      <c r="F2029" s="7"/>
      <c r="G2029" s="7"/>
      <c r="H2029" s="7" t="s">
        <v>546</v>
      </c>
      <c r="I2029" s="7" t="s">
        <v>546</v>
      </c>
      <c r="J2029" s="21" t="n">
        <f aca="false">D2029/(D2029+E2029)</f>
        <v>0.444444444444444</v>
      </c>
      <c r="K2029" s="3" t="n">
        <f aca="false">IF(D2029&gt;E2029,1,0)</f>
        <v>0</v>
      </c>
      <c r="L2029" s="3" t="n">
        <f aca="false">IF(OR(F2029="Y",G2029="Y",H2029="Y"),1,0)</f>
        <v>0</v>
      </c>
      <c r="M2029" s="3" t="n">
        <f aca="false">IF(H2029="Y",1,0)</f>
        <v>0</v>
      </c>
      <c r="N2029" s="3" t="n">
        <f aca="false">IF(I2029="Y",1,0)</f>
        <v>0</v>
      </c>
    </row>
    <row r="2030" customFormat="false" ht="15" hidden="false" customHeight="true" outlineLevel="0" collapsed="false">
      <c r="A2030" s="7" t="s">
        <v>60</v>
      </c>
      <c r="B2030" s="7" t="n">
        <v>1926</v>
      </c>
      <c r="C2030" s="7" t="s">
        <v>361</v>
      </c>
      <c r="D2030" s="7" t="n">
        <v>58</v>
      </c>
      <c r="E2030" s="7" t="n">
        <v>93</v>
      </c>
      <c r="F2030" s="7"/>
      <c r="G2030" s="7"/>
      <c r="H2030" s="7" t="s">
        <v>546</v>
      </c>
      <c r="I2030" s="7" t="s">
        <v>546</v>
      </c>
      <c r="J2030" s="21" t="n">
        <f aca="false">D2030/(D2030+E2030)</f>
        <v>0.384105960264901</v>
      </c>
      <c r="K2030" s="3" t="n">
        <f aca="false">IF(D2030&gt;E2030,1,0)</f>
        <v>0</v>
      </c>
      <c r="L2030" s="3" t="n">
        <f aca="false">IF(OR(F2030="Y",G2030="Y",H2030="Y"),1,0)</f>
        <v>0</v>
      </c>
      <c r="M2030" s="3" t="n">
        <f aca="false">IF(H2030="Y",1,0)</f>
        <v>0</v>
      </c>
      <c r="N2030" s="3" t="n">
        <f aca="false">IF(I2030="Y",1,0)</f>
        <v>0</v>
      </c>
    </row>
    <row r="2031" customFormat="false" ht="15" hidden="false" customHeight="true" outlineLevel="0" collapsed="false">
      <c r="A2031" s="7" t="s">
        <v>60</v>
      </c>
      <c r="B2031" s="7" t="n">
        <v>1927</v>
      </c>
      <c r="C2031" s="7" t="s">
        <v>361</v>
      </c>
      <c r="D2031" s="7" t="n">
        <v>51</v>
      </c>
      <c r="E2031" s="7" t="n">
        <v>103</v>
      </c>
      <c r="F2031" s="7"/>
      <c r="G2031" s="7"/>
      <c r="H2031" s="7" t="s">
        <v>546</v>
      </c>
      <c r="I2031" s="7" t="s">
        <v>546</v>
      </c>
      <c r="J2031" s="21" t="n">
        <f aca="false">D2031/(D2031+E2031)</f>
        <v>0.331168831168831</v>
      </c>
      <c r="K2031" s="3" t="n">
        <f aca="false">IF(D2031&gt;E2031,1,0)</f>
        <v>0</v>
      </c>
      <c r="L2031" s="3" t="n">
        <f aca="false">IF(OR(F2031="Y",G2031="Y",H2031="Y"),1,0)</f>
        <v>0</v>
      </c>
      <c r="M2031" s="3" t="n">
        <f aca="false">IF(H2031="Y",1,0)</f>
        <v>0</v>
      </c>
      <c r="N2031" s="3" t="n">
        <f aca="false">IF(I2031="Y",1,0)</f>
        <v>0</v>
      </c>
    </row>
    <row r="2032" customFormat="false" ht="15" hidden="false" customHeight="true" outlineLevel="0" collapsed="false">
      <c r="A2032" s="7" t="s">
        <v>60</v>
      </c>
      <c r="B2032" s="7" t="n">
        <v>1928</v>
      </c>
      <c r="C2032" s="7" t="s">
        <v>361</v>
      </c>
      <c r="D2032" s="7" t="n">
        <v>43</v>
      </c>
      <c r="E2032" s="7" t="n">
        <v>109</v>
      </c>
      <c r="F2032" s="7"/>
      <c r="G2032" s="7"/>
      <c r="H2032" s="7" t="s">
        <v>546</v>
      </c>
      <c r="I2032" s="7" t="s">
        <v>546</v>
      </c>
      <c r="J2032" s="21" t="n">
        <f aca="false">D2032/(D2032+E2032)</f>
        <v>0.282894736842105</v>
      </c>
      <c r="K2032" s="3" t="n">
        <f aca="false">IF(D2032&gt;E2032,1,0)</f>
        <v>0</v>
      </c>
      <c r="L2032" s="3" t="n">
        <f aca="false">IF(OR(F2032="Y",G2032="Y",H2032="Y"),1,0)</f>
        <v>0</v>
      </c>
      <c r="M2032" s="3" t="n">
        <f aca="false">IF(H2032="Y",1,0)</f>
        <v>0</v>
      </c>
      <c r="N2032" s="3" t="n">
        <f aca="false">IF(I2032="Y",1,0)</f>
        <v>0</v>
      </c>
    </row>
    <row r="2033" customFormat="false" ht="15" hidden="false" customHeight="true" outlineLevel="0" collapsed="false">
      <c r="A2033" s="7" t="s">
        <v>60</v>
      </c>
      <c r="B2033" s="7" t="n">
        <v>1929</v>
      </c>
      <c r="C2033" s="7" t="s">
        <v>361</v>
      </c>
      <c r="D2033" s="7" t="n">
        <v>71</v>
      </c>
      <c r="E2033" s="7" t="n">
        <v>82</v>
      </c>
      <c r="F2033" s="7"/>
      <c r="G2033" s="7"/>
      <c r="H2033" s="7" t="s">
        <v>546</v>
      </c>
      <c r="I2033" s="7" t="s">
        <v>546</v>
      </c>
      <c r="J2033" s="21" t="n">
        <f aca="false">D2033/(D2033+E2033)</f>
        <v>0.464052287581699</v>
      </c>
      <c r="K2033" s="3" t="n">
        <f aca="false">IF(D2033&gt;E2033,1,0)</f>
        <v>0</v>
      </c>
      <c r="L2033" s="3" t="n">
        <f aca="false">IF(OR(F2033="Y",G2033="Y",H2033="Y"),1,0)</f>
        <v>0</v>
      </c>
      <c r="M2033" s="3" t="n">
        <f aca="false">IF(H2033="Y",1,0)</f>
        <v>0</v>
      </c>
      <c r="N2033" s="3" t="n">
        <f aca="false">IF(I2033="Y",1,0)</f>
        <v>0</v>
      </c>
    </row>
    <row r="2034" customFormat="false" ht="15" hidden="false" customHeight="true" outlineLevel="0" collapsed="false">
      <c r="A2034" s="7" t="s">
        <v>60</v>
      </c>
      <c r="B2034" s="7" t="n">
        <v>1930</v>
      </c>
      <c r="C2034" s="7" t="s">
        <v>361</v>
      </c>
      <c r="D2034" s="7" t="n">
        <v>52</v>
      </c>
      <c r="E2034" s="7" t="n">
        <v>102</v>
      </c>
      <c r="F2034" s="7"/>
      <c r="G2034" s="7"/>
      <c r="H2034" s="7" t="s">
        <v>546</v>
      </c>
      <c r="I2034" s="7" t="s">
        <v>546</v>
      </c>
      <c r="J2034" s="21" t="n">
        <f aca="false">D2034/(D2034+E2034)</f>
        <v>0.337662337662338</v>
      </c>
      <c r="K2034" s="3" t="n">
        <f aca="false">IF(D2034&gt;E2034,1,0)</f>
        <v>0</v>
      </c>
      <c r="L2034" s="3" t="n">
        <f aca="false">IF(OR(F2034="Y",G2034="Y",H2034="Y"),1,0)</f>
        <v>0</v>
      </c>
      <c r="M2034" s="3" t="n">
        <f aca="false">IF(H2034="Y",1,0)</f>
        <v>0</v>
      </c>
      <c r="N2034" s="3" t="n">
        <f aca="false">IF(I2034="Y",1,0)</f>
        <v>0</v>
      </c>
    </row>
    <row r="2035" customFormat="false" ht="15" hidden="false" customHeight="true" outlineLevel="0" collapsed="false">
      <c r="A2035" s="7" t="s">
        <v>60</v>
      </c>
      <c r="B2035" s="7" t="n">
        <v>1931</v>
      </c>
      <c r="C2035" s="7" t="s">
        <v>361</v>
      </c>
      <c r="D2035" s="7" t="n">
        <v>66</v>
      </c>
      <c r="E2035" s="7" t="n">
        <v>88</v>
      </c>
      <c r="F2035" s="7"/>
      <c r="G2035" s="7"/>
      <c r="H2035" s="7" t="s">
        <v>546</v>
      </c>
      <c r="I2035" s="7" t="s">
        <v>546</v>
      </c>
      <c r="J2035" s="21" t="n">
        <f aca="false">D2035/(D2035+E2035)</f>
        <v>0.428571428571429</v>
      </c>
      <c r="K2035" s="3" t="n">
        <f aca="false">IF(D2035&gt;E2035,1,0)</f>
        <v>0</v>
      </c>
      <c r="L2035" s="3" t="n">
        <f aca="false">IF(OR(F2035="Y",G2035="Y",H2035="Y"),1,0)</f>
        <v>0</v>
      </c>
      <c r="M2035" s="3" t="n">
        <f aca="false">IF(H2035="Y",1,0)</f>
        <v>0</v>
      </c>
      <c r="N2035" s="3" t="n">
        <f aca="false">IF(I2035="Y",1,0)</f>
        <v>0</v>
      </c>
    </row>
    <row r="2036" customFormat="false" ht="15" hidden="false" customHeight="true" outlineLevel="0" collapsed="false">
      <c r="A2036" s="7" t="s">
        <v>60</v>
      </c>
      <c r="B2036" s="7" t="n">
        <v>1932</v>
      </c>
      <c r="C2036" s="7" t="s">
        <v>361</v>
      </c>
      <c r="D2036" s="7" t="n">
        <v>78</v>
      </c>
      <c r="E2036" s="7" t="n">
        <v>76</v>
      </c>
      <c r="F2036" s="7"/>
      <c r="G2036" s="7"/>
      <c r="H2036" s="7" t="s">
        <v>546</v>
      </c>
      <c r="I2036" s="7" t="s">
        <v>546</v>
      </c>
      <c r="J2036" s="21" t="n">
        <f aca="false">D2036/(D2036+E2036)</f>
        <v>0.506493506493506</v>
      </c>
      <c r="K2036" s="3" t="n">
        <f aca="false">IF(D2036&gt;E2036,1,0)</f>
        <v>1</v>
      </c>
      <c r="L2036" s="3" t="n">
        <f aca="false">IF(OR(F2036="Y",G2036="Y",H2036="Y"),1,0)</f>
        <v>0</v>
      </c>
      <c r="M2036" s="3" t="n">
        <f aca="false">IF(H2036="Y",1,0)</f>
        <v>0</v>
      </c>
      <c r="N2036" s="3" t="n">
        <f aca="false">IF(I2036="Y",1,0)</f>
        <v>0</v>
      </c>
    </row>
    <row r="2037" customFormat="false" ht="15" hidden="false" customHeight="true" outlineLevel="0" collapsed="false">
      <c r="A2037" s="7" t="s">
        <v>60</v>
      </c>
      <c r="B2037" s="7" t="n">
        <v>1933</v>
      </c>
      <c r="C2037" s="7" t="s">
        <v>361</v>
      </c>
      <c r="D2037" s="7" t="n">
        <v>60</v>
      </c>
      <c r="E2037" s="7" t="n">
        <v>92</v>
      </c>
      <c r="F2037" s="7"/>
      <c r="G2037" s="7"/>
      <c r="H2037" s="7" t="s">
        <v>546</v>
      </c>
      <c r="I2037" s="7" t="s">
        <v>546</v>
      </c>
      <c r="J2037" s="21" t="n">
        <f aca="false">D2037/(D2037+E2037)</f>
        <v>0.394736842105263</v>
      </c>
      <c r="K2037" s="3" t="n">
        <f aca="false">IF(D2037&gt;E2037,1,0)</f>
        <v>0</v>
      </c>
      <c r="L2037" s="3" t="n">
        <f aca="false">IF(OR(F2037="Y",G2037="Y",H2037="Y"),1,0)</f>
        <v>0</v>
      </c>
      <c r="M2037" s="3" t="n">
        <f aca="false">IF(H2037="Y",1,0)</f>
        <v>0</v>
      </c>
      <c r="N2037" s="3" t="n">
        <f aca="false">IF(I2037="Y",1,0)</f>
        <v>0</v>
      </c>
    </row>
    <row r="2038" customFormat="false" ht="15" hidden="false" customHeight="true" outlineLevel="0" collapsed="false">
      <c r="A2038" s="7" t="s">
        <v>60</v>
      </c>
      <c r="B2038" s="7" t="n">
        <v>1934</v>
      </c>
      <c r="C2038" s="7" t="s">
        <v>361</v>
      </c>
      <c r="D2038" s="7" t="n">
        <v>56</v>
      </c>
      <c r="E2038" s="7" t="n">
        <v>93</v>
      </c>
      <c r="F2038" s="7"/>
      <c r="G2038" s="7"/>
      <c r="H2038" s="7" t="s">
        <v>546</v>
      </c>
      <c r="I2038" s="7" t="s">
        <v>546</v>
      </c>
      <c r="J2038" s="21" t="n">
        <f aca="false">D2038/(D2038+E2038)</f>
        <v>0.375838926174497</v>
      </c>
      <c r="K2038" s="3" t="n">
        <f aca="false">IF(D2038&gt;E2038,1,0)</f>
        <v>0</v>
      </c>
      <c r="L2038" s="3" t="n">
        <f aca="false">IF(OR(F2038="Y",G2038="Y",H2038="Y"),1,0)</f>
        <v>0</v>
      </c>
      <c r="M2038" s="3" t="n">
        <f aca="false">IF(H2038="Y",1,0)</f>
        <v>0</v>
      </c>
      <c r="N2038" s="3" t="n">
        <f aca="false">IF(I2038="Y",1,0)</f>
        <v>0</v>
      </c>
    </row>
    <row r="2039" customFormat="false" ht="15" hidden="false" customHeight="true" outlineLevel="0" collapsed="false">
      <c r="A2039" s="7" t="s">
        <v>60</v>
      </c>
      <c r="B2039" s="7" t="n">
        <v>1935</v>
      </c>
      <c r="C2039" s="7" t="s">
        <v>361</v>
      </c>
      <c r="D2039" s="7" t="n">
        <v>64</v>
      </c>
      <c r="E2039" s="7" t="n">
        <v>89</v>
      </c>
      <c r="F2039" s="7"/>
      <c r="G2039" s="7"/>
      <c r="H2039" s="7" t="s">
        <v>546</v>
      </c>
      <c r="I2039" s="7" t="s">
        <v>546</v>
      </c>
      <c r="J2039" s="21" t="n">
        <f aca="false">D2039/(D2039+E2039)</f>
        <v>0.418300653594771</v>
      </c>
      <c r="K2039" s="3" t="n">
        <f aca="false">IF(D2039&gt;E2039,1,0)</f>
        <v>0</v>
      </c>
      <c r="L2039" s="3" t="n">
        <f aca="false">IF(OR(F2039="Y",G2039="Y",H2039="Y"),1,0)</f>
        <v>0</v>
      </c>
      <c r="M2039" s="3" t="n">
        <f aca="false">IF(H2039="Y",1,0)</f>
        <v>0</v>
      </c>
      <c r="N2039" s="3" t="n">
        <f aca="false">IF(I2039="Y",1,0)</f>
        <v>0</v>
      </c>
    </row>
    <row r="2040" customFormat="false" ht="15" hidden="false" customHeight="true" outlineLevel="0" collapsed="false">
      <c r="A2040" s="7" t="s">
        <v>60</v>
      </c>
      <c r="B2040" s="7" t="n">
        <v>1936</v>
      </c>
      <c r="C2040" s="7" t="s">
        <v>361</v>
      </c>
      <c r="D2040" s="7" t="n">
        <v>54</v>
      </c>
      <c r="E2040" s="7" t="n">
        <v>100</v>
      </c>
      <c r="F2040" s="7"/>
      <c r="G2040" s="7"/>
      <c r="H2040" s="7" t="s">
        <v>546</v>
      </c>
      <c r="I2040" s="7" t="s">
        <v>546</v>
      </c>
      <c r="J2040" s="21" t="n">
        <f aca="false">D2040/(D2040+E2040)</f>
        <v>0.350649350649351</v>
      </c>
      <c r="K2040" s="3" t="n">
        <f aca="false">IF(D2040&gt;E2040,1,0)</f>
        <v>0</v>
      </c>
      <c r="L2040" s="3" t="n">
        <f aca="false">IF(OR(F2040="Y",G2040="Y",H2040="Y"),1,0)</f>
        <v>0</v>
      </c>
      <c r="M2040" s="3" t="n">
        <f aca="false">IF(H2040="Y",1,0)</f>
        <v>0</v>
      </c>
      <c r="N2040" s="3" t="n">
        <f aca="false">IF(I2040="Y",1,0)</f>
        <v>0</v>
      </c>
    </row>
    <row r="2041" customFormat="false" ht="15" hidden="false" customHeight="true" outlineLevel="0" collapsed="false">
      <c r="A2041" s="7" t="s">
        <v>60</v>
      </c>
      <c r="B2041" s="7" t="n">
        <v>1937</v>
      </c>
      <c r="C2041" s="7" t="s">
        <v>361</v>
      </c>
      <c r="D2041" s="7" t="n">
        <v>61</v>
      </c>
      <c r="E2041" s="7" t="n">
        <v>92</v>
      </c>
      <c r="F2041" s="7"/>
      <c r="G2041" s="7"/>
      <c r="H2041" s="7" t="s">
        <v>546</v>
      </c>
      <c r="I2041" s="7" t="s">
        <v>546</v>
      </c>
      <c r="J2041" s="21" t="n">
        <f aca="false">D2041/(D2041+E2041)</f>
        <v>0.398692810457516</v>
      </c>
      <c r="K2041" s="3" t="n">
        <f aca="false">IF(D2041&gt;E2041,1,0)</f>
        <v>0</v>
      </c>
      <c r="L2041" s="3" t="n">
        <f aca="false">IF(OR(F2041="Y",G2041="Y",H2041="Y"),1,0)</f>
        <v>0</v>
      </c>
      <c r="M2041" s="3" t="n">
        <f aca="false">IF(H2041="Y",1,0)</f>
        <v>0</v>
      </c>
      <c r="N2041" s="3" t="n">
        <f aca="false">IF(I2041="Y",1,0)</f>
        <v>0</v>
      </c>
    </row>
    <row r="2042" customFormat="false" ht="15" hidden="false" customHeight="true" outlineLevel="0" collapsed="false">
      <c r="A2042" s="7" t="s">
        <v>60</v>
      </c>
      <c r="B2042" s="7" t="n">
        <v>1938</v>
      </c>
      <c r="C2042" s="7" t="s">
        <v>361</v>
      </c>
      <c r="D2042" s="7" t="n">
        <v>45</v>
      </c>
      <c r="E2042" s="7" t="n">
        <v>105</v>
      </c>
      <c r="F2042" s="7"/>
      <c r="G2042" s="7"/>
      <c r="H2042" s="7" t="s">
        <v>546</v>
      </c>
      <c r="I2042" s="7" t="s">
        <v>546</v>
      </c>
      <c r="J2042" s="21" t="n">
        <f aca="false">D2042/(D2042+E2042)</f>
        <v>0.3</v>
      </c>
      <c r="K2042" s="3" t="n">
        <f aca="false">IF(D2042&gt;E2042,1,0)</f>
        <v>0</v>
      </c>
      <c r="L2042" s="3" t="n">
        <f aca="false">IF(OR(F2042="Y",G2042="Y",H2042="Y"),1,0)</f>
        <v>0</v>
      </c>
      <c r="M2042" s="3" t="n">
        <f aca="false">IF(H2042="Y",1,0)</f>
        <v>0</v>
      </c>
      <c r="N2042" s="3" t="n">
        <f aca="false">IF(I2042="Y",1,0)</f>
        <v>0</v>
      </c>
    </row>
    <row r="2043" customFormat="false" ht="15" hidden="false" customHeight="true" outlineLevel="0" collapsed="false">
      <c r="A2043" s="7" t="s">
        <v>60</v>
      </c>
      <c r="B2043" s="7" t="n">
        <v>1939</v>
      </c>
      <c r="C2043" s="7" t="s">
        <v>361</v>
      </c>
      <c r="D2043" s="7" t="n">
        <v>45</v>
      </c>
      <c r="E2043" s="7" t="n">
        <v>106</v>
      </c>
      <c r="F2043" s="7"/>
      <c r="G2043" s="7"/>
      <c r="H2043" s="7" t="s">
        <v>546</v>
      </c>
      <c r="I2043" s="7" t="s">
        <v>546</v>
      </c>
      <c r="J2043" s="21" t="n">
        <f aca="false">D2043/(D2043+E2043)</f>
        <v>0.298013245033113</v>
      </c>
      <c r="K2043" s="3" t="n">
        <f aca="false">IF(D2043&gt;E2043,1,0)</f>
        <v>0</v>
      </c>
      <c r="L2043" s="3" t="n">
        <f aca="false">IF(OR(F2043="Y",G2043="Y",H2043="Y"),1,0)</f>
        <v>0</v>
      </c>
      <c r="M2043" s="3" t="n">
        <f aca="false">IF(H2043="Y",1,0)</f>
        <v>0</v>
      </c>
      <c r="N2043" s="3" t="n">
        <f aca="false">IF(I2043="Y",1,0)</f>
        <v>0</v>
      </c>
    </row>
    <row r="2044" customFormat="false" ht="15" hidden="false" customHeight="true" outlineLevel="0" collapsed="false">
      <c r="A2044" s="7" t="s">
        <v>60</v>
      </c>
      <c r="B2044" s="7" t="n">
        <v>1940</v>
      </c>
      <c r="C2044" s="7" t="s">
        <v>361</v>
      </c>
      <c r="D2044" s="7" t="n">
        <v>50</v>
      </c>
      <c r="E2044" s="7" t="n">
        <v>103</v>
      </c>
      <c r="F2044" s="7"/>
      <c r="G2044" s="7"/>
      <c r="H2044" s="7" t="s">
        <v>546</v>
      </c>
      <c r="I2044" s="7" t="s">
        <v>546</v>
      </c>
      <c r="J2044" s="21" t="n">
        <f aca="false">D2044/(D2044+E2044)</f>
        <v>0.326797385620915</v>
      </c>
      <c r="K2044" s="3" t="n">
        <f aca="false">IF(D2044&gt;E2044,1,0)</f>
        <v>0</v>
      </c>
      <c r="L2044" s="3" t="n">
        <f aca="false">IF(OR(F2044="Y",G2044="Y",H2044="Y"),1,0)</f>
        <v>0</v>
      </c>
      <c r="M2044" s="3" t="n">
        <f aca="false">IF(H2044="Y",1,0)</f>
        <v>0</v>
      </c>
      <c r="N2044" s="3" t="n">
        <f aca="false">IF(I2044="Y",1,0)</f>
        <v>0</v>
      </c>
    </row>
    <row r="2045" customFormat="false" ht="15" hidden="false" customHeight="true" outlineLevel="0" collapsed="false">
      <c r="A2045" s="7" t="s">
        <v>60</v>
      </c>
      <c r="B2045" s="7" t="n">
        <v>1941</v>
      </c>
      <c r="C2045" s="7" t="s">
        <v>361</v>
      </c>
      <c r="D2045" s="7" t="n">
        <v>43</v>
      </c>
      <c r="E2045" s="7" t="n">
        <v>111</v>
      </c>
      <c r="F2045" s="7"/>
      <c r="G2045" s="7"/>
      <c r="H2045" s="7" t="s">
        <v>546</v>
      </c>
      <c r="I2045" s="7" t="s">
        <v>546</v>
      </c>
      <c r="J2045" s="21" t="n">
        <f aca="false">D2045/(D2045+E2045)</f>
        <v>0.279220779220779</v>
      </c>
      <c r="K2045" s="3" t="n">
        <f aca="false">IF(D2045&gt;E2045,1,0)</f>
        <v>0</v>
      </c>
      <c r="L2045" s="3" t="n">
        <f aca="false">IF(OR(F2045="Y",G2045="Y",H2045="Y"),1,0)</f>
        <v>0</v>
      </c>
      <c r="M2045" s="3" t="n">
        <f aca="false">IF(H2045="Y",1,0)</f>
        <v>0</v>
      </c>
      <c r="N2045" s="3" t="n">
        <f aca="false">IF(I2045="Y",1,0)</f>
        <v>0</v>
      </c>
    </row>
    <row r="2046" customFormat="false" ht="15" hidden="false" customHeight="true" outlineLevel="0" collapsed="false">
      <c r="A2046" s="7" t="s">
        <v>60</v>
      </c>
      <c r="B2046" s="7" t="n">
        <v>1942</v>
      </c>
      <c r="C2046" s="7" t="s">
        <v>361</v>
      </c>
      <c r="D2046" s="7" t="n">
        <v>42</v>
      </c>
      <c r="E2046" s="7" t="n">
        <v>109</v>
      </c>
      <c r="F2046" s="7"/>
      <c r="G2046" s="7"/>
      <c r="H2046" s="7" t="s">
        <v>546</v>
      </c>
      <c r="I2046" s="7" t="s">
        <v>546</v>
      </c>
      <c r="J2046" s="21" t="n">
        <f aca="false">D2046/(D2046+E2046)</f>
        <v>0.278145695364238</v>
      </c>
      <c r="K2046" s="3" t="n">
        <f aca="false">IF(D2046&gt;E2046,1,0)</f>
        <v>0</v>
      </c>
      <c r="L2046" s="3" t="n">
        <f aca="false">IF(OR(F2046="Y",G2046="Y",H2046="Y"),1,0)</f>
        <v>0</v>
      </c>
      <c r="M2046" s="3" t="n">
        <f aca="false">IF(H2046="Y",1,0)</f>
        <v>0</v>
      </c>
      <c r="N2046" s="3" t="n">
        <f aca="false">IF(I2046="Y",1,0)</f>
        <v>0</v>
      </c>
    </row>
    <row r="2047" customFormat="false" ht="15" hidden="false" customHeight="true" outlineLevel="0" collapsed="false">
      <c r="A2047" s="7" t="s">
        <v>60</v>
      </c>
      <c r="B2047" s="7" t="n">
        <v>1943</v>
      </c>
      <c r="C2047" s="7" t="s">
        <v>582</v>
      </c>
      <c r="D2047" s="7" t="n">
        <v>64</v>
      </c>
      <c r="E2047" s="7" t="n">
        <v>90</v>
      </c>
      <c r="F2047" s="7"/>
      <c r="G2047" s="7"/>
      <c r="H2047" s="7" t="s">
        <v>546</v>
      </c>
      <c r="I2047" s="7" t="s">
        <v>546</v>
      </c>
      <c r="J2047" s="21" t="n">
        <f aca="false">D2047/(D2047+E2047)</f>
        <v>0.415584415584416</v>
      </c>
      <c r="K2047" s="3" t="n">
        <f aca="false">IF(D2047&gt;E2047,1,0)</f>
        <v>0</v>
      </c>
      <c r="L2047" s="3" t="n">
        <f aca="false">IF(OR(F2047="Y",G2047="Y",H2047="Y"),1,0)</f>
        <v>0</v>
      </c>
      <c r="M2047" s="3" t="n">
        <f aca="false">IF(H2047="Y",1,0)</f>
        <v>0</v>
      </c>
      <c r="N2047" s="3" t="n">
        <f aca="false">IF(I2047="Y",1,0)</f>
        <v>0</v>
      </c>
    </row>
    <row r="2048" customFormat="false" ht="15" hidden="false" customHeight="true" outlineLevel="0" collapsed="false">
      <c r="A2048" s="7" t="s">
        <v>60</v>
      </c>
      <c r="B2048" s="7" t="n">
        <v>1944</v>
      </c>
      <c r="C2048" s="7" t="s">
        <v>582</v>
      </c>
      <c r="D2048" s="7" t="n">
        <v>61</v>
      </c>
      <c r="E2048" s="7" t="n">
        <v>92</v>
      </c>
      <c r="F2048" s="7"/>
      <c r="G2048" s="7"/>
      <c r="H2048" s="7" t="s">
        <v>546</v>
      </c>
      <c r="I2048" s="7" t="s">
        <v>546</v>
      </c>
      <c r="J2048" s="21" t="n">
        <f aca="false">D2048/(D2048+E2048)</f>
        <v>0.398692810457516</v>
      </c>
      <c r="K2048" s="3" t="n">
        <f aca="false">IF(D2048&gt;E2048,1,0)</f>
        <v>0</v>
      </c>
      <c r="L2048" s="3" t="n">
        <f aca="false">IF(OR(F2048="Y",G2048="Y",H2048="Y"),1,0)</f>
        <v>0</v>
      </c>
      <c r="M2048" s="3" t="n">
        <f aca="false">IF(H2048="Y",1,0)</f>
        <v>0</v>
      </c>
      <c r="N2048" s="3" t="n">
        <f aca="false">IF(I2048="Y",1,0)</f>
        <v>0</v>
      </c>
    </row>
    <row r="2049" customFormat="false" ht="15" hidden="false" customHeight="true" outlineLevel="0" collapsed="false">
      <c r="A2049" s="7" t="s">
        <v>60</v>
      </c>
      <c r="B2049" s="7" t="n">
        <v>1945</v>
      </c>
      <c r="C2049" s="7" t="s">
        <v>361</v>
      </c>
      <c r="D2049" s="7" t="n">
        <v>46</v>
      </c>
      <c r="E2049" s="7" t="n">
        <v>108</v>
      </c>
      <c r="F2049" s="7"/>
      <c r="G2049" s="7"/>
      <c r="H2049" s="7" t="s">
        <v>546</v>
      </c>
      <c r="I2049" s="7" t="s">
        <v>546</v>
      </c>
      <c r="J2049" s="21" t="n">
        <f aca="false">D2049/(D2049+E2049)</f>
        <v>0.298701298701299</v>
      </c>
      <c r="K2049" s="3" t="n">
        <f aca="false">IF(D2049&gt;E2049,1,0)</f>
        <v>0</v>
      </c>
      <c r="L2049" s="3" t="n">
        <f aca="false">IF(OR(F2049="Y",G2049="Y",H2049="Y"),1,0)</f>
        <v>0</v>
      </c>
      <c r="M2049" s="3" t="n">
        <f aca="false">IF(H2049="Y",1,0)</f>
        <v>0</v>
      </c>
      <c r="N2049" s="3" t="n">
        <f aca="false">IF(I2049="Y",1,0)</f>
        <v>0</v>
      </c>
    </row>
    <row r="2050" customFormat="false" ht="15" hidden="false" customHeight="true" outlineLevel="0" collapsed="false">
      <c r="A2050" s="7" t="s">
        <v>60</v>
      </c>
      <c r="B2050" s="7" t="n">
        <v>1946</v>
      </c>
      <c r="C2050" s="7" t="s">
        <v>361</v>
      </c>
      <c r="D2050" s="7" t="n">
        <v>69</v>
      </c>
      <c r="E2050" s="7" t="n">
        <v>85</v>
      </c>
      <c r="F2050" s="7"/>
      <c r="G2050" s="7"/>
      <c r="H2050" s="7" t="s">
        <v>546</v>
      </c>
      <c r="I2050" s="7" t="s">
        <v>546</v>
      </c>
      <c r="J2050" s="21" t="n">
        <f aca="false">D2050/(D2050+E2050)</f>
        <v>0.448051948051948</v>
      </c>
      <c r="K2050" s="3" t="n">
        <f aca="false">IF(D2050&gt;E2050,1,0)</f>
        <v>0</v>
      </c>
      <c r="L2050" s="3" t="n">
        <f aca="false">IF(OR(F2050="Y",G2050="Y",H2050="Y"),1,0)</f>
        <v>0</v>
      </c>
      <c r="M2050" s="3" t="n">
        <f aca="false">IF(H2050="Y",1,0)</f>
        <v>0</v>
      </c>
      <c r="N2050" s="3" t="n">
        <f aca="false">IF(I2050="Y",1,0)</f>
        <v>0</v>
      </c>
    </row>
    <row r="2051" customFormat="false" ht="15" hidden="false" customHeight="true" outlineLevel="0" collapsed="false">
      <c r="A2051" s="7" t="s">
        <v>60</v>
      </c>
      <c r="B2051" s="7" t="n">
        <v>1947</v>
      </c>
      <c r="C2051" s="7" t="s">
        <v>361</v>
      </c>
      <c r="D2051" s="7" t="n">
        <v>62</v>
      </c>
      <c r="E2051" s="7" t="n">
        <v>92</v>
      </c>
      <c r="F2051" s="7"/>
      <c r="G2051" s="7"/>
      <c r="H2051" s="7" t="s">
        <v>546</v>
      </c>
      <c r="I2051" s="7" t="s">
        <v>546</v>
      </c>
      <c r="J2051" s="21" t="n">
        <f aca="false">D2051/(D2051+E2051)</f>
        <v>0.402597402597403</v>
      </c>
      <c r="K2051" s="3" t="n">
        <f aca="false">IF(D2051&gt;E2051,1,0)</f>
        <v>0</v>
      </c>
      <c r="L2051" s="3" t="n">
        <f aca="false">IF(OR(F2051="Y",G2051="Y",H2051="Y"),1,0)</f>
        <v>0</v>
      </c>
      <c r="M2051" s="3" t="n">
        <f aca="false">IF(H2051="Y",1,0)</f>
        <v>0</v>
      </c>
      <c r="N2051" s="3" t="n">
        <f aca="false">IF(I2051="Y",1,0)</f>
        <v>0</v>
      </c>
    </row>
    <row r="2052" customFormat="false" ht="15" hidden="false" customHeight="true" outlineLevel="0" collapsed="false">
      <c r="A2052" s="7" t="s">
        <v>60</v>
      </c>
      <c r="B2052" s="7" t="n">
        <v>1948</v>
      </c>
      <c r="C2052" s="7" t="s">
        <v>361</v>
      </c>
      <c r="D2052" s="7" t="n">
        <v>66</v>
      </c>
      <c r="E2052" s="7" t="n">
        <v>88</v>
      </c>
      <c r="F2052" s="7"/>
      <c r="G2052" s="7"/>
      <c r="H2052" s="7" t="s">
        <v>546</v>
      </c>
      <c r="I2052" s="7" t="s">
        <v>546</v>
      </c>
      <c r="J2052" s="21" t="n">
        <f aca="false">D2052/(D2052+E2052)</f>
        <v>0.428571428571429</v>
      </c>
      <c r="K2052" s="3" t="n">
        <f aca="false">IF(D2052&gt;E2052,1,0)</f>
        <v>0</v>
      </c>
      <c r="L2052" s="3" t="n">
        <f aca="false">IF(OR(F2052="Y",G2052="Y",H2052="Y"),1,0)</f>
        <v>0</v>
      </c>
      <c r="M2052" s="3" t="n">
        <f aca="false">IF(H2052="Y",1,0)</f>
        <v>0</v>
      </c>
      <c r="N2052" s="3" t="n">
        <f aca="false">IF(I2052="Y",1,0)</f>
        <v>0</v>
      </c>
    </row>
    <row r="2053" customFormat="false" ht="15" hidden="false" customHeight="true" outlineLevel="0" collapsed="false">
      <c r="A2053" s="7" t="s">
        <v>60</v>
      </c>
      <c r="B2053" s="7" t="n">
        <v>1949</v>
      </c>
      <c r="C2053" s="7" t="s">
        <v>361</v>
      </c>
      <c r="D2053" s="7" t="n">
        <v>81</v>
      </c>
      <c r="E2053" s="7" t="n">
        <v>73</v>
      </c>
      <c r="F2053" s="7"/>
      <c r="G2053" s="7"/>
      <c r="H2053" s="7" t="s">
        <v>546</v>
      </c>
      <c r="I2053" s="7" t="s">
        <v>546</v>
      </c>
      <c r="J2053" s="21" t="n">
        <f aca="false">D2053/(D2053+E2053)</f>
        <v>0.525974025974026</v>
      </c>
      <c r="K2053" s="3" t="n">
        <f aca="false">IF(D2053&gt;E2053,1,0)</f>
        <v>1</v>
      </c>
      <c r="L2053" s="3" t="n">
        <f aca="false">IF(OR(F2053="Y",G2053="Y",H2053="Y"),1,0)</f>
        <v>0</v>
      </c>
      <c r="M2053" s="3" t="n">
        <f aca="false">IF(H2053="Y",1,0)</f>
        <v>0</v>
      </c>
      <c r="N2053" s="3" t="n">
        <f aca="false">IF(I2053="Y",1,0)</f>
        <v>0</v>
      </c>
    </row>
    <row r="2054" customFormat="false" ht="15" hidden="false" customHeight="true" outlineLevel="0" collapsed="false">
      <c r="A2054" s="7" t="s">
        <v>60</v>
      </c>
      <c r="B2054" s="7" t="n">
        <v>1950</v>
      </c>
      <c r="C2054" s="7" t="s">
        <v>361</v>
      </c>
      <c r="D2054" s="7" t="n">
        <v>91</v>
      </c>
      <c r="E2054" s="7" t="n">
        <v>63</v>
      </c>
      <c r="F2054" s="7"/>
      <c r="G2054" s="7"/>
      <c r="H2054" s="7" t="s">
        <v>548</v>
      </c>
      <c r="I2054" s="7" t="s">
        <v>546</v>
      </c>
      <c r="J2054" s="21" t="n">
        <f aca="false">D2054/(D2054+E2054)</f>
        <v>0.590909090909091</v>
      </c>
      <c r="K2054" s="3" t="n">
        <f aca="false">IF(D2054&gt;E2054,1,0)</f>
        <v>1</v>
      </c>
      <c r="L2054" s="3" t="n">
        <f aca="false">IF(OR(F2054="Y",G2054="Y",H2054="Y"),1,0)</f>
        <v>1</v>
      </c>
      <c r="M2054" s="3" t="n">
        <f aca="false">IF(H2054="Y",1,0)</f>
        <v>1</v>
      </c>
      <c r="N2054" s="3" t="n">
        <f aca="false">IF(I2054="Y",1,0)</f>
        <v>0</v>
      </c>
    </row>
    <row r="2055" customFormat="false" ht="15" hidden="false" customHeight="true" outlineLevel="0" collapsed="false">
      <c r="A2055" s="7" t="s">
        <v>60</v>
      </c>
      <c r="B2055" s="7" t="n">
        <v>1951</v>
      </c>
      <c r="C2055" s="7" t="s">
        <v>361</v>
      </c>
      <c r="D2055" s="7" t="n">
        <v>73</v>
      </c>
      <c r="E2055" s="7" t="n">
        <v>81</v>
      </c>
      <c r="F2055" s="7"/>
      <c r="G2055" s="7"/>
      <c r="H2055" s="7" t="s">
        <v>546</v>
      </c>
      <c r="I2055" s="7" t="s">
        <v>546</v>
      </c>
      <c r="J2055" s="21" t="n">
        <f aca="false">D2055/(D2055+E2055)</f>
        <v>0.474025974025974</v>
      </c>
      <c r="K2055" s="3" t="n">
        <f aca="false">IF(D2055&gt;E2055,1,0)</f>
        <v>0</v>
      </c>
      <c r="L2055" s="3" t="n">
        <f aca="false">IF(OR(F2055="Y",G2055="Y",H2055="Y"),1,0)</f>
        <v>0</v>
      </c>
      <c r="M2055" s="3" t="n">
        <f aca="false">IF(H2055="Y",1,0)</f>
        <v>0</v>
      </c>
      <c r="N2055" s="3" t="n">
        <f aca="false">IF(I2055="Y",1,0)</f>
        <v>0</v>
      </c>
    </row>
    <row r="2056" customFormat="false" ht="15" hidden="false" customHeight="true" outlineLevel="0" collapsed="false">
      <c r="A2056" s="7" t="s">
        <v>60</v>
      </c>
      <c r="B2056" s="7" t="n">
        <v>1952</v>
      </c>
      <c r="C2056" s="7" t="s">
        <v>361</v>
      </c>
      <c r="D2056" s="7" t="n">
        <v>87</v>
      </c>
      <c r="E2056" s="7" t="n">
        <v>67</v>
      </c>
      <c r="F2056" s="7"/>
      <c r="G2056" s="7"/>
      <c r="H2056" s="7" t="s">
        <v>546</v>
      </c>
      <c r="I2056" s="7" t="s">
        <v>546</v>
      </c>
      <c r="J2056" s="21" t="n">
        <f aca="false">D2056/(D2056+E2056)</f>
        <v>0.564935064935065</v>
      </c>
      <c r="K2056" s="3" t="n">
        <f aca="false">IF(D2056&gt;E2056,1,0)</f>
        <v>1</v>
      </c>
      <c r="L2056" s="3" t="n">
        <f aca="false">IF(OR(F2056="Y",G2056="Y",H2056="Y"),1,0)</f>
        <v>0</v>
      </c>
      <c r="M2056" s="3" t="n">
        <f aca="false">IF(H2056="Y",1,0)</f>
        <v>0</v>
      </c>
      <c r="N2056" s="3" t="n">
        <f aca="false">IF(I2056="Y",1,0)</f>
        <v>0</v>
      </c>
    </row>
    <row r="2057" customFormat="false" ht="15" hidden="false" customHeight="true" outlineLevel="0" collapsed="false">
      <c r="A2057" s="7" t="s">
        <v>60</v>
      </c>
      <c r="B2057" s="7" t="n">
        <v>1953</v>
      </c>
      <c r="C2057" s="7" t="s">
        <v>361</v>
      </c>
      <c r="D2057" s="7" t="n">
        <v>83</v>
      </c>
      <c r="E2057" s="7" t="n">
        <v>71</v>
      </c>
      <c r="F2057" s="7"/>
      <c r="G2057" s="7"/>
      <c r="H2057" s="7" t="s">
        <v>546</v>
      </c>
      <c r="I2057" s="7" t="s">
        <v>546</v>
      </c>
      <c r="J2057" s="21" t="n">
        <f aca="false">D2057/(D2057+E2057)</f>
        <v>0.538961038961039</v>
      </c>
      <c r="K2057" s="3" t="n">
        <f aca="false">IF(D2057&gt;E2057,1,0)</f>
        <v>1</v>
      </c>
      <c r="L2057" s="3" t="n">
        <f aca="false">IF(OR(F2057="Y",G2057="Y",H2057="Y"),1,0)</f>
        <v>0</v>
      </c>
      <c r="M2057" s="3" t="n">
        <f aca="false">IF(H2057="Y",1,0)</f>
        <v>0</v>
      </c>
      <c r="N2057" s="3" t="n">
        <f aca="false">IF(I2057="Y",1,0)</f>
        <v>0</v>
      </c>
    </row>
    <row r="2058" customFormat="false" ht="15" hidden="false" customHeight="true" outlineLevel="0" collapsed="false">
      <c r="A2058" s="7" t="s">
        <v>60</v>
      </c>
      <c r="B2058" s="7" t="n">
        <v>1954</v>
      </c>
      <c r="C2058" s="7" t="s">
        <v>361</v>
      </c>
      <c r="D2058" s="7" t="n">
        <v>75</v>
      </c>
      <c r="E2058" s="7" t="n">
        <v>79</v>
      </c>
      <c r="F2058" s="7"/>
      <c r="G2058" s="7"/>
      <c r="H2058" s="7" t="s">
        <v>546</v>
      </c>
      <c r="I2058" s="7" t="s">
        <v>546</v>
      </c>
      <c r="J2058" s="21" t="n">
        <f aca="false">D2058/(D2058+E2058)</f>
        <v>0.487012987012987</v>
      </c>
      <c r="K2058" s="3" t="n">
        <f aca="false">IF(D2058&gt;E2058,1,0)</f>
        <v>0</v>
      </c>
      <c r="L2058" s="3" t="n">
        <f aca="false">IF(OR(F2058="Y",G2058="Y",H2058="Y"),1,0)</f>
        <v>0</v>
      </c>
      <c r="M2058" s="3" t="n">
        <f aca="false">IF(H2058="Y",1,0)</f>
        <v>0</v>
      </c>
      <c r="N2058" s="3" t="n">
        <f aca="false">IF(I2058="Y",1,0)</f>
        <v>0</v>
      </c>
    </row>
    <row r="2059" customFormat="false" ht="15" hidden="false" customHeight="true" outlineLevel="0" collapsed="false">
      <c r="A2059" s="7" t="s">
        <v>60</v>
      </c>
      <c r="B2059" s="7" t="n">
        <v>1955</v>
      </c>
      <c r="C2059" s="7" t="s">
        <v>361</v>
      </c>
      <c r="D2059" s="7" t="n">
        <v>77</v>
      </c>
      <c r="E2059" s="7" t="n">
        <v>77</v>
      </c>
      <c r="F2059" s="7"/>
      <c r="G2059" s="7"/>
      <c r="H2059" s="7" t="s">
        <v>546</v>
      </c>
      <c r="I2059" s="7" t="s">
        <v>546</v>
      </c>
      <c r="J2059" s="21" t="n">
        <f aca="false">D2059/(D2059+E2059)</f>
        <v>0.5</v>
      </c>
      <c r="K2059" s="3" t="n">
        <f aca="false">IF(D2059&gt;E2059,1,0)</f>
        <v>0</v>
      </c>
      <c r="L2059" s="3" t="n">
        <f aca="false">IF(OR(F2059="Y",G2059="Y",H2059="Y"),1,0)</f>
        <v>0</v>
      </c>
      <c r="M2059" s="3" t="n">
        <f aca="false">IF(H2059="Y",1,0)</f>
        <v>0</v>
      </c>
      <c r="N2059" s="3" t="n">
        <f aca="false">IF(I2059="Y",1,0)</f>
        <v>0</v>
      </c>
    </row>
    <row r="2060" customFormat="false" ht="15" hidden="false" customHeight="true" outlineLevel="0" collapsed="false">
      <c r="A2060" s="7" t="s">
        <v>60</v>
      </c>
      <c r="B2060" s="7" t="n">
        <v>1956</v>
      </c>
      <c r="C2060" s="7" t="s">
        <v>361</v>
      </c>
      <c r="D2060" s="7" t="n">
        <v>71</v>
      </c>
      <c r="E2060" s="7" t="n">
        <v>83</v>
      </c>
      <c r="F2060" s="7"/>
      <c r="G2060" s="7"/>
      <c r="H2060" s="7" t="s">
        <v>546</v>
      </c>
      <c r="I2060" s="7" t="s">
        <v>546</v>
      </c>
      <c r="J2060" s="21" t="n">
        <f aca="false">D2060/(D2060+E2060)</f>
        <v>0.461038961038961</v>
      </c>
      <c r="K2060" s="3" t="n">
        <f aca="false">IF(D2060&gt;E2060,1,0)</f>
        <v>0</v>
      </c>
      <c r="L2060" s="3" t="n">
        <f aca="false">IF(OR(F2060="Y",G2060="Y",H2060="Y"),1,0)</f>
        <v>0</v>
      </c>
      <c r="M2060" s="3" t="n">
        <f aca="false">IF(H2060="Y",1,0)</f>
        <v>0</v>
      </c>
      <c r="N2060" s="3" t="n">
        <f aca="false">IF(I2060="Y",1,0)</f>
        <v>0</v>
      </c>
    </row>
    <row r="2061" customFormat="false" ht="15" hidden="false" customHeight="true" outlineLevel="0" collapsed="false">
      <c r="A2061" s="7" t="s">
        <v>60</v>
      </c>
      <c r="B2061" s="7" t="n">
        <v>1957</v>
      </c>
      <c r="C2061" s="7" t="s">
        <v>361</v>
      </c>
      <c r="D2061" s="7" t="n">
        <v>77</v>
      </c>
      <c r="E2061" s="7" t="n">
        <v>77</v>
      </c>
      <c r="F2061" s="7"/>
      <c r="G2061" s="7"/>
      <c r="H2061" s="7" t="s">
        <v>546</v>
      </c>
      <c r="I2061" s="7" t="s">
        <v>546</v>
      </c>
      <c r="J2061" s="21" t="n">
        <f aca="false">D2061/(D2061+E2061)</f>
        <v>0.5</v>
      </c>
      <c r="K2061" s="3" t="n">
        <f aca="false">IF(D2061&gt;E2061,1,0)</f>
        <v>0</v>
      </c>
      <c r="L2061" s="3" t="n">
        <f aca="false">IF(OR(F2061="Y",G2061="Y",H2061="Y"),1,0)</f>
        <v>0</v>
      </c>
      <c r="M2061" s="3" t="n">
        <f aca="false">IF(H2061="Y",1,0)</f>
        <v>0</v>
      </c>
      <c r="N2061" s="3" t="n">
        <f aca="false">IF(I2061="Y",1,0)</f>
        <v>0</v>
      </c>
    </row>
    <row r="2062" customFormat="false" ht="15" hidden="false" customHeight="true" outlineLevel="0" collapsed="false">
      <c r="A2062" s="7" t="s">
        <v>60</v>
      </c>
      <c r="B2062" s="7" t="n">
        <v>1958</v>
      </c>
      <c r="C2062" s="7" t="s">
        <v>361</v>
      </c>
      <c r="D2062" s="7" t="n">
        <v>69</v>
      </c>
      <c r="E2062" s="7" t="n">
        <v>85</v>
      </c>
      <c r="F2062" s="7"/>
      <c r="G2062" s="7"/>
      <c r="H2062" s="7" t="s">
        <v>546</v>
      </c>
      <c r="I2062" s="7" t="s">
        <v>546</v>
      </c>
      <c r="J2062" s="21" t="n">
        <f aca="false">D2062/(D2062+E2062)</f>
        <v>0.448051948051948</v>
      </c>
      <c r="K2062" s="3" t="n">
        <f aca="false">IF(D2062&gt;E2062,1,0)</f>
        <v>0</v>
      </c>
      <c r="L2062" s="3" t="n">
        <f aca="false">IF(OR(F2062="Y",G2062="Y",H2062="Y"),1,0)</f>
        <v>0</v>
      </c>
      <c r="M2062" s="3" t="n">
        <f aca="false">IF(H2062="Y",1,0)</f>
        <v>0</v>
      </c>
      <c r="N2062" s="3" t="n">
        <f aca="false">IF(I2062="Y",1,0)</f>
        <v>0</v>
      </c>
    </row>
    <row r="2063" customFormat="false" ht="15" hidden="false" customHeight="true" outlineLevel="0" collapsed="false">
      <c r="A2063" s="7" t="s">
        <v>60</v>
      </c>
      <c r="B2063" s="7" t="n">
        <v>1959</v>
      </c>
      <c r="C2063" s="7" t="s">
        <v>361</v>
      </c>
      <c r="D2063" s="7" t="n">
        <v>64</v>
      </c>
      <c r="E2063" s="7" t="n">
        <v>90</v>
      </c>
      <c r="F2063" s="7"/>
      <c r="G2063" s="7"/>
      <c r="H2063" s="7" t="s">
        <v>546</v>
      </c>
      <c r="I2063" s="7" t="s">
        <v>546</v>
      </c>
      <c r="J2063" s="21" t="n">
        <f aca="false">D2063/(D2063+E2063)</f>
        <v>0.415584415584416</v>
      </c>
      <c r="K2063" s="3" t="n">
        <f aca="false">IF(D2063&gt;E2063,1,0)</f>
        <v>0</v>
      </c>
      <c r="L2063" s="3" t="n">
        <f aca="false">IF(OR(F2063="Y",G2063="Y",H2063="Y"),1,0)</f>
        <v>0</v>
      </c>
      <c r="M2063" s="3" t="n">
        <f aca="false">IF(H2063="Y",1,0)</f>
        <v>0</v>
      </c>
      <c r="N2063" s="3" t="n">
        <f aca="false">IF(I2063="Y",1,0)</f>
        <v>0</v>
      </c>
    </row>
    <row r="2064" customFormat="false" ht="15" hidden="false" customHeight="true" outlineLevel="0" collapsed="false">
      <c r="A2064" s="7" t="s">
        <v>60</v>
      </c>
      <c r="B2064" s="7" t="n">
        <v>1960</v>
      </c>
      <c r="C2064" s="7" t="s">
        <v>361</v>
      </c>
      <c r="D2064" s="7" t="n">
        <v>59</v>
      </c>
      <c r="E2064" s="7" t="n">
        <v>95</v>
      </c>
      <c r="F2064" s="7"/>
      <c r="G2064" s="7"/>
      <c r="H2064" s="7" t="s">
        <v>546</v>
      </c>
      <c r="I2064" s="7" t="s">
        <v>546</v>
      </c>
      <c r="J2064" s="21" t="n">
        <f aca="false">D2064/(D2064+E2064)</f>
        <v>0.383116883116883</v>
      </c>
      <c r="K2064" s="3" t="n">
        <f aca="false">IF(D2064&gt;E2064,1,0)</f>
        <v>0</v>
      </c>
      <c r="L2064" s="3" t="n">
        <f aca="false">IF(OR(F2064="Y",G2064="Y",H2064="Y"),1,0)</f>
        <v>0</v>
      </c>
      <c r="M2064" s="3" t="n">
        <f aca="false">IF(H2064="Y",1,0)</f>
        <v>0</v>
      </c>
      <c r="N2064" s="3" t="n">
        <f aca="false">IF(I2064="Y",1,0)</f>
        <v>0</v>
      </c>
    </row>
    <row r="2065" customFormat="false" ht="15" hidden="false" customHeight="true" outlineLevel="0" collapsed="false">
      <c r="A2065" s="7" t="s">
        <v>60</v>
      </c>
      <c r="B2065" s="7" t="n">
        <v>1961</v>
      </c>
      <c r="C2065" s="7" t="s">
        <v>361</v>
      </c>
      <c r="D2065" s="7" t="n">
        <v>47</v>
      </c>
      <c r="E2065" s="7" t="n">
        <v>107</v>
      </c>
      <c r="F2065" s="7"/>
      <c r="G2065" s="7"/>
      <c r="H2065" s="7" t="s">
        <v>546</v>
      </c>
      <c r="I2065" s="7" t="s">
        <v>546</v>
      </c>
      <c r="J2065" s="21" t="n">
        <f aca="false">D2065/(D2065+E2065)</f>
        <v>0.305194805194805</v>
      </c>
      <c r="K2065" s="3" t="n">
        <f aca="false">IF(D2065&gt;E2065,1,0)</f>
        <v>0</v>
      </c>
      <c r="L2065" s="3" t="n">
        <f aca="false">IF(OR(F2065="Y",G2065="Y",H2065="Y"),1,0)</f>
        <v>0</v>
      </c>
      <c r="M2065" s="3" t="n">
        <f aca="false">IF(H2065="Y",1,0)</f>
        <v>0</v>
      </c>
      <c r="N2065" s="3" t="n">
        <f aca="false">IF(I2065="Y",1,0)</f>
        <v>0</v>
      </c>
    </row>
    <row r="2066" customFormat="false" ht="15" hidden="false" customHeight="true" outlineLevel="0" collapsed="false">
      <c r="A2066" s="7" t="s">
        <v>60</v>
      </c>
      <c r="B2066" s="7" t="n">
        <v>1962</v>
      </c>
      <c r="C2066" s="7" t="s">
        <v>361</v>
      </c>
      <c r="D2066" s="7" t="n">
        <v>81</v>
      </c>
      <c r="E2066" s="7" t="n">
        <v>80</v>
      </c>
      <c r="F2066" s="7"/>
      <c r="G2066" s="7"/>
      <c r="H2066" s="7" t="s">
        <v>546</v>
      </c>
      <c r="I2066" s="7" t="s">
        <v>546</v>
      </c>
      <c r="J2066" s="21" t="n">
        <f aca="false">D2066/(D2066+E2066)</f>
        <v>0.503105590062112</v>
      </c>
      <c r="K2066" s="3" t="n">
        <f aca="false">IF(D2066&gt;E2066,1,0)</f>
        <v>1</v>
      </c>
      <c r="L2066" s="3" t="n">
        <f aca="false">IF(OR(F2066="Y",G2066="Y",H2066="Y"),1,0)</f>
        <v>0</v>
      </c>
      <c r="M2066" s="3" t="n">
        <f aca="false">IF(H2066="Y",1,0)</f>
        <v>0</v>
      </c>
      <c r="N2066" s="3" t="n">
        <f aca="false">IF(I2066="Y",1,0)</f>
        <v>0</v>
      </c>
    </row>
    <row r="2067" customFormat="false" ht="15" hidden="false" customHeight="true" outlineLevel="0" collapsed="false">
      <c r="A2067" s="7" t="s">
        <v>60</v>
      </c>
      <c r="B2067" s="7" t="n">
        <v>1963</v>
      </c>
      <c r="C2067" s="7" t="s">
        <v>361</v>
      </c>
      <c r="D2067" s="7" t="n">
        <v>87</v>
      </c>
      <c r="E2067" s="7" t="n">
        <v>75</v>
      </c>
      <c r="F2067" s="7"/>
      <c r="G2067" s="7"/>
      <c r="H2067" s="7" t="s">
        <v>546</v>
      </c>
      <c r="I2067" s="7" t="s">
        <v>546</v>
      </c>
      <c r="J2067" s="21" t="n">
        <f aca="false">D2067/(D2067+E2067)</f>
        <v>0.537037037037037</v>
      </c>
      <c r="K2067" s="3" t="n">
        <f aca="false">IF(D2067&gt;E2067,1,0)</f>
        <v>1</v>
      </c>
      <c r="L2067" s="3" t="n">
        <f aca="false">IF(OR(F2067="Y",G2067="Y",H2067="Y"),1,0)</f>
        <v>0</v>
      </c>
      <c r="M2067" s="3" t="n">
        <f aca="false">IF(H2067="Y",1,0)</f>
        <v>0</v>
      </c>
      <c r="N2067" s="3" t="n">
        <f aca="false">IF(I2067="Y",1,0)</f>
        <v>0</v>
      </c>
    </row>
    <row r="2068" customFormat="false" ht="15" hidden="false" customHeight="true" outlineLevel="0" collapsed="false">
      <c r="A2068" s="7" t="s">
        <v>60</v>
      </c>
      <c r="B2068" s="7" t="n">
        <v>1964</v>
      </c>
      <c r="C2068" s="7" t="s">
        <v>361</v>
      </c>
      <c r="D2068" s="7" t="n">
        <v>92</v>
      </c>
      <c r="E2068" s="7" t="n">
        <v>70</v>
      </c>
      <c r="F2068" s="7"/>
      <c r="G2068" s="7"/>
      <c r="H2068" s="7" t="s">
        <v>546</v>
      </c>
      <c r="I2068" s="7" t="s">
        <v>546</v>
      </c>
      <c r="J2068" s="21" t="n">
        <f aca="false">D2068/(D2068+E2068)</f>
        <v>0.567901234567901</v>
      </c>
      <c r="K2068" s="3" t="n">
        <f aca="false">IF(D2068&gt;E2068,1,0)</f>
        <v>1</v>
      </c>
      <c r="L2068" s="3" t="n">
        <f aca="false">IF(OR(F2068="Y",G2068="Y",H2068="Y"),1,0)</f>
        <v>0</v>
      </c>
      <c r="M2068" s="3" t="n">
        <f aca="false">IF(H2068="Y",1,0)</f>
        <v>0</v>
      </c>
      <c r="N2068" s="3" t="n">
        <f aca="false">IF(I2068="Y",1,0)</f>
        <v>0</v>
      </c>
    </row>
    <row r="2069" customFormat="false" ht="15" hidden="false" customHeight="true" outlineLevel="0" collapsed="false">
      <c r="A2069" s="7" t="s">
        <v>60</v>
      </c>
      <c r="B2069" s="7" t="n">
        <v>1965</v>
      </c>
      <c r="C2069" s="7" t="s">
        <v>361</v>
      </c>
      <c r="D2069" s="7" t="n">
        <v>85</v>
      </c>
      <c r="E2069" s="7" t="n">
        <v>76</v>
      </c>
      <c r="F2069" s="7"/>
      <c r="G2069" s="7"/>
      <c r="H2069" s="7" t="s">
        <v>546</v>
      </c>
      <c r="I2069" s="7" t="s">
        <v>546</v>
      </c>
      <c r="J2069" s="21" t="n">
        <f aca="false">D2069/(D2069+E2069)</f>
        <v>0.527950310559006</v>
      </c>
      <c r="K2069" s="3" t="n">
        <f aca="false">IF(D2069&gt;E2069,1,0)</f>
        <v>1</v>
      </c>
      <c r="L2069" s="3" t="n">
        <f aca="false">IF(OR(F2069="Y",G2069="Y",H2069="Y"),1,0)</f>
        <v>0</v>
      </c>
      <c r="M2069" s="3" t="n">
        <f aca="false">IF(H2069="Y",1,0)</f>
        <v>0</v>
      </c>
      <c r="N2069" s="3" t="n">
        <f aca="false">IF(I2069="Y",1,0)</f>
        <v>0</v>
      </c>
    </row>
    <row r="2070" customFormat="false" ht="15" hidden="false" customHeight="true" outlineLevel="0" collapsed="false">
      <c r="A2070" s="7" t="s">
        <v>60</v>
      </c>
      <c r="B2070" s="7" t="n">
        <v>1966</v>
      </c>
      <c r="C2070" s="7" t="s">
        <v>361</v>
      </c>
      <c r="D2070" s="7" t="n">
        <v>87</v>
      </c>
      <c r="E2070" s="7" t="n">
        <v>75</v>
      </c>
      <c r="F2070" s="7"/>
      <c r="G2070" s="7"/>
      <c r="H2070" s="7" t="s">
        <v>546</v>
      </c>
      <c r="I2070" s="7" t="s">
        <v>546</v>
      </c>
      <c r="J2070" s="21" t="n">
        <f aca="false">D2070/(D2070+E2070)</f>
        <v>0.537037037037037</v>
      </c>
      <c r="K2070" s="3" t="n">
        <f aca="false">IF(D2070&gt;E2070,1,0)</f>
        <v>1</v>
      </c>
      <c r="L2070" s="3" t="n">
        <f aca="false">IF(OR(F2070="Y",G2070="Y",H2070="Y"),1,0)</f>
        <v>0</v>
      </c>
      <c r="M2070" s="3" t="n">
        <f aca="false">IF(H2070="Y",1,0)</f>
        <v>0</v>
      </c>
      <c r="N2070" s="3" t="n">
        <f aca="false">IF(I2070="Y",1,0)</f>
        <v>0</v>
      </c>
    </row>
    <row r="2071" customFormat="false" ht="15" hidden="false" customHeight="true" outlineLevel="0" collapsed="false">
      <c r="A2071" s="7" t="s">
        <v>60</v>
      </c>
      <c r="B2071" s="7" t="n">
        <v>1967</v>
      </c>
      <c r="C2071" s="7" t="s">
        <v>361</v>
      </c>
      <c r="D2071" s="7" t="n">
        <v>82</v>
      </c>
      <c r="E2071" s="7" t="n">
        <v>80</v>
      </c>
      <c r="F2071" s="7"/>
      <c r="G2071" s="7"/>
      <c r="H2071" s="7" t="s">
        <v>546</v>
      </c>
      <c r="I2071" s="7" t="s">
        <v>546</v>
      </c>
      <c r="J2071" s="21" t="n">
        <f aca="false">D2071/(D2071+E2071)</f>
        <v>0.506172839506173</v>
      </c>
      <c r="K2071" s="3" t="n">
        <f aca="false">IF(D2071&gt;E2071,1,0)</f>
        <v>1</v>
      </c>
      <c r="L2071" s="3" t="n">
        <f aca="false">IF(OR(F2071="Y",G2071="Y",H2071="Y"),1,0)</f>
        <v>0</v>
      </c>
      <c r="M2071" s="3" t="n">
        <f aca="false">IF(H2071="Y",1,0)</f>
        <v>0</v>
      </c>
      <c r="N2071" s="3" t="n">
        <f aca="false">IF(I2071="Y",1,0)</f>
        <v>0</v>
      </c>
    </row>
    <row r="2072" customFormat="false" ht="15" hidden="false" customHeight="true" outlineLevel="0" collapsed="false">
      <c r="A2072" s="7" t="s">
        <v>60</v>
      </c>
      <c r="B2072" s="7" t="n">
        <v>1968</v>
      </c>
      <c r="C2072" s="7" t="s">
        <v>361</v>
      </c>
      <c r="D2072" s="7" t="n">
        <v>76</v>
      </c>
      <c r="E2072" s="7" t="n">
        <v>86</v>
      </c>
      <c r="F2072" s="7"/>
      <c r="G2072" s="7"/>
      <c r="H2072" s="7" t="s">
        <v>546</v>
      </c>
      <c r="I2072" s="7" t="s">
        <v>546</v>
      </c>
      <c r="J2072" s="21" t="n">
        <f aca="false">D2072/(D2072+E2072)</f>
        <v>0.469135802469136</v>
      </c>
      <c r="K2072" s="3" t="n">
        <f aca="false">IF(D2072&gt;E2072,1,0)</f>
        <v>0</v>
      </c>
      <c r="L2072" s="3" t="n">
        <f aca="false">IF(OR(F2072="Y",G2072="Y",H2072="Y"),1,0)</f>
        <v>0</v>
      </c>
      <c r="M2072" s="3" t="n">
        <f aca="false">IF(H2072="Y",1,0)</f>
        <v>0</v>
      </c>
      <c r="N2072" s="3" t="n">
        <f aca="false">IF(I2072="Y",1,0)</f>
        <v>0</v>
      </c>
    </row>
    <row r="2073" customFormat="false" ht="15" hidden="false" customHeight="true" outlineLevel="0" collapsed="false">
      <c r="A2073" s="7" t="s">
        <v>60</v>
      </c>
      <c r="B2073" s="7" t="n">
        <v>1969</v>
      </c>
      <c r="C2073" s="7" t="s">
        <v>361</v>
      </c>
      <c r="D2073" s="7" t="n">
        <v>63</v>
      </c>
      <c r="E2073" s="7" t="n">
        <v>99</v>
      </c>
      <c r="F2073" s="7" t="s">
        <v>546</v>
      </c>
      <c r="G2073" s="7"/>
      <c r="H2073" s="7" t="s">
        <v>546</v>
      </c>
      <c r="I2073" s="7" t="s">
        <v>546</v>
      </c>
      <c r="J2073" s="21" t="n">
        <f aca="false">D2073/(D2073+E2073)</f>
        <v>0.388888888888889</v>
      </c>
      <c r="K2073" s="3" t="n">
        <f aca="false">IF(D2073&gt;E2073,1,0)</f>
        <v>0</v>
      </c>
      <c r="L2073" s="3" t="n">
        <f aca="false">IF(OR(F2073="Y",G2073="Y",H2073="Y"),1,0)</f>
        <v>0</v>
      </c>
      <c r="M2073" s="3" t="n">
        <f aca="false">IF(H2073="Y",1,0)</f>
        <v>0</v>
      </c>
      <c r="N2073" s="3" t="n">
        <f aca="false">IF(I2073="Y",1,0)</f>
        <v>0</v>
      </c>
    </row>
    <row r="2074" customFormat="false" ht="15" hidden="false" customHeight="true" outlineLevel="0" collapsed="false">
      <c r="A2074" s="7" t="s">
        <v>60</v>
      </c>
      <c r="B2074" s="7" t="n">
        <v>1970</v>
      </c>
      <c r="C2074" s="7" t="s">
        <v>361</v>
      </c>
      <c r="D2074" s="7" t="n">
        <v>73</v>
      </c>
      <c r="E2074" s="7" t="n">
        <v>88</v>
      </c>
      <c r="F2074" s="7" t="s">
        <v>546</v>
      </c>
      <c r="G2074" s="7"/>
      <c r="H2074" s="7" t="s">
        <v>546</v>
      </c>
      <c r="I2074" s="7" t="s">
        <v>546</v>
      </c>
      <c r="J2074" s="21" t="n">
        <f aca="false">D2074/(D2074+E2074)</f>
        <v>0.453416149068323</v>
      </c>
      <c r="K2074" s="3" t="n">
        <f aca="false">IF(D2074&gt;E2074,1,0)</f>
        <v>0</v>
      </c>
      <c r="L2074" s="3" t="n">
        <f aca="false">IF(OR(F2074="Y",G2074="Y",H2074="Y"),1,0)</f>
        <v>0</v>
      </c>
      <c r="M2074" s="3" t="n">
        <f aca="false">IF(H2074="Y",1,0)</f>
        <v>0</v>
      </c>
      <c r="N2074" s="3" t="n">
        <f aca="false">IF(I2074="Y",1,0)</f>
        <v>0</v>
      </c>
    </row>
    <row r="2075" customFormat="false" ht="15" hidden="false" customHeight="true" outlineLevel="0" collapsed="false">
      <c r="A2075" s="7" t="s">
        <v>60</v>
      </c>
      <c r="B2075" s="7" t="n">
        <v>1971</v>
      </c>
      <c r="C2075" s="7" t="s">
        <v>361</v>
      </c>
      <c r="D2075" s="7" t="n">
        <v>67</v>
      </c>
      <c r="E2075" s="7" t="n">
        <v>95</v>
      </c>
      <c r="F2075" s="7" t="s">
        <v>546</v>
      </c>
      <c r="G2075" s="7"/>
      <c r="H2075" s="7" t="s">
        <v>546</v>
      </c>
      <c r="I2075" s="7" t="s">
        <v>546</v>
      </c>
      <c r="J2075" s="21" t="n">
        <f aca="false">D2075/(D2075+E2075)</f>
        <v>0.41358024691358</v>
      </c>
      <c r="K2075" s="3" t="n">
        <f aca="false">IF(D2075&gt;E2075,1,0)</f>
        <v>0</v>
      </c>
      <c r="L2075" s="3" t="n">
        <f aca="false">IF(OR(F2075="Y",G2075="Y",H2075="Y"),1,0)</f>
        <v>0</v>
      </c>
      <c r="M2075" s="3" t="n">
        <f aca="false">IF(H2075="Y",1,0)</f>
        <v>0</v>
      </c>
      <c r="N2075" s="3" t="n">
        <f aca="false">IF(I2075="Y",1,0)</f>
        <v>0</v>
      </c>
    </row>
    <row r="2076" customFormat="false" ht="15" hidden="false" customHeight="true" outlineLevel="0" collapsed="false">
      <c r="A2076" s="7" t="s">
        <v>60</v>
      </c>
      <c r="B2076" s="7" t="n">
        <v>1972</v>
      </c>
      <c r="C2076" s="7" t="s">
        <v>361</v>
      </c>
      <c r="D2076" s="7" t="n">
        <v>59</v>
      </c>
      <c r="E2076" s="7" t="n">
        <v>97</v>
      </c>
      <c r="F2076" s="7" t="s">
        <v>546</v>
      </c>
      <c r="G2076" s="7"/>
      <c r="H2076" s="7" t="s">
        <v>546</v>
      </c>
      <c r="I2076" s="7" t="s">
        <v>546</v>
      </c>
      <c r="J2076" s="21" t="n">
        <f aca="false">D2076/(D2076+E2076)</f>
        <v>0.378205128205128</v>
      </c>
      <c r="K2076" s="3" t="n">
        <f aca="false">IF(D2076&gt;E2076,1,0)</f>
        <v>0</v>
      </c>
      <c r="L2076" s="3" t="n">
        <f aca="false">IF(OR(F2076="Y",G2076="Y",H2076="Y"),1,0)</f>
        <v>0</v>
      </c>
      <c r="M2076" s="3" t="n">
        <f aca="false">IF(H2076="Y",1,0)</f>
        <v>0</v>
      </c>
      <c r="N2076" s="3" t="n">
        <f aca="false">IF(I2076="Y",1,0)</f>
        <v>0</v>
      </c>
    </row>
    <row r="2077" customFormat="false" ht="15" hidden="false" customHeight="true" outlineLevel="0" collapsed="false">
      <c r="A2077" s="7" t="s">
        <v>60</v>
      </c>
      <c r="B2077" s="7" t="n">
        <v>1973</v>
      </c>
      <c r="C2077" s="7" t="s">
        <v>361</v>
      </c>
      <c r="D2077" s="7" t="n">
        <v>71</v>
      </c>
      <c r="E2077" s="7" t="n">
        <v>91</v>
      </c>
      <c r="F2077" s="7" t="s">
        <v>546</v>
      </c>
      <c r="G2077" s="7"/>
      <c r="H2077" s="7" t="s">
        <v>546</v>
      </c>
      <c r="I2077" s="7" t="s">
        <v>546</v>
      </c>
      <c r="J2077" s="21" t="n">
        <f aca="false">D2077/(D2077+E2077)</f>
        <v>0.438271604938272</v>
      </c>
      <c r="K2077" s="3" t="n">
        <f aca="false">IF(D2077&gt;E2077,1,0)</f>
        <v>0</v>
      </c>
      <c r="L2077" s="3" t="n">
        <f aca="false">IF(OR(F2077="Y",G2077="Y",H2077="Y"),1,0)</f>
        <v>0</v>
      </c>
      <c r="M2077" s="3" t="n">
        <f aca="false">IF(H2077="Y",1,0)</f>
        <v>0</v>
      </c>
      <c r="N2077" s="3" t="n">
        <f aca="false">IF(I2077="Y",1,0)</f>
        <v>0</v>
      </c>
    </row>
    <row r="2078" customFormat="false" ht="15" hidden="false" customHeight="true" outlineLevel="0" collapsed="false">
      <c r="A2078" s="7" t="s">
        <v>60</v>
      </c>
      <c r="B2078" s="7" t="n">
        <v>1974</v>
      </c>
      <c r="C2078" s="7" t="s">
        <v>361</v>
      </c>
      <c r="D2078" s="7" t="n">
        <v>80</v>
      </c>
      <c r="E2078" s="7" t="n">
        <v>82</v>
      </c>
      <c r="F2078" s="7" t="s">
        <v>546</v>
      </c>
      <c r="G2078" s="7"/>
      <c r="H2078" s="7" t="s">
        <v>546</v>
      </c>
      <c r="I2078" s="7" t="s">
        <v>546</v>
      </c>
      <c r="J2078" s="21" t="n">
        <f aca="false">D2078/(D2078+E2078)</f>
        <v>0.493827160493827</v>
      </c>
      <c r="K2078" s="3" t="n">
        <f aca="false">IF(D2078&gt;E2078,1,0)</f>
        <v>0</v>
      </c>
      <c r="L2078" s="3" t="n">
        <f aca="false">IF(OR(F2078="Y",G2078="Y",H2078="Y"),1,0)</f>
        <v>0</v>
      </c>
      <c r="M2078" s="3" t="n">
        <f aca="false">IF(H2078="Y",1,0)</f>
        <v>0</v>
      </c>
      <c r="N2078" s="3" t="n">
        <f aca="false">IF(I2078="Y",1,0)</f>
        <v>0</v>
      </c>
    </row>
    <row r="2079" customFormat="false" ht="15" hidden="false" customHeight="true" outlineLevel="0" collapsed="false">
      <c r="A2079" s="7" t="s">
        <v>60</v>
      </c>
      <c r="B2079" s="7" t="n">
        <v>1975</v>
      </c>
      <c r="C2079" s="7" t="s">
        <v>361</v>
      </c>
      <c r="D2079" s="7" t="n">
        <v>86</v>
      </c>
      <c r="E2079" s="7" t="n">
        <v>76</v>
      </c>
      <c r="F2079" s="7" t="s">
        <v>546</v>
      </c>
      <c r="G2079" s="7"/>
      <c r="H2079" s="7" t="s">
        <v>546</v>
      </c>
      <c r="I2079" s="7" t="s">
        <v>546</v>
      </c>
      <c r="J2079" s="21" t="n">
        <f aca="false">D2079/(D2079+E2079)</f>
        <v>0.530864197530864</v>
      </c>
      <c r="K2079" s="3" t="n">
        <f aca="false">IF(D2079&gt;E2079,1,0)</f>
        <v>1</v>
      </c>
      <c r="L2079" s="3" t="n">
        <f aca="false">IF(OR(F2079="Y",G2079="Y",H2079="Y"),1,0)</f>
        <v>0</v>
      </c>
      <c r="M2079" s="3" t="n">
        <f aca="false">IF(H2079="Y",1,0)</f>
        <v>0</v>
      </c>
      <c r="N2079" s="3" t="n">
        <f aca="false">IF(I2079="Y",1,0)</f>
        <v>0</v>
      </c>
    </row>
    <row r="2080" customFormat="false" ht="15" hidden="false" customHeight="true" outlineLevel="0" collapsed="false">
      <c r="A2080" s="7" t="s">
        <v>60</v>
      </c>
      <c r="B2080" s="7" t="n">
        <v>1976</v>
      </c>
      <c r="C2080" s="7" t="s">
        <v>361</v>
      </c>
      <c r="D2080" s="7" t="n">
        <v>101</v>
      </c>
      <c r="E2080" s="7" t="n">
        <v>61</v>
      </c>
      <c r="F2080" s="7" t="s">
        <v>548</v>
      </c>
      <c r="G2080" s="7"/>
      <c r="H2080" s="7" t="s">
        <v>546</v>
      </c>
      <c r="I2080" s="7" t="s">
        <v>546</v>
      </c>
      <c r="J2080" s="21" t="n">
        <f aca="false">D2080/(D2080+E2080)</f>
        <v>0.623456790123457</v>
      </c>
      <c r="K2080" s="3" t="n">
        <f aca="false">IF(D2080&gt;E2080,1,0)</f>
        <v>1</v>
      </c>
      <c r="L2080" s="3" t="n">
        <f aca="false">IF(OR(F2080="Y",G2080="Y",H2080="Y"),1,0)</f>
        <v>1</v>
      </c>
      <c r="M2080" s="3" t="n">
        <f aca="false">IF(H2080="Y",1,0)</f>
        <v>0</v>
      </c>
      <c r="N2080" s="3" t="n">
        <f aca="false">IF(I2080="Y",1,0)</f>
        <v>0</v>
      </c>
    </row>
    <row r="2081" customFormat="false" ht="15" hidden="false" customHeight="true" outlineLevel="0" collapsed="false">
      <c r="A2081" s="7" t="s">
        <v>60</v>
      </c>
      <c r="B2081" s="7" t="n">
        <v>1977</v>
      </c>
      <c r="C2081" s="7" t="s">
        <v>361</v>
      </c>
      <c r="D2081" s="7" t="n">
        <v>101</v>
      </c>
      <c r="E2081" s="7" t="n">
        <v>61</v>
      </c>
      <c r="F2081" s="7" t="s">
        <v>548</v>
      </c>
      <c r="G2081" s="7"/>
      <c r="H2081" s="7" t="s">
        <v>546</v>
      </c>
      <c r="I2081" s="7" t="s">
        <v>546</v>
      </c>
      <c r="J2081" s="21" t="n">
        <f aca="false">D2081/(D2081+E2081)</f>
        <v>0.623456790123457</v>
      </c>
      <c r="K2081" s="3" t="n">
        <f aca="false">IF(D2081&gt;E2081,1,0)</f>
        <v>1</v>
      </c>
      <c r="L2081" s="3" t="n">
        <f aca="false">IF(OR(F2081="Y",G2081="Y",H2081="Y"),1,0)</f>
        <v>1</v>
      </c>
      <c r="M2081" s="3" t="n">
        <f aca="false">IF(H2081="Y",1,0)</f>
        <v>0</v>
      </c>
      <c r="N2081" s="3" t="n">
        <f aca="false">IF(I2081="Y",1,0)</f>
        <v>0</v>
      </c>
    </row>
    <row r="2082" customFormat="false" ht="15" hidden="false" customHeight="true" outlineLevel="0" collapsed="false">
      <c r="A2082" s="7" t="s">
        <v>60</v>
      </c>
      <c r="B2082" s="7" t="n">
        <v>1978</v>
      </c>
      <c r="C2082" s="7" t="s">
        <v>361</v>
      </c>
      <c r="D2082" s="7" t="n">
        <v>90</v>
      </c>
      <c r="E2082" s="7" t="n">
        <v>72</v>
      </c>
      <c r="F2082" s="7" t="s">
        <v>548</v>
      </c>
      <c r="G2082" s="7"/>
      <c r="H2082" s="7" t="s">
        <v>546</v>
      </c>
      <c r="I2082" s="7" t="s">
        <v>546</v>
      </c>
      <c r="J2082" s="21" t="n">
        <f aca="false">D2082/(D2082+E2082)</f>
        <v>0.555555555555556</v>
      </c>
      <c r="K2082" s="3" t="n">
        <f aca="false">IF(D2082&gt;E2082,1,0)</f>
        <v>1</v>
      </c>
      <c r="L2082" s="3" t="n">
        <f aca="false">IF(OR(F2082="Y",G2082="Y",H2082="Y"),1,0)</f>
        <v>1</v>
      </c>
      <c r="M2082" s="3" t="n">
        <f aca="false">IF(H2082="Y",1,0)</f>
        <v>0</v>
      </c>
      <c r="N2082" s="3" t="n">
        <f aca="false">IF(I2082="Y",1,0)</f>
        <v>0</v>
      </c>
    </row>
    <row r="2083" customFormat="false" ht="15" hidden="false" customHeight="true" outlineLevel="0" collapsed="false">
      <c r="A2083" s="7" t="s">
        <v>60</v>
      </c>
      <c r="B2083" s="7" t="n">
        <v>1979</v>
      </c>
      <c r="C2083" s="7" t="s">
        <v>361</v>
      </c>
      <c r="D2083" s="7" t="n">
        <v>84</v>
      </c>
      <c r="E2083" s="7" t="n">
        <v>78</v>
      </c>
      <c r="F2083" s="7" t="s">
        <v>546</v>
      </c>
      <c r="G2083" s="7"/>
      <c r="H2083" s="7" t="s">
        <v>546</v>
      </c>
      <c r="I2083" s="7" t="s">
        <v>546</v>
      </c>
      <c r="J2083" s="21" t="n">
        <f aca="false">D2083/(D2083+E2083)</f>
        <v>0.518518518518519</v>
      </c>
      <c r="K2083" s="3" t="n">
        <f aca="false">IF(D2083&gt;E2083,1,0)</f>
        <v>1</v>
      </c>
      <c r="L2083" s="3" t="n">
        <f aca="false">IF(OR(F2083="Y",G2083="Y",H2083="Y"),1,0)</f>
        <v>0</v>
      </c>
      <c r="M2083" s="3" t="n">
        <f aca="false">IF(H2083="Y",1,0)</f>
        <v>0</v>
      </c>
      <c r="N2083" s="3" t="n">
        <f aca="false">IF(I2083="Y",1,0)</f>
        <v>0</v>
      </c>
    </row>
    <row r="2084" customFormat="false" ht="15" hidden="false" customHeight="true" outlineLevel="0" collapsed="false">
      <c r="A2084" s="7" t="s">
        <v>60</v>
      </c>
      <c r="B2084" s="7" t="n">
        <v>1980</v>
      </c>
      <c r="C2084" s="7" t="s">
        <v>361</v>
      </c>
      <c r="D2084" s="7" t="n">
        <v>91</v>
      </c>
      <c r="E2084" s="7" t="n">
        <v>71</v>
      </c>
      <c r="F2084" s="7" t="s">
        <v>548</v>
      </c>
      <c r="G2084" s="7"/>
      <c r="H2084" s="7" t="s">
        <v>548</v>
      </c>
      <c r="I2084" s="7" t="s">
        <v>548</v>
      </c>
      <c r="J2084" s="21" t="n">
        <f aca="false">D2084/(D2084+E2084)</f>
        <v>0.561728395061728</v>
      </c>
      <c r="K2084" s="3" t="n">
        <f aca="false">IF(D2084&gt;E2084,1,0)</f>
        <v>1</v>
      </c>
      <c r="L2084" s="3" t="n">
        <f aca="false">IF(OR(F2084="Y",G2084="Y",H2084="Y"),1,0)</f>
        <v>1</v>
      </c>
      <c r="M2084" s="3" t="n">
        <f aca="false">IF(H2084="Y",1,0)</f>
        <v>1</v>
      </c>
      <c r="N2084" s="3" t="n">
        <f aca="false">IF(I2084="Y",1,0)</f>
        <v>1</v>
      </c>
    </row>
    <row r="2085" customFormat="false" ht="15" hidden="false" customHeight="true" outlineLevel="0" collapsed="false">
      <c r="A2085" s="7" t="s">
        <v>60</v>
      </c>
      <c r="B2085" s="7" t="n">
        <v>1981</v>
      </c>
      <c r="C2085" s="7" t="s">
        <v>361</v>
      </c>
      <c r="D2085" s="7" t="n">
        <v>59</v>
      </c>
      <c r="E2085" s="7" t="n">
        <v>48</v>
      </c>
      <c r="F2085" s="7" t="s">
        <v>548</v>
      </c>
      <c r="G2085" s="7"/>
      <c r="H2085" s="7" t="s">
        <v>546</v>
      </c>
      <c r="I2085" s="7" t="s">
        <v>546</v>
      </c>
      <c r="J2085" s="21" t="n">
        <f aca="false">D2085/(D2085+E2085)</f>
        <v>0.551401869158879</v>
      </c>
      <c r="K2085" s="3" t="n">
        <f aca="false">IF(D2085&gt;E2085,1,0)</f>
        <v>1</v>
      </c>
      <c r="L2085" s="3" t="n">
        <f aca="false">IF(OR(F2085="Y",G2085="Y",H2085="Y"),1,0)</f>
        <v>1</v>
      </c>
      <c r="M2085" s="3" t="n">
        <f aca="false">IF(H2085="Y",1,0)</f>
        <v>0</v>
      </c>
      <c r="N2085" s="3" t="n">
        <f aca="false">IF(I2085="Y",1,0)</f>
        <v>0</v>
      </c>
    </row>
    <row r="2086" customFormat="false" ht="15" hidden="false" customHeight="true" outlineLevel="0" collapsed="false">
      <c r="A2086" s="7" t="s">
        <v>60</v>
      </c>
      <c r="B2086" s="7" t="n">
        <v>1982</v>
      </c>
      <c r="C2086" s="7" t="s">
        <v>361</v>
      </c>
      <c r="D2086" s="7" t="n">
        <v>89</v>
      </c>
      <c r="E2086" s="7" t="n">
        <v>73</v>
      </c>
      <c r="F2086" s="7" t="s">
        <v>546</v>
      </c>
      <c r="G2086" s="7"/>
      <c r="H2086" s="7" t="s">
        <v>546</v>
      </c>
      <c r="I2086" s="7" t="s">
        <v>546</v>
      </c>
      <c r="J2086" s="21" t="n">
        <f aca="false">D2086/(D2086+E2086)</f>
        <v>0.549382716049383</v>
      </c>
      <c r="K2086" s="3" t="n">
        <f aca="false">IF(D2086&gt;E2086,1,0)</f>
        <v>1</v>
      </c>
      <c r="L2086" s="3" t="n">
        <f aca="false">IF(OR(F2086="Y",G2086="Y",H2086="Y"),1,0)</f>
        <v>0</v>
      </c>
      <c r="M2086" s="3" t="n">
        <f aca="false">IF(H2086="Y",1,0)</f>
        <v>0</v>
      </c>
      <c r="N2086" s="3" t="n">
        <f aca="false">IF(I2086="Y",1,0)</f>
        <v>0</v>
      </c>
    </row>
    <row r="2087" customFormat="false" ht="15" hidden="false" customHeight="true" outlineLevel="0" collapsed="false">
      <c r="A2087" s="7" t="s">
        <v>60</v>
      </c>
      <c r="B2087" s="7" t="n">
        <v>1983</v>
      </c>
      <c r="C2087" s="7" t="s">
        <v>361</v>
      </c>
      <c r="D2087" s="7" t="n">
        <v>90</v>
      </c>
      <c r="E2087" s="7" t="n">
        <v>72</v>
      </c>
      <c r="F2087" s="7" t="s">
        <v>548</v>
      </c>
      <c r="G2087" s="7"/>
      <c r="H2087" s="7" t="s">
        <v>548</v>
      </c>
      <c r="I2087" s="7" t="s">
        <v>546</v>
      </c>
      <c r="J2087" s="21" t="n">
        <f aca="false">D2087/(D2087+E2087)</f>
        <v>0.555555555555556</v>
      </c>
      <c r="K2087" s="3" t="n">
        <f aca="false">IF(D2087&gt;E2087,1,0)</f>
        <v>1</v>
      </c>
      <c r="L2087" s="3" t="n">
        <f aca="false">IF(OR(F2087="Y",G2087="Y",H2087="Y"),1,0)</f>
        <v>1</v>
      </c>
      <c r="M2087" s="3" t="n">
        <f aca="false">IF(H2087="Y",1,0)</f>
        <v>1</v>
      </c>
      <c r="N2087" s="3" t="n">
        <f aca="false">IF(I2087="Y",1,0)</f>
        <v>0</v>
      </c>
    </row>
    <row r="2088" customFormat="false" ht="15" hidden="false" customHeight="true" outlineLevel="0" collapsed="false">
      <c r="A2088" s="7" t="s">
        <v>60</v>
      </c>
      <c r="B2088" s="7" t="n">
        <v>1984</v>
      </c>
      <c r="C2088" s="7" t="s">
        <v>361</v>
      </c>
      <c r="D2088" s="7" t="n">
        <v>81</v>
      </c>
      <c r="E2088" s="7" t="n">
        <v>81</v>
      </c>
      <c r="F2088" s="7" t="s">
        <v>546</v>
      </c>
      <c r="G2088" s="7"/>
      <c r="H2088" s="7" t="s">
        <v>546</v>
      </c>
      <c r="I2088" s="7" t="s">
        <v>546</v>
      </c>
      <c r="J2088" s="21" t="n">
        <f aca="false">D2088/(D2088+E2088)</f>
        <v>0.5</v>
      </c>
      <c r="K2088" s="3" t="n">
        <f aca="false">IF(D2088&gt;E2088,1,0)</f>
        <v>0</v>
      </c>
      <c r="L2088" s="3" t="n">
        <f aca="false">IF(OR(F2088="Y",G2088="Y",H2088="Y"),1,0)</f>
        <v>0</v>
      </c>
      <c r="M2088" s="3" t="n">
        <f aca="false">IF(H2088="Y",1,0)</f>
        <v>0</v>
      </c>
      <c r="N2088" s="3" t="n">
        <f aca="false">IF(I2088="Y",1,0)</f>
        <v>0</v>
      </c>
    </row>
    <row r="2089" customFormat="false" ht="15" hidden="false" customHeight="true" outlineLevel="0" collapsed="false">
      <c r="A2089" s="7" t="s">
        <v>60</v>
      </c>
      <c r="B2089" s="7" t="n">
        <v>1985</v>
      </c>
      <c r="C2089" s="7" t="s">
        <v>361</v>
      </c>
      <c r="D2089" s="7" t="n">
        <v>75</v>
      </c>
      <c r="E2089" s="7" t="n">
        <v>87</v>
      </c>
      <c r="F2089" s="7" t="s">
        <v>546</v>
      </c>
      <c r="G2089" s="7"/>
      <c r="H2089" s="7" t="s">
        <v>546</v>
      </c>
      <c r="I2089" s="7" t="s">
        <v>546</v>
      </c>
      <c r="J2089" s="21" t="n">
        <f aca="false">D2089/(D2089+E2089)</f>
        <v>0.462962962962963</v>
      </c>
      <c r="K2089" s="3" t="n">
        <f aca="false">IF(D2089&gt;E2089,1,0)</f>
        <v>0</v>
      </c>
      <c r="L2089" s="3" t="n">
        <f aca="false">IF(OR(F2089="Y",G2089="Y",H2089="Y"),1,0)</f>
        <v>0</v>
      </c>
      <c r="M2089" s="3" t="n">
        <f aca="false">IF(H2089="Y",1,0)</f>
        <v>0</v>
      </c>
      <c r="N2089" s="3" t="n">
        <f aca="false">IF(I2089="Y",1,0)</f>
        <v>0</v>
      </c>
    </row>
    <row r="2090" customFormat="false" ht="15" hidden="false" customHeight="true" outlineLevel="0" collapsed="false">
      <c r="A2090" s="7" t="s">
        <v>60</v>
      </c>
      <c r="B2090" s="7" t="n">
        <v>1986</v>
      </c>
      <c r="C2090" s="7" t="s">
        <v>361</v>
      </c>
      <c r="D2090" s="7" t="n">
        <v>86</v>
      </c>
      <c r="E2090" s="7" t="n">
        <v>75</v>
      </c>
      <c r="F2090" s="7" t="s">
        <v>546</v>
      </c>
      <c r="G2090" s="7"/>
      <c r="H2090" s="7" t="s">
        <v>546</v>
      </c>
      <c r="I2090" s="7" t="s">
        <v>546</v>
      </c>
      <c r="J2090" s="21" t="n">
        <f aca="false">D2090/(D2090+E2090)</f>
        <v>0.53416149068323</v>
      </c>
      <c r="K2090" s="3" t="n">
        <f aca="false">IF(D2090&gt;E2090,1,0)</f>
        <v>1</v>
      </c>
      <c r="L2090" s="3" t="n">
        <f aca="false">IF(OR(F2090="Y",G2090="Y",H2090="Y"),1,0)</f>
        <v>0</v>
      </c>
      <c r="M2090" s="3" t="n">
        <f aca="false">IF(H2090="Y",1,0)</f>
        <v>0</v>
      </c>
      <c r="N2090" s="3" t="n">
        <f aca="false">IF(I2090="Y",1,0)</f>
        <v>0</v>
      </c>
    </row>
    <row r="2091" customFormat="false" ht="15" hidden="false" customHeight="true" outlineLevel="0" collapsed="false">
      <c r="A2091" s="7" t="s">
        <v>60</v>
      </c>
      <c r="B2091" s="7" t="n">
        <v>1987</v>
      </c>
      <c r="C2091" s="7" t="s">
        <v>361</v>
      </c>
      <c r="D2091" s="7" t="n">
        <v>80</v>
      </c>
      <c r="E2091" s="7" t="n">
        <v>82</v>
      </c>
      <c r="F2091" s="7" t="s">
        <v>546</v>
      </c>
      <c r="G2091" s="7"/>
      <c r="H2091" s="7" t="s">
        <v>546</v>
      </c>
      <c r="I2091" s="7" t="s">
        <v>546</v>
      </c>
      <c r="J2091" s="21" t="n">
        <f aca="false">D2091/(D2091+E2091)</f>
        <v>0.493827160493827</v>
      </c>
      <c r="K2091" s="3" t="n">
        <f aca="false">IF(D2091&gt;E2091,1,0)</f>
        <v>0</v>
      </c>
      <c r="L2091" s="3" t="n">
        <f aca="false">IF(OR(F2091="Y",G2091="Y",H2091="Y"),1,0)</f>
        <v>0</v>
      </c>
      <c r="M2091" s="3" t="n">
        <f aca="false">IF(H2091="Y",1,0)</f>
        <v>0</v>
      </c>
      <c r="N2091" s="3" t="n">
        <f aca="false">IF(I2091="Y",1,0)</f>
        <v>0</v>
      </c>
    </row>
    <row r="2092" customFormat="false" ht="15" hidden="false" customHeight="true" outlineLevel="0" collapsed="false">
      <c r="A2092" s="7" t="s">
        <v>60</v>
      </c>
      <c r="B2092" s="7" t="n">
        <v>1988</v>
      </c>
      <c r="C2092" s="7" t="s">
        <v>361</v>
      </c>
      <c r="D2092" s="7" t="n">
        <v>65</v>
      </c>
      <c r="E2092" s="7" t="n">
        <v>96</v>
      </c>
      <c r="F2092" s="7" t="s">
        <v>546</v>
      </c>
      <c r="G2092" s="7"/>
      <c r="H2092" s="7" t="s">
        <v>546</v>
      </c>
      <c r="I2092" s="7" t="s">
        <v>546</v>
      </c>
      <c r="J2092" s="21" t="n">
        <f aca="false">D2092/(D2092+E2092)</f>
        <v>0.403726708074534</v>
      </c>
      <c r="K2092" s="3" t="n">
        <f aca="false">IF(D2092&gt;E2092,1,0)</f>
        <v>0</v>
      </c>
      <c r="L2092" s="3" t="n">
        <f aca="false">IF(OR(F2092="Y",G2092="Y",H2092="Y"),1,0)</f>
        <v>0</v>
      </c>
      <c r="M2092" s="3" t="n">
        <f aca="false">IF(H2092="Y",1,0)</f>
        <v>0</v>
      </c>
      <c r="N2092" s="3" t="n">
        <f aca="false">IF(I2092="Y",1,0)</f>
        <v>0</v>
      </c>
    </row>
    <row r="2093" customFormat="false" ht="15" hidden="false" customHeight="true" outlineLevel="0" collapsed="false">
      <c r="A2093" s="7" t="s">
        <v>60</v>
      </c>
      <c r="B2093" s="7" t="n">
        <v>1989</v>
      </c>
      <c r="C2093" s="7" t="s">
        <v>361</v>
      </c>
      <c r="D2093" s="7" t="n">
        <v>67</v>
      </c>
      <c r="E2093" s="7" t="n">
        <v>95</v>
      </c>
      <c r="F2093" s="7" t="s">
        <v>546</v>
      </c>
      <c r="G2093" s="7"/>
      <c r="H2093" s="7" t="s">
        <v>546</v>
      </c>
      <c r="I2093" s="7" t="s">
        <v>546</v>
      </c>
      <c r="J2093" s="21" t="n">
        <f aca="false">D2093/(D2093+E2093)</f>
        <v>0.41358024691358</v>
      </c>
      <c r="K2093" s="3" t="n">
        <f aca="false">IF(D2093&gt;E2093,1,0)</f>
        <v>0</v>
      </c>
      <c r="L2093" s="3" t="n">
        <f aca="false">IF(OR(F2093="Y",G2093="Y",H2093="Y"),1,0)</f>
        <v>0</v>
      </c>
      <c r="M2093" s="3" t="n">
        <f aca="false">IF(H2093="Y",1,0)</f>
        <v>0</v>
      </c>
      <c r="N2093" s="3" t="n">
        <f aca="false">IF(I2093="Y",1,0)</f>
        <v>0</v>
      </c>
    </row>
    <row r="2094" customFormat="false" ht="15" hidden="false" customHeight="true" outlineLevel="0" collapsed="false">
      <c r="A2094" s="7" t="s">
        <v>60</v>
      </c>
      <c r="B2094" s="7" t="n">
        <v>1990</v>
      </c>
      <c r="C2094" s="7" t="s">
        <v>361</v>
      </c>
      <c r="D2094" s="7" t="n">
        <v>77</v>
      </c>
      <c r="E2094" s="7" t="n">
        <v>85</v>
      </c>
      <c r="F2094" s="7" t="s">
        <v>546</v>
      </c>
      <c r="G2094" s="7"/>
      <c r="H2094" s="7" t="s">
        <v>546</v>
      </c>
      <c r="I2094" s="7" t="s">
        <v>546</v>
      </c>
      <c r="J2094" s="21" t="n">
        <f aca="false">D2094/(D2094+E2094)</f>
        <v>0.475308641975309</v>
      </c>
      <c r="K2094" s="3" t="n">
        <f aca="false">IF(D2094&gt;E2094,1,0)</f>
        <v>0</v>
      </c>
      <c r="L2094" s="3" t="n">
        <f aca="false">IF(OR(F2094="Y",G2094="Y",H2094="Y"),1,0)</f>
        <v>0</v>
      </c>
      <c r="M2094" s="3" t="n">
        <f aca="false">IF(H2094="Y",1,0)</f>
        <v>0</v>
      </c>
      <c r="N2094" s="3" t="n">
        <f aca="false">IF(I2094="Y",1,0)</f>
        <v>0</v>
      </c>
    </row>
    <row r="2095" customFormat="false" ht="15" hidden="false" customHeight="true" outlineLevel="0" collapsed="false">
      <c r="A2095" s="7" t="s">
        <v>60</v>
      </c>
      <c r="B2095" s="7" t="n">
        <v>1991</v>
      </c>
      <c r="C2095" s="7" t="s">
        <v>361</v>
      </c>
      <c r="D2095" s="7" t="n">
        <v>78</v>
      </c>
      <c r="E2095" s="7" t="n">
        <v>84</v>
      </c>
      <c r="F2095" s="7" t="s">
        <v>546</v>
      </c>
      <c r="G2095" s="7"/>
      <c r="H2095" s="7" t="s">
        <v>546</v>
      </c>
      <c r="I2095" s="7" t="s">
        <v>546</v>
      </c>
      <c r="J2095" s="21" t="n">
        <f aca="false">D2095/(D2095+E2095)</f>
        <v>0.481481481481481</v>
      </c>
      <c r="K2095" s="3" t="n">
        <f aca="false">IF(D2095&gt;E2095,1,0)</f>
        <v>0</v>
      </c>
      <c r="L2095" s="3" t="n">
        <f aca="false">IF(OR(F2095="Y",G2095="Y",H2095="Y"),1,0)</f>
        <v>0</v>
      </c>
      <c r="M2095" s="3" t="n">
        <f aca="false">IF(H2095="Y",1,0)</f>
        <v>0</v>
      </c>
      <c r="N2095" s="3" t="n">
        <f aca="false">IF(I2095="Y",1,0)</f>
        <v>0</v>
      </c>
    </row>
    <row r="2096" customFormat="false" ht="15" hidden="false" customHeight="true" outlineLevel="0" collapsed="false">
      <c r="A2096" s="7" t="s">
        <v>60</v>
      </c>
      <c r="B2096" s="7" t="n">
        <v>1992</v>
      </c>
      <c r="C2096" s="7" t="s">
        <v>361</v>
      </c>
      <c r="D2096" s="7" t="n">
        <v>70</v>
      </c>
      <c r="E2096" s="7" t="n">
        <v>92</v>
      </c>
      <c r="F2096" s="7" t="s">
        <v>546</v>
      </c>
      <c r="G2096" s="7"/>
      <c r="H2096" s="7" t="s">
        <v>546</v>
      </c>
      <c r="I2096" s="7" t="s">
        <v>546</v>
      </c>
      <c r="J2096" s="21" t="n">
        <f aca="false">D2096/(D2096+E2096)</f>
        <v>0.432098765432099</v>
      </c>
      <c r="K2096" s="3" t="n">
        <f aca="false">IF(D2096&gt;E2096,1,0)</f>
        <v>0</v>
      </c>
      <c r="L2096" s="3" t="n">
        <f aca="false">IF(OR(F2096="Y",G2096="Y",H2096="Y"),1,0)</f>
        <v>0</v>
      </c>
      <c r="M2096" s="3" t="n">
        <f aca="false">IF(H2096="Y",1,0)</f>
        <v>0</v>
      </c>
      <c r="N2096" s="3" t="n">
        <f aca="false">IF(I2096="Y",1,0)</f>
        <v>0</v>
      </c>
    </row>
    <row r="2097" customFormat="false" ht="15" hidden="false" customHeight="true" outlineLevel="0" collapsed="false">
      <c r="A2097" s="7" t="s">
        <v>60</v>
      </c>
      <c r="B2097" s="7" t="n">
        <v>1993</v>
      </c>
      <c r="C2097" s="7" t="s">
        <v>361</v>
      </c>
      <c r="D2097" s="7" t="n">
        <v>97</v>
      </c>
      <c r="E2097" s="7" t="n">
        <v>65</v>
      </c>
      <c r="F2097" s="7" t="s">
        <v>548</v>
      </c>
      <c r="G2097" s="7"/>
      <c r="H2097" s="7" t="s">
        <v>548</v>
      </c>
      <c r="I2097" s="7" t="s">
        <v>546</v>
      </c>
      <c r="J2097" s="21" t="n">
        <f aca="false">D2097/(D2097+E2097)</f>
        <v>0.598765432098765</v>
      </c>
      <c r="K2097" s="3" t="n">
        <f aca="false">IF(D2097&gt;E2097,1,0)</f>
        <v>1</v>
      </c>
      <c r="L2097" s="3" t="n">
        <f aca="false">IF(OR(F2097="Y",G2097="Y",H2097="Y"),1,0)</f>
        <v>1</v>
      </c>
      <c r="M2097" s="3" t="n">
        <f aca="false">IF(H2097="Y",1,0)</f>
        <v>1</v>
      </c>
      <c r="N2097" s="3" t="n">
        <f aca="false">IF(I2097="Y",1,0)</f>
        <v>0</v>
      </c>
    </row>
    <row r="2098" customFormat="false" ht="15" hidden="false" customHeight="true" outlineLevel="0" collapsed="false">
      <c r="A2098" s="7" t="s">
        <v>60</v>
      </c>
      <c r="B2098" s="7" t="n">
        <v>1994</v>
      </c>
      <c r="C2098" s="7" t="s">
        <v>361</v>
      </c>
      <c r="D2098" s="7" t="n">
        <v>54</v>
      </c>
      <c r="E2098" s="7" t="n">
        <v>61</v>
      </c>
      <c r="F2098" s="7"/>
      <c r="G2098" s="7"/>
      <c r="H2098" s="7"/>
      <c r="I2098" s="7"/>
      <c r="J2098" s="21" t="n">
        <f aca="false">D2098/(D2098+E2098)</f>
        <v>0.469565217391304</v>
      </c>
      <c r="K2098" s="3" t="n">
        <f aca="false">IF(D2098&gt;E2098,1,0)</f>
        <v>0</v>
      </c>
      <c r="L2098" s="3" t="n">
        <f aca="false">IF(OR(F2098="Y",G2098="Y",H2098="Y"),1,0)</f>
        <v>0</v>
      </c>
      <c r="M2098" s="3" t="n">
        <f aca="false">IF(H2098="Y",1,0)</f>
        <v>0</v>
      </c>
      <c r="N2098" s="3" t="n">
        <f aca="false">IF(I2098="Y",1,0)</f>
        <v>0</v>
      </c>
    </row>
    <row r="2099" customFormat="false" ht="15" hidden="false" customHeight="true" outlineLevel="0" collapsed="false">
      <c r="A2099" s="7" t="s">
        <v>60</v>
      </c>
      <c r="B2099" s="7" t="n">
        <v>1995</v>
      </c>
      <c r="C2099" s="7" t="s">
        <v>361</v>
      </c>
      <c r="D2099" s="7" t="n">
        <v>69</v>
      </c>
      <c r="E2099" s="7" t="n">
        <v>75</v>
      </c>
      <c r="F2099" s="7" t="s">
        <v>546</v>
      </c>
      <c r="G2099" s="7" t="s">
        <v>546</v>
      </c>
      <c r="H2099" s="7" t="s">
        <v>546</v>
      </c>
      <c r="I2099" s="7" t="s">
        <v>546</v>
      </c>
      <c r="J2099" s="21" t="n">
        <f aca="false">D2099/(D2099+E2099)</f>
        <v>0.479166666666667</v>
      </c>
      <c r="K2099" s="3" t="n">
        <f aca="false">IF(D2099&gt;E2099,1,0)</f>
        <v>0</v>
      </c>
      <c r="L2099" s="3" t="n">
        <f aca="false">IF(OR(F2099="Y",G2099="Y",H2099="Y"),1,0)</f>
        <v>0</v>
      </c>
      <c r="M2099" s="3" t="n">
        <f aca="false">IF(H2099="Y",1,0)</f>
        <v>0</v>
      </c>
      <c r="N2099" s="3" t="n">
        <f aca="false">IF(I2099="Y",1,0)</f>
        <v>0</v>
      </c>
    </row>
    <row r="2100" customFormat="false" ht="15" hidden="false" customHeight="true" outlineLevel="0" collapsed="false">
      <c r="A2100" s="7" t="s">
        <v>60</v>
      </c>
      <c r="B2100" s="7" t="n">
        <v>1996</v>
      </c>
      <c r="C2100" s="7" t="s">
        <v>361</v>
      </c>
      <c r="D2100" s="7" t="n">
        <v>67</v>
      </c>
      <c r="E2100" s="7" t="n">
        <v>95</v>
      </c>
      <c r="F2100" s="7" t="s">
        <v>546</v>
      </c>
      <c r="G2100" s="7" t="s">
        <v>546</v>
      </c>
      <c r="H2100" s="7" t="s">
        <v>546</v>
      </c>
      <c r="I2100" s="7" t="s">
        <v>546</v>
      </c>
      <c r="J2100" s="21" t="n">
        <f aca="false">D2100/(D2100+E2100)</f>
        <v>0.41358024691358</v>
      </c>
      <c r="K2100" s="3" t="n">
        <f aca="false">IF(D2100&gt;E2100,1,0)</f>
        <v>0</v>
      </c>
      <c r="L2100" s="3" t="n">
        <f aca="false">IF(OR(F2100="Y",G2100="Y",H2100="Y"),1,0)</f>
        <v>0</v>
      </c>
      <c r="M2100" s="3" t="n">
        <f aca="false">IF(H2100="Y",1,0)</f>
        <v>0</v>
      </c>
      <c r="N2100" s="3" t="n">
        <f aca="false">IF(I2100="Y",1,0)</f>
        <v>0</v>
      </c>
    </row>
    <row r="2101" customFormat="false" ht="15" hidden="false" customHeight="true" outlineLevel="0" collapsed="false">
      <c r="A2101" s="7" t="s">
        <v>60</v>
      </c>
      <c r="B2101" s="7" t="n">
        <v>1997</v>
      </c>
      <c r="C2101" s="7" t="s">
        <v>361</v>
      </c>
      <c r="D2101" s="7" t="n">
        <v>68</v>
      </c>
      <c r="E2101" s="7" t="n">
        <v>94</v>
      </c>
      <c r="F2101" s="7" t="s">
        <v>546</v>
      </c>
      <c r="G2101" s="7" t="s">
        <v>546</v>
      </c>
      <c r="H2101" s="7" t="s">
        <v>546</v>
      </c>
      <c r="I2101" s="7" t="s">
        <v>546</v>
      </c>
      <c r="J2101" s="21" t="n">
        <f aca="false">D2101/(D2101+E2101)</f>
        <v>0.419753086419753</v>
      </c>
      <c r="K2101" s="3" t="n">
        <f aca="false">IF(D2101&gt;E2101,1,0)</f>
        <v>0</v>
      </c>
      <c r="L2101" s="3" t="n">
        <f aca="false">IF(OR(F2101="Y",G2101="Y",H2101="Y"),1,0)</f>
        <v>0</v>
      </c>
      <c r="M2101" s="3" t="n">
        <f aca="false">IF(H2101="Y",1,0)</f>
        <v>0</v>
      </c>
      <c r="N2101" s="3" t="n">
        <f aca="false">IF(I2101="Y",1,0)</f>
        <v>0</v>
      </c>
    </row>
    <row r="2102" customFormat="false" ht="15" hidden="false" customHeight="true" outlineLevel="0" collapsed="false">
      <c r="A2102" s="7" t="s">
        <v>60</v>
      </c>
      <c r="B2102" s="7" t="n">
        <v>1998</v>
      </c>
      <c r="C2102" s="7" t="s">
        <v>361</v>
      </c>
      <c r="D2102" s="7" t="n">
        <v>75</v>
      </c>
      <c r="E2102" s="7" t="n">
        <v>87</v>
      </c>
      <c r="F2102" s="7" t="s">
        <v>546</v>
      </c>
      <c r="G2102" s="7" t="s">
        <v>546</v>
      </c>
      <c r="H2102" s="7" t="s">
        <v>546</v>
      </c>
      <c r="I2102" s="7" t="s">
        <v>546</v>
      </c>
      <c r="J2102" s="21" t="n">
        <f aca="false">D2102/(D2102+E2102)</f>
        <v>0.462962962962963</v>
      </c>
      <c r="K2102" s="3" t="n">
        <f aca="false">IF(D2102&gt;E2102,1,0)</f>
        <v>0</v>
      </c>
      <c r="L2102" s="3" t="n">
        <f aca="false">IF(OR(F2102="Y",G2102="Y",H2102="Y"),1,0)</f>
        <v>0</v>
      </c>
      <c r="M2102" s="3" t="n">
        <f aca="false">IF(H2102="Y",1,0)</f>
        <v>0</v>
      </c>
      <c r="N2102" s="3" t="n">
        <f aca="false">IF(I2102="Y",1,0)</f>
        <v>0</v>
      </c>
    </row>
    <row r="2103" customFormat="false" ht="15" hidden="false" customHeight="true" outlineLevel="0" collapsed="false">
      <c r="A2103" s="7" t="s">
        <v>60</v>
      </c>
      <c r="B2103" s="7" t="n">
        <v>1999</v>
      </c>
      <c r="C2103" s="7" t="s">
        <v>361</v>
      </c>
      <c r="D2103" s="7" t="n">
        <v>77</v>
      </c>
      <c r="E2103" s="7" t="n">
        <v>85</v>
      </c>
      <c r="F2103" s="7" t="s">
        <v>546</v>
      </c>
      <c r="G2103" s="7" t="s">
        <v>546</v>
      </c>
      <c r="H2103" s="7" t="s">
        <v>546</v>
      </c>
      <c r="I2103" s="7" t="s">
        <v>546</v>
      </c>
      <c r="J2103" s="21" t="n">
        <f aca="false">D2103/(D2103+E2103)</f>
        <v>0.475308641975309</v>
      </c>
      <c r="K2103" s="3" t="n">
        <f aca="false">IF(D2103&gt;E2103,1,0)</f>
        <v>0</v>
      </c>
      <c r="L2103" s="3" t="n">
        <f aca="false">IF(OR(F2103="Y",G2103="Y",H2103="Y"),1,0)</f>
        <v>0</v>
      </c>
      <c r="M2103" s="3" t="n">
        <f aca="false">IF(H2103="Y",1,0)</f>
        <v>0</v>
      </c>
      <c r="N2103" s="3" t="n">
        <f aca="false">IF(I2103="Y",1,0)</f>
        <v>0</v>
      </c>
    </row>
    <row r="2104" customFormat="false" ht="15" hidden="false" customHeight="true" outlineLevel="0" collapsed="false">
      <c r="A2104" s="7" t="s">
        <v>60</v>
      </c>
      <c r="B2104" s="7" t="n">
        <v>2000</v>
      </c>
      <c r="C2104" s="7" t="s">
        <v>361</v>
      </c>
      <c r="D2104" s="7" t="n">
        <v>65</v>
      </c>
      <c r="E2104" s="7" t="n">
        <v>97</v>
      </c>
      <c r="F2104" s="7" t="s">
        <v>546</v>
      </c>
      <c r="G2104" s="7" t="s">
        <v>546</v>
      </c>
      <c r="H2104" s="7" t="s">
        <v>546</v>
      </c>
      <c r="I2104" s="7" t="s">
        <v>546</v>
      </c>
      <c r="J2104" s="21" t="n">
        <f aca="false">D2104/(D2104+E2104)</f>
        <v>0.401234567901235</v>
      </c>
      <c r="K2104" s="3" t="n">
        <f aca="false">IF(D2104&gt;E2104,1,0)</f>
        <v>0</v>
      </c>
      <c r="L2104" s="3" t="n">
        <f aca="false">IF(OR(F2104="Y",G2104="Y",H2104="Y"),1,0)</f>
        <v>0</v>
      </c>
      <c r="M2104" s="3" t="n">
        <f aca="false">IF(H2104="Y",1,0)</f>
        <v>0</v>
      </c>
      <c r="N2104" s="3" t="n">
        <f aca="false">IF(I2104="Y",1,0)</f>
        <v>0</v>
      </c>
    </row>
    <row r="2105" customFormat="false" ht="15" hidden="false" customHeight="true" outlineLevel="0" collapsed="false">
      <c r="A2105" s="7" t="s">
        <v>60</v>
      </c>
      <c r="B2105" s="7" t="n">
        <v>2001</v>
      </c>
      <c r="C2105" s="7" t="s">
        <v>361</v>
      </c>
      <c r="D2105" s="7" t="n">
        <v>86</v>
      </c>
      <c r="E2105" s="7" t="n">
        <v>76</v>
      </c>
      <c r="F2105" s="7" t="s">
        <v>546</v>
      </c>
      <c r="G2105" s="7" t="s">
        <v>546</v>
      </c>
      <c r="H2105" s="7" t="s">
        <v>546</v>
      </c>
      <c r="I2105" s="7" t="s">
        <v>546</v>
      </c>
      <c r="J2105" s="21" t="n">
        <f aca="false">D2105/(D2105+E2105)</f>
        <v>0.530864197530864</v>
      </c>
      <c r="K2105" s="3" t="n">
        <f aca="false">IF(D2105&gt;E2105,1,0)</f>
        <v>1</v>
      </c>
      <c r="L2105" s="3" t="n">
        <f aca="false">IF(OR(F2105="Y",G2105="Y",H2105="Y"),1,0)</f>
        <v>0</v>
      </c>
      <c r="M2105" s="3" t="n">
        <f aca="false">IF(H2105="Y",1,0)</f>
        <v>0</v>
      </c>
      <c r="N2105" s="3" t="n">
        <f aca="false">IF(I2105="Y",1,0)</f>
        <v>0</v>
      </c>
    </row>
    <row r="2106" customFormat="false" ht="15" hidden="false" customHeight="true" outlineLevel="0" collapsed="false">
      <c r="A2106" s="7" t="s">
        <v>60</v>
      </c>
      <c r="B2106" s="7" t="n">
        <v>2002</v>
      </c>
      <c r="C2106" s="7" t="s">
        <v>361</v>
      </c>
      <c r="D2106" s="7" t="n">
        <v>80</v>
      </c>
      <c r="E2106" s="7" t="n">
        <v>81</v>
      </c>
      <c r="F2106" s="7" t="s">
        <v>546</v>
      </c>
      <c r="G2106" s="7" t="s">
        <v>546</v>
      </c>
      <c r="H2106" s="7" t="s">
        <v>546</v>
      </c>
      <c r="I2106" s="7" t="s">
        <v>546</v>
      </c>
      <c r="J2106" s="21" t="n">
        <f aca="false">D2106/(D2106+E2106)</f>
        <v>0.496894409937888</v>
      </c>
      <c r="K2106" s="3" t="n">
        <f aca="false">IF(D2106&gt;E2106,1,0)</f>
        <v>0</v>
      </c>
      <c r="L2106" s="3" t="n">
        <f aca="false">IF(OR(F2106="Y",G2106="Y",H2106="Y"),1,0)</f>
        <v>0</v>
      </c>
      <c r="M2106" s="3" t="n">
        <f aca="false">IF(H2106="Y",1,0)</f>
        <v>0</v>
      </c>
      <c r="N2106" s="3" t="n">
        <f aca="false">IF(I2106="Y",1,0)</f>
        <v>0</v>
      </c>
    </row>
    <row r="2107" customFormat="false" ht="15" hidden="false" customHeight="true" outlineLevel="0" collapsed="false">
      <c r="A2107" s="7" t="s">
        <v>60</v>
      </c>
      <c r="B2107" s="7" t="n">
        <v>2003</v>
      </c>
      <c r="C2107" s="7" t="s">
        <v>361</v>
      </c>
      <c r="D2107" s="7" t="n">
        <v>86</v>
      </c>
      <c r="E2107" s="7" t="n">
        <v>76</v>
      </c>
      <c r="F2107" s="7" t="s">
        <v>546</v>
      </c>
      <c r="G2107" s="7" t="s">
        <v>546</v>
      </c>
      <c r="H2107" s="7" t="s">
        <v>546</v>
      </c>
      <c r="I2107" s="7" t="s">
        <v>546</v>
      </c>
      <c r="J2107" s="21" t="n">
        <f aca="false">D2107/(D2107+E2107)</f>
        <v>0.530864197530864</v>
      </c>
      <c r="K2107" s="3" t="n">
        <f aca="false">IF(D2107&gt;E2107,1,0)</f>
        <v>1</v>
      </c>
      <c r="L2107" s="3" t="n">
        <f aca="false">IF(OR(F2107="Y",G2107="Y",H2107="Y"),1,0)</f>
        <v>0</v>
      </c>
      <c r="M2107" s="3" t="n">
        <f aca="false">IF(H2107="Y",1,0)</f>
        <v>0</v>
      </c>
      <c r="N2107" s="3" t="n">
        <f aca="false">IF(I2107="Y",1,0)</f>
        <v>0</v>
      </c>
    </row>
    <row r="2108" customFormat="false" ht="15" hidden="false" customHeight="true" outlineLevel="0" collapsed="false">
      <c r="A2108" s="7" t="s">
        <v>60</v>
      </c>
      <c r="B2108" s="7" t="n">
        <v>2004</v>
      </c>
      <c r="C2108" s="7" t="s">
        <v>361</v>
      </c>
      <c r="D2108" s="7" t="n">
        <v>86</v>
      </c>
      <c r="E2108" s="7" t="n">
        <v>76</v>
      </c>
      <c r="F2108" s="7" t="s">
        <v>546</v>
      </c>
      <c r="G2108" s="7" t="s">
        <v>546</v>
      </c>
      <c r="H2108" s="7" t="s">
        <v>546</v>
      </c>
      <c r="I2108" s="7" t="s">
        <v>546</v>
      </c>
      <c r="J2108" s="21" t="n">
        <f aca="false">D2108/(D2108+E2108)</f>
        <v>0.530864197530864</v>
      </c>
      <c r="K2108" s="3" t="n">
        <f aca="false">IF(D2108&gt;E2108,1,0)</f>
        <v>1</v>
      </c>
      <c r="L2108" s="3" t="n">
        <f aca="false">IF(OR(F2108="Y",G2108="Y",H2108="Y"),1,0)</f>
        <v>0</v>
      </c>
      <c r="M2108" s="3" t="n">
        <f aca="false">IF(H2108="Y",1,0)</f>
        <v>0</v>
      </c>
      <c r="N2108" s="3" t="n">
        <f aca="false">IF(I2108="Y",1,0)</f>
        <v>0</v>
      </c>
    </row>
    <row r="2109" customFormat="false" ht="15" hidden="false" customHeight="true" outlineLevel="0" collapsed="false">
      <c r="A2109" s="7" t="s">
        <v>60</v>
      </c>
      <c r="B2109" s="7" t="n">
        <v>2005</v>
      </c>
      <c r="C2109" s="7" t="s">
        <v>361</v>
      </c>
      <c r="D2109" s="7" t="n">
        <v>88</v>
      </c>
      <c r="E2109" s="7" t="n">
        <v>74</v>
      </c>
      <c r="F2109" s="7" t="s">
        <v>546</v>
      </c>
      <c r="G2109" s="7" t="s">
        <v>546</v>
      </c>
      <c r="H2109" s="7" t="s">
        <v>546</v>
      </c>
      <c r="I2109" s="7" t="s">
        <v>546</v>
      </c>
      <c r="J2109" s="21" t="n">
        <f aca="false">D2109/(D2109+E2109)</f>
        <v>0.54320987654321</v>
      </c>
      <c r="K2109" s="3" t="n">
        <f aca="false">IF(D2109&gt;E2109,1,0)</f>
        <v>1</v>
      </c>
      <c r="L2109" s="3" t="n">
        <f aca="false">IF(OR(F2109="Y",G2109="Y",H2109="Y"),1,0)</f>
        <v>0</v>
      </c>
      <c r="M2109" s="3" t="n">
        <f aca="false">IF(H2109="Y",1,0)</f>
        <v>0</v>
      </c>
      <c r="N2109" s="3" t="n">
        <f aca="false">IF(I2109="Y",1,0)</f>
        <v>0</v>
      </c>
    </row>
    <row r="2110" customFormat="false" ht="15" hidden="false" customHeight="true" outlineLevel="0" collapsed="false">
      <c r="A2110" s="7" t="s">
        <v>60</v>
      </c>
      <c r="B2110" s="7" t="n">
        <v>2006</v>
      </c>
      <c r="C2110" s="7" t="s">
        <v>361</v>
      </c>
      <c r="D2110" s="7" t="n">
        <v>85</v>
      </c>
      <c r="E2110" s="7" t="n">
        <v>77</v>
      </c>
      <c r="F2110" s="7" t="s">
        <v>546</v>
      </c>
      <c r="G2110" s="7" t="s">
        <v>546</v>
      </c>
      <c r="H2110" s="7" t="s">
        <v>546</v>
      </c>
      <c r="I2110" s="7" t="s">
        <v>546</v>
      </c>
      <c r="J2110" s="21" t="n">
        <f aca="false">D2110/(D2110+E2110)</f>
        <v>0.524691358024691</v>
      </c>
      <c r="K2110" s="3" t="n">
        <f aca="false">IF(D2110&gt;E2110,1,0)</f>
        <v>1</v>
      </c>
      <c r="L2110" s="3" t="n">
        <f aca="false">IF(OR(F2110="Y",G2110="Y",H2110="Y"),1,0)</f>
        <v>0</v>
      </c>
      <c r="M2110" s="3" t="n">
        <f aca="false">IF(H2110="Y",1,0)</f>
        <v>0</v>
      </c>
      <c r="N2110" s="3" t="n">
        <f aca="false">IF(I2110="Y",1,0)</f>
        <v>0</v>
      </c>
    </row>
    <row r="2111" customFormat="false" ht="15" hidden="false" customHeight="true" outlineLevel="0" collapsed="false">
      <c r="A2111" s="7" t="s">
        <v>60</v>
      </c>
      <c r="B2111" s="7" t="n">
        <v>2007</v>
      </c>
      <c r="C2111" s="7" t="s">
        <v>361</v>
      </c>
      <c r="D2111" s="7" t="n">
        <v>89</v>
      </c>
      <c r="E2111" s="7" t="n">
        <v>73</v>
      </c>
      <c r="F2111" s="7" t="s">
        <v>548</v>
      </c>
      <c r="G2111" s="7" t="s">
        <v>546</v>
      </c>
      <c r="H2111" s="7" t="s">
        <v>546</v>
      </c>
      <c r="I2111" s="7" t="s">
        <v>546</v>
      </c>
      <c r="J2111" s="21" t="n">
        <f aca="false">D2111/(D2111+E2111)</f>
        <v>0.549382716049383</v>
      </c>
      <c r="K2111" s="3" t="n">
        <f aca="false">IF(D2111&gt;E2111,1,0)</f>
        <v>1</v>
      </c>
      <c r="L2111" s="3" t="n">
        <f aca="false">IF(OR(F2111="Y",G2111="Y",H2111="Y"),1,0)</f>
        <v>1</v>
      </c>
      <c r="M2111" s="3" t="n">
        <f aca="false">IF(H2111="Y",1,0)</f>
        <v>0</v>
      </c>
      <c r="N2111" s="3" t="n">
        <f aca="false">IF(I2111="Y",1,0)</f>
        <v>0</v>
      </c>
    </row>
    <row r="2112" customFormat="false" ht="15" hidden="false" customHeight="true" outlineLevel="0" collapsed="false">
      <c r="A2112" s="7" t="s">
        <v>60</v>
      </c>
      <c r="B2112" s="7" t="n">
        <v>2008</v>
      </c>
      <c r="C2112" s="7" t="s">
        <v>361</v>
      </c>
      <c r="D2112" s="7" t="n">
        <v>92</v>
      </c>
      <c r="E2112" s="7" t="n">
        <v>70</v>
      </c>
      <c r="F2112" s="7" t="s">
        <v>548</v>
      </c>
      <c r="G2112" s="7" t="s">
        <v>546</v>
      </c>
      <c r="H2112" s="7" t="s">
        <v>548</v>
      </c>
      <c r="I2112" s="7" t="s">
        <v>548</v>
      </c>
      <c r="J2112" s="21" t="n">
        <f aca="false">D2112/(D2112+E2112)</f>
        <v>0.567901234567901</v>
      </c>
      <c r="K2112" s="3" t="n">
        <f aca="false">IF(D2112&gt;E2112,1,0)</f>
        <v>1</v>
      </c>
      <c r="L2112" s="3" t="n">
        <f aca="false">IF(OR(F2112="Y",G2112="Y",H2112="Y"),1,0)</f>
        <v>1</v>
      </c>
      <c r="M2112" s="3" t="n">
        <f aca="false">IF(H2112="Y",1,0)</f>
        <v>1</v>
      </c>
      <c r="N2112" s="3" t="n">
        <f aca="false">IF(I2112="Y",1,0)</f>
        <v>1</v>
      </c>
    </row>
    <row r="2113" customFormat="false" ht="15" hidden="false" customHeight="true" outlineLevel="0" collapsed="false">
      <c r="A2113" s="7" t="s">
        <v>60</v>
      </c>
      <c r="B2113" s="7" t="n">
        <v>2009</v>
      </c>
      <c r="C2113" s="7" t="s">
        <v>361</v>
      </c>
      <c r="D2113" s="7" t="n">
        <v>93</v>
      </c>
      <c r="E2113" s="7" t="n">
        <v>69</v>
      </c>
      <c r="F2113" s="7" t="s">
        <v>548</v>
      </c>
      <c r="G2113" s="7" t="s">
        <v>546</v>
      </c>
      <c r="H2113" s="7" t="s">
        <v>548</v>
      </c>
      <c r="I2113" s="7" t="s">
        <v>546</v>
      </c>
      <c r="J2113" s="21" t="n">
        <f aca="false">D2113/(D2113+E2113)</f>
        <v>0.574074074074074</v>
      </c>
      <c r="K2113" s="3" t="n">
        <f aca="false">IF(D2113&gt;E2113,1,0)</f>
        <v>1</v>
      </c>
      <c r="L2113" s="3" t="n">
        <f aca="false">IF(OR(F2113="Y",G2113="Y",H2113="Y"),1,0)</f>
        <v>1</v>
      </c>
      <c r="M2113" s="3" t="n">
        <f aca="false">IF(H2113="Y",1,0)</f>
        <v>1</v>
      </c>
      <c r="N2113" s="3" t="n">
        <f aca="false">IF(I2113="Y",1,0)</f>
        <v>0</v>
      </c>
    </row>
    <row r="2114" customFormat="false" ht="15" hidden="false" customHeight="true" outlineLevel="0" collapsed="false">
      <c r="A2114" s="7" t="s">
        <v>60</v>
      </c>
      <c r="B2114" s="7" t="n">
        <v>2010</v>
      </c>
      <c r="C2114" s="7" t="s">
        <v>361</v>
      </c>
      <c r="D2114" s="7" t="n">
        <v>97</v>
      </c>
      <c r="E2114" s="7" t="n">
        <v>65</v>
      </c>
      <c r="F2114" s="7" t="s">
        <v>548</v>
      </c>
      <c r="G2114" s="7" t="s">
        <v>546</v>
      </c>
      <c r="H2114" s="7" t="s">
        <v>546</v>
      </c>
      <c r="I2114" s="7" t="s">
        <v>546</v>
      </c>
      <c r="J2114" s="21" t="n">
        <f aca="false">D2114/(D2114+E2114)</f>
        <v>0.598765432098765</v>
      </c>
      <c r="K2114" s="3" t="n">
        <f aca="false">IF(D2114&gt;E2114,1,0)</f>
        <v>1</v>
      </c>
      <c r="L2114" s="3" t="n">
        <f aca="false">IF(OR(F2114="Y",G2114="Y",H2114="Y"),1,0)</f>
        <v>1</v>
      </c>
      <c r="M2114" s="3" t="n">
        <f aca="false">IF(H2114="Y",1,0)</f>
        <v>0</v>
      </c>
      <c r="N2114" s="3" t="n">
        <f aca="false">IF(I2114="Y",1,0)</f>
        <v>0</v>
      </c>
    </row>
    <row r="2115" customFormat="false" ht="15" hidden="false" customHeight="true" outlineLevel="0" collapsed="false">
      <c r="A2115" s="7" t="s">
        <v>60</v>
      </c>
      <c r="B2115" s="7" t="n">
        <v>2011</v>
      </c>
      <c r="C2115" s="7" t="s">
        <v>361</v>
      </c>
      <c r="D2115" s="7" t="n">
        <v>102</v>
      </c>
      <c r="E2115" s="7" t="n">
        <v>60</v>
      </c>
      <c r="F2115" s="7" t="s">
        <v>548</v>
      </c>
      <c r="G2115" s="7" t="s">
        <v>546</v>
      </c>
      <c r="H2115" s="7" t="s">
        <v>546</v>
      </c>
      <c r="I2115" s="7" t="s">
        <v>546</v>
      </c>
      <c r="J2115" s="21" t="n">
        <f aca="false">D2115/(D2115+E2115)</f>
        <v>0.62962962962963</v>
      </c>
      <c r="K2115" s="3" t="n">
        <f aca="false">IF(D2115&gt;E2115,1,0)</f>
        <v>1</v>
      </c>
      <c r="L2115" s="3" t="n">
        <f aca="false">IF(OR(F2115="Y",G2115="Y",H2115="Y"),1,0)</f>
        <v>1</v>
      </c>
      <c r="M2115" s="3" t="n">
        <f aca="false">IF(H2115="Y",1,0)</f>
        <v>0</v>
      </c>
      <c r="N2115" s="3" t="n">
        <f aca="false">IF(I2115="Y",1,0)</f>
        <v>0</v>
      </c>
    </row>
    <row r="2116" customFormat="false" ht="15" hidden="false" customHeight="true" outlineLevel="0" collapsed="false">
      <c r="A2116" s="7" t="s">
        <v>60</v>
      </c>
      <c r="B2116" s="7" t="n">
        <v>2012</v>
      </c>
      <c r="C2116" s="7" t="s">
        <v>361</v>
      </c>
      <c r="D2116" s="7" t="n">
        <v>81</v>
      </c>
      <c r="E2116" s="7" t="n">
        <v>81</v>
      </c>
      <c r="F2116" s="7" t="s">
        <v>546</v>
      </c>
      <c r="G2116" s="7" t="s">
        <v>546</v>
      </c>
      <c r="H2116" s="7" t="s">
        <v>546</v>
      </c>
      <c r="I2116" s="7" t="s">
        <v>546</v>
      </c>
      <c r="J2116" s="21" t="n">
        <f aca="false">D2116/(D2116+E2116)</f>
        <v>0.5</v>
      </c>
      <c r="K2116" s="3" t="n">
        <f aca="false">IF(D2116&gt;E2116,1,0)</f>
        <v>0</v>
      </c>
      <c r="L2116" s="3" t="n">
        <f aca="false">IF(OR(F2116="Y",G2116="Y",H2116="Y"),1,0)</f>
        <v>0</v>
      </c>
      <c r="M2116" s="3" t="n">
        <f aca="false">IF(H2116="Y",1,0)</f>
        <v>0</v>
      </c>
      <c r="N2116" s="3" t="n">
        <f aca="false">IF(I2116="Y",1,0)</f>
        <v>0</v>
      </c>
    </row>
    <row r="2117" customFormat="false" ht="15" hidden="false" customHeight="true" outlineLevel="0" collapsed="false">
      <c r="A2117" s="7" t="s">
        <v>60</v>
      </c>
      <c r="B2117" s="7" t="n">
        <v>2013</v>
      </c>
      <c r="C2117" s="7" t="s">
        <v>361</v>
      </c>
      <c r="D2117" s="7" t="n">
        <v>73</v>
      </c>
      <c r="E2117" s="7" t="n">
        <v>89</v>
      </c>
      <c r="F2117" s="7" t="s">
        <v>546</v>
      </c>
      <c r="G2117" s="7" t="s">
        <v>546</v>
      </c>
      <c r="H2117" s="7" t="s">
        <v>546</v>
      </c>
      <c r="I2117" s="7" t="s">
        <v>546</v>
      </c>
      <c r="J2117" s="21" t="n">
        <f aca="false">D2117/(D2117+E2117)</f>
        <v>0.450617283950617</v>
      </c>
      <c r="K2117" s="3" t="n">
        <f aca="false">IF(D2117&gt;E2117,1,0)</f>
        <v>0</v>
      </c>
      <c r="L2117" s="3" t="n">
        <f aca="false">IF(OR(F2117="Y",G2117="Y",H2117="Y"),1,0)</f>
        <v>0</v>
      </c>
      <c r="M2117" s="3" t="n">
        <f aca="false">IF(H2117="Y",1,0)</f>
        <v>0</v>
      </c>
      <c r="N2117" s="3" t="n">
        <f aca="false">IF(I2117="Y",1,0)</f>
        <v>0</v>
      </c>
    </row>
    <row r="2118" customFormat="false" ht="15" hidden="false" customHeight="true" outlineLevel="0" collapsed="false">
      <c r="A2118" s="7" t="s">
        <v>60</v>
      </c>
      <c r="B2118" s="7" t="n">
        <v>2014</v>
      </c>
      <c r="C2118" s="7" t="s">
        <v>361</v>
      </c>
      <c r="D2118" s="7" t="n">
        <v>73</v>
      </c>
      <c r="E2118" s="7" t="n">
        <v>89</v>
      </c>
      <c r="F2118" s="7" t="s">
        <v>546</v>
      </c>
      <c r="G2118" s="7" t="s">
        <v>546</v>
      </c>
      <c r="H2118" s="7" t="s">
        <v>546</v>
      </c>
      <c r="I2118" s="7" t="s">
        <v>546</v>
      </c>
      <c r="J2118" s="21" t="n">
        <f aca="false">D2118/(D2118+E2118)</f>
        <v>0.450617283950617</v>
      </c>
      <c r="K2118" s="3" t="n">
        <f aca="false">IF(D2118&gt;E2118,1,0)</f>
        <v>0</v>
      </c>
      <c r="L2118" s="3" t="n">
        <f aca="false">IF(OR(F2118="Y",G2118="Y",H2118="Y"),1,0)</f>
        <v>0</v>
      </c>
      <c r="M2118" s="3" t="n">
        <f aca="false">IF(H2118="Y",1,0)</f>
        <v>0</v>
      </c>
      <c r="N2118" s="3" t="n">
        <f aca="false">IF(I2118="Y",1,0)</f>
        <v>0</v>
      </c>
    </row>
    <row r="2119" customFormat="false" ht="15" hidden="false" customHeight="true" outlineLevel="0" collapsed="false">
      <c r="A2119" s="7" t="s">
        <v>60</v>
      </c>
      <c r="B2119" s="7" t="n">
        <v>2015</v>
      </c>
      <c r="C2119" s="7" t="s">
        <v>361</v>
      </c>
      <c r="D2119" s="7" t="n">
        <v>63</v>
      </c>
      <c r="E2119" s="7" t="n">
        <v>99</v>
      </c>
      <c r="F2119" s="7" t="s">
        <v>546</v>
      </c>
      <c r="G2119" s="7" t="s">
        <v>546</v>
      </c>
      <c r="H2119" s="7" t="s">
        <v>546</v>
      </c>
      <c r="I2119" s="7" t="s">
        <v>546</v>
      </c>
      <c r="J2119" s="21" t="n">
        <f aca="false">D2119/(D2119+E2119)</f>
        <v>0.388888888888889</v>
      </c>
      <c r="K2119" s="3" t="n">
        <f aca="false">IF(D2119&gt;E2119,1,0)</f>
        <v>0</v>
      </c>
      <c r="L2119" s="3" t="n">
        <f aca="false">IF(OR(F2119="Y",G2119="Y",H2119="Y"),1,0)</f>
        <v>0</v>
      </c>
      <c r="M2119" s="3" t="n">
        <f aca="false">IF(H2119="Y",1,0)</f>
        <v>0</v>
      </c>
      <c r="N2119" s="3" t="n">
        <f aca="false">IF(I2119="Y",1,0)</f>
        <v>0</v>
      </c>
    </row>
    <row r="2120" customFormat="false" ht="15" hidden="false" customHeight="true" outlineLevel="0" collapsed="false">
      <c r="A2120" s="7" t="s">
        <v>60</v>
      </c>
      <c r="B2120" s="7" t="n">
        <v>2016</v>
      </c>
      <c r="C2120" s="7" t="s">
        <v>361</v>
      </c>
      <c r="D2120" s="7" t="n">
        <v>71</v>
      </c>
      <c r="E2120" s="7" t="n">
        <v>91</v>
      </c>
      <c r="F2120" s="7" t="s">
        <v>546</v>
      </c>
      <c r="G2120" s="7" t="s">
        <v>546</v>
      </c>
      <c r="H2120" s="7" t="s">
        <v>546</v>
      </c>
      <c r="I2120" s="7" t="s">
        <v>546</v>
      </c>
      <c r="J2120" s="21" t="n">
        <f aca="false">D2120/(D2120+E2120)</f>
        <v>0.438271604938272</v>
      </c>
      <c r="K2120" s="3" t="n">
        <f aca="false">IF(D2120&gt;E2120,1,0)</f>
        <v>0</v>
      </c>
      <c r="L2120" s="3" t="n">
        <f aca="false">IF(OR(F2120="Y",G2120="Y",H2120="Y"),1,0)</f>
        <v>0</v>
      </c>
      <c r="M2120" s="3" t="n">
        <f aca="false">IF(H2120="Y",1,0)</f>
        <v>0</v>
      </c>
      <c r="N2120" s="3" t="n">
        <f aca="false">IF(I2120="Y",1,0)</f>
        <v>0</v>
      </c>
    </row>
    <row r="2121" customFormat="false" ht="15" hidden="false" customHeight="true" outlineLevel="0" collapsed="false">
      <c r="A2121" s="7" t="s">
        <v>60</v>
      </c>
      <c r="B2121" s="7" t="n">
        <v>2017</v>
      </c>
      <c r="C2121" s="7" t="s">
        <v>361</v>
      </c>
      <c r="D2121" s="7" t="n">
        <v>66</v>
      </c>
      <c r="E2121" s="7" t="n">
        <v>96</v>
      </c>
      <c r="F2121" s="7" t="s">
        <v>546</v>
      </c>
      <c r="G2121" s="7" t="s">
        <v>546</v>
      </c>
      <c r="H2121" s="7" t="s">
        <v>546</v>
      </c>
      <c r="I2121" s="7" t="s">
        <v>546</v>
      </c>
      <c r="J2121" s="21" t="n">
        <f aca="false">D2121/(D2121+E2121)</f>
        <v>0.407407407407407</v>
      </c>
      <c r="K2121" s="3" t="n">
        <f aca="false">IF(D2121&gt;E2121,1,0)</f>
        <v>0</v>
      </c>
      <c r="L2121" s="3" t="n">
        <f aca="false">IF(OR(F2121="Y",G2121="Y",H2121="Y"),1,0)</f>
        <v>0</v>
      </c>
      <c r="M2121" s="3" t="n">
        <f aca="false">IF(H2121="Y",1,0)</f>
        <v>0</v>
      </c>
      <c r="N2121" s="3" t="n">
        <f aca="false">IF(I2121="Y",1,0)</f>
        <v>0</v>
      </c>
    </row>
    <row r="2122" customFormat="false" ht="15" hidden="false" customHeight="true" outlineLevel="0" collapsed="false">
      <c r="A2122" s="7" t="s">
        <v>60</v>
      </c>
      <c r="B2122" s="7" t="n">
        <v>2018</v>
      </c>
      <c r="C2122" s="7" t="s">
        <v>361</v>
      </c>
      <c r="D2122" s="7" t="n">
        <v>80</v>
      </c>
      <c r="E2122" s="7" t="n">
        <v>82</v>
      </c>
      <c r="F2122" s="7" t="s">
        <v>546</v>
      </c>
      <c r="G2122" s="7" t="s">
        <v>546</v>
      </c>
      <c r="H2122" s="7" t="s">
        <v>546</v>
      </c>
      <c r="I2122" s="7" t="s">
        <v>546</v>
      </c>
      <c r="J2122" s="21" t="n">
        <f aca="false">D2122/(D2122+E2122)</f>
        <v>0.493827160493827</v>
      </c>
      <c r="K2122" s="3" t="n">
        <f aca="false">IF(D2122&gt;E2122,1,0)</f>
        <v>0</v>
      </c>
      <c r="L2122" s="3" t="n">
        <f aca="false">IF(OR(F2122="Y",G2122="Y",H2122="Y"),1,0)</f>
        <v>0</v>
      </c>
      <c r="M2122" s="3" t="n">
        <f aca="false">IF(H2122="Y",1,0)</f>
        <v>0</v>
      </c>
      <c r="N2122" s="3" t="n">
        <f aca="false">IF(I2122="Y",1,0)</f>
        <v>0</v>
      </c>
    </row>
    <row r="2123" customFormat="false" ht="15" hidden="false" customHeight="true" outlineLevel="0" collapsed="false">
      <c r="A2123" s="7" t="s">
        <v>60</v>
      </c>
      <c r="B2123" s="7" t="n">
        <v>2019</v>
      </c>
      <c r="C2123" s="7" t="s">
        <v>361</v>
      </c>
      <c r="D2123" s="7" t="n">
        <v>81</v>
      </c>
      <c r="E2123" s="7" t="n">
        <v>81</v>
      </c>
      <c r="F2123" s="7" t="s">
        <v>546</v>
      </c>
      <c r="G2123" s="7" t="s">
        <v>546</v>
      </c>
      <c r="H2123" s="7" t="s">
        <v>546</v>
      </c>
      <c r="I2123" s="7" t="s">
        <v>546</v>
      </c>
      <c r="J2123" s="21" t="n">
        <f aca="false">D2123/(D2123+E2123)</f>
        <v>0.5</v>
      </c>
      <c r="K2123" s="3" t="n">
        <f aca="false">IF(D2123&gt;E2123,1,0)</f>
        <v>0</v>
      </c>
      <c r="L2123" s="3" t="n">
        <f aca="false">IF(OR(F2123="Y",G2123="Y",H2123="Y"),1,0)</f>
        <v>0</v>
      </c>
      <c r="M2123" s="3" t="n">
        <f aca="false">IF(H2123="Y",1,0)</f>
        <v>0</v>
      </c>
      <c r="N2123" s="3" t="n">
        <f aca="false">IF(I2123="Y",1,0)</f>
        <v>0</v>
      </c>
    </row>
    <row r="2124" customFormat="false" ht="15" hidden="false" customHeight="true" outlineLevel="0" collapsed="false">
      <c r="A2124" s="7" t="s">
        <v>60</v>
      </c>
      <c r="B2124" s="7" t="n">
        <v>2020</v>
      </c>
      <c r="C2124" s="7" t="s">
        <v>361</v>
      </c>
      <c r="D2124" s="7" t="n">
        <v>28</v>
      </c>
      <c r="E2124" s="7" t="n">
        <v>32</v>
      </c>
      <c r="F2124" s="7" t="s">
        <v>546</v>
      </c>
      <c r="G2124" s="7" t="s">
        <v>546</v>
      </c>
      <c r="H2124" s="7" t="s">
        <v>546</v>
      </c>
      <c r="I2124" s="7" t="s">
        <v>546</v>
      </c>
      <c r="J2124" s="21" t="n">
        <f aca="false">D2124/(D2124+E2124)</f>
        <v>0.466666666666667</v>
      </c>
      <c r="K2124" s="3" t="n">
        <f aca="false">IF(D2124&gt;E2124,1,0)</f>
        <v>0</v>
      </c>
      <c r="L2124" s="3" t="n">
        <f aca="false">IF(OR(F2124="Y",G2124="Y",H2124="Y"),1,0)</f>
        <v>0</v>
      </c>
      <c r="M2124" s="3" t="n">
        <f aca="false">IF(H2124="Y",1,0)</f>
        <v>0</v>
      </c>
      <c r="N2124" s="3" t="n">
        <f aca="false">IF(I2124="Y",1,0)</f>
        <v>0</v>
      </c>
    </row>
    <row r="2125" customFormat="false" ht="15" hidden="false" customHeight="true" outlineLevel="0" collapsed="false">
      <c r="A2125" s="7" t="s">
        <v>60</v>
      </c>
      <c r="B2125" s="7" t="n">
        <v>2021</v>
      </c>
      <c r="C2125" s="7" t="s">
        <v>361</v>
      </c>
      <c r="D2125" s="7" t="n">
        <v>82</v>
      </c>
      <c r="E2125" s="7" t="n">
        <v>80</v>
      </c>
      <c r="F2125" s="7" t="s">
        <v>546</v>
      </c>
      <c r="G2125" s="7" t="s">
        <v>546</v>
      </c>
      <c r="H2125" s="7" t="s">
        <v>546</v>
      </c>
      <c r="I2125" s="7" t="s">
        <v>546</v>
      </c>
      <c r="J2125" s="21" t="n">
        <f aca="false">D2125/(D2125+E2125)</f>
        <v>0.506172839506173</v>
      </c>
      <c r="K2125" s="3" t="n">
        <f aca="false">IF(D2125&gt;E2125,1,0)</f>
        <v>1</v>
      </c>
      <c r="L2125" s="3" t="n">
        <f aca="false">IF(OR(F2125="Y",G2125="Y",H2125="Y"),1,0)</f>
        <v>0</v>
      </c>
      <c r="M2125" s="3" t="n">
        <f aca="false">IF(H2125="Y",1,0)</f>
        <v>0</v>
      </c>
      <c r="N2125" s="3" t="n">
        <f aca="false">IF(I2125="Y",1,0)</f>
        <v>0</v>
      </c>
    </row>
    <row r="2126" customFormat="false" ht="15" hidden="false" customHeight="true" outlineLevel="0" collapsed="false">
      <c r="A2126" s="7" t="s">
        <v>60</v>
      </c>
      <c r="B2126" s="7" t="n">
        <v>2022</v>
      </c>
      <c r="C2126" s="7" t="s">
        <v>361</v>
      </c>
      <c r="D2126" s="7" t="n">
        <v>87</v>
      </c>
      <c r="E2126" s="7" t="n">
        <v>75</v>
      </c>
      <c r="F2126" s="7" t="s">
        <v>546</v>
      </c>
      <c r="G2126" s="7" t="s">
        <v>548</v>
      </c>
      <c r="H2126" s="7" t="s">
        <v>548</v>
      </c>
      <c r="I2126" s="7" t="s">
        <v>546</v>
      </c>
      <c r="J2126" s="21" t="n">
        <f aca="false">D2126/(D2126+E2126)</f>
        <v>0.537037037037037</v>
      </c>
      <c r="K2126" s="3" t="n">
        <f aca="false">IF(D2126&gt;E2126,1,0)</f>
        <v>1</v>
      </c>
      <c r="L2126" s="3" t="n">
        <f aca="false">IF(OR(F2126="Y",G2126="Y",H2126="Y"),1,0)</f>
        <v>1</v>
      </c>
      <c r="M2126" s="3" t="n">
        <f aca="false">IF(H2126="Y",1,0)</f>
        <v>1</v>
      </c>
      <c r="N2126" s="3" t="n">
        <f aca="false">IF(I2126="Y",1,0)</f>
        <v>0</v>
      </c>
    </row>
    <row r="2127" customFormat="false" ht="15" hidden="false" customHeight="true" outlineLevel="0" collapsed="false">
      <c r="A2127" s="7" t="s">
        <v>60</v>
      </c>
      <c r="B2127" s="7" t="n">
        <v>2023</v>
      </c>
      <c r="C2127" s="7" t="s">
        <v>361</v>
      </c>
      <c r="D2127" s="7" t="n">
        <v>90</v>
      </c>
      <c r="E2127" s="7" t="n">
        <v>72</v>
      </c>
      <c r="F2127" s="7" t="s">
        <v>546</v>
      </c>
      <c r="G2127" s="7" t="s">
        <v>548</v>
      </c>
      <c r="H2127" s="7" t="s">
        <v>546</v>
      </c>
      <c r="I2127" s="7" t="s">
        <v>546</v>
      </c>
      <c r="J2127" s="21" t="n">
        <f aca="false">D2127/(D2127+E2127)</f>
        <v>0.555555555555556</v>
      </c>
      <c r="K2127" s="3" t="n">
        <f aca="false">IF(D2127&gt;E2127,1,0)</f>
        <v>1</v>
      </c>
      <c r="L2127" s="3" t="n">
        <f aca="false">IF(OR(F2127="Y",G2127="Y",H2127="Y"),1,0)</f>
        <v>1</v>
      </c>
      <c r="M2127" s="3" t="n">
        <f aca="false">IF(H2127="Y",1,0)</f>
        <v>0</v>
      </c>
      <c r="N2127" s="3" t="n">
        <f aca="false">IF(I2127="Y",1,0)</f>
        <v>0</v>
      </c>
    </row>
    <row r="2128" customFormat="false" ht="15" hidden="false" customHeight="true" outlineLevel="0" collapsed="false">
      <c r="A2128" s="7" t="s">
        <v>60</v>
      </c>
      <c r="B2128" s="7" t="n">
        <v>2024</v>
      </c>
      <c r="C2128" s="7" t="s">
        <v>361</v>
      </c>
      <c r="D2128" s="7" t="n">
        <v>95</v>
      </c>
      <c r="E2128" s="7" t="n">
        <v>67</v>
      </c>
      <c r="F2128" s="7" t="s">
        <v>548</v>
      </c>
      <c r="G2128" s="7" t="s">
        <v>546</v>
      </c>
      <c r="H2128" s="7" t="s">
        <v>546</v>
      </c>
      <c r="I2128" s="7" t="s">
        <v>546</v>
      </c>
      <c r="J2128" s="21" t="n">
        <f aca="false">D2128/(D2128+E2128)</f>
        <v>0.58641975308642</v>
      </c>
      <c r="K2128" s="3" t="n">
        <f aca="false">IF(D2128&gt;E2128,1,0)</f>
        <v>1</v>
      </c>
      <c r="L2128" s="3" t="n">
        <f aca="false">IF(OR(F2128="Y",G2128="Y",H2128="Y"),1,0)</f>
        <v>1</v>
      </c>
      <c r="M2128" s="3" t="n">
        <f aca="false">IF(H2128="Y",1,0)</f>
        <v>0</v>
      </c>
      <c r="N2128" s="3" t="n">
        <f aca="false">IF(I2128="Y",1,0)</f>
        <v>0</v>
      </c>
    </row>
    <row r="2129" customFormat="false" ht="15" hidden="false" customHeight="true" outlineLevel="0" collapsed="false">
      <c r="A2129" s="7" t="s">
        <v>60</v>
      </c>
      <c r="B2129" s="7" t="n">
        <v>2025</v>
      </c>
      <c r="C2129" s="7" t="s">
        <v>361</v>
      </c>
      <c r="D2129" s="7" t="n">
        <v>96</v>
      </c>
      <c r="E2129" s="7" t="n">
        <v>66</v>
      </c>
      <c r="F2129" s="7" t="s">
        <v>548</v>
      </c>
      <c r="G2129" s="7" t="s">
        <v>546</v>
      </c>
      <c r="H2129" s="7" t="s">
        <v>546</v>
      </c>
      <c r="I2129" s="7" t="s">
        <v>546</v>
      </c>
      <c r="J2129" s="21" t="n">
        <f aca="false">D2129/(D2129+E2129)</f>
        <v>0.592592592592593</v>
      </c>
      <c r="K2129" s="3" t="n">
        <f aca="false">IF(D2129&gt;E2129,1,0)</f>
        <v>1</v>
      </c>
      <c r="L2129" s="3" t="n">
        <f aca="false">IF(OR(F2129="Y",G2129="Y",H2129="Y"),1,0)</f>
        <v>1</v>
      </c>
      <c r="M2129" s="3" t="n">
        <f aca="false">IF(H2129="Y",1,0)</f>
        <v>0</v>
      </c>
      <c r="N2129" s="3" t="n">
        <f aca="false">IF(I2129="Y",1,0)</f>
        <v>0</v>
      </c>
    </row>
    <row r="2130" customFormat="false" ht="15" hidden="false" customHeight="true" outlineLevel="0" collapsed="false">
      <c r="A2130" s="7" t="s">
        <v>58</v>
      </c>
      <c r="B2130" s="7" t="n">
        <v>1882</v>
      </c>
      <c r="C2130" s="7" t="s">
        <v>583</v>
      </c>
      <c r="D2130" s="7" t="n">
        <v>39</v>
      </c>
      <c r="E2130" s="7" t="n">
        <v>39</v>
      </c>
      <c r="F2130" s="7"/>
      <c r="G2130" s="7"/>
      <c r="H2130" s="7" t="s">
        <v>546</v>
      </c>
      <c r="I2130" s="7"/>
      <c r="J2130" s="21" t="n">
        <f aca="false">D2130/(D2130+E2130)</f>
        <v>0.5</v>
      </c>
      <c r="K2130" s="3" t="n">
        <f aca="false">IF(D2130&gt;E2130,1,0)</f>
        <v>0</v>
      </c>
      <c r="L2130" s="3" t="n">
        <f aca="false">IF(OR(F2130="Y",G2130="Y",H2130="Y"),1,0)</f>
        <v>0</v>
      </c>
      <c r="M2130" s="3" t="n">
        <f aca="false">IF(H2130="Y",1,0)</f>
        <v>0</v>
      </c>
      <c r="N2130" s="3" t="n">
        <f aca="false">IF(I2130="Y",1,0)</f>
        <v>0</v>
      </c>
    </row>
    <row r="2131" customFormat="false" ht="15" hidden="false" customHeight="true" outlineLevel="0" collapsed="false">
      <c r="A2131" s="7" t="s">
        <v>58</v>
      </c>
      <c r="B2131" s="7" t="n">
        <v>1883</v>
      </c>
      <c r="C2131" s="7" t="s">
        <v>583</v>
      </c>
      <c r="D2131" s="7" t="n">
        <v>31</v>
      </c>
      <c r="E2131" s="7" t="n">
        <v>67</v>
      </c>
      <c r="F2131" s="7"/>
      <c r="G2131" s="7"/>
      <c r="H2131" s="7" t="s">
        <v>546</v>
      </c>
      <c r="I2131" s="7"/>
      <c r="J2131" s="21" t="n">
        <f aca="false">D2131/(D2131+E2131)</f>
        <v>0.316326530612245</v>
      </c>
      <c r="K2131" s="3" t="n">
        <f aca="false">IF(D2131&gt;E2131,1,0)</f>
        <v>0</v>
      </c>
      <c r="L2131" s="3" t="n">
        <f aca="false">IF(OR(F2131="Y",G2131="Y",H2131="Y"),1,0)</f>
        <v>0</v>
      </c>
      <c r="M2131" s="3" t="n">
        <f aca="false">IF(H2131="Y",1,0)</f>
        <v>0</v>
      </c>
      <c r="N2131" s="3" t="n">
        <f aca="false">IF(I2131="Y",1,0)</f>
        <v>0</v>
      </c>
    </row>
    <row r="2132" customFormat="false" ht="15" hidden="false" customHeight="true" outlineLevel="0" collapsed="false">
      <c r="A2132" s="7" t="s">
        <v>58</v>
      </c>
      <c r="B2132" s="7" t="n">
        <v>1884</v>
      </c>
      <c r="C2132" s="7" t="s">
        <v>583</v>
      </c>
      <c r="D2132" s="7" t="n">
        <v>30</v>
      </c>
      <c r="E2132" s="7" t="n">
        <v>78</v>
      </c>
      <c r="F2132" s="7"/>
      <c r="G2132" s="7"/>
      <c r="H2132" s="7" t="s">
        <v>546</v>
      </c>
      <c r="I2132" s="7" t="s">
        <v>546</v>
      </c>
      <c r="J2132" s="21" t="n">
        <f aca="false">D2132/(D2132+E2132)</f>
        <v>0.277777777777778</v>
      </c>
      <c r="K2132" s="3" t="n">
        <f aca="false">IF(D2132&gt;E2132,1,0)</f>
        <v>0</v>
      </c>
      <c r="L2132" s="3" t="n">
        <f aca="false">IF(OR(F2132="Y",G2132="Y",H2132="Y"),1,0)</f>
        <v>0</v>
      </c>
      <c r="M2132" s="3" t="n">
        <f aca="false">IF(H2132="Y",1,0)</f>
        <v>0</v>
      </c>
      <c r="N2132" s="3" t="n">
        <f aca="false">IF(I2132="Y",1,0)</f>
        <v>0</v>
      </c>
    </row>
    <row r="2133" customFormat="false" ht="15" hidden="false" customHeight="true" outlineLevel="0" collapsed="false">
      <c r="A2133" s="7" t="s">
        <v>58</v>
      </c>
      <c r="B2133" s="7" t="n">
        <v>1885</v>
      </c>
      <c r="C2133" s="7" t="s">
        <v>583</v>
      </c>
      <c r="D2133" s="7" t="n">
        <v>56</v>
      </c>
      <c r="E2133" s="7" t="n">
        <v>55</v>
      </c>
      <c r="F2133" s="7"/>
      <c r="G2133" s="7"/>
      <c r="H2133" s="7" t="s">
        <v>546</v>
      </c>
      <c r="I2133" s="7" t="s">
        <v>546</v>
      </c>
      <c r="J2133" s="21" t="n">
        <f aca="false">D2133/(D2133+E2133)</f>
        <v>0.504504504504505</v>
      </c>
      <c r="K2133" s="3" t="n">
        <f aca="false">IF(D2133&gt;E2133,1,0)</f>
        <v>1</v>
      </c>
      <c r="L2133" s="3" t="n">
        <f aca="false">IF(OR(F2133="Y",G2133="Y",H2133="Y"),1,0)</f>
        <v>0</v>
      </c>
      <c r="M2133" s="3" t="n">
        <f aca="false">IF(H2133="Y",1,0)</f>
        <v>0</v>
      </c>
      <c r="N2133" s="3" t="n">
        <f aca="false">IF(I2133="Y",1,0)</f>
        <v>0</v>
      </c>
    </row>
    <row r="2134" customFormat="false" ht="15" hidden="false" customHeight="true" outlineLevel="0" collapsed="false">
      <c r="A2134" s="7" t="s">
        <v>58</v>
      </c>
      <c r="B2134" s="7" t="n">
        <v>1886</v>
      </c>
      <c r="C2134" s="7" t="s">
        <v>583</v>
      </c>
      <c r="D2134" s="7" t="n">
        <v>80</v>
      </c>
      <c r="E2134" s="7" t="n">
        <v>57</v>
      </c>
      <c r="F2134" s="7"/>
      <c r="G2134" s="7"/>
      <c r="H2134" s="7" t="s">
        <v>546</v>
      </c>
      <c r="I2134" s="7" t="s">
        <v>546</v>
      </c>
      <c r="J2134" s="21" t="n">
        <f aca="false">D2134/(D2134+E2134)</f>
        <v>0.583941605839416</v>
      </c>
      <c r="K2134" s="3" t="n">
        <f aca="false">IF(D2134&gt;E2134,1,0)</f>
        <v>1</v>
      </c>
      <c r="L2134" s="3" t="n">
        <f aca="false">IF(OR(F2134="Y",G2134="Y",H2134="Y"),1,0)</f>
        <v>0</v>
      </c>
      <c r="M2134" s="3" t="n">
        <f aca="false">IF(H2134="Y",1,0)</f>
        <v>0</v>
      </c>
      <c r="N2134" s="3" t="n">
        <f aca="false">IF(I2134="Y",1,0)</f>
        <v>0</v>
      </c>
    </row>
    <row r="2135" customFormat="false" ht="15" hidden="false" customHeight="true" outlineLevel="0" collapsed="false">
      <c r="A2135" s="7" t="s">
        <v>58</v>
      </c>
      <c r="B2135" s="7" t="n">
        <v>1887</v>
      </c>
      <c r="C2135" s="7" t="s">
        <v>583</v>
      </c>
      <c r="D2135" s="7" t="n">
        <v>55</v>
      </c>
      <c r="E2135" s="7" t="n">
        <v>69</v>
      </c>
      <c r="F2135" s="7"/>
      <c r="G2135" s="7"/>
      <c r="H2135" s="7" t="s">
        <v>546</v>
      </c>
      <c r="I2135" s="7" t="s">
        <v>546</v>
      </c>
      <c r="J2135" s="21" t="n">
        <f aca="false">D2135/(D2135+E2135)</f>
        <v>0.443548387096774</v>
      </c>
      <c r="K2135" s="3" t="n">
        <f aca="false">IF(D2135&gt;E2135,1,0)</f>
        <v>0</v>
      </c>
      <c r="L2135" s="3" t="n">
        <f aca="false">IF(OR(F2135="Y",G2135="Y",H2135="Y"),1,0)</f>
        <v>0</v>
      </c>
      <c r="M2135" s="3" t="n">
        <f aca="false">IF(H2135="Y",1,0)</f>
        <v>0</v>
      </c>
      <c r="N2135" s="3" t="n">
        <f aca="false">IF(I2135="Y",1,0)</f>
        <v>0</v>
      </c>
    </row>
    <row r="2136" customFormat="false" ht="15" hidden="false" customHeight="true" outlineLevel="0" collapsed="false">
      <c r="A2136" s="7" t="s">
        <v>58</v>
      </c>
      <c r="B2136" s="7" t="n">
        <v>1888</v>
      </c>
      <c r="C2136" s="7" t="s">
        <v>583</v>
      </c>
      <c r="D2136" s="7" t="n">
        <v>66</v>
      </c>
      <c r="E2136" s="7" t="n">
        <v>68</v>
      </c>
      <c r="F2136" s="7"/>
      <c r="G2136" s="7"/>
      <c r="H2136" s="7" t="s">
        <v>546</v>
      </c>
      <c r="I2136" s="7" t="s">
        <v>546</v>
      </c>
      <c r="J2136" s="21" t="n">
        <f aca="false">D2136/(D2136+E2136)</f>
        <v>0.492537313432836</v>
      </c>
      <c r="K2136" s="3" t="n">
        <f aca="false">IF(D2136&gt;E2136,1,0)</f>
        <v>0</v>
      </c>
      <c r="L2136" s="3" t="n">
        <f aca="false">IF(OR(F2136="Y",G2136="Y",H2136="Y"),1,0)</f>
        <v>0</v>
      </c>
      <c r="M2136" s="3" t="n">
        <f aca="false">IF(H2136="Y",1,0)</f>
        <v>0</v>
      </c>
      <c r="N2136" s="3" t="n">
        <f aca="false">IF(I2136="Y",1,0)</f>
        <v>0</v>
      </c>
    </row>
    <row r="2137" customFormat="false" ht="15" hidden="false" customHeight="true" outlineLevel="0" collapsed="false">
      <c r="A2137" s="7" t="s">
        <v>58</v>
      </c>
      <c r="B2137" s="7" t="n">
        <v>1889</v>
      </c>
      <c r="C2137" s="7" t="s">
        <v>583</v>
      </c>
      <c r="D2137" s="7" t="n">
        <v>61</v>
      </c>
      <c r="E2137" s="7" t="n">
        <v>71</v>
      </c>
      <c r="F2137" s="7"/>
      <c r="G2137" s="7"/>
      <c r="H2137" s="7" t="s">
        <v>546</v>
      </c>
      <c r="I2137" s="7" t="s">
        <v>546</v>
      </c>
      <c r="J2137" s="21" t="n">
        <f aca="false">D2137/(D2137+E2137)</f>
        <v>0.462121212121212</v>
      </c>
      <c r="K2137" s="3" t="n">
        <f aca="false">IF(D2137&gt;E2137,1,0)</f>
        <v>0</v>
      </c>
      <c r="L2137" s="3" t="n">
        <f aca="false">IF(OR(F2137="Y",G2137="Y",H2137="Y"),1,0)</f>
        <v>0</v>
      </c>
      <c r="M2137" s="3" t="n">
        <f aca="false">IF(H2137="Y",1,0)</f>
        <v>0</v>
      </c>
      <c r="N2137" s="3" t="n">
        <f aca="false">IF(I2137="Y",1,0)</f>
        <v>0</v>
      </c>
    </row>
    <row r="2138" customFormat="false" ht="15" hidden="false" customHeight="true" outlineLevel="0" collapsed="false">
      <c r="A2138" s="7" t="s">
        <v>58</v>
      </c>
      <c r="B2138" s="7" t="n">
        <v>1890</v>
      </c>
      <c r="C2138" s="7" t="s">
        <v>583</v>
      </c>
      <c r="D2138" s="7" t="n">
        <v>23</v>
      </c>
      <c r="E2138" s="7" t="n">
        <v>113</v>
      </c>
      <c r="F2138" s="7"/>
      <c r="G2138" s="7"/>
      <c r="H2138" s="7" t="s">
        <v>546</v>
      </c>
      <c r="I2138" s="7" t="s">
        <v>546</v>
      </c>
      <c r="J2138" s="21" t="n">
        <f aca="false">D2138/(D2138+E2138)</f>
        <v>0.169117647058824</v>
      </c>
      <c r="K2138" s="3" t="n">
        <f aca="false">IF(D2138&gt;E2138,1,0)</f>
        <v>0</v>
      </c>
      <c r="L2138" s="3" t="n">
        <f aca="false">IF(OR(F2138="Y",G2138="Y",H2138="Y"),1,0)</f>
        <v>0</v>
      </c>
      <c r="M2138" s="3" t="n">
        <f aca="false">IF(H2138="Y",1,0)</f>
        <v>0</v>
      </c>
      <c r="N2138" s="3" t="n">
        <f aca="false">IF(I2138="Y",1,0)</f>
        <v>0</v>
      </c>
    </row>
    <row r="2139" customFormat="false" ht="15" hidden="false" customHeight="true" outlineLevel="0" collapsed="false">
      <c r="A2139" s="7" t="s">
        <v>58</v>
      </c>
      <c r="B2139" s="7" t="n">
        <v>1891</v>
      </c>
      <c r="C2139" s="7" t="s">
        <v>359</v>
      </c>
      <c r="D2139" s="7" t="n">
        <v>55</v>
      </c>
      <c r="E2139" s="7" t="n">
        <v>80</v>
      </c>
      <c r="F2139" s="7"/>
      <c r="G2139" s="7"/>
      <c r="H2139" s="7" t="s">
        <v>546</v>
      </c>
      <c r="I2139" s="7"/>
      <c r="J2139" s="21" t="n">
        <f aca="false">D2139/(D2139+E2139)</f>
        <v>0.407407407407407</v>
      </c>
      <c r="K2139" s="3" t="n">
        <f aca="false">IF(D2139&gt;E2139,1,0)</f>
        <v>0</v>
      </c>
      <c r="L2139" s="3" t="n">
        <f aca="false">IF(OR(F2139="Y",G2139="Y",H2139="Y"),1,0)</f>
        <v>0</v>
      </c>
      <c r="M2139" s="3" t="n">
        <f aca="false">IF(H2139="Y",1,0)</f>
        <v>0</v>
      </c>
      <c r="N2139" s="3" t="n">
        <f aca="false">IF(I2139="Y",1,0)</f>
        <v>0</v>
      </c>
    </row>
    <row r="2140" customFormat="false" ht="15" hidden="false" customHeight="true" outlineLevel="0" collapsed="false">
      <c r="A2140" s="7" t="s">
        <v>58</v>
      </c>
      <c r="B2140" s="7" t="n">
        <v>1892</v>
      </c>
      <c r="C2140" s="7" t="s">
        <v>359</v>
      </c>
      <c r="D2140" s="7" t="n">
        <v>80</v>
      </c>
      <c r="E2140" s="7" t="n">
        <v>73</v>
      </c>
      <c r="F2140" s="7"/>
      <c r="G2140" s="7"/>
      <c r="H2140" s="7" t="s">
        <v>546</v>
      </c>
      <c r="I2140" s="7"/>
      <c r="J2140" s="21" t="n">
        <f aca="false">D2140/(D2140+E2140)</f>
        <v>0.522875816993464</v>
      </c>
      <c r="K2140" s="3" t="n">
        <f aca="false">IF(D2140&gt;E2140,1,0)</f>
        <v>1</v>
      </c>
      <c r="L2140" s="3" t="n">
        <f aca="false">IF(OR(F2140="Y",G2140="Y",H2140="Y"),1,0)</f>
        <v>0</v>
      </c>
      <c r="M2140" s="3" t="n">
        <f aca="false">IF(H2140="Y",1,0)</f>
        <v>0</v>
      </c>
      <c r="N2140" s="3" t="n">
        <f aca="false">IF(I2140="Y",1,0)</f>
        <v>0</v>
      </c>
    </row>
    <row r="2141" customFormat="false" ht="15" hidden="false" customHeight="true" outlineLevel="0" collapsed="false">
      <c r="A2141" s="7" t="s">
        <v>58</v>
      </c>
      <c r="B2141" s="7" t="n">
        <v>1893</v>
      </c>
      <c r="C2141" s="7" t="s">
        <v>359</v>
      </c>
      <c r="D2141" s="7" t="n">
        <v>81</v>
      </c>
      <c r="E2141" s="7" t="n">
        <v>48</v>
      </c>
      <c r="F2141" s="7"/>
      <c r="G2141" s="7"/>
      <c r="H2141" s="7" t="s">
        <v>546</v>
      </c>
      <c r="I2141" s="7"/>
      <c r="J2141" s="21" t="n">
        <f aca="false">D2141/(D2141+E2141)</f>
        <v>0.627906976744186</v>
      </c>
      <c r="K2141" s="3" t="n">
        <f aca="false">IF(D2141&gt;E2141,1,0)</f>
        <v>1</v>
      </c>
      <c r="L2141" s="3" t="n">
        <f aca="false">IF(OR(F2141="Y",G2141="Y",H2141="Y"),1,0)</f>
        <v>0</v>
      </c>
      <c r="M2141" s="3" t="n">
        <f aca="false">IF(H2141="Y",1,0)</f>
        <v>0</v>
      </c>
      <c r="N2141" s="3" t="n">
        <f aca="false">IF(I2141="Y",1,0)</f>
        <v>0</v>
      </c>
    </row>
    <row r="2142" customFormat="false" ht="15" hidden="false" customHeight="true" outlineLevel="0" collapsed="false">
      <c r="A2142" s="7" t="s">
        <v>58</v>
      </c>
      <c r="B2142" s="7" t="n">
        <v>1894</v>
      </c>
      <c r="C2142" s="7" t="s">
        <v>359</v>
      </c>
      <c r="D2142" s="7" t="n">
        <v>65</v>
      </c>
      <c r="E2142" s="7" t="n">
        <v>65</v>
      </c>
      <c r="F2142" s="7"/>
      <c r="G2142" s="7"/>
      <c r="H2142" s="7" t="s">
        <v>546</v>
      </c>
      <c r="I2142" s="7"/>
      <c r="J2142" s="21" t="n">
        <f aca="false">D2142/(D2142+E2142)</f>
        <v>0.5</v>
      </c>
      <c r="K2142" s="3" t="n">
        <f aca="false">IF(D2142&gt;E2142,1,0)</f>
        <v>0</v>
      </c>
      <c r="L2142" s="3" t="n">
        <f aca="false">IF(OR(F2142="Y",G2142="Y",H2142="Y"),1,0)</f>
        <v>0</v>
      </c>
      <c r="M2142" s="3" t="n">
        <f aca="false">IF(H2142="Y",1,0)</f>
        <v>0</v>
      </c>
      <c r="N2142" s="3" t="n">
        <f aca="false">IF(I2142="Y",1,0)</f>
        <v>0</v>
      </c>
    </row>
    <row r="2143" customFormat="false" ht="15" hidden="false" customHeight="true" outlineLevel="0" collapsed="false">
      <c r="A2143" s="7" t="s">
        <v>58</v>
      </c>
      <c r="B2143" s="7" t="n">
        <v>1895</v>
      </c>
      <c r="C2143" s="7" t="s">
        <v>359</v>
      </c>
      <c r="D2143" s="7" t="n">
        <v>71</v>
      </c>
      <c r="E2143" s="7" t="n">
        <v>61</v>
      </c>
      <c r="F2143" s="7"/>
      <c r="G2143" s="7"/>
      <c r="H2143" s="7" t="s">
        <v>546</v>
      </c>
      <c r="I2143" s="7"/>
      <c r="J2143" s="21" t="n">
        <f aca="false">D2143/(D2143+E2143)</f>
        <v>0.537878787878788</v>
      </c>
      <c r="K2143" s="3" t="n">
        <f aca="false">IF(D2143&gt;E2143,1,0)</f>
        <v>1</v>
      </c>
      <c r="L2143" s="3" t="n">
        <f aca="false">IF(OR(F2143="Y",G2143="Y",H2143="Y"),1,0)</f>
        <v>0</v>
      </c>
      <c r="M2143" s="3" t="n">
        <f aca="false">IF(H2143="Y",1,0)</f>
        <v>0</v>
      </c>
      <c r="N2143" s="3" t="n">
        <f aca="false">IF(I2143="Y",1,0)</f>
        <v>0</v>
      </c>
    </row>
    <row r="2144" customFormat="false" ht="15" hidden="false" customHeight="true" outlineLevel="0" collapsed="false">
      <c r="A2144" s="7" t="s">
        <v>58</v>
      </c>
      <c r="B2144" s="7" t="n">
        <v>1896</v>
      </c>
      <c r="C2144" s="7" t="s">
        <v>359</v>
      </c>
      <c r="D2144" s="7" t="n">
        <v>66</v>
      </c>
      <c r="E2144" s="7" t="n">
        <v>63</v>
      </c>
      <c r="F2144" s="7"/>
      <c r="G2144" s="7"/>
      <c r="H2144" s="7" t="s">
        <v>546</v>
      </c>
      <c r="I2144" s="7"/>
      <c r="J2144" s="21" t="n">
        <f aca="false">D2144/(D2144+E2144)</f>
        <v>0.511627906976744</v>
      </c>
      <c r="K2144" s="3" t="n">
        <f aca="false">IF(D2144&gt;E2144,1,0)</f>
        <v>1</v>
      </c>
      <c r="L2144" s="3" t="n">
        <f aca="false">IF(OR(F2144="Y",G2144="Y",H2144="Y"),1,0)</f>
        <v>0</v>
      </c>
      <c r="M2144" s="3" t="n">
        <f aca="false">IF(H2144="Y",1,0)</f>
        <v>0</v>
      </c>
      <c r="N2144" s="3" t="n">
        <f aca="false">IF(I2144="Y",1,0)</f>
        <v>0</v>
      </c>
    </row>
    <row r="2145" customFormat="false" ht="15" hidden="false" customHeight="true" outlineLevel="0" collapsed="false">
      <c r="A2145" s="7" t="s">
        <v>58</v>
      </c>
      <c r="B2145" s="7" t="n">
        <v>1897</v>
      </c>
      <c r="C2145" s="7" t="s">
        <v>359</v>
      </c>
      <c r="D2145" s="7" t="n">
        <v>60</v>
      </c>
      <c r="E2145" s="7" t="n">
        <v>71</v>
      </c>
      <c r="F2145" s="7"/>
      <c r="G2145" s="7"/>
      <c r="H2145" s="7" t="s">
        <v>546</v>
      </c>
      <c r="I2145" s="7"/>
      <c r="J2145" s="21" t="n">
        <f aca="false">D2145/(D2145+E2145)</f>
        <v>0.458015267175573</v>
      </c>
      <c r="K2145" s="3" t="n">
        <f aca="false">IF(D2145&gt;E2145,1,0)</f>
        <v>0</v>
      </c>
      <c r="L2145" s="3" t="n">
        <f aca="false">IF(OR(F2145="Y",G2145="Y",H2145="Y"),1,0)</f>
        <v>0</v>
      </c>
      <c r="M2145" s="3" t="n">
        <f aca="false">IF(H2145="Y",1,0)</f>
        <v>0</v>
      </c>
      <c r="N2145" s="3" t="n">
        <f aca="false">IF(I2145="Y",1,0)</f>
        <v>0</v>
      </c>
    </row>
    <row r="2146" customFormat="false" ht="15" hidden="false" customHeight="true" outlineLevel="0" collapsed="false">
      <c r="A2146" s="7" t="s">
        <v>58</v>
      </c>
      <c r="B2146" s="7" t="n">
        <v>1898</v>
      </c>
      <c r="C2146" s="7" t="s">
        <v>359</v>
      </c>
      <c r="D2146" s="7" t="n">
        <v>72</v>
      </c>
      <c r="E2146" s="7" t="n">
        <v>76</v>
      </c>
      <c r="F2146" s="7"/>
      <c r="G2146" s="7"/>
      <c r="H2146" s="7" t="s">
        <v>546</v>
      </c>
      <c r="I2146" s="7"/>
      <c r="J2146" s="21" t="n">
        <f aca="false">D2146/(D2146+E2146)</f>
        <v>0.486486486486487</v>
      </c>
      <c r="K2146" s="3" t="n">
        <f aca="false">IF(D2146&gt;E2146,1,0)</f>
        <v>0</v>
      </c>
      <c r="L2146" s="3" t="n">
        <f aca="false">IF(OR(F2146="Y",G2146="Y",H2146="Y"),1,0)</f>
        <v>0</v>
      </c>
      <c r="M2146" s="3" t="n">
        <f aca="false">IF(H2146="Y",1,0)</f>
        <v>0</v>
      </c>
      <c r="N2146" s="3" t="n">
        <f aca="false">IF(I2146="Y",1,0)</f>
        <v>0</v>
      </c>
    </row>
    <row r="2147" customFormat="false" ht="15" hidden="false" customHeight="true" outlineLevel="0" collapsed="false">
      <c r="A2147" s="7" t="s">
        <v>58</v>
      </c>
      <c r="B2147" s="7" t="n">
        <v>1899</v>
      </c>
      <c r="C2147" s="7" t="s">
        <v>359</v>
      </c>
      <c r="D2147" s="7" t="n">
        <v>76</v>
      </c>
      <c r="E2147" s="7" t="n">
        <v>73</v>
      </c>
      <c r="F2147" s="7"/>
      <c r="G2147" s="7"/>
      <c r="H2147" s="7" t="s">
        <v>546</v>
      </c>
      <c r="I2147" s="7"/>
      <c r="J2147" s="21" t="n">
        <f aca="false">D2147/(D2147+E2147)</f>
        <v>0.51006711409396</v>
      </c>
      <c r="K2147" s="3" t="n">
        <f aca="false">IF(D2147&gt;E2147,1,0)</f>
        <v>1</v>
      </c>
      <c r="L2147" s="3" t="n">
        <f aca="false">IF(OR(F2147="Y",G2147="Y",H2147="Y"),1,0)</f>
        <v>0</v>
      </c>
      <c r="M2147" s="3" t="n">
        <f aca="false">IF(H2147="Y",1,0)</f>
        <v>0</v>
      </c>
      <c r="N2147" s="3" t="n">
        <f aca="false">IF(I2147="Y",1,0)</f>
        <v>0</v>
      </c>
    </row>
    <row r="2148" customFormat="false" ht="15" hidden="false" customHeight="true" outlineLevel="0" collapsed="false">
      <c r="A2148" s="7" t="s">
        <v>58</v>
      </c>
      <c r="B2148" s="7" t="n">
        <v>1900</v>
      </c>
      <c r="C2148" s="7" t="s">
        <v>359</v>
      </c>
      <c r="D2148" s="7" t="n">
        <v>79</v>
      </c>
      <c r="E2148" s="7" t="n">
        <v>60</v>
      </c>
      <c r="F2148" s="7"/>
      <c r="G2148" s="7"/>
      <c r="H2148" s="7" t="s">
        <v>546</v>
      </c>
      <c r="I2148" s="7"/>
      <c r="J2148" s="21" t="n">
        <f aca="false">D2148/(D2148+E2148)</f>
        <v>0.568345323741007</v>
      </c>
      <c r="K2148" s="3" t="n">
        <f aca="false">IF(D2148&gt;E2148,1,0)</f>
        <v>1</v>
      </c>
      <c r="L2148" s="3" t="n">
        <f aca="false">IF(OR(F2148="Y",G2148="Y",H2148="Y"),1,0)</f>
        <v>0</v>
      </c>
      <c r="M2148" s="3" t="n">
        <f aca="false">IF(H2148="Y",1,0)</f>
        <v>0</v>
      </c>
      <c r="N2148" s="3" t="n">
        <f aca="false">IF(I2148="Y",1,0)</f>
        <v>0</v>
      </c>
    </row>
    <row r="2149" customFormat="false" ht="15" hidden="false" customHeight="true" outlineLevel="0" collapsed="false">
      <c r="A2149" s="7" t="s">
        <v>58</v>
      </c>
      <c r="B2149" s="7" t="n">
        <v>1901</v>
      </c>
      <c r="C2149" s="7" t="s">
        <v>359</v>
      </c>
      <c r="D2149" s="7" t="n">
        <v>90</v>
      </c>
      <c r="E2149" s="7" t="n">
        <v>49</v>
      </c>
      <c r="F2149" s="7"/>
      <c r="G2149" s="7"/>
      <c r="H2149" s="7" t="s">
        <v>548</v>
      </c>
      <c r="I2149" s="7"/>
      <c r="J2149" s="21" t="n">
        <f aca="false">D2149/(D2149+E2149)</f>
        <v>0.647482014388489</v>
      </c>
      <c r="K2149" s="3" t="n">
        <f aca="false">IF(D2149&gt;E2149,1,0)</f>
        <v>1</v>
      </c>
      <c r="L2149" s="3" t="n">
        <f aca="false">IF(OR(F2149="Y",G2149="Y",H2149="Y"),1,0)</f>
        <v>1</v>
      </c>
      <c r="M2149" s="3" t="n">
        <f aca="false">IF(H2149="Y",1,0)</f>
        <v>1</v>
      </c>
      <c r="N2149" s="3" t="n">
        <f aca="false">IF(I2149="Y",1,0)</f>
        <v>0</v>
      </c>
    </row>
    <row r="2150" customFormat="false" ht="15" hidden="false" customHeight="true" outlineLevel="0" collapsed="false">
      <c r="A2150" s="7" t="s">
        <v>58</v>
      </c>
      <c r="B2150" s="7" t="n">
        <v>1902</v>
      </c>
      <c r="C2150" s="7" t="s">
        <v>359</v>
      </c>
      <c r="D2150" s="7" t="n">
        <v>103</v>
      </c>
      <c r="E2150" s="7" t="n">
        <v>36</v>
      </c>
      <c r="F2150" s="7"/>
      <c r="G2150" s="7"/>
      <c r="H2150" s="7" t="s">
        <v>548</v>
      </c>
      <c r="I2150" s="7"/>
      <c r="J2150" s="21" t="n">
        <f aca="false">D2150/(D2150+E2150)</f>
        <v>0.741007194244604</v>
      </c>
      <c r="K2150" s="3" t="n">
        <f aca="false">IF(D2150&gt;E2150,1,0)</f>
        <v>1</v>
      </c>
      <c r="L2150" s="3" t="n">
        <f aca="false">IF(OR(F2150="Y",G2150="Y",H2150="Y"),1,0)</f>
        <v>1</v>
      </c>
      <c r="M2150" s="3" t="n">
        <f aca="false">IF(H2150="Y",1,0)</f>
        <v>1</v>
      </c>
      <c r="N2150" s="3" t="n">
        <f aca="false">IF(I2150="Y",1,0)</f>
        <v>0</v>
      </c>
    </row>
    <row r="2151" customFormat="false" ht="15" hidden="false" customHeight="true" outlineLevel="0" collapsed="false">
      <c r="A2151" s="7" t="s">
        <v>58</v>
      </c>
      <c r="B2151" s="7" t="n">
        <v>1903</v>
      </c>
      <c r="C2151" s="7" t="s">
        <v>359</v>
      </c>
      <c r="D2151" s="7" t="n">
        <v>91</v>
      </c>
      <c r="E2151" s="7" t="n">
        <v>49</v>
      </c>
      <c r="F2151" s="7"/>
      <c r="G2151" s="7"/>
      <c r="H2151" s="7" t="s">
        <v>548</v>
      </c>
      <c r="I2151" s="7" t="s">
        <v>546</v>
      </c>
      <c r="J2151" s="21" t="n">
        <f aca="false">D2151/(D2151+E2151)</f>
        <v>0.65</v>
      </c>
      <c r="K2151" s="3" t="n">
        <f aca="false">IF(D2151&gt;E2151,1,0)</f>
        <v>1</v>
      </c>
      <c r="L2151" s="3" t="n">
        <f aca="false">IF(OR(F2151="Y",G2151="Y",H2151="Y"),1,0)</f>
        <v>1</v>
      </c>
      <c r="M2151" s="3" t="n">
        <f aca="false">IF(H2151="Y",1,0)</f>
        <v>1</v>
      </c>
      <c r="N2151" s="3" t="n">
        <f aca="false">IF(I2151="Y",1,0)</f>
        <v>0</v>
      </c>
    </row>
    <row r="2152" customFormat="false" ht="15" hidden="false" customHeight="true" outlineLevel="0" collapsed="false">
      <c r="A2152" s="7" t="s">
        <v>58</v>
      </c>
      <c r="B2152" s="7" t="n">
        <v>1904</v>
      </c>
      <c r="C2152" s="7" t="s">
        <v>359</v>
      </c>
      <c r="D2152" s="7" t="n">
        <v>87</v>
      </c>
      <c r="E2152" s="7" t="n">
        <v>66</v>
      </c>
      <c r="F2152" s="7"/>
      <c r="G2152" s="7"/>
      <c r="H2152" s="7" t="s">
        <v>546</v>
      </c>
      <c r="I2152" s="7"/>
      <c r="J2152" s="21" t="n">
        <f aca="false">D2152/(D2152+E2152)</f>
        <v>0.568627450980392</v>
      </c>
      <c r="K2152" s="3" t="n">
        <f aca="false">IF(D2152&gt;E2152,1,0)</f>
        <v>1</v>
      </c>
      <c r="L2152" s="3" t="n">
        <f aca="false">IF(OR(F2152="Y",G2152="Y",H2152="Y"),1,0)</f>
        <v>0</v>
      </c>
      <c r="M2152" s="3" t="n">
        <f aca="false">IF(H2152="Y",1,0)</f>
        <v>0</v>
      </c>
      <c r="N2152" s="3" t="n">
        <f aca="false">IF(I2152="Y",1,0)</f>
        <v>0</v>
      </c>
    </row>
    <row r="2153" customFormat="false" ht="15" hidden="false" customHeight="true" outlineLevel="0" collapsed="false">
      <c r="A2153" s="7" t="s">
        <v>58</v>
      </c>
      <c r="B2153" s="7" t="n">
        <v>1905</v>
      </c>
      <c r="C2153" s="7" t="s">
        <v>359</v>
      </c>
      <c r="D2153" s="7" t="n">
        <v>96</v>
      </c>
      <c r="E2153" s="7" t="n">
        <v>57</v>
      </c>
      <c r="F2153" s="7"/>
      <c r="G2153" s="7"/>
      <c r="H2153" s="7" t="s">
        <v>546</v>
      </c>
      <c r="I2153" s="7" t="s">
        <v>546</v>
      </c>
      <c r="J2153" s="21" t="n">
        <f aca="false">D2153/(D2153+E2153)</f>
        <v>0.627450980392157</v>
      </c>
      <c r="K2153" s="3" t="n">
        <f aca="false">IF(D2153&gt;E2153,1,0)</f>
        <v>1</v>
      </c>
      <c r="L2153" s="3" t="n">
        <f aca="false">IF(OR(F2153="Y",G2153="Y",H2153="Y"),1,0)</f>
        <v>0</v>
      </c>
      <c r="M2153" s="3" t="n">
        <f aca="false">IF(H2153="Y",1,0)</f>
        <v>0</v>
      </c>
      <c r="N2153" s="3" t="n">
        <f aca="false">IF(I2153="Y",1,0)</f>
        <v>0</v>
      </c>
    </row>
    <row r="2154" customFormat="false" ht="15" hidden="false" customHeight="true" outlineLevel="0" collapsed="false">
      <c r="A2154" s="7" t="s">
        <v>58</v>
      </c>
      <c r="B2154" s="7" t="n">
        <v>1906</v>
      </c>
      <c r="C2154" s="7" t="s">
        <v>359</v>
      </c>
      <c r="D2154" s="7" t="n">
        <v>93</v>
      </c>
      <c r="E2154" s="7" t="n">
        <v>60</v>
      </c>
      <c r="F2154" s="7"/>
      <c r="G2154" s="7"/>
      <c r="H2154" s="7" t="s">
        <v>546</v>
      </c>
      <c r="I2154" s="7" t="s">
        <v>546</v>
      </c>
      <c r="J2154" s="21" t="n">
        <f aca="false">D2154/(D2154+E2154)</f>
        <v>0.607843137254902</v>
      </c>
      <c r="K2154" s="3" t="n">
        <f aca="false">IF(D2154&gt;E2154,1,0)</f>
        <v>1</v>
      </c>
      <c r="L2154" s="3" t="n">
        <f aca="false">IF(OR(F2154="Y",G2154="Y",H2154="Y"),1,0)</f>
        <v>0</v>
      </c>
      <c r="M2154" s="3" t="n">
        <f aca="false">IF(H2154="Y",1,0)</f>
        <v>0</v>
      </c>
      <c r="N2154" s="3" t="n">
        <f aca="false">IF(I2154="Y",1,0)</f>
        <v>0</v>
      </c>
    </row>
    <row r="2155" customFormat="false" ht="15" hidden="false" customHeight="true" outlineLevel="0" collapsed="false">
      <c r="A2155" s="7" t="s">
        <v>58</v>
      </c>
      <c r="B2155" s="7" t="n">
        <v>1907</v>
      </c>
      <c r="C2155" s="7" t="s">
        <v>359</v>
      </c>
      <c r="D2155" s="7" t="n">
        <v>91</v>
      </c>
      <c r="E2155" s="7" t="n">
        <v>63</v>
      </c>
      <c r="F2155" s="7"/>
      <c r="G2155" s="7"/>
      <c r="H2155" s="7" t="s">
        <v>546</v>
      </c>
      <c r="I2155" s="7" t="s">
        <v>546</v>
      </c>
      <c r="J2155" s="21" t="n">
        <f aca="false">D2155/(D2155+E2155)</f>
        <v>0.590909090909091</v>
      </c>
      <c r="K2155" s="3" t="n">
        <f aca="false">IF(D2155&gt;E2155,1,0)</f>
        <v>1</v>
      </c>
      <c r="L2155" s="3" t="n">
        <f aca="false">IF(OR(F2155="Y",G2155="Y",H2155="Y"),1,0)</f>
        <v>0</v>
      </c>
      <c r="M2155" s="3" t="n">
        <f aca="false">IF(H2155="Y",1,0)</f>
        <v>0</v>
      </c>
      <c r="N2155" s="3" t="n">
        <f aca="false">IF(I2155="Y",1,0)</f>
        <v>0</v>
      </c>
    </row>
    <row r="2156" customFormat="false" ht="15" hidden="false" customHeight="true" outlineLevel="0" collapsed="false">
      <c r="A2156" s="7" t="s">
        <v>58</v>
      </c>
      <c r="B2156" s="7" t="n">
        <v>1908</v>
      </c>
      <c r="C2156" s="7" t="s">
        <v>359</v>
      </c>
      <c r="D2156" s="7" t="n">
        <v>98</v>
      </c>
      <c r="E2156" s="7" t="n">
        <v>56</v>
      </c>
      <c r="F2156" s="7"/>
      <c r="G2156" s="7"/>
      <c r="H2156" s="7" t="s">
        <v>546</v>
      </c>
      <c r="I2156" s="7" t="s">
        <v>546</v>
      </c>
      <c r="J2156" s="21" t="n">
        <f aca="false">D2156/(D2156+E2156)</f>
        <v>0.636363636363636</v>
      </c>
      <c r="K2156" s="3" t="n">
        <f aca="false">IF(D2156&gt;E2156,1,0)</f>
        <v>1</v>
      </c>
      <c r="L2156" s="3" t="n">
        <f aca="false">IF(OR(F2156="Y",G2156="Y",H2156="Y"),1,0)</f>
        <v>0</v>
      </c>
      <c r="M2156" s="3" t="n">
        <f aca="false">IF(H2156="Y",1,0)</f>
        <v>0</v>
      </c>
      <c r="N2156" s="3" t="n">
        <f aca="false">IF(I2156="Y",1,0)</f>
        <v>0</v>
      </c>
    </row>
    <row r="2157" customFormat="false" ht="15" hidden="false" customHeight="true" outlineLevel="0" collapsed="false">
      <c r="A2157" s="7" t="s">
        <v>58</v>
      </c>
      <c r="B2157" s="7" t="n">
        <v>1909</v>
      </c>
      <c r="C2157" s="7" t="s">
        <v>359</v>
      </c>
      <c r="D2157" s="7" t="n">
        <v>110</v>
      </c>
      <c r="E2157" s="7" t="n">
        <v>42</v>
      </c>
      <c r="F2157" s="7"/>
      <c r="G2157" s="7"/>
      <c r="H2157" s="7" t="s">
        <v>548</v>
      </c>
      <c r="I2157" s="7" t="s">
        <v>548</v>
      </c>
      <c r="J2157" s="21" t="n">
        <f aca="false">D2157/(D2157+E2157)</f>
        <v>0.723684210526316</v>
      </c>
      <c r="K2157" s="3" t="n">
        <f aca="false">IF(D2157&gt;E2157,1,0)</f>
        <v>1</v>
      </c>
      <c r="L2157" s="3" t="n">
        <f aca="false">IF(OR(F2157="Y",G2157="Y",H2157="Y"),1,0)</f>
        <v>1</v>
      </c>
      <c r="M2157" s="3" t="n">
        <f aca="false">IF(H2157="Y",1,0)</f>
        <v>1</v>
      </c>
      <c r="N2157" s="3" t="n">
        <f aca="false">IF(I2157="Y",1,0)</f>
        <v>1</v>
      </c>
    </row>
    <row r="2158" customFormat="false" ht="15" hidden="false" customHeight="true" outlineLevel="0" collapsed="false">
      <c r="A2158" s="7" t="s">
        <v>58</v>
      </c>
      <c r="B2158" s="7" t="n">
        <v>1910</v>
      </c>
      <c r="C2158" s="7" t="s">
        <v>359</v>
      </c>
      <c r="D2158" s="7" t="n">
        <v>86</v>
      </c>
      <c r="E2158" s="7" t="n">
        <v>67</v>
      </c>
      <c r="F2158" s="7"/>
      <c r="G2158" s="7"/>
      <c r="H2158" s="7" t="s">
        <v>546</v>
      </c>
      <c r="I2158" s="7" t="s">
        <v>546</v>
      </c>
      <c r="J2158" s="21" t="n">
        <f aca="false">D2158/(D2158+E2158)</f>
        <v>0.562091503267974</v>
      </c>
      <c r="K2158" s="3" t="n">
        <f aca="false">IF(D2158&gt;E2158,1,0)</f>
        <v>1</v>
      </c>
      <c r="L2158" s="3" t="n">
        <f aca="false">IF(OR(F2158="Y",G2158="Y",H2158="Y"),1,0)</f>
        <v>0</v>
      </c>
      <c r="M2158" s="3" t="n">
        <f aca="false">IF(H2158="Y",1,0)</f>
        <v>0</v>
      </c>
      <c r="N2158" s="3" t="n">
        <f aca="false">IF(I2158="Y",1,0)</f>
        <v>0</v>
      </c>
    </row>
    <row r="2159" customFormat="false" ht="15" hidden="false" customHeight="true" outlineLevel="0" collapsed="false">
      <c r="A2159" s="7" t="s">
        <v>58</v>
      </c>
      <c r="B2159" s="7" t="n">
        <v>1911</v>
      </c>
      <c r="C2159" s="7" t="s">
        <v>359</v>
      </c>
      <c r="D2159" s="7" t="n">
        <v>85</v>
      </c>
      <c r="E2159" s="7" t="n">
        <v>69</v>
      </c>
      <c r="F2159" s="7"/>
      <c r="G2159" s="7"/>
      <c r="H2159" s="7" t="s">
        <v>546</v>
      </c>
      <c r="I2159" s="7" t="s">
        <v>546</v>
      </c>
      <c r="J2159" s="21" t="n">
        <f aca="false">D2159/(D2159+E2159)</f>
        <v>0.551948051948052</v>
      </c>
      <c r="K2159" s="3" t="n">
        <f aca="false">IF(D2159&gt;E2159,1,0)</f>
        <v>1</v>
      </c>
      <c r="L2159" s="3" t="n">
        <f aca="false">IF(OR(F2159="Y",G2159="Y",H2159="Y"),1,0)</f>
        <v>0</v>
      </c>
      <c r="M2159" s="3" t="n">
        <f aca="false">IF(H2159="Y",1,0)</f>
        <v>0</v>
      </c>
      <c r="N2159" s="3" t="n">
        <f aca="false">IF(I2159="Y",1,0)</f>
        <v>0</v>
      </c>
    </row>
    <row r="2160" customFormat="false" ht="15" hidden="false" customHeight="true" outlineLevel="0" collapsed="false">
      <c r="A2160" s="7" t="s">
        <v>58</v>
      </c>
      <c r="B2160" s="7" t="n">
        <v>1912</v>
      </c>
      <c r="C2160" s="7" t="s">
        <v>359</v>
      </c>
      <c r="D2160" s="7" t="n">
        <v>93</v>
      </c>
      <c r="E2160" s="7" t="n">
        <v>58</v>
      </c>
      <c r="F2160" s="7"/>
      <c r="G2160" s="7"/>
      <c r="H2160" s="7" t="s">
        <v>546</v>
      </c>
      <c r="I2160" s="7" t="s">
        <v>546</v>
      </c>
      <c r="J2160" s="21" t="n">
        <f aca="false">D2160/(D2160+E2160)</f>
        <v>0.615894039735099</v>
      </c>
      <c r="K2160" s="3" t="n">
        <f aca="false">IF(D2160&gt;E2160,1,0)</f>
        <v>1</v>
      </c>
      <c r="L2160" s="3" t="n">
        <f aca="false">IF(OR(F2160="Y",G2160="Y",H2160="Y"),1,0)</f>
        <v>0</v>
      </c>
      <c r="M2160" s="3" t="n">
        <f aca="false">IF(H2160="Y",1,0)</f>
        <v>0</v>
      </c>
      <c r="N2160" s="3" t="n">
        <f aca="false">IF(I2160="Y",1,0)</f>
        <v>0</v>
      </c>
    </row>
    <row r="2161" customFormat="false" ht="15" hidden="false" customHeight="true" outlineLevel="0" collapsed="false">
      <c r="A2161" s="7" t="s">
        <v>58</v>
      </c>
      <c r="B2161" s="7" t="n">
        <v>1913</v>
      </c>
      <c r="C2161" s="7" t="s">
        <v>359</v>
      </c>
      <c r="D2161" s="7" t="n">
        <v>78</v>
      </c>
      <c r="E2161" s="7" t="n">
        <v>71</v>
      </c>
      <c r="F2161" s="7"/>
      <c r="G2161" s="7"/>
      <c r="H2161" s="7" t="s">
        <v>546</v>
      </c>
      <c r="I2161" s="7" t="s">
        <v>546</v>
      </c>
      <c r="J2161" s="21" t="n">
        <f aca="false">D2161/(D2161+E2161)</f>
        <v>0.523489932885906</v>
      </c>
      <c r="K2161" s="3" t="n">
        <f aca="false">IF(D2161&gt;E2161,1,0)</f>
        <v>1</v>
      </c>
      <c r="L2161" s="3" t="n">
        <f aca="false">IF(OR(F2161="Y",G2161="Y",H2161="Y"),1,0)</f>
        <v>0</v>
      </c>
      <c r="M2161" s="3" t="n">
        <f aca="false">IF(H2161="Y",1,0)</f>
        <v>0</v>
      </c>
      <c r="N2161" s="3" t="n">
        <f aca="false">IF(I2161="Y",1,0)</f>
        <v>0</v>
      </c>
    </row>
    <row r="2162" customFormat="false" ht="15" hidden="false" customHeight="true" outlineLevel="0" collapsed="false">
      <c r="A2162" s="7" t="s">
        <v>58</v>
      </c>
      <c r="B2162" s="7" t="n">
        <v>1914</v>
      </c>
      <c r="C2162" s="7" t="s">
        <v>359</v>
      </c>
      <c r="D2162" s="7" t="n">
        <v>69</v>
      </c>
      <c r="E2162" s="7" t="n">
        <v>85</v>
      </c>
      <c r="F2162" s="7"/>
      <c r="G2162" s="7"/>
      <c r="H2162" s="7" t="s">
        <v>546</v>
      </c>
      <c r="I2162" s="7" t="s">
        <v>546</v>
      </c>
      <c r="J2162" s="21" t="n">
        <f aca="false">D2162/(D2162+E2162)</f>
        <v>0.448051948051948</v>
      </c>
      <c r="K2162" s="3" t="n">
        <f aca="false">IF(D2162&gt;E2162,1,0)</f>
        <v>0</v>
      </c>
      <c r="L2162" s="3" t="n">
        <f aca="false">IF(OR(F2162="Y",G2162="Y",H2162="Y"),1,0)</f>
        <v>0</v>
      </c>
      <c r="M2162" s="3" t="n">
        <f aca="false">IF(H2162="Y",1,0)</f>
        <v>0</v>
      </c>
      <c r="N2162" s="3" t="n">
        <f aca="false">IF(I2162="Y",1,0)</f>
        <v>0</v>
      </c>
    </row>
    <row r="2163" customFormat="false" ht="15" hidden="false" customHeight="true" outlineLevel="0" collapsed="false">
      <c r="A2163" s="7" t="s">
        <v>58</v>
      </c>
      <c r="B2163" s="7" t="n">
        <v>1915</v>
      </c>
      <c r="C2163" s="7" t="s">
        <v>359</v>
      </c>
      <c r="D2163" s="7" t="n">
        <v>73</v>
      </c>
      <c r="E2163" s="7" t="n">
        <v>81</v>
      </c>
      <c r="F2163" s="7"/>
      <c r="G2163" s="7"/>
      <c r="H2163" s="7" t="s">
        <v>546</v>
      </c>
      <c r="I2163" s="7" t="s">
        <v>546</v>
      </c>
      <c r="J2163" s="21" t="n">
        <f aca="false">D2163/(D2163+E2163)</f>
        <v>0.474025974025974</v>
      </c>
      <c r="K2163" s="3" t="n">
        <f aca="false">IF(D2163&gt;E2163,1,0)</f>
        <v>0</v>
      </c>
      <c r="L2163" s="3" t="n">
        <f aca="false">IF(OR(F2163="Y",G2163="Y",H2163="Y"),1,0)</f>
        <v>0</v>
      </c>
      <c r="M2163" s="3" t="n">
        <f aca="false">IF(H2163="Y",1,0)</f>
        <v>0</v>
      </c>
      <c r="N2163" s="3" t="n">
        <f aca="false">IF(I2163="Y",1,0)</f>
        <v>0</v>
      </c>
    </row>
    <row r="2164" customFormat="false" ht="15" hidden="false" customHeight="true" outlineLevel="0" collapsed="false">
      <c r="A2164" s="7" t="s">
        <v>58</v>
      </c>
      <c r="B2164" s="7" t="n">
        <v>1916</v>
      </c>
      <c r="C2164" s="7" t="s">
        <v>359</v>
      </c>
      <c r="D2164" s="7" t="n">
        <v>65</v>
      </c>
      <c r="E2164" s="7" t="n">
        <v>89</v>
      </c>
      <c r="F2164" s="7"/>
      <c r="G2164" s="7"/>
      <c r="H2164" s="7" t="s">
        <v>546</v>
      </c>
      <c r="I2164" s="7" t="s">
        <v>546</v>
      </c>
      <c r="J2164" s="21" t="n">
        <f aca="false">D2164/(D2164+E2164)</f>
        <v>0.422077922077922</v>
      </c>
      <c r="K2164" s="3" t="n">
        <f aca="false">IF(D2164&gt;E2164,1,0)</f>
        <v>0</v>
      </c>
      <c r="L2164" s="3" t="n">
        <f aca="false">IF(OR(F2164="Y",G2164="Y",H2164="Y"),1,0)</f>
        <v>0</v>
      </c>
      <c r="M2164" s="3" t="n">
        <f aca="false">IF(H2164="Y",1,0)</f>
        <v>0</v>
      </c>
      <c r="N2164" s="3" t="n">
        <f aca="false">IF(I2164="Y",1,0)</f>
        <v>0</v>
      </c>
    </row>
    <row r="2165" customFormat="false" ht="15" hidden="false" customHeight="true" outlineLevel="0" collapsed="false">
      <c r="A2165" s="7" t="s">
        <v>58</v>
      </c>
      <c r="B2165" s="7" t="n">
        <v>1917</v>
      </c>
      <c r="C2165" s="7" t="s">
        <v>359</v>
      </c>
      <c r="D2165" s="7" t="n">
        <v>51</v>
      </c>
      <c r="E2165" s="7" t="n">
        <v>103</v>
      </c>
      <c r="F2165" s="7"/>
      <c r="G2165" s="7"/>
      <c r="H2165" s="7" t="s">
        <v>546</v>
      </c>
      <c r="I2165" s="7" t="s">
        <v>546</v>
      </c>
      <c r="J2165" s="21" t="n">
        <f aca="false">D2165/(D2165+E2165)</f>
        <v>0.331168831168831</v>
      </c>
      <c r="K2165" s="3" t="n">
        <f aca="false">IF(D2165&gt;E2165,1,0)</f>
        <v>0</v>
      </c>
      <c r="L2165" s="3" t="n">
        <f aca="false">IF(OR(F2165="Y",G2165="Y",H2165="Y"),1,0)</f>
        <v>0</v>
      </c>
      <c r="M2165" s="3" t="n">
        <f aca="false">IF(H2165="Y",1,0)</f>
        <v>0</v>
      </c>
      <c r="N2165" s="3" t="n">
        <f aca="false">IF(I2165="Y",1,0)</f>
        <v>0</v>
      </c>
    </row>
    <row r="2166" customFormat="false" ht="15" hidden="false" customHeight="true" outlineLevel="0" collapsed="false">
      <c r="A2166" s="7" t="s">
        <v>58</v>
      </c>
      <c r="B2166" s="7" t="n">
        <v>1918</v>
      </c>
      <c r="C2166" s="7" t="s">
        <v>359</v>
      </c>
      <c r="D2166" s="7" t="n">
        <v>65</v>
      </c>
      <c r="E2166" s="7" t="n">
        <v>60</v>
      </c>
      <c r="F2166" s="7"/>
      <c r="G2166" s="7"/>
      <c r="H2166" s="7" t="s">
        <v>546</v>
      </c>
      <c r="I2166" s="7" t="s">
        <v>546</v>
      </c>
      <c r="J2166" s="21" t="n">
        <f aca="false">D2166/(D2166+E2166)</f>
        <v>0.52</v>
      </c>
      <c r="K2166" s="3" t="n">
        <f aca="false">IF(D2166&gt;E2166,1,0)</f>
        <v>1</v>
      </c>
      <c r="L2166" s="3" t="n">
        <f aca="false">IF(OR(F2166="Y",G2166="Y",H2166="Y"),1,0)</f>
        <v>0</v>
      </c>
      <c r="M2166" s="3" t="n">
        <f aca="false">IF(H2166="Y",1,0)</f>
        <v>0</v>
      </c>
      <c r="N2166" s="3" t="n">
        <f aca="false">IF(I2166="Y",1,0)</f>
        <v>0</v>
      </c>
    </row>
    <row r="2167" customFormat="false" ht="15" hidden="false" customHeight="true" outlineLevel="0" collapsed="false">
      <c r="A2167" s="7" t="s">
        <v>58</v>
      </c>
      <c r="B2167" s="7" t="n">
        <v>1919</v>
      </c>
      <c r="C2167" s="7" t="s">
        <v>359</v>
      </c>
      <c r="D2167" s="7" t="n">
        <v>71</v>
      </c>
      <c r="E2167" s="7" t="n">
        <v>68</v>
      </c>
      <c r="F2167" s="7"/>
      <c r="G2167" s="7"/>
      <c r="H2167" s="7" t="s">
        <v>546</v>
      </c>
      <c r="I2167" s="7" t="s">
        <v>546</v>
      </c>
      <c r="J2167" s="21" t="n">
        <f aca="false">D2167/(D2167+E2167)</f>
        <v>0.510791366906475</v>
      </c>
      <c r="K2167" s="3" t="n">
        <f aca="false">IF(D2167&gt;E2167,1,0)</f>
        <v>1</v>
      </c>
      <c r="L2167" s="3" t="n">
        <f aca="false">IF(OR(F2167="Y",G2167="Y",H2167="Y"),1,0)</f>
        <v>0</v>
      </c>
      <c r="M2167" s="3" t="n">
        <f aca="false">IF(H2167="Y",1,0)</f>
        <v>0</v>
      </c>
      <c r="N2167" s="3" t="n">
        <f aca="false">IF(I2167="Y",1,0)</f>
        <v>0</v>
      </c>
    </row>
    <row r="2168" customFormat="false" ht="15" hidden="false" customHeight="true" outlineLevel="0" collapsed="false">
      <c r="A2168" s="7" t="s">
        <v>58</v>
      </c>
      <c r="B2168" s="7" t="n">
        <v>1920</v>
      </c>
      <c r="C2168" s="7" t="s">
        <v>359</v>
      </c>
      <c r="D2168" s="7" t="n">
        <v>79</v>
      </c>
      <c r="E2168" s="7" t="n">
        <v>75</v>
      </c>
      <c r="F2168" s="7"/>
      <c r="G2168" s="7"/>
      <c r="H2168" s="7" t="s">
        <v>546</v>
      </c>
      <c r="I2168" s="7" t="s">
        <v>546</v>
      </c>
      <c r="J2168" s="21" t="n">
        <f aca="false">D2168/(D2168+E2168)</f>
        <v>0.512987012987013</v>
      </c>
      <c r="K2168" s="3" t="n">
        <f aca="false">IF(D2168&gt;E2168,1,0)</f>
        <v>1</v>
      </c>
      <c r="L2168" s="3" t="n">
        <f aca="false">IF(OR(F2168="Y",G2168="Y",H2168="Y"),1,0)</f>
        <v>0</v>
      </c>
      <c r="M2168" s="3" t="n">
        <f aca="false">IF(H2168="Y",1,0)</f>
        <v>0</v>
      </c>
      <c r="N2168" s="3" t="n">
        <f aca="false">IF(I2168="Y",1,0)</f>
        <v>0</v>
      </c>
    </row>
    <row r="2169" customFormat="false" ht="15" hidden="false" customHeight="true" outlineLevel="0" collapsed="false">
      <c r="A2169" s="7" t="s">
        <v>58</v>
      </c>
      <c r="B2169" s="7" t="n">
        <v>1921</v>
      </c>
      <c r="C2169" s="7" t="s">
        <v>359</v>
      </c>
      <c r="D2169" s="7" t="n">
        <v>90</v>
      </c>
      <c r="E2169" s="7" t="n">
        <v>63</v>
      </c>
      <c r="F2169" s="7"/>
      <c r="G2169" s="7"/>
      <c r="H2169" s="7" t="s">
        <v>546</v>
      </c>
      <c r="I2169" s="7" t="s">
        <v>546</v>
      </c>
      <c r="J2169" s="21" t="n">
        <f aca="false">D2169/(D2169+E2169)</f>
        <v>0.588235294117647</v>
      </c>
      <c r="K2169" s="3" t="n">
        <f aca="false">IF(D2169&gt;E2169,1,0)</f>
        <v>1</v>
      </c>
      <c r="L2169" s="3" t="n">
        <f aca="false">IF(OR(F2169="Y",G2169="Y",H2169="Y"),1,0)</f>
        <v>0</v>
      </c>
      <c r="M2169" s="3" t="n">
        <f aca="false">IF(H2169="Y",1,0)</f>
        <v>0</v>
      </c>
      <c r="N2169" s="3" t="n">
        <f aca="false">IF(I2169="Y",1,0)</f>
        <v>0</v>
      </c>
    </row>
    <row r="2170" customFormat="false" ht="15" hidden="false" customHeight="true" outlineLevel="0" collapsed="false">
      <c r="A2170" s="7" t="s">
        <v>58</v>
      </c>
      <c r="B2170" s="7" t="n">
        <v>1922</v>
      </c>
      <c r="C2170" s="7" t="s">
        <v>359</v>
      </c>
      <c r="D2170" s="7" t="n">
        <v>85</v>
      </c>
      <c r="E2170" s="7" t="n">
        <v>69</v>
      </c>
      <c r="F2170" s="7"/>
      <c r="G2170" s="7"/>
      <c r="H2170" s="7" t="s">
        <v>546</v>
      </c>
      <c r="I2170" s="7" t="s">
        <v>546</v>
      </c>
      <c r="J2170" s="21" t="n">
        <f aca="false">D2170/(D2170+E2170)</f>
        <v>0.551948051948052</v>
      </c>
      <c r="K2170" s="3" t="n">
        <f aca="false">IF(D2170&gt;E2170,1,0)</f>
        <v>1</v>
      </c>
      <c r="L2170" s="3" t="n">
        <f aca="false">IF(OR(F2170="Y",G2170="Y",H2170="Y"),1,0)</f>
        <v>0</v>
      </c>
      <c r="M2170" s="3" t="n">
        <f aca="false">IF(H2170="Y",1,0)</f>
        <v>0</v>
      </c>
      <c r="N2170" s="3" t="n">
        <f aca="false">IF(I2170="Y",1,0)</f>
        <v>0</v>
      </c>
    </row>
    <row r="2171" customFormat="false" ht="15" hidden="false" customHeight="true" outlineLevel="0" collapsed="false">
      <c r="A2171" s="7" t="s">
        <v>58</v>
      </c>
      <c r="B2171" s="7" t="n">
        <v>1923</v>
      </c>
      <c r="C2171" s="7" t="s">
        <v>359</v>
      </c>
      <c r="D2171" s="7" t="n">
        <v>87</v>
      </c>
      <c r="E2171" s="7" t="n">
        <v>67</v>
      </c>
      <c r="F2171" s="7"/>
      <c r="G2171" s="7"/>
      <c r="H2171" s="7" t="s">
        <v>546</v>
      </c>
      <c r="I2171" s="7" t="s">
        <v>546</v>
      </c>
      <c r="J2171" s="21" t="n">
        <f aca="false">D2171/(D2171+E2171)</f>
        <v>0.564935064935065</v>
      </c>
      <c r="K2171" s="3" t="n">
        <f aca="false">IF(D2171&gt;E2171,1,0)</f>
        <v>1</v>
      </c>
      <c r="L2171" s="3" t="n">
        <f aca="false">IF(OR(F2171="Y",G2171="Y",H2171="Y"),1,0)</f>
        <v>0</v>
      </c>
      <c r="M2171" s="3" t="n">
        <f aca="false">IF(H2171="Y",1,0)</f>
        <v>0</v>
      </c>
      <c r="N2171" s="3" t="n">
        <f aca="false">IF(I2171="Y",1,0)</f>
        <v>0</v>
      </c>
    </row>
    <row r="2172" customFormat="false" ht="15" hidden="false" customHeight="true" outlineLevel="0" collapsed="false">
      <c r="A2172" s="7" t="s">
        <v>58</v>
      </c>
      <c r="B2172" s="7" t="n">
        <v>1924</v>
      </c>
      <c r="C2172" s="7" t="s">
        <v>359</v>
      </c>
      <c r="D2172" s="7" t="n">
        <v>90</v>
      </c>
      <c r="E2172" s="7" t="n">
        <v>63</v>
      </c>
      <c r="F2172" s="7"/>
      <c r="G2172" s="7"/>
      <c r="H2172" s="7" t="s">
        <v>546</v>
      </c>
      <c r="I2172" s="7" t="s">
        <v>546</v>
      </c>
      <c r="J2172" s="21" t="n">
        <f aca="false">D2172/(D2172+E2172)</f>
        <v>0.588235294117647</v>
      </c>
      <c r="K2172" s="3" t="n">
        <f aca="false">IF(D2172&gt;E2172,1,0)</f>
        <v>1</v>
      </c>
      <c r="L2172" s="3" t="n">
        <f aca="false">IF(OR(F2172="Y",G2172="Y",H2172="Y"),1,0)</f>
        <v>0</v>
      </c>
      <c r="M2172" s="3" t="n">
        <f aca="false">IF(H2172="Y",1,0)</f>
        <v>0</v>
      </c>
      <c r="N2172" s="3" t="n">
        <f aca="false">IF(I2172="Y",1,0)</f>
        <v>0</v>
      </c>
    </row>
    <row r="2173" customFormat="false" ht="15" hidden="false" customHeight="true" outlineLevel="0" collapsed="false">
      <c r="A2173" s="7" t="s">
        <v>58</v>
      </c>
      <c r="B2173" s="7" t="n">
        <v>1925</v>
      </c>
      <c r="C2173" s="7" t="s">
        <v>359</v>
      </c>
      <c r="D2173" s="7" t="n">
        <v>95</v>
      </c>
      <c r="E2173" s="7" t="n">
        <v>58</v>
      </c>
      <c r="F2173" s="7"/>
      <c r="G2173" s="7"/>
      <c r="H2173" s="7" t="s">
        <v>548</v>
      </c>
      <c r="I2173" s="7" t="s">
        <v>548</v>
      </c>
      <c r="J2173" s="21" t="n">
        <f aca="false">D2173/(D2173+E2173)</f>
        <v>0.620915032679739</v>
      </c>
      <c r="K2173" s="3" t="n">
        <f aca="false">IF(D2173&gt;E2173,1,0)</f>
        <v>1</v>
      </c>
      <c r="L2173" s="3" t="n">
        <f aca="false">IF(OR(F2173="Y",G2173="Y",H2173="Y"),1,0)</f>
        <v>1</v>
      </c>
      <c r="M2173" s="3" t="n">
        <f aca="false">IF(H2173="Y",1,0)</f>
        <v>1</v>
      </c>
      <c r="N2173" s="3" t="n">
        <f aca="false">IF(I2173="Y",1,0)</f>
        <v>1</v>
      </c>
    </row>
    <row r="2174" customFormat="false" ht="15" hidden="false" customHeight="true" outlineLevel="0" collapsed="false">
      <c r="A2174" s="7" t="s">
        <v>58</v>
      </c>
      <c r="B2174" s="7" t="n">
        <v>1926</v>
      </c>
      <c r="C2174" s="7" t="s">
        <v>359</v>
      </c>
      <c r="D2174" s="7" t="n">
        <v>84</v>
      </c>
      <c r="E2174" s="7" t="n">
        <v>69</v>
      </c>
      <c r="F2174" s="7"/>
      <c r="G2174" s="7"/>
      <c r="H2174" s="7" t="s">
        <v>546</v>
      </c>
      <c r="I2174" s="7" t="s">
        <v>546</v>
      </c>
      <c r="J2174" s="21" t="n">
        <f aca="false">D2174/(D2174+E2174)</f>
        <v>0.549019607843137</v>
      </c>
      <c r="K2174" s="3" t="n">
        <f aca="false">IF(D2174&gt;E2174,1,0)</f>
        <v>1</v>
      </c>
      <c r="L2174" s="3" t="n">
        <f aca="false">IF(OR(F2174="Y",G2174="Y",H2174="Y"),1,0)</f>
        <v>0</v>
      </c>
      <c r="M2174" s="3" t="n">
        <f aca="false">IF(H2174="Y",1,0)</f>
        <v>0</v>
      </c>
      <c r="N2174" s="3" t="n">
        <f aca="false">IF(I2174="Y",1,0)</f>
        <v>0</v>
      </c>
    </row>
    <row r="2175" customFormat="false" ht="15" hidden="false" customHeight="true" outlineLevel="0" collapsed="false">
      <c r="A2175" s="7" t="s">
        <v>58</v>
      </c>
      <c r="B2175" s="7" t="n">
        <v>1927</v>
      </c>
      <c r="C2175" s="7" t="s">
        <v>359</v>
      </c>
      <c r="D2175" s="7" t="n">
        <v>94</v>
      </c>
      <c r="E2175" s="7" t="n">
        <v>60</v>
      </c>
      <c r="F2175" s="7"/>
      <c r="G2175" s="7"/>
      <c r="H2175" s="7" t="s">
        <v>548</v>
      </c>
      <c r="I2175" s="7" t="s">
        <v>546</v>
      </c>
      <c r="J2175" s="21" t="n">
        <f aca="false">D2175/(D2175+E2175)</f>
        <v>0.61038961038961</v>
      </c>
      <c r="K2175" s="3" t="n">
        <f aca="false">IF(D2175&gt;E2175,1,0)</f>
        <v>1</v>
      </c>
      <c r="L2175" s="3" t="n">
        <f aca="false">IF(OR(F2175="Y",G2175="Y",H2175="Y"),1,0)</f>
        <v>1</v>
      </c>
      <c r="M2175" s="3" t="n">
        <f aca="false">IF(H2175="Y",1,0)</f>
        <v>1</v>
      </c>
      <c r="N2175" s="3" t="n">
        <f aca="false">IF(I2175="Y",1,0)</f>
        <v>0</v>
      </c>
    </row>
    <row r="2176" customFormat="false" ht="15" hidden="false" customHeight="true" outlineLevel="0" collapsed="false">
      <c r="A2176" s="7" t="s">
        <v>58</v>
      </c>
      <c r="B2176" s="7" t="n">
        <v>1928</v>
      </c>
      <c r="C2176" s="7" t="s">
        <v>359</v>
      </c>
      <c r="D2176" s="7" t="n">
        <v>85</v>
      </c>
      <c r="E2176" s="7" t="n">
        <v>67</v>
      </c>
      <c r="F2176" s="7"/>
      <c r="G2176" s="7"/>
      <c r="H2176" s="7" t="s">
        <v>546</v>
      </c>
      <c r="I2176" s="7" t="s">
        <v>546</v>
      </c>
      <c r="J2176" s="21" t="n">
        <f aca="false">D2176/(D2176+E2176)</f>
        <v>0.55921052631579</v>
      </c>
      <c r="K2176" s="3" t="n">
        <f aca="false">IF(D2176&gt;E2176,1,0)</f>
        <v>1</v>
      </c>
      <c r="L2176" s="3" t="n">
        <f aca="false">IF(OR(F2176="Y",G2176="Y",H2176="Y"),1,0)</f>
        <v>0</v>
      </c>
      <c r="M2176" s="3" t="n">
        <f aca="false">IF(H2176="Y",1,0)</f>
        <v>0</v>
      </c>
      <c r="N2176" s="3" t="n">
        <f aca="false">IF(I2176="Y",1,0)</f>
        <v>0</v>
      </c>
    </row>
    <row r="2177" customFormat="false" ht="15" hidden="false" customHeight="true" outlineLevel="0" collapsed="false">
      <c r="A2177" s="7" t="s">
        <v>58</v>
      </c>
      <c r="B2177" s="7" t="n">
        <v>1929</v>
      </c>
      <c r="C2177" s="7" t="s">
        <v>359</v>
      </c>
      <c r="D2177" s="7" t="n">
        <v>88</v>
      </c>
      <c r="E2177" s="7" t="n">
        <v>65</v>
      </c>
      <c r="F2177" s="7"/>
      <c r="G2177" s="7"/>
      <c r="H2177" s="7" t="s">
        <v>546</v>
      </c>
      <c r="I2177" s="7" t="s">
        <v>546</v>
      </c>
      <c r="J2177" s="21" t="n">
        <f aca="false">D2177/(D2177+E2177)</f>
        <v>0.57516339869281</v>
      </c>
      <c r="K2177" s="3" t="n">
        <f aca="false">IF(D2177&gt;E2177,1,0)</f>
        <v>1</v>
      </c>
      <c r="L2177" s="3" t="n">
        <f aca="false">IF(OR(F2177="Y",G2177="Y",H2177="Y"),1,0)</f>
        <v>0</v>
      </c>
      <c r="M2177" s="3" t="n">
        <f aca="false">IF(H2177="Y",1,0)</f>
        <v>0</v>
      </c>
      <c r="N2177" s="3" t="n">
        <f aca="false">IF(I2177="Y",1,0)</f>
        <v>0</v>
      </c>
    </row>
    <row r="2178" customFormat="false" ht="15" hidden="false" customHeight="true" outlineLevel="0" collapsed="false">
      <c r="A2178" s="7" t="s">
        <v>58</v>
      </c>
      <c r="B2178" s="7" t="n">
        <v>1930</v>
      </c>
      <c r="C2178" s="7" t="s">
        <v>359</v>
      </c>
      <c r="D2178" s="7" t="n">
        <v>80</v>
      </c>
      <c r="E2178" s="7" t="n">
        <v>74</v>
      </c>
      <c r="F2178" s="7"/>
      <c r="G2178" s="7"/>
      <c r="H2178" s="7" t="s">
        <v>546</v>
      </c>
      <c r="I2178" s="7" t="s">
        <v>546</v>
      </c>
      <c r="J2178" s="21" t="n">
        <f aca="false">D2178/(D2178+E2178)</f>
        <v>0.519480519480519</v>
      </c>
      <c r="K2178" s="3" t="n">
        <f aca="false">IF(D2178&gt;E2178,1,0)</f>
        <v>1</v>
      </c>
      <c r="L2178" s="3" t="n">
        <f aca="false">IF(OR(F2178="Y",G2178="Y",H2178="Y"),1,0)</f>
        <v>0</v>
      </c>
      <c r="M2178" s="3" t="n">
        <f aca="false">IF(H2178="Y",1,0)</f>
        <v>0</v>
      </c>
      <c r="N2178" s="3" t="n">
        <f aca="false">IF(I2178="Y",1,0)</f>
        <v>0</v>
      </c>
    </row>
    <row r="2179" customFormat="false" ht="15" hidden="false" customHeight="true" outlineLevel="0" collapsed="false">
      <c r="A2179" s="7" t="s">
        <v>58</v>
      </c>
      <c r="B2179" s="7" t="n">
        <v>1931</v>
      </c>
      <c r="C2179" s="7" t="s">
        <v>359</v>
      </c>
      <c r="D2179" s="7" t="n">
        <v>75</v>
      </c>
      <c r="E2179" s="7" t="n">
        <v>79</v>
      </c>
      <c r="F2179" s="7"/>
      <c r="G2179" s="7"/>
      <c r="H2179" s="7" t="s">
        <v>546</v>
      </c>
      <c r="I2179" s="7" t="s">
        <v>546</v>
      </c>
      <c r="J2179" s="21" t="n">
        <f aca="false">D2179/(D2179+E2179)</f>
        <v>0.487012987012987</v>
      </c>
      <c r="K2179" s="3" t="n">
        <f aca="false">IF(D2179&gt;E2179,1,0)</f>
        <v>0</v>
      </c>
      <c r="L2179" s="3" t="n">
        <f aca="false">IF(OR(F2179="Y",G2179="Y",H2179="Y"),1,0)</f>
        <v>0</v>
      </c>
      <c r="M2179" s="3" t="n">
        <f aca="false">IF(H2179="Y",1,0)</f>
        <v>0</v>
      </c>
      <c r="N2179" s="3" t="n">
        <f aca="false">IF(I2179="Y",1,0)</f>
        <v>0</v>
      </c>
    </row>
    <row r="2180" customFormat="false" ht="15" hidden="false" customHeight="true" outlineLevel="0" collapsed="false">
      <c r="A2180" s="7" t="s">
        <v>58</v>
      </c>
      <c r="B2180" s="7" t="n">
        <v>1932</v>
      </c>
      <c r="C2180" s="7" t="s">
        <v>359</v>
      </c>
      <c r="D2180" s="7" t="n">
        <v>86</v>
      </c>
      <c r="E2180" s="7" t="n">
        <v>68</v>
      </c>
      <c r="F2180" s="7"/>
      <c r="G2180" s="7"/>
      <c r="H2180" s="7" t="s">
        <v>546</v>
      </c>
      <c r="I2180" s="7" t="s">
        <v>546</v>
      </c>
      <c r="J2180" s="21" t="n">
        <f aca="false">D2180/(D2180+E2180)</f>
        <v>0.558441558441558</v>
      </c>
      <c r="K2180" s="3" t="n">
        <f aca="false">IF(D2180&gt;E2180,1,0)</f>
        <v>1</v>
      </c>
      <c r="L2180" s="3" t="n">
        <f aca="false">IF(OR(F2180="Y",G2180="Y",H2180="Y"),1,0)</f>
        <v>0</v>
      </c>
      <c r="M2180" s="3" t="n">
        <f aca="false">IF(H2180="Y",1,0)</f>
        <v>0</v>
      </c>
      <c r="N2180" s="3" t="n">
        <f aca="false">IF(I2180="Y",1,0)</f>
        <v>0</v>
      </c>
    </row>
    <row r="2181" customFormat="false" ht="15" hidden="false" customHeight="true" outlineLevel="0" collapsed="false">
      <c r="A2181" s="7" t="s">
        <v>58</v>
      </c>
      <c r="B2181" s="7" t="n">
        <v>1933</v>
      </c>
      <c r="C2181" s="7" t="s">
        <v>359</v>
      </c>
      <c r="D2181" s="7" t="n">
        <v>87</v>
      </c>
      <c r="E2181" s="7" t="n">
        <v>67</v>
      </c>
      <c r="F2181" s="7"/>
      <c r="G2181" s="7"/>
      <c r="H2181" s="7" t="s">
        <v>546</v>
      </c>
      <c r="I2181" s="7" t="s">
        <v>546</v>
      </c>
      <c r="J2181" s="21" t="n">
        <f aca="false">D2181/(D2181+E2181)</f>
        <v>0.564935064935065</v>
      </c>
      <c r="K2181" s="3" t="n">
        <f aca="false">IF(D2181&gt;E2181,1,0)</f>
        <v>1</v>
      </c>
      <c r="L2181" s="3" t="n">
        <f aca="false">IF(OR(F2181="Y",G2181="Y",H2181="Y"),1,0)</f>
        <v>0</v>
      </c>
      <c r="M2181" s="3" t="n">
        <f aca="false">IF(H2181="Y",1,0)</f>
        <v>0</v>
      </c>
      <c r="N2181" s="3" t="n">
        <f aca="false">IF(I2181="Y",1,0)</f>
        <v>0</v>
      </c>
    </row>
    <row r="2182" customFormat="false" ht="15" hidden="false" customHeight="true" outlineLevel="0" collapsed="false">
      <c r="A2182" s="7" t="s">
        <v>58</v>
      </c>
      <c r="B2182" s="7" t="n">
        <v>1934</v>
      </c>
      <c r="C2182" s="7" t="s">
        <v>359</v>
      </c>
      <c r="D2182" s="7" t="n">
        <v>74</v>
      </c>
      <c r="E2182" s="7" t="n">
        <v>76</v>
      </c>
      <c r="F2182" s="7"/>
      <c r="G2182" s="7"/>
      <c r="H2182" s="7" t="s">
        <v>546</v>
      </c>
      <c r="I2182" s="7" t="s">
        <v>546</v>
      </c>
      <c r="J2182" s="21" t="n">
        <f aca="false">D2182/(D2182+E2182)</f>
        <v>0.493333333333333</v>
      </c>
      <c r="K2182" s="3" t="n">
        <f aca="false">IF(D2182&gt;E2182,1,0)</f>
        <v>0</v>
      </c>
      <c r="L2182" s="3" t="n">
        <f aca="false">IF(OR(F2182="Y",G2182="Y",H2182="Y"),1,0)</f>
        <v>0</v>
      </c>
      <c r="M2182" s="3" t="n">
        <f aca="false">IF(H2182="Y",1,0)</f>
        <v>0</v>
      </c>
      <c r="N2182" s="3" t="n">
        <f aca="false">IF(I2182="Y",1,0)</f>
        <v>0</v>
      </c>
    </row>
    <row r="2183" customFormat="false" ht="15" hidden="false" customHeight="true" outlineLevel="0" collapsed="false">
      <c r="A2183" s="7" t="s">
        <v>58</v>
      </c>
      <c r="B2183" s="7" t="n">
        <v>1935</v>
      </c>
      <c r="C2183" s="7" t="s">
        <v>359</v>
      </c>
      <c r="D2183" s="7" t="n">
        <v>86</v>
      </c>
      <c r="E2183" s="7" t="n">
        <v>67</v>
      </c>
      <c r="F2183" s="7"/>
      <c r="G2183" s="7"/>
      <c r="H2183" s="7" t="s">
        <v>546</v>
      </c>
      <c r="I2183" s="7" t="s">
        <v>546</v>
      </c>
      <c r="J2183" s="21" t="n">
        <f aca="false">D2183/(D2183+E2183)</f>
        <v>0.562091503267974</v>
      </c>
      <c r="K2183" s="3" t="n">
        <f aca="false">IF(D2183&gt;E2183,1,0)</f>
        <v>1</v>
      </c>
      <c r="L2183" s="3" t="n">
        <f aca="false">IF(OR(F2183="Y",G2183="Y",H2183="Y"),1,0)</f>
        <v>0</v>
      </c>
      <c r="M2183" s="3" t="n">
        <f aca="false">IF(H2183="Y",1,0)</f>
        <v>0</v>
      </c>
      <c r="N2183" s="3" t="n">
        <f aca="false">IF(I2183="Y",1,0)</f>
        <v>0</v>
      </c>
    </row>
    <row r="2184" customFormat="false" ht="15" hidden="false" customHeight="true" outlineLevel="0" collapsed="false">
      <c r="A2184" s="7" t="s">
        <v>58</v>
      </c>
      <c r="B2184" s="7" t="n">
        <v>1936</v>
      </c>
      <c r="C2184" s="7" t="s">
        <v>359</v>
      </c>
      <c r="D2184" s="7" t="n">
        <v>84</v>
      </c>
      <c r="E2184" s="7" t="n">
        <v>70</v>
      </c>
      <c r="F2184" s="7"/>
      <c r="G2184" s="7"/>
      <c r="H2184" s="7" t="s">
        <v>546</v>
      </c>
      <c r="I2184" s="7" t="s">
        <v>546</v>
      </c>
      <c r="J2184" s="21" t="n">
        <f aca="false">D2184/(D2184+E2184)</f>
        <v>0.545454545454545</v>
      </c>
      <c r="K2184" s="3" t="n">
        <f aca="false">IF(D2184&gt;E2184,1,0)</f>
        <v>1</v>
      </c>
      <c r="L2184" s="3" t="n">
        <f aca="false">IF(OR(F2184="Y",G2184="Y",H2184="Y"),1,0)</f>
        <v>0</v>
      </c>
      <c r="M2184" s="3" t="n">
        <f aca="false">IF(H2184="Y",1,0)</f>
        <v>0</v>
      </c>
      <c r="N2184" s="3" t="n">
        <f aca="false">IF(I2184="Y",1,0)</f>
        <v>0</v>
      </c>
    </row>
    <row r="2185" customFormat="false" ht="15" hidden="false" customHeight="true" outlineLevel="0" collapsed="false">
      <c r="A2185" s="7" t="s">
        <v>58</v>
      </c>
      <c r="B2185" s="7" t="n">
        <v>1937</v>
      </c>
      <c r="C2185" s="7" t="s">
        <v>359</v>
      </c>
      <c r="D2185" s="7" t="n">
        <v>86</v>
      </c>
      <c r="E2185" s="7" t="n">
        <v>68</v>
      </c>
      <c r="F2185" s="7"/>
      <c r="G2185" s="7"/>
      <c r="H2185" s="7" t="s">
        <v>546</v>
      </c>
      <c r="I2185" s="7" t="s">
        <v>546</v>
      </c>
      <c r="J2185" s="21" t="n">
        <f aca="false">D2185/(D2185+E2185)</f>
        <v>0.558441558441558</v>
      </c>
      <c r="K2185" s="3" t="n">
        <f aca="false">IF(D2185&gt;E2185,1,0)</f>
        <v>1</v>
      </c>
      <c r="L2185" s="3" t="n">
        <f aca="false">IF(OR(F2185="Y",G2185="Y",H2185="Y"),1,0)</f>
        <v>0</v>
      </c>
      <c r="M2185" s="3" t="n">
        <f aca="false">IF(H2185="Y",1,0)</f>
        <v>0</v>
      </c>
      <c r="N2185" s="3" t="n">
        <f aca="false">IF(I2185="Y",1,0)</f>
        <v>0</v>
      </c>
    </row>
    <row r="2186" customFormat="false" ht="15" hidden="false" customHeight="true" outlineLevel="0" collapsed="false">
      <c r="A2186" s="7" t="s">
        <v>58</v>
      </c>
      <c r="B2186" s="7" t="n">
        <v>1938</v>
      </c>
      <c r="C2186" s="7" t="s">
        <v>359</v>
      </c>
      <c r="D2186" s="7" t="n">
        <v>86</v>
      </c>
      <c r="E2186" s="7" t="n">
        <v>64</v>
      </c>
      <c r="F2186" s="7"/>
      <c r="G2186" s="7"/>
      <c r="H2186" s="7" t="s">
        <v>546</v>
      </c>
      <c r="I2186" s="7" t="s">
        <v>546</v>
      </c>
      <c r="J2186" s="21" t="n">
        <f aca="false">D2186/(D2186+E2186)</f>
        <v>0.573333333333333</v>
      </c>
      <c r="K2186" s="3" t="n">
        <f aca="false">IF(D2186&gt;E2186,1,0)</f>
        <v>1</v>
      </c>
      <c r="L2186" s="3" t="n">
        <f aca="false">IF(OR(F2186="Y",G2186="Y",H2186="Y"),1,0)</f>
        <v>0</v>
      </c>
      <c r="M2186" s="3" t="n">
        <f aca="false">IF(H2186="Y",1,0)</f>
        <v>0</v>
      </c>
      <c r="N2186" s="3" t="n">
        <f aca="false">IF(I2186="Y",1,0)</f>
        <v>0</v>
      </c>
    </row>
    <row r="2187" customFormat="false" ht="15" hidden="false" customHeight="true" outlineLevel="0" collapsed="false">
      <c r="A2187" s="7" t="s">
        <v>58</v>
      </c>
      <c r="B2187" s="7" t="n">
        <v>1939</v>
      </c>
      <c r="C2187" s="7" t="s">
        <v>359</v>
      </c>
      <c r="D2187" s="7" t="n">
        <v>68</v>
      </c>
      <c r="E2187" s="7" t="n">
        <v>85</v>
      </c>
      <c r="F2187" s="7"/>
      <c r="G2187" s="7"/>
      <c r="H2187" s="7" t="s">
        <v>546</v>
      </c>
      <c r="I2187" s="7" t="s">
        <v>546</v>
      </c>
      <c r="J2187" s="21" t="n">
        <f aca="false">D2187/(D2187+E2187)</f>
        <v>0.444444444444444</v>
      </c>
      <c r="K2187" s="3" t="n">
        <f aca="false">IF(D2187&gt;E2187,1,0)</f>
        <v>0</v>
      </c>
      <c r="L2187" s="3" t="n">
        <f aca="false">IF(OR(F2187="Y",G2187="Y",H2187="Y"),1,0)</f>
        <v>0</v>
      </c>
      <c r="M2187" s="3" t="n">
        <f aca="false">IF(H2187="Y",1,0)</f>
        <v>0</v>
      </c>
      <c r="N2187" s="3" t="n">
        <f aca="false">IF(I2187="Y",1,0)</f>
        <v>0</v>
      </c>
    </row>
    <row r="2188" customFormat="false" ht="15" hidden="false" customHeight="true" outlineLevel="0" collapsed="false">
      <c r="A2188" s="7" t="s">
        <v>58</v>
      </c>
      <c r="B2188" s="7" t="n">
        <v>1940</v>
      </c>
      <c r="C2188" s="7" t="s">
        <v>359</v>
      </c>
      <c r="D2188" s="7" t="n">
        <v>78</v>
      </c>
      <c r="E2188" s="7" t="n">
        <v>76</v>
      </c>
      <c r="F2188" s="7"/>
      <c r="G2188" s="7"/>
      <c r="H2188" s="7" t="s">
        <v>546</v>
      </c>
      <c r="I2188" s="7" t="s">
        <v>546</v>
      </c>
      <c r="J2188" s="21" t="n">
        <f aca="false">D2188/(D2188+E2188)</f>
        <v>0.506493506493506</v>
      </c>
      <c r="K2188" s="3" t="n">
        <f aca="false">IF(D2188&gt;E2188,1,0)</f>
        <v>1</v>
      </c>
      <c r="L2188" s="3" t="n">
        <f aca="false">IF(OR(F2188="Y",G2188="Y",H2188="Y"),1,0)</f>
        <v>0</v>
      </c>
      <c r="M2188" s="3" t="n">
        <f aca="false">IF(H2188="Y",1,0)</f>
        <v>0</v>
      </c>
      <c r="N2188" s="3" t="n">
        <f aca="false">IF(I2188="Y",1,0)</f>
        <v>0</v>
      </c>
    </row>
    <row r="2189" customFormat="false" ht="15" hidden="false" customHeight="true" outlineLevel="0" collapsed="false">
      <c r="A2189" s="7" t="s">
        <v>58</v>
      </c>
      <c r="B2189" s="7" t="n">
        <v>1941</v>
      </c>
      <c r="C2189" s="7" t="s">
        <v>359</v>
      </c>
      <c r="D2189" s="7" t="n">
        <v>81</v>
      </c>
      <c r="E2189" s="7" t="n">
        <v>73</v>
      </c>
      <c r="F2189" s="7"/>
      <c r="G2189" s="7"/>
      <c r="H2189" s="7" t="s">
        <v>546</v>
      </c>
      <c r="I2189" s="7" t="s">
        <v>546</v>
      </c>
      <c r="J2189" s="21" t="n">
        <f aca="false">D2189/(D2189+E2189)</f>
        <v>0.525974025974026</v>
      </c>
      <c r="K2189" s="3" t="n">
        <f aca="false">IF(D2189&gt;E2189,1,0)</f>
        <v>1</v>
      </c>
      <c r="L2189" s="3" t="n">
        <f aca="false">IF(OR(F2189="Y",G2189="Y",H2189="Y"),1,0)</f>
        <v>0</v>
      </c>
      <c r="M2189" s="3" t="n">
        <f aca="false">IF(H2189="Y",1,0)</f>
        <v>0</v>
      </c>
      <c r="N2189" s="3" t="n">
        <f aca="false">IF(I2189="Y",1,0)</f>
        <v>0</v>
      </c>
    </row>
    <row r="2190" customFormat="false" ht="15" hidden="false" customHeight="true" outlineLevel="0" collapsed="false">
      <c r="A2190" s="7" t="s">
        <v>58</v>
      </c>
      <c r="B2190" s="7" t="n">
        <v>1942</v>
      </c>
      <c r="C2190" s="7" t="s">
        <v>359</v>
      </c>
      <c r="D2190" s="7" t="n">
        <v>66</v>
      </c>
      <c r="E2190" s="7" t="n">
        <v>81</v>
      </c>
      <c r="F2190" s="7"/>
      <c r="G2190" s="7"/>
      <c r="H2190" s="7" t="s">
        <v>546</v>
      </c>
      <c r="I2190" s="7" t="s">
        <v>546</v>
      </c>
      <c r="J2190" s="21" t="n">
        <f aca="false">D2190/(D2190+E2190)</f>
        <v>0.448979591836735</v>
      </c>
      <c r="K2190" s="3" t="n">
        <f aca="false">IF(D2190&gt;E2190,1,0)</f>
        <v>0</v>
      </c>
      <c r="L2190" s="3" t="n">
        <f aca="false">IF(OR(F2190="Y",G2190="Y",H2190="Y"),1,0)</f>
        <v>0</v>
      </c>
      <c r="M2190" s="3" t="n">
        <f aca="false">IF(H2190="Y",1,0)</f>
        <v>0</v>
      </c>
      <c r="N2190" s="3" t="n">
        <f aca="false">IF(I2190="Y",1,0)</f>
        <v>0</v>
      </c>
    </row>
    <row r="2191" customFormat="false" ht="15" hidden="false" customHeight="true" outlineLevel="0" collapsed="false">
      <c r="A2191" s="7" t="s">
        <v>58</v>
      </c>
      <c r="B2191" s="7" t="n">
        <v>1943</v>
      </c>
      <c r="C2191" s="7" t="s">
        <v>359</v>
      </c>
      <c r="D2191" s="7" t="n">
        <v>80</v>
      </c>
      <c r="E2191" s="7" t="n">
        <v>74</v>
      </c>
      <c r="F2191" s="7"/>
      <c r="G2191" s="7"/>
      <c r="H2191" s="7" t="s">
        <v>546</v>
      </c>
      <c r="I2191" s="7" t="s">
        <v>546</v>
      </c>
      <c r="J2191" s="21" t="n">
        <f aca="false">D2191/(D2191+E2191)</f>
        <v>0.519480519480519</v>
      </c>
      <c r="K2191" s="3" t="n">
        <f aca="false">IF(D2191&gt;E2191,1,0)</f>
        <v>1</v>
      </c>
      <c r="L2191" s="3" t="n">
        <f aca="false">IF(OR(F2191="Y",G2191="Y",H2191="Y"),1,0)</f>
        <v>0</v>
      </c>
      <c r="M2191" s="3" t="n">
        <f aca="false">IF(H2191="Y",1,0)</f>
        <v>0</v>
      </c>
      <c r="N2191" s="3" t="n">
        <f aca="false">IF(I2191="Y",1,0)</f>
        <v>0</v>
      </c>
    </row>
    <row r="2192" customFormat="false" ht="15" hidden="false" customHeight="true" outlineLevel="0" collapsed="false">
      <c r="A2192" s="7" t="s">
        <v>58</v>
      </c>
      <c r="B2192" s="7" t="n">
        <v>1944</v>
      </c>
      <c r="C2192" s="7" t="s">
        <v>359</v>
      </c>
      <c r="D2192" s="7" t="n">
        <v>90</v>
      </c>
      <c r="E2192" s="7" t="n">
        <v>63</v>
      </c>
      <c r="F2192" s="7"/>
      <c r="G2192" s="7"/>
      <c r="H2192" s="7" t="s">
        <v>546</v>
      </c>
      <c r="I2192" s="7" t="s">
        <v>546</v>
      </c>
      <c r="J2192" s="21" t="n">
        <f aca="false">D2192/(D2192+E2192)</f>
        <v>0.588235294117647</v>
      </c>
      <c r="K2192" s="3" t="n">
        <f aca="false">IF(D2192&gt;E2192,1,0)</f>
        <v>1</v>
      </c>
      <c r="L2192" s="3" t="n">
        <f aca="false">IF(OR(F2192="Y",G2192="Y",H2192="Y"),1,0)</f>
        <v>0</v>
      </c>
      <c r="M2192" s="3" t="n">
        <f aca="false">IF(H2192="Y",1,0)</f>
        <v>0</v>
      </c>
      <c r="N2192" s="3" t="n">
        <f aca="false">IF(I2192="Y",1,0)</f>
        <v>0</v>
      </c>
    </row>
    <row r="2193" customFormat="false" ht="15" hidden="false" customHeight="true" outlineLevel="0" collapsed="false">
      <c r="A2193" s="7" t="s">
        <v>58</v>
      </c>
      <c r="B2193" s="7" t="n">
        <v>1945</v>
      </c>
      <c r="C2193" s="7" t="s">
        <v>359</v>
      </c>
      <c r="D2193" s="7" t="n">
        <v>82</v>
      </c>
      <c r="E2193" s="7" t="n">
        <v>72</v>
      </c>
      <c r="F2193" s="7"/>
      <c r="G2193" s="7"/>
      <c r="H2193" s="7" t="s">
        <v>546</v>
      </c>
      <c r="I2193" s="7" t="s">
        <v>546</v>
      </c>
      <c r="J2193" s="21" t="n">
        <f aca="false">D2193/(D2193+E2193)</f>
        <v>0.532467532467532</v>
      </c>
      <c r="K2193" s="3" t="n">
        <f aca="false">IF(D2193&gt;E2193,1,0)</f>
        <v>1</v>
      </c>
      <c r="L2193" s="3" t="n">
        <f aca="false">IF(OR(F2193="Y",G2193="Y",H2193="Y"),1,0)</f>
        <v>0</v>
      </c>
      <c r="M2193" s="3" t="n">
        <f aca="false">IF(H2193="Y",1,0)</f>
        <v>0</v>
      </c>
      <c r="N2193" s="3" t="n">
        <f aca="false">IF(I2193="Y",1,0)</f>
        <v>0</v>
      </c>
    </row>
    <row r="2194" customFormat="false" ht="15" hidden="false" customHeight="true" outlineLevel="0" collapsed="false">
      <c r="A2194" s="7" t="s">
        <v>58</v>
      </c>
      <c r="B2194" s="7" t="n">
        <v>1946</v>
      </c>
      <c r="C2194" s="7" t="s">
        <v>359</v>
      </c>
      <c r="D2194" s="7" t="n">
        <v>63</v>
      </c>
      <c r="E2194" s="7" t="n">
        <v>91</v>
      </c>
      <c r="F2194" s="7"/>
      <c r="G2194" s="7"/>
      <c r="H2194" s="7" t="s">
        <v>546</v>
      </c>
      <c r="I2194" s="7" t="s">
        <v>546</v>
      </c>
      <c r="J2194" s="21" t="n">
        <f aca="false">D2194/(D2194+E2194)</f>
        <v>0.409090909090909</v>
      </c>
      <c r="K2194" s="3" t="n">
        <f aca="false">IF(D2194&gt;E2194,1,0)</f>
        <v>0</v>
      </c>
      <c r="L2194" s="3" t="n">
        <f aca="false">IF(OR(F2194="Y",G2194="Y",H2194="Y"),1,0)</f>
        <v>0</v>
      </c>
      <c r="M2194" s="3" t="n">
        <f aca="false">IF(H2194="Y",1,0)</f>
        <v>0</v>
      </c>
      <c r="N2194" s="3" t="n">
        <f aca="false">IF(I2194="Y",1,0)</f>
        <v>0</v>
      </c>
    </row>
    <row r="2195" customFormat="false" ht="15" hidden="false" customHeight="true" outlineLevel="0" collapsed="false">
      <c r="A2195" s="7" t="s">
        <v>58</v>
      </c>
      <c r="B2195" s="7" t="n">
        <v>1947</v>
      </c>
      <c r="C2195" s="7" t="s">
        <v>359</v>
      </c>
      <c r="D2195" s="7" t="n">
        <v>62</v>
      </c>
      <c r="E2195" s="7" t="n">
        <v>92</v>
      </c>
      <c r="F2195" s="7"/>
      <c r="G2195" s="7"/>
      <c r="H2195" s="7" t="s">
        <v>546</v>
      </c>
      <c r="I2195" s="7" t="s">
        <v>546</v>
      </c>
      <c r="J2195" s="21" t="n">
        <f aca="false">D2195/(D2195+E2195)</f>
        <v>0.402597402597403</v>
      </c>
      <c r="K2195" s="3" t="n">
        <f aca="false">IF(D2195&gt;E2195,1,0)</f>
        <v>0</v>
      </c>
      <c r="L2195" s="3" t="n">
        <f aca="false">IF(OR(F2195="Y",G2195="Y",H2195="Y"),1,0)</f>
        <v>0</v>
      </c>
      <c r="M2195" s="3" t="n">
        <f aca="false">IF(H2195="Y",1,0)</f>
        <v>0</v>
      </c>
      <c r="N2195" s="3" t="n">
        <f aca="false">IF(I2195="Y",1,0)</f>
        <v>0</v>
      </c>
    </row>
    <row r="2196" customFormat="false" ht="15" hidden="false" customHeight="true" outlineLevel="0" collapsed="false">
      <c r="A2196" s="7" t="s">
        <v>58</v>
      </c>
      <c r="B2196" s="7" t="n">
        <v>1948</v>
      </c>
      <c r="C2196" s="7" t="s">
        <v>359</v>
      </c>
      <c r="D2196" s="7" t="n">
        <v>83</v>
      </c>
      <c r="E2196" s="7" t="n">
        <v>71</v>
      </c>
      <c r="F2196" s="7"/>
      <c r="G2196" s="7"/>
      <c r="H2196" s="7" t="s">
        <v>546</v>
      </c>
      <c r="I2196" s="7" t="s">
        <v>546</v>
      </c>
      <c r="J2196" s="21" t="n">
        <f aca="false">D2196/(D2196+E2196)</f>
        <v>0.538961038961039</v>
      </c>
      <c r="K2196" s="3" t="n">
        <f aca="false">IF(D2196&gt;E2196,1,0)</f>
        <v>1</v>
      </c>
      <c r="L2196" s="3" t="n">
        <f aca="false">IF(OR(F2196="Y",G2196="Y",H2196="Y"),1,0)</f>
        <v>0</v>
      </c>
      <c r="M2196" s="3" t="n">
        <f aca="false">IF(H2196="Y",1,0)</f>
        <v>0</v>
      </c>
      <c r="N2196" s="3" t="n">
        <f aca="false">IF(I2196="Y",1,0)</f>
        <v>0</v>
      </c>
    </row>
    <row r="2197" customFormat="false" ht="15" hidden="false" customHeight="true" outlineLevel="0" collapsed="false">
      <c r="A2197" s="7" t="s">
        <v>58</v>
      </c>
      <c r="B2197" s="7" t="n">
        <v>1949</v>
      </c>
      <c r="C2197" s="7" t="s">
        <v>359</v>
      </c>
      <c r="D2197" s="7" t="n">
        <v>71</v>
      </c>
      <c r="E2197" s="7" t="n">
        <v>83</v>
      </c>
      <c r="F2197" s="7"/>
      <c r="G2197" s="7"/>
      <c r="H2197" s="7" t="s">
        <v>546</v>
      </c>
      <c r="I2197" s="7" t="s">
        <v>546</v>
      </c>
      <c r="J2197" s="21" t="n">
        <f aca="false">D2197/(D2197+E2197)</f>
        <v>0.461038961038961</v>
      </c>
      <c r="K2197" s="3" t="n">
        <f aca="false">IF(D2197&gt;E2197,1,0)</f>
        <v>0</v>
      </c>
      <c r="L2197" s="3" t="n">
        <f aca="false">IF(OR(F2197="Y",G2197="Y",H2197="Y"),1,0)</f>
        <v>0</v>
      </c>
      <c r="M2197" s="3" t="n">
        <f aca="false">IF(H2197="Y",1,0)</f>
        <v>0</v>
      </c>
      <c r="N2197" s="3" t="n">
        <f aca="false">IF(I2197="Y",1,0)</f>
        <v>0</v>
      </c>
    </row>
    <row r="2198" customFormat="false" ht="15" hidden="false" customHeight="true" outlineLevel="0" collapsed="false">
      <c r="A2198" s="7" t="s">
        <v>58</v>
      </c>
      <c r="B2198" s="7" t="n">
        <v>1950</v>
      </c>
      <c r="C2198" s="7" t="s">
        <v>359</v>
      </c>
      <c r="D2198" s="7" t="n">
        <v>57</v>
      </c>
      <c r="E2198" s="7" t="n">
        <v>96</v>
      </c>
      <c r="F2198" s="7"/>
      <c r="G2198" s="7"/>
      <c r="H2198" s="7" t="s">
        <v>546</v>
      </c>
      <c r="I2198" s="7" t="s">
        <v>546</v>
      </c>
      <c r="J2198" s="21" t="n">
        <f aca="false">D2198/(D2198+E2198)</f>
        <v>0.372549019607843</v>
      </c>
      <c r="K2198" s="3" t="n">
        <f aca="false">IF(D2198&gt;E2198,1,0)</f>
        <v>0</v>
      </c>
      <c r="L2198" s="3" t="n">
        <f aca="false">IF(OR(F2198="Y",G2198="Y",H2198="Y"),1,0)</f>
        <v>0</v>
      </c>
      <c r="M2198" s="3" t="n">
        <f aca="false">IF(H2198="Y",1,0)</f>
        <v>0</v>
      </c>
      <c r="N2198" s="3" t="n">
        <f aca="false">IF(I2198="Y",1,0)</f>
        <v>0</v>
      </c>
    </row>
    <row r="2199" customFormat="false" ht="15" hidden="false" customHeight="true" outlineLevel="0" collapsed="false">
      <c r="A2199" s="7" t="s">
        <v>58</v>
      </c>
      <c r="B2199" s="7" t="n">
        <v>1951</v>
      </c>
      <c r="C2199" s="7" t="s">
        <v>359</v>
      </c>
      <c r="D2199" s="7" t="n">
        <v>64</v>
      </c>
      <c r="E2199" s="7" t="n">
        <v>90</v>
      </c>
      <c r="F2199" s="7"/>
      <c r="G2199" s="7"/>
      <c r="H2199" s="7" t="s">
        <v>546</v>
      </c>
      <c r="I2199" s="7" t="s">
        <v>546</v>
      </c>
      <c r="J2199" s="21" t="n">
        <f aca="false">D2199/(D2199+E2199)</f>
        <v>0.415584415584416</v>
      </c>
      <c r="K2199" s="3" t="n">
        <f aca="false">IF(D2199&gt;E2199,1,0)</f>
        <v>0</v>
      </c>
      <c r="L2199" s="3" t="n">
        <f aca="false">IF(OR(F2199="Y",G2199="Y",H2199="Y"),1,0)</f>
        <v>0</v>
      </c>
      <c r="M2199" s="3" t="n">
        <f aca="false">IF(H2199="Y",1,0)</f>
        <v>0</v>
      </c>
      <c r="N2199" s="3" t="n">
        <f aca="false">IF(I2199="Y",1,0)</f>
        <v>0</v>
      </c>
    </row>
    <row r="2200" customFormat="false" ht="15" hidden="false" customHeight="true" outlineLevel="0" collapsed="false">
      <c r="A2200" s="7" t="s">
        <v>58</v>
      </c>
      <c r="B2200" s="7" t="n">
        <v>1952</v>
      </c>
      <c r="C2200" s="7" t="s">
        <v>359</v>
      </c>
      <c r="D2200" s="7" t="n">
        <v>42</v>
      </c>
      <c r="E2200" s="7" t="n">
        <v>112</v>
      </c>
      <c r="F2200" s="7"/>
      <c r="G2200" s="7"/>
      <c r="H2200" s="7" t="s">
        <v>546</v>
      </c>
      <c r="I2200" s="7" t="s">
        <v>546</v>
      </c>
      <c r="J2200" s="21" t="n">
        <f aca="false">D2200/(D2200+E2200)</f>
        <v>0.272727272727273</v>
      </c>
      <c r="K2200" s="3" t="n">
        <f aca="false">IF(D2200&gt;E2200,1,0)</f>
        <v>0</v>
      </c>
      <c r="L2200" s="3" t="n">
        <f aca="false">IF(OR(F2200="Y",G2200="Y",H2200="Y"),1,0)</f>
        <v>0</v>
      </c>
      <c r="M2200" s="3" t="n">
        <f aca="false">IF(H2200="Y",1,0)</f>
        <v>0</v>
      </c>
      <c r="N2200" s="3" t="n">
        <f aca="false">IF(I2200="Y",1,0)</f>
        <v>0</v>
      </c>
    </row>
    <row r="2201" customFormat="false" ht="15" hidden="false" customHeight="true" outlineLevel="0" collapsed="false">
      <c r="A2201" s="7" t="s">
        <v>58</v>
      </c>
      <c r="B2201" s="7" t="n">
        <v>1953</v>
      </c>
      <c r="C2201" s="7" t="s">
        <v>359</v>
      </c>
      <c r="D2201" s="7" t="n">
        <v>50</v>
      </c>
      <c r="E2201" s="7" t="n">
        <v>104</v>
      </c>
      <c r="F2201" s="7"/>
      <c r="G2201" s="7"/>
      <c r="H2201" s="7" t="s">
        <v>546</v>
      </c>
      <c r="I2201" s="7" t="s">
        <v>546</v>
      </c>
      <c r="J2201" s="21" t="n">
        <f aca="false">D2201/(D2201+E2201)</f>
        <v>0.324675324675325</v>
      </c>
      <c r="K2201" s="3" t="n">
        <f aca="false">IF(D2201&gt;E2201,1,0)</f>
        <v>0</v>
      </c>
      <c r="L2201" s="3" t="n">
        <f aca="false">IF(OR(F2201="Y",G2201="Y",H2201="Y"),1,0)</f>
        <v>0</v>
      </c>
      <c r="M2201" s="3" t="n">
        <f aca="false">IF(H2201="Y",1,0)</f>
        <v>0</v>
      </c>
      <c r="N2201" s="3" t="n">
        <f aca="false">IF(I2201="Y",1,0)</f>
        <v>0</v>
      </c>
    </row>
    <row r="2202" customFormat="false" ht="15" hidden="false" customHeight="true" outlineLevel="0" collapsed="false">
      <c r="A2202" s="7" t="s">
        <v>58</v>
      </c>
      <c r="B2202" s="7" t="n">
        <v>1954</v>
      </c>
      <c r="C2202" s="7" t="s">
        <v>359</v>
      </c>
      <c r="D2202" s="7" t="n">
        <v>53</v>
      </c>
      <c r="E2202" s="7" t="n">
        <v>101</v>
      </c>
      <c r="F2202" s="7"/>
      <c r="G2202" s="7"/>
      <c r="H2202" s="7" t="s">
        <v>546</v>
      </c>
      <c r="I2202" s="7" t="s">
        <v>546</v>
      </c>
      <c r="J2202" s="21" t="n">
        <f aca="false">D2202/(D2202+E2202)</f>
        <v>0.344155844155844</v>
      </c>
      <c r="K2202" s="3" t="n">
        <f aca="false">IF(D2202&gt;E2202,1,0)</f>
        <v>0</v>
      </c>
      <c r="L2202" s="3" t="n">
        <f aca="false">IF(OR(F2202="Y",G2202="Y",H2202="Y"),1,0)</f>
        <v>0</v>
      </c>
      <c r="M2202" s="3" t="n">
        <f aca="false">IF(H2202="Y",1,0)</f>
        <v>0</v>
      </c>
      <c r="N2202" s="3" t="n">
        <f aca="false">IF(I2202="Y",1,0)</f>
        <v>0</v>
      </c>
    </row>
    <row r="2203" customFormat="false" ht="15" hidden="false" customHeight="true" outlineLevel="0" collapsed="false">
      <c r="A2203" s="7" t="s">
        <v>58</v>
      </c>
      <c r="B2203" s="7" t="n">
        <v>1955</v>
      </c>
      <c r="C2203" s="7" t="s">
        <v>359</v>
      </c>
      <c r="D2203" s="7" t="n">
        <v>60</v>
      </c>
      <c r="E2203" s="7" t="n">
        <v>94</v>
      </c>
      <c r="F2203" s="7"/>
      <c r="G2203" s="7"/>
      <c r="H2203" s="7" t="s">
        <v>546</v>
      </c>
      <c r="I2203" s="7" t="s">
        <v>546</v>
      </c>
      <c r="J2203" s="21" t="n">
        <f aca="false">D2203/(D2203+E2203)</f>
        <v>0.38961038961039</v>
      </c>
      <c r="K2203" s="3" t="n">
        <f aca="false">IF(D2203&gt;E2203,1,0)</f>
        <v>0</v>
      </c>
      <c r="L2203" s="3" t="n">
        <f aca="false">IF(OR(F2203="Y",G2203="Y",H2203="Y"),1,0)</f>
        <v>0</v>
      </c>
      <c r="M2203" s="3" t="n">
        <f aca="false">IF(H2203="Y",1,0)</f>
        <v>0</v>
      </c>
      <c r="N2203" s="3" t="n">
        <f aca="false">IF(I2203="Y",1,0)</f>
        <v>0</v>
      </c>
    </row>
    <row r="2204" customFormat="false" ht="15" hidden="false" customHeight="true" outlineLevel="0" collapsed="false">
      <c r="A2204" s="7" t="s">
        <v>58</v>
      </c>
      <c r="B2204" s="7" t="n">
        <v>1956</v>
      </c>
      <c r="C2204" s="7" t="s">
        <v>359</v>
      </c>
      <c r="D2204" s="7" t="n">
        <v>66</v>
      </c>
      <c r="E2204" s="7" t="n">
        <v>88</v>
      </c>
      <c r="F2204" s="7"/>
      <c r="G2204" s="7"/>
      <c r="H2204" s="7" t="s">
        <v>546</v>
      </c>
      <c r="I2204" s="7" t="s">
        <v>546</v>
      </c>
      <c r="J2204" s="21" t="n">
        <f aca="false">D2204/(D2204+E2204)</f>
        <v>0.428571428571429</v>
      </c>
      <c r="K2204" s="3" t="n">
        <f aca="false">IF(D2204&gt;E2204,1,0)</f>
        <v>0</v>
      </c>
      <c r="L2204" s="3" t="n">
        <f aca="false">IF(OR(F2204="Y",G2204="Y",H2204="Y"),1,0)</f>
        <v>0</v>
      </c>
      <c r="M2204" s="3" t="n">
        <f aca="false">IF(H2204="Y",1,0)</f>
        <v>0</v>
      </c>
      <c r="N2204" s="3" t="n">
        <f aca="false">IF(I2204="Y",1,0)</f>
        <v>0</v>
      </c>
    </row>
    <row r="2205" customFormat="false" ht="15" hidden="false" customHeight="true" outlineLevel="0" collapsed="false">
      <c r="A2205" s="7" t="s">
        <v>58</v>
      </c>
      <c r="B2205" s="7" t="n">
        <v>1957</v>
      </c>
      <c r="C2205" s="7" t="s">
        <v>359</v>
      </c>
      <c r="D2205" s="7" t="n">
        <v>62</v>
      </c>
      <c r="E2205" s="7" t="n">
        <v>92</v>
      </c>
      <c r="F2205" s="7"/>
      <c r="G2205" s="7"/>
      <c r="H2205" s="7" t="s">
        <v>546</v>
      </c>
      <c r="I2205" s="7" t="s">
        <v>546</v>
      </c>
      <c r="J2205" s="21" t="n">
        <f aca="false">D2205/(D2205+E2205)</f>
        <v>0.402597402597403</v>
      </c>
      <c r="K2205" s="3" t="n">
        <f aca="false">IF(D2205&gt;E2205,1,0)</f>
        <v>0</v>
      </c>
      <c r="L2205" s="3" t="n">
        <f aca="false">IF(OR(F2205="Y",G2205="Y",H2205="Y"),1,0)</f>
        <v>0</v>
      </c>
      <c r="M2205" s="3" t="n">
        <f aca="false">IF(H2205="Y",1,0)</f>
        <v>0</v>
      </c>
      <c r="N2205" s="3" t="n">
        <f aca="false">IF(I2205="Y",1,0)</f>
        <v>0</v>
      </c>
    </row>
    <row r="2206" customFormat="false" ht="15" hidden="false" customHeight="true" outlineLevel="0" collapsed="false">
      <c r="A2206" s="7" t="s">
        <v>58</v>
      </c>
      <c r="B2206" s="7" t="n">
        <v>1958</v>
      </c>
      <c r="C2206" s="7" t="s">
        <v>359</v>
      </c>
      <c r="D2206" s="7" t="n">
        <v>84</v>
      </c>
      <c r="E2206" s="7" t="n">
        <v>70</v>
      </c>
      <c r="F2206" s="7"/>
      <c r="G2206" s="7"/>
      <c r="H2206" s="7" t="s">
        <v>546</v>
      </c>
      <c r="I2206" s="7" t="s">
        <v>546</v>
      </c>
      <c r="J2206" s="21" t="n">
        <f aca="false">D2206/(D2206+E2206)</f>
        <v>0.545454545454545</v>
      </c>
      <c r="K2206" s="3" t="n">
        <f aca="false">IF(D2206&gt;E2206,1,0)</f>
        <v>1</v>
      </c>
      <c r="L2206" s="3" t="n">
        <f aca="false">IF(OR(F2206="Y",G2206="Y",H2206="Y"),1,0)</f>
        <v>0</v>
      </c>
      <c r="M2206" s="3" t="n">
        <f aca="false">IF(H2206="Y",1,0)</f>
        <v>0</v>
      </c>
      <c r="N2206" s="3" t="n">
        <f aca="false">IF(I2206="Y",1,0)</f>
        <v>0</v>
      </c>
    </row>
    <row r="2207" customFormat="false" ht="15" hidden="false" customHeight="true" outlineLevel="0" collapsed="false">
      <c r="A2207" s="7" t="s">
        <v>58</v>
      </c>
      <c r="B2207" s="7" t="n">
        <v>1959</v>
      </c>
      <c r="C2207" s="7" t="s">
        <v>359</v>
      </c>
      <c r="D2207" s="7" t="n">
        <v>78</v>
      </c>
      <c r="E2207" s="7" t="n">
        <v>76</v>
      </c>
      <c r="F2207" s="7"/>
      <c r="G2207" s="7"/>
      <c r="H2207" s="7" t="s">
        <v>546</v>
      </c>
      <c r="I2207" s="7" t="s">
        <v>546</v>
      </c>
      <c r="J2207" s="21" t="n">
        <f aca="false">D2207/(D2207+E2207)</f>
        <v>0.506493506493506</v>
      </c>
      <c r="K2207" s="3" t="n">
        <f aca="false">IF(D2207&gt;E2207,1,0)</f>
        <v>1</v>
      </c>
      <c r="L2207" s="3" t="n">
        <f aca="false">IF(OR(F2207="Y",G2207="Y",H2207="Y"),1,0)</f>
        <v>0</v>
      </c>
      <c r="M2207" s="3" t="n">
        <f aca="false">IF(H2207="Y",1,0)</f>
        <v>0</v>
      </c>
      <c r="N2207" s="3" t="n">
        <f aca="false">IF(I2207="Y",1,0)</f>
        <v>0</v>
      </c>
    </row>
    <row r="2208" customFormat="false" ht="15" hidden="false" customHeight="true" outlineLevel="0" collapsed="false">
      <c r="A2208" s="7" t="s">
        <v>58</v>
      </c>
      <c r="B2208" s="7" t="n">
        <v>1960</v>
      </c>
      <c r="C2208" s="7" t="s">
        <v>359</v>
      </c>
      <c r="D2208" s="7" t="n">
        <v>95</v>
      </c>
      <c r="E2208" s="7" t="n">
        <v>59</v>
      </c>
      <c r="F2208" s="7"/>
      <c r="G2208" s="7"/>
      <c r="H2208" s="7" t="s">
        <v>548</v>
      </c>
      <c r="I2208" s="7" t="s">
        <v>548</v>
      </c>
      <c r="J2208" s="21" t="n">
        <f aca="false">D2208/(D2208+E2208)</f>
        <v>0.616883116883117</v>
      </c>
      <c r="K2208" s="3" t="n">
        <f aca="false">IF(D2208&gt;E2208,1,0)</f>
        <v>1</v>
      </c>
      <c r="L2208" s="3" t="n">
        <f aca="false">IF(OR(F2208="Y",G2208="Y",H2208="Y"),1,0)</f>
        <v>1</v>
      </c>
      <c r="M2208" s="3" t="n">
        <f aca="false">IF(H2208="Y",1,0)</f>
        <v>1</v>
      </c>
      <c r="N2208" s="3" t="n">
        <f aca="false">IF(I2208="Y",1,0)</f>
        <v>1</v>
      </c>
    </row>
    <row r="2209" customFormat="false" ht="15" hidden="false" customHeight="true" outlineLevel="0" collapsed="false">
      <c r="A2209" s="7" t="s">
        <v>58</v>
      </c>
      <c r="B2209" s="7" t="n">
        <v>1961</v>
      </c>
      <c r="C2209" s="7" t="s">
        <v>359</v>
      </c>
      <c r="D2209" s="7" t="n">
        <v>75</v>
      </c>
      <c r="E2209" s="7" t="n">
        <v>79</v>
      </c>
      <c r="F2209" s="7"/>
      <c r="G2209" s="7"/>
      <c r="H2209" s="7" t="s">
        <v>546</v>
      </c>
      <c r="I2209" s="7" t="s">
        <v>546</v>
      </c>
      <c r="J2209" s="21" t="n">
        <f aca="false">D2209/(D2209+E2209)</f>
        <v>0.487012987012987</v>
      </c>
      <c r="K2209" s="3" t="n">
        <f aca="false">IF(D2209&gt;E2209,1,0)</f>
        <v>0</v>
      </c>
      <c r="L2209" s="3" t="n">
        <f aca="false">IF(OR(F2209="Y",G2209="Y",H2209="Y"),1,0)</f>
        <v>0</v>
      </c>
      <c r="M2209" s="3" t="n">
        <f aca="false">IF(H2209="Y",1,0)</f>
        <v>0</v>
      </c>
      <c r="N2209" s="3" t="n">
        <f aca="false">IF(I2209="Y",1,0)</f>
        <v>0</v>
      </c>
    </row>
    <row r="2210" customFormat="false" ht="15" hidden="false" customHeight="true" outlineLevel="0" collapsed="false">
      <c r="A2210" s="7" t="s">
        <v>58</v>
      </c>
      <c r="B2210" s="7" t="n">
        <v>1962</v>
      </c>
      <c r="C2210" s="7" t="s">
        <v>359</v>
      </c>
      <c r="D2210" s="7" t="n">
        <v>93</v>
      </c>
      <c r="E2210" s="7" t="n">
        <v>68</v>
      </c>
      <c r="F2210" s="7"/>
      <c r="G2210" s="7"/>
      <c r="H2210" s="7" t="s">
        <v>546</v>
      </c>
      <c r="I2210" s="7" t="s">
        <v>546</v>
      </c>
      <c r="J2210" s="21" t="n">
        <f aca="false">D2210/(D2210+E2210)</f>
        <v>0.577639751552795</v>
      </c>
      <c r="K2210" s="3" t="n">
        <f aca="false">IF(D2210&gt;E2210,1,0)</f>
        <v>1</v>
      </c>
      <c r="L2210" s="3" t="n">
        <f aca="false">IF(OR(F2210="Y",G2210="Y",H2210="Y"),1,0)</f>
        <v>0</v>
      </c>
      <c r="M2210" s="3" t="n">
        <f aca="false">IF(H2210="Y",1,0)</f>
        <v>0</v>
      </c>
      <c r="N2210" s="3" t="n">
        <f aca="false">IF(I2210="Y",1,0)</f>
        <v>0</v>
      </c>
    </row>
    <row r="2211" customFormat="false" ht="15" hidden="false" customHeight="true" outlineLevel="0" collapsed="false">
      <c r="A2211" s="7" t="s">
        <v>58</v>
      </c>
      <c r="B2211" s="7" t="n">
        <v>1963</v>
      </c>
      <c r="C2211" s="7" t="s">
        <v>359</v>
      </c>
      <c r="D2211" s="7" t="n">
        <v>74</v>
      </c>
      <c r="E2211" s="7" t="n">
        <v>88</v>
      </c>
      <c r="F2211" s="7"/>
      <c r="G2211" s="7"/>
      <c r="H2211" s="7" t="s">
        <v>546</v>
      </c>
      <c r="I2211" s="7" t="s">
        <v>546</v>
      </c>
      <c r="J2211" s="21" t="n">
        <f aca="false">D2211/(D2211+E2211)</f>
        <v>0.45679012345679</v>
      </c>
      <c r="K2211" s="3" t="n">
        <f aca="false">IF(D2211&gt;E2211,1,0)</f>
        <v>0</v>
      </c>
      <c r="L2211" s="3" t="n">
        <f aca="false">IF(OR(F2211="Y",G2211="Y",H2211="Y"),1,0)</f>
        <v>0</v>
      </c>
      <c r="M2211" s="3" t="n">
        <f aca="false">IF(H2211="Y",1,0)</f>
        <v>0</v>
      </c>
      <c r="N2211" s="3" t="n">
        <f aca="false">IF(I2211="Y",1,0)</f>
        <v>0</v>
      </c>
    </row>
    <row r="2212" customFormat="false" ht="15" hidden="false" customHeight="true" outlineLevel="0" collapsed="false">
      <c r="A2212" s="7" t="s">
        <v>58</v>
      </c>
      <c r="B2212" s="7" t="n">
        <v>1964</v>
      </c>
      <c r="C2212" s="7" t="s">
        <v>359</v>
      </c>
      <c r="D2212" s="7" t="n">
        <v>80</v>
      </c>
      <c r="E2212" s="7" t="n">
        <v>82</v>
      </c>
      <c r="F2212" s="7"/>
      <c r="G2212" s="7"/>
      <c r="H2212" s="7" t="s">
        <v>546</v>
      </c>
      <c r="I2212" s="7" t="s">
        <v>546</v>
      </c>
      <c r="J2212" s="21" t="n">
        <f aca="false">D2212/(D2212+E2212)</f>
        <v>0.493827160493827</v>
      </c>
      <c r="K2212" s="3" t="n">
        <f aca="false">IF(D2212&gt;E2212,1,0)</f>
        <v>0</v>
      </c>
      <c r="L2212" s="3" t="n">
        <f aca="false">IF(OR(F2212="Y",G2212="Y",H2212="Y"),1,0)</f>
        <v>0</v>
      </c>
      <c r="M2212" s="3" t="n">
        <f aca="false">IF(H2212="Y",1,0)</f>
        <v>0</v>
      </c>
      <c r="N2212" s="3" t="n">
        <f aca="false">IF(I2212="Y",1,0)</f>
        <v>0</v>
      </c>
    </row>
    <row r="2213" customFormat="false" ht="15" hidden="false" customHeight="true" outlineLevel="0" collapsed="false">
      <c r="A2213" s="7" t="s">
        <v>58</v>
      </c>
      <c r="B2213" s="7" t="n">
        <v>1965</v>
      </c>
      <c r="C2213" s="7" t="s">
        <v>359</v>
      </c>
      <c r="D2213" s="7" t="n">
        <v>90</v>
      </c>
      <c r="E2213" s="7" t="n">
        <v>72</v>
      </c>
      <c r="F2213" s="7"/>
      <c r="G2213" s="7"/>
      <c r="H2213" s="7" t="s">
        <v>546</v>
      </c>
      <c r="I2213" s="7" t="s">
        <v>546</v>
      </c>
      <c r="J2213" s="21" t="n">
        <f aca="false">D2213/(D2213+E2213)</f>
        <v>0.555555555555556</v>
      </c>
      <c r="K2213" s="3" t="n">
        <f aca="false">IF(D2213&gt;E2213,1,0)</f>
        <v>1</v>
      </c>
      <c r="L2213" s="3" t="n">
        <f aca="false">IF(OR(F2213="Y",G2213="Y",H2213="Y"),1,0)</f>
        <v>0</v>
      </c>
      <c r="M2213" s="3" t="n">
        <f aca="false">IF(H2213="Y",1,0)</f>
        <v>0</v>
      </c>
      <c r="N2213" s="3" t="n">
        <f aca="false">IF(I2213="Y",1,0)</f>
        <v>0</v>
      </c>
    </row>
    <row r="2214" customFormat="false" ht="15" hidden="false" customHeight="true" outlineLevel="0" collapsed="false">
      <c r="A2214" s="7" t="s">
        <v>58</v>
      </c>
      <c r="B2214" s="7" t="n">
        <v>1966</v>
      </c>
      <c r="C2214" s="7" t="s">
        <v>359</v>
      </c>
      <c r="D2214" s="7" t="n">
        <v>92</v>
      </c>
      <c r="E2214" s="7" t="n">
        <v>70</v>
      </c>
      <c r="F2214" s="7"/>
      <c r="G2214" s="7"/>
      <c r="H2214" s="7" t="s">
        <v>546</v>
      </c>
      <c r="I2214" s="7" t="s">
        <v>546</v>
      </c>
      <c r="J2214" s="21" t="n">
        <f aca="false">D2214/(D2214+E2214)</f>
        <v>0.567901234567901</v>
      </c>
      <c r="K2214" s="3" t="n">
        <f aca="false">IF(D2214&gt;E2214,1,0)</f>
        <v>1</v>
      </c>
      <c r="L2214" s="3" t="n">
        <f aca="false">IF(OR(F2214="Y",G2214="Y",H2214="Y"),1,0)</f>
        <v>0</v>
      </c>
      <c r="M2214" s="3" t="n">
        <f aca="false">IF(H2214="Y",1,0)</f>
        <v>0</v>
      </c>
      <c r="N2214" s="3" t="n">
        <f aca="false">IF(I2214="Y",1,0)</f>
        <v>0</v>
      </c>
    </row>
    <row r="2215" customFormat="false" ht="15" hidden="false" customHeight="true" outlineLevel="0" collapsed="false">
      <c r="A2215" s="7" t="s">
        <v>58</v>
      </c>
      <c r="B2215" s="7" t="n">
        <v>1967</v>
      </c>
      <c r="C2215" s="7" t="s">
        <v>359</v>
      </c>
      <c r="D2215" s="7" t="n">
        <v>81</v>
      </c>
      <c r="E2215" s="7" t="n">
        <v>81</v>
      </c>
      <c r="F2215" s="7"/>
      <c r="G2215" s="7"/>
      <c r="H2215" s="7" t="s">
        <v>546</v>
      </c>
      <c r="I2215" s="7" t="s">
        <v>546</v>
      </c>
      <c r="J2215" s="21" t="n">
        <f aca="false">D2215/(D2215+E2215)</f>
        <v>0.5</v>
      </c>
      <c r="K2215" s="3" t="n">
        <f aca="false">IF(D2215&gt;E2215,1,0)</f>
        <v>0</v>
      </c>
      <c r="L2215" s="3" t="n">
        <f aca="false">IF(OR(F2215="Y",G2215="Y",H2215="Y"),1,0)</f>
        <v>0</v>
      </c>
      <c r="M2215" s="3" t="n">
        <f aca="false">IF(H2215="Y",1,0)</f>
        <v>0</v>
      </c>
      <c r="N2215" s="3" t="n">
        <f aca="false">IF(I2215="Y",1,0)</f>
        <v>0</v>
      </c>
    </row>
    <row r="2216" customFormat="false" ht="15" hidden="false" customHeight="true" outlineLevel="0" collapsed="false">
      <c r="A2216" s="7" t="s">
        <v>58</v>
      </c>
      <c r="B2216" s="7" t="n">
        <v>1968</v>
      </c>
      <c r="C2216" s="7" t="s">
        <v>359</v>
      </c>
      <c r="D2216" s="7" t="n">
        <v>80</v>
      </c>
      <c r="E2216" s="7" t="n">
        <v>82</v>
      </c>
      <c r="F2216" s="7"/>
      <c r="G2216" s="7"/>
      <c r="H2216" s="7" t="s">
        <v>546</v>
      </c>
      <c r="I2216" s="7" t="s">
        <v>546</v>
      </c>
      <c r="J2216" s="21" t="n">
        <f aca="false">D2216/(D2216+E2216)</f>
        <v>0.493827160493827</v>
      </c>
      <c r="K2216" s="3" t="n">
        <f aca="false">IF(D2216&gt;E2216,1,0)</f>
        <v>0</v>
      </c>
      <c r="L2216" s="3" t="n">
        <f aca="false">IF(OR(F2216="Y",G2216="Y",H2216="Y"),1,0)</f>
        <v>0</v>
      </c>
      <c r="M2216" s="3" t="n">
        <f aca="false">IF(H2216="Y",1,0)</f>
        <v>0</v>
      </c>
      <c r="N2216" s="3" t="n">
        <f aca="false">IF(I2216="Y",1,0)</f>
        <v>0</v>
      </c>
    </row>
    <row r="2217" customFormat="false" ht="15" hidden="false" customHeight="true" outlineLevel="0" collapsed="false">
      <c r="A2217" s="7" t="s">
        <v>58</v>
      </c>
      <c r="B2217" s="7" t="n">
        <v>1969</v>
      </c>
      <c r="C2217" s="7" t="s">
        <v>359</v>
      </c>
      <c r="D2217" s="7" t="n">
        <v>88</v>
      </c>
      <c r="E2217" s="7" t="n">
        <v>74</v>
      </c>
      <c r="F2217" s="7" t="s">
        <v>546</v>
      </c>
      <c r="G2217" s="7"/>
      <c r="H2217" s="7" t="s">
        <v>546</v>
      </c>
      <c r="I2217" s="7" t="s">
        <v>546</v>
      </c>
      <c r="J2217" s="21" t="n">
        <f aca="false">D2217/(D2217+E2217)</f>
        <v>0.54320987654321</v>
      </c>
      <c r="K2217" s="3" t="n">
        <f aca="false">IF(D2217&gt;E2217,1,0)</f>
        <v>1</v>
      </c>
      <c r="L2217" s="3" t="n">
        <f aca="false">IF(OR(F2217="Y",G2217="Y",H2217="Y"),1,0)</f>
        <v>0</v>
      </c>
      <c r="M2217" s="3" t="n">
        <f aca="false">IF(H2217="Y",1,0)</f>
        <v>0</v>
      </c>
      <c r="N2217" s="3" t="n">
        <f aca="false">IF(I2217="Y",1,0)</f>
        <v>0</v>
      </c>
    </row>
    <row r="2218" customFormat="false" ht="15" hidden="false" customHeight="true" outlineLevel="0" collapsed="false">
      <c r="A2218" s="7" t="s">
        <v>58</v>
      </c>
      <c r="B2218" s="7" t="n">
        <v>1970</v>
      </c>
      <c r="C2218" s="7" t="s">
        <v>359</v>
      </c>
      <c r="D2218" s="7" t="n">
        <v>89</v>
      </c>
      <c r="E2218" s="7" t="n">
        <v>73</v>
      </c>
      <c r="F2218" s="7" t="s">
        <v>548</v>
      </c>
      <c r="G2218" s="7"/>
      <c r="H2218" s="7" t="s">
        <v>546</v>
      </c>
      <c r="I2218" s="7" t="s">
        <v>546</v>
      </c>
      <c r="J2218" s="21" t="n">
        <f aca="false">D2218/(D2218+E2218)</f>
        <v>0.549382716049383</v>
      </c>
      <c r="K2218" s="3" t="n">
        <f aca="false">IF(D2218&gt;E2218,1,0)</f>
        <v>1</v>
      </c>
      <c r="L2218" s="3" t="n">
        <f aca="false">IF(OR(F2218="Y",G2218="Y",H2218="Y"),1,0)</f>
        <v>1</v>
      </c>
      <c r="M2218" s="3" t="n">
        <f aca="false">IF(H2218="Y",1,0)</f>
        <v>0</v>
      </c>
      <c r="N2218" s="3" t="n">
        <f aca="false">IF(I2218="Y",1,0)</f>
        <v>0</v>
      </c>
    </row>
    <row r="2219" customFormat="false" ht="15" hidden="false" customHeight="true" outlineLevel="0" collapsed="false">
      <c r="A2219" s="7" t="s">
        <v>58</v>
      </c>
      <c r="B2219" s="7" t="n">
        <v>1971</v>
      </c>
      <c r="C2219" s="7" t="s">
        <v>359</v>
      </c>
      <c r="D2219" s="7" t="n">
        <v>97</v>
      </c>
      <c r="E2219" s="7" t="n">
        <v>65</v>
      </c>
      <c r="F2219" s="7" t="s">
        <v>548</v>
      </c>
      <c r="G2219" s="7"/>
      <c r="H2219" s="7" t="s">
        <v>548</v>
      </c>
      <c r="I2219" s="7" t="s">
        <v>548</v>
      </c>
      <c r="J2219" s="21" t="n">
        <f aca="false">D2219/(D2219+E2219)</f>
        <v>0.598765432098765</v>
      </c>
      <c r="K2219" s="3" t="n">
        <f aca="false">IF(D2219&gt;E2219,1,0)</f>
        <v>1</v>
      </c>
      <c r="L2219" s="3" t="n">
        <f aca="false">IF(OR(F2219="Y",G2219="Y",H2219="Y"),1,0)</f>
        <v>1</v>
      </c>
      <c r="M2219" s="3" t="n">
        <f aca="false">IF(H2219="Y",1,0)</f>
        <v>1</v>
      </c>
      <c r="N2219" s="3" t="n">
        <f aca="false">IF(I2219="Y",1,0)</f>
        <v>1</v>
      </c>
    </row>
    <row r="2220" customFormat="false" ht="15" hidden="false" customHeight="true" outlineLevel="0" collapsed="false">
      <c r="A2220" s="7" t="s">
        <v>58</v>
      </c>
      <c r="B2220" s="7" t="n">
        <v>1972</v>
      </c>
      <c r="C2220" s="7" t="s">
        <v>359</v>
      </c>
      <c r="D2220" s="7" t="n">
        <v>96</v>
      </c>
      <c r="E2220" s="7" t="n">
        <v>59</v>
      </c>
      <c r="F2220" s="7" t="s">
        <v>548</v>
      </c>
      <c r="G2220" s="7"/>
      <c r="H2220" s="7" t="s">
        <v>546</v>
      </c>
      <c r="I2220" s="7" t="s">
        <v>546</v>
      </c>
      <c r="J2220" s="21" t="n">
        <f aca="false">D2220/(D2220+E2220)</f>
        <v>0.619354838709677</v>
      </c>
      <c r="K2220" s="3" t="n">
        <f aca="false">IF(D2220&gt;E2220,1,0)</f>
        <v>1</v>
      </c>
      <c r="L2220" s="3" t="n">
        <f aca="false">IF(OR(F2220="Y",G2220="Y",H2220="Y"),1,0)</f>
        <v>1</v>
      </c>
      <c r="M2220" s="3" t="n">
        <f aca="false">IF(H2220="Y",1,0)</f>
        <v>0</v>
      </c>
      <c r="N2220" s="3" t="n">
        <f aca="false">IF(I2220="Y",1,0)</f>
        <v>0</v>
      </c>
    </row>
    <row r="2221" customFormat="false" ht="15" hidden="false" customHeight="true" outlineLevel="0" collapsed="false">
      <c r="A2221" s="7" t="s">
        <v>58</v>
      </c>
      <c r="B2221" s="7" t="n">
        <v>1973</v>
      </c>
      <c r="C2221" s="7" t="s">
        <v>359</v>
      </c>
      <c r="D2221" s="7" t="n">
        <v>80</v>
      </c>
      <c r="E2221" s="7" t="n">
        <v>82</v>
      </c>
      <c r="F2221" s="7" t="s">
        <v>546</v>
      </c>
      <c r="G2221" s="7"/>
      <c r="H2221" s="7" t="s">
        <v>546</v>
      </c>
      <c r="I2221" s="7" t="s">
        <v>546</v>
      </c>
      <c r="J2221" s="21" t="n">
        <f aca="false">D2221/(D2221+E2221)</f>
        <v>0.493827160493827</v>
      </c>
      <c r="K2221" s="3" t="n">
        <f aca="false">IF(D2221&gt;E2221,1,0)</f>
        <v>0</v>
      </c>
      <c r="L2221" s="3" t="n">
        <f aca="false">IF(OR(F2221="Y",G2221="Y",H2221="Y"),1,0)</f>
        <v>0</v>
      </c>
      <c r="M2221" s="3" t="n">
        <f aca="false">IF(H2221="Y",1,0)</f>
        <v>0</v>
      </c>
      <c r="N2221" s="3" t="n">
        <f aca="false">IF(I2221="Y",1,0)</f>
        <v>0</v>
      </c>
    </row>
    <row r="2222" customFormat="false" ht="15" hidden="false" customHeight="true" outlineLevel="0" collapsed="false">
      <c r="A2222" s="7" t="s">
        <v>58</v>
      </c>
      <c r="B2222" s="7" t="n">
        <v>1974</v>
      </c>
      <c r="C2222" s="7" t="s">
        <v>359</v>
      </c>
      <c r="D2222" s="7" t="n">
        <v>88</v>
      </c>
      <c r="E2222" s="7" t="n">
        <v>74</v>
      </c>
      <c r="F2222" s="7" t="s">
        <v>548</v>
      </c>
      <c r="G2222" s="7"/>
      <c r="H2222" s="7" t="s">
        <v>546</v>
      </c>
      <c r="I2222" s="7" t="s">
        <v>546</v>
      </c>
      <c r="J2222" s="21" t="n">
        <f aca="false">D2222/(D2222+E2222)</f>
        <v>0.54320987654321</v>
      </c>
      <c r="K2222" s="3" t="n">
        <f aca="false">IF(D2222&gt;E2222,1,0)</f>
        <v>1</v>
      </c>
      <c r="L2222" s="3" t="n">
        <f aca="false">IF(OR(F2222="Y",G2222="Y",H2222="Y"),1,0)</f>
        <v>1</v>
      </c>
      <c r="M2222" s="3" t="n">
        <f aca="false">IF(H2222="Y",1,0)</f>
        <v>0</v>
      </c>
      <c r="N2222" s="3" t="n">
        <f aca="false">IF(I2222="Y",1,0)</f>
        <v>0</v>
      </c>
    </row>
    <row r="2223" customFormat="false" ht="15" hidden="false" customHeight="true" outlineLevel="0" collapsed="false">
      <c r="A2223" s="7" t="s">
        <v>58</v>
      </c>
      <c r="B2223" s="7" t="n">
        <v>1975</v>
      </c>
      <c r="C2223" s="7" t="s">
        <v>359</v>
      </c>
      <c r="D2223" s="7" t="n">
        <v>92</v>
      </c>
      <c r="E2223" s="7" t="n">
        <v>69</v>
      </c>
      <c r="F2223" s="7" t="s">
        <v>548</v>
      </c>
      <c r="G2223" s="7"/>
      <c r="H2223" s="7" t="s">
        <v>546</v>
      </c>
      <c r="I2223" s="7" t="s">
        <v>546</v>
      </c>
      <c r="J2223" s="21" t="n">
        <f aca="false">D2223/(D2223+E2223)</f>
        <v>0.571428571428571</v>
      </c>
      <c r="K2223" s="3" t="n">
        <f aca="false">IF(D2223&gt;E2223,1,0)</f>
        <v>1</v>
      </c>
      <c r="L2223" s="3" t="n">
        <f aca="false">IF(OR(F2223="Y",G2223="Y",H2223="Y"),1,0)</f>
        <v>1</v>
      </c>
      <c r="M2223" s="3" t="n">
        <f aca="false">IF(H2223="Y",1,0)</f>
        <v>0</v>
      </c>
      <c r="N2223" s="3" t="n">
        <f aca="false">IF(I2223="Y",1,0)</f>
        <v>0</v>
      </c>
    </row>
    <row r="2224" customFormat="false" ht="15" hidden="false" customHeight="true" outlineLevel="0" collapsed="false">
      <c r="A2224" s="7" t="s">
        <v>58</v>
      </c>
      <c r="B2224" s="7" t="n">
        <v>1976</v>
      </c>
      <c r="C2224" s="7" t="s">
        <v>359</v>
      </c>
      <c r="D2224" s="7" t="n">
        <v>92</v>
      </c>
      <c r="E2224" s="7" t="n">
        <v>70</v>
      </c>
      <c r="F2224" s="7" t="s">
        <v>546</v>
      </c>
      <c r="G2224" s="7"/>
      <c r="H2224" s="7" t="s">
        <v>546</v>
      </c>
      <c r="I2224" s="7" t="s">
        <v>546</v>
      </c>
      <c r="J2224" s="21" t="n">
        <f aca="false">D2224/(D2224+E2224)</f>
        <v>0.567901234567901</v>
      </c>
      <c r="K2224" s="3" t="n">
        <f aca="false">IF(D2224&gt;E2224,1,0)</f>
        <v>1</v>
      </c>
      <c r="L2224" s="3" t="n">
        <f aca="false">IF(OR(F2224="Y",G2224="Y",H2224="Y"),1,0)</f>
        <v>0</v>
      </c>
      <c r="M2224" s="3" t="n">
        <f aca="false">IF(H2224="Y",1,0)</f>
        <v>0</v>
      </c>
      <c r="N2224" s="3" t="n">
        <f aca="false">IF(I2224="Y",1,0)</f>
        <v>0</v>
      </c>
    </row>
    <row r="2225" customFormat="false" ht="15" hidden="false" customHeight="true" outlineLevel="0" collapsed="false">
      <c r="A2225" s="7" t="s">
        <v>58</v>
      </c>
      <c r="B2225" s="7" t="n">
        <v>1977</v>
      </c>
      <c r="C2225" s="7" t="s">
        <v>359</v>
      </c>
      <c r="D2225" s="7" t="n">
        <v>96</v>
      </c>
      <c r="E2225" s="7" t="n">
        <v>66</v>
      </c>
      <c r="F2225" s="7" t="s">
        <v>546</v>
      </c>
      <c r="G2225" s="7"/>
      <c r="H2225" s="7" t="s">
        <v>546</v>
      </c>
      <c r="I2225" s="7" t="s">
        <v>546</v>
      </c>
      <c r="J2225" s="21" t="n">
        <f aca="false">D2225/(D2225+E2225)</f>
        <v>0.592592592592593</v>
      </c>
      <c r="K2225" s="3" t="n">
        <f aca="false">IF(D2225&gt;E2225,1,0)</f>
        <v>1</v>
      </c>
      <c r="L2225" s="3" t="n">
        <f aca="false">IF(OR(F2225="Y",G2225="Y",H2225="Y"),1,0)</f>
        <v>0</v>
      </c>
      <c r="M2225" s="3" t="n">
        <f aca="false">IF(H2225="Y",1,0)</f>
        <v>0</v>
      </c>
      <c r="N2225" s="3" t="n">
        <f aca="false">IF(I2225="Y",1,0)</f>
        <v>0</v>
      </c>
    </row>
    <row r="2226" customFormat="false" ht="15" hidden="false" customHeight="true" outlineLevel="0" collapsed="false">
      <c r="A2226" s="7" t="s">
        <v>58</v>
      </c>
      <c r="B2226" s="7" t="n">
        <v>1978</v>
      </c>
      <c r="C2226" s="7" t="s">
        <v>359</v>
      </c>
      <c r="D2226" s="7" t="n">
        <v>88</v>
      </c>
      <c r="E2226" s="7" t="n">
        <v>73</v>
      </c>
      <c r="F2226" s="7" t="s">
        <v>546</v>
      </c>
      <c r="G2226" s="7"/>
      <c r="H2226" s="7" t="s">
        <v>546</v>
      </c>
      <c r="I2226" s="7" t="s">
        <v>546</v>
      </c>
      <c r="J2226" s="21" t="n">
        <f aca="false">D2226/(D2226+E2226)</f>
        <v>0.546583850931677</v>
      </c>
      <c r="K2226" s="3" t="n">
        <f aca="false">IF(D2226&gt;E2226,1,0)</f>
        <v>1</v>
      </c>
      <c r="L2226" s="3" t="n">
        <f aca="false">IF(OR(F2226="Y",G2226="Y",H2226="Y"),1,0)</f>
        <v>0</v>
      </c>
      <c r="M2226" s="3" t="n">
        <f aca="false">IF(H2226="Y",1,0)</f>
        <v>0</v>
      </c>
      <c r="N2226" s="3" t="n">
        <f aca="false">IF(I2226="Y",1,0)</f>
        <v>0</v>
      </c>
    </row>
    <row r="2227" customFormat="false" ht="15" hidden="false" customHeight="true" outlineLevel="0" collapsed="false">
      <c r="A2227" s="7" t="s">
        <v>58</v>
      </c>
      <c r="B2227" s="7" t="n">
        <v>1979</v>
      </c>
      <c r="C2227" s="7" t="s">
        <v>359</v>
      </c>
      <c r="D2227" s="7" t="n">
        <v>98</v>
      </c>
      <c r="E2227" s="7" t="n">
        <v>64</v>
      </c>
      <c r="F2227" s="7" t="s">
        <v>548</v>
      </c>
      <c r="G2227" s="7"/>
      <c r="H2227" s="7" t="s">
        <v>548</v>
      </c>
      <c r="I2227" s="7" t="s">
        <v>548</v>
      </c>
      <c r="J2227" s="21" t="n">
        <f aca="false">D2227/(D2227+E2227)</f>
        <v>0.604938271604938</v>
      </c>
      <c r="K2227" s="3" t="n">
        <f aca="false">IF(D2227&gt;E2227,1,0)</f>
        <v>1</v>
      </c>
      <c r="L2227" s="3" t="n">
        <f aca="false">IF(OR(F2227="Y",G2227="Y",H2227="Y"),1,0)</f>
        <v>1</v>
      </c>
      <c r="M2227" s="3" t="n">
        <f aca="false">IF(H2227="Y",1,0)</f>
        <v>1</v>
      </c>
      <c r="N2227" s="3" t="n">
        <f aca="false">IF(I2227="Y",1,0)</f>
        <v>1</v>
      </c>
    </row>
    <row r="2228" customFormat="false" ht="15" hidden="false" customHeight="true" outlineLevel="0" collapsed="false">
      <c r="A2228" s="7" t="s">
        <v>58</v>
      </c>
      <c r="B2228" s="7" t="n">
        <v>1980</v>
      </c>
      <c r="C2228" s="7" t="s">
        <v>359</v>
      </c>
      <c r="D2228" s="7" t="n">
        <v>83</v>
      </c>
      <c r="E2228" s="7" t="n">
        <v>79</v>
      </c>
      <c r="F2228" s="7" t="s">
        <v>546</v>
      </c>
      <c r="G2228" s="7"/>
      <c r="H2228" s="7" t="s">
        <v>546</v>
      </c>
      <c r="I2228" s="7" t="s">
        <v>546</v>
      </c>
      <c r="J2228" s="21" t="n">
        <f aca="false">D2228/(D2228+E2228)</f>
        <v>0.512345679012346</v>
      </c>
      <c r="K2228" s="3" t="n">
        <f aca="false">IF(D2228&gt;E2228,1,0)</f>
        <v>1</v>
      </c>
      <c r="L2228" s="3" t="n">
        <f aca="false">IF(OR(F2228="Y",G2228="Y",H2228="Y"),1,0)</f>
        <v>0</v>
      </c>
      <c r="M2228" s="3" t="n">
        <f aca="false">IF(H2228="Y",1,0)</f>
        <v>0</v>
      </c>
      <c r="N2228" s="3" t="n">
        <f aca="false">IF(I2228="Y",1,0)</f>
        <v>0</v>
      </c>
    </row>
    <row r="2229" customFormat="false" ht="15" hidden="false" customHeight="true" outlineLevel="0" collapsed="false">
      <c r="A2229" s="7" t="s">
        <v>58</v>
      </c>
      <c r="B2229" s="7" t="n">
        <v>1981</v>
      </c>
      <c r="C2229" s="7" t="s">
        <v>359</v>
      </c>
      <c r="D2229" s="7" t="n">
        <v>46</v>
      </c>
      <c r="E2229" s="7" t="n">
        <v>56</v>
      </c>
      <c r="F2229" s="7" t="s">
        <v>546</v>
      </c>
      <c r="G2229" s="7"/>
      <c r="H2229" s="7" t="s">
        <v>546</v>
      </c>
      <c r="I2229" s="7" t="s">
        <v>546</v>
      </c>
      <c r="J2229" s="21" t="n">
        <f aca="false">D2229/(D2229+E2229)</f>
        <v>0.450980392156863</v>
      </c>
      <c r="K2229" s="3" t="n">
        <f aca="false">IF(D2229&gt;E2229,1,0)</f>
        <v>0</v>
      </c>
      <c r="L2229" s="3" t="n">
        <f aca="false">IF(OR(F2229="Y",G2229="Y",H2229="Y"),1,0)</f>
        <v>0</v>
      </c>
      <c r="M2229" s="3" t="n">
        <f aca="false">IF(H2229="Y",1,0)</f>
        <v>0</v>
      </c>
      <c r="N2229" s="3" t="n">
        <f aca="false">IF(I2229="Y",1,0)</f>
        <v>0</v>
      </c>
    </row>
    <row r="2230" customFormat="false" ht="15" hidden="false" customHeight="true" outlineLevel="0" collapsed="false">
      <c r="A2230" s="7" t="s">
        <v>58</v>
      </c>
      <c r="B2230" s="7" t="n">
        <v>1982</v>
      </c>
      <c r="C2230" s="7" t="s">
        <v>359</v>
      </c>
      <c r="D2230" s="7" t="n">
        <v>84</v>
      </c>
      <c r="E2230" s="7" t="n">
        <v>78</v>
      </c>
      <c r="F2230" s="7" t="s">
        <v>546</v>
      </c>
      <c r="G2230" s="7"/>
      <c r="H2230" s="7" t="s">
        <v>546</v>
      </c>
      <c r="I2230" s="7" t="s">
        <v>546</v>
      </c>
      <c r="J2230" s="21" t="n">
        <f aca="false">D2230/(D2230+E2230)</f>
        <v>0.518518518518519</v>
      </c>
      <c r="K2230" s="3" t="n">
        <f aca="false">IF(D2230&gt;E2230,1,0)</f>
        <v>1</v>
      </c>
      <c r="L2230" s="3" t="n">
        <f aca="false">IF(OR(F2230="Y",G2230="Y",H2230="Y"),1,0)</f>
        <v>0</v>
      </c>
      <c r="M2230" s="3" t="n">
        <f aca="false">IF(H2230="Y",1,0)</f>
        <v>0</v>
      </c>
      <c r="N2230" s="3" t="n">
        <f aca="false">IF(I2230="Y",1,0)</f>
        <v>0</v>
      </c>
    </row>
    <row r="2231" customFormat="false" ht="15" hidden="false" customHeight="true" outlineLevel="0" collapsed="false">
      <c r="A2231" s="7" t="s">
        <v>58</v>
      </c>
      <c r="B2231" s="7" t="n">
        <v>1983</v>
      </c>
      <c r="C2231" s="7" t="s">
        <v>359</v>
      </c>
      <c r="D2231" s="7" t="n">
        <v>84</v>
      </c>
      <c r="E2231" s="7" t="n">
        <v>78</v>
      </c>
      <c r="F2231" s="7" t="s">
        <v>546</v>
      </c>
      <c r="G2231" s="7"/>
      <c r="H2231" s="7" t="s">
        <v>546</v>
      </c>
      <c r="I2231" s="7" t="s">
        <v>546</v>
      </c>
      <c r="J2231" s="21" t="n">
        <f aca="false">D2231/(D2231+E2231)</f>
        <v>0.518518518518519</v>
      </c>
      <c r="K2231" s="3" t="n">
        <f aca="false">IF(D2231&gt;E2231,1,0)</f>
        <v>1</v>
      </c>
      <c r="L2231" s="3" t="n">
        <f aca="false">IF(OR(F2231="Y",G2231="Y",H2231="Y"),1,0)</f>
        <v>0</v>
      </c>
      <c r="M2231" s="3" t="n">
        <f aca="false">IF(H2231="Y",1,0)</f>
        <v>0</v>
      </c>
      <c r="N2231" s="3" t="n">
        <f aca="false">IF(I2231="Y",1,0)</f>
        <v>0</v>
      </c>
    </row>
    <row r="2232" customFormat="false" ht="15" hidden="false" customHeight="true" outlineLevel="0" collapsed="false">
      <c r="A2232" s="7" t="s">
        <v>58</v>
      </c>
      <c r="B2232" s="7" t="n">
        <v>1984</v>
      </c>
      <c r="C2232" s="7" t="s">
        <v>359</v>
      </c>
      <c r="D2232" s="7" t="n">
        <v>75</v>
      </c>
      <c r="E2232" s="7" t="n">
        <v>87</v>
      </c>
      <c r="F2232" s="7" t="s">
        <v>546</v>
      </c>
      <c r="G2232" s="7"/>
      <c r="H2232" s="7" t="s">
        <v>546</v>
      </c>
      <c r="I2232" s="7" t="s">
        <v>546</v>
      </c>
      <c r="J2232" s="21" t="n">
        <f aca="false">D2232/(D2232+E2232)</f>
        <v>0.462962962962963</v>
      </c>
      <c r="K2232" s="3" t="n">
        <f aca="false">IF(D2232&gt;E2232,1,0)</f>
        <v>0</v>
      </c>
      <c r="L2232" s="3" t="n">
        <f aca="false">IF(OR(F2232="Y",G2232="Y",H2232="Y"),1,0)</f>
        <v>0</v>
      </c>
      <c r="M2232" s="3" t="n">
        <f aca="false">IF(H2232="Y",1,0)</f>
        <v>0</v>
      </c>
      <c r="N2232" s="3" t="n">
        <f aca="false">IF(I2232="Y",1,0)</f>
        <v>0</v>
      </c>
    </row>
    <row r="2233" customFormat="false" ht="15" hidden="false" customHeight="true" outlineLevel="0" collapsed="false">
      <c r="A2233" s="7" t="s">
        <v>58</v>
      </c>
      <c r="B2233" s="7" t="n">
        <v>1985</v>
      </c>
      <c r="C2233" s="7" t="s">
        <v>359</v>
      </c>
      <c r="D2233" s="7" t="n">
        <v>57</v>
      </c>
      <c r="E2233" s="7" t="n">
        <v>104</v>
      </c>
      <c r="F2233" s="7" t="s">
        <v>546</v>
      </c>
      <c r="G2233" s="7"/>
      <c r="H2233" s="7" t="s">
        <v>546</v>
      </c>
      <c r="I2233" s="7" t="s">
        <v>546</v>
      </c>
      <c r="J2233" s="21" t="n">
        <f aca="false">D2233/(D2233+E2233)</f>
        <v>0.354037267080745</v>
      </c>
      <c r="K2233" s="3" t="n">
        <f aca="false">IF(D2233&gt;E2233,1,0)</f>
        <v>0</v>
      </c>
      <c r="L2233" s="3" t="n">
        <f aca="false">IF(OR(F2233="Y",G2233="Y",H2233="Y"),1,0)</f>
        <v>0</v>
      </c>
      <c r="M2233" s="3" t="n">
        <f aca="false">IF(H2233="Y",1,0)</f>
        <v>0</v>
      </c>
      <c r="N2233" s="3" t="n">
        <f aca="false">IF(I2233="Y",1,0)</f>
        <v>0</v>
      </c>
    </row>
    <row r="2234" customFormat="false" ht="15" hidden="false" customHeight="true" outlineLevel="0" collapsed="false">
      <c r="A2234" s="7" t="s">
        <v>58</v>
      </c>
      <c r="B2234" s="7" t="n">
        <v>1986</v>
      </c>
      <c r="C2234" s="7" t="s">
        <v>359</v>
      </c>
      <c r="D2234" s="7" t="n">
        <v>64</v>
      </c>
      <c r="E2234" s="7" t="n">
        <v>98</v>
      </c>
      <c r="F2234" s="7" t="s">
        <v>546</v>
      </c>
      <c r="G2234" s="7"/>
      <c r="H2234" s="7" t="s">
        <v>546</v>
      </c>
      <c r="I2234" s="7" t="s">
        <v>546</v>
      </c>
      <c r="J2234" s="21" t="n">
        <f aca="false">D2234/(D2234+E2234)</f>
        <v>0.395061728395062</v>
      </c>
      <c r="K2234" s="3" t="n">
        <f aca="false">IF(D2234&gt;E2234,1,0)</f>
        <v>0</v>
      </c>
      <c r="L2234" s="3" t="n">
        <f aca="false">IF(OR(F2234="Y",G2234="Y",H2234="Y"),1,0)</f>
        <v>0</v>
      </c>
      <c r="M2234" s="3" t="n">
        <f aca="false">IF(H2234="Y",1,0)</f>
        <v>0</v>
      </c>
      <c r="N2234" s="3" t="n">
        <f aca="false">IF(I2234="Y",1,0)</f>
        <v>0</v>
      </c>
    </row>
    <row r="2235" customFormat="false" ht="15" hidden="false" customHeight="true" outlineLevel="0" collapsed="false">
      <c r="A2235" s="7" t="s">
        <v>58</v>
      </c>
      <c r="B2235" s="7" t="n">
        <v>1987</v>
      </c>
      <c r="C2235" s="7" t="s">
        <v>359</v>
      </c>
      <c r="D2235" s="7" t="n">
        <v>80</v>
      </c>
      <c r="E2235" s="7" t="n">
        <v>82</v>
      </c>
      <c r="F2235" s="7" t="s">
        <v>546</v>
      </c>
      <c r="G2235" s="7"/>
      <c r="H2235" s="7" t="s">
        <v>546</v>
      </c>
      <c r="I2235" s="7" t="s">
        <v>546</v>
      </c>
      <c r="J2235" s="21" t="n">
        <f aca="false">D2235/(D2235+E2235)</f>
        <v>0.493827160493827</v>
      </c>
      <c r="K2235" s="3" t="n">
        <f aca="false">IF(D2235&gt;E2235,1,0)</f>
        <v>0</v>
      </c>
      <c r="L2235" s="3" t="n">
        <f aca="false">IF(OR(F2235="Y",G2235="Y",H2235="Y"),1,0)</f>
        <v>0</v>
      </c>
      <c r="M2235" s="3" t="n">
        <f aca="false">IF(H2235="Y",1,0)</f>
        <v>0</v>
      </c>
      <c r="N2235" s="3" t="n">
        <f aca="false">IF(I2235="Y",1,0)</f>
        <v>0</v>
      </c>
    </row>
    <row r="2236" customFormat="false" ht="15" hidden="false" customHeight="true" outlineLevel="0" collapsed="false">
      <c r="A2236" s="7" t="s">
        <v>58</v>
      </c>
      <c r="B2236" s="7" t="n">
        <v>1988</v>
      </c>
      <c r="C2236" s="7" t="s">
        <v>359</v>
      </c>
      <c r="D2236" s="7" t="n">
        <v>85</v>
      </c>
      <c r="E2236" s="7" t="n">
        <v>75</v>
      </c>
      <c r="F2236" s="7" t="s">
        <v>546</v>
      </c>
      <c r="G2236" s="7"/>
      <c r="H2236" s="7" t="s">
        <v>546</v>
      </c>
      <c r="I2236" s="7" t="s">
        <v>546</v>
      </c>
      <c r="J2236" s="21" t="n">
        <f aca="false">D2236/(D2236+E2236)</f>
        <v>0.53125</v>
      </c>
      <c r="K2236" s="3" t="n">
        <f aca="false">IF(D2236&gt;E2236,1,0)</f>
        <v>1</v>
      </c>
      <c r="L2236" s="3" t="n">
        <f aca="false">IF(OR(F2236="Y",G2236="Y",H2236="Y"),1,0)</f>
        <v>0</v>
      </c>
      <c r="M2236" s="3" t="n">
        <f aca="false">IF(H2236="Y",1,0)</f>
        <v>0</v>
      </c>
      <c r="N2236" s="3" t="n">
        <f aca="false">IF(I2236="Y",1,0)</f>
        <v>0</v>
      </c>
    </row>
    <row r="2237" customFormat="false" ht="15" hidden="false" customHeight="true" outlineLevel="0" collapsed="false">
      <c r="A2237" s="7" t="s">
        <v>58</v>
      </c>
      <c r="B2237" s="7" t="n">
        <v>1989</v>
      </c>
      <c r="C2237" s="7" t="s">
        <v>359</v>
      </c>
      <c r="D2237" s="7" t="n">
        <v>74</v>
      </c>
      <c r="E2237" s="7" t="n">
        <v>88</v>
      </c>
      <c r="F2237" s="7" t="s">
        <v>546</v>
      </c>
      <c r="G2237" s="7"/>
      <c r="H2237" s="7" t="s">
        <v>546</v>
      </c>
      <c r="I2237" s="7" t="s">
        <v>546</v>
      </c>
      <c r="J2237" s="21" t="n">
        <f aca="false">D2237/(D2237+E2237)</f>
        <v>0.45679012345679</v>
      </c>
      <c r="K2237" s="3" t="n">
        <f aca="false">IF(D2237&gt;E2237,1,0)</f>
        <v>0</v>
      </c>
      <c r="L2237" s="3" t="n">
        <f aca="false">IF(OR(F2237="Y",G2237="Y",H2237="Y"),1,0)</f>
        <v>0</v>
      </c>
      <c r="M2237" s="3" t="n">
        <f aca="false">IF(H2237="Y",1,0)</f>
        <v>0</v>
      </c>
      <c r="N2237" s="3" t="n">
        <f aca="false">IF(I2237="Y",1,0)</f>
        <v>0</v>
      </c>
    </row>
    <row r="2238" customFormat="false" ht="15" hidden="false" customHeight="true" outlineLevel="0" collapsed="false">
      <c r="A2238" s="7" t="s">
        <v>58</v>
      </c>
      <c r="B2238" s="7" t="n">
        <v>1990</v>
      </c>
      <c r="C2238" s="7" t="s">
        <v>359</v>
      </c>
      <c r="D2238" s="7" t="n">
        <v>95</v>
      </c>
      <c r="E2238" s="7" t="n">
        <v>67</v>
      </c>
      <c r="F2238" s="7" t="s">
        <v>548</v>
      </c>
      <c r="G2238" s="7"/>
      <c r="H2238" s="7" t="s">
        <v>546</v>
      </c>
      <c r="I2238" s="7" t="s">
        <v>546</v>
      </c>
      <c r="J2238" s="21" t="n">
        <f aca="false">D2238/(D2238+E2238)</f>
        <v>0.58641975308642</v>
      </c>
      <c r="K2238" s="3" t="n">
        <f aca="false">IF(D2238&gt;E2238,1,0)</f>
        <v>1</v>
      </c>
      <c r="L2238" s="3" t="n">
        <f aca="false">IF(OR(F2238="Y",G2238="Y",H2238="Y"),1,0)</f>
        <v>1</v>
      </c>
      <c r="M2238" s="3" t="n">
        <f aca="false">IF(H2238="Y",1,0)</f>
        <v>0</v>
      </c>
      <c r="N2238" s="3" t="n">
        <f aca="false">IF(I2238="Y",1,0)</f>
        <v>0</v>
      </c>
    </row>
    <row r="2239" customFormat="false" ht="15" hidden="false" customHeight="true" outlineLevel="0" collapsed="false">
      <c r="A2239" s="7" t="s">
        <v>58</v>
      </c>
      <c r="B2239" s="7" t="n">
        <v>1991</v>
      </c>
      <c r="C2239" s="7" t="s">
        <v>359</v>
      </c>
      <c r="D2239" s="7" t="n">
        <v>98</v>
      </c>
      <c r="E2239" s="7" t="n">
        <v>64</v>
      </c>
      <c r="F2239" s="7" t="s">
        <v>548</v>
      </c>
      <c r="G2239" s="7"/>
      <c r="H2239" s="7" t="s">
        <v>546</v>
      </c>
      <c r="I2239" s="7" t="s">
        <v>546</v>
      </c>
      <c r="J2239" s="21" t="n">
        <f aca="false">D2239/(D2239+E2239)</f>
        <v>0.604938271604938</v>
      </c>
      <c r="K2239" s="3" t="n">
        <f aca="false">IF(D2239&gt;E2239,1,0)</f>
        <v>1</v>
      </c>
      <c r="L2239" s="3" t="n">
        <f aca="false">IF(OR(F2239="Y",G2239="Y",H2239="Y"),1,0)</f>
        <v>1</v>
      </c>
      <c r="M2239" s="3" t="n">
        <f aca="false">IF(H2239="Y",1,0)</f>
        <v>0</v>
      </c>
      <c r="N2239" s="3" t="n">
        <f aca="false">IF(I2239="Y",1,0)</f>
        <v>0</v>
      </c>
    </row>
    <row r="2240" customFormat="false" ht="15" hidden="false" customHeight="true" outlineLevel="0" collapsed="false">
      <c r="A2240" s="7" t="s">
        <v>58</v>
      </c>
      <c r="B2240" s="7" t="n">
        <v>1992</v>
      </c>
      <c r="C2240" s="7" t="s">
        <v>359</v>
      </c>
      <c r="D2240" s="7" t="n">
        <v>96</v>
      </c>
      <c r="E2240" s="7" t="n">
        <v>66</v>
      </c>
      <c r="F2240" s="7" t="s">
        <v>548</v>
      </c>
      <c r="G2240" s="7"/>
      <c r="H2240" s="7" t="s">
        <v>546</v>
      </c>
      <c r="I2240" s="7" t="s">
        <v>546</v>
      </c>
      <c r="J2240" s="21" t="n">
        <f aca="false">D2240/(D2240+E2240)</f>
        <v>0.592592592592593</v>
      </c>
      <c r="K2240" s="3" t="n">
        <f aca="false">IF(D2240&gt;E2240,1,0)</f>
        <v>1</v>
      </c>
      <c r="L2240" s="3" t="n">
        <f aca="false">IF(OR(F2240="Y",G2240="Y",H2240="Y"),1,0)</f>
        <v>1</v>
      </c>
      <c r="M2240" s="3" t="n">
        <f aca="false">IF(H2240="Y",1,0)</f>
        <v>0</v>
      </c>
      <c r="N2240" s="3" t="n">
        <f aca="false">IF(I2240="Y",1,0)</f>
        <v>0</v>
      </c>
    </row>
    <row r="2241" customFormat="false" ht="15" hidden="false" customHeight="true" outlineLevel="0" collapsed="false">
      <c r="A2241" s="7" t="s">
        <v>58</v>
      </c>
      <c r="B2241" s="7" t="n">
        <v>1993</v>
      </c>
      <c r="C2241" s="7" t="s">
        <v>359</v>
      </c>
      <c r="D2241" s="7" t="n">
        <v>75</v>
      </c>
      <c r="E2241" s="7" t="n">
        <v>87</v>
      </c>
      <c r="F2241" s="7" t="s">
        <v>546</v>
      </c>
      <c r="G2241" s="7"/>
      <c r="H2241" s="7" t="s">
        <v>546</v>
      </c>
      <c r="I2241" s="7" t="s">
        <v>546</v>
      </c>
      <c r="J2241" s="21" t="n">
        <f aca="false">D2241/(D2241+E2241)</f>
        <v>0.462962962962963</v>
      </c>
      <c r="K2241" s="3" t="n">
        <f aca="false">IF(D2241&gt;E2241,1,0)</f>
        <v>0</v>
      </c>
      <c r="L2241" s="3" t="n">
        <f aca="false">IF(OR(F2241="Y",G2241="Y",H2241="Y"),1,0)</f>
        <v>0</v>
      </c>
      <c r="M2241" s="3" t="n">
        <f aca="false">IF(H2241="Y",1,0)</f>
        <v>0</v>
      </c>
      <c r="N2241" s="3" t="n">
        <f aca="false">IF(I2241="Y",1,0)</f>
        <v>0</v>
      </c>
    </row>
    <row r="2242" customFormat="false" ht="15" hidden="false" customHeight="true" outlineLevel="0" collapsed="false">
      <c r="A2242" s="7" t="s">
        <v>58</v>
      </c>
      <c r="B2242" s="7" t="n">
        <v>1994</v>
      </c>
      <c r="C2242" s="7" t="s">
        <v>359</v>
      </c>
      <c r="D2242" s="7" t="n">
        <v>53</v>
      </c>
      <c r="E2242" s="7" t="n">
        <v>61</v>
      </c>
      <c r="F2242" s="7"/>
      <c r="G2242" s="7"/>
      <c r="H2242" s="7"/>
      <c r="I2242" s="7"/>
      <c r="J2242" s="21" t="n">
        <f aca="false">D2242/(D2242+E2242)</f>
        <v>0.464912280701754</v>
      </c>
      <c r="K2242" s="3" t="n">
        <f aca="false">IF(D2242&gt;E2242,1,0)</f>
        <v>0</v>
      </c>
      <c r="L2242" s="3" t="n">
        <f aca="false">IF(OR(F2242="Y",G2242="Y",H2242="Y"),1,0)</f>
        <v>0</v>
      </c>
      <c r="M2242" s="3" t="n">
        <f aca="false">IF(H2242="Y",1,0)</f>
        <v>0</v>
      </c>
      <c r="N2242" s="3" t="n">
        <f aca="false">IF(I2242="Y",1,0)</f>
        <v>0</v>
      </c>
    </row>
    <row r="2243" customFormat="false" ht="15" hidden="false" customHeight="true" outlineLevel="0" collapsed="false">
      <c r="A2243" s="7" t="s">
        <v>58</v>
      </c>
      <c r="B2243" s="7" t="n">
        <v>1995</v>
      </c>
      <c r="C2243" s="7" t="s">
        <v>359</v>
      </c>
      <c r="D2243" s="7" t="n">
        <v>58</v>
      </c>
      <c r="E2243" s="7" t="n">
        <v>86</v>
      </c>
      <c r="F2243" s="7" t="s">
        <v>546</v>
      </c>
      <c r="G2243" s="7" t="s">
        <v>546</v>
      </c>
      <c r="H2243" s="7" t="s">
        <v>546</v>
      </c>
      <c r="I2243" s="7" t="s">
        <v>546</v>
      </c>
      <c r="J2243" s="21" t="n">
        <f aca="false">D2243/(D2243+E2243)</f>
        <v>0.402777777777778</v>
      </c>
      <c r="K2243" s="3" t="n">
        <f aca="false">IF(D2243&gt;E2243,1,0)</f>
        <v>0</v>
      </c>
      <c r="L2243" s="3" t="n">
        <f aca="false">IF(OR(F2243="Y",G2243="Y",H2243="Y"),1,0)</f>
        <v>0</v>
      </c>
      <c r="M2243" s="3" t="n">
        <f aca="false">IF(H2243="Y",1,0)</f>
        <v>0</v>
      </c>
      <c r="N2243" s="3" t="n">
        <f aca="false">IF(I2243="Y",1,0)</f>
        <v>0</v>
      </c>
    </row>
    <row r="2244" customFormat="false" ht="15" hidden="false" customHeight="true" outlineLevel="0" collapsed="false">
      <c r="A2244" s="7" t="s">
        <v>58</v>
      </c>
      <c r="B2244" s="7" t="n">
        <v>1996</v>
      </c>
      <c r="C2244" s="7" t="s">
        <v>359</v>
      </c>
      <c r="D2244" s="7" t="n">
        <v>73</v>
      </c>
      <c r="E2244" s="7" t="n">
        <v>89</v>
      </c>
      <c r="F2244" s="7" t="s">
        <v>546</v>
      </c>
      <c r="G2244" s="7" t="s">
        <v>546</v>
      </c>
      <c r="H2244" s="7" t="s">
        <v>546</v>
      </c>
      <c r="I2244" s="7" t="s">
        <v>546</v>
      </c>
      <c r="J2244" s="21" t="n">
        <f aca="false">D2244/(D2244+E2244)</f>
        <v>0.450617283950617</v>
      </c>
      <c r="K2244" s="3" t="n">
        <f aca="false">IF(D2244&gt;E2244,1,0)</f>
        <v>0</v>
      </c>
      <c r="L2244" s="3" t="n">
        <f aca="false">IF(OR(F2244="Y",G2244="Y",H2244="Y"),1,0)</f>
        <v>0</v>
      </c>
      <c r="M2244" s="3" t="n">
        <f aca="false">IF(H2244="Y",1,0)</f>
        <v>0</v>
      </c>
      <c r="N2244" s="3" t="n">
        <f aca="false">IF(I2244="Y",1,0)</f>
        <v>0</v>
      </c>
    </row>
    <row r="2245" customFormat="false" ht="15" hidden="false" customHeight="true" outlineLevel="0" collapsed="false">
      <c r="A2245" s="7" t="s">
        <v>58</v>
      </c>
      <c r="B2245" s="7" t="n">
        <v>1997</v>
      </c>
      <c r="C2245" s="7" t="s">
        <v>359</v>
      </c>
      <c r="D2245" s="7" t="n">
        <v>79</v>
      </c>
      <c r="E2245" s="7" t="n">
        <v>83</v>
      </c>
      <c r="F2245" s="7" t="s">
        <v>546</v>
      </c>
      <c r="G2245" s="7" t="s">
        <v>546</v>
      </c>
      <c r="H2245" s="7" t="s">
        <v>546</v>
      </c>
      <c r="I2245" s="7" t="s">
        <v>546</v>
      </c>
      <c r="J2245" s="21" t="n">
        <f aca="false">D2245/(D2245+E2245)</f>
        <v>0.487654320987654</v>
      </c>
      <c r="K2245" s="3" t="n">
        <f aca="false">IF(D2245&gt;E2245,1,0)</f>
        <v>0</v>
      </c>
      <c r="L2245" s="3" t="n">
        <f aca="false">IF(OR(F2245="Y",G2245="Y",H2245="Y"),1,0)</f>
        <v>0</v>
      </c>
      <c r="M2245" s="3" t="n">
        <f aca="false">IF(H2245="Y",1,0)</f>
        <v>0</v>
      </c>
      <c r="N2245" s="3" t="n">
        <f aca="false">IF(I2245="Y",1,0)</f>
        <v>0</v>
      </c>
    </row>
    <row r="2246" customFormat="false" ht="15" hidden="false" customHeight="true" outlineLevel="0" collapsed="false">
      <c r="A2246" s="7" t="s">
        <v>58</v>
      </c>
      <c r="B2246" s="7" t="n">
        <v>1998</v>
      </c>
      <c r="C2246" s="7" t="s">
        <v>359</v>
      </c>
      <c r="D2246" s="7" t="n">
        <v>69</v>
      </c>
      <c r="E2246" s="7" t="n">
        <v>93</v>
      </c>
      <c r="F2246" s="7" t="s">
        <v>546</v>
      </c>
      <c r="G2246" s="7" t="s">
        <v>546</v>
      </c>
      <c r="H2246" s="7" t="s">
        <v>546</v>
      </c>
      <c r="I2246" s="7" t="s">
        <v>546</v>
      </c>
      <c r="J2246" s="21" t="n">
        <f aca="false">D2246/(D2246+E2246)</f>
        <v>0.425925925925926</v>
      </c>
      <c r="K2246" s="3" t="n">
        <f aca="false">IF(D2246&gt;E2246,1,0)</f>
        <v>0</v>
      </c>
      <c r="L2246" s="3" t="n">
        <f aca="false">IF(OR(F2246="Y",G2246="Y",H2246="Y"),1,0)</f>
        <v>0</v>
      </c>
      <c r="M2246" s="3" t="n">
        <f aca="false">IF(H2246="Y",1,0)</f>
        <v>0</v>
      </c>
      <c r="N2246" s="3" t="n">
        <f aca="false">IF(I2246="Y",1,0)</f>
        <v>0</v>
      </c>
    </row>
    <row r="2247" customFormat="false" ht="15" hidden="false" customHeight="true" outlineLevel="0" collapsed="false">
      <c r="A2247" s="7" t="s">
        <v>58</v>
      </c>
      <c r="B2247" s="7" t="n">
        <v>1999</v>
      </c>
      <c r="C2247" s="7" t="s">
        <v>359</v>
      </c>
      <c r="D2247" s="7" t="n">
        <v>78</v>
      </c>
      <c r="E2247" s="7" t="n">
        <v>83</v>
      </c>
      <c r="F2247" s="7" t="s">
        <v>546</v>
      </c>
      <c r="G2247" s="7" t="s">
        <v>546</v>
      </c>
      <c r="H2247" s="7" t="s">
        <v>546</v>
      </c>
      <c r="I2247" s="7" t="s">
        <v>546</v>
      </c>
      <c r="J2247" s="21" t="n">
        <f aca="false">D2247/(D2247+E2247)</f>
        <v>0.484472049689441</v>
      </c>
      <c r="K2247" s="3" t="n">
        <f aca="false">IF(D2247&gt;E2247,1,0)</f>
        <v>0</v>
      </c>
      <c r="L2247" s="3" t="n">
        <f aca="false">IF(OR(F2247="Y",G2247="Y",H2247="Y"),1,0)</f>
        <v>0</v>
      </c>
      <c r="M2247" s="3" t="n">
        <f aca="false">IF(H2247="Y",1,0)</f>
        <v>0</v>
      </c>
      <c r="N2247" s="3" t="n">
        <f aca="false">IF(I2247="Y",1,0)</f>
        <v>0</v>
      </c>
    </row>
    <row r="2248" customFormat="false" ht="15" hidden="false" customHeight="true" outlineLevel="0" collapsed="false">
      <c r="A2248" s="7" t="s">
        <v>58</v>
      </c>
      <c r="B2248" s="7" t="n">
        <v>2000</v>
      </c>
      <c r="C2248" s="7" t="s">
        <v>359</v>
      </c>
      <c r="D2248" s="7" t="n">
        <v>69</v>
      </c>
      <c r="E2248" s="7" t="n">
        <v>93</v>
      </c>
      <c r="F2248" s="7" t="s">
        <v>546</v>
      </c>
      <c r="G2248" s="7" t="s">
        <v>546</v>
      </c>
      <c r="H2248" s="7" t="s">
        <v>546</v>
      </c>
      <c r="I2248" s="7" t="s">
        <v>546</v>
      </c>
      <c r="J2248" s="21" t="n">
        <f aca="false">D2248/(D2248+E2248)</f>
        <v>0.425925925925926</v>
      </c>
      <c r="K2248" s="3" t="n">
        <f aca="false">IF(D2248&gt;E2248,1,0)</f>
        <v>0</v>
      </c>
      <c r="L2248" s="3" t="n">
        <f aca="false">IF(OR(F2248="Y",G2248="Y",H2248="Y"),1,0)</f>
        <v>0</v>
      </c>
      <c r="M2248" s="3" t="n">
        <f aca="false">IF(H2248="Y",1,0)</f>
        <v>0</v>
      </c>
      <c r="N2248" s="3" t="n">
        <f aca="false">IF(I2248="Y",1,0)</f>
        <v>0</v>
      </c>
    </row>
    <row r="2249" customFormat="false" ht="15" hidden="false" customHeight="true" outlineLevel="0" collapsed="false">
      <c r="A2249" s="7" t="s">
        <v>58</v>
      </c>
      <c r="B2249" s="7" t="n">
        <v>2001</v>
      </c>
      <c r="C2249" s="7" t="s">
        <v>359</v>
      </c>
      <c r="D2249" s="7" t="n">
        <v>62</v>
      </c>
      <c r="E2249" s="7" t="n">
        <v>100</v>
      </c>
      <c r="F2249" s="7" t="s">
        <v>546</v>
      </c>
      <c r="G2249" s="7" t="s">
        <v>546</v>
      </c>
      <c r="H2249" s="7" t="s">
        <v>546</v>
      </c>
      <c r="I2249" s="7" t="s">
        <v>546</v>
      </c>
      <c r="J2249" s="21" t="n">
        <f aca="false">D2249/(D2249+E2249)</f>
        <v>0.382716049382716</v>
      </c>
      <c r="K2249" s="3" t="n">
        <f aca="false">IF(D2249&gt;E2249,1,0)</f>
        <v>0</v>
      </c>
      <c r="L2249" s="3" t="n">
        <f aca="false">IF(OR(F2249="Y",G2249="Y",H2249="Y"),1,0)</f>
        <v>0</v>
      </c>
      <c r="M2249" s="3" t="n">
        <f aca="false">IF(H2249="Y",1,0)</f>
        <v>0</v>
      </c>
      <c r="N2249" s="3" t="n">
        <f aca="false">IF(I2249="Y",1,0)</f>
        <v>0</v>
      </c>
    </row>
    <row r="2250" customFormat="false" ht="15" hidden="false" customHeight="true" outlineLevel="0" collapsed="false">
      <c r="A2250" s="7" t="s">
        <v>58</v>
      </c>
      <c r="B2250" s="7" t="n">
        <v>2002</v>
      </c>
      <c r="C2250" s="7" t="s">
        <v>359</v>
      </c>
      <c r="D2250" s="7" t="n">
        <v>72</v>
      </c>
      <c r="E2250" s="7" t="n">
        <v>89</v>
      </c>
      <c r="F2250" s="7" t="s">
        <v>546</v>
      </c>
      <c r="G2250" s="7" t="s">
        <v>546</v>
      </c>
      <c r="H2250" s="7" t="s">
        <v>546</v>
      </c>
      <c r="I2250" s="7" t="s">
        <v>546</v>
      </c>
      <c r="J2250" s="21" t="n">
        <f aca="false">D2250/(D2250+E2250)</f>
        <v>0.447204968944099</v>
      </c>
      <c r="K2250" s="3" t="n">
        <f aca="false">IF(D2250&gt;E2250,1,0)</f>
        <v>0</v>
      </c>
      <c r="L2250" s="3" t="n">
        <f aca="false">IF(OR(F2250="Y",G2250="Y",H2250="Y"),1,0)</f>
        <v>0</v>
      </c>
      <c r="M2250" s="3" t="n">
        <f aca="false">IF(H2250="Y",1,0)</f>
        <v>0</v>
      </c>
      <c r="N2250" s="3" t="n">
        <f aca="false">IF(I2250="Y",1,0)</f>
        <v>0</v>
      </c>
    </row>
    <row r="2251" customFormat="false" ht="15" hidden="false" customHeight="true" outlineLevel="0" collapsed="false">
      <c r="A2251" s="7" t="s">
        <v>58</v>
      </c>
      <c r="B2251" s="7" t="n">
        <v>2003</v>
      </c>
      <c r="C2251" s="7" t="s">
        <v>359</v>
      </c>
      <c r="D2251" s="7" t="n">
        <v>75</v>
      </c>
      <c r="E2251" s="7" t="n">
        <v>87</v>
      </c>
      <c r="F2251" s="7" t="s">
        <v>546</v>
      </c>
      <c r="G2251" s="7" t="s">
        <v>546</v>
      </c>
      <c r="H2251" s="7" t="s">
        <v>546</v>
      </c>
      <c r="I2251" s="7" t="s">
        <v>546</v>
      </c>
      <c r="J2251" s="21" t="n">
        <f aca="false">D2251/(D2251+E2251)</f>
        <v>0.462962962962963</v>
      </c>
      <c r="K2251" s="3" t="n">
        <f aca="false">IF(D2251&gt;E2251,1,0)</f>
        <v>0</v>
      </c>
      <c r="L2251" s="3" t="n">
        <f aca="false">IF(OR(F2251="Y",G2251="Y",H2251="Y"),1,0)</f>
        <v>0</v>
      </c>
      <c r="M2251" s="3" t="n">
        <f aca="false">IF(H2251="Y",1,0)</f>
        <v>0</v>
      </c>
      <c r="N2251" s="3" t="n">
        <f aca="false">IF(I2251="Y",1,0)</f>
        <v>0</v>
      </c>
    </row>
    <row r="2252" customFormat="false" ht="15" hidden="false" customHeight="true" outlineLevel="0" collapsed="false">
      <c r="A2252" s="7" t="s">
        <v>58</v>
      </c>
      <c r="B2252" s="7" t="n">
        <v>2004</v>
      </c>
      <c r="C2252" s="7" t="s">
        <v>359</v>
      </c>
      <c r="D2252" s="7" t="n">
        <v>72</v>
      </c>
      <c r="E2252" s="7" t="n">
        <v>89</v>
      </c>
      <c r="F2252" s="7" t="s">
        <v>546</v>
      </c>
      <c r="G2252" s="7" t="s">
        <v>546</v>
      </c>
      <c r="H2252" s="7" t="s">
        <v>546</v>
      </c>
      <c r="I2252" s="7" t="s">
        <v>546</v>
      </c>
      <c r="J2252" s="21" t="n">
        <f aca="false">D2252/(D2252+E2252)</f>
        <v>0.447204968944099</v>
      </c>
      <c r="K2252" s="3" t="n">
        <f aca="false">IF(D2252&gt;E2252,1,0)</f>
        <v>0</v>
      </c>
      <c r="L2252" s="3" t="n">
        <f aca="false">IF(OR(F2252="Y",G2252="Y",H2252="Y"),1,0)</f>
        <v>0</v>
      </c>
      <c r="M2252" s="3" t="n">
        <f aca="false">IF(H2252="Y",1,0)</f>
        <v>0</v>
      </c>
      <c r="N2252" s="3" t="n">
        <f aca="false">IF(I2252="Y",1,0)</f>
        <v>0</v>
      </c>
    </row>
    <row r="2253" customFormat="false" ht="15" hidden="false" customHeight="true" outlineLevel="0" collapsed="false">
      <c r="A2253" s="7" t="s">
        <v>58</v>
      </c>
      <c r="B2253" s="7" t="n">
        <v>2005</v>
      </c>
      <c r="C2253" s="7" t="s">
        <v>359</v>
      </c>
      <c r="D2253" s="7" t="n">
        <v>67</v>
      </c>
      <c r="E2253" s="7" t="n">
        <v>95</v>
      </c>
      <c r="F2253" s="7" t="s">
        <v>546</v>
      </c>
      <c r="G2253" s="7" t="s">
        <v>546</v>
      </c>
      <c r="H2253" s="7" t="s">
        <v>546</v>
      </c>
      <c r="I2253" s="7" t="s">
        <v>546</v>
      </c>
      <c r="J2253" s="21" t="n">
        <f aca="false">D2253/(D2253+E2253)</f>
        <v>0.41358024691358</v>
      </c>
      <c r="K2253" s="3" t="n">
        <f aca="false">IF(D2253&gt;E2253,1,0)</f>
        <v>0</v>
      </c>
      <c r="L2253" s="3" t="n">
        <f aca="false">IF(OR(F2253="Y",G2253="Y",H2253="Y"),1,0)</f>
        <v>0</v>
      </c>
      <c r="M2253" s="3" t="n">
        <f aca="false">IF(H2253="Y",1,0)</f>
        <v>0</v>
      </c>
      <c r="N2253" s="3" t="n">
        <f aca="false">IF(I2253="Y",1,0)</f>
        <v>0</v>
      </c>
    </row>
    <row r="2254" customFormat="false" ht="15" hidden="false" customHeight="true" outlineLevel="0" collapsed="false">
      <c r="A2254" s="7" t="s">
        <v>58</v>
      </c>
      <c r="B2254" s="7" t="n">
        <v>2006</v>
      </c>
      <c r="C2254" s="7" t="s">
        <v>359</v>
      </c>
      <c r="D2254" s="7" t="n">
        <v>67</v>
      </c>
      <c r="E2254" s="7" t="n">
        <v>95</v>
      </c>
      <c r="F2254" s="7" t="s">
        <v>546</v>
      </c>
      <c r="G2254" s="7" t="s">
        <v>546</v>
      </c>
      <c r="H2254" s="7" t="s">
        <v>546</v>
      </c>
      <c r="I2254" s="7" t="s">
        <v>546</v>
      </c>
      <c r="J2254" s="21" t="n">
        <f aca="false">D2254/(D2254+E2254)</f>
        <v>0.41358024691358</v>
      </c>
      <c r="K2254" s="3" t="n">
        <f aca="false">IF(D2254&gt;E2254,1,0)</f>
        <v>0</v>
      </c>
      <c r="L2254" s="3" t="n">
        <f aca="false">IF(OR(F2254="Y",G2254="Y",H2254="Y"),1,0)</f>
        <v>0</v>
      </c>
      <c r="M2254" s="3" t="n">
        <f aca="false">IF(H2254="Y",1,0)</f>
        <v>0</v>
      </c>
      <c r="N2254" s="3" t="n">
        <f aca="false">IF(I2254="Y",1,0)</f>
        <v>0</v>
      </c>
    </row>
    <row r="2255" customFormat="false" ht="15" hidden="false" customHeight="true" outlineLevel="0" collapsed="false">
      <c r="A2255" s="7" t="s">
        <v>58</v>
      </c>
      <c r="B2255" s="7" t="n">
        <v>2007</v>
      </c>
      <c r="C2255" s="7" t="s">
        <v>359</v>
      </c>
      <c r="D2255" s="7" t="n">
        <v>68</v>
      </c>
      <c r="E2255" s="7" t="n">
        <v>94</v>
      </c>
      <c r="F2255" s="7" t="s">
        <v>546</v>
      </c>
      <c r="G2255" s="7" t="s">
        <v>546</v>
      </c>
      <c r="H2255" s="7" t="s">
        <v>546</v>
      </c>
      <c r="I2255" s="7" t="s">
        <v>546</v>
      </c>
      <c r="J2255" s="21" t="n">
        <f aca="false">D2255/(D2255+E2255)</f>
        <v>0.419753086419753</v>
      </c>
      <c r="K2255" s="3" t="n">
        <f aca="false">IF(D2255&gt;E2255,1,0)</f>
        <v>0</v>
      </c>
      <c r="L2255" s="3" t="n">
        <f aca="false">IF(OR(F2255="Y",G2255="Y",H2255="Y"),1,0)</f>
        <v>0</v>
      </c>
      <c r="M2255" s="3" t="n">
        <f aca="false">IF(H2255="Y",1,0)</f>
        <v>0</v>
      </c>
      <c r="N2255" s="3" t="n">
        <f aca="false">IF(I2255="Y",1,0)</f>
        <v>0</v>
      </c>
    </row>
    <row r="2256" customFormat="false" ht="15" hidden="false" customHeight="true" outlineLevel="0" collapsed="false">
      <c r="A2256" s="7" t="s">
        <v>58</v>
      </c>
      <c r="B2256" s="7" t="n">
        <v>2008</v>
      </c>
      <c r="C2256" s="7" t="s">
        <v>359</v>
      </c>
      <c r="D2256" s="7" t="n">
        <v>67</v>
      </c>
      <c r="E2256" s="7" t="n">
        <v>95</v>
      </c>
      <c r="F2256" s="7" t="s">
        <v>546</v>
      </c>
      <c r="G2256" s="7" t="s">
        <v>546</v>
      </c>
      <c r="H2256" s="7" t="s">
        <v>546</v>
      </c>
      <c r="I2256" s="7" t="s">
        <v>546</v>
      </c>
      <c r="J2256" s="21" t="n">
        <f aca="false">D2256/(D2256+E2256)</f>
        <v>0.41358024691358</v>
      </c>
      <c r="K2256" s="3" t="n">
        <f aca="false">IF(D2256&gt;E2256,1,0)</f>
        <v>0</v>
      </c>
      <c r="L2256" s="3" t="n">
        <f aca="false">IF(OR(F2256="Y",G2256="Y",H2256="Y"),1,0)</f>
        <v>0</v>
      </c>
      <c r="M2256" s="3" t="n">
        <f aca="false">IF(H2256="Y",1,0)</f>
        <v>0</v>
      </c>
      <c r="N2256" s="3" t="n">
        <f aca="false">IF(I2256="Y",1,0)</f>
        <v>0</v>
      </c>
    </row>
    <row r="2257" customFormat="false" ht="15" hidden="false" customHeight="true" outlineLevel="0" collapsed="false">
      <c r="A2257" s="7" t="s">
        <v>58</v>
      </c>
      <c r="B2257" s="7" t="n">
        <v>2009</v>
      </c>
      <c r="C2257" s="7" t="s">
        <v>359</v>
      </c>
      <c r="D2257" s="7" t="n">
        <v>62</v>
      </c>
      <c r="E2257" s="7" t="n">
        <v>99</v>
      </c>
      <c r="F2257" s="7" t="s">
        <v>546</v>
      </c>
      <c r="G2257" s="7" t="s">
        <v>546</v>
      </c>
      <c r="H2257" s="7" t="s">
        <v>546</v>
      </c>
      <c r="I2257" s="7" t="s">
        <v>546</v>
      </c>
      <c r="J2257" s="21" t="n">
        <f aca="false">D2257/(D2257+E2257)</f>
        <v>0.385093167701863</v>
      </c>
      <c r="K2257" s="3" t="n">
        <f aca="false">IF(D2257&gt;E2257,1,0)</f>
        <v>0</v>
      </c>
      <c r="L2257" s="3" t="n">
        <f aca="false">IF(OR(F2257="Y",G2257="Y",H2257="Y"),1,0)</f>
        <v>0</v>
      </c>
      <c r="M2257" s="3" t="n">
        <f aca="false">IF(H2257="Y",1,0)</f>
        <v>0</v>
      </c>
      <c r="N2257" s="3" t="n">
        <f aca="false">IF(I2257="Y",1,0)</f>
        <v>0</v>
      </c>
    </row>
    <row r="2258" customFormat="false" ht="15" hidden="false" customHeight="true" outlineLevel="0" collapsed="false">
      <c r="A2258" s="7" t="s">
        <v>58</v>
      </c>
      <c r="B2258" s="7" t="n">
        <v>2010</v>
      </c>
      <c r="C2258" s="7" t="s">
        <v>359</v>
      </c>
      <c r="D2258" s="7" t="n">
        <v>57</v>
      </c>
      <c r="E2258" s="7" t="n">
        <v>105</v>
      </c>
      <c r="F2258" s="7" t="s">
        <v>546</v>
      </c>
      <c r="G2258" s="7" t="s">
        <v>546</v>
      </c>
      <c r="H2258" s="7" t="s">
        <v>546</v>
      </c>
      <c r="I2258" s="7" t="s">
        <v>546</v>
      </c>
      <c r="J2258" s="21" t="n">
        <f aca="false">D2258/(D2258+E2258)</f>
        <v>0.351851851851852</v>
      </c>
      <c r="K2258" s="3" t="n">
        <f aca="false">IF(D2258&gt;E2258,1,0)</f>
        <v>0</v>
      </c>
      <c r="L2258" s="3" t="n">
        <f aca="false">IF(OR(F2258="Y",G2258="Y",H2258="Y"),1,0)</f>
        <v>0</v>
      </c>
      <c r="M2258" s="3" t="n">
        <f aca="false">IF(H2258="Y",1,0)</f>
        <v>0</v>
      </c>
      <c r="N2258" s="3" t="n">
        <f aca="false">IF(I2258="Y",1,0)</f>
        <v>0</v>
      </c>
    </row>
    <row r="2259" customFormat="false" ht="15" hidden="false" customHeight="true" outlineLevel="0" collapsed="false">
      <c r="A2259" s="7" t="s">
        <v>58</v>
      </c>
      <c r="B2259" s="7" t="n">
        <v>2011</v>
      </c>
      <c r="C2259" s="7" t="s">
        <v>359</v>
      </c>
      <c r="D2259" s="7" t="n">
        <v>72</v>
      </c>
      <c r="E2259" s="7" t="n">
        <v>90</v>
      </c>
      <c r="F2259" s="7" t="s">
        <v>546</v>
      </c>
      <c r="G2259" s="7" t="s">
        <v>546</v>
      </c>
      <c r="H2259" s="7" t="s">
        <v>546</v>
      </c>
      <c r="I2259" s="7" t="s">
        <v>546</v>
      </c>
      <c r="J2259" s="21" t="n">
        <f aca="false">D2259/(D2259+E2259)</f>
        <v>0.444444444444444</v>
      </c>
      <c r="K2259" s="3" t="n">
        <f aca="false">IF(D2259&gt;E2259,1,0)</f>
        <v>0</v>
      </c>
      <c r="L2259" s="3" t="n">
        <f aca="false">IF(OR(F2259="Y",G2259="Y",H2259="Y"),1,0)</f>
        <v>0</v>
      </c>
      <c r="M2259" s="3" t="n">
        <f aca="false">IF(H2259="Y",1,0)</f>
        <v>0</v>
      </c>
      <c r="N2259" s="3" t="n">
        <f aca="false">IF(I2259="Y",1,0)</f>
        <v>0</v>
      </c>
    </row>
    <row r="2260" customFormat="false" ht="15" hidden="false" customHeight="true" outlineLevel="0" collapsed="false">
      <c r="A2260" s="7" t="s">
        <v>58</v>
      </c>
      <c r="B2260" s="7" t="n">
        <v>2012</v>
      </c>
      <c r="C2260" s="7" t="s">
        <v>359</v>
      </c>
      <c r="D2260" s="7" t="n">
        <v>79</v>
      </c>
      <c r="E2260" s="7" t="n">
        <v>83</v>
      </c>
      <c r="F2260" s="7" t="s">
        <v>546</v>
      </c>
      <c r="G2260" s="7" t="s">
        <v>546</v>
      </c>
      <c r="H2260" s="7" t="s">
        <v>546</v>
      </c>
      <c r="I2260" s="7" t="s">
        <v>546</v>
      </c>
      <c r="J2260" s="21" t="n">
        <f aca="false">D2260/(D2260+E2260)</f>
        <v>0.487654320987654</v>
      </c>
      <c r="K2260" s="3" t="n">
        <f aca="false">IF(D2260&gt;E2260,1,0)</f>
        <v>0</v>
      </c>
      <c r="L2260" s="3" t="n">
        <f aca="false">IF(OR(F2260="Y",G2260="Y",H2260="Y"),1,0)</f>
        <v>0</v>
      </c>
      <c r="M2260" s="3" t="n">
        <f aca="false">IF(H2260="Y",1,0)</f>
        <v>0</v>
      </c>
      <c r="N2260" s="3" t="n">
        <f aca="false">IF(I2260="Y",1,0)</f>
        <v>0</v>
      </c>
    </row>
    <row r="2261" customFormat="false" ht="15" hidden="false" customHeight="true" outlineLevel="0" collapsed="false">
      <c r="A2261" s="7" t="s">
        <v>58</v>
      </c>
      <c r="B2261" s="7" t="n">
        <v>2013</v>
      </c>
      <c r="C2261" s="7" t="s">
        <v>359</v>
      </c>
      <c r="D2261" s="7" t="n">
        <v>94</v>
      </c>
      <c r="E2261" s="7" t="n">
        <v>68</v>
      </c>
      <c r="F2261" s="7" t="s">
        <v>546</v>
      </c>
      <c r="G2261" s="7" t="s">
        <v>548</v>
      </c>
      <c r="H2261" s="7" t="s">
        <v>546</v>
      </c>
      <c r="I2261" s="7" t="s">
        <v>546</v>
      </c>
      <c r="J2261" s="21" t="n">
        <f aca="false">D2261/(D2261+E2261)</f>
        <v>0.580246913580247</v>
      </c>
      <c r="K2261" s="3" t="n">
        <f aca="false">IF(D2261&gt;E2261,1,0)</f>
        <v>1</v>
      </c>
      <c r="L2261" s="3" t="n">
        <f aca="false">IF(OR(F2261="Y",G2261="Y",H2261="Y"),1,0)</f>
        <v>1</v>
      </c>
      <c r="M2261" s="3" t="n">
        <f aca="false">IF(H2261="Y",1,0)</f>
        <v>0</v>
      </c>
      <c r="N2261" s="3" t="n">
        <f aca="false">IF(I2261="Y",1,0)</f>
        <v>0</v>
      </c>
    </row>
    <row r="2262" customFormat="false" ht="15" hidden="false" customHeight="true" outlineLevel="0" collapsed="false">
      <c r="A2262" s="7" t="s">
        <v>58</v>
      </c>
      <c r="B2262" s="7" t="n">
        <v>2014</v>
      </c>
      <c r="C2262" s="7" t="s">
        <v>359</v>
      </c>
      <c r="D2262" s="7" t="n">
        <v>88</v>
      </c>
      <c r="E2262" s="7" t="n">
        <v>74</v>
      </c>
      <c r="F2262" s="7" t="s">
        <v>546</v>
      </c>
      <c r="G2262" s="7" t="s">
        <v>548</v>
      </c>
      <c r="H2262" s="7" t="s">
        <v>546</v>
      </c>
      <c r="I2262" s="7" t="s">
        <v>546</v>
      </c>
      <c r="J2262" s="21" t="n">
        <f aca="false">D2262/(D2262+E2262)</f>
        <v>0.54320987654321</v>
      </c>
      <c r="K2262" s="3" t="n">
        <f aca="false">IF(D2262&gt;E2262,1,0)</f>
        <v>1</v>
      </c>
      <c r="L2262" s="3" t="n">
        <f aca="false">IF(OR(F2262="Y",G2262="Y",H2262="Y"),1,0)</f>
        <v>1</v>
      </c>
      <c r="M2262" s="3" t="n">
        <f aca="false">IF(H2262="Y",1,0)</f>
        <v>0</v>
      </c>
      <c r="N2262" s="3" t="n">
        <f aca="false">IF(I2262="Y",1,0)</f>
        <v>0</v>
      </c>
    </row>
    <row r="2263" customFormat="false" ht="15" hidden="false" customHeight="true" outlineLevel="0" collapsed="false">
      <c r="A2263" s="7" t="s">
        <v>58</v>
      </c>
      <c r="B2263" s="7" t="n">
        <v>2015</v>
      </c>
      <c r="C2263" s="7" t="s">
        <v>359</v>
      </c>
      <c r="D2263" s="7" t="n">
        <v>98</v>
      </c>
      <c r="E2263" s="7" t="n">
        <v>64</v>
      </c>
      <c r="F2263" s="7" t="s">
        <v>546</v>
      </c>
      <c r="G2263" s="7" t="s">
        <v>548</v>
      </c>
      <c r="H2263" s="7" t="s">
        <v>546</v>
      </c>
      <c r="I2263" s="7" t="s">
        <v>546</v>
      </c>
      <c r="J2263" s="21" t="n">
        <f aca="false">D2263/(D2263+E2263)</f>
        <v>0.604938271604938</v>
      </c>
      <c r="K2263" s="3" t="n">
        <f aca="false">IF(D2263&gt;E2263,1,0)</f>
        <v>1</v>
      </c>
      <c r="L2263" s="3" t="n">
        <f aca="false">IF(OR(F2263="Y",G2263="Y",H2263="Y"),1,0)</f>
        <v>1</v>
      </c>
      <c r="M2263" s="3" t="n">
        <f aca="false">IF(H2263="Y",1,0)</f>
        <v>0</v>
      </c>
      <c r="N2263" s="3" t="n">
        <f aca="false">IF(I2263="Y",1,0)</f>
        <v>0</v>
      </c>
    </row>
    <row r="2264" customFormat="false" ht="15" hidden="false" customHeight="true" outlineLevel="0" collapsed="false">
      <c r="A2264" s="7" t="s">
        <v>58</v>
      </c>
      <c r="B2264" s="7" t="n">
        <v>2016</v>
      </c>
      <c r="C2264" s="7" t="s">
        <v>359</v>
      </c>
      <c r="D2264" s="7" t="n">
        <v>78</v>
      </c>
      <c r="E2264" s="7" t="n">
        <v>83</v>
      </c>
      <c r="F2264" s="7" t="s">
        <v>546</v>
      </c>
      <c r="G2264" s="7" t="s">
        <v>546</v>
      </c>
      <c r="H2264" s="7" t="s">
        <v>546</v>
      </c>
      <c r="I2264" s="7" t="s">
        <v>546</v>
      </c>
      <c r="J2264" s="21" t="n">
        <f aca="false">D2264/(D2264+E2264)</f>
        <v>0.484472049689441</v>
      </c>
      <c r="K2264" s="3" t="n">
        <f aca="false">IF(D2264&gt;E2264,1,0)</f>
        <v>0</v>
      </c>
      <c r="L2264" s="3" t="n">
        <f aca="false">IF(OR(F2264="Y",G2264="Y",H2264="Y"),1,0)</f>
        <v>0</v>
      </c>
      <c r="M2264" s="3" t="n">
        <f aca="false">IF(H2264="Y",1,0)</f>
        <v>0</v>
      </c>
      <c r="N2264" s="3" t="n">
        <f aca="false">IF(I2264="Y",1,0)</f>
        <v>0</v>
      </c>
    </row>
    <row r="2265" customFormat="false" ht="15" hidden="false" customHeight="true" outlineLevel="0" collapsed="false">
      <c r="A2265" s="7" t="s">
        <v>58</v>
      </c>
      <c r="B2265" s="7" t="n">
        <v>2017</v>
      </c>
      <c r="C2265" s="7" t="s">
        <v>359</v>
      </c>
      <c r="D2265" s="7" t="n">
        <v>75</v>
      </c>
      <c r="E2265" s="7" t="n">
        <v>87</v>
      </c>
      <c r="F2265" s="7" t="s">
        <v>546</v>
      </c>
      <c r="G2265" s="7" t="s">
        <v>546</v>
      </c>
      <c r="H2265" s="7" t="s">
        <v>546</v>
      </c>
      <c r="I2265" s="7" t="s">
        <v>546</v>
      </c>
      <c r="J2265" s="21" t="n">
        <f aca="false">D2265/(D2265+E2265)</f>
        <v>0.462962962962963</v>
      </c>
      <c r="K2265" s="3" t="n">
        <f aca="false">IF(D2265&gt;E2265,1,0)</f>
        <v>0</v>
      </c>
      <c r="L2265" s="3" t="n">
        <f aca="false">IF(OR(F2265="Y",G2265="Y",H2265="Y"),1,0)</f>
        <v>0</v>
      </c>
      <c r="M2265" s="3" t="n">
        <f aca="false">IF(H2265="Y",1,0)</f>
        <v>0</v>
      </c>
      <c r="N2265" s="3" t="n">
        <f aca="false">IF(I2265="Y",1,0)</f>
        <v>0</v>
      </c>
    </row>
    <row r="2266" customFormat="false" ht="15" hidden="false" customHeight="true" outlineLevel="0" collapsed="false">
      <c r="A2266" s="7" t="s">
        <v>58</v>
      </c>
      <c r="B2266" s="7" t="n">
        <v>2018</v>
      </c>
      <c r="C2266" s="7" t="s">
        <v>359</v>
      </c>
      <c r="D2266" s="7" t="n">
        <v>82</v>
      </c>
      <c r="E2266" s="7" t="n">
        <v>79</v>
      </c>
      <c r="F2266" s="7" t="s">
        <v>546</v>
      </c>
      <c r="G2266" s="7" t="s">
        <v>546</v>
      </c>
      <c r="H2266" s="7" t="s">
        <v>546</v>
      </c>
      <c r="I2266" s="7" t="s">
        <v>546</v>
      </c>
      <c r="J2266" s="21" t="n">
        <f aca="false">D2266/(D2266+E2266)</f>
        <v>0.509316770186335</v>
      </c>
      <c r="K2266" s="3" t="n">
        <f aca="false">IF(D2266&gt;E2266,1,0)</f>
        <v>1</v>
      </c>
      <c r="L2266" s="3" t="n">
        <f aca="false">IF(OR(F2266="Y",G2266="Y",H2266="Y"),1,0)</f>
        <v>0</v>
      </c>
      <c r="M2266" s="3" t="n">
        <f aca="false">IF(H2266="Y",1,0)</f>
        <v>0</v>
      </c>
      <c r="N2266" s="3" t="n">
        <f aca="false">IF(I2266="Y",1,0)</f>
        <v>0</v>
      </c>
    </row>
    <row r="2267" customFormat="false" ht="15" hidden="false" customHeight="true" outlineLevel="0" collapsed="false">
      <c r="A2267" s="7" t="s">
        <v>58</v>
      </c>
      <c r="B2267" s="7" t="n">
        <v>2019</v>
      </c>
      <c r="C2267" s="7" t="s">
        <v>359</v>
      </c>
      <c r="D2267" s="7" t="n">
        <v>69</v>
      </c>
      <c r="E2267" s="7" t="n">
        <v>93</v>
      </c>
      <c r="F2267" s="7" t="s">
        <v>546</v>
      </c>
      <c r="G2267" s="7" t="s">
        <v>546</v>
      </c>
      <c r="H2267" s="7" t="s">
        <v>546</v>
      </c>
      <c r="I2267" s="7" t="s">
        <v>546</v>
      </c>
      <c r="J2267" s="21" t="n">
        <f aca="false">D2267/(D2267+E2267)</f>
        <v>0.425925925925926</v>
      </c>
      <c r="K2267" s="3" t="n">
        <f aca="false">IF(D2267&gt;E2267,1,0)</f>
        <v>0</v>
      </c>
      <c r="L2267" s="3" t="n">
        <f aca="false">IF(OR(F2267="Y",G2267="Y",H2267="Y"),1,0)</f>
        <v>0</v>
      </c>
      <c r="M2267" s="3" t="n">
        <f aca="false">IF(H2267="Y",1,0)</f>
        <v>0</v>
      </c>
      <c r="N2267" s="3" t="n">
        <f aca="false">IF(I2267="Y",1,0)</f>
        <v>0</v>
      </c>
    </row>
    <row r="2268" customFormat="false" ht="15" hidden="false" customHeight="true" outlineLevel="0" collapsed="false">
      <c r="A2268" s="7" t="s">
        <v>58</v>
      </c>
      <c r="B2268" s="7" t="n">
        <v>2020</v>
      </c>
      <c r="C2268" s="7" t="s">
        <v>359</v>
      </c>
      <c r="D2268" s="7" t="n">
        <v>19</v>
      </c>
      <c r="E2268" s="7" t="n">
        <v>41</v>
      </c>
      <c r="F2268" s="7" t="s">
        <v>546</v>
      </c>
      <c r="G2268" s="7" t="s">
        <v>546</v>
      </c>
      <c r="H2268" s="7" t="s">
        <v>546</v>
      </c>
      <c r="I2268" s="7" t="s">
        <v>546</v>
      </c>
      <c r="J2268" s="21" t="n">
        <f aca="false">D2268/(D2268+E2268)</f>
        <v>0.316666666666667</v>
      </c>
      <c r="K2268" s="3" t="n">
        <f aca="false">IF(D2268&gt;E2268,1,0)</f>
        <v>0</v>
      </c>
      <c r="L2268" s="3" t="n">
        <f aca="false">IF(OR(F2268="Y",G2268="Y",H2268="Y"),1,0)</f>
        <v>0</v>
      </c>
      <c r="M2268" s="3" t="n">
        <f aca="false">IF(H2268="Y",1,0)</f>
        <v>0</v>
      </c>
      <c r="N2268" s="3" t="n">
        <f aca="false">IF(I2268="Y",1,0)</f>
        <v>0</v>
      </c>
    </row>
    <row r="2269" customFormat="false" ht="15" hidden="false" customHeight="true" outlineLevel="0" collapsed="false">
      <c r="A2269" s="7" t="s">
        <v>58</v>
      </c>
      <c r="B2269" s="7" t="n">
        <v>2021</v>
      </c>
      <c r="C2269" s="7" t="s">
        <v>359</v>
      </c>
      <c r="D2269" s="7" t="n">
        <v>61</v>
      </c>
      <c r="E2269" s="7" t="n">
        <v>101</v>
      </c>
      <c r="F2269" s="7" t="s">
        <v>546</v>
      </c>
      <c r="G2269" s="7" t="s">
        <v>546</v>
      </c>
      <c r="H2269" s="7" t="s">
        <v>546</v>
      </c>
      <c r="I2269" s="7" t="s">
        <v>546</v>
      </c>
      <c r="J2269" s="21" t="n">
        <f aca="false">D2269/(D2269+E2269)</f>
        <v>0.376543209876543</v>
      </c>
      <c r="K2269" s="3" t="n">
        <f aca="false">IF(D2269&gt;E2269,1,0)</f>
        <v>0</v>
      </c>
      <c r="L2269" s="3" t="n">
        <f aca="false">IF(OR(F2269="Y",G2269="Y",H2269="Y"),1,0)</f>
        <v>0</v>
      </c>
      <c r="M2269" s="3" t="n">
        <f aca="false">IF(H2269="Y",1,0)</f>
        <v>0</v>
      </c>
      <c r="N2269" s="3" t="n">
        <f aca="false">IF(I2269="Y",1,0)</f>
        <v>0</v>
      </c>
    </row>
    <row r="2270" customFormat="false" ht="15" hidden="false" customHeight="true" outlineLevel="0" collapsed="false">
      <c r="A2270" s="7" t="s">
        <v>58</v>
      </c>
      <c r="B2270" s="7" t="n">
        <v>2022</v>
      </c>
      <c r="C2270" s="7" t="s">
        <v>359</v>
      </c>
      <c r="D2270" s="7" t="n">
        <v>62</v>
      </c>
      <c r="E2270" s="7" t="n">
        <v>100</v>
      </c>
      <c r="F2270" s="7" t="s">
        <v>546</v>
      </c>
      <c r="G2270" s="7" t="s">
        <v>546</v>
      </c>
      <c r="H2270" s="7" t="s">
        <v>546</v>
      </c>
      <c r="I2270" s="7" t="s">
        <v>546</v>
      </c>
      <c r="J2270" s="21" t="n">
        <f aca="false">D2270/(D2270+E2270)</f>
        <v>0.382716049382716</v>
      </c>
      <c r="K2270" s="3" t="n">
        <f aca="false">IF(D2270&gt;E2270,1,0)</f>
        <v>0</v>
      </c>
      <c r="L2270" s="3" t="n">
        <f aca="false">IF(OR(F2270="Y",G2270="Y",H2270="Y"),1,0)</f>
        <v>0</v>
      </c>
      <c r="M2270" s="3" t="n">
        <f aca="false">IF(H2270="Y",1,0)</f>
        <v>0</v>
      </c>
      <c r="N2270" s="3" t="n">
        <f aca="false">IF(I2270="Y",1,0)</f>
        <v>0</v>
      </c>
    </row>
    <row r="2271" customFormat="false" ht="15" hidden="false" customHeight="true" outlineLevel="0" collapsed="false">
      <c r="A2271" s="7" t="s">
        <v>58</v>
      </c>
      <c r="B2271" s="7" t="n">
        <v>2023</v>
      </c>
      <c r="C2271" s="7" t="s">
        <v>359</v>
      </c>
      <c r="D2271" s="7" t="n">
        <v>76</v>
      </c>
      <c r="E2271" s="7" t="n">
        <v>86</v>
      </c>
      <c r="F2271" s="7" t="s">
        <v>546</v>
      </c>
      <c r="G2271" s="7" t="s">
        <v>546</v>
      </c>
      <c r="H2271" s="7" t="s">
        <v>546</v>
      </c>
      <c r="I2271" s="7" t="s">
        <v>546</v>
      </c>
      <c r="J2271" s="21" t="n">
        <f aca="false">D2271/(D2271+E2271)</f>
        <v>0.469135802469136</v>
      </c>
      <c r="K2271" s="3" t="n">
        <f aca="false">IF(D2271&gt;E2271,1,0)</f>
        <v>0</v>
      </c>
      <c r="L2271" s="3" t="n">
        <f aca="false">IF(OR(F2271="Y",G2271="Y",H2271="Y"),1,0)</f>
        <v>0</v>
      </c>
      <c r="M2271" s="3" t="n">
        <f aca="false">IF(H2271="Y",1,0)</f>
        <v>0</v>
      </c>
      <c r="N2271" s="3" t="n">
        <f aca="false">IF(I2271="Y",1,0)</f>
        <v>0</v>
      </c>
    </row>
    <row r="2272" customFormat="false" ht="15" hidden="false" customHeight="true" outlineLevel="0" collapsed="false">
      <c r="A2272" s="7" t="s">
        <v>58</v>
      </c>
      <c r="B2272" s="7" t="n">
        <v>2024</v>
      </c>
      <c r="C2272" s="7" t="s">
        <v>359</v>
      </c>
      <c r="D2272" s="7" t="n">
        <v>76</v>
      </c>
      <c r="E2272" s="7" t="n">
        <v>86</v>
      </c>
      <c r="F2272" s="7" t="s">
        <v>546</v>
      </c>
      <c r="G2272" s="7" t="s">
        <v>546</v>
      </c>
      <c r="H2272" s="7" t="s">
        <v>546</v>
      </c>
      <c r="I2272" s="7" t="s">
        <v>546</v>
      </c>
      <c r="J2272" s="21" t="n">
        <f aca="false">D2272/(D2272+E2272)</f>
        <v>0.469135802469136</v>
      </c>
      <c r="K2272" s="3" t="n">
        <f aca="false">IF(D2272&gt;E2272,1,0)</f>
        <v>0</v>
      </c>
      <c r="L2272" s="3" t="n">
        <f aca="false">IF(OR(F2272="Y",G2272="Y",H2272="Y"),1,0)</f>
        <v>0</v>
      </c>
      <c r="M2272" s="3" t="n">
        <f aca="false">IF(H2272="Y",1,0)</f>
        <v>0</v>
      </c>
      <c r="N2272" s="3" t="n">
        <f aca="false">IF(I2272="Y",1,0)</f>
        <v>0</v>
      </c>
    </row>
    <row r="2273" customFormat="false" ht="15" hidden="false" customHeight="true" outlineLevel="0" collapsed="false">
      <c r="A2273" s="7" t="s">
        <v>58</v>
      </c>
      <c r="B2273" s="7" t="n">
        <v>2025</v>
      </c>
      <c r="C2273" s="7" t="s">
        <v>359</v>
      </c>
      <c r="D2273" s="7" t="n">
        <v>71</v>
      </c>
      <c r="E2273" s="7" t="n">
        <v>91</v>
      </c>
      <c r="F2273" s="7" t="s">
        <v>546</v>
      </c>
      <c r="G2273" s="7" t="s">
        <v>546</v>
      </c>
      <c r="H2273" s="7" t="s">
        <v>546</v>
      </c>
      <c r="I2273" s="7" t="s">
        <v>546</v>
      </c>
      <c r="J2273" s="21" t="n">
        <f aca="false">D2273/(D2273+E2273)</f>
        <v>0.438271604938272</v>
      </c>
      <c r="K2273" s="3" t="n">
        <f aca="false">IF(D2273&gt;E2273,1,0)</f>
        <v>0</v>
      </c>
      <c r="L2273" s="3" t="n">
        <f aca="false">IF(OR(F2273="Y",G2273="Y",H2273="Y"),1,0)</f>
        <v>0</v>
      </c>
      <c r="M2273" s="3" t="n">
        <f aca="false">IF(H2273="Y",1,0)</f>
        <v>0</v>
      </c>
      <c r="N2273" s="3" t="n">
        <f aca="false">IF(I2273="Y",1,0)</f>
        <v>0</v>
      </c>
    </row>
    <row r="2274" customFormat="false" ht="15" hidden="false" customHeight="true" outlineLevel="0" collapsed="false">
      <c r="A2274" s="7" t="s">
        <v>78</v>
      </c>
      <c r="B2274" s="7" t="n">
        <v>1969</v>
      </c>
      <c r="C2274" s="7" t="s">
        <v>380</v>
      </c>
      <c r="D2274" s="7" t="n">
        <v>52</v>
      </c>
      <c r="E2274" s="7" t="n">
        <v>110</v>
      </c>
      <c r="F2274" s="7" t="s">
        <v>546</v>
      </c>
      <c r="G2274" s="7"/>
      <c r="H2274" s="7" t="s">
        <v>546</v>
      </c>
      <c r="I2274" s="7" t="s">
        <v>546</v>
      </c>
      <c r="J2274" s="21" t="n">
        <f aca="false">D2274/(D2274+E2274)</f>
        <v>0.320987654320988</v>
      </c>
      <c r="K2274" s="3" t="n">
        <f aca="false">IF(D2274&gt;E2274,1,0)</f>
        <v>0</v>
      </c>
      <c r="L2274" s="3" t="n">
        <f aca="false">IF(OR(F2274="Y",G2274="Y",H2274="Y"),1,0)</f>
        <v>0</v>
      </c>
      <c r="M2274" s="3" t="n">
        <f aca="false">IF(H2274="Y",1,0)</f>
        <v>0</v>
      </c>
      <c r="N2274" s="3" t="n">
        <f aca="false">IF(I2274="Y",1,0)</f>
        <v>0</v>
      </c>
    </row>
    <row r="2275" customFormat="false" ht="15" hidden="false" customHeight="true" outlineLevel="0" collapsed="false">
      <c r="A2275" s="7" t="s">
        <v>78</v>
      </c>
      <c r="B2275" s="7" t="n">
        <v>1970</v>
      </c>
      <c r="C2275" s="7" t="s">
        <v>380</v>
      </c>
      <c r="D2275" s="7" t="n">
        <v>63</v>
      </c>
      <c r="E2275" s="7" t="n">
        <v>99</v>
      </c>
      <c r="F2275" s="7" t="s">
        <v>546</v>
      </c>
      <c r="G2275" s="7"/>
      <c r="H2275" s="7" t="s">
        <v>546</v>
      </c>
      <c r="I2275" s="7" t="s">
        <v>546</v>
      </c>
      <c r="J2275" s="21" t="n">
        <f aca="false">D2275/(D2275+E2275)</f>
        <v>0.388888888888889</v>
      </c>
      <c r="K2275" s="3" t="n">
        <f aca="false">IF(D2275&gt;E2275,1,0)</f>
        <v>0</v>
      </c>
      <c r="L2275" s="3" t="n">
        <f aca="false">IF(OR(F2275="Y",G2275="Y",H2275="Y"),1,0)</f>
        <v>0</v>
      </c>
      <c r="M2275" s="3" t="n">
        <f aca="false">IF(H2275="Y",1,0)</f>
        <v>0</v>
      </c>
      <c r="N2275" s="3" t="n">
        <f aca="false">IF(I2275="Y",1,0)</f>
        <v>0</v>
      </c>
    </row>
    <row r="2276" customFormat="false" ht="15" hidden="false" customHeight="true" outlineLevel="0" collapsed="false">
      <c r="A2276" s="7" t="s">
        <v>78</v>
      </c>
      <c r="B2276" s="7" t="n">
        <v>1971</v>
      </c>
      <c r="C2276" s="7" t="s">
        <v>380</v>
      </c>
      <c r="D2276" s="7" t="n">
        <v>61</v>
      </c>
      <c r="E2276" s="7" t="n">
        <v>100</v>
      </c>
      <c r="F2276" s="7" t="s">
        <v>546</v>
      </c>
      <c r="G2276" s="7"/>
      <c r="H2276" s="7" t="s">
        <v>546</v>
      </c>
      <c r="I2276" s="7" t="s">
        <v>546</v>
      </c>
      <c r="J2276" s="21" t="n">
        <f aca="false">D2276/(D2276+E2276)</f>
        <v>0.37888198757764</v>
      </c>
      <c r="K2276" s="3" t="n">
        <f aca="false">IF(D2276&gt;E2276,1,0)</f>
        <v>0</v>
      </c>
      <c r="L2276" s="3" t="n">
        <f aca="false">IF(OR(F2276="Y",G2276="Y",H2276="Y"),1,0)</f>
        <v>0</v>
      </c>
      <c r="M2276" s="3" t="n">
        <f aca="false">IF(H2276="Y",1,0)</f>
        <v>0</v>
      </c>
      <c r="N2276" s="3" t="n">
        <f aca="false">IF(I2276="Y",1,0)</f>
        <v>0</v>
      </c>
    </row>
    <row r="2277" customFormat="false" ht="15" hidden="false" customHeight="true" outlineLevel="0" collapsed="false">
      <c r="A2277" s="7" t="s">
        <v>78</v>
      </c>
      <c r="B2277" s="7" t="n">
        <v>1972</v>
      </c>
      <c r="C2277" s="7" t="s">
        <v>380</v>
      </c>
      <c r="D2277" s="7" t="n">
        <v>58</v>
      </c>
      <c r="E2277" s="7" t="n">
        <v>95</v>
      </c>
      <c r="F2277" s="7" t="s">
        <v>546</v>
      </c>
      <c r="G2277" s="7"/>
      <c r="H2277" s="7" t="s">
        <v>546</v>
      </c>
      <c r="I2277" s="7" t="s">
        <v>546</v>
      </c>
      <c r="J2277" s="21" t="n">
        <f aca="false">D2277/(D2277+E2277)</f>
        <v>0.379084967320261</v>
      </c>
      <c r="K2277" s="3" t="n">
        <f aca="false">IF(D2277&gt;E2277,1,0)</f>
        <v>0</v>
      </c>
      <c r="L2277" s="3" t="n">
        <f aca="false">IF(OR(F2277="Y",G2277="Y",H2277="Y"),1,0)</f>
        <v>0</v>
      </c>
      <c r="M2277" s="3" t="n">
        <f aca="false">IF(H2277="Y",1,0)</f>
        <v>0</v>
      </c>
      <c r="N2277" s="3" t="n">
        <f aca="false">IF(I2277="Y",1,0)</f>
        <v>0</v>
      </c>
    </row>
    <row r="2278" customFormat="false" ht="15" hidden="false" customHeight="true" outlineLevel="0" collapsed="false">
      <c r="A2278" s="7" t="s">
        <v>78</v>
      </c>
      <c r="B2278" s="7" t="n">
        <v>1973</v>
      </c>
      <c r="C2278" s="7" t="s">
        <v>380</v>
      </c>
      <c r="D2278" s="7" t="n">
        <v>60</v>
      </c>
      <c r="E2278" s="7" t="n">
        <v>102</v>
      </c>
      <c r="F2278" s="7" t="s">
        <v>546</v>
      </c>
      <c r="G2278" s="7"/>
      <c r="H2278" s="7" t="s">
        <v>546</v>
      </c>
      <c r="I2278" s="7" t="s">
        <v>546</v>
      </c>
      <c r="J2278" s="21" t="n">
        <f aca="false">D2278/(D2278+E2278)</f>
        <v>0.37037037037037</v>
      </c>
      <c r="K2278" s="3" t="n">
        <f aca="false">IF(D2278&gt;E2278,1,0)</f>
        <v>0</v>
      </c>
      <c r="L2278" s="3" t="n">
        <f aca="false">IF(OR(F2278="Y",G2278="Y",H2278="Y"),1,0)</f>
        <v>0</v>
      </c>
      <c r="M2278" s="3" t="n">
        <f aca="false">IF(H2278="Y",1,0)</f>
        <v>0</v>
      </c>
      <c r="N2278" s="3" t="n">
        <f aca="false">IF(I2278="Y",1,0)</f>
        <v>0</v>
      </c>
    </row>
    <row r="2279" customFormat="false" ht="15" hidden="false" customHeight="true" outlineLevel="0" collapsed="false">
      <c r="A2279" s="7" t="s">
        <v>78</v>
      </c>
      <c r="B2279" s="7" t="n">
        <v>1974</v>
      </c>
      <c r="C2279" s="7" t="s">
        <v>380</v>
      </c>
      <c r="D2279" s="7" t="n">
        <v>60</v>
      </c>
      <c r="E2279" s="7" t="n">
        <v>102</v>
      </c>
      <c r="F2279" s="7" t="s">
        <v>546</v>
      </c>
      <c r="G2279" s="7"/>
      <c r="H2279" s="7" t="s">
        <v>546</v>
      </c>
      <c r="I2279" s="7" t="s">
        <v>546</v>
      </c>
      <c r="J2279" s="21" t="n">
        <f aca="false">D2279/(D2279+E2279)</f>
        <v>0.37037037037037</v>
      </c>
      <c r="K2279" s="3" t="n">
        <f aca="false">IF(D2279&gt;E2279,1,0)</f>
        <v>0</v>
      </c>
      <c r="L2279" s="3" t="n">
        <f aca="false">IF(OR(F2279="Y",G2279="Y",H2279="Y"),1,0)</f>
        <v>0</v>
      </c>
      <c r="M2279" s="3" t="n">
        <f aca="false">IF(H2279="Y",1,0)</f>
        <v>0</v>
      </c>
      <c r="N2279" s="3" t="n">
        <f aca="false">IF(I2279="Y",1,0)</f>
        <v>0</v>
      </c>
    </row>
    <row r="2280" customFormat="false" ht="15" hidden="false" customHeight="true" outlineLevel="0" collapsed="false">
      <c r="A2280" s="7" t="s">
        <v>78</v>
      </c>
      <c r="B2280" s="7" t="n">
        <v>1975</v>
      </c>
      <c r="C2280" s="7" t="s">
        <v>380</v>
      </c>
      <c r="D2280" s="7" t="n">
        <v>71</v>
      </c>
      <c r="E2280" s="7" t="n">
        <v>91</v>
      </c>
      <c r="F2280" s="7" t="s">
        <v>546</v>
      </c>
      <c r="G2280" s="7"/>
      <c r="H2280" s="7" t="s">
        <v>546</v>
      </c>
      <c r="I2280" s="7" t="s">
        <v>546</v>
      </c>
      <c r="J2280" s="21" t="n">
        <f aca="false">D2280/(D2280+E2280)</f>
        <v>0.438271604938272</v>
      </c>
      <c r="K2280" s="3" t="n">
        <f aca="false">IF(D2280&gt;E2280,1,0)</f>
        <v>0</v>
      </c>
      <c r="L2280" s="3" t="n">
        <f aca="false">IF(OR(F2280="Y",G2280="Y",H2280="Y"),1,0)</f>
        <v>0</v>
      </c>
      <c r="M2280" s="3" t="n">
        <f aca="false">IF(H2280="Y",1,0)</f>
        <v>0</v>
      </c>
      <c r="N2280" s="3" t="n">
        <f aca="false">IF(I2280="Y",1,0)</f>
        <v>0</v>
      </c>
    </row>
    <row r="2281" customFormat="false" ht="15" hidden="false" customHeight="true" outlineLevel="0" collapsed="false">
      <c r="A2281" s="7" t="s">
        <v>78</v>
      </c>
      <c r="B2281" s="7" t="n">
        <v>1976</v>
      </c>
      <c r="C2281" s="7" t="s">
        <v>380</v>
      </c>
      <c r="D2281" s="7" t="n">
        <v>73</v>
      </c>
      <c r="E2281" s="7" t="n">
        <v>89</v>
      </c>
      <c r="F2281" s="7" t="s">
        <v>546</v>
      </c>
      <c r="G2281" s="7"/>
      <c r="H2281" s="7" t="s">
        <v>546</v>
      </c>
      <c r="I2281" s="7" t="s">
        <v>546</v>
      </c>
      <c r="J2281" s="21" t="n">
        <f aca="false">D2281/(D2281+E2281)</f>
        <v>0.450617283950617</v>
      </c>
      <c r="K2281" s="3" t="n">
        <f aca="false">IF(D2281&gt;E2281,1,0)</f>
        <v>0</v>
      </c>
      <c r="L2281" s="3" t="n">
        <f aca="false">IF(OR(F2281="Y",G2281="Y",H2281="Y"),1,0)</f>
        <v>0</v>
      </c>
      <c r="M2281" s="3" t="n">
        <f aca="false">IF(H2281="Y",1,0)</f>
        <v>0</v>
      </c>
      <c r="N2281" s="3" t="n">
        <f aca="false">IF(I2281="Y",1,0)</f>
        <v>0</v>
      </c>
    </row>
    <row r="2282" customFormat="false" ht="15" hidden="false" customHeight="true" outlineLevel="0" collapsed="false">
      <c r="A2282" s="7" t="s">
        <v>78</v>
      </c>
      <c r="B2282" s="7" t="n">
        <v>1977</v>
      </c>
      <c r="C2282" s="7" t="s">
        <v>380</v>
      </c>
      <c r="D2282" s="7" t="n">
        <v>69</v>
      </c>
      <c r="E2282" s="7" t="n">
        <v>93</v>
      </c>
      <c r="F2282" s="7" t="s">
        <v>546</v>
      </c>
      <c r="G2282" s="7"/>
      <c r="H2282" s="7" t="s">
        <v>546</v>
      </c>
      <c r="I2282" s="7" t="s">
        <v>546</v>
      </c>
      <c r="J2282" s="21" t="n">
        <f aca="false">D2282/(D2282+E2282)</f>
        <v>0.425925925925926</v>
      </c>
      <c r="K2282" s="3" t="n">
        <f aca="false">IF(D2282&gt;E2282,1,0)</f>
        <v>0</v>
      </c>
      <c r="L2282" s="3" t="n">
        <f aca="false">IF(OR(F2282="Y",G2282="Y",H2282="Y"),1,0)</f>
        <v>0</v>
      </c>
      <c r="M2282" s="3" t="n">
        <f aca="false">IF(H2282="Y",1,0)</f>
        <v>0</v>
      </c>
      <c r="N2282" s="3" t="n">
        <f aca="false">IF(I2282="Y",1,0)</f>
        <v>0</v>
      </c>
    </row>
    <row r="2283" customFormat="false" ht="15" hidden="false" customHeight="true" outlineLevel="0" collapsed="false">
      <c r="A2283" s="7" t="s">
        <v>78</v>
      </c>
      <c r="B2283" s="7" t="n">
        <v>1978</v>
      </c>
      <c r="C2283" s="7" t="s">
        <v>380</v>
      </c>
      <c r="D2283" s="7" t="n">
        <v>84</v>
      </c>
      <c r="E2283" s="7" t="n">
        <v>78</v>
      </c>
      <c r="F2283" s="7" t="s">
        <v>546</v>
      </c>
      <c r="G2283" s="7"/>
      <c r="H2283" s="7" t="s">
        <v>546</v>
      </c>
      <c r="I2283" s="7" t="s">
        <v>546</v>
      </c>
      <c r="J2283" s="21" t="n">
        <f aca="false">D2283/(D2283+E2283)</f>
        <v>0.518518518518519</v>
      </c>
      <c r="K2283" s="3" t="n">
        <f aca="false">IF(D2283&gt;E2283,1,0)</f>
        <v>1</v>
      </c>
      <c r="L2283" s="3" t="n">
        <f aca="false">IF(OR(F2283="Y",G2283="Y",H2283="Y"),1,0)</f>
        <v>0</v>
      </c>
      <c r="M2283" s="3" t="n">
        <f aca="false">IF(H2283="Y",1,0)</f>
        <v>0</v>
      </c>
      <c r="N2283" s="3" t="n">
        <f aca="false">IF(I2283="Y",1,0)</f>
        <v>0</v>
      </c>
    </row>
    <row r="2284" customFormat="false" ht="15" hidden="false" customHeight="true" outlineLevel="0" collapsed="false">
      <c r="A2284" s="7" t="s">
        <v>78</v>
      </c>
      <c r="B2284" s="7" t="n">
        <v>1979</v>
      </c>
      <c r="C2284" s="7" t="s">
        <v>380</v>
      </c>
      <c r="D2284" s="7" t="n">
        <v>68</v>
      </c>
      <c r="E2284" s="7" t="n">
        <v>93</v>
      </c>
      <c r="F2284" s="7" t="s">
        <v>546</v>
      </c>
      <c r="G2284" s="7"/>
      <c r="H2284" s="7" t="s">
        <v>546</v>
      </c>
      <c r="I2284" s="7" t="s">
        <v>546</v>
      </c>
      <c r="J2284" s="21" t="n">
        <f aca="false">D2284/(D2284+E2284)</f>
        <v>0.422360248447205</v>
      </c>
      <c r="K2284" s="3" t="n">
        <f aca="false">IF(D2284&gt;E2284,1,0)</f>
        <v>0</v>
      </c>
      <c r="L2284" s="3" t="n">
        <f aca="false">IF(OR(F2284="Y",G2284="Y",H2284="Y"),1,0)</f>
        <v>0</v>
      </c>
      <c r="M2284" s="3" t="n">
        <f aca="false">IF(H2284="Y",1,0)</f>
        <v>0</v>
      </c>
      <c r="N2284" s="3" t="n">
        <f aca="false">IF(I2284="Y",1,0)</f>
        <v>0</v>
      </c>
    </row>
    <row r="2285" customFormat="false" ht="15" hidden="false" customHeight="true" outlineLevel="0" collapsed="false">
      <c r="A2285" s="7" t="s">
        <v>78</v>
      </c>
      <c r="B2285" s="7" t="n">
        <v>1980</v>
      </c>
      <c r="C2285" s="7" t="s">
        <v>380</v>
      </c>
      <c r="D2285" s="7" t="n">
        <v>73</v>
      </c>
      <c r="E2285" s="7" t="n">
        <v>89</v>
      </c>
      <c r="F2285" s="7" t="s">
        <v>546</v>
      </c>
      <c r="G2285" s="7"/>
      <c r="H2285" s="7" t="s">
        <v>546</v>
      </c>
      <c r="I2285" s="7" t="s">
        <v>546</v>
      </c>
      <c r="J2285" s="21" t="n">
        <f aca="false">D2285/(D2285+E2285)</f>
        <v>0.450617283950617</v>
      </c>
      <c r="K2285" s="3" t="n">
        <f aca="false">IF(D2285&gt;E2285,1,0)</f>
        <v>0</v>
      </c>
      <c r="L2285" s="3" t="n">
        <f aca="false">IF(OR(F2285="Y",G2285="Y",H2285="Y"),1,0)</f>
        <v>0</v>
      </c>
      <c r="M2285" s="3" t="n">
        <f aca="false">IF(H2285="Y",1,0)</f>
        <v>0</v>
      </c>
      <c r="N2285" s="3" t="n">
        <f aca="false">IF(I2285="Y",1,0)</f>
        <v>0</v>
      </c>
    </row>
    <row r="2286" customFormat="false" ht="15" hidden="false" customHeight="true" outlineLevel="0" collapsed="false">
      <c r="A2286" s="7" t="s">
        <v>78</v>
      </c>
      <c r="B2286" s="7" t="n">
        <v>1981</v>
      </c>
      <c r="C2286" s="7" t="s">
        <v>380</v>
      </c>
      <c r="D2286" s="7" t="n">
        <v>41</v>
      </c>
      <c r="E2286" s="7" t="n">
        <v>69</v>
      </c>
      <c r="F2286" s="7" t="s">
        <v>546</v>
      </c>
      <c r="G2286" s="7"/>
      <c r="H2286" s="7" t="s">
        <v>546</v>
      </c>
      <c r="I2286" s="7" t="s">
        <v>546</v>
      </c>
      <c r="J2286" s="21" t="n">
        <f aca="false">D2286/(D2286+E2286)</f>
        <v>0.372727272727273</v>
      </c>
      <c r="K2286" s="3" t="n">
        <f aca="false">IF(D2286&gt;E2286,1,0)</f>
        <v>0</v>
      </c>
      <c r="L2286" s="3" t="n">
        <f aca="false">IF(OR(F2286="Y",G2286="Y",H2286="Y"),1,0)</f>
        <v>0</v>
      </c>
      <c r="M2286" s="3" t="n">
        <f aca="false">IF(H2286="Y",1,0)</f>
        <v>0</v>
      </c>
      <c r="N2286" s="3" t="n">
        <f aca="false">IF(I2286="Y",1,0)</f>
        <v>0</v>
      </c>
    </row>
    <row r="2287" customFormat="false" ht="15" hidden="false" customHeight="true" outlineLevel="0" collapsed="false">
      <c r="A2287" s="7" t="s">
        <v>78</v>
      </c>
      <c r="B2287" s="7" t="n">
        <v>1982</v>
      </c>
      <c r="C2287" s="7" t="s">
        <v>380</v>
      </c>
      <c r="D2287" s="7" t="n">
        <v>81</v>
      </c>
      <c r="E2287" s="7" t="n">
        <v>81</v>
      </c>
      <c r="F2287" s="7" t="s">
        <v>546</v>
      </c>
      <c r="G2287" s="7"/>
      <c r="H2287" s="7" t="s">
        <v>546</v>
      </c>
      <c r="I2287" s="7" t="s">
        <v>546</v>
      </c>
      <c r="J2287" s="21" t="n">
        <f aca="false">D2287/(D2287+E2287)</f>
        <v>0.5</v>
      </c>
      <c r="K2287" s="3" t="n">
        <f aca="false">IF(D2287&gt;E2287,1,0)</f>
        <v>0</v>
      </c>
      <c r="L2287" s="3" t="n">
        <f aca="false">IF(OR(F2287="Y",G2287="Y",H2287="Y"),1,0)</f>
        <v>0</v>
      </c>
      <c r="M2287" s="3" t="n">
        <f aca="false">IF(H2287="Y",1,0)</f>
        <v>0</v>
      </c>
      <c r="N2287" s="3" t="n">
        <f aca="false">IF(I2287="Y",1,0)</f>
        <v>0</v>
      </c>
    </row>
    <row r="2288" customFormat="false" ht="15" hidden="false" customHeight="true" outlineLevel="0" collapsed="false">
      <c r="A2288" s="7" t="s">
        <v>78</v>
      </c>
      <c r="B2288" s="7" t="n">
        <v>1983</v>
      </c>
      <c r="C2288" s="7" t="s">
        <v>380</v>
      </c>
      <c r="D2288" s="7" t="n">
        <v>81</v>
      </c>
      <c r="E2288" s="7" t="n">
        <v>81</v>
      </c>
      <c r="F2288" s="7" t="s">
        <v>546</v>
      </c>
      <c r="G2288" s="7"/>
      <c r="H2288" s="7" t="s">
        <v>546</v>
      </c>
      <c r="I2288" s="7" t="s">
        <v>546</v>
      </c>
      <c r="J2288" s="21" t="n">
        <f aca="false">D2288/(D2288+E2288)</f>
        <v>0.5</v>
      </c>
      <c r="K2288" s="3" t="n">
        <f aca="false">IF(D2288&gt;E2288,1,0)</f>
        <v>0</v>
      </c>
      <c r="L2288" s="3" t="n">
        <f aca="false">IF(OR(F2288="Y",G2288="Y",H2288="Y"),1,0)</f>
        <v>0</v>
      </c>
      <c r="M2288" s="3" t="n">
        <f aca="false">IF(H2288="Y",1,0)</f>
        <v>0</v>
      </c>
      <c r="N2288" s="3" t="n">
        <f aca="false">IF(I2288="Y",1,0)</f>
        <v>0</v>
      </c>
    </row>
    <row r="2289" customFormat="false" ht="15" hidden="false" customHeight="true" outlineLevel="0" collapsed="false">
      <c r="A2289" s="7" t="s">
        <v>78</v>
      </c>
      <c r="B2289" s="7" t="n">
        <v>1984</v>
      </c>
      <c r="C2289" s="7" t="s">
        <v>380</v>
      </c>
      <c r="D2289" s="7" t="n">
        <v>92</v>
      </c>
      <c r="E2289" s="7" t="n">
        <v>70</v>
      </c>
      <c r="F2289" s="7" t="s">
        <v>548</v>
      </c>
      <c r="G2289" s="7"/>
      <c r="H2289" s="7" t="s">
        <v>548</v>
      </c>
      <c r="I2289" s="7" t="s">
        <v>546</v>
      </c>
      <c r="J2289" s="21" t="n">
        <f aca="false">D2289/(D2289+E2289)</f>
        <v>0.567901234567901</v>
      </c>
      <c r="K2289" s="3" t="n">
        <f aca="false">IF(D2289&gt;E2289,1,0)</f>
        <v>1</v>
      </c>
      <c r="L2289" s="3" t="n">
        <f aca="false">IF(OR(F2289="Y",G2289="Y",H2289="Y"),1,0)</f>
        <v>1</v>
      </c>
      <c r="M2289" s="3" t="n">
        <f aca="false">IF(H2289="Y",1,0)</f>
        <v>1</v>
      </c>
      <c r="N2289" s="3" t="n">
        <f aca="false">IF(I2289="Y",1,0)</f>
        <v>0</v>
      </c>
    </row>
    <row r="2290" customFormat="false" ht="15" hidden="false" customHeight="true" outlineLevel="0" collapsed="false">
      <c r="A2290" s="7" t="s">
        <v>78</v>
      </c>
      <c r="B2290" s="7" t="n">
        <v>1985</v>
      </c>
      <c r="C2290" s="7" t="s">
        <v>380</v>
      </c>
      <c r="D2290" s="7" t="n">
        <v>83</v>
      </c>
      <c r="E2290" s="7" t="n">
        <v>79</v>
      </c>
      <c r="F2290" s="7" t="s">
        <v>546</v>
      </c>
      <c r="G2290" s="7"/>
      <c r="H2290" s="7" t="s">
        <v>546</v>
      </c>
      <c r="I2290" s="7" t="s">
        <v>546</v>
      </c>
      <c r="J2290" s="21" t="n">
        <f aca="false">D2290/(D2290+E2290)</f>
        <v>0.512345679012346</v>
      </c>
      <c r="K2290" s="3" t="n">
        <f aca="false">IF(D2290&gt;E2290,1,0)</f>
        <v>1</v>
      </c>
      <c r="L2290" s="3" t="n">
        <f aca="false">IF(OR(F2290="Y",G2290="Y",H2290="Y"),1,0)</f>
        <v>0</v>
      </c>
      <c r="M2290" s="3" t="n">
        <f aca="false">IF(H2290="Y",1,0)</f>
        <v>0</v>
      </c>
      <c r="N2290" s="3" t="n">
        <f aca="false">IF(I2290="Y",1,0)</f>
        <v>0</v>
      </c>
    </row>
    <row r="2291" customFormat="false" ht="15" hidden="false" customHeight="true" outlineLevel="0" collapsed="false">
      <c r="A2291" s="7" t="s">
        <v>78</v>
      </c>
      <c r="B2291" s="7" t="n">
        <v>1986</v>
      </c>
      <c r="C2291" s="7" t="s">
        <v>380</v>
      </c>
      <c r="D2291" s="7" t="n">
        <v>74</v>
      </c>
      <c r="E2291" s="7" t="n">
        <v>88</v>
      </c>
      <c r="F2291" s="7" t="s">
        <v>546</v>
      </c>
      <c r="G2291" s="7"/>
      <c r="H2291" s="7" t="s">
        <v>546</v>
      </c>
      <c r="I2291" s="7" t="s">
        <v>546</v>
      </c>
      <c r="J2291" s="21" t="n">
        <f aca="false">D2291/(D2291+E2291)</f>
        <v>0.45679012345679</v>
      </c>
      <c r="K2291" s="3" t="n">
        <f aca="false">IF(D2291&gt;E2291,1,0)</f>
        <v>0</v>
      </c>
      <c r="L2291" s="3" t="n">
        <f aca="false">IF(OR(F2291="Y",G2291="Y",H2291="Y"),1,0)</f>
        <v>0</v>
      </c>
      <c r="M2291" s="3" t="n">
        <f aca="false">IF(H2291="Y",1,0)</f>
        <v>0</v>
      </c>
      <c r="N2291" s="3" t="n">
        <f aca="false">IF(I2291="Y",1,0)</f>
        <v>0</v>
      </c>
    </row>
    <row r="2292" customFormat="false" ht="15" hidden="false" customHeight="true" outlineLevel="0" collapsed="false">
      <c r="A2292" s="7" t="s">
        <v>78</v>
      </c>
      <c r="B2292" s="7" t="n">
        <v>1987</v>
      </c>
      <c r="C2292" s="7" t="s">
        <v>380</v>
      </c>
      <c r="D2292" s="7" t="n">
        <v>65</v>
      </c>
      <c r="E2292" s="7" t="n">
        <v>97</v>
      </c>
      <c r="F2292" s="7" t="s">
        <v>546</v>
      </c>
      <c r="G2292" s="7"/>
      <c r="H2292" s="7" t="s">
        <v>546</v>
      </c>
      <c r="I2292" s="7" t="s">
        <v>546</v>
      </c>
      <c r="J2292" s="21" t="n">
        <f aca="false">D2292/(D2292+E2292)</f>
        <v>0.401234567901235</v>
      </c>
      <c r="K2292" s="3" t="n">
        <f aca="false">IF(D2292&gt;E2292,1,0)</f>
        <v>0</v>
      </c>
      <c r="L2292" s="3" t="n">
        <f aca="false">IF(OR(F2292="Y",G2292="Y",H2292="Y"),1,0)</f>
        <v>0</v>
      </c>
      <c r="M2292" s="3" t="n">
        <f aca="false">IF(H2292="Y",1,0)</f>
        <v>0</v>
      </c>
      <c r="N2292" s="3" t="n">
        <f aca="false">IF(I2292="Y",1,0)</f>
        <v>0</v>
      </c>
    </row>
    <row r="2293" customFormat="false" ht="15" hidden="false" customHeight="true" outlineLevel="0" collapsed="false">
      <c r="A2293" s="7" t="s">
        <v>78</v>
      </c>
      <c r="B2293" s="7" t="n">
        <v>1988</v>
      </c>
      <c r="C2293" s="7" t="s">
        <v>380</v>
      </c>
      <c r="D2293" s="7" t="n">
        <v>83</v>
      </c>
      <c r="E2293" s="7" t="n">
        <v>78</v>
      </c>
      <c r="F2293" s="7" t="s">
        <v>546</v>
      </c>
      <c r="G2293" s="7"/>
      <c r="H2293" s="7" t="s">
        <v>546</v>
      </c>
      <c r="I2293" s="7" t="s">
        <v>546</v>
      </c>
      <c r="J2293" s="21" t="n">
        <f aca="false">D2293/(D2293+E2293)</f>
        <v>0.515527950310559</v>
      </c>
      <c r="K2293" s="3" t="n">
        <f aca="false">IF(D2293&gt;E2293,1,0)</f>
        <v>1</v>
      </c>
      <c r="L2293" s="3" t="n">
        <f aca="false">IF(OR(F2293="Y",G2293="Y",H2293="Y"),1,0)</f>
        <v>0</v>
      </c>
      <c r="M2293" s="3" t="n">
        <f aca="false">IF(H2293="Y",1,0)</f>
        <v>0</v>
      </c>
      <c r="N2293" s="3" t="n">
        <f aca="false">IF(I2293="Y",1,0)</f>
        <v>0</v>
      </c>
    </row>
    <row r="2294" customFormat="false" ht="15" hidden="false" customHeight="true" outlineLevel="0" collapsed="false">
      <c r="A2294" s="7" t="s">
        <v>78</v>
      </c>
      <c r="B2294" s="7" t="n">
        <v>1989</v>
      </c>
      <c r="C2294" s="7" t="s">
        <v>380</v>
      </c>
      <c r="D2294" s="7" t="n">
        <v>89</v>
      </c>
      <c r="E2294" s="7" t="n">
        <v>73</v>
      </c>
      <c r="F2294" s="7" t="s">
        <v>546</v>
      </c>
      <c r="G2294" s="7"/>
      <c r="H2294" s="7" t="s">
        <v>546</v>
      </c>
      <c r="I2294" s="7" t="s">
        <v>546</v>
      </c>
      <c r="J2294" s="21" t="n">
        <f aca="false">D2294/(D2294+E2294)</f>
        <v>0.549382716049383</v>
      </c>
      <c r="K2294" s="3" t="n">
        <f aca="false">IF(D2294&gt;E2294,1,0)</f>
        <v>1</v>
      </c>
      <c r="L2294" s="3" t="n">
        <f aca="false">IF(OR(F2294="Y",G2294="Y",H2294="Y"),1,0)</f>
        <v>0</v>
      </c>
      <c r="M2294" s="3" t="n">
        <f aca="false">IF(H2294="Y",1,0)</f>
        <v>0</v>
      </c>
      <c r="N2294" s="3" t="n">
        <f aca="false">IF(I2294="Y",1,0)</f>
        <v>0</v>
      </c>
    </row>
    <row r="2295" customFormat="false" ht="15" hidden="false" customHeight="true" outlineLevel="0" collapsed="false">
      <c r="A2295" s="7" t="s">
        <v>78</v>
      </c>
      <c r="B2295" s="7" t="n">
        <v>1990</v>
      </c>
      <c r="C2295" s="7" t="s">
        <v>380</v>
      </c>
      <c r="D2295" s="7" t="n">
        <v>75</v>
      </c>
      <c r="E2295" s="7" t="n">
        <v>87</v>
      </c>
      <c r="F2295" s="7" t="s">
        <v>546</v>
      </c>
      <c r="G2295" s="7"/>
      <c r="H2295" s="7" t="s">
        <v>546</v>
      </c>
      <c r="I2295" s="7" t="s">
        <v>546</v>
      </c>
      <c r="J2295" s="21" t="n">
        <f aca="false">D2295/(D2295+E2295)</f>
        <v>0.462962962962963</v>
      </c>
      <c r="K2295" s="3" t="n">
        <f aca="false">IF(D2295&gt;E2295,1,0)</f>
        <v>0</v>
      </c>
      <c r="L2295" s="3" t="n">
        <f aca="false">IF(OR(F2295="Y",G2295="Y",H2295="Y"),1,0)</f>
        <v>0</v>
      </c>
      <c r="M2295" s="3" t="n">
        <f aca="false">IF(H2295="Y",1,0)</f>
        <v>0</v>
      </c>
      <c r="N2295" s="3" t="n">
        <f aca="false">IF(I2295="Y",1,0)</f>
        <v>0</v>
      </c>
    </row>
    <row r="2296" customFormat="false" ht="15" hidden="false" customHeight="true" outlineLevel="0" collapsed="false">
      <c r="A2296" s="7" t="s">
        <v>78</v>
      </c>
      <c r="B2296" s="7" t="n">
        <v>1991</v>
      </c>
      <c r="C2296" s="7" t="s">
        <v>380</v>
      </c>
      <c r="D2296" s="7" t="n">
        <v>84</v>
      </c>
      <c r="E2296" s="7" t="n">
        <v>78</v>
      </c>
      <c r="F2296" s="7" t="s">
        <v>546</v>
      </c>
      <c r="G2296" s="7"/>
      <c r="H2296" s="7" t="s">
        <v>546</v>
      </c>
      <c r="I2296" s="7" t="s">
        <v>546</v>
      </c>
      <c r="J2296" s="21" t="n">
        <f aca="false">D2296/(D2296+E2296)</f>
        <v>0.518518518518519</v>
      </c>
      <c r="K2296" s="3" t="n">
        <f aca="false">IF(D2296&gt;E2296,1,0)</f>
        <v>1</v>
      </c>
      <c r="L2296" s="3" t="n">
        <f aca="false">IF(OR(F2296="Y",G2296="Y",H2296="Y"),1,0)</f>
        <v>0</v>
      </c>
      <c r="M2296" s="3" t="n">
        <f aca="false">IF(H2296="Y",1,0)</f>
        <v>0</v>
      </c>
      <c r="N2296" s="3" t="n">
        <f aca="false">IF(I2296="Y",1,0)</f>
        <v>0</v>
      </c>
    </row>
    <row r="2297" customFormat="false" ht="15" hidden="false" customHeight="true" outlineLevel="0" collapsed="false">
      <c r="A2297" s="7" t="s">
        <v>78</v>
      </c>
      <c r="B2297" s="7" t="n">
        <v>1992</v>
      </c>
      <c r="C2297" s="7" t="s">
        <v>380</v>
      </c>
      <c r="D2297" s="7" t="n">
        <v>82</v>
      </c>
      <c r="E2297" s="7" t="n">
        <v>80</v>
      </c>
      <c r="F2297" s="7" t="s">
        <v>546</v>
      </c>
      <c r="G2297" s="7"/>
      <c r="H2297" s="7" t="s">
        <v>546</v>
      </c>
      <c r="I2297" s="7" t="s">
        <v>546</v>
      </c>
      <c r="J2297" s="21" t="n">
        <f aca="false">D2297/(D2297+E2297)</f>
        <v>0.506172839506173</v>
      </c>
      <c r="K2297" s="3" t="n">
        <f aca="false">IF(D2297&gt;E2297,1,0)</f>
        <v>1</v>
      </c>
      <c r="L2297" s="3" t="n">
        <f aca="false">IF(OR(F2297="Y",G2297="Y",H2297="Y"),1,0)</f>
        <v>0</v>
      </c>
      <c r="M2297" s="3" t="n">
        <f aca="false">IF(H2297="Y",1,0)</f>
        <v>0</v>
      </c>
      <c r="N2297" s="3" t="n">
        <f aca="false">IF(I2297="Y",1,0)</f>
        <v>0</v>
      </c>
    </row>
    <row r="2298" customFormat="false" ht="15" hidden="false" customHeight="true" outlineLevel="0" collapsed="false">
      <c r="A2298" s="7" t="s">
        <v>78</v>
      </c>
      <c r="B2298" s="7" t="n">
        <v>1993</v>
      </c>
      <c r="C2298" s="7" t="s">
        <v>380</v>
      </c>
      <c r="D2298" s="7" t="n">
        <v>61</v>
      </c>
      <c r="E2298" s="7" t="n">
        <v>101</v>
      </c>
      <c r="F2298" s="7" t="s">
        <v>546</v>
      </c>
      <c r="G2298" s="7"/>
      <c r="H2298" s="7" t="s">
        <v>546</v>
      </c>
      <c r="I2298" s="7" t="s">
        <v>546</v>
      </c>
      <c r="J2298" s="21" t="n">
        <f aca="false">D2298/(D2298+E2298)</f>
        <v>0.376543209876543</v>
      </c>
      <c r="K2298" s="3" t="n">
        <f aca="false">IF(D2298&gt;E2298,1,0)</f>
        <v>0</v>
      </c>
      <c r="L2298" s="3" t="n">
        <f aca="false">IF(OR(F2298="Y",G2298="Y",H2298="Y"),1,0)</f>
        <v>0</v>
      </c>
      <c r="M2298" s="3" t="n">
        <f aca="false">IF(H2298="Y",1,0)</f>
        <v>0</v>
      </c>
      <c r="N2298" s="3" t="n">
        <f aca="false">IF(I2298="Y",1,0)</f>
        <v>0</v>
      </c>
    </row>
    <row r="2299" customFormat="false" ht="15" hidden="false" customHeight="true" outlineLevel="0" collapsed="false">
      <c r="A2299" s="7" t="s">
        <v>78</v>
      </c>
      <c r="B2299" s="7" t="n">
        <v>1994</v>
      </c>
      <c r="C2299" s="7" t="s">
        <v>380</v>
      </c>
      <c r="D2299" s="7" t="n">
        <v>47</v>
      </c>
      <c r="E2299" s="7" t="n">
        <v>70</v>
      </c>
      <c r="F2299" s="7"/>
      <c r="G2299" s="7"/>
      <c r="H2299" s="7"/>
      <c r="I2299" s="7"/>
      <c r="J2299" s="21" t="n">
        <f aca="false">D2299/(D2299+E2299)</f>
        <v>0.401709401709402</v>
      </c>
      <c r="K2299" s="3" t="n">
        <f aca="false">IF(D2299&gt;E2299,1,0)</f>
        <v>0</v>
      </c>
      <c r="L2299" s="3" t="n">
        <f aca="false">IF(OR(F2299="Y",G2299="Y",H2299="Y"),1,0)</f>
        <v>0</v>
      </c>
      <c r="M2299" s="3" t="n">
        <f aca="false">IF(H2299="Y",1,0)</f>
        <v>0</v>
      </c>
      <c r="N2299" s="3" t="n">
        <f aca="false">IF(I2299="Y",1,0)</f>
        <v>0</v>
      </c>
    </row>
    <row r="2300" customFormat="false" ht="15" hidden="false" customHeight="true" outlineLevel="0" collapsed="false">
      <c r="A2300" s="7" t="s">
        <v>78</v>
      </c>
      <c r="B2300" s="7" t="n">
        <v>1995</v>
      </c>
      <c r="C2300" s="7" t="s">
        <v>380</v>
      </c>
      <c r="D2300" s="7" t="n">
        <v>70</v>
      </c>
      <c r="E2300" s="7" t="n">
        <v>74</v>
      </c>
      <c r="F2300" s="7" t="s">
        <v>546</v>
      </c>
      <c r="G2300" s="7" t="s">
        <v>546</v>
      </c>
      <c r="H2300" s="7" t="s">
        <v>546</v>
      </c>
      <c r="I2300" s="7" t="s">
        <v>546</v>
      </c>
      <c r="J2300" s="21" t="n">
        <f aca="false">D2300/(D2300+E2300)</f>
        <v>0.486111111111111</v>
      </c>
      <c r="K2300" s="3" t="n">
        <f aca="false">IF(D2300&gt;E2300,1,0)</f>
        <v>0</v>
      </c>
      <c r="L2300" s="3" t="n">
        <f aca="false">IF(OR(F2300="Y",G2300="Y",H2300="Y"),1,0)</f>
        <v>0</v>
      </c>
      <c r="M2300" s="3" t="n">
        <f aca="false">IF(H2300="Y",1,0)</f>
        <v>0</v>
      </c>
      <c r="N2300" s="3" t="n">
        <f aca="false">IF(I2300="Y",1,0)</f>
        <v>0</v>
      </c>
    </row>
    <row r="2301" customFormat="false" ht="15" hidden="false" customHeight="true" outlineLevel="0" collapsed="false">
      <c r="A2301" s="7" t="s">
        <v>78</v>
      </c>
      <c r="B2301" s="7" t="n">
        <v>1996</v>
      </c>
      <c r="C2301" s="7" t="s">
        <v>380</v>
      </c>
      <c r="D2301" s="7" t="n">
        <v>91</v>
      </c>
      <c r="E2301" s="7" t="n">
        <v>71</v>
      </c>
      <c r="F2301" s="7" t="s">
        <v>548</v>
      </c>
      <c r="G2301" s="7" t="s">
        <v>546</v>
      </c>
      <c r="H2301" s="7" t="s">
        <v>546</v>
      </c>
      <c r="I2301" s="7" t="s">
        <v>546</v>
      </c>
      <c r="J2301" s="21" t="n">
        <f aca="false">D2301/(D2301+E2301)</f>
        <v>0.561728395061728</v>
      </c>
      <c r="K2301" s="3" t="n">
        <f aca="false">IF(D2301&gt;E2301,1,0)</f>
        <v>1</v>
      </c>
      <c r="L2301" s="3" t="n">
        <f aca="false">IF(OR(F2301="Y",G2301="Y",H2301="Y"),1,0)</f>
        <v>1</v>
      </c>
      <c r="M2301" s="3" t="n">
        <f aca="false">IF(H2301="Y",1,0)</f>
        <v>0</v>
      </c>
      <c r="N2301" s="3" t="n">
        <f aca="false">IF(I2301="Y",1,0)</f>
        <v>0</v>
      </c>
    </row>
    <row r="2302" customFormat="false" ht="15" hidden="false" customHeight="true" outlineLevel="0" collapsed="false">
      <c r="A2302" s="7" t="s">
        <v>78</v>
      </c>
      <c r="B2302" s="7" t="n">
        <v>1997</v>
      </c>
      <c r="C2302" s="7" t="s">
        <v>380</v>
      </c>
      <c r="D2302" s="7" t="n">
        <v>76</v>
      </c>
      <c r="E2302" s="7" t="n">
        <v>86</v>
      </c>
      <c r="F2302" s="7" t="s">
        <v>546</v>
      </c>
      <c r="G2302" s="7" t="s">
        <v>546</v>
      </c>
      <c r="H2302" s="7" t="s">
        <v>546</v>
      </c>
      <c r="I2302" s="7" t="s">
        <v>546</v>
      </c>
      <c r="J2302" s="21" t="n">
        <f aca="false">D2302/(D2302+E2302)</f>
        <v>0.469135802469136</v>
      </c>
      <c r="K2302" s="3" t="n">
        <f aca="false">IF(D2302&gt;E2302,1,0)</f>
        <v>0</v>
      </c>
      <c r="L2302" s="3" t="n">
        <f aca="false">IF(OR(F2302="Y",G2302="Y",H2302="Y"),1,0)</f>
        <v>0</v>
      </c>
      <c r="M2302" s="3" t="n">
        <f aca="false">IF(H2302="Y",1,0)</f>
        <v>0</v>
      </c>
      <c r="N2302" s="3" t="n">
        <f aca="false">IF(I2302="Y",1,0)</f>
        <v>0</v>
      </c>
    </row>
    <row r="2303" customFormat="false" ht="15" hidden="false" customHeight="true" outlineLevel="0" collapsed="false">
      <c r="A2303" s="7" t="s">
        <v>78</v>
      </c>
      <c r="B2303" s="7" t="n">
        <v>1998</v>
      </c>
      <c r="C2303" s="7" t="s">
        <v>380</v>
      </c>
      <c r="D2303" s="7" t="n">
        <v>98</v>
      </c>
      <c r="E2303" s="7" t="n">
        <v>64</v>
      </c>
      <c r="F2303" s="7" t="s">
        <v>548</v>
      </c>
      <c r="G2303" s="7" t="s">
        <v>546</v>
      </c>
      <c r="H2303" s="7" t="s">
        <v>548</v>
      </c>
      <c r="I2303" s="7" t="s">
        <v>546</v>
      </c>
      <c r="J2303" s="21" t="n">
        <f aca="false">D2303/(D2303+E2303)</f>
        <v>0.604938271604938</v>
      </c>
      <c r="K2303" s="3" t="n">
        <f aca="false">IF(D2303&gt;E2303,1,0)</f>
        <v>1</v>
      </c>
      <c r="L2303" s="3" t="n">
        <f aca="false">IF(OR(F2303="Y",G2303="Y",H2303="Y"),1,0)</f>
        <v>1</v>
      </c>
      <c r="M2303" s="3" t="n">
        <f aca="false">IF(H2303="Y",1,0)</f>
        <v>1</v>
      </c>
      <c r="N2303" s="3" t="n">
        <f aca="false">IF(I2303="Y",1,0)</f>
        <v>0</v>
      </c>
    </row>
    <row r="2304" customFormat="false" ht="15" hidden="false" customHeight="true" outlineLevel="0" collapsed="false">
      <c r="A2304" s="7" t="s">
        <v>78</v>
      </c>
      <c r="B2304" s="7" t="n">
        <v>1999</v>
      </c>
      <c r="C2304" s="7" t="s">
        <v>380</v>
      </c>
      <c r="D2304" s="7" t="n">
        <v>74</v>
      </c>
      <c r="E2304" s="7" t="n">
        <v>88</v>
      </c>
      <c r="F2304" s="7" t="s">
        <v>546</v>
      </c>
      <c r="G2304" s="7" t="s">
        <v>546</v>
      </c>
      <c r="H2304" s="7" t="s">
        <v>546</v>
      </c>
      <c r="I2304" s="7" t="s">
        <v>546</v>
      </c>
      <c r="J2304" s="21" t="n">
        <f aca="false">D2304/(D2304+E2304)</f>
        <v>0.45679012345679</v>
      </c>
      <c r="K2304" s="3" t="n">
        <f aca="false">IF(D2304&gt;E2304,1,0)</f>
        <v>0</v>
      </c>
      <c r="L2304" s="3" t="n">
        <f aca="false">IF(OR(F2304="Y",G2304="Y",H2304="Y"),1,0)</f>
        <v>0</v>
      </c>
      <c r="M2304" s="3" t="n">
        <f aca="false">IF(H2304="Y",1,0)</f>
        <v>0</v>
      </c>
      <c r="N2304" s="3" t="n">
        <f aca="false">IF(I2304="Y",1,0)</f>
        <v>0</v>
      </c>
    </row>
    <row r="2305" customFormat="false" ht="15" hidden="false" customHeight="true" outlineLevel="0" collapsed="false">
      <c r="A2305" s="7" t="s">
        <v>78</v>
      </c>
      <c r="B2305" s="7" t="n">
        <v>2000</v>
      </c>
      <c r="C2305" s="7" t="s">
        <v>380</v>
      </c>
      <c r="D2305" s="7" t="n">
        <v>76</v>
      </c>
      <c r="E2305" s="7" t="n">
        <v>86</v>
      </c>
      <c r="F2305" s="7" t="s">
        <v>546</v>
      </c>
      <c r="G2305" s="7" t="s">
        <v>546</v>
      </c>
      <c r="H2305" s="7" t="s">
        <v>546</v>
      </c>
      <c r="I2305" s="7" t="s">
        <v>546</v>
      </c>
      <c r="J2305" s="21" t="n">
        <f aca="false">D2305/(D2305+E2305)</f>
        <v>0.469135802469136</v>
      </c>
      <c r="K2305" s="3" t="n">
        <f aca="false">IF(D2305&gt;E2305,1,0)</f>
        <v>0</v>
      </c>
      <c r="L2305" s="3" t="n">
        <f aca="false">IF(OR(F2305="Y",G2305="Y",H2305="Y"),1,0)</f>
        <v>0</v>
      </c>
      <c r="M2305" s="3" t="n">
        <f aca="false">IF(H2305="Y",1,0)</f>
        <v>0</v>
      </c>
      <c r="N2305" s="3" t="n">
        <f aca="false">IF(I2305="Y",1,0)</f>
        <v>0</v>
      </c>
    </row>
    <row r="2306" customFormat="false" ht="15" hidden="false" customHeight="true" outlineLevel="0" collapsed="false">
      <c r="A2306" s="7" t="s">
        <v>78</v>
      </c>
      <c r="B2306" s="7" t="n">
        <v>2001</v>
      </c>
      <c r="C2306" s="7" t="s">
        <v>380</v>
      </c>
      <c r="D2306" s="7" t="n">
        <v>79</v>
      </c>
      <c r="E2306" s="7" t="n">
        <v>83</v>
      </c>
      <c r="F2306" s="7" t="s">
        <v>546</v>
      </c>
      <c r="G2306" s="7" t="s">
        <v>546</v>
      </c>
      <c r="H2306" s="7" t="s">
        <v>546</v>
      </c>
      <c r="I2306" s="7" t="s">
        <v>546</v>
      </c>
      <c r="J2306" s="21" t="n">
        <f aca="false">D2306/(D2306+E2306)</f>
        <v>0.487654320987654</v>
      </c>
      <c r="K2306" s="3" t="n">
        <f aca="false">IF(D2306&gt;E2306,1,0)</f>
        <v>0</v>
      </c>
      <c r="L2306" s="3" t="n">
        <f aca="false">IF(OR(F2306="Y",G2306="Y",H2306="Y"),1,0)</f>
        <v>0</v>
      </c>
      <c r="M2306" s="3" t="n">
        <f aca="false">IF(H2306="Y",1,0)</f>
        <v>0</v>
      </c>
      <c r="N2306" s="3" t="n">
        <f aca="false">IF(I2306="Y",1,0)</f>
        <v>0</v>
      </c>
    </row>
    <row r="2307" customFormat="false" ht="15" hidden="false" customHeight="true" outlineLevel="0" collapsed="false">
      <c r="A2307" s="7" t="s">
        <v>78</v>
      </c>
      <c r="B2307" s="7" t="n">
        <v>2002</v>
      </c>
      <c r="C2307" s="7" t="s">
        <v>380</v>
      </c>
      <c r="D2307" s="7" t="n">
        <v>66</v>
      </c>
      <c r="E2307" s="7" t="n">
        <v>96</v>
      </c>
      <c r="F2307" s="7" t="s">
        <v>546</v>
      </c>
      <c r="G2307" s="7" t="s">
        <v>546</v>
      </c>
      <c r="H2307" s="7" t="s">
        <v>546</v>
      </c>
      <c r="I2307" s="7" t="s">
        <v>546</v>
      </c>
      <c r="J2307" s="21" t="n">
        <f aca="false">D2307/(D2307+E2307)</f>
        <v>0.407407407407407</v>
      </c>
      <c r="K2307" s="3" t="n">
        <f aca="false">IF(D2307&gt;E2307,1,0)</f>
        <v>0</v>
      </c>
      <c r="L2307" s="3" t="n">
        <f aca="false">IF(OR(F2307="Y",G2307="Y",H2307="Y"),1,0)</f>
        <v>0</v>
      </c>
      <c r="M2307" s="3" t="n">
        <f aca="false">IF(H2307="Y",1,0)</f>
        <v>0</v>
      </c>
      <c r="N2307" s="3" t="n">
        <f aca="false">IF(I2307="Y",1,0)</f>
        <v>0</v>
      </c>
    </row>
    <row r="2308" customFormat="false" ht="15" hidden="false" customHeight="true" outlineLevel="0" collapsed="false">
      <c r="A2308" s="7" t="s">
        <v>78</v>
      </c>
      <c r="B2308" s="7" t="n">
        <v>2003</v>
      </c>
      <c r="C2308" s="7" t="s">
        <v>380</v>
      </c>
      <c r="D2308" s="7" t="n">
        <v>64</v>
      </c>
      <c r="E2308" s="7" t="n">
        <v>98</v>
      </c>
      <c r="F2308" s="7" t="s">
        <v>546</v>
      </c>
      <c r="G2308" s="7" t="s">
        <v>546</v>
      </c>
      <c r="H2308" s="7" t="s">
        <v>546</v>
      </c>
      <c r="I2308" s="7" t="s">
        <v>546</v>
      </c>
      <c r="J2308" s="21" t="n">
        <f aca="false">D2308/(D2308+E2308)</f>
        <v>0.395061728395062</v>
      </c>
      <c r="K2308" s="3" t="n">
        <f aca="false">IF(D2308&gt;E2308,1,0)</f>
        <v>0</v>
      </c>
      <c r="L2308" s="3" t="n">
        <f aca="false">IF(OR(F2308="Y",G2308="Y",H2308="Y"),1,0)</f>
        <v>0</v>
      </c>
      <c r="M2308" s="3" t="n">
        <f aca="false">IF(H2308="Y",1,0)</f>
        <v>0</v>
      </c>
      <c r="N2308" s="3" t="n">
        <f aca="false">IF(I2308="Y",1,0)</f>
        <v>0</v>
      </c>
    </row>
    <row r="2309" customFormat="false" ht="15" hidden="false" customHeight="true" outlineLevel="0" collapsed="false">
      <c r="A2309" s="7" t="s">
        <v>78</v>
      </c>
      <c r="B2309" s="7" t="n">
        <v>2004</v>
      </c>
      <c r="C2309" s="7" t="s">
        <v>380</v>
      </c>
      <c r="D2309" s="7" t="n">
        <v>87</v>
      </c>
      <c r="E2309" s="7" t="n">
        <v>75</v>
      </c>
      <c r="F2309" s="7" t="s">
        <v>546</v>
      </c>
      <c r="G2309" s="7" t="s">
        <v>546</v>
      </c>
      <c r="H2309" s="7" t="s">
        <v>546</v>
      </c>
      <c r="I2309" s="7" t="s">
        <v>546</v>
      </c>
      <c r="J2309" s="21" t="n">
        <f aca="false">D2309/(D2309+E2309)</f>
        <v>0.537037037037037</v>
      </c>
      <c r="K2309" s="3" t="n">
        <f aca="false">IF(D2309&gt;E2309,1,0)</f>
        <v>1</v>
      </c>
      <c r="L2309" s="3" t="n">
        <f aca="false">IF(OR(F2309="Y",G2309="Y",H2309="Y"),1,0)</f>
        <v>0</v>
      </c>
      <c r="M2309" s="3" t="n">
        <f aca="false">IF(H2309="Y",1,0)</f>
        <v>0</v>
      </c>
      <c r="N2309" s="3" t="n">
        <f aca="false">IF(I2309="Y",1,0)</f>
        <v>0</v>
      </c>
    </row>
    <row r="2310" customFormat="false" ht="15" hidden="false" customHeight="true" outlineLevel="0" collapsed="false">
      <c r="A2310" s="7" t="s">
        <v>78</v>
      </c>
      <c r="B2310" s="7" t="n">
        <v>2005</v>
      </c>
      <c r="C2310" s="7" t="s">
        <v>380</v>
      </c>
      <c r="D2310" s="7" t="n">
        <v>82</v>
      </c>
      <c r="E2310" s="7" t="n">
        <v>80</v>
      </c>
      <c r="F2310" s="7" t="s">
        <v>548</v>
      </c>
      <c r="G2310" s="7" t="s">
        <v>546</v>
      </c>
      <c r="H2310" s="7" t="s">
        <v>546</v>
      </c>
      <c r="I2310" s="7" t="s">
        <v>546</v>
      </c>
      <c r="J2310" s="21" t="n">
        <f aca="false">D2310/(D2310+E2310)</f>
        <v>0.506172839506173</v>
      </c>
      <c r="K2310" s="3" t="n">
        <f aca="false">IF(D2310&gt;E2310,1,0)</f>
        <v>1</v>
      </c>
      <c r="L2310" s="3" t="n">
        <f aca="false">IF(OR(F2310="Y",G2310="Y",H2310="Y"),1,0)</f>
        <v>1</v>
      </c>
      <c r="M2310" s="3" t="n">
        <f aca="false">IF(H2310="Y",1,0)</f>
        <v>0</v>
      </c>
      <c r="N2310" s="3" t="n">
        <f aca="false">IF(I2310="Y",1,0)</f>
        <v>0</v>
      </c>
    </row>
    <row r="2311" customFormat="false" ht="15" hidden="false" customHeight="true" outlineLevel="0" collapsed="false">
      <c r="A2311" s="7" t="s">
        <v>78</v>
      </c>
      <c r="B2311" s="7" t="n">
        <v>2006</v>
      </c>
      <c r="C2311" s="7" t="s">
        <v>380</v>
      </c>
      <c r="D2311" s="7" t="n">
        <v>88</v>
      </c>
      <c r="E2311" s="7" t="n">
        <v>74</v>
      </c>
      <c r="F2311" s="7" t="s">
        <v>548</v>
      </c>
      <c r="G2311" s="7" t="s">
        <v>546</v>
      </c>
      <c r="H2311" s="7" t="s">
        <v>546</v>
      </c>
      <c r="I2311" s="7" t="s">
        <v>546</v>
      </c>
      <c r="J2311" s="21" t="n">
        <f aca="false">D2311/(D2311+E2311)</f>
        <v>0.54320987654321</v>
      </c>
      <c r="K2311" s="3" t="n">
        <f aca="false">IF(D2311&gt;E2311,1,0)</f>
        <v>1</v>
      </c>
      <c r="L2311" s="3" t="n">
        <f aca="false">IF(OR(F2311="Y",G2311="Y",H2311="Y"),1,0)</f>
        <v>1</v>
      </c>
      <c r="M2311" s="3" t="n">
        <f aca="false">IF(H2311="Y",1,0)</f>
        <v>0</v>
      </c>
      <c r="N2311" s="3" t="n">
        <f aca="false">IF(I2311="Y",1,0)</f>
        <v>0</v>
      </c>
    </row>
    <row r="2312" customFormat="false" ht="15" hidden="false" customHeight="true" outlineLevel="0" collapsed="false">
      <c r="A2312" s="7" t="s">
        <v>78</v>
      </c>
      <c r="B2312" s="7" t="n">
        <v>2007</v>
      </c>
      <c r="C2312" s="7" t="s">
        <v>380</v>
      </c>
      <c r="D2312" s="7" t="n">
        <v>89</v>
      </c>
      <c r="E2312" s="7" t="n">
        <v>74</v>
      </c>
      <c r="F2312" s="7" t="s">
        <v>546</v>
      </c>
      <c r="G2312" s="7" t="s">
        <v>546</v>
      </c>
      <c r="H2312" s="7" t="s">
        <v>546</v>
      </c>
      <c r="I2312" s="7" t="s">
        <v>546</v>
      </c>
      <c r="J2312" s="21" t="n">
        <f aca="false">D2312/(D2312+E2312)</f>
        <v>0.54601226993865</v>
      </c>
      <c r="K2312" s="3" t="n">
        <f aca="false">IF(D2312&gt;E2312,1,0)</f>
        <v>1</v>
      </c>
      <c r="L2312" s="3" t="n">
        <f aca="false">IF(OR(F2312="Y",G2312="Y",H2312="Y"),1,0)</f>
        <v>0</v>
      </c>
      <c r="M2312" s="3" t="n">
        <f aca="false">IF(H2312="Y",1,0)</f>
        <v>0</v>
      </c>
      <c r="N2312" s="3" t="n">
        <f aca="false">IF(I2312="Y",1,0)</f>
        <v>0</v>
      </c>
    </row>
    <row r="2313" customFormat="false" ht="15" hidden="false" customHeight="true" outlineLevel="0" collapsed="false">
      <c r="A2313" s="7" t="s">
        <v>78</v>
      </c>
      <c r="B2313" s="7" t="n">
        <v>2008</v>
      </c>
      <c r="C2313" s="7" t="s">
        <v>380</v>
      </c>
      <c r="D2313" s="7" t="n">
        <v>63</v>
      </c>
      <c r="E2313" s="7" t="n">
        <v>99</v>
      </c>
      <c r="F2313" s="7" t="s">
        <v>546</v>
      </c>
      <c r="G2313" s="7" t="s">
        <v>546</v>
      </c>
      <c r="H2313" s="7" t="s">
        <v>546</v>
      </c>
      <c r="I2313" s="7" t="s">
        <v>546</v>
      </c>
      <c r="J2313" s="21" t="n">
        <f aca="false">D2313/(D2313+E2313)</f>
        <v>0.388888888888889</v>
      </c>
      <c r="K2313" s="3" t="n">
        <f aca="false">IF(D2313&gt;E2313,1,0)</f>
        <v>0</v>
      </c>
      <c r="L2313" s="3" t="n">
        <f aca="false">IF(OR(F2313="Y",G2313="Y",H2313="Y"),1,0)</f>
        <v>0</v>
      </c>
      <c r="M2313" s="3" t="n">
        <f aca="false">IF(H2313="Y",1,0)</f>
        <v>0</v>
      </c>
      <c r="N2313" s="3" t="n">
        <f aca="false">IF(I2313="Y",1,0)</f>
        <v>0</v>
      </c>
    </row>
    <row r="2314" customFormat="false" ht="15" hidden="false" customHeight="true" outlineLevel="0" collapsed="false">
      <c r="A2314" s="7" t="s">
        <v>78</v>
      </c>
      <c r="B2314" s="7" t="n">
        <v>2009</v>
      </c>
      <c r="C2314" s="7" t="s">
        <v>380</v>
      </c>
      <c r="D2314" s="7" t="n">
        <v>75</v>
      </c>
      <c r="E2314" s="7" t="n">
        <v>87</v>
      </c>
      <c r="F2314" s="7" t="s">
        <v>546</v>
      </c>
      <c r="G2314" s="7" t="s">
        <v>546</v>
      </c>
      <c r="H2314" s="7" t="s">
        <v>546</v>
      </c>
      <c r="I2314" s="7" t="s">
        <v>546</v>
      </c>
      <c r="J2314" s="21" t="n">
        <f aca="false">D2314/(D2314+E2314)</f>
        <v>0.462962962962963</v>
      </c>
      <c r="K2314" s="3" t="n">
        <f aca="false">IF(D2314&gt;E2314,1,0)</f>
        <v>0</v>
      </c>
      <c r="L2314" s="3" t="n">
        <f aca="false">IF(OR(F2314="Y",G2314="Y",H2314="Y"),1,0)</f>
        <v>0</v>
      </c>
      <c r="M2314" s="3" t="n">
        <f aca="false">IF(H2314="Y",1,0)</f>
        <v>0</v>
      </c>
      <c r="N2314" s="3" t="n">
        <f aca="false">IF(I2314="Y",1,0)</f>
        <v>0</v>
      </c>
    </row>
    <row r="2315" customFormat="false" ht="15" hidden="false" customHeight="true" outlineLevel="0" collapsed="false">
      <c r="A2315" s="7" t="s">
        <v>78</v>
      </c>
      <c r="B2315" s="7" t="n">
        <v>2010</v>
      </c>
      <c r="C2315" s="7" t="s">
        <v>380</v>
      </c>
      <c r="D2315" s="7" t="n">
        <v>90</v>
      </c>
      <c r="E2315" s="7" t="n">
        <v>72</v>
      </c>
      <c r="F2315" s="7" t="s">
        <v>546</v>
      </c>
      <c r="G2315" s="7" t="s">
        <v>546</v>
      </c>
      <c r="H2315" s="7" t="s">
        <v>546</v>
      </c>
      <c r="I2315" s="7" t="s">
        <v>546</v>
      </c>
      <c r="J2315" s="21" t="n">
        <f aca="false">D2315/(D2315+E2315)</f>
        <v>0.555555555555556</v>
      </c>
      <c r="K2315" s="3" t="n">
        <f aca="false">IF(D2315&gt;E2315,1,0)</f>
        <v>1</v>
      </c>
      <c r="L2315" s="3" t="n">
        <f aca="false">IF(OR(F2315="Y",G2315="Y",H2315="Y"),1,0)</f>
        <v>0</v>
      </c>
      <c r="M2315" s="3" t="n">
        <f aca="false">IF(H2315="Y",1,0)</f>
        <v>0</v>
      </c>
      <c r="N2315" s="3" t="n">
        <f aca="false">IF(I2315="Y",1,0)</f>
        <v>0</v>
      </c>
    </row>
    <row r="2316" customFormat="false" ht="15" hidden="false" customHeight="true" outlineLevel="0" collapsed="false">
      <c r="A2316" s="7" t="s">
        <v>78</v>
      </c>
      <c r="B2316" s="7" t="n">
        <v>2011</v>
      </c>
      <c r="C2316" s="7" t="s">
        <v>380</v>
      </c>
      <c r="D2316" s="7" t="n">
        <v>71</v>
      </c>
      <c r="E2316" s="7" t="n">
        <v>91</v>
      </c>
      <c r="F2316" s="7" t="s">
        <v>546</v>
      </c>
      <c r="G2316" s="7" t="s">
        <v>546</v>
      </c>
      <c r="H2316" s="7" t="s">
        <v>546</v>
      </c>
      <c r="I2316" s="7" t="s">
        <v>546</v>
      </c>
      <c r="J2316" s="21" t="n">
        <f aca="false">D2316/(D2316+E2316)</f>
        <v>0.438271604938272</v>
      </c>
      <c r="K2316" s="3" t="n">
        <f aca="false">IF(D2316&gt;E2316,1,0)</f>
        <v>0</v>
      </c>
      <c r="L2316" s="3" t="n">
        <f aca="false">IF(OR(F2316="Y",G2316="Y",H2316="Y"),1,0)</f>
        <v>0</v>
      </c>
      <c r="M2316" s="3" t="n">
        <f aca="false">IF(H2316="Y",1,0)</f>
        <v>0</v>
      </c>
      <c r="N2316" s="3" t="n">
        <f aca="false">IF(I2316="Y",1,0)</f>
        <v>0</v>
      </c>
    </row>
    <row r="2317" customFormat="false" ht="15" hidden="false" customHeight="true" outlineLevel="0" collapsed="false">
      <c r="A2317" s="7" t="s">
        <v>78</v>
      </c>
      <c r="B2317" s="7" t="n">
        <v>2012</v>
      </c>
      <c r="C2317" s="7" t="s">
        <v>380</v>
      </c>
      <c r="D2317" s="7" t="n">
        <v>76</v>
      </c>
      <c r="E2317" s="7" t="n">
        <v>86</v>
      </c>
      <c r="F2317" s="7" t="s">
        <v>546</v>
      </c>
      <c r="G2317" s="7" t="s">
        <v>546</v>
      </c>
      <c r="H2317" s="7" t="s">
        <v>546</v>
      </c>
      <c r="I2317" s="7" t="s">
        <v>546</v>
      </c>
      <c r="J2317" s="21" t="n">
        <f aca="false">D2317/(D2317+E2317)</f>
        <v>0.469135802469136</v>
      </c>
      <c r="K2317" s="3" t="n">
        <f aca="false">IF(D2317&gt;E2317,1,0)</f>
        <v>0</v>
      </c>
      <c r="L2317" s="3" t="n">
        <f aca="false">IF(OR(F2317="Y",G2317="Y",H2317="Y"),1,0)</f>
        <v>0</v>
      </c>
      <c r="M2317" s="3" t="n">
        <f aca="false">IF(H2317="Y",1,0)</f>
        <v>0</v>
      </c>
      <c r="N2317" s="3" t="n">
        <f aca="false">IF(I2317="Y",1,0)</f>
        <v>0</v>
      </c>
    </row>
    <row r="2318" customFormat="false" ht="15" hidden="false" customHeight="true" outlineLevel="0" collapsed="false">
      <c r="A2318" s="7" t="s">
        <v>78</v>
      </c>
      <c r="B2318" s="7" t="n">
        <v>2013</v>
      </c>
      <c r="C2318" s="7" t="s">
        <v>380</v>
      </c>
      <c r="D2318" s="7" t="n">
        <v>76</v>
      </c>
      <c r="E2318" s="7" t="n">
        <v>86</v>
      </c>
      <c r="F2318" s="7" t="s">
        <v>546</v>
      </c>
      <c r="G2318" s="7" t="s">
        <v>546</v>
      </c>
      <c r="H2318" s="7" t="s">
        <v>546</v>
      </c>
      <c r="I2318" s="7" t="s">
        <v>546</v>
      </c>
      <c r="J2318" s="21" t="n">
        <f aca="false">D2318/(D2318+E2318)</f>
        <v>0.469135802469136</v>
      </c>
      <c r="K2318" s="3" t="n">
        <f aca="false">IF(D2318&gt;E2318,1,0)</f>
        <v>0</v>
      </c>
      <c r="L2318" s="3" t="n">
        <f aca="false">IF(OR(F2318="Y",G2318="Y",H2318="Y"),1,0)</f>
        <v>0</v>
      </c>
      <c r="M2318" s="3" t="n">
        <f aca="false">IF(H2318="Y",1,0)</f>
        <v>0</v>
      </c>
      <c r="N2318" s="3" t="n">
        <f aca="false">IF(I2318="Y",1,0)</f>
        <v>0</v>
      </c>
    </row>
    <row r="2319" customFormat="false" ht="15" hidden="false" customHeight="true" outlineLevel="0" collapsed="false">
      <c r="A2319" s="7" t="s">
        <v>78</v>
      </c>
      <c r="B2319" s="7" t="n">
        <v>2014</v>
      </c>
      <c r="C2319" s="7" t="s">
        <v>380</v>
      </c>
      <c r="D2319" s="7" t="n">
        <v>77</v>
      </c>
      <c r="E2319" s="7" t="n">
        <v>85</v>
      </c>
      <c r="F2319" s="7" t="s">
        <v>546</v>
      </c>
      <c r="G2319" s="7" t="s">
        <v>546</v>
      </c>
      <c r="H2319" s="7" t="s">
        <v>546</v>
      </c>
      <c r="I2319" s="7" t="s">
        <v>546</v>
      </c>
      <c r="J2319" s="21" t="n">
        <f aca="false">D2319/(D2319+E2319)</f>
        <v>0.475308641975309</v>
      </c>
      <c r="K2319" s="3" t="n">
        <f aca="false">IF(D2319&gt;E2319,1,0)</f>
        <v>0</v>
      </c>
      <c r="L2319" s="3" t="n">
        <f aca="false">IF(OR(F2319="Y",G2319="Y",H2319="Y"),1,0)</f>
        <v>0</v>
      </c>
      <c r="M2319" s="3" t="n">
        <f aca="false">IF(H2319="Y",1,0)</f>
        <v>0</v>
      </c>
      <c r="N2319" s="3" t="n">
        <f aca="false">IF(I2319="Y",1,0)</f>
        <v>0</v>
      </c>
    </row>
    <row r="2320" customFormat="false" ht="15" hidden="false" customHeight="true" outlineLevel="0" collapsed="false">
      <c r="A2320" s="7" t="s">
        <v>78</v>
      </c>
      <c r="B2320" s="7" t="n">
        <v>2015</v>
      </c>
      <c r="C2320" s="7" t="s">
        <v>380</v>
      </c>
      <c r="D2320" s="7" t="n">
        <v>74</v>
      </c>
      <c r="E2320" s="7" t="n">
        <v>88</v>
      </c>
      <c r="F2320" s="7" t="s">
        <v>546</v>
      </c>
      <c r="G2320" s="7" t="s">
        <v>546</v>
      </c>
      <c r="H2320" s="7" t="s">
        <v>546</v>
      </c>
      <c r="I2320" s="7" t="s">
        <v>546</v>
      </c>
      <c r="J2320" s="21" t="n">
        <f aca="false">D2320/(D2320+E2320)</f>
        <v>0.45679012345679</v>
      </c>
      <c r="K2320" s="3" t="n">
        <f aca="false">IF(D2320&gt;E2320,1,0)</f>
        <v>0</v>
      </c>
      <c r="L2320" s="3" t="n">
        <f aca="false">IF(OR(F2320="Y",G2320="Y",H2320="Y"),1,0)</f>
        <v>0</v>
      </c>
      <c r="M2320" s="3" t="n">
        <f aca="false">IF(H2320="Y",1,0)</f>
        <v>0</v>
      </c>
      <c r="N2320" s="3" t="n">
        <f aca="false">IF(I2320="Y",1,0)</f>
        <v>0</v>
      </c>
    </row>
    <row r="2321" customFormat="false" ht="15" hidden="false" customHeight="true" outlineLevel="0" collapsed="false">
      <c r="A2321" s="7" t="s">
        <v>78</v>
      </c>
      <c r="B2321" s="7" t="n">
        <v>2016</v>
      </c>
      <c r="C2321" s="7" t="s">
        <v>380</v>
      </c>
      <c r="D2321" s="7" t="n">
        <v>68</v>
      </c>
      <c r="E2321" s="7" t="n">
        <v>94</v>
      </c>
      <c r="F2321" s="7" t="s">
        <v>546</v>
      </c>
      <c r="G2321" s="7" t="s">
        <v>546</v>
      </c>
      <c r="H2321" s="7" t="s">
        <v>546</v>
      </c>
      <c r="I2321" s="7" t="s">
        <v>546</v>
      </c>
      <c r="J2321" s="21" t="n">
        <f aca="false">D2321/(D2321+E2321)</f>
        <v>0.419753086419753</v>
      </c>
      <c r="K2321" s="3" t="n">
        <f aca="false">IF(D2321&gt;E2321,1,0)</f>
        <v>0</v>
      </c>
      <c r="L2321" s="3" t="n">
        <f aca="false">IF(OR(F2321="Y",G2321="Y",H2321="Y"),1,0)</f>
        <v>0</v>
      </c>
      <c r="M2321" s="3" t="n">
        <f aca="false">IF(H2321="Y",1,0)</f>
        <v>0</v>
      </c>
      <c r="N2321" s="3" t="n">
        <f aca="false">IF(I2321="Y",1,0)</f>
        <v>0</v>
      </c>
    </row>
    <row r="2322" customFormat="false" ht="15" hidden="false" customHeight="true" outlineLevel="0" collapsed="false">
      <c r="A2322" s="7" t="s">
        <v>78</v>
      </c>
      <c r="B2322" s="7" t="n">
        <v>2017</v>
      </c>
      <c r="C2322" s="7" t="s">
        <v>380</v>
      </c>
      <c r="D2322" s="7" t="n">
        <v>71</v>
      </c>
      <c r="E2322" s="7" t="n">
        <v>91</v>
      </c>
      <c r="F2322" s="7" t="s">
        <v>546</v>
      </c>
      <c r="G2322" s="7" t="s">
        <v>546</v>
      </c>
      <c r="H2322" s="7" t="s">
        <v>546</v>
      </c>
      <c r="I2322" s="7" t="s">
        <v>546</v>
      </c>
      <c r="J2322" s="21" t="n">
        <f aca="false">D2322/(D2322+E2322)</f>
        <v>0.438271604938272</v>
      </c>
      <c r="K2322" s="3" t="n">
        <f aca="false">IF(D2322&gt;E2322,1,0)</f>
        <v>0</v>
      </c>
      <c r="L2322" s="3" t="n">
        <f aca="false">IF(OR(F2322="Y",G2322="Y",H2322="Y"),1,0)</f>
        <v>0</v>
      </c>
      <c r="M2322" s="3" t="n">
        <f aca="false">IF(H2322="Y",1,0)</f>
        <v>0</v>
      </c>
      <c r="N2322" s="3" t="n">
        <f aca="false">IF(I2322="Y",1,0)</f>
        <v>0</v>
      </c>
    </row>
    <row r="2323" customFormat="false" ht="15" hidden="false" customHeight="true" outlineLevel="0" collapsed="false">
      <c r="A2323" s="7" t="s">
        <v>78</v>
      </c>
      <c r="B2323" s="7" t="n">
        <v>2018</v>
      </c>
      <c r="C2323" s="7" t="s">
        <v>380</v>
      </c>
      <c r="D2323" s="7" t="n">
        <v>66</v>
      </c>
      <c r="E2323" s="7" t="n">
        <v>96</v>
      </c>
      <c r="F2323" s="7" t="s">
        <v>546</v>
      </c>
      <c r="G2323" s="7" t="s">
        <v>546</v>
      </c>
      <c r="H2323" s="7" t="s">
        <v>546</v>
      </c>
      <c r="I2323" s="7" t="s">
        <v>546</v>
      </c>
      <c r="J2323" s="21" t="n">
        <f aca="false">D2323/(D2323+E2323)</f>
        <v>0.407407407407407</v>
      </c>
      <c r="K2323" s="3" t="n">
        <f aca="false">IF(D2323&gt;E2323,1,0)</f>
        <v>0</v>
      </c>
      <c r="L2323" s="3" t="n">
        <f aca="false">IF(OR(F2323="Y",G2323="Y",H2323="Y"),1,0)</f>
        <v>0</v>
      </c>
      <c r="M2323" s="3" t="n">
        <f aca="false">IF(H2323="Y",1,0)</f>
        <v>0</v>
      </c>
      <c r="N2323" s="3" t="n">
        <f aca="false">IF(I2323="Y",1,0)</f>
        <v>0</v>
      </c>
    </row>
    <row r="2324" customFormat="false" ht="15" hidden="false" customHeight="true" outlineLevel="0" collapsed="false">
      <c r="A2324" s="7" t="s">
        <v>78</v>
      </c>
      <c r="B2324" s="7" t="n">
        <v>2019</v>
      </c>
      <c r="C2324" s="7" t="s">
        <v>380</v>
      </c>
      <c r="D2324" s="7" t="n">
        <v>70</v>
      </c>
      <c r="E2324" s="7" t="n">
        <v>92</v>
      </c>
      <c r="F2324" s="7" t="s">
        <v>546</v>
      </c>
      <c r="G2324" s="7" t="s">
        <v>546</v>
      </c>
      <c r="H2324" s="7" t="s">
        <v>546</v>
      </c>
      <c r="I2324" s="7" t="s">
        <v>546</v>
      </c>
      <c r="J2324" s="21" t="n">
        <f aca="false">D2324/(D2324+E2324)</f>
        <v>0.432098765432099</v>
      </c>
      <c r="K2324" s="3" t="n">
        <f aca="false">IF(D2324&gt;E2324,1,0)</f>
        <v>0</v>
      </c>
      <c r="L2324" s="3" t="n">
        <f aca="false">IF(OR(F2324="Y",G2324="Y",H2324="Y"),1,0)</f>
        <v>0</v>
      </c>
      <c r="M2324" s="3" t="n">
        <f aca="false">IF(H2324="Y",1,0)</f>
        <v>0</v>
      </c>
      <c r="N2324" s="3" t="n">
        <f aca="false">IF(I2324="Y",1,0)</f>
        <v>0</v>
      </c>
    </row>
    <row r="2325" customFormat="false" ht="15" hidden="false" customHeight="true" outlineLevel="0" collapsed="false">
      <c r="A2325" s="7" t="s">
        <v>78</v>
      </c>
      <c r="B2325" s="7" t="n">
        <v>2020</v>
      </c>
      <c r="C2325" s="7" t="s">
        <v>380</v>
      </c>
      <c r="D2325" s="7" t="n">
        <v>37</v>
      </c>
      <c r="E2325" s="7" t="n">
        <v>23</v>
      </c>
      <c r="F2325" s="7" t="s">
        <v>546</v>
      </c>
      <c r="G2325" s="7" t="s">
        <v>548</v>
      </c>
      <c r="H2325" s="7" t="s">
        <v>546</v>
      </c>
      <c r="I2325" s="7" t="s">
        <v>546</v>
      </c>
      <c r="J2325" s="21" t="n">
        <f aca="false">D2325/(D2325+E2325)</f>
        <v>0.616666666666667</v>
      </c>
      <c r="K2325" s="3" t="n">
        <f aca="false">IF(D2325&gt;E2325,1,0)</f>
        <v>1</v>
      </c>
      <c r="L2325" s="3" t="n">
        <f aca="false">IF(OR(F2325="Y",G2325="Y",H2325="Y"),1,0)</f>
        <v>1</v>
      </c>
      <c r="M2325" s="3" t="n">
        <f aca="false">IF(H2325="Y",1,0)</f>
        <v>0</v>
      </c>
      <c r="N2325" s="3" t="n">
        <f aca="false">IF(I2325="Y",1,0)</f>
        <v>0</v>
      </c>
    </row>
    <row r="2326" customFormat="false" ht="15" hidden="false" customHeight="true" outlineLevel="0" collapsed="false">
      <c r="A2326" s="7" t="s">
        <v>78</v>
      </c>
      <c r="B2326" s="7" t="n">
        <v>2021</v>
      </c>
      <c r="C2326" s="7" t="s">
        <v>380</v>
      </c>
      <c r="D2326" s="7" t="n">
        <v>79</v>
      </c>
      <c r="E2326" s="7" t="n">
        <v>83</v>
      </c>
      <c r="F2326" s="7" t="s">
        <v>546</v>
      </c>
      <c r="G2326" s="7" t="s">
        <v>546</v>
      </c>
      <c r="H2326" s="7" t="s">
        <v>546</v>
      </c>
      <c r="I2326" s="7" t="s">
        <v>546</v>
      </c>
      <c r="J2326" s="21" t="n">
        <f aca="false">D2326/(D2326+E2326)</f>
        <v>0.487654320987654</v>
      </c>
      <c r="K2326" s="3" t="n">
        <f aca="false">IF(D2326&gt;E2326,1,0)</f>
        <v>0</v>
      </c>
      <c r="L2326" s="3" t="n">
        <f aca="false">IF(OR(F2326="Y",G2326="Y",H2326="Y"),1,0)</f>
        <v>0</v>
      </c>
      <c r="M2326" s="3" t="n">
        <f aca="false">IF(H2326="Y",1,0)</f>
        <v>0</v>
      </c>
      <c r="N2326" s="3" t="n">
        <f aca="false">IF(I2326="Y",1,0)</f>
        <v>0</v>
      </c>
    </row>
    <row r="2327" customFormat="false" ht="15" hidden="false" customHeight="true" outlineLevel="0" collapsed="false">
      <c r="A2327" s="7" t="s">
        <v>78</v>
      </c>
      <c r="B2327" s="7" t="n">
        <v>2022</v>
      </c>
      <c r="C2327" s="7" t="s">
        <v>380</v>
      </c>
      <c r="D2327" s="7" t="n">
        <v>89</v>
      </c>
      <c r="E2327" s="7" t="n">
        <v>73</v>
      </c>
      <c r="F2327" s="7" t="s">
        <v>546</v>
      </c>
      <c r="G2327" s="7" t="s">
        <v>548</v>
      </c>
      <c r="H2327" s="7" t="s">
        <v>546</v>
      </c>
      <c r="I2327" s="7" t="s">
        <v>546</v>
      </c>
      <c r="J2327" s="21" t="n">
        <f aca="false">D2327/(D2327+E2327)</f>
        <v>0.549382716049383</v>
      </c>
      <c r="K2327" s="3" t="n">
        <f aca="false">IF(D2327&gt;E2327,1,0)</f>
        <v>1</v>
      </c>
      <c r="L2327" s="3" t="n">
        <f aca="false">IF(OR(F2327="Y",G2327="Y",H2327="Y"),1,0)</f>
        <v>1</v>
      </c>
      <c r="M2327" s="3" t="n">
        <f aca="false">IF(H2327="Y",1,0)</f>
        <v>0</v>
      </c>
      <c r="N2327" s="3" t="n">
        <f aca="false">IF(I2327="Y",1,0)</f>
        <v>0</v>
      </c>
    </row>
    <row r="2328" customFormat="false" ht="15" hidden="false" customHeight="true" outlineLevel="0" collapsed="false">
      <c r="A2328" s="7" t="s">
        <v>78</v>
      </c>
      <c r="B2328" s="7" t="n">
        <v>2023</v>
      </c>
      <c r="C2328" s="7" t="s">
        <v>380</v>
      </c>
      <c r="D2328" s="7" t="n">
        <v>82</v>
      </c>
      <c r="E2328" s="7" t="n">
        <v>80</v>
      </c>
      <c r="F2328" s="7" t="s">
        <v>546</v>
      </c>
      <c r="G2328" s="7" t="s">
        <v>546</v>
      </c>
      <c r="H2328" s="7" t="s">
        <v>546</v>
      </c>
      <c r="I2328" s="7" t="s">
        <v>546</v>
      </c>
      <c r="J2328" s="21" t="n">
        <f aca="false">D2328/(D2328+E2328)</f>
        <v>0.506172839506173</v>
      </c>
      <c r="K2328" s="3" t="n">
        <f aca="false">IF(D2328&gt;E2328,1,0)</f>
        <v>1</v>
      </c>
      <c r="L2328" s="3" t="n">
        <f aca="false">IF(OR(F2328="Y",G2328="Y",H2328="Y"),1,0)</f>
        <v>0</v>
      </c>
      <c r="M2328" s="3" t="n">
        <f aca="false">IF(H2328="Y",1,0)</f>
        <v>0</v>
      </c>
      <c r="N2328" s="3" t="n">
        <f aca="false">IF(I2328="Y",1,0)</f>
        <v>0</v>
      </c>
    </row>
    <row r="2329" customFormat="false" ht="15" hidden="false" customHeight="true" outlineLevel="0" collapsed="false">
      <c r="A2329" s="7" t="s">
        <v>78</v>
      </c>
      <c r="B2329" s="7" t="n">
        <v>2024</v>
      </c>
      <c r="C2329" s="7" t="s">
        <v>380</v>
      </c>
      <c r="D2329" s="7" t="n">
        <v>93</v>
      </c>
      <c r="E2329" s="7" t="n">
        <v>69</v>
      </c>
      <c r="F2329" s="7" t="s">
        <v>546</v>
      </c>
      <c r="G2329" s="7" t="s">
        <v>548</v>
      </c>
      <c r="H2329" s="7" t="s">
        <v>546</v>
      </c>
      <c r="I2329" s="7" t="s">
        <v>546</v>
      </c>
      <c r="J2329" s="21" t="n">
        <f aca="false">D2329/(D2329+E2329)</f>
        <v>0.574074074074074</v>
      </c>
      <c r="K2329" s="3" t="n">
        <f aca="false">IF(D2329&gt;E2329,1,0)</f>
        <v>1</v>
      </c>
      <c r="L2329" s="3" t="n">
        <f aca="false">IF(OR(F2329="Y",G2329="Y",H2329="Y"),1,0)</f>
        <v>1</v>
      </c>
      <c r="M2329" s="3" t="n">
        <f aca="false">IF(H2329="Y",1,0)</f>
        <v>0</v>
      </c>
      <c r="N2329" s="3" t="n">
        <f aca="false">IF(I2329="Y",1,0)</f>
        <v>0</v>
      </c>
    </row>
    <row r="2330" customFormat="false" ht="15" hidden="false" customHeight="true" outlineLevel="0" collapsed="false">
      <c r="A2330" s="7" t="s">
        <v>78</v>
      </c>
      <c r="B2330" s="7" t="n">
        <v>2025</v>
      </c>
      <c r="C2330" s="7" t="s">
        <v>380</v>
      </c>
      <c r="D2330" s="7" t="n">
        <v>90</v>
      </c>
      <c r="E2330" s="7" t="n">
        <v>72</v>
      </c>
      <c r="F2330" s="7" t="s">
        <v>546</v>
      </c>
      <c r="G2330" s="7" t="s">
        <v>548</v>
      </c>
      <c r="H2330" s="7" t="s">
        <v>546</v>
      </c>
      <c r="I2330" s="7" t="s">
        <v>546</v>
      </c>
      <c r="J2330" s="21" t="n">
        <f aca="false">D2330/(D2330+E2330)</f>
        <v>0.555555555555556</v>
      </c>
      <c r="K2330" s="3" t="n">
        <f aca="false">IF(D2330&gt;E2330,1,0)</f>
        <v>1</v>
      </c>
      <c r="L2330" s="3" t="n">
        <f aca="false">IF(OR(F2330="Y",G2330="Y",H2330="Y"),1,0)</f>
        <v>1</v>
      </c>
      <c r="M2330" s="3" t="n">
        <f aca="false">IF(H2330="Y",1,0)</f>
        <v>0</v>
      </c>
      <c r="N2330" s="3" t="n">
        <f aca="false">IF(I2330="Y",1,0)</f>
        <v>0</v>
      </c>
    </row>
    <row r="2331" customFormat="false" ht="15" hidden="false" customHeight="true" outlineLevel="0" collapsed="false">
      <c r="A2331" s="7" t="s">
        <v>80</v>
      </c>
      <c r="B2331" s="7" t="n">
        <v>1977</v>
      </c>
      <c r="C2331" s="7" t="s">
        <v>382</v>
      </c>
      <c r="D2331" s="7" t="n">
        <v>64</v>
      </c>
      <c r="E2331" s="7" t="n">
        <v>98</v>
      </c>
      <c r="F2331" s="7" t="s">
        <v>546</v>
      </c>
      <c r="G2331" s="7"/>
      <c r="H2331" s="7" t="s">
        <v>546</v>
      </c>
      <c r="I2331" s="7" t="s">
        <v>546</v>
      </c>
      <c r="J2331" s="21" t="n">
        <f aca="false">D2331/(D2331+E2331)</f>
        <v>0.395061728395062</v>
      </c>
      <c r="K2331" s="3" t="n">
        <f aca="false">IF(D2331&gt;E2331,1,0)</f>
        <v>0</v>
      </c>
      <c r="L2331" s="3" t="n">
        <f aca="false">IF(OR(F2331="Y",G2331="Y",H2331="Y"),1,0)</f>
        <v>0</v>
      </c>
      <c r="M2331" s="3" t="n">
        <f aca="false">IF(H2331="Y",1,0)</f>
        <v>0</v>
      </c>
      <c r="N2331" s="3" t="n">
        <f aca="false">IF(I2331="Y",1,0)</f>
        <v>0</v>
      </c>
    </row>
    <row r="2332" customFormat="false" ht="15" hidden="false" customHeight="true" outlineLevel="0" collapsed="false">
      <c r="A2332" s="7" t="s">
        <v>80</v>
      </c>
      <c r="B2332" s="7" t="n">
        <v>1978</v>
      </c>
      <c r="C2332" s="7" t="s">
        <v>382</v>
      </c>
      <c r="D2332" s="7" t="n">
        <v>56</v>
      </c>
      <c r="E2332" s="7" t="n">
        <v>104</v>
      </c>
      <c r="F2332" s="7" t="s">
        <v>546</v>
      </c>
      <c r="G2332" s="7"/>
      <c r="H2332" s="7" t="s">
        <v>546</v>
      </c>
      <c r="I2332" s="7" t="s">
        <v>546</v>
      </c>
      <c r="J2332" s="21" t="n">
        <f aca="false">D2332/(D2332+E2332)</f>
        <v>0.35</v>
      </c>
      <c r="K2332" s="3" t="n">
        <f aca="false">IF(D2332&gt;E2332,1,0)</f>
        <v>0</v>
      </c>
      <c r="L2332" s="3" t="n">
        <f aca="false">IF(OR(F2332="Y",G2332="Y",H2332="Y"),1,0)</f>
        <v>0</v>
      </c>
      <c r="M2332" s="3" t="n">
        <f aca="false">IF(H2332="Y",1,0)</f>
        <v>0</v>
      </c>
      <c r="N2332" s="3" t="n">
        <f aca="false">IF(I2332="Y",1,0)</f>
        <v>0</v>
      </c>
    </row>
    <row r="2333" customFormat="false" ht="15" hidden="false" customHeight="true" outlineLevel="0" collapsed="false">
      <c r="A2333" s="7" t="s">
        <v>80</v>
      </c>
      <c r="B2333" s="7" t="n">
        <v>1979</v>
      </c>
      <c r="C2333" s="7" t="s">
        <v>382</v>
      </c>
      <c r="D2333" s="7" t="n">
        <v>67</v>
      </c>
      <c r="E2333" s="7" t="n">
        <v>95</v>
      </c>
      <c r="F2333" s="7" t="s">
        <v>546</v>
      </c>
      <c r="G2333" s="7"/>
      <c r="H2333" s="7" t="s">
        <v>546</v>
      </c>
      <c r="I2333" s="7" t="s">
        <v>546</v>
      </c>
      <c r="J2333" s="21" t="n">
        <f aca="false">D2333/(D2333+E2333)</f>
        <v>0.41358024691358</v>
      </c>
      <c r="K2333" s="3" t="n">
        <f aca="false">IF(D2333&gt;E2333,1,0)</f>
        <v>0</v>
      </c>
      <c r="L2333" s="3" t="n">
        <f aca="false">IF(OR(F2333="Y",G2333="Y",H2333="Y"),1,0)</f>
        <v>0</v>
      </c>
      <c r="M2333" s="3" t="n">
        <f aca="false">IF(H2333="Y",1,0)</f>
        <v>0</v>
      </c>
      <c r="N2333" s="3" t="n">
        <f aca="false">IF(I2333="Y",1,0)</f>
        <v>0</v>
      </c>
    </row>
    <row r="2334" customFormat="false" ht="15" hidden="false" customHeight="true" outlineLevel="0" collapsed="false">
      <c r="A2334" s="7" t="s">
        <v>80</v>
      </c>
      <c r="B2334" s="7" t="n">
        <v>1980</v>
      </c>
      <c r="C2334" s="7" t="s">
        <v>382</v>
      </c>
      <c r="D2334" s="7" t="n">
        <v>59</v>
      </c>
      <c r="E2334" s="7" t="n">
        <v>103</v>
      </c>
      <c r="F2334" s="7" t="s">
        <v>546</v>
      </c>
      <c r="G2334" s="7"/>
      <c r="H2334" s="7" t="s">
        <v>546</v>
      </c>
      <c r="I2334" s="7" t="s">
        <v>546</v>
      </c>
      <c r="J2334" s="21" t="n">
        <f aca="false">D2334/(D2334+E2334)</f>
        <v>0.364197530864198</v>
      </c>
      <c r="K2334" s="3" t="n">
        <f aca="false">IF(D2334&gt;E2334,1,0)</f>
        <v>0</v>
      </c>
      <c r="L2334" s="3" t="n">
        <f aca="false">IF(OR(F2334="Y",G2334="Y",H2334="Y"),1,0)</f>
        <v>0</v>
      </c>
      <c r="M2334" s="3" t="n">
        <f aca="false">IF(H2334="Y",1,0)</f>
        <v>0</v>
      </c>
      <c r="N2334" s="3" t="n">
        <f aca="false">IF(I2334="Y",1,0)</f>
        <v>0</v>
      </c>
    </row>
    <row r="2335" customFormat="false" ht="15" hidden="false" customHeight="true" outlineLevel="0" collapsed="false">
      <c r="A2335" s="7" t="s">
        <v>80</v>
      </c>
      <c r="B2335" s="7" t="n">
        <v>1981</v>
      </c>
      <c r="C2335" s="7" t="s">
        <v>382</v>
      </c>
      <c r="D2335" s="7" t="n">
        <v>44</v>
      </c>
      <c r="E2335" s="7" t="n">
        <v>65</v>
      </c>
      <c r="F2335" s="7" t="s">
        <v>546</v>
      </c>
      <c r="G2335" s="7"/>
      <c r="H2335" s="7" t="s">
        <v>546</v>
      </c>
      <c r="I2335" s="7" t="s">
        <v>546</v>
      </c>
      <c r="J2335" s="21" t="n">
        <f aca="false">D2335/(D2335+E2335)</f>
        <v>0.403669724770642</v>
      </c>
      <c r="K2335" s="3" t="n">
        <f aca="false">IF(D2335&gt;E2335,1,0)</f>
        <v>0</v>
      </c>
      <c r="L2335" s="3" t="n">
        <f aca="false">IF(OR(F2335="Y",G2335="Y",H2335="Y"),1,0)</f>
        <v>0</v>
      </c>
      <c r="M2335" s="3" t="n">
        <f aca="false">IF(H2335="Y",1,0)</f>
        <v>0</v>
      </c>
      <c r="N2335" s="3" t="n">
        <f aca="false">IF(I2335="Y",1,0)</f>
        <v>0</v>
      </c>
    </row>
    <row r="2336" customFormat="false" ht="15" hidden="false" customHeight="true" outlineLevel="0" collapsed="false">
      <c r="A2336" s="7" t="s">
        <v>80</v>
      </c>
      <c r="B2336" s="7" t="n">
        <v>1982</v>
      </c>
      <c r="C2336" s="7" t="s">
        <v>382</v>
      </c>
      <c r="D2336" s="7" t="n">
        <v>76</v>
      </c>
      <c r="E2336" s="7" t="n">
        <v>86</v>
      </c>
      <c r="F2336" s="7" t="s">
        <v>546</v>
      </c>
      <c r="G2336" s="7"/>
      <c r="H2336" s="7" t="s">
        <v>546</v>
      </c>
      <c r="I2336" s="7" t="s">
        <v>546</v>
      </c>
      <c r="J2336" s="21" t="n">
        <f aca="false">D2336/(D2336+E2336)</f>
        <v>0.469135802469136</v>
      </c>
      <c r="K2336" s="3" t="n">
        <f aca="false">IF(D2336&gt;E2336,1,0)</f>
        <v>0</v>
      </c>
      <c r="L2336" s="3" t="n">
        <f aca="false">IF(OR(F2336="Y",G2336="Y",H2336="Y"),1,0)</f>
        <v>0</v>
      </c>
      <c r="M2336" s="3" t="n">
        <f aca="false">IF(H2336="Y",1,0)</f>
        <v>0</v>
      </c>
      <c r="N2336" s="3" t="n">
        <f aca="false">IF(I2336="Y",1,0)</f>
        <v>0</v>
      </c>
    </row>
    <row r="2337" customFormat="false" ht="15" hidden="false" customHeight="true" outlineLevel="0" collapsed="false">
      <c r="A2337" s="7" t="s">
        <v>80</v>
      </c>
      <c r="B2337" s="7" t="n">
        <v>1983</v>
      </c>
      <c r="C2337" s="7" t="s">
        <v>382</v>
      </c>
      <c r="D2337" s="7" t="n">
        <v>60</v>
      </c>
      <c r="E2337" s="7" t="n">
        <v>102</v>
      </c>
      <c r="F2337" s="7" t="s">
        <v>546</v>
      </c>
      <c r="G2337" s="7"/>
      <c r="H2337" s="7" t="s">
        <v>546</v>
      </c>
      <c r="I2337" s="7" t="s">
        <v>546</v>
      </c>
      <c r="J2337" s="21" t="n">
        <f aca="false">D2337/(D2337+E2337)</f>
        <v>0.37037037037037</v>
      </c>
      <c r="K2337" s="3" t="n">
        <f aca="false">IF(D2337&gt;E2337,1,0)</f>
        <v>0</v>
      </c>
      <c r="L2337" s="3" t="n">
        <f aca="false">IF(OR(F2337="Y",G2337="Y",H2337="Y"),1,0)</f>
        <v>0</v>
      </c>
      <c r="M2337" s="3" t="n">
        <f aca="false">IF(H2337="Y",1,0)</f>
        <v>0</v>
      </c>
      <c r="N2337" s="3" t="n">
        <f aca="false">IF(I2337="Y",1,0)</f>
        <v>0</v>
      </c>
    </row>
    <row r="2338" customFormat="false" ht="15" hidden="false" customHeight="true" outlineLevel="0" collapsed="false">
      <c r="A2338" s="7" t="s">
        <v>80</v>
      </c>
      <c r="B2338" s="7" t="n">
        <v>1984</v>
      </c>
      <c r="C2338" s="7" t="s">
        <v>382</v>
      </c>
      <c r="D2338" s="7" t="n">
        <v>74</v>
      </c>
      <c r="E2338" s="7" t="n">
        <v>88</v>
      </c>
      <c r="F2338" s="7" t="s">
        <v>546</v>
      </c>
      <c r="G2338" s="7"/>
      <c r="H2338" s="7" t="s">
        <v>546</v>
      </c>
      <c r="I2338" s="7" t="s">
        <v>546</v>
      </c>
      <c r="J2338" s="21" t="n">
        <f aca="false">D2338/(D2338+E2338)</f>
        <v>0.45679012345679</v>
      </c>
      <c r="K2338" s="3" t="n">
        <f aca="false">IF(D2338&gt;E2338,1,0)</f>
        <v>0</v>
      </c>
      <c r="L2338" s="3" t="n">
        <f aca="false">IF(OR(F2338="Y",G2338="Y",H2338="Y"),1,0)</f>
        <v>0</v>
      </c>
      <c r="M2338" s="3" t="n">
        <f aca="false">IF(H2338="Y",1,0)</f>
        <v>0</v>
      </c>
      <c r="N2338" s="3" t="n">
        <f aca="false">IF(I2338="Y",1,0)</f>
        <v>0</v>
      </c>
    </row>
    <row r="2339" customFormat="false" ht="15" hidden="false" customHeight="true" outlineLevel="0" collapsed="false">
      <c r="A2339" s="7" t="s">
        <v>80</v>
      </c>
      <c r="B2339" s="7" t="n">
        <v>1985</v>
      </c>
      <c r="C2339" s="7" t="s">
        <v>382</v>
      </c>
      <c r="D2339" s="7" t="n">
        <v>74</v>
      </c>
      <c r="E2339" s="7" t="n">
        <v>88</v>
      </c>
      <c r="F2339" s="7" t="s">
        <v>546</v>
      </c>
      <c r="G2339" s="7"/>
      <c r="H2339" s="7" t="s">
        <v>546</v>
      </c>
      <c r="I2339" s="7" t="s">
        <v>546</v>
      </c>
      <c r="J2339" s="21" t="n">
        <f aca="false">D2339/(D2339+E2339)</f>
        <v>0.45679012345679</v>
      </c>
      <c r="K2339" s="3" t="n">
        <f aca="false">IF(D2339&gt;E2339,1,0)</f>
        <v>0</v>
      </c>
      <c r="L2339" s="3" t="n">
        <f aca="false">IF(OR(F2339="Y",G2339="Y",H2339="Y"),1,0)</f>
        <v>0</v>
      </c>
      <c r="M2339" s="3" t="n">
        <f aca="false">IF(H2339="Y",1,0)</f>
        <v>0</v>
      </c>
      <c r="N2339" s="3" t="n">
        <f aca="false">IF(I2339="Y",1,0)</f>
        <v>0</v>
      </c>
    </row>
    <row r="2340" customFormat="false" ht="15" hidden="false" customHeight="true" outlineLevel="0" collapsed="false">
      <c r="A2340" s="7" t="s">
        <v>80</v>
      </c>
      <c r="B2340" s="7" t="n">
        <v>1986</v>
      </c>
      <c r="C2340" s="7" t="s">
        <v>382</v>
      </c>
      <c r="D2340" s="7" t="n">
        <v>67</v>
      </c>
      <c r="E2340" s="7" t="n">
        <v>95</v>
      </c>
      <c r="F2340" s="7" t="s">
        <v>546</v>
      </c>
      <c r="G2340" s="7"/>
      <c r="H2340" s="7" t="s">
        <v>546</v>
      </c>
      <c r="I2340" s="7" t="s">
        <v>546</v>
      </c>
      <c r="J2340" s="21" t="n">
        <f aca="false">D2340/(D2340+E2340)</f>
        <v>0.41358024691358</v>
      </c>
      <c r="K2340" s="3" t="n">
        <f aca="false">IF(D2340&gt;E2340,1,0)</f>
        <v>0</v>
      </c>
      <c r="L2340" s="3" t="n">
        <f aca="false">IF(OR(F2340="Y",G2340="Y",H2340="Y"),1,0)</f>
        <v>0</v>
      </c>
      <c r="M2340" s="3" t="n">
        <f aca="false">IF(H2340="Y",1,0)</f>
        <v>0</v>
      </c>
      <c r="N2340" s="3" t="n">
        <f aca="false">IF(I2340="Y",1,0)</f>
        <v>0</v>
      </c>
    </row>
    <row r="2341" customFormat="false" ht="15" hidden="false" customHeight="true" outlineLevel="0" collapsed="false">
      <c r="A2341" s="7" t="s">
        <v>80</v>
      </c>
      <c r="B2341" s="7" t="n">
        <v>1987</v>
      </c>
      <c r="C2341" s="7" t="s">
        <v>382</v>
      </c>
      <c r="D2341" s="7" t="n">
        <v>78</v>
      </c>
      <c r="E2341" s="7" t="n">
        <v>84</v>
      </c>
      <c r="F2341" s="7" t="s">
        <v>546</v>
      </c>
      <c r="G2341" s="7"/>
      <c r="H2341" s="7" t="s">
        <v>546</v>
      </c>
      <c r="I2341" s="7" t="s">
        <v>546</v>
      </c>
      <c r="J2341" s="21" t="n">
        <f aca="false">D2341/(D2341+E2341)</f>
        <v>0.481481481481481</v>
      </c>
      <c r="K2341" s="3" t="n">
        <f aca="false">IF(D2341&gt;E2341,1,0)</f>
        <v>0</v>
      </c>
      <c r="L2341" s="3" t="n">
        <f aca="false">IF(OR(F2341="Y",G2341="Y",H2341="Y"),1,0)</f>
        <v>0</v>
      </c>
      <c r="M2341" s="3" t="n">
        <f aca="false">IF(H2341="Y",1,0)</f>
        <v>0</v>
      </c>
      <c r="N2341" s="3" t="n">
        <f aca="false">IF(I2341="Y",1,0)</f>
        <v>0</v>
      </c>
    </row>
    <row r="2342" customFormat="false" ht="15" hidden="false" customHeight="true" outlineLevel="0" collapsed="false">
      <c r="A2342" s="7" t="s">
        <v>80</v>
      </c>
      <c r="B2342" s="7" t="n">
        <v>1988</v>
      </c>
      <c r="C2342" s="7" t="s">
        <v>382</v>
      </c>
      <c r="D2342" s="7" t="n">
        <v>68</v>
      </c>
      <c r="E2342" s="7" t="n">
        <v>93</v>
      </c>
      <c r="F2342" s="7" t="s">
        <v>546</v>
      </c>
      <c r="G2342" s="7"/>
      <c r="H2342" s="7" t="s">
        <v>546</v>
      </c>
      <c r="I2342" s="7" t="s">
        <v>546</v>
      </c>
      <c r="J2342" s="21" t="n">
        <f aca="false">D2342/(D2342+E2342)</f>
        <v>0.422360248447205</v>
      </c>
      <c r="K2342" s="3" t="n">
        <f aca="false">IF(D2342&gt;E2342,1,0)</f>
        <v>0</v>
      </c>
      <c r="L2342" s="3" t="n">
        <f aca="false">IF(OR(F2342="Y",G2342="Y",H2342="Y"),1,0)</f>
        <v>0</v>
      </c>
      <c r="M2342" s="3" t="n">
        <f aca="false">IF(H2342="Y",1,0)</f>
        <v>0</v>
      </c>
      <c r="N2342" s="3" t="n">
        <f aca="false">IF(I2342="Y",1,0)</f>
        <v>0</v>
      </c>
    </row>
    <row r="2343" customFormat="false" ht="15" hidden="false" customHeight="true" outlineLevel="0" collapsed="false">
      <c r="A2343" s="7" t="s">
        <v>80</v>
      </c>
      <c r="B2343" s="7" t="n">
        <v>1989</v>
      </c>
      <c r="C2343" s="7" t="s">
        <v>382</v>
      </c>
      <c r="D2343" s="7" t="n">
        <v>73</v>
      </c>
      <c r="E2343" s="7" t="n">
        <v>89</v>
      </c>
      <c r="F2343" s="7" t="s">
        <v>546</v>
      </c>
      <c r="G2343" s="7"/>
      <c r="H2343" s="7" t="s">
        <v>546</v>
      </c>
      <c r="I2343" s="7" t="s">
        <v>546</v>
      </c>
      <c r="J2343" s="21" t="n">
        <f aca="false">D2343/(D2343+E2343)</f>
        <v>0.450617283950617</v>
      </c>
      <c r="K2343" s="3" t="n">
        <f aca="false">IF(D2343&gt;E2343,1,0)</f>
        <v>0</v>
      </c>
      <c r="L2343" s="3" t="n">
        <f aca="false">IF(OR(F2343="Y",G2343="Y",H2343="Y"),1,0)</f>
        <v>0</v>
      </c>
      <c r="M2343" s="3" t="n">
        <f aca="false">IF(H2343="Y",1,0)</f>
        <v>0</v>
      </c>
      <c r="N2343" s="3" t="n">
        <f aca="false">IF(I2343="Y",1,0)</f>
        <v>0</v>
      </c>
    </row>
    <row r="2344" customFormat="false" ht="15" hidden="false" customHeight="true" outlineLevel="0" collapsed="false">
      <c r="A2344" s="7" t="s">
        <v>80</v>
      </c>
      <c r="B2344" s="7" t="n">
        <v>1990</v>
      </c>
      <c r="C2344" s="7" t="s">
        <v>382</v>
      </c>
      <c r="D2344" s="7" t="n">
        <v>77</v>
      </c>
      <c r="E2344" s="7" t="n">
        <v>85</v>
      </c>
      <c r="F2344" s="7" t="s">
        <v>546</v>
      </c>
      <c r="G2344" s="7"/>
      <c r="H2344" s="7" t="s">
        <v>546</v>
      </c>
      <c r="I2344" s="7" t="s">
        <v>546</v>
      </c>
      <c r="J2344" s="21" t="n">
        <f aca="false">D2344/(D2344+E2344)</f>
        <v>0.475308641975309</v>
      </c>
      <c r="K2344" s="3" t="n">
        <f aca="false">IF(D2344&gt;E2344,1,0)</f>
        <v>0</v>
      </c>
      <c r="L2344" s="3" t="n">
        <f aca="false">IF(OR(F2344="Y",G2344="Y",H2344="Y"),1,0)</f>
        <v>0</v>
      </c>
      <c r="M2344" s="3" t="n">
        <f aca="false">IF(H2344="Y",1,0)</f>
        <v>0</v>
      </c>
      <c r="N2344" s="3" t="n">
        <f aca="false">IF(I2344="Y",1,0)</f>
        <v>0</v>
      </c>
    </row>
    <row r="2345" customFormat="false" ht="15" hidden="false" customHeight="true" outlineLevel="0" collapsed="false">
      <c r="A2345" s="7" t="s">
        <v>80</v>
      </c>
      <c r="B2345" s="7" t="n">
        <v>1991</v>
      </c>
      <c r="C2345" s="7" t="s">
        <v>382</v>
      </c>
      <c r="D2345" s="7" t="n">
        <v>83</v>
      </c>
      <c r="E2345" s="7" t="n">
        <v>79</v>
      </c>
      <c r="F2345" s="7" t="s">
        <v>546</v>
      </c>
      <c r="G2345" s="7"/>
      <c r="H2345" s="7" t="s">
        <v>546</v>
      </c>
      <c r="I2345" s="7" t="s">
        <v>546</v>
      </c>
      <c r="J2345" s="21" t="n">
        <f aca="false">D2345/(D2345+E2345)</f>
        <v>0.512345679012346</v>
      </c>
      <c r="K2345" s="3" t="n">
        <f aca="false">IF(D2345&gt;E2345,1,0)</f>
        <v>1</v>
      </c>
      <c r="L2345" s="3" t="n">
        <f aca="false">IF(OR(F2345="Y",G2345="Y",H2345="Y"),1,0)</f>
        <v>0</v>
      </c>
      <c r="M2345" s="3" t="n">
        <f aca="false">IF(H2345="Y",1,0)</f>
        <v>0</v>
      </c>
      <c r="N2345" s="3" t="n">
        <f aca="false">IF(I2345="Y",1,0)</f>
        <v>0</v>
      </c>
    </row>
    <row r="2346" customFormat="false" ht="15" hidden="false" customHeight="true" outlineLevel="0" collapsed="false">
      <c r="A2346" s="7" t="s">
        <v>80</v>
      </c>
      <c r="B2346" s="7" t="n">
        <v>1992</v>
      </c>
      <c r="C2346" s="7" t="s">
        <v>382</v>
      </c>
      <c r="D2346" s="7" t="n">
        <v>64</v>
      </c>
      <c r="E2346" s="7" t="n">
        <v>98</v>
      </c>
      <c r="F2346" s="7" t="s">
        <v>546</v>
      </c>
      <c r="G2346" s="7"/>
      <c r="H2346" s="7" t="s">
        <v>546</v>
      </c>
      <c r="I2346" s="7" t="s">
        <v>546</v>
      </c>
      <c r="J2346" s="21" t="n">
        <f aca="false">D2346/(D2346+E2346)</f>
        <v>0.395061728395062</v>
      </c>
      <c r="K2346" s="3" t="n">
        <f aca="false">IF(D2346&gt;E2346,1,0)</f>
        <v>0</v>
      </c>
      <c r="L2346" s="3" t="n">
        <f aca="false">IF(OR(F2346="Y",G2346="Y",H2346="Y"),1,0)</f>
        <v>0</v>
      </c>
      <c r="M2346" s="3" t="n">
        <f aca="false">IF(H2346="Y",1,0)</f>
        <v>0</v>
      </c>
      <c r="N2346" s="3" t="n">
        <f aca="false">IF(I2346="Y",1,0)</f>
        <v>0</v>
      </c>
    </row>
    <row r="2347" customFormat="false" ht="15" hidden="false" customHeight="true" outlineLevel="0" collapsed="false">
      <c r="A2347" s="7" t="s">
        <v>80</v>
      </c>
      <c r="B2347" s="7" t="n">
        <v>1993</v>
      </c>
      <c r="C2347" s="7" t="s">
        <v>382</v>
      </c>
      <c r="D2347" s="7" t="n">
        <v>82</v>
      </c>
      <c r="E2347" s="7" t="n">
        <v>80</v>
      </c>
      <c r="F2347" s="7" t="s">
        <v>546</v>
      </c>
      <c r="G2347" s="7"/>
      <c r="H2347" s="7" t="s">
        <v>546</v>
      </c>
      <c r="I2347" s="7" t="s">
        <v>546</v>
      </c>
      <c r="J2347" s="21" t="n">
        <f aca="false">D2347/(D2347+E2347)</f>
        <v>0.506172839506173</v>
      </c>
      <c r="K2347" s="3" t="n">
        <f aca="false">IF(D2347&gt;E2347,1,0)</f>
        <v>1</v>
      </c>
      <c r="L2347" s="3" t="n">
        <f aca="false">IF(OR(F2347="Y",G2347="Y",H2347="Y"),1,0)</f>
        <v>0</v>
      </c>
      <c r="M2347" s="3" t="n">
        <f aca="false">IF(H2347="Y",1,0)</f>
        <v>0</v>
      </c>
      <c r="N2347" s="3" t="n">
        <f aca="false">IF(I2347="Y",1,0)</f>
        <v>0</v>
      </c>
    </row>
    <row r="2348" customFormat="false" ht="15" hidden="false" customHeight="true" outlineLevel="0" collapsed="false">
      <c r="A2348" s="7" t="s">
        <v>80</v>
      </c>
      <c r="B2348" s="7" t="n">
        <v>1994</v>
      </c>
      <c r="C2348" s="7" t="s">
        <v>382</v>
      </c>
      <c r="D2348" s="7" t="n">
        <v>49</v>
      </c>
      <c r="E2348" s="7" t="n">
        <v>63</v>
      </c>
      <c r="F2348" s="7"/>
      <c r="G2348" s="7"/>
      <c r="H2348" s="7"/>
      <c r="I2348" s="7"/>
      <c r="J2348" s="21" t="n">
        <f aca="false">D2348/(D2348+E2348)</f>
        <v>0.4375</v>
      </c>
      <c r="K2348" s="3" t="n">
        <f aca="false">IF(D2348&gt;E2348,1,0)</f>
        <v>0</v>
      </c>
      <c r="L2348" s="3" t="n">
        <f aca="false">IF(OR(F2348="Y",G2348="Y",H2348="Y"),1,0)</f>
        <v>0</v>
      </c>
      <c r="M2348" s="3" t="n">
        <f aca="false">IF(H2348="Y",1,0)</f>
        <v>0</v>
      </c>
      <c r="N2348" s="3" t="n">
        <f aca="false">IF(I2348="Y",1,0)</f>
        <v>0</v>
      </c>
    </row>
    <row r="2349" customFormat="false" ht="15" hidden="false" customHeight="true" outlineLevel="0" collapsed="false">
      <c r="A2349" s="7" t="s">
        <v>80</v>
      </c>
      <c r="B2349" s="7" t="n">
        <v>1995</v>
      </c>
      <c r="C2349" s="7" t="s">
        <v>382</v>
      </c>
      <c r="D2349" s="7" t="n">
        <v>79</v>
      </c>
      <c r="E2349" s="7" t="n">
        <v>66</v>
      </c>
      <c r="F2349" s="7" t="s">
        <v>548</v>
      </c>
      <c r="G2349" s="7" t="s">
        <v>546</v>
      </c>
      <c r="H2349" s="7" t="s">
        <v>546</v>
      </c>
      <c r="I2349" s="7" t="s">
        <v>546</v>
      </c>
      <c r="J2349" s="21" t="n">
        <f aca="false">D2349/(D2349+E2349)</f>
        <v>0.544827586206897</v>
      </c>
      <c r="K2349" s="3" t="n">
        <f aca="false">IF(D2349&gt;E2349,1,0)</f>
        <v>1</v>
      </c>
      <c r="L2349" s="3" t="n">
        <f aca="false">IF(OR(F2349="Y",G2349="Y",H2349="Y"),1,0)</f>
        <v>1</v>
      </c>
      <c r="M2349" s="3" t="n">
        <f aca="false">IF(H2349="Y",1,0)</f>
        <v>0</v>
      </c>
      <c r="N2349" s="3" t="n">
        <f aca="false">IF(I2349="Y",1,0)</f>
        <v>0</v>
      </c>
    </row>
    <row r="2350" customFormat="false" ht="15" hidden="false" customHeight="true" outlineLevel="0" collapsed="false">
      <c r="A2350" s="7" t="s">
        <v>80</v>
      </c>
      <c r="B2350" s="7" t="n">
        <v>1996</v>
      </c>
      <c r="C2350" s="7" t="s">
        <v>382</v>
      </c>
      <c r="D2350" s="7" t="n">
        <v>85</v>
      </c>
      <c r="E2350" s="7" t="n">
        <v>76</v>
      </c>
      <c r="F2350" s="7" t="s">
        <v>546</v>
      </c>
      <c r="G2350" s="7" t="s">
        <v>546</v>
      </c>
      <c r="H2350" s="7" t="s">
        <v>546</v>
      </c>
      <c r="I2350" s="7" t="s">
        <v>546</v>
      </c>
      <c r="J2350" s="21" t="n">
        <f aca="false">D2350/(D2350+E2350)</f>
        <v>0.527950310559006</v>
      </c>
      <c r="K2350" s="3" t="n">
        <f aca="false">IF(D2350&gt;E2350,1,0)</f>
        <v>1</v>
      </c>
      <c r="L2350" s="3" t="n">
        <f aca="false">IF(OR(F2350="Y",G2350="Y",H2350="Y"),1,0)</f>
        <v>0</v>
      </c>
      <c r="M2350" s="3" t="n">
        <f aca="false">IF(H2350="Y",1,0)</f>
        <v>0</v>
      </c>
      <c r="N2350" s="3" t="n">
        <f aca="false">IF(I2350="Y",1,0)</f>
        <v>0</v>
      </c>
    </row>
    <row r="2351" customFormat="false" ht="15" hidden="false" customHeight="true" outlineLevel="0" collapsed="false">
      <c r="A2351" s="7" t="s">
        <v>80</v>
      </c>
      <c r="B2351" s="7" t="n">
        <v>1997</v>
      </c>
      <c r="C2351" s="7" t="s">
        <v>382</v>
      </c>
      <c r="D2351" s="7" t="n">
        <v>90</v>
      </c>
      <c r="E2351" s="7" t="n">
        <v>72</v>
      </c>
      <c r="F2351" s="7" t="s">
        <v>548</v>
      </c>
      <c r="G2351" s="7" t="s">
        <v>546</v>
      </c>
      <c r="H2351" s="7" t="s">
        <v>546</v>
      </c>
      <c r="I2351" s="7" t="s">
        <v>546</v>
      </c>
      <c r="J2351" s="21" t="n">
        <f aca="false">D2351/(D2351+E2351)</f>
        <v>0.555555555555556</v>
      </c>
      <c r="K2351" s="3" t="n">
        <f aca="false">IF(D2351&gt;E2351,1,0)</f>
        <v>1</v>
      </c>
      <c r="L2351" s="3" t="n">
        <f aca="false">IF(OR(F2351="Y",G2351="Y",H2351="Y"),1,0)</f>
        <v>1</v>
      </c>
      <c r="M2351" s="3" t="n">
        <f aca="false">IF(H2351="Y",1,0)</f>
        <v>0</v>
      </c>
      <c r="N2351" s="3" t="n">
        <f aca="false">IF(I2351="Y",1,0)</f>
        <v>0</v>
      </c>
    </row>
    <row r="2352" customFormat="false" ht="15" hidden="false" customHeight="true" outlineLevel="0" collapsed="false">
      <c r="A2352" s="7" t="s">
        <v>80</v>
      </c>
      <c r="B2352" s="7" t="n">
        <v>1998</v>
      </c>
      <c r="C2352" s="7" t="s">
        <v>382</v>
      </c>
      <c r="D2352" s="7" t="n">
        <v>76</v>
      </c>
      <c r="E2352" s="7" t="n">
        <v>85</v>
      </c>
      <c r="F2352" s="7" t="s">
        <v>546</v>
      </c>
      <c r="G2352" s="7" t="s">
        <v>546</v>
      </c>
      <c r="H2352" s="7" t="s">
        <v>546</v>
      </c>
      <c r="I2352" s="7" t="s">
        <v>546</v>
      </c>
      <c r="J2352" s="21" t="n">
        <f aca="false">D2352/(D2352+E2352)</f>
        <v>0.472049689440994</v>
      </c>
      <c r="K2352" s="3" t="n">
        <f aca="false">IF(D2352&gt;E2352,1,0)</f>
        <v>0</v>
      </c>
      <c r="L2352" s="3" t="n">
        <f aca="false">IF(OR(F2352="Y",G2352="Y",H2352="Y"),1,0)</f>
        <v>0</v>
      </c>
      <c r="M2352" s="3" t="n">
        <f aca="false">IF(H2352="Y",1,0)</f>
        <v>0</v>
      </c>
      <c r="N2352" s="3" t="n">
        <f aca="false">IF(I2352="Y",1,0)</f>
        <v>0</v>
      </c>
    </row>
    <row r="2353" customFormat="false" ht="15" hidden="false" customHeight="true" outlineLevel="0" collapsed="false">
      <c r="A2353" s="7" t="s">
        <v>80</v>
      </c>
      <c r="B2353" s="7" t="n">
        <v>1999</v>
      </c>
      <c r="C2353" s="7" t="s">
        <v>382</v>
      </c>
      <c r="D2353" s="7" t="n">
        <v>79</v>
      </c>
      <c r="E2353" s="7" t="n">
        <v>83</v>
      </c>
      <c r="F2353" s="7" t="s">
        <v>546</v>
      </c>
      <c r="G2353" s="7" t="s">
        <v>546</v>
      </c>
      <c r="H2353" s="7" t="s">
        <v>546</v>
      </c>
      <c r="I2353" s="7" t="s">
        <v>546</v>
      </c>
      <c r="J2353" s="21" t="n">
        <f aca="false">D2353/(D2353+E2353)</f>
        <v>0.487654320987654</v>
      </c>
      <c r="K2353" s="3" t="n">
        <f aca="false">IF(D2353&gt;E2353,1,0)</f>
        <v>0</v>
      </c>
      <c r="L2353" s="3" t="n">
        <f aca="false">IF(OR(F2353="Y",G2353="Y",H2353="Y"),1,0)</f>
        <v>0</v>
      </c>
      <c r="M2353" s="3" t="n">
        <f aca="false">IF(H2353="Y",1,0)</f>
        <v>0</v>
      </c>
      <c r="N2353" s="3" t="n">
        <f aca="false">IF(I2353="Y",1,0)</f>
        <v>0</v>
      </c>
    </row>
    <row r="2354" customFormat="false" ht="15" hidden="false" customHeight="true" outlineLevel="0" collapsed="false">
      <c r="A2354" s="7" t="s">
        <v>80</v>
      </c>
      <c r="B2354" s="7" t="n">
        <v>2000</v>
      </c>
      <c r="C2354" s="7" t="s">
        <v>382</v>
      </c>
      <c r="D2354" s="7" t="n">
        <v>91</v>
      </c>
      <c r="E2354" s="7" t="n">
        <v>71</v>
      </c>
      <c r="F2354" s="7" t="s">
        <v>546</v>
      </c>
      <c r="G2354" s="7" t="s">
        <v>548</v>
      </c>
      <c r="H2354" s="7" t="s">
        <v>546</v>
      </c>
      <c r="I2354" s="7" t="s">
        <v>546</v>
      </c>
      <c r="J2354" s="21" t="n">
        <f aca="false">D2354/(D2354+E2354)</f>
        <v>0.561728395061728</v>
      </c>
      <c r="K2354" s="3" t="n">
        <f aca="false">IF(D2354&gt;E2354,1,0)</f>
        <v>1</v>
      </c>
      <c r="L2354" s="3" t="n">
        <f aca="false">IF(OR(F2354="Y",G2354="Y",H2354="Y"),1,0)</f>
        <v>1</v>
      </c>
      <c r="M2354" s="3" t="n">
        <f aca="false">IF(H2354="Y",1,0)</f>
        <v>0</v>
      </c>
      <c r="N2354" s="3" t="n">
        <f aca="false">IF(I2354="Y",1,0)</f>
        <v>0</v>
      </c>
    </row>
    <row r="2355" customFormat="false" ht="15" hidden="false" customHeight="true" outlineLevel="0" collapsed="false">
      <c r="A2355" s="7" t="s">
        <v>80</v>
      </c>
      <c r="B2355" s="7" t="n">
        <v>2001</v>
      </c>
      <c r="C2355" s="7" t="s">
        <v>382</v>
      </c>
      <c r="D2355" s="7" t="n">
        <v>116</v>
      </c>
      <c r="E2355" s="7" t="n">
        <v>46</v>
      </c>
      <c r="F2355" s="7" t="s">
        <v>548</v>
      </c>
      <c r="G2355" s="7" t="s">
        <v>546</v>
      </c>
      <c r="H2355" s="7" t="s">
        <v>546</v>
      </c>
      <c r="I2355" s="7" t="s">
        <v>546</v>
      </c>
      <c r="J2355" s="21" t="n">
        <f aca="false">D2355/(D2355+E2355)</f>
        <v>0.716049382716049</v>
      </c>
      <c r="K2355" s="3" t="n">
        <f aca="false">IF(D2355&gt;E2355,1,0)</f>
        <v>1</v>
      </c>
      <c r="L2355" s="3" t="n">
        <f aca="false">IF(OR(F2355="Y",G2355="Y",H2355="Y"),1,0)</f>
        <v>1</v>
      </c>
      <c r="M2355" s="3" t="n">
        <f aca="false">IF(H2355="Y",1,0)</f>
        <v>0</v>
      </c>
      <c r="N2355" s="3" t="n">
        <f aca="false">IF(I2355="Y",1,0)</f>
        <v>0</v>
      </c>
    </row>
    <row r="2356" customFormat="false" ht="15" hidden="false" customHeight="true" outlineLevel="0" collapsed="false">
      <c r="A2356" s="7" t="s">
        <v>80</v>
      </c>
      <c r="B2356" s="7" t="n">
        <v>2002</v>
      </c>
      <c r="C2356" s="7" t="s">
        <v>382</v>
      </c>
      <c r="D2356" s="7" t="n">
        <v>93</v>
      </c>
      <c r="E2356" s="7" t="n">
        <v>69</v>
      </c>
      <c r="F2356" s="7" t="s">
        <v>546</v>
      </c>
      <c r="G2356" s="7" t="s">
        <v>546</v>
      </c>
      <c r="H2356" s="7" t="s">
        <v>546</v>
      </c>
      <c r="I2356" s="7" t="s">
        <v>546</v>
      </c>
      <c r="J2356" s="21" t="n">
        <f aca="false">D2356/(D2356+E2356)</f>
        <v>0.574074074074074</v>
      </c>
      <c r="K2356" s="3" t="n">
        <f aca="false">IF(D2356&gt;E2356,1,0)</f>
        <v>1</v>
      </c>
      <c r="L2356" s="3" t="n">
        <f aca="false">IF(OR(F2356="Y",G2356="Y",H2356="Y"),1,0)</f>
        <v>0</v>
      </c>
      <c r="M2356" s="3" t="n">
        <f aca="false">IF(H2356="Y",1,0)</f>
        <v>0</v>
      </c>
      <c r="N2356" s="3" t="n">
        <f aca="false">IF(I2356="Y",1,0)</f>
        <v>0</v>
      </c>
    </row>
    <row r="2357" customFormat="false" ht="15" hidden="false" customHeight="true" outlineLevel="0" collapsed="false">
      <c r="A2357" s="7" t="s">
        <v>80</v>
      </c>
      <c r="B2357" s="7" t="n">
        <v>2003</v>
      </c>
      <c r="C2357" s="7" t="s">
        <v>382</v>
      </c>
      <c r="D2357" s="7" t="n">
        <v>93</v>
      </c>
      <c r="E2357" s="7" t="n">
        <v>69</v>
      </c>
      <c r="F2357" s="7" t="s">
        <v>546</v>
      </c>
      <c r="G2357" s="7" t="s">
        <v>546</v>
      </c>
      <c r="H2357" s="7" t="s">
        <v>546</v>
      </c>
      <c r="I2357" s="7" t="s">
        <v>546</v>
      </c>
      <c r="J2357" s="21" t="n">
        <f aca="false">D2357/(D2357+E2357)</f>
        <v>0.574074074074074</v>
      </c>
      <c r="K2357" s="3" t="n">
        <f aca="false">IF(D2357&gt;E2357,1,0)</f>
        <v>1</v>
      </c>
      <c r="L2357" s="3" t="n">
        <f aca="false">IF(OR(F2357="Y",G2357="Y",H2357="Y"),1,0)</f>
        <v>0</v>
      </c>
      <c r="M2357" s="3" t="n">
        <f aca="false">IF(H2357="Y",1,0)</f>
        <v>0</v>
      </c>
      <c r="N2357" s="3" t="n">
        <f aca="false">IF(I2357="Y",1,0)</f>
        <v>0</v>
      </c>
    </row>
    <row r="2358" customFormat="false" ht="15" hidden="false" customHeight="true" outlineLevel="0" collapsed="false">
      <c r="A2358" s="7" t="s">
        <v>80</v>
      </c>
      <c r="B2358" s="7" t="n">
        <v>2004</v>
      </c>
      <c r="C2358" s="7" t="s">
        <v>382</v>
      </c>
      <c r="D2358" s="7" t="n">
        <v>63</v>
      </c>
      <c r="E2358" s="7" t="n">
        <v>99</v>
      </c>
      <c r="F2358" s="7" t="s">
        <v>546</v>
      </c>
      <c r="G2358" s="7" t="s">
        <v>546</v>
      </c>
      <c r="H2358" s="7" t="s">
        <v>546</v>
      </c>
      <c r="I2358" s="7" t="s">
        <v>546</v>
      </c>
      <c r="J2358" s="21" t="n">
        <f aca="false">D2358/(D2358+E2358)</f>
        <v>0.388888888888889</v>
      </c>
      <c r="K2358" s="3" t="n">
        <f aca="false">IF(D2358&gt;E2358,1,0)</f>
        <v>0</v>
      </c>
      <c r="L2358" s="3" t="n">
        <f aca="false">IF(OR(F2358="Y",G2358="Y",H2358="Y"),1,0)</f>
        <v>0</v>
      </c>
      <c r="M2358" s="3" t="n">
        <f aca="false">IF(H2358="Y",1,0)</f>
        <v>0</v>
      </c>
      <c r="N2358" s="3" t="n">
        <f aca="false">IF(I2358="Y",1,0)</f>
        <v>0</v>
      </c>
    </row>
    <row r="2359" customFormat="false" ht="15" hidden="false" customHeight="true" outlineLevel="0" collapsed="false">
      <c r="A2359" s="7" t="s">
        <v>80</v>
      </c>
      <c r="B2359" s="7" t="n">
        <v>2005</v>
      </c>
      <c r="C2359" s="7" t="s">
        <v>382</v>
      </c>
      <c r="D2359" s="7" t="n">
        <v>69</v>
      </c>
      <c r="E2359" s="7" t="n">
        <v>93</v>
      </c>
      <c r="F2359" s="7" t="s">
        <v>546</v>
      </c>
      <c r="G2359" s="7" t="s">
        <v>546</v>
      </c>
      <c r="H2359" s="7" t="s">
        <v>546</v>
      </c>
      <c r="I2359" s="7" t="s">
        <v>546</v>
      </c>
      <c r="J2359" s="21" t="n">
        <f aca="false">D2359/(D2359+E2359)</f>
        <v>0.425925925925926</v>
      </c>
      <c r="K2359" s="3" t="n">
        <f aca="false">IF(D2359&gt;E2359,1,0)</f>
        <v>0</v>
      </c>
      <c r="L2359" s="3" t="n">
        <f aca="false">IF(OR(F2359="Y",G2359="Y",H2359="Y"),1,0)</f>
        <v>0</v>
      </c>
      <c r="M2359" s="3" t="n">
        <f aca="false">IF(H2359="Y",1,0)</f>
        <v>0</v>
      </c>
      <c r="N2359" s="3" t="n">
        <f aca="false">IF(I2359="Y",1,0)</f>
        <v>0</v>
      </c>
    </row>
    <row r="2360" customFormat="false" ht="15" hidden="false" customHeight="true" outlineLevel="0" collapsed="false">
      <c r="A2360" s="7" t="s">
        <v>80</v>
      </c>
      <c r="B2360" s="7" t="n">
        <v>2006</v>
      </c>
      <c r="C2360" s="7" t="s">
        <v>382</v>
      </c>
      <c r="D2360" s="7" t="n">
        <v>78</v>
      </c>
      <c r="E2360" s="7" t="n">
        <v>84</v>
      </c>
      <c r="F2360" s="7" t="s">
        <v>546</v>
      </c>
      <c r="G2360" s="7" t="s">
        <v>546</v>
      </c>
      <c r="H2360" s="7" t="s">
        <v>546</v>
      </c>
      <c r="I2360" s="7" t="s">
        <v>546</v>
      </c>
      <c r="J2360" s="21" t="n">
        <f aca="false">D2360/(D2360+E2360)</f>
        <v>0.481481481481481</v>
      </c>
      <c r="K2360" s="3" t="n">
        <f aca="false">IF(D2360&gt;E2360,1,0)</f>
        <v>0</v>
      </c>
      <c r="L2360" s="3" t="n">
        <f aca="false">IF(OR(F2360="Y",G2360="Y",H2360="Y"),1,0)</f>
        <v>0</v>
      </c>
      <c r="M2360" s="3" t="n">
        <f aca="false">IF(H2360="Y",1,0)</f>
        <v>0</v>
      </c>
      <c r="N2360" s="3" t="n">
        <f aca="false">IF(I2360="Y",1,0)</f>
        <v>0</v>
      </c>
    </row>
    <row r="2361" customFormat="false" ht="15" hidden="false" customHeight="true" outlineLevel="0" collapsed="false">
      <c r="A2361" s="7" t="s">
        <v>80</v>
      </c>
      <c r="B2361" s="7" t="n">
        <v>2007</v>
      </c>
      <c r="C2361" s="7" t="s">
        <v>382</v>
      </c>
      <c r="D2361" s="7" t="n">
        <v>88</v>
      </c>
      <c r="E2361" s="7" t="n">
        <v>74</v>
      </c>
      <c r="F2361" s="7" t="s">
        <v>546</v>
      </c>
      <c r="G2361" s="7" t="s">
        <v>546</v>
      </c>
      <c r="H2361" s="7" t="s">
        <v>546</v>
      </c>
      <c r="I2361" s="7" t="s">
        <v>546</v>
      </c>
      <c r="J2361" s="21" t="n">
        <f aca="false">D2361/(D2361+E2361)</f>
        <v>0.54320987654321</v>
      </c>
      <c r="K2361" s="3" t="n">
        <f aca="false">IF(D2361&gt;E2361,1,0)</f>
        <v>1</v>
      </c>
      <c r="L2361" s="3" t="n">
        <f aca="false">IF(OR(F2361="Y",G2361="Y",H2361="Y"),1,0)</f>
        <v>0</v>
      </c>
      <c r="M2361" s="3" t="n">
        <f aca="false">IF(H2361="Y",1,0)</f>
        <v>0</v>
      </c>
      <c r="N2361" s="3" t="n">
        <f aca="false">IF(I2361="Y",1,0)</f>
        <v>0</v>
      </c>
    </row>
    <row r="2362" customFormat="false" ht="15" hidden="false" customHeight="true" outlineLevel="0" collapsed="false">
      <c r="A2362" s="7" t="s">
        <v>80</v>
      </c>
      <c r="B2362" s="7" t="n">
        <v>2008</v>
      </c>
      <c r="C2362" s="7" t="s">
        <v>382</v>
      </c>
      <c r="D2362" s="7" t="n">
        <v>61</v>
      </c>
      <c r="E2362" s="7" t="n">
        <v>101</v>
      </c>
      <c r="F2362" s="7" t="s">
        <v>546</v>
      </c>
      <c r="G2362" s="7" t="s">
        <v>546</v>
      </c>
      <c r="H2362" s="7" t="s">
        <v>546</v>
      </c>
      <c r="I2362" s="7" t="s">
        <v>546</v>
      </c>
      <c r="J2362" s="21" t="n">
        <f aca="false">D2362/(D2362+E2362)</f>
        <v>0.376543209876543</v>
      </c>
      <c r="K2362" s="3" t="n">
        <f aca="false">IF(D2362&gt;E2362,1,0)</f>
        <v>0</v>
      </c>
      <c r="L2362" s="3" t="n">
        <f aca="false">IF(OR(F2362="Y",G2362="Y",H2362="Y"),1,0)</f>
        <v>0</v>
      </c>
      <c r="M2362" s="3" t="n">
        <f aca="false">IF(H2362="Y",1,0)</f>
        <v>0</v>
      </c>
      <c r="N2362" s="3" t="n">
        <f aca="false">IF(I2362="Y",1,0)</f>
        <v>0</v>
      </c>
    </row>
    <row r="2363" customFormat="false" ht="15" hidden="false" customHeight="true" outlineLevel="0" collapsed="false">
      <c r="A2363" s="7" t="s">
        <v>80</v>
      </c>
      <c r="B2363" s="7" t="n">
        <v>2009</v>
      </c>
      <c r="C2363" s="7" t="s">
        <v>382</v>
      </c>
      <c r="D2363" s="7" t="n">
        <v>85</v>
      </c>
      <c r="E2363" s="7" t="n">
        <v>77</v>
      </c>
      <c r="F2363" s="7" t="s">
        <v>546</v>
      </c>
      <c r="G2363" s="7" t="s">
        <v>546</v>
      </c>
      <c r="H2363" s="7" t="s">
        <v>546</v>
      </c>
      <c r="I2363" s="7" t="s">
        <v>546</v>
      </c>
      <c r="J2363" s="21" t="n">
        <f aca="false">D2363/(D2363+E2363)</f>
        <v>0.524691358024691</v>
      </c>
      <c r="K2363" s="3" t="n">
        <f aca="false">IF(D2363&gt;E2363,1,0)</f>
        <v>1</v>
      </c>
      <c r="L2363" s="3" t="n">
        <f aca="false">IF(OR(F2363="Y",G2363="Y",H2363="Y"),1,0)</f>
        <v>0</v>
      </c>
      <c r="M2363" s="3" t="n">
        <f aca="false">IF(H2363="Y",1,0)</f>
        <v>0</v>
      </c>
      <c r="N2363" s="3" t="n">
        <f aca="false">IF(I2363="Y",1,0)</f>
        <v>0</v>
      </c>
    </row>
    <row r="2364" customFormat="false" ht="15" hidden="false" customHeight="true" outlineLevel="0" collapsed="false">
      <c r="A2364" s="7" t="s">
        <v>80</v>
      </c>
      <c r="B2364" s="7" t="n">
        <v>2010</v>
      </c>
      <c r="C2364" s="7" t="s">
        <v>382</v>
      </c>
      <c r="D2364" s="7" t="n">
        <v>61</v>
      </c>
      <c r="E2364" s="7" t="n">
        <v>101</v>
      </c>
      <c r="F2364" s="7" t="s">
        <v>546</v>
      </c>
      <c r="G2364" s="7" t="s">
        <v>546</v>
      </c>
      <c r="H2364" s="7" t="s">
        <v>546</v>
      </c>
      <c r="I2364" s="7" t="s">
        <v>546</v>
      </c>
      <c r="J2364" s="21" t="n">
        <f aca="false">D2364/(D2364+E2364)</f>
        <v>0.376543209876543</v>
      </c>
      <c r="K2364" s="3" t="n">
        <f aca="false">IF(D2364&gt;E2364,1,0)</f>
        <v>0</v>
      </c>
      <c r="L2364" s="3" t="n">
        <f aca="false">IF(OR(F2364="Y",G2364="Y",H2364="Y"),1,0)</f>
        <v>0</v>
      </c>
      <c r="M2364" s="3" t="n">
        <f aca="false">IF(H2364="Y",1,0)</f>
        <v>0</v>
      </c>
      <c r="N2364" s="3" t="n">
        <f aca="false">IF(I2364="Y",1,0)</f>
        <v>0</v>
      </c>
    </row>
    <row r="2365" customFormat="false" ht="15" hidden="false" customHeight="true" outlineLevel="0" collapsed="false">
      <c r="A2365" s="7" t="s">
        <v>80</v>
      </c>
      <c r="B2365" s="7" t="n">
        <v>2011</v>
      </c>
      <c r="C2365" s="7" t="s">
        <v>382</v>
      </c>
      <c r="D2365" s="7" t="n">
        <v>67</v>
      </c>
      <c r="E2365" s="7" t="n">
        <v>95</v>
      </c>
      <c r="F2365" s="7" t="s">
        <v>546</v>
      </c>
      <c r="G2365" s="7" t="s">
        <v>546</v>
      </c>
      <c r="H2365" s="7" t="s">
        <v>546</v>
      </c>
      <c r="I2365" s="7" t="s">
        <v>546</v>
      </c>
      <c r="J2365" s="21" t="n">
        <f aca="false">D2365/(D2365+E2365)</f>
        <v>0.41358024691358</v>
      </c>
      <c r="K2365" s="3" t="n">
        <f aca="false">IF(D2365&gt;E2365,1,0)</f>
        <v>0</v>
      </c>
      <c r="L2365" s="3" t="n">
        <f aca="false">IF(OR(F2365="Y",G2365="Y",H2365="Y"),1,0)</f>
        <v>0</v>
      </c>
      <c r="M2365" s="3" t="n">
        <f aca="false">IF(H2365="Y",1,0)</f>
        <v>0</v>
      </c>
      <c r="N2365" s="3" t="n">
        <f aca="false">IF(I2365="Y",1,0)</f>
        <v>0</v>
      </c>
    </row>
    <row r="2366" customFormat="false" ht="15" hidden="false" customHeight="true" outlineLevel="0" collapsed="false">
      <c r="A2366" s="7" t="s">
        <v>80</v>
      </c>
      <c r="B2366" s="7" t="n">
        <v>2012</v>
      </c>
      <c r="C2366" s="7" t="s">
        <v>382</v>
      </c>
      <c r="D2366" s="7" t="n">
        <v>75</v>
      </c>
      <c r="E2366" s="7" t="n">
        <v>87</v>
      </c>
      <c r="F2366" s="7" t="s">
        <v>546</v>
      </c>
      <c r="G2366" s="7" t="s">
        <v>546</v>
      </c>
      <c r="H2366" s="7" t="s">
        <v>546</v>
      </c>
      <c r="I2366" s="7" t="s">
        <v>546</v>
      </c>
      <c r="J2366" s="21" t="n">
        <f aca="false">D2366/(D2366+E2366)</f>
        <v>0.462962962962963</v>
      </c>
      <c r="K2366" s="3" t="n">
        <f aca="false">IF(D2366&gt;E2366,1,0)</f>
        <v>0</v>
      </c>
      <c r="L2366" s="3" t="n">
        <f aca="false">IF(OR(F2366="Y",G2366="Y",H2366="Y"),1,0)</f>
        <v>0</v>
      </c>
      <c r="M2366" s="3" t="n">
        <f aca="false">IF(H2366="Y",1,0)</f>
        <v>0</v>
      </c>
      <c r="N2366" s="3" t="n">
        <f aca="false">IF(I2366="Y",1,0)</f>
        <v>0</v>
      </c>
    </row>
    <row r="2367" customFormat="false" ht="15" hidden="false" customHeight="true" outlineLevel="0" collapsed="false">
      <c r="A2367" s="7" t="s">
        <v>80</v>
      </c>
      <c r="B2367" s="7" t="n">
        <v>2013</v>
      </c>
      <c r="C2367" s="7" t="s">
        <v>382</v>
      </c>
      <c r="D2367" s="7" t="n">
        <v>71</v>
      </c>
      <c r="E2367" s="7" t="n">
        <v>91</v>
      </c>
      <c r="F2367" s="7" t="s">
        <v>546</v>
      </c>
      <c r="G2367" s="7" t="s">
        <v>546</v>
      </c>
      <c r="H2367" s="7" t="s">
        <v>546</v>
      </c>
      <c r="I2367" s="7" t="s">
        <v>546</v>
      </c>
      <c r="J2367" s="21" t="n">
        <f aca="false">D2367/(D2367+E2367)</f>
        <v>0.438271604938272</v>
      </c>
      <c r="K2367" s="3" t="n">
        <f aca="false">IF(D2367&gt;E2367,1,0)</f>
        <v>0</v>
      </c>
      <c r="L2367" s="3" t="n">
        <f aca="false">IF(OR(F2367="Y",G2367="Y",H2367="Y"),1,0)</f>
        <v>0</v>
      </c>
      <c r="M2367" s="3" t="n">
        <f aca="false">IF(H2367="Y",1,0)</f>
        <v>0</v>
      </c>
      <c r="N2367" s="3" t="n">
        <f aca="false">IF(I2367="Y",1,0)</f>
        <v>0</v>
      </c>
    </row>
    <row r="2368" customFormat="false" ht="15" hidden="false" customHeight="true" outlineLevel="0" collapsed="false">
      <c r="A2368" s="7" t="s">
        <v>80</v>
      </c>
      <c r="B2368" s="7" t="n">
        <v>2014</v>
      </c>
      <c r="C2368" s="7" t="s">
        <v>382</v>
      </c>
      <c r="D2368" s="7" t="n">
        <v>87</v>
      </c>
      <c r="E2368" s="7" t="n">
        <v>75</v>
      </c>
      <c r="F2368" s="7" t="s">
        <v>546</v>
      </c>
      <c r="G2368" s="7" t="s">
        <v>546</v>
      </c>
      <c r="H2368" s="7" t="s">
        <v>546</v>
      </c>
      <c r="I2368" s="7" t="s">
        <v>546</v>
      </c>
      <c r="J2368" s="21" t="n">
        <f aca="false">D2368/(D2368+E2368)</f>
        <v>0.537037037037037</v>
      </c>
      <c r="K2368" s="3" t="n">
        <f aca="false">IF(D2368&gt;E2368,1,0)</f>
        <v>1</v>
      </c>
      <c r="L2368" s="3" t="n">
        <f aca="false">IF(OR(F2368="Y",G2368="Y",H2368="Y"),1,0)</f>
        <v>0</v>
      </c>
      <c r="M2368" s="3" t="n">
        <f aca="false">IF(H2368="Y",1,0)</f>
        <v>0</v>
      </c>
      <c r="N2368" s="3" t="n">
        <f aca="false">IF(I2368="Y",1,0)</f>
        <v>0</v>
      </c>
    </row>
    <row r="2369" customFormat="false" ht="15" hidden="false" customHeight="true" outlineLevel="0" collapsed="false">
      <c r="A2369" s="7" t="s">
        <v>80</v>
      </c>
      <c r="B2369" s="7" t="n">
        <v>2015</v>
      </c>
      <c r="C2369" s="7" t="s">
        <v>382</v>
      </c>
      <c r="D2369" s="7" t="n">
        <v>76</v>
      </c>
      <c r="E2369" s="7" t="n">
        <v>86</v>
      </c>
      <c r="F2369" s="7" t="s">
        <v>546</v>
      </c>
      <c r="G2369" s="7" t="s">
        <v>546</v>
      </c>
      <c r="H2369" s="7" t="s">
        <v>546</v>
      </c>
      <c r="I2369" s="7" t="s">
        <v>546</v>
      </c>
      <c r="J2369" s="21" t="n">
        <f aca="false">D2369/(D2369+E2369)</f>
        <v>0.469135802469136</v>
      </c>
      <c r="K2369" s="3" t="n">
        <f aca="false">IF(D2369&gt;E2369,1,0)</f>
        <v>0</v>
      </c>
      <c r="L2369" s="3" t="n">
        <f aca="false">IF(OR(F2369="Y",G2369="Y",H2369="Y"),1,0)</f>
        <v>0</v>
      </c>
      <c r="M2369" s="3" t="n">
        <f aca="false">IF(H2369="Y",1,0)</f>
        <v>0</v>
      </c>
      <c r="N2369" s="3" t="n">
        <f aca="false">IF(I2369="Y",1,0)</f>
        <v>0</v>
      </c>
    </row>
    <row r="2370" customFormat="false" ht="15" hidden="false" customHeight="true" outlineLevel="0" collapsed="false">
      <c r="A2370" s="7" t="s">
        <v>80</v>
      </c>
      <c r="B2370" s="7" t="n">
        <v>2016</v>
      </c>
      <c r="C2370" s="7" t="s">
        <v>382</v>
      </c>
      <c r="D2370" s="7" t="n">
        <v>86</v>
      </c>
      <c r="E2370" s="7" t="n">
        <v>76</v>
      </c>
      <c r="F2370" s="7" t="s">
        <v>546</v>
      </c>
      <c r="G2370" s="7" t="s">
        <v>546</v>
      </c>
      <c r="H2370" s="7" t="s">
        <v>546</v>
      </c>
      <c r="I2370" s="7" t="s">
        <v>546</v>
      </c>
      <c r="J2370" s="21" t="n">
        <f aca="false">D2370/(D2370+E2370)</f>
        <v>0.530864197530864</v>
      </c>
      <c r="K2370" s="3" t="n">
        <f aca="false">IF(D2370&gt;E2370,1,0)</f>
        <v>1</v>
      </c>
      <c r="L2370" s="3" t="n">
        <f aca="false">IF(OR(F2370="Y",G2370="Y",H2370="Y"),1,0)</f>
        <v>0</v>
      </c>
      <c r="M2370" s="3" t="n">
        <f aca="false">IF(H2370="Y",1,0)</f>
        <v>0</v>
      </c>
      <c r="N2370" s="3" t="n">
        <f aca="false">IF(I2370="Y",1,0)</f>
        <v>0</v>
      </c>
    </row>
    <row r="2371" customFormat="false" ht="15" hidden="false" customHeight="true" outlineLevel="0" collapsed="false">
      <c r="A2371" s="7" t="s">
        <v>80</v>
      </c>
      <c r="B2371" s="7" t="n">
        <v>2017</v>
      </c>
      <c r="C2371" s="7" t="s">
        <v>382</v>
      </c>
      <c r="D2371" s="7" t="n">
        <v>78</v>
      </c>
      <c r="E2371" s="7" t="n">
        <v>84</v>
      </c>
      <c r="F2371" s="7" t="s">
        <v>546</v>
      </c>
      <c r="G2371" s="7" t="s">
        <v>546</v>
      </c>
      <c r="H2371" s="7" t="s">
        <v>546</v>
      </c>
      <c r="I2371" s="7" t="s">
        <v>546</v>
      </c>
      <c r="J2371" s="21" t="n">
        <f aca="false">D2371/(D2371+E2371)</f>
        <v>0.481481481481481</v>
      </c>
      <c r="K2371" s="3" t="n">
        <f aca="false">IF(D2371&gt;E2371,1,0)</f>
        <v>0</v>
      </c>
      <c r="L2371" s="3" t="n">
        <f aca="false">IF(OR(F2371="Y",G2371="Y",H2371="Y"),1,0)</f>
        <v>0</v>
      </c>
      <c r="M2371" s="3" t="n">
        <f aca="false">IF(H2371="Y",1,0)</f>
        <v>0</v>
      </c>
      <c r="N2371" s="3" t="n">
        <f aca="false">IF(I2371="Y",1,0)</f>
        <v>0</v>
      </c>
    </row>
    <row r="2372" customFormat="false" ht="15" hidden="false" customHeight="true" outlineLevel="0" collapsed="false">
      <c r="A2372" s="7" t="s">
        <v>80</v>
      </c>
      <c r="B2372" s="7" t="n">
        <v>2018</v>
      </c>
      <c r="C2372" s="7" t="s">
        <v>382</v>
      </c>
      <c r="D2372" s="7" t="n">
        <v>89</v>
      </c>
      <c r="E2372" s="7" t="n">
        <v>73</v>
      </c>
      <c r="F2372" s="7" t="s">
        <v>546</v>
      </c>
      <c r="G2372" s="7" t="s">
        <v>546</v>
      </c>
      <c r="H2372" s="7" t="s">
        <v>546</v>
      </c>
      <c r="I2372" s="7" t="s">
        <v>546</v>
      </c>
      <c r="J2372" s="21" t="n">
        <f aca="false">D2372/(D2372+E2372)</f>
        <v>0.549382716049383</v>
      </c>
      <c r="K2372" s="3" t="n">
        <f aca="false">IF(D2372&gt;E2372,1,0)</f>
        <v>1</v>
      </c>
      <c r="L2372" s="3" t="n">
        <f aca="false">IF(OR(F2372="Y",G2372="Y",H2372="Y"),1,0)</f>
        <v>0</v>
      </c>
      <c r="M2372" s="3" t="n">
        <f aca="false">IF(H2372="Y",1,0)</f>
        <v>0</v>
      </c>
      <c r="N2372" s="3" t="n">
        <f aca="false">IF(I2372="Y",1,0)</f>
        <v>0</v>
      </c>
    </row>
    <row r="2373" customFormat="false" ht="15" hidden="false" customHeight="true" outlineLevel="0" collapsed="false">
      <c r="A2373" s="7" t="s">
        <v>80</v>
      </c>
      <c r="B2373" s="7" t="n">
        <v>2019</v>
      </c>
      <c r="C2373" s="7" t="s">
        <v>382</v>
      </c>
      <c r="D2373" s="7" t="n">
        <v>68</v>
      </c>
      <c r="E2373" s="7" t="n">
        <v>94</v>
      </c>
      <c r="F2373" s="7" t="s">
        <v>546</v>
      </c>
      <c r="G2373" s="7" t="s">
        <v>546</v>
      </c>
      <c r="H2373" s="7" t="s">
        <v>546</v>
      </c>
      <c r="I2373" s="7" t="s">
        <v>546</v>
      </c>
      <c r="J2373" s="21" t="n">
        <f aca="false">D2373/(D2373+E2373)</f>
        <v>0.419753086419753</v>
      </c>
      <c r="K2373" s="3" t="n">
        <f aca="false">IF(D2373&gt;E2373,1,0)</f>
        <v>0</v>
      </c>
      <c r="L2373" s="3" t="n">
        <f aca="false">IF(OR(F2373="Y",G2373="Y",H2373="Y"),1,0)</f>
        <v>0</v>
      </c>
      <c r="M2373" s="3" t="n">
        <f aca="false">IF(H2373="Y",1,0)</f>
        <v>0</v>
      </c>
      <c r="N2373" s="3" t="n">
        <f aca="false">IF(I2373="Y",1,0)</f>
        <v>0</v>
      </c>
    </row>
    <row r="2374" customFormat="false" ht="15" hidden="false" customHeight="true" outlineLevel="0" collapsed="false">
      <c r="A2374" s="7" t="s">
        <v>80</v>
      </c>
      <c r="B2374" s="7" t="n">
        <v>2020</v>
      </c>
      <c r="C2374" s="7" t="s">
        <v>382</v>
      </c>
      <c r="D2374" s="7" t="n">
        <v>27</v>
      </c>
      <c r="E2374" s="7" t="n">
        <v>33</v>
      </c>
      <c r="F2374" s="7" t="s">
        <v>546</v>
      </c>
      <c r="G2374" s="7" t="s">
        <v>546</v>
      </c>
      <c r="H2374" s="7" t="s">
        <v>546</v>
      </c>
      <c r="I2374" s="7" t="s">
        <v>546</v>
      </c>
      <c r="J2374" s="21" t="n">
        <f aca="false">D2374/(D2374+E2374)</f>
        <v>0.45</v>
      </c>
      <c r="K2374" s="3" t="n">
        <f aca="false">IF(D2374&gt;E2374,1,0)</f>
        <v>0</v>
      </c>
      <c r="L2374" s="3" t="n">
        <f aca="false">IF(OR(F2374="Y",G2374="Y",H2374="Y"),1,0)</f>
        <v>0</v>
      </c>
      <c r="M2374" s="3" t="n">
        <f aca="false">IF(H2374="Y",1,0)</f>
        <v>0</v>
      </c>
      <c r="N2374" s="3" t="n">
        <f aca="false">IF(I2374="Y",1,0)</f>
        <v>0</v>
      </c>
    </row>
    <row r="2375" customFormat="false" ht="15" hidden="false" customHeight="true" outlineLevel="0" collapsed="false">
      <c r="A2375" s="7" t="s">
        <v>80</v>
      </c>
      <c r="B2375" s="7" t="n">
        <v>2021</v>
      </c>
      <c r="C2375" s="7" t="s">
        <v>382</v>
      </c>
      <c r="D2375" s="7" t="n">
        <v>90</v>
      </c>
      <c r="E2375" s="7" t="n">
        <v>72</v>
      </c>
      <c r="F2375" s="7" t="s">
        <v>546</v>
      </c>
      <c r="G2375" s="7" t="s">
        <v>546</v>
      </c>
      <c r="H2375" s="7" t="s">
        <v>546</v>
      </c>
      <c r="I2375" s="7" t="s">
        <v>546</v>
      </c>
      <c r="J2375" s="21" t="n">
        <f aca="false">D2375/(D2375+E2375)</f>
        <v>0.555555555555556</v>
      </c>
      <c r="K2375" s="3" t="n">
        <f aca="false">IF(D2375&gt;E2375,1,0)</f>
        <v>1</v>
      </c>
      <c r="L2375" s="3" t="n">
        <f aca="false">IF(OR(F2375="Y",G2375="Y",H2375="Y"),1,0)</f>
        <v>0</v>
      </c>
      <c r="M2375" s="3" t="n">
        <f aca="false">IF(H2375="Y",1,0)</f>
        <v>0</v>
      </c>
      <c r="N2375" s="3" t="n">
        <f aca="false">IF(I2375="Y",1,0)</f>
        <v>0</v>
      </c>
    </row>
    <row r="2376" customFormat="false" ht="15" hidden="false" customHeight="true" outlineLevel="0" collapsed="false">
      <c r="A2376" s="7" t="s">
        <v>80</v>
      </c>
      <c r="B2376" s="7" t="n">
        <v>2022</v>
      </c>
      <c r="C2376" s="7" t="s">
        <v>382</v>
      </c>
      <c r="D2376" s="7" t="n">
        <v>90</v>
      </c>
      <c r="E2376" s="7" t="n">
        <v>72</v>
      </c>
      <c r="F2376" s="7" t="s">
        <v>546</v>
      </c>
      <c r="G2376" s="7" t="s">
        <v>548</v>
      </c>
      <c r="H2376" s="7" t="s">
        <v>546</v>
      </c>
      <c r="I2376" s="7" t="s">
        <v>546</v>
      </c>
      <c r="J2376" s="21" t="n">
        <f aca="false">D2376/(D2376+E2376)</f>
        <v>0.555555555555556</v>
      </c>
      <c r="K2376" s="3" t="n">
        <f aca="false">IF(D2376&gt;E2376,1,0)</f>
        <v>1</v>
      </c>
      <c r="L2376" s="3" t="n">
        <f aca="false">IF(OR(F2376="Y",G2376="Y",H2376="Y"),1,0)</f>
        <v>1</v>
      </c>
      <c r="M2376" s="3" t="n">
        <f aca="false">IF(H2376="Y",1,0)</f>
        <v>0</v>
      </c>
      <c r="N2376" s="3" t="n">
        <f aca="false">IF(I2376="Y",1,0)</f>
        <v>0</v>
      </c>
    </row>
    <row r="2377" customFormat="false" ht="15" hidden="false" customHeight="true" outlineLevel="0" collapsed="false">
      <c r="A2377" s="7" t="s">
        <v>80</v>
      </c>
      <c r="B2377" s="7" t="n">
        <v>2023</v>
      </c>
      <c r="C2377" s="7" t="s">
        <v>382</v>
      </c>
      <c r="D2377" s="7" t="n">
        <v>88</v>
      </c>
      <c r="E2377" s="7" t="n">
        <v>74</v>
      </c>
      <c r="F2377" s="7" t="s">
        <v>546</v>
      </c>
      <c r="G2377" s="7" t="s">
        <v>546</v>
      </c>
      <c r="H2377" s="7" t="s">
        <v>546</v>
      </c>
      <c r="I2377" s="7" t="s">
        <v>546</v>
      </c>
      <c r="J2377" s="21" t="n">
        <f aca="false">D2377/(D2377+E2377)</f>
        <v>0.54320987654321</v>
      </c>
      <c r="K2377" s="3" t="n">
        <f aca="false">IF(D2377&gt;E2377,1,0)</f>
        <v>1</v>
      </c>
      <c r="L2377" s="3" t="n">
        <f aca="false">IF(OR(F2377="Y",G2377="Y",H2377="Y"),1,0)</f>
        <v>0</v>
      </c>
      <c r="M2377" s="3" t="n">
        <f aca="false">IF(H2377="Y",1,0)</f>
        <v>0</v>
      </c>
      <c r="N2377" s="3" t="n">
        <f aca="false">IF(I2377="Y",1,0)</f>
        <v>0</v>
      </c>
    </row>
    <row r="2378" customFormat="false" ht="15" hidden="false" customHeight="true" outlineLevel="0" collapsed="false">
      <c r="A2378" s="7" t="s">
        <v>80</v>
      </c>
      <c r="B2378" s="7" t="n">
        <v>2024</v>
      </c>
      <c r="C2378" s="7" t="s">
        <v>382</v>
      </c>
      <c r="D2378" s="7" t="n">
        <v>85</v>
      </c>
      <c r="E2378" s="7" t="n">
        <v>77</v>
      </c>
      <c r="F2378" s="7" t="s">
        <v>546</v>
      </c>
      <c r="G2378" s="7" t="s">
        <v>546</v>
      </c>
      <c r="H2378" s="7" t="s">
        <v>546</v>
      </c>
      <c r="I2378" s="7" t="s">
        <v>546</v>
      </c>
      <c r="J2378" s="21" t="n">
        <f aca="false">D2378/(D2378+E2378)</f>
        <v>0.524691358024691</v>
      </c>
      <c r="K2378" s="3" t="n">
        <f aca="false">IF(D2378&gt;E2378,1,0)</f>
        <v>1</v>
      </c>
      <c r="L2378" s="3" t="n">
        <f aca="false">IF(OR(F2378="Y",G2378="Y",H2378="Y"),1,0)</f>
        <v>0</v>
      </c>
      <c r="M2378" s="3" t="n">
        <f aca="false">IF(H2378="Y",1,0)</f>
        <v>0</v>
      </c>
      <c r="N2378" s="3" t="n">
        <f aca="false">IF(I2378="Y",1,0)</f>
        <v>0</v>
      </c>
    </row>
    <row r="2379" customFormat="false" ht="15" hidden="false" customHeight="true" outlineLevel="0" collapsed="false">
      <c r="A2379" s="7" t="s">
        <v>80</v>
      </c>
      <c r="B2379" s="7" t="n">
        <v>2025</v>
      </c>
      <c r="C2379" s="7" t="s">
        <v>382</v>
      </c>
      <c r="D2379" s="7" t="n">
        <v>90</v>
      </c>
      <c r="E2379" s="7" t="n">
        <v>72</v>
      </c>
      <c r="F2379" s="7" t="s">
        <v>548</v>
      </c>
      <c r="G2379" s="7" t="s">
        <v>546</v>
      </c>
      <c r="H2379" s="7" t="s">
        <v>546</v>
      </c>
      <c r="I2379" s="7" t="s">
        <v>546</v>
      </c>
      <c r="J2379" s="21" t="n">
        <f aca="false">D2379/(D2379+E2379)</f>
        <v>0.555555555555556</v>
      </c>
      <c r="K2379" s="3" t="n">
        <f aca="false">IF(D2379&gt;E2379,1,0)</f>
        <v>1</v>
      </c>
      <c r="L2379" s="3" t="n">
        <f aca="false">IF(OR(F2379="Y",G2379="Y",H2379="Y"),1,0)</f>
        <v>1</v>
      </c>
      <c r="M2379" s="3" t="n">
        <f aca="false">IF(H2379="Y",1,0)</f>
        <v>0</v>
      </c>
      <c r="N2379" s="3" t="n">
        <f aca="false">IF(I2379="Y",1,0)</f>
        <v>0</v>
      </c>
    </row>
    <row r="2380" customFormat="false" ht="15" hidden="false" customHeight="true" outlineLevel="0" collapsed="false">
      <c r="A2380" s="7" t="s">
        <v>61</v>
      </c>
      <c r="B2380" s="7" t="n">
        <v>1883</v>
      </c>
      <c r="C2380" s="7" t="s">
        <v>584</v>
      </c>
      <c r="D2380" s="7" t="n">
        <v>46</v>
      </c>
      <c r="E2380" s="7" t="n">
        <v>50</v>
      </c>
      <c r="F2380" s="7"/>
      <c r="G2380" s="7"/>
      <c r="H2380" s="7" t="s">
        <v>546</v>
      </c>
      <c r="I2380" s="7"/>
      <c r="J2380" s="21" t="n">
        <f aca="false">D2380/(D2380+E2380)</f>
        <v>0.479166666666667</v>
      </c>
      <c r="K2380" s="3" t="n">
        <f aca="false">IF(D2380&gt;E2380,1,0)</f>
        <v>0</v>
      </c>
      <c r="L2380" s="3" t="n">
        <f aca="false">IF(OR(F2380="Y",G2380="Y",H2380="Y"),1,0)</f>
        <v>0</v>
      </c>
      <c r="M2380" s="3" t="n">
        <f aca="false">IF(H2380="Y",1,0)</f>
        <v>0</v>
      </c>
      <c r="N2380" s="3" t="n">
        <f aca="false">IF(I2380="Y",1,0)</f>
        <v>0</v>
      </c>
    </row>
    <row r="2381" customFormat="false" ht="15" hidden="false" customHeight="true" outlineLevel="0" collapsed="false">
      <c r="A2381" s="7" t="s">
        <v>61</v>
      </c>
      <c r="B2381" s="7" t="n">
        <v>1884</v>
      </c>
      <c r="C2381" s="7" t="s">
        <v>584</v>
      </c>
      <c r="D2381" s="7" t="n">
        <v>62</v>
      </c>
      <c r="E2381" s="7" t="n">
        <v>50</v>
      </c>
      <c r="F2381" s="7"/>
      <c r="G2381" s="7"/>
      <c r="H2381" s="7" t="s">
        <v>546</v>
      </c>
      <c r="I2381" s="7" t="s">
        <v>546</v>
      </c>
      <c r="J2381" s="21" t="n">
        <f aca="false">D2381/(D2381+E2381)</f>
        <v>0.553571428571429</v>
      </c>
      <c r="K2381" s="3" t="n">
        <f aca="false">IF(D2381&gt;E2381,1,0)</f>
        <v>1</v>
      </c>
      <c r="L2381" s="3" t="n">
        <f aca="false">IF(OR(F2381="Y",G2381="Y",H2381="Y"),1,0)</f>
        <v>0</v>
      </c>
      <c r="M2381" s="3" t="n">
        <f aca="false">IF(H2381="Y",1,0)</f>
        <v>0</v>
      </c>
      <c r="N2381" s="3" t="n">
        <f aca="false">IF(I2381="Y",1,0)</f>
        <v>0</v>
      </c>
    </row>
    <row r="2382" customFormat="false" ht="15" hidden="false" customHeight="true" outlineLevel="0" collapsed="false">
      <c r="A2382" s="7" t="s">
        <v>61</v>
      </c>
      <c r="B2382" s="7" t="n">
        <v>1885</v>
      </c>
      <c r="C2382" s="7" t="s">
        <v>496</v>
      </c>
      <c r="D2382" s="7" t="n">
        <v>85</v>
      </c>
      <c r="E2382" s="7" t="n">
        <v>27</v>
      </c>
      <c r="F2382" s="7"/>
      <c r="G2382" s="7"/>
      <c r="H2382" s="7" t="s">
        <v>546</v>
      </c>
      <c r="I2382" s="7" t="s">
        <v>546</v>
      </c>
      <c r="J2382" s="21" t="n">
        <f aca="false">D2382/(D2382+E2382)</f>
        <v>0.758928571428571</v>
      </c>
      <c r="K2382" s="3" t="n">
        <f aca="false">IF(D2382&gt;E2382,1,0)</f>
        <v>1</v>
      </c>
      <c r="L2382" s="3" t="n">
        <f aca="false">IF(OR(F2382="Y",G2382="Y",H2382="Y"),1,0)</f>
        <v>0</v>
      </c>
      <c r="M2382" s="3" t="n">
        <f aca="false">IF(H2382="Y",1,0)</f>
        <v>0</v>
      </c>
      <c r="N2382" s="3" t="n">
        <f aca="false">IF(I2382="Y",1,0)</f>
        <v>0</v>
      </c>
    </row>
    <row r="2383" customFormat="false" ht="15" hidden="false" customHeight="true" outlineLevel="0" collapsed="false">
      <c r="A2383" s="7" t="s">
        <v>61</v>
      </c>
      <c r="B2383" s="7" t="n">
        <v>1886</v>
      </c>
      <c r="C2383" s="7" t="s">
        <v>496</v>
      </c>
      <c r="D2383" s="7" t="n">
        <v>75</v>
      </c>
      <c r="E2383" s="7" t="n">
        <v>44</v>
      </c>
      <c r="F2383" s="7"/>
      <c r="G2383" s="7"/>
      <c r="H2383" s="7" t="s">
        <v>546</v>
      </c>
      <c r="I2383" s="7" t="s">
        <v>546</v>
      </c>
      <c r="J2383" s="21" t="n">
        <f aca="false">D2383/(D2383+E2383)</f>
        <v>0.630252100840336</v>
      </c>
      <c r="K2383" s="3" t="n">
        <f aca="false">IF(D2383&gt;E2383,1,0)</f>
        <v>1</v>
      </c>
      <c r="L2383" s="3" t="n">
        <f aca="false">IF(OR(F2383="Y",G2383="Y",H2383="Y"),1,0)</f>
        <v>0</v>
      </c>
      <c r="M2383" s="3" t="n">
        <f aca="false">IF(H2383="Y",1,0)</f>
        <v>0</v>
      </c>
      <c r="N2383" s="3" t="n">
        <f aca="false">IF(I2383="Y",1,0)</f>
        <v>0</v>
      </c>
    </row>
    <row r="2384" customFormat="false" ht="15" hidden="false" customHeight="true" outlineLevel="0" collapsed="false">
      <c r="A2384" s="7" t="s">
        <v>61</v>
      </c>
      <c r="B2384" s="7" t="n">
        <v>1887</v>
      </c>
      <c r="C2384" s="7" t="s">
        <v>496</v>
      </c>
      <c r="D2384" s="7" t="n">
        <v>68</v>
      </c>
      <c r="E2384" s="7" t="n">
        <v>55</v>
      </c>
      <c r="F2384" s="7"/>
      <c r="G2384" s="7"/>
      <c r="H2384" s="7" t="s">
        <v>546</v>
      </c>
      <c r="I2384" s="7" t="s">
        <v>546</v>
      </c>
      <c r="J2384" s="21" t="n">
        <f aca="false">D2384/(D2384+E2384)</f>
        <v>0.552845528455285</v>
      </c>
      <c r="K2384" s="3" t="n">
        <f aca="false">IF(D2384&gt;E2384,1,0)</f>
        <v>1</v>
      </c>
      <c r="L2384" s="3" t="n">
        <f aca="false">IF(OR(F2384="Y",G2384="Y",H2384="Y"),1,0)</f>
        <v>0</v>
      </c>
      <c r="M2384" s="3" t="n">
        <f aca="false">IF(H2384="Y",1,0)</f>
        <v>0</v>
      </c>
      <c r="N2384" s="3" t="n">
        <f aca="false">IF(I2384="Y",1,0)</f>
        <v>0</v>
      </c>
    </row>
    <row r="2385" customFormat="false" ht="15" hidden="false" customHeight="true" outlineLevel="0" collapsed="false">
      <c r="A2385" s="7" t="s">
        <v>61</v>
      </c>
      <c r="B2385" s="7" t="n">
        <v>1888</v>
      </c>
      <c r="C2385" s="7" t="s">
        <v>496</v>
      </c>
      <c r="D2385" s="7" t="n">
        <v>84</v>
      </c>
      <c r="E2385" s="7" t="n">
        <v>47</v>
      </c>
      <c r="F2385" s="7"/>
      <c r="G2385" s="7"/>
      <c r="H2385" s="7" t="s">
        <v>548</v>
      </c>
      <c r="I2385" s="7" t="s">
        <v>548</v>
      </c>
      <c r="J2385" s="21" t="n">
        <f aca="false">D2385/(D2385+E2385)</f>
        <v>0.641221374045802</v>
      </c>
      <c r="K2385" s="3" t="n">
        <f aca="false">IF(D2385&gt;E2385,1,0)</f>
        <v>1</v>
      </c>
      <c r="L2385" s="3" t="n">
        <f aca="false">IF(OR(F2385="Y",G2385="Y",H2385="Y"),1,0)</f>
        <v>1</v>
      </c>
      <c r="M2385" s="3" t="n">
        <f aca="false">IF(H2385="Y",1,0)</f>
        <v>1</v>
      </c>
      <c r="N2385" s="3" t="n">
        <f aca="false">IF(I2385="Y",1,0)</f>
        <v>1</v>
      </c>
    </row>
    <row r="2386" customFormat="false" ht="15" hidden="false" customHeight="true" outlineLevel="0" collapsed="false">
      <c r="A2386" s="7" t="s">
        <v>61</v>
      </c>
      <c r="B2386" s="7" t="n">
        <v>1889</v>
      </c>
      <c r="C2386" s="7" t="s">
        <v>496</v>
      </c>
      <c r="D2386" s="7" t="n">
        <v>83</v>
      </c>
      <c r="E2386" s="7" t="n">
        <v>43</v>
      </c>
      <c r="F2386" s="7"/>
      <c r="G2386" s="7"/>
      <c r="H2386" s="7" t="s">
        <v>548</v>
      </c>
      <c r="I2386" s="7" t="s">
        <v>548</v>
      </c>
      <c r="J2386" s="21" t="n">
        <f aca="false">D2386/(D2386+E2386)</f>
        <v>0.658730158730159</v>
      </c>
      <c r="K2386" s="3" t="n">
        <f aca="false">IF(D2386&gt;E2386,1,0)</f>
        <v>1</v>
      </c>
      <c r="L2386" s="3" t="n">
        <f aca="false">IF(OR(F2386="Y",G2386="Y",H2386="Y"),1,0)</f>
        <v>1</v>
      </c>
      <c r="M2386" s="3" t="n">
        <f aca="false">IF(H2386="Y",1,0)</f>
        <v>1</v>
      </c>
      <c r="N2386" s="3" t="n">
        <f aca="false">IF(I2386="Y",1,0)</f>
        <v>1</v>
      </c>
    </row>
    <row r="2387" customFormat="false" ht="15" hidden="false" customHeight="true" outlineLevel="0" collapsed="false">
      <c r="A2387" s="7" t="s">
        <v>61</v>
      </c>
      <c r="B2387" s="7" t="n">
        <v>1890</v>
      </c>
      <c r="C2387" s="7" t="s">
        <v>496</v>
      </c>
      <c r="D2387" s="7" t="n">
        <v>63</v>
      </c>
      <c r="E2387" s="7" t="n">
        <v>68</v>
      </c>
      <c r="F2387" s="7"/>
      <c r="G2387" s="7"/>
      <c r="H2387" s="7" t="s">
        <v>546</v>
      </c>
      <c r="I2387" s="7" t="s">
        <v>546</v>
      </c>
      <c r="J2387" s="21" t="n">
        <f aca="false">D2387/(D2387+E2387)</f>
        <v>0.480916030534351</v>
      </c>
      <c r="K2387" s="3" t="n">
        <f aca="false">IF(D2387&gt;E2387,1,0)</f>
        <v>0</v>
      </c>
      <c r="L2387" s="3" t="n">
        <f aca="false">IF(OR(F2387="Y",G2387="Y",H2387="Y"),1,0)</f>
        <v>0</v>
      </c>
      <c r="M2387" s="3" t="n">
        <f aca="false">IF(H2387="Y",1,0)</f>
        <v>0</v>
      </c>
      <c r="N2387" s="3" t="n">
        <f aca="false">IF(I2387="Y",1,0)</f>
        <v>0</v>
      </c>
    </row>
    <row r="2388" customFormat="false" ht="15" hidden="false" customHeight="true" outlineLevel="0" collapsed="false">
      <c r="A2388" s="7" t="s">
        <v>61</v>
      </c>
      <c r="B2388" s="7" t="n">
        <v>1891</v>
      </c>
      <c r="C2388" s="7" t="s">
        <v>496</v>
      </c>
      <c r="D2388" s="7" t="n">
        <v>71</v>
      </c>
      <c r="E2388" s="7" t="n">
        <v>61</v>
      </c>
      <c r="F2388" s="7"/>
      <c r="G2388" s="7"/>
      <c r="H2388" s="7" t="s">
        <v>546</v>
      </c>
      <c r="I2388" s="7"/>
      <c r="J2388" s="21" t="n">
        <f aca="false">D2388/(D2388+E2388)</f>
        <v>0.537878787878788</v>
      </c>
      <c r="K2388" s="3" t="n">
        <f aca="false">IF(D2388&gt;E2388,1,0)</f>
        <v>1</v>
      </c>
      <c r="L2388" s="3" t="n">
        <f aca="false">IF(OR(F2388="Y",G2388="Y",H2388="Y"),1,0)</f>
        <v>0</v>
      </c>
      <c r="M2388" s="3" t="n">
        <f aca="false">IF(H2388="Y",1,0)</f>
        <v>0</v>
      </c>
      <c r="N2388" s="3" t="n">
        <f aca="false">IF(I2388="Y",1,0)</f>
        <v>0</v>
      </c>
    </row>
    <row r="2389" customFormat="false" ht="15" hidden="false" customHeight="true" outlineLevel="0" collapsed="false">
      <c r="A2389" s="7" t="s">
        <v>61</v>
      </c>
      <c r="B2389" s="7" t="n">
        <v>1892</v>
      </c>
      <c r="C2389" s="7" t="s">
        <v>496</v>
      </c>
      <c r="D2389" s="7" t="n">
        <v>71</v>
      </c>
      <c r="E2389" s="7" t="n">
        <v>80</v>
      </c>
      <c r="F2389" s="7"/>
      <c r="G2389" s="7"/>
      <c r="H2389" s="7" t="s">
        <v>546</v>
      </c>
      <c r="I2389" s="7"/>
      <c r="J2389" s="21" t="n">
        <f aca="false">D2389/(D2389+E2389)</f>
        <v>0.470198675496689</v>
      </c>
      <c r="K2389" s="3" t="n">
        <f aca="false">IF(D2389&gt;E2389,1,0)</f>
        <v>0</v>
      </c>
      <c r="L2389" s="3" t="n">
        <f aca="false">IF(OR(F2389="Y",G2389="Y",H2389="Y"),1,0)</f>
        <v>0</v>
      </c>
      <c r="M2389" s="3" t="n">
        <f aca="false">IF(H2389="Y",1,0)</f>
        <v>0</v>
      </c>
      <c r="N2389" s="3" t="n">
        <f aca="false">IF(I2389="Y",1,0)</f>
        <v>0</v>
      </c>
    </row>
    <row r="2390" customFormat="false" ht="15" hidden="false" customHeight="true" outlineLevel="0" collapsed="false">
      <c r="A2390" s="7" t="s">
        <v>61</v>
      </c>
      <c r="B2390" s="7" t="n">
        <v>1893</v>
      </c>
      <c r="C2390" s="7" t="s">
        <v>496</v>
      </c>
      <c r="D2390" s="7" t="n">
        <v>68</v>
      </c>
      <c r="E2390" s="7" t="n">
        <v>64</v>
      </c>
      <c r="F2390" s="7"/>
      <c r="G2390" s="7"/>
      <c r="H2390" s="7" t="s">
        <v>546</v>
      </c>
      <c r="I2390" s="7"/>
      <c r="J2390" s="21" t="n">
        <f aca="false">D2390/(D2390+E2390)</f>
        <v>0.515151515151515</v>
      </c>
      <c r="K2390" s="3" t="n">
        <f aca="false">IF(D2390&gt;E2390,1,0)</f>
        <v>1</v>
      </c>
      <c r="L2390" s="3" t="n">
        <f aca="false">IF(OR(F2390="Y",G2390="Y",H2390="Y"),1,0)</f>
        <v>0</v>
      </c>
      <c r="M2390" s="3" t="n">
        <f aca="false">IF(H2390="Y",1,0)</f>
        <v>0</v>
      </c>
      <c r="N2390" s="3" t="n">
        <f aca="false">IF(I2390="Y",1,0)</f>
        <v>0</v>
      </c>
    </row>
    <row r="2391" customFormat="false" ht="15" hidden="false" customHeight="true" outlineLevel="0" collapsed="false">
      <c r="A2391" s="7" t="s">
        <v>61</v>
      </c>
      <c r="B2391" s="7" t="n">
        <v>1894</v>
      </c>
      <c r="C2391" s="7" t="s">
        <v>496</v>
      </c>
      <c r="D2391" s="7" t="n">
        <v>88</v>
      </c>
      <c r="E2391" s="7" t="n">
        <v>44</v>
      </c>
      <c r="F2391" s="7"/>
      <c r="G2391" s="7"/>
      <c r="H2391" s="7" t="s">
        <v>546</v>
      </c>
      <c r="I2391" s="7"/>
      <c r="J2391" s="21" t="n">
        <f aca="false">D2391/(D2391+E2391)</f>
        <v>0.666666666666667</v>
      </c>
      <c r="K2391" s="3" t="n">
        <f aca="false">IF(D2391&gt;E2391,1,0)</f>
        <v>1</v>
      </c>
      <c r="L2391" s="3" t="n">
        <f aca="false">IF(OR(F2391="Y",G2391="Y",H2391="Y"),1,0)</f>
        <v>0</v>
      </c>
      <c r="M2391" s="3" t="n">
        <f aca="false">IF(H2391="Y",1,0)</f>
        <v>0</v>
      </c>
      <c r="N2391" s="3" t="n">
        <f aca="false">IF(I2391="Y",1,0)</f>
        <v>0</v>
      </c>
    </row>
    <row r="2392" customFormat="false" ht="15" hidden="false" customHeight="true" outlineLevel="0" collapsed="false">
      <c r="A2392" s="7" t="s">
        <v>61</v>
      </c>
      <c r="B2392" s="7" t="n">
        <v>1895</v>
      </c>
      <c r="C2392" s="7" t="s">
        <v>496</v>
      </c>
      <c r="D2392" s="7" t="n">
        <v>66</v>
      </c>
      <c r="E2392" s="7" t="n">
        <v>65</v>
      </c>
      <c r="F2392" s="7"/>
      <c r="G2392" s="7"/>
      <c r="H2392" s="7" t="s">
        <v>546</v>
      </c>
      <c r="I2392" s="7"/>
      <c r="J2392" s="21" t="n">
        <f aca="false">D2392/(D2392+E2392)</f>
        <v>0.50381679389313</v>
      </c>
      <c r="K2392" s="3" t="n">
        <f aca="false">IF(D2392&gt;E2392,1,0)</f>
        <v>1</v>
      </c>
      <c r="L2392" s="3" t="n">
        <f aca="false">IF(OR(F2392="Y",G2392="Y",H2392="Y"),1,0)</f>
        <v>0</v>
      </c>
      <c r="M2392" s="3" t="n">
        <f aca="false">IF(H2392="Y",1,0)</f>
        <v>0</v>
      </c>
      <c r="N2392" s="3" t="n">
        <f aca="false">IF(I2392="Y",1,0)</f>
        <v>0</v>
      </c>
    </row>
    <row r="2393" customFormat="false" ht="15" hidden="false" customHeight="true" outlineLevel="0" collapsed="false">
      <c r="A2393" s="7" t="s">
        <v>61</v>
      </c>
      <c r="B2393" s="7" t="n">
        <v>1896</v>
      </c>
      <c r="C2393" s="7" t="s">
        <v>496</v>
      </c>
      <c r="D2393" s="7" t="n">
        <v>64</v>
      </c>
      <c r="E2393" s="7" t="n">
        <v>67</v>
      </c>
      <c r="F2393" s="7"/>
      <c r="G2393" s="7"/>
      <c r="H2393" s="7" t="s">
        <v>546</v>
      </c>
      <c r="I2393" s="7"/>
      <c r="J2393" s="21" t="n">
        <f aca="false">D2393/(D2393+E2393)</f>
        <v>0.488549618320611</v>
      </c>
      <c r="K2393" s="3" t="n">
        <f aca="false">IF(D2393&gt;E2393,1,0)</f>
        <v>0</v>
      </c>
      <c r="L2393" s="3" t="n">
        <f aca="false">IF(OR(F2393="Y",G2393="Y",H2393="Y"),1,0)</f>
        <v>0</v>
      </c>
      <c r="M2393" s="3" t="n">
        <f aca="false">IF(H2393="Y",1,0)</f>
        <v>0</v>
      </c>
      <c r="N2393" s="3" t="n">
        <f aca="false">IF(I2393="Y",1,0)</f>
        <v>0</v>
      </c>
    </row>
    <row r="2394" customFormat="false" ht="15" hidden="false" customHeight="true" outlineLevel="0" collapsed="false">
      <c r="A2394" s="7" t="s">
        <v>61</v>
      </c>
      <c r="B2394" s="7" t="n">
        <v>1897</v>
      </c>
      <c r="C2394" s="7" t="s">
        <v>496</v>
      </c>
      <c r="D2394" s="7" t="n">
        <v>83</v>
      </c>
      <c r="E2394" s="7" t="n">
        <v>48</v>
      </c>
      <c r="F2394" s="7"/>
      <c r="G2394" s="7"/>
      <c r="H2394" s="7" t="s">
        <v>546</v>
      </c>
      <c r="I2394" s="7"/>
      <c r="J2394" s="21" t="n">
        <f aca="false">D2394/(D2394+E2394)</f>
        <v>0.633587786259542</v>
      </c>
      <c r="K2394" s="3" t="n">
        <f aca="false">IF(D2394&gt;E2394,1,0)</f>
        <v>1</v>
      </c>
      <c r="L2394" s="3" t="n">
        <f aca="false">IF(OR(F2394="Y",G2394="Y",H2394="Y"),1,0)</f>
        <v>0</v>
      </c>
      <c r="M2394" s="3" t="n">
        <f aca="false">IF(H2394="Y",1,0)</f>
        <v>0</v>
      </c>
      <c r="N2394" s="3" t="n">
        <f aca="false">IF(I2394="Y",1,0)</f>
        <v>0</v>
      </c>
    </row>
    <row r="2395" customFormat="false" ht="15" hidden="false" customHeight="true" outlineLevel="0" collapsed="false">
      <c r="A2395" s="7" t="s">
        <v>61</v>
      </c>
      <c r="B2395" s="7" t="n">
        <v>1898</v>
      </c>
      <c r="C2395" s="7" t="s">
        <v>496</v>
      </c>
      <c r="D2395" s="7" t="n">
        <v>77</v>
      </c>
      <c r="E2395" s="7" t="n">
        <v>73</v>
      </c>
      <c r="F2395" s="7"/>
      <c r="G2395" s="7"/>
      <c r="H2395" s="7" t="s">
        <v>546</v>
      </c>
      <c r="I2395" s="7"/>
      <c r="J2395" s="21" t="n">
        <f aca="false">D2395/(D2395+E2395)</f>
        <v>0.513333333333333</v>
      </c>
      <c r="K2395" s="3" t="n">
        <f aca="false">IF(D2395&gt;E2395,1,0)</f>
        <v>1</v>
      </c>
      <c r="L2395" s="3" t="n">
        <f aca="false">IF(OR(F2395="Y",G2395="Y",H2395="Y"),1,0)</f>
        <v>0</v>
      </c>
      <c r="M2395" s="3" t="n">
        <f aca="false">IF(H2395="Y",1,0)</f>
        <v>0</v>
      </c>
      <c r="N2395" s="3" t="n">
        <f aca="false">IF(I2395="Y",1,0)</f>
        <v>0</v>
      </c>
    </row>
    <row r="2396" customFormat="false" ht="15" hidden="false" customHeight="true" outlineLevel="0" collapsed="false">
      <c r="A2396" s="7" t="s">
        <v>61</v>
      </c>
      <c r="B2396" s="7" t="n">
        <v>1899</v>
      </c>
      <c r="C2396" s="7" t="s">
        <v>496</v>
      </c>
      <c r="D2396" s="7" t="n">
        <v>60</v>
      </c>
      <c r="E2396" s="7" t="n">
        <v>90</v>
      </c>
      <c r="F2396" s="7"/>
      <c r="G2396" s="7"/>
      <c r="H2396" s="7" t="s">
        <v>546</v>
      </c>
      <c r="I2396" s="7"/>
      <c r="J2396" s="21" t="n">
        <f aca="false">D2396/(D2396+E2396)</f>
        <v>0.4</v>
      </c>
      <c r="K2396" s="3" t="n">
        <f aca="false">IF(D2396&gt;E2396,1,0)</f>
        <v>0</v>
      </c>
      <c r="L2396" s="3" t="n">
        <f aca="false">IF(OR(F2396="Y",G2396="Y",H2396="Y"),1,0)</f>
        <v>0</v>
      </c>
      <c r="M2396" s="3" t="n">
        <f aca="false">IF(H2396="Y",1,0)</f>
        <v>0</v>
      </c>
      <c r="N2396" s="3" t="n">
        <f aca="false">IF(I2396="Y",1,0)</f>
        <v>0</v>
      </c>
    </row>
    <row r="2397" customFormat="false" ht="15" hidden="false" customHeight="true" outlineLevel="0" collapsed="false">
      <c r="A2397" s="7" t="s">
        <v>61</v>
      </c>
      <c r="B2397" s="7" t="n">
        <v>1900</v>
      </c>
      <c r="C2397" s="7" t="s">
        <v>496</v>
      </c>
      <c r="D2397" s="7" t="n">
        <v>60</v>
      </c>
      <c r="E2397" s="7" t="n">
        <v>78</v>
      </c>
      <c r="F2397" s="7"/>
      <c r="G2397" s="7"/>
      <c r="H2397" s="7" t="s">
        <v>546</v>
      </c>
      <c r="I2397" s="7"/>
      <c r="J2397" s="21" t="n">
        <f aca="false">D2397/(D2397+E2397)</f>
        <v>0.434782608695652</v>
      </c>
      <c r="K2397" s="3" t="n">
        <f aca="false">IF(D2397&gt;E2397,1,0)</f>
        <v>0</v>
      </c>
      <c r="L2397" s="3" t="n">
        <f aca="false">IF(OR(F2397="Y",G2397="Y",H2397="Y"),1,0)</f>
        <v>0</v>
      </c>
      <c r="M2397" s="3" t="n">
        <f aca="false">IF(H2397="Y",1,0)</f>
        <v>0</v>
      </c>
      <c r="N2397" s="3" t="n">
        <f aca="false">IF(I2397="Y",1,0)</f>
        <v>0</v>
      </c>
    </row>
    <row r="2398" customFormat="false" ht="15" hidden="false" customHeight="true" outlineLevel="0" collapsed="false">
      <c r="A2398" s="7" t="s">
        <v>61</v>
      </c>
      <c r="B2398" s="7" t="n">
        <v>1901</v>
      </c>
      <c r="C2398" s="7" t="s">
        <v>496</v>
      </c>
      <c r="D2398" s="7" t="n">
        <v>52</v>
      </c>
      <c r="E2398" s="7" t="n">
        <v>85</v>
      </c>
      <c r="F2398" s="7"/>
      <c r="G2398" s="7"/>
      <c r="H2398" s="7" t="s">
        <v>546</v>
      </c>
      <c r="I2398" s="7"/>
      <c r="J2398" s="21" t="n">
        <f aca="false">D2398/(D2398+E2398)</f>
        <v>0.37956204379562</v>
      </c>
      <c r="K2398" s="3" t="n">
        <f aca="false">IF(D2398&gt;E2398,1,0)</f>
        <v>0</v>
      </c>
      <c r="L2398" s="3" t="n">
        <f aca="false">IF(OR(F2398="Y",G2398="Y",H2398="Y"),1,0)</f>
        <v>0</v>
      </c>
      <c r="M2398" s="3" t="n">
        <f aca="false">IF(H2398="Y",1,0)</f>
        <v>0</v>
      </c>
      <c r="N2398" s="3" t="n">
        <f aca="false">IF(I2398="Y",1,0)</f>
        <v>0</v>
      </c>
    </row>
    <row r="2399" customFormat="false" ht="15" hidden="false" customHeight="true" outlineLevel="0" collapsed="false">
      <c r="A2399" s="7" t="s">
        <v>61</v>
      </c>
      <c r="B2399" s="7" t="n">
        <v>1902</v>
      </c>
      <c r="C2399" s="7" t="s">
        <v>496</v>
      </c>
      <c r="D2399" s="7" t="n">
        <v>48</v>
      </c>
      <c r="E2399" s="7" t="n">
        <v>88</v>
      </c>
      <c r="F2399" s="7"/>
      <c r="G2399" s="7"/>
      <c r="H2399" s="7" t="s">
        <v>546</v>
      </c>
      <c r="I2399" s="7"/>
      <c r="J2399" s="21" t="n">
        <f aca="false">D2399/(D2399+E2399)</f>
        <v>0.352941176470588</v>
      </c>
      <c r="K2399" s="3" t="n">
        <f aca="false">IF(D2399&gt;E2399,1,0)</f>
        <v>0</v>
      </c>
      <c r="L2399" s="3" t="n">
        <f aca="false">IF(OR(F2399="Y",G2399="Y",H2399="Y"),1,0)</f>
        <v>0</v>
      </c>
      <c r="M2399" s="3" t="n">
        <f aca="false">IF(H2399="Y",1,0)</f>
        <v>0</v>
      </c>
      <c r="N2399" s="3" t="n">
        <f aca="false">IF(I2399="Y",1,0)</f>
        <v>0</v>
      </c>
    </row>
    <row r="2400" customFormat="false" ht="15" hidden="false" customHeight="true" outlineLevel="0" collapsed="false">
      <c r="A2400" s="7" t="s">
        <v>61</v>
      </c>
      <c r="B2400" s="7" t="n">
        <v>1903</v>
      </c>
      <c r="C2400" s="7" t="s">
        <v>496</v>
      </c>
      <c r="D2400" s="7" t="n">
        <v>84</v>
      </c>
      <c r="E2400" s="7" t="n">
        <v>55</v>
      </c>
      <c r="F2400" s="7"/>
      <c r="G2400" s="7"/>
      <c r="H2400" s="7" t="s">
        <v>546</v>
      </c>
      <c r="I2400" s="7" t="s">
        <v>546</v>
      </c>
      <c r="J2400" s="21" t="n">
        <f aca="false">D2400/(D2400+E2400)</f>
        <v>0.60431654676259</v>
      </c>
      <c r="K2400" s="3" t="n">
        <f aca="false">IF(D2400&gt;E2400,1,0)</f>
        <v>1</v>
      </c>
      <c r="L2400" s="3" t="n">
        <f aca="false">IF(OR(F2400="Y",G2400="Y",H2400="Y"),1,0)</f>
        <v>0</v>
      </c>
      <c r="M2400" s="3" t="n">
        <f aca="false">IF(H2400="Y",1,0)</f>
        <v>0</v>
      </c>
      <c r="N2400" s="3" t="n">
        <f aca="false">IF(I2400="Y",1,0)</f>
        <v>0</v>
      </c>
    </row>
    <row r="2401" customFormat="false" ht="15" hidden="false" customHeight="true" outlineLevel="0" collapsed="false">
      <c r="A2401" s="7" t="s">
        <v>61</v>
      </c>
      <c r="B2401" s="7" t="n">
        <v>1904</v>
      </c>
      <c r="C2401" s="7" t="s">
        <v>496</v>
      </c>
      <c r="D2401" s="7" t="n">
        <v>106</v>
      </c>
      <c r="E2401" s="7" t="n">
        <v>47</v>
      </c>
      <c r="F2401" s="7"/>
      <c r="G2401" s="7"/>
      <c r="H2401" s="7" t="s">
        <v>548</v>
      </c>
      <c r="I2401" s="7"/>
      <c r="J2401" s="21" t="n">
        <f aca="false">D2401/(D2401+E2401)</f>
        <v>0.69281045751634</v>
      </c>
      <c r="K2401" s="3" t="n">
        <f aca="false">IF(D2401&gt;E2401,1,0)</f>
        <v>1</v>
      </c>
      <c r="L2401" s="3" t="n">
        <f aca="false">IF(OR(F2401="Y",G2401="Y",H2401="Y"),1,0)</f>
        <v>1</v>
      </c>
      <c r="M2401" s="3" t="n">
        <f aca="false">IF(H2401="Y",1,0)</f>
        <v>1</v>
      </c>
      <c r="N2401" s="3" t="n">
        <f aca="false">IF(I2401="Y",1,0)</f>
        <v>0</v>
      </c>
    </row>
    <row r="2402" customFormat="false" ht="15" hidden="false" customHeight="true" outlineLevel="0" collapsed="false">
      <c r="A2402" s="7" t="s">
        <v>61</v>
      </c>
      <c r="B2402" s="7" t="n">
        <v>1905</v>
      </c>
      <c r="C2402" s="7" t="s">
        <v>496</v>
      </c>
      <c r="D2402" s="7" t="n">
        <v>105</v>
      </c>
      <c r="E2402" s="7" t="n">
        <v>48</v>
      </c>
      <c r="F2402" s="7"/>
      <c r="G2402" s="7"/>
      <c r="H2402" s="7" t="s">
        <v>548</v>
      </c>
      <c r="I2402" s="7" t="s">
        <v>548</v>
      </c>
      <c r="J2402" s="21" t="n">
        <f aca="false">D2402/(D2402+E2402)</f>
        <v>0.686274509803922</v>
      </c>
      <c r="K2402" s="3" t="n">
        <f aca="false">IF(D2402&gt;E2402,1,0)</f>
        <v>1</v>
      </c>
      <c r="L2402" s="3" t="n">
        <f aca="false">IF(OR(F2402="Y",G2402="Y",H2402="Y"),1,0)</f>
        <v>1</v>
      </c>
      <c r="M2402" s="3" t="n">
        <f aca="false">IF(H2402="Y",1,0)</f>
        <v>1</v>
      </c>
      <c r="N2402" s="3" t="n">
        <f aca="false">IF(I2402="Y",1,0)</f>
        <v>1</v>
      </c>
    </row>
    <row r="2403" customFormat="false" ht="15" hidden="false" customHeight="true" outlineLevel="0" collapsed="false">
      <c r="A2403" s="7" t="s">
        <v>61</v>
      </c>
      <c r="B2403" s="7" t="n">
        <v>1906</v>
      </c>
      <c r="C2403" s="7" t="s">
        <v>496</v>
      </c>
      <c r="D2403" s="7" t="n">
        <v>96</v>
      </c>
      <c r="E2403" s="7" t="n">
        <v>56</v>
      </c>
      <c r="F2403" s="7"/>
      <c r="G2403" s="7"/>
      <c r="H2403" s="7" t="s">
        <v>546</v>
      </c>
      <c r="I2403" s="7" t="s">
        <v>546</v>
      </c>
      <c r="J2403" s="21" t="n">
        <f aca="false">D2403/(D2403+E2403)</f>
        <v>0.631578947368421</v>
      </c>
      <c r="K2403" s="3" t="n">
        <f aca="false">IF(D2403&gt;E2403,1,0)</f>
        <v>1</v>
      </c>
      <c r="L2403" s="3" t="n">
        <f aca="false">IF(OR(F2403="Y",G2403="Y",H2403="Y"),1,0)</f>
        <v>0</v>
      </c>
      <c r="M2403" s="3" t="n">
        <f aca="false">IF(H2403="Y",1,0)</f>
        <v>0</v>
      </c>
      <c r="N2403" s="3" t="n">
        <f aca="false">IF(I2403="Y",1,0)</f>
        <v>0</v>
      </c>
    </row>
    <row r="2404" customFormat="false" ht="15" hidden="false" customHeight="true" outlineLevel="0" collapsed="false">
      <c r="A2404" s="7" t="s">
        <v>61</v>
      </c>
      <c r="B2404" s="7" t="n">
        <v>1907</v>
      </c>
      <c r="C2404" s="7" t="s">
        <v>496</v>
      </c>
      <c r="D2404" s="7" t="n">
        <v>82</v>
      </c>
      <c r="E2404" s="7" t="n">
        <v>71</v>
      </c>
      <c r="F2404" s="7"/>
      <c r="G2404" s="7"/>
      <c r="H2404" s="7" t="s">
        <v>546</v>
      </c>
      <c r="I2404" s="7" t="s">
        <v>546</v>
      </c>
      <c r="J2404" s="21" t="n">
        <f aca="false">D2404/(D2404+E2404)</f>
        <v>0.535947712418301</v>
      </c>
      <c r="K2404" s="3" t="n">
        <f aca="false">IF(D2404&gt;E2404,1,0)</f>
        <v>1</v>
      </c>
      <c r="L2404" s="3" t="n">
        <f aca="false">IF(OR(F2404="Y",G2404="Y",H2404="Y"),1,0)</f>
        <v>0</v>
      </c>
      <c r="M2404" s="3" t="n">
        <f aca="false">IF(H2404="Y",1,0)</f>
        <v>0</v>
      </c>
      <c r="N2404" s="3" t="n">
        <f aca="false">IF(I2404="Y",1,0)</f>
        <v>0</v>
      </c>
    </row>
    <row r="2405" customFormat="false" ht="15" hidden="false" customHeight="true" outlineLevel="0" collapsed="false">
      <c r="A2405" s="7" t="s">
        <v>61</v>
      </c>
      <c r="B2405" s="7" t="n">
        <v>1908</v>
      </c>
      <c r="C2405" s="7" t="s">
        <v>496</v>
      </c>
      <c r="D2405" s="7" t="n">
        <v>98</v>
      </c>
      <c r="E2405" s="7" t="n">
        <v>56</v>
      </c>
      <c r="F2405" s="7"/>
      <c r="G2405" s="7"/>
      <c r="H2405" s="7" t="s">
        <v>546</v>
      </c>
      <c r="I2405" s="7" t="s">
        <v>546</v>
      </c>
      <c r="J2405" s="21" t="n">
        <f aca="false">D2405/(D2405+E2405)</f>
        <v>0.636363636363636</v>
      </c>
      <c r="K2405" s="3" t="n">
        <f aca="false">IF(D2405&gt;E2405,1,0)</f>
        <v>1</v>
      </c>
      <c r="L2405" s="3" t="n">
        <f aca="false">IF(OR(F2405="Y",G2405="Y",H2405="Y"),1,0)</f>
        <v>0</v>
      </c>
      <c r="M2405" s="3" t="n">
        <f aca="false">IF(H2405="Y",1,0)</f>
        <v>0</v>
      </c>
      <c r="N2405" s="3" t="n">
        <f aca="false">IF(I2405="Y",1,0)</f>
        <v>0</v>
      </c>
    </row>
    <row r="2406" customFormat="false" ht="15" hidden="false" customHeight="true" outlineLevel="0" collapsed="false">
      <c r="A2406" s="7" t="s">
        <v>61</v>
      </c>
      <c r="B2406" s="7" t="n">
        <v>1909</v>
      </c>
      <c r="C2406" s="7" t="s">
        <v>496</v>
      </c>
      <c r="D2406" s="7" t="n">
        <v>92</v>
      </c>
      <c r="E2406" s="7" t="n">
        <v>61</v>
      </c>
      <c r="F2406" s="7"/>
      <c r="G2406" s="7"/>
      <c r="H2406" s="7" t="s">
        <v>546</v>
      </c>
      <c r="I2406" s="7" t="s">
        <v>546</v>
      </c>
      <c r="J2406" s="21" t="n">
        <f aca="false">D2406/(D2406+E2406)</f>
        <v>0.601307189542484</v>
      </c>
      <c r="K2406" s="3" t="n">
        <f aca="false">IF(D2406&gt;E2406,1,0)</f>
        <v>1</v>
      </c>
      <c r="L2406" s="3" t="n">
        <f aca="false">IF(OR(F2406="Y",G2406="Y",H2406="Y"),1,0)</f>
        <v>0</v>
      </c>
      <c r="M2406" s="3" t="n">
        <f aca="false">IF(H2406="Y",1,0)</f>
        <v>0</v>
      </c>
      <c r="N2406" s="3" t="n">
        <f aca="false">IF(I2406="Y",1,0)</f>
        <v>0</v>
      </c>
    </row>
    <row r="2407" customFormat="false" ht="15" hidden="false" customHeight="true" outlineLevel="0" collapsed="false">
      <c r="A2407" s="7" t="s">
        <v>61</v>
      </c>
      <c r="B2407" s="7" t="n">
        <v>1910</v>
      </c>
      <c r="C2407" s="7" t="s">
        <v>496</v>
      </c>
      <c r="D2407" s="7" t="n">
        <v>91</v>
      </c>
      <c r="E2407" s="7" t="n">
        <v>63</v>
      </c>
      <c r="F2407" s="7"/>
      <c r="G2407" s="7"/>
      <c r="H2407" s="7" t="s">
        <v>546</v>
      </c>
      <c r="I2407" s="7" t="s">
        <v>546</v>
      </c>
      <c r="J2407" s="21" t="n">
        <f aca="false">D2407/(D2407+E2407)</f>
        <v>0.590909090909091</v>
      </c>
      <c r="K2407" s="3" t="n">
        <f aca="false">IF(D2407&gt;E2407,1,0)</f>
        <v>1</v>
      </c>
      <c r="L2407" s="3" t="n">
        <f aca="false">IF(OR(F2407="Y",G2407="Y",H2407="Y"),1,0)</f>
        <v>0</v>
      </c>
      <c r="M2407" s="3" t="n">
        <f aca="false">IF(H2407="Y",1,0)</f>
        <v>0</v>
      </c>
      <c r="N2407" s="3" t="n">
        <f aca="false">IF(I2407="Y",1,0)</f>
        <v>0</v>
      </c>
    </row>
    <row r="2408" customFormat="false" ht="15" hidden="false" customHeight="true" outlineLevel="0" collapsed="false">
      <c r="A2408" s="7" t="s">
        <v>61</v>
      </c>
      <c r="B2408" s="7" t="n">
        <v>1911</v>
      </c>
      <c r="C2408" s="7" t="s">
        <v>496</v>
      </c>
      <c r="D2408" s="7" t="n">
        <v>99</v>
      </c>
      <c r="E2408" s="7" t="n">
        <v>54</v>
      </c>
      <c r="F2408" s="7"/>
      <c r="G2408" s="7"/>
      <c r="H2408" s="7" t="s">
        <v>548</v>
      </c>
      <c r="I2408" s="7" t="s">
        <v>546</v>
      </c>
      <c r="J2408" s="21" t="n">
        <f aca="false">D2408/(D2408+E2408)</f>
        <v>0.647058823529412</v>
      </c>
      <c r="K2408" s="3" t="n">
        <f aca="false">IF(D2408&gt;E2408,1,0)</f>
        <v>1</v>
      </c>
      <c r="L2408" s="3" t="n">
        <f aca="false">IF(OR(F2408="Y",G2408="Y",H2408="Y"),1,0)</f>
        <v>1</v>
      </c>
      <c r="M2408" s="3" t="n">
        <f aca="false">IF(H2408="Y",1,0)</f>
        <v>1</v>
      </c>
      <c r="N2408" s="3" t="n">
        <f aca="false">IF(I2408="Y",1,0)</f>
        <v>0</v>
      </c>
    </row>
    <row r="2409" customFormat="false" ht="15" hidden="false" customHeight="true" outlineLevel="0" collapsed="false">
      <c r="A2409" s="7" t="s">
        <v>61</v>
      </c>
      <c r="B2409" s="7" t="n">
        <v>1912</v>
      </c>
      <c r="C2409" s="7" t="s">
        <v>496</v>
      </c>
      <c r="D2409" s="7" t="n">
        <v>103</v>
      </c>
      <c r="E2409" s="7" t="n">
        <v>48</v>
      </c>
      <c r="F2409" s="7"/>
      <c r="G2409" s="7"/>
      <c r="H2409" s="7" t="s">
        <v>548</v>
      </c>
      <c r="I2409" s="7" t="s">
        <v>546</v>
      </c>
      <c r="J2409" s="21" t="n">
        <f aca="false">D2409/(D2409+E2409)</f>
        <v>0.682119205298013</v>
      </c>
      <c r="K2409" s="3" t="n">
        <f aca="false">IF(D2409&gt;E2409,1,0)</f>
        <v>1</v>
      </c>
      <c r="L2409" s="3" t="n">
        <f aca="false">IF(OR(F2409="Y",G2409="Y",H2409="Y"),1,0)</f>
        <v>1</v>
      </c>
      <c r="M2409" s="3" t="n">
        <f aca="false">IF(H2409="Y",1,0)</f>
        <v>1</v>
      </c>
      <c r="N2409" s="3" t="n">
        <f aca="false">IF(I2409="Y",1,0)</f>
        <v>0</v>
      </c>
    </row>
    <row r="2410" customFormat="false" ht="15" hidden="false" customHeight="true" outlineLevel="0" collapsed="false">
      <c r="A2410" s="7" t="s">
        <v>61</v>
      </c>
      <c r="B2410" s="7" t="n">
        <v>1913</v>
      </c>
      <c r="C2410" s="7" t="s">
        <v>496</v>
      </c>
      <c r="D2410" s="7" t="n">
        <v>101</v>
      </c>
      <c r="E2410" s="7" t="n">
        <v>51</v>
      </c>
      <c r="F2410" s="7"/>
      <c r="G2410" s="7"/>
      <c r="H2410" s="7" t="s">
        <v>548</v>
      </c>
      <c r="I2410" s="7" t="s">
        <v>546</v>
      </c>
      <c r="J2410" s="21" t="n">
        <f aca="false">D2410/(D2410+E2410)</f>
        <v>0.664473684210526</v>
      </c>
      <c r="K2410" s="3" t="n">
        <f aca="false">IF(D2410&gt;E2410,1,0)</f>
        <v>1</v>
      </c>
      <c r="L2410" s="3" t="n">
        <f aca="false">IF(OR(F2410="Y",G2410="Y",H2410="Y"),1,0)</f>
        <v>1</v>
      </c>
      <c r="M2410" s="3" t="n">
        <f aca="false">IF(H2410="Y",1,0)</f>
        <v>1</v>
      </c>
      <c r="N2410" s="3" t="n">
        <f aca="false">IF(I2410="Y",1,0)</f>
        <v>0</v>
      </c>
    </row>
    <row r="2411" customFormat="false" ht="15" hidden="false" customHeight="true" outlineLevel="0" collapsed="false">
      <c r="A2411" s="7" t="s">
        <v>61</v>
      </c>
      <c r="B2411" s="7" t="n">
        <v>1914</v>
      </c>
      <c r="C2411" s="7" t="s">
        <v>496</v>
      </c>
      <c r="D2411" s="7" t="n">
        <v>84</v>
      </c>
      <c r="E2411" s="7" t="n">
        <v>70</v>
      </c>
      <c r="F2411" s="7"/>
      <c r="G2411" s="7"/>
      <c r="H2411" s="7" t="s">
        <v>546</v>
      </c>
      <c r="I2411" s="7" t="s">
        <v>546</v>
      </c>
      <c r="J2411" s="21" t="n">
        <f aca="false">D2411/(D2411+E2411)</f>
        <v>0.545454545454545</v>
      </c>
      <c r="K2411" s="3" t="n">
        <f aca="false">IF(D2411&gt;E2411,1,0)</f>
        <v>1</v>
      </c>
      <c r="L2411" s="3" t="n">
        <f aca="false">IF(OR(F2411="Y",G2411="Y",H2411="Y"),1,0)</f>
        <v>0</v>
      </c>
      <c r="M2411" s="3" t="n">
        <f aca="false">IF(H2411="Y",1,0)</f>
        <v>0</v>
      </c>
      <c r="N2411" s="3" t="n">
        <f aca="false">IF(I2411="Y",1,0)</f>
        <v>0</v>
      </c>
    </row>
    <row r="2412" customFormat="false" ht="15" hidden="false" customHeight="true" outlineLevel="0" collapsed="false">
      <c r="A2412" s="7" t="s">
        <v>61</v>
      </c>
      <c r="B2412" s="7" t="n">
        <v>1915</v>
      </c>
      <c r="C2412" s="7" t="s">
        <v>496</v>
      </c>
      <c r="D2412" s="7" t="n">
        <v>69</v>
      </c>
      <c r="E2412" s="7" t="n">
        <v>83</v>
      </c>
      <c r="F2412" s="7"/>
      <c r="G2412" s="7"/>
      <c r="H2412" s="7" t="s">
        <v>546</v>
      </c>
      <c r="I2412" s="7" t="s">
        <v>546</v>
      </c>
      <c r="J2412" s="21" t="n">
        <f aca="false">D2412/(D2412+E2412)</f>
        <v>0.453947368421053</v>
      </c>
      <c r="K2412" s="3" t="n">
        <f aca="false">IF(D2412&gt;E2412,1,0)</f>
        <v>0</v>
      </c>
      <c r="L2412" s="3" t="n">
        <f aca="false">IF(OR(F2412="Y",G2412="Y",H2412="Y"),1,0)</f>
        <v>0</v>
      </c>
      <c r="M2412" s="3" t="n">
        <f aca="false">IF(H2412="Y",1,0)</f>
        <v>0</v>
      </c>
      <c r="N2412" s="3" t="n">
        <f aca="false">IF(I2412="Y",1,0)</f>
        <v>0</v>
      </c>
    </row>
    <row r="2413" customFormat="false" ht="15" hidden="false" customHeight="true" outlineLevel="0" collapsed="false">
      <c r="A2413" s="7" t="s">
        <v>61</v>
      </c>
      <c r="B2413" s="7" t="n">
        <v>1916</v>
      </c>
      <c r="C2413" s="7" t="s">
        <v>496</v>
      </c>
      <c r="D2413" s="7" t="n">
        <v>86</v>
      </c>
      <c r="E2413" s="7" t="n">
        <v>66</v>
      </c>
      <c r="F2413" s="7"/>
      <c r="G2413" s="7"/>
      <c r="H2413" s="7" t="s">
        <v>546</v>
      </c>
      <c r="I2413" s="7" t="s">
        <v>546</v>
      </c>
      <c r="J2413" s="21" t="n">
        <f aca="false">D2413/(D2413+E2413)</f>
        <v>0.565789473684211</v>
      </c>
      <c r="K2413" s="3" t="n">
        <f aca="false">IF(D2413&gt;E2413,1,0)</f>
        <v>1</v>
      </c>
      <c r="L2413" s="3" t="n">
        <f aca="false">IF(OR(F2413="Y",G2413="Y",H2413="Y"),1,0)</f>
        <v>0</v>
      </c>
      <c r="M2413" s="3" t="n">
        <f aca="false">IF(H2413="Y",1,0)</f>
        <v>0</v>
      </c>
      <c r="N2413" s="3" t="n">
        <f aca="false">IF(I2413="Y",1,0)</f>
        <v>0</v>
      </c>
    </row>
    <row r="2414" customFormat="false" ht="15" hidden="false" customHeight="true" outlineLevel="0" collapsed="false">
      <c r="A2414" s="7" t="s">
        <v>61</v>
      </c>
      <c r="B2414" s="7" t="n">
        <v>1917</v>
      </c>
      <c r="C2414" s="7" t="s">
        <v>496</v>
      </c>
      <c r="D2414" s="7" t="n">
        <v>98</v>
      </c>
      <c r="E2414" s="7" t="n">
        <v>56</v>
      </c>
      <c r="F2414" s="7"/>
      <c r="G2414" s="7"/>
      <c r="H2414" s="7" t="s">
        <v>548</v>
      </c>
      <c r="I2414" s="7" t="s">
        <v>546</v>
      </c>
      <c r="J2414" s="21" t="n">
        <f aca="false">D2414/(D2414+E2414)</f>
        <v>0.636363636363636</v>
      </c>
      <c r="K2414" s="3" t="n">
        <f aca="false">IF(D2414&gt;E2414,1,0)</f>
        <v>1</v>
      </c>
      <c r="L2414" s="3" t="n">
        <f aca="false">IF(OR(F2414="Y",G2414="Y",H2414="Y"),1,0)</f>
        <v>1</v>
      </c>
      <c r="M2414" s="3" t="n">
        <f aca="false">IF(H2414="Y",1,0)</f>
        <v>1</v>
      </c>
      <c r="N2414" s="3" t="n">
        <f aca="false">IF(I2414="Y",1,0)</f>
        <v>0</v>
      </c>
    </row>
    <row r="2415" customFormat="false" ht="15" hidden="false" customHeight="true" outlineLevel="0" collapsed="false">
      <c r="A2415" s="7" t="s">
        <v>61</v>
      </c>
      <c r="B2415" s="7" t="n">
        <v>1918</v>
      </c>
      <c r="C2415" s="7" t="s">
        <v>496</v>
      </c>
      <c r="D2415" s="7" t="n">
        <v>71</v>
      </c>
      <c r="E2415" s="7" t="n">
        <v>53</v>
      </c>
      <c r="F2415" s="7"/>
      <c r="G2415" s="7"/>
      <c r="H2415" s="7" t="s">
        <v>546</v>
      </c>
      <c r="I2415" s="7" t="s">
        <v>546</v>
      </c>
      <c r="J2415" s="21" t="n">
        <f aca="false">D2415/(D2415+E2415)</f>
        <v>0.57258064516129</v>
      </c>
      <c r="K2415" s="3" t="n">
        <f aca="false">IF(D2415&gt;E2415,1,0)</f>
        <v>1</v>
      </c>
      <c r="L2415" s="3" t="n">
        <f aca="false">IF(OR(F2415="Y",G2415="Y",H2415="Y"),1,0)</f>
        <v>0</v>
      </c>
      <c r="M2415" s="3" t="n">
        <f aca="false">IF(H2415="Y",1,0)</f>
        <v>0</v>
      </c>
      <c r="N2415" s="3" t="n">
        <f aca="false">IF(I2415="Y",1,0)</f>
        <v>0</v>
      </c>
    </row>
    <row r="2416" customFormat="false" ht="15" hidden="false" customHeight="true" outlineLevel="0" collapsed="false">
      <c r="A2416" s="7" t="s">
        <v>61</v>
      </c>
      <c r="B2416" s="7" t="n">
        <v>1919</v>
      </c>
      <c r="C2416" s="7" t="s">
        <v>496</v>
      </c>
      <c r="D2416" s="7" t="n">
        <v>87</v>
      </c>
      <c r="E2416" s="7" t="n">
        <v>53</v>
      </c>
      <c r="F2416" s="7"/>
      <c r="G2416" s="7"/>
      <c r="H2416" s="7" t="s">
        <v>546</v>
      </c>
      <c r="I2416" s="7" t="s">
        <v>546</v>
      </c>
      <c r="J2416" s="21" t="n">
        <f aca="false">D2416/(D2416+E2416)</f>
        <v>0.621428571428571</v>
      </c>
      <c r="K2416" s="3" t="n">
        <f aca="false">IF(D2416&gt;E2416,1,0)</f>
        <v>1</v>
      </c>
      <c r="L2416" s="3" t="n">
        <f aca="false">IF(OR(F2416="Y",G2416="Y",H2416="Y"),1,0)</f>
        <v>0</v>
      </c>
      <c r="M2416" s="3" t="n">
        <f aca="false">IF(H2416="Y",1,0)</f>
        <v>0</v>
      </c>
      <c r="N2416" s="3" t="n">
        <f aca="false">IF(I2416="Y",1,0)</f>
        <v>0</v>
      </c>
    </row>
    <row r="2417" customFormat="false" ht="15" hidden="false" customHeight="true" outlineLevel="0" collapsed="false">
      <c r="A2417" s="7" t="s">
        <v>61</v>
      </c>
      <c r="B2417" s="7" t="n">
        <v>1920</v>
      </c>
      <c r="C2417" s="7" t="s">
        <v>496</v>
      </c>
      <c r="D2417" s="7" t="n">
        <v>86</v>
      </c>
      <c r="E2417" s="7" t="n">
        <v>68</v>
      </c>
      <c r="F2417" s="7"/>
      <c r="G2417" s="7"/>
      <c r="H2417" s="7" t="s">
        <v>546</v>
      </c>
      <c r="I2417" s="7" t="s">
        <v>546</v>
      </c>
      <c r="J2417" s="21" t="n">
        <f aca="false">D2417/(D2417+E2417)</f>
        <v>0.558441558441558</v>
      </c>
      <c r="K2417" s="3" t="n">
        <f aca="false">IF(D2417&gt;E2417,1,0)</f>
        <v>1</v>
      </c>
      <c r="L2417" s="3" t="n">
        <f aca="false">IF(OR(F2417="Y",G2417="Y",H2417="Y"),1,0)</f>
        <v>0</v>
      </c>
      <c r="M2417" s="3" t="n">
        <f aca="false">IF(H2417="Y",1,0)</f>
        <v>0</v>
      </c>
      <c r="N2417" s="3" t="n">
        <f aca="false">IF(I2417="Y",1,0)</f>
        <v>0</v>
      </c>
    </row>
    <row r="2418" customFormat="false" ht="15" hidden="false" customHeight="true" outlineLevel="0" collapsed="false">
      <c r="A2418" s="7" t="s">
        <v>61</v>
      </c>
      <c r="B2418" s="7" t="n">
        <v>1921</v>
      </c>
      <c r="C2418" s="7" t="s">
        <v>496</v>
      </c>
      <c r="D2418" s="7" t="n">
        <v>94</v>
      </c>
      <c r="E2418" s="7" t="n">
        <v>59</v>
      </c>
      <c r="F2418" s="7"/>
      <c r="G2418" s="7"/>
      <c r="H2418" s="7" t="s">
        <v>548</v>
      </c>
      <c r="I2418" s="7" t="s">
        <v>548</v>
      </c>
      <c r="J2418" s="21" t="n">
        <f aca="false">D2418/(D2418+E2418)</f>
        <v>0.61437908496732</v>
      </c>
      <c r="K2418" s="3" t="n">
        <f aca="false">IF(D2418&gt;E2418,1,0)</f>
        <v>1</v>
      </c>
      <c r="L2418" s="3" t="n">
        <f aca="false">IF(OR(F2418="Y",G2418="Y",H2418="Y"),1,0)</f>
        <v>1</v>
      </c>
      <c r="M2418" s="3" t="n">
        <f aca="false">IF(H2418="Y",1,0)</f>
        <v>1</v>
      </c>
      <c r="N2418" s="3" t="n">
        <f aca="false">IF(I2418="Y",1,0)</f>
        <v>1</v>
      </c>
    </row>
    <row r="2419" customFormat="false" ht="15" hidden="false" customHeight="true" outlineLevel="0" collapsed="false">
      <c r="A2419" s="7" t="s">
        <v>61</v>
      </c>
      <c r="B2419" s="7" t="n">
        <v>1922</v>
      </c>
      <c r="C2419" s="7" t="s">
        <v>496</v>
      </c>
      <c r="D2419" s="7" t="n">
        <v>93</v>
      </c>
      <c r="E2419" s="7" t="n">
        <v>61</v>
      </c>
      <c r="F2419" s="7"/>
      <c r="G2419" s="7"/>
      <c r="H2419" s="7" t="s">
        <v>548</v>
      </c>
      <c r="I2419" s="7" t="s">
        <v>548</v>
      </c>
      <c r="J2419" s="21" t="n">
        <f aca="false">D2419/(D2419+E2419)</f>
        <v>0.603896103896104</v>
      </c>
      <c r="K2419" s="3" t="n">
        <f aca="false">IF(D2419&gt;E2419,1,0)</f>
        <v>1</v>
      </c>
      <c r="L2419" s="3" t="n">
        <f aca="false">IF(OR(F2419="Y",G2419="Y",H2419="Y"),1,0)</f>
        <v>1</v>
      </c>
      <c r="M2419" s="3" t="n">
        <f aca="false">IF(H2419="Y",1,0)</f>
        <v>1</v>
      </c>
      <c r="N2419" s="3" t="n">
        <f aca="false">IF(I2419="Y",1,0)</f>
        <v>1</v>
      </c>
    </row>
    <row r="2420" customFormat="false" ht="15" hidden="false" customHeight="true" outlineLevel="0" collapsed="false">
      <c r="A2420" s="7" t="s">
        <v>61</v>
      </c>
      <c r="B2420" s="7" t="n">
        <v>1923</v>
      </c>
      <c r="C2420" s="7" t="s">
        <v>496</v>
      </c>
      <c r="D2420" s="7" t="n">
        <v>95</v>
      </c>
      <c r="E2420" s="7" t="n">
        <v>58</v>
      </c>
      <c r="F2420" s="7"/>
      <c r="G2420" s="7"/>
      <c r="H2420" s="7" t="s">
        <v>548</v>
      </c>
      <c r="I2420" s="7" t="s">
        <v>546</v>
      </c>
      <c r="J2420" s="21" t="n">
        <f aca="false">D2420/(D2420+E2420)</f>
        <v>0.620915032679739</v>
      </c>
      <c r="K2420" s="3" t="n">
        <f aca="false">IF(D2420&gt;E2420,1,0)</f>
        <v>1</v>
      </c>
      <c r="L2420" s="3" t="n">
        <f aca="false">IF(OR(F2420="Y",G2420="Y",H2420="Y"),1,0)</f>
        <v>1</v>
      </c>
      <c r="M2420" s="3" t="n">
        <f aca="false">IF(H2420="Y",1,0)</f>
        <v>1</v>
      </c>
      <c r="N2420" s="3" t="n">
        <f aca="false">IF(I2420="Y",1,0)</f>
        <v>0</v>
      </c>
    </row>
    <row r="2421" customFormat="false" ht="15" hidden="false" customHeight="true" outlineLevel="0" collapsed="false">
      <c r="A2421" s="7" t="s">
        <v>61</v>
      </c>
      <c r="B2421" s="7" t="n">
        <v>1924</v>
      </c>
      <c r="C2421" s="7" t="s">
        <v>496</v>
      </c>
      <c r="D2421" s="7" t="n">
        <v>93</v>
      </c>
      <c r="E2421" s="7" t="n">
        <v>60</v>
      </c>
      <c r="F2421" s="7"/>
      <c r="G2421" s="7"/>
      <c r="H2421" s="7" t="s">
        <v>548</v>
      </c>
      <c r="I2421" s="7" t="s">
        <v>546</v>
      </c>
      <c r="J2421" s="21" t="n">
        <f aca="false">D2421/(D2421+E2421)</f>
        <v>0.607843137254902</v>
      </c>
      <c r="K2421" s="3" t="n">
        <f aca="false">IF(D2421&gt;E2421,1,0)</f>
        <v>1</v>
      </c>
      <c r="L2421" s="3" t="n">
        <f aca="false">IF(OR(F2421="Y",G2421="Y",H2421="Y"),1,0)</f>
        <v>1</v>
      </c>
      <c r="M2421" s="3" t="n">
        <f aca="false">IF(H2421="Y",1,0)</f>
        <v>1</v>
      </c>
      <c r="N2421" s="3" t="n">
        <f aca="false">IF(I2421="Y",1,0)</f>
        <v>0</v>
      </c>
    </row>
    <row r="2422" customFormat="false" ht="15" hidden="false" customHeight="true" outlineLevel="0" collapsed="false">
      <c r="A2422" s="7" t="s">
        <v>61</v>
      </c>
      <c r="B2422" s="7" t="n">
        <v>1925</v>
      </c>
      <c r="C2422" s="7" t="s">
        <v>496</v>
      </c>
      <c r="D2422" s="7" t="n">
        <v>86</v>
      </c>
      <c r="E2422" s="7" t="n">
        <v>66</v>
      </c>
      <c r="F2422" s="7"/>
      <c r="G2422" s="7"/>
      <c r="H2422" s="7" t="s">
        <v>546</v>
      </c>
      <c r="I2422" s="7" t="s">
        <v>546</v>
      </c>
      <c r="J2422" s="21" t="n">
        <f aca="false">D2422/(D2422+E2422)</f>
        <v>0.565789473684211</v>
      </c>
      <c r="K2422" s="3" t="n">
        <f aca="false">IF(D2422&gt;E2422,1,0)</f>
        <v>1</v>
      </c>
      <c r="L2422" s="3" t="n">
        <f aca="false">IF(OR(F2422="Y",G2422="Y",H2422="Y"),1,0)</f>
        <v>0</v>
      </c>
      <c r="M2422" s="3" t="n">
        <f aca="false">IF(H2422="Y",1,0)</f>
        <v>0</v>
      </c>
      <c r="N2422" s="3" t="n">
        <f aca="false">IF(I2422="Y",1,0)</f>
        <v>0</v>
      </c>
    </row>
    <row r="2423" customFormat="false" ht="15" hidden="false" customHeight="true" outlineLevel="0" collapsed="false">
      <c r="A2423" s="7" t="s">
        <v>61</v>
      </c>
      <c r="B2423" s="7" t="n">
        <v>1926</v>
      </c>
      <c r="C2423" s="7" t="s">
        <v>496</v>
      </c>
      <c r="D2423" s="7" t="n">
        <v>74</v>
      </c>
      <c r="E2423" s="7" t="n">
        <v>77</v>
      </c>
      <c r="F2423" s="7"/>
      <c r="G2423" s="7"/>
      <c r="H2423" s="7" t="s">
        <v>546</v>
      </c>
      <c r="I2423" s="7" t="s">
        <v>546</v>
      </c>
      <c r="J2423" s="21" t="n">
        <f aca="false">D2423/(D2423+E2423)</f>
        <v>0.490066225165563</v>
      </c>
      <c r="K2423" s="3" t="n">
        <f aca="false">IF(D2423&gt;E2423,1,0)</f>
        <v>0</v>
      </c>
      <c r="L2423" s="3" t="n">
        <f aca="false">IF(OR(F2423="Y",G2423="Y",H2423="Y"),1,0)</f>
        <v>0</v>
      </c>
      <c r="M2423" s="3" t="n">
        <f aca="false">IF(H2423="Y",1,0)</f>
        <v>0</v>
      </c>
      <c r="N2423" s="3" t="n">
        <f aca="false">IF(I2423="Y",1,0)</f>
        <v>0</v>
      </c>
    </row>
    <row r="2424" customFormat="false" ht="15" hidden="false" customHeight="true" outlineLevel="0" collapsed="false">
      <c r="A2424" s="7" t="s">
        <v>61</v>
      </c>
      <c r="B2424" s="7" t="n">
        <v>1927</v>
      </c>
      <c r="C2424" s="7" t="s">
        <v>496</v>
      </c>
      <c r="D2424" s="7" t="n">
        <v>92</v>
      </c>
      <c r="E2424" s="7" t="n">
        <v>62</v>
      </c>
      <c r="F2424" s="7"/>
      <c r="G2424" s="7"/>
      <c r="H2424" s="7" t="s">
        <v>546</v>
      </c>
      <c r="I2424" s="7" t="s">
        <v>546</v>
      </c>
      <c r="J2424" s="21" t="n">
        <f aca="false">D2424/(D2424+E2424)</f>
        <v>0.597402597402597</v>
      </c>
      <c r="K2424" s="3" t="n">
        <f aca="false">IF(D2424&gt;E2424,1,0)</f>
        <v>1</v>
      </c>
      <c r="L2424" s="3" t="n">
        <f aca="false">IF(OR(F2424="Y",G2424="Y",H2424="Y"),1,0)</f>
        <v>0</v>
      </c>
      <c r="M2424" s="3" t="n">
        <f aca="false">IF(H2424="Y",1,0)</f>
        <v>0</v>
      </c>
      <c r="N2424" s="3" t="n">
        <f aca="false">IF(I2424="Y",1,0)</f>
        <v>0</v>
      </c>
    </row>
    <row r="2425" customFormat="false" ht="15" hidden="false" customHeight="true" outlineLevel="0" collapsed="false">
      <c r="A2425" s="7" t="s">
        <v>61</v>
      </c>
      <c r="B2425" s="7" t="n">
        <v>1928</v>
      </c>
      <c r="C2425" s="7" t="s">
        <v>496</v>
      </c>
      <c r="D2425" s="7" t="n">
        <v>93</v>
      </c>
      <c r="E2425" s="7" t="n">
        <v>61</v>
      </c>
      <c r="F2425" s="7"/>
      <c r="G2425" s="7"/>
      <c r="H2425" s="7" t="s">
        <v>546</v>
      </c>
      <c r="I2425" s="7" t="s">
        <v>546</v>
      </c>
      <c r="J2425" s="21" t="n">
        <f aca="false">D2425/(D2425+E2425)</f>
        <v>0.603896103896104</v>
      </c>
      <c r="K2425" s="3" t="n">
        <f aca="false">IF(D2425&gt;E2425,1,0)</f>
        <v>1</v>
      </c>
      <c r="L2425" s="3" t="n">
        <f aca="false">IF(OR(F2425="Y",G2425="Y",H2425="Y"),1,0)</f>
        <v>0</v>
      </c>
      <c r="M2425" s="3" t="n">
        <f aca="false">IF(H2425="Y",1,0)</f>
        <v>0</v>
      </c>
      <c r="N2425" s="3" t="n">
        <f aca="false">IF(I2425="Y",1,0)</f>
        <v>0</v>
      </c>
    </row>
    <row r="2426" customFormat="false" ht="15" hidden="false" customHeight="true" outlineLevel="0" collapsed="false">
      <c r="A2426" s="7" t="s">
        <v>61</v>
      </c>
      <c r="B2426" s="7" t="n">
        <v>1929</v>
      </c>
      <c r="C2426" s="7" t="s">
        <v>496</v>
      </c>
      <c r="D2426" s="7" t="n">
        <v>84</v>
      </c>
      <c r="E2426" s="7" t="n">
        <v>67</v>
      </c>
      <c r="F2426" s="7"/>
      <c r="G2426" s="7"/>
      <c r="H2426" s="7" t="s">
        <v>546</v>
      </c>
      <c r="I2426" s="7" t="s">
        <v>546</v>
      </c>
      <c r="J2426" s="21" t="n">
        <f aca="false">D2426/(D2426+E2426)</f>
        <v>0.556291390728477</v>
      </c>
      <c r="K2426" s="3" t="n">
        <f aca="false">IF(D2426&gt;E2426,1,0)</f>
        <v>1</v>
      </c>
      <c r="L2426" s="3" t="n">
        <f aca="false">IF(OR(F2426="Y",G2426="Y",H2426="Y"),1,0)</f>
        <v>0</v>
      </c>
      <c r="M2426" s="3" t="n">
        <f aca="false">IF(H2426="Y",1,0)</f>
        <v>0</v>
      </c>
      <c r="N2426" s="3" t="n">
        <f aca="false">IF(I2426="Y",1,0)</f>
        <v>0</v>
      </c>
    </row>
    <row r="2427" customFormat="false" ht="15" hidden="false" customHeight="true" outlineLevel="0" collapsed="false">
      <c r="A2427" s="7" t="s">
        <v>61</v>
      </c>
      <c r="B2427" s="7" t="n">
        <v>1930</v>
      </c>
      <c r="C2427" s="7" t="s">
        <v>496</v>
      </c>
      <c r="D2427" s="7" t="n">
        <v>87</v>
      </c>
      <c r="E2427" s="7" t="n">
        <v>67</v>
      </c>
      <c r="F2427" s="7"/>
      <c r="G2427" s="7"/>
      <c r="H2427" s="7" t="s">
        <v>546</v>
      </c>
      <c r="I2427" s="7" t="s">
        <v>546</v>
      </c>
      <c r="J2427" s="21" t="n">
        <f aca="false">D2427/(D2427+E2427)</f>
        <v>0.564935064935065</v>
      </c>
      <c r="K2427" s="3" t="n">
        <f aca="false">IF(D2427&gt;E2427,1,0)</f>
        <v>1</v>
      </c>
      <c r="L2427" s="3" t="n">
        <f aca="false">IF(OR(F2427="Y",G2427="Y",H2427="Y"),1,0)</f>
        <v>0</v>
      </c>
      <c r="M2427" s="3" t="n">
        <f aca="false">IF(H2427="Y",1,0)</f>
        <v>0</v>
      </c>
      <c r="N2427" s="3" t="n">
        <f aca="false">IF(I2427="Y",1,0)</f>
        <v>0</v>
      </c>
    </row>
    <row r="2428" customFormat="false" ht="15" hidden="false" customHeight="true" outlineLevel="0" collapsed="false">
      <c r="A2428" s="7" t="s">
        <v>61</v>
      </c>
      <c r="B2428" s="7" t="n">
        <v>1931</v>
      </c>
      <c r="C2428" s="7" t="s">
        <v>496</v>
      </c>
      <c r="D2428" s="7" t="n">
        <v>87</v>
      </c>
      <c r="E2428" s="7" t="n">
        <v>65</v>
      </c>
      <c r="F2428" s="7"/>
      <c r="G2428" s="7"/>
      <c r="H2428" s="7" t="s">
        <v>546</v>
      </c>
      <c r="I2428" s="7" t="s">
        <v>546</v>
      </c>
      <c r="J2428" s="21" t="n">
        <f aca="false">D2428/(D2428+E2428)</f>
        <v>0.572368421052632</v>
      </c>
      <c r="K2428" s="3" t="n">
        <f aca="false">IF(D2428&gt;E2428,1,0)</f>
        <v>1</v>
      </c>
      <c r="L2428" s="3" t="n">
        <f aca="false">IF(OR(F2428="Y",G2428="Y",H2428="Y"),1,0)</f>
        <v>0</v>
      </c>
      <c r="M2428" s="3" t="n">
        <f aca="false">IF(H2428="Y",1,0)</f>
        <v>0</v>
      </c>
      <c r="N2428" s="3" t="n">
        <f aca="false">IF(I2428="Y",1,0)</f>
        <v>0</v>
      </c>
    </row>
    <row r="2429" customFormat="false" ht="15" hidden="false" customHeight="true" outlineLevel="0" collapsed="false">
      <c r="A2429" s="7" t="s">
        <v>61</v>
      </c>
      <c r="B2429" s="7" t="n">
        <v>1932</v>
      </c>
      <c r="C2429" s="7" t="s">
        <v>496</v>
      </c>
      <c r="D2429" s="7" t="n">
        <v>72</v>
      </c>
      <c r="E2429" s="7" t="n">
        <v>82</v>
      </c>
      <c r="F2429" s="7"/>
      <c r="G2429" s="7"/>
      <c r="H2429" s="7" t="s">
        <v>546</v>
      </c>
      <c r="I2429" s="7" t="s">
        <v>546</v>
      </c>
      <c r="J2429" s="21" t="n">
        <f aca="false">D2429/(D2429+E2429)</f>
        <v>0.467532467532468</v>
      </c>
      <c r="K2429" s="3" t="n">
        <f aca="false">IF(D2429&gt;E2429,1,0)</f>
        <v>0</v>
      </c>
      <c r="L2429" s="3" t="n">
        <f aca="false">IF(OR(F2429="Y",G2429="Y",H2429="Y"),1,0)</f>
        <v>0</v>
      </c>
      <c r="M2429" s="3" t="n">
        <f aca="false">IF(H2429="Y",1,0)</f>
        <v>0</v>
      </c>
      <c r="N2429" s="3" t="n">
        <f aca="false">IF(I2429="Y",1,0)</f>
        <v>0</v>
      </c>
    </row>
    <row r="2430" customFormat="false" ht="15" hidden="false" customHeight="true" outlineLevel="0" collapsed="false">
      <c r="A2430" s="7" t="s">
        <v>61</v>
      </c>
      <c r="B2430" s="7" t="n">
        <v>1933</v>
      </c>
      <c r="C2430" s="7" t="s">
        <v>496</v>
      </c>
      <c r="D2430" s="7" t="n">
        <v>91</v>
      </c>
      <c r="E2430" s="7" t="n">
        <v>61</v>
      </c>
      <c r="F2430" s="7"/>
      <c r="G2430" s="7"/>
      <c r="H2430" s="7" t="s">
        <v>548</v>
      </c>
      <c r="I2430" s="7" t="s">
        <v>548</v>
      </c>
      <c r="J2430" s="21" t="n">
        <f aca="false">D2430/(D2430+E2430)</f>
        <v>0.598684210526316</v>
      </c>
      <c r="K2430" s="3" t="n">
        <f aca="false">IF(D2430&gt;E2430,1,0)</f>
        <v>1</v>
      </c>
      <c r="L2430" s="3" t="n">
        <f aca="false">IF(OR(F2430="Y",G2430="Y",H2430="Y"),1,0)</f>
        <v>1</v>
      </c>
      <c r="M2430" s="3" t="n">
        <f aca="false">IF(H2430="Y",1,0)</f>
        <v>1</v>
      </c>
      <c r="N2430" s="3" t="n">
        <f aca="false">IF(I2430="Y",1,0)</f>
        <v>1</v>
      </c>
    </row>
    <row r="2431" customFormat="false" ht="15" hidden="false" customHeight="true" outlineLevel="0" collapsed="false">
      <c r="A2431" s="7" t="s">
        <v>61</v>
      </c>
      <c r="B2431" s="7" t="n">
        <v>1934</v>
      </c>
      <c r="C2431" s="7" t="s">
        <v>496</v>
      </c>
      <c r="D2431" s="7" t="n">
        <v>93</v>
      </c>
      <c r="E2431" s="7" t="n">
        <v>60</v>
      </c>
      <c r="F2431" s="7"/>
      <c r="G2431" s="7"/>
      <c r="H2431" s="7" t="s">
        <v>546</v>
      </c>
      <c r="I2431" s="7" t="s">
        <v>546</v>
      </c>
      <c r="J2431" s="21" t="n">
        <f aca="false">D2431/(D2431+E2431)</f>
        <v>0.607843137254902</v>
      </c>
      <c r="K2431" s="3" t="n">
        <f aca="false">IF(D2431&gt;E2431,1,0)</f>
        <v>1</v>
      </c>
      <c r="L2431" s="3" t="n">
        <f aca="false">IF(OR(F2431="Y",G2431="Y",H2431="Y"),1,0)</f>
        <v>0</v>
      </c>
      <c r="M2431" s="3" t="n">
        <f aca="false">IF(H2431="Y",1,0)</f>
        <v>0</v>
      </c>
      <c r="N2431" s="3" t="n">
        <f aca="false">IF(I2431="Y",1,0)</f>
        <v>0</v>
      </c>
    </row>
    <row r="2432" customFormat="false" ht="15" hidden="false" customHeight="true" outlineLevel="0" collapsed="false">
      <c r="A2432" s="7" t="s">
        <v>61</v>
      </c>
      <c r="B2432" s="7" t="n">
        <v>1935</v>
      </c>
      <c r="C2432" s="7" t="s">
        <v>496</v>
      </c>
      <c r="D2432" s="7" t="n">
        <v>91</v>
      </c>
      <c r="E2432" s="7" t="n">
        <v>62</v>
      </c>
      <c r="F2432" s="7"/>
      <c r="G2432" s="7"/>
      <c r="H2432" s="7" t="s">
        <v>546</v>
      </c>
      <c r="I2432" s="7" t="s">
        <v>546</v>
      </c>
      <c r="J2432" s="21" t="n">
        <f aca="false">D2432/(D2432+E2432)</f>
        <v>0.594771241830065</v>
      </c>
      <c r="K2432" s="3" t="n">
        <f aca="false">IF(D2432&gt;E2432,1,0)</f>
        <v>1</v>
      </c>
      <c r="L2432" s="3" t="n">
        <f aca="false">IF(OR(F2432="Y",G2432="Y",H2432="Y"),1,0)</f>
        <v>0</v>
      </c>
      <c r="M2432" s="3" t="n">
        <f aca="false">IF(H2432="Y",1,0)</f>
        <v>0</v>
      </c>
      <c r="N2432" s="3" t="n">
        <f aca="false">IF(I2432="Y",1,0)</f>
        <v>0</v>
      </c>
    </row>
    <row r="2433" customFormat="false" ht="15" hidden="false" customHeight="true" outlineLevel="0" collapsed="false">
      <c r="A2433" s="7" t="s">
        <v>61</v>
      </c>
      <c r="B2433" s="7" t="n">
        <v>1936</v>
      </c>
      <c r="C2433" s="7" t="s">
        <v>496</v>
      </c>
      <c r="D2433" s="7" t="n">
        <v>92</v>
      </c>
      <c r="E2433" s="7" t="n">
        <v>62</v>
      </c>
      <c r="F2433" s="7"/>
      <c r="G2433" s="7"/>
      <c r="H2433" s="7" t="s">
        <v>548</v>
      </c>
      <c r="I2433" s="7" t="s">
        <v>546</v>
      </c>
      <c r="J2433" s="21" t="n">
        <f aca="false">D2433/(D2433+E2433)</f>
        <v>0.597402597402597</v>
      </c>
      <c r="K2433" s="3" t="n">
        <f aca="false">IF(D2433&gt;E2433,1,0)</f>
        <v>1</v>
      </c>
      <c r="L2433" s="3" t="n">
        <f aca="false">IF(OR(F2433="Y",G2433="Y",H2433="Y"),1,0)</f>
        <v>1</v>
      </c>
      <c r="M2433" s="3" t="n">
        <f aca="false">IF(H2433="Y",1,0)</f>
        <v>1</v>
      </c>
      <c r="N2433" s="3" t="n">
        <f aca="false">IF(I2433="Y",1,0)</f>
        <v>0</v>
      </c>
    </row>
    <row r="2434" customFormat="false" ht="15" hidden="false" customHeight="true" outlineLevel="0" collapsed="false">
      <c r="A2434" s="7" t="s">
        <v>61</v>
      </c>
      <c r="B2434" s="7" t="n">
        <v>1937</v>
      </c>
      <c r="C2434" s="7" t="s">
        <v>496</v>
      </c>
      <c r="D2434" s="7" t="n">
        <v>95</v>
      </c>
      <c r="E2434" s="7" t="n">
        <v>57</v>
      </c>
      <c r="F2434" s="7"/>
      <c r="G2434" s="7"/>
      <c r="H2434" s="7" t="s">
        <v>548</v>
      </c>
      <c r="I2434" s="7" t="s">
        <v>546</v>
      </c>
      <c r="J2434" s="21" t="n">
        <f aca="false">D2434/(D2434+E2434)</f>
        <v>0.625</v>
      </c>
      <c r="K2434" s="3" t="n">
        <f aca="false">IF(D2434&gt;E2434,1,0)</f>
        <v>1</v>
      </c>
      <c r="L2434" s="3" t="n">
        <f aca="false">IF(OR(F2434="Y",G2434="Y",H2434="Y"),1,0)</f>
        <v>1</v>
      </c>
      <c r="M2434" s="3" t="n">
        <f aca="false">IF(H2434="Y",1,0)</f>
        <v>1</v>
      </c>
      <c r="N2434" s="3" t="n">
        <f aca="false">IF(I2434="Y",1,0)</f>
        <v>0</v>
      </c>
    </row>
    <row r="2435" customFormat="false" ht="15" hidden="false" customHeight="true" outlineLevel="0" collapsed="false">
      <c r="A2435" s="7" t="s">
        <v>61</v>
      </c>
      <c r="B2435" s="7" t="n">
        <v>1938</v>
      </c>
      <c r="C2435" s="7" t="s">
        <v>496</v>
      </c>
      <c r="D2435" s="7" t="n">
        <v>83</v>
      </c>
      <c r="E2435" s="7" t="n">
        <v>67</v>
      </c>
      <c r="F2435" s="7"/>
      <c r="G2435" s="7"/>
      <c r="H2435" s="7" t="s">
        <v>546</v>
      </c>
      <c r="I2435" s="7" t="s">
        <v>546</v>
      </c>
      <c r="J2435" s="21" t="n">
        <f aca="false">D2435/(D2435+E2435)</f>
        <v>0.553333333333333</v>
      </c>
      <c r="K2435" s="3" t="n">
        <f aca="false">IF(D2435&gt;E2435,1,0)</f>
        <v>1</v>
      </c>
      <c r="L2435" s="3" t="n">
        <f aca="false">IF(OR(F2435="Y",G2435="Y",H2435="Y"),1,0)</f>
        <v>0</v>
      </c>
      <c r="M2435" s="3" t="n">
        <f aca="false">IF(H2435="Y",1,0)</f>
        <v>0</v>
      </c>
      <c r="N2435" s="3" t="n">
        <f aca="false">IF(I2435="Y",1,0)</f>
        <v>0</v>
      </c>
    </row>
    <row r="2436" customFormat="false" ht="15" hidden="false" customHeight="true" outlineLevel="0" collapsed="false">
      <c r="A2436" s="7" t="s">
        <v>61</v>
      </c>
      <c r="B2436" s="7" t="n">
        <v>1939</v>
      </c>
      <c r="C2436" s="7" t="s">
        <v>496</v>
      </c>
      <c r="D2436" s="7" t="n">
        <v>77</v>
      </c>
      <c r="E2436" s="7" t="n">
        <v>74</v>
      </c>
      <c r="F2436" s="7"/>
      <c r="G2436" s="7"/>
      <c r="H2436" s="7" t="s">
        <v>546</v>
      </c>
      <c r="I2436" s="7" t="s">
        <v>546</v>
      </c>
      <c r="J2436" s="21" t="n">
        <f aca="false">D2436/(D2436+E2436)</f>
        <v>0.509933774834437</v>
      </c>
      <c r="K2436" s="3" t="n">
        <f aca="false">IF(D2436&gt;E2436,1,0)</f>
        <v>1</v>
      </c>
      <c r="L2436" s="3" t="n">
        <f aca="false">IF(OR(F2436="Y",G2436="Y",H2436="Y"),1,0)</f>
        <v>0</v>
      </c>
      <c r="M2436" s="3" t="n">
        <f aca="false">IF(H2436="Y",1,0)</f>
        <v>0</v>
      </c>
      <c r="N2436" s="3" t="n">
        <f aca="false">IF(I2436="Y",1,0)</f>
        <v>0</v>
      </c>
    </row>
    <row r="2437" customFormat="false" ht="15" hidden="false" customHeight="true" outlineLevel="0" collapsed="false">
      <c r="A2437" s="7" t="s">
        <v>61</v>
      </c>
      <c r="B2437" s="7" t="n">
        <v>1940</v>
      </c>
      <c r="C2437" s="7" t="s">
        <v>496</v>
      </c>
      <c r="D2437" s="7" t="n">
        <v>72</v>
      </c>
      <c r="E2437" s="7" t="n">
        <v>80</v>
      </c>
      <c r="F2437" s="7"/>
      <c r="G2437" s="7"/>
      <c r="H2437" s="7" t="s">
        <v>546</v>
      </c>
      <c r="I2437" s="7" t="s">
        <v>546</v>
      </c>
      <c r="J2437" s="21" t="n">
        <f aca="false">D2437/(D2437+E2437)</f>
        <v>0.473684210526316</v>
      </c>
      <c r="K2437" s="3" t="n">
        <f aca="false">IF(D2437&gt;E2437,1,0)</f>
        <v>0</v>
      </c>
      <c r="L2437" s="3" t="n">
        <f aca="false">IF(OR(F2437="Y",G2437="Y",H2437="Y"),1,0)</f>
        <v>0</v>
      </c>
      <c r="M2437" s="3" t="n">
        <f aca="false">IF(H2437="Y",1,0)</f>
        <v>0</v>
      </c>
      <c r="N2437" s="3" t="n">
        <f aca="false">IF(I2437="Y",1,0)</f>
        <v>0</v>
      </c>
    </row>
    <row r="2438" customFormat="false" ht="15" hidden="false" customHeight="true" outlineLevel="0" collapsed="false">
      <c r="A2438" s="7" t="s">
        <v>61</v>
      </c>
      <c r="B2438" s="7" t="n">
        <v>1941</v>
      </c>
      <c r="C2438" s="7" t="s">
        <v>496</v>
      </c>
      <c r="D2438" s="7" t="n">
        <v>74</v>
      </c>
      <c r="E2438" s="7" t="n">
        <v>79</v>
      </c>
      <c r="F2438" s="7"/>
      <c r="G2438" s="7"/>
      <c r="H2438" s="7" t="s">
        <v>546</v>
      </c>
      <c r="I2438" s="7" t="s">
        <v>546</v>
      </c>
      <c r="J2438" s="21" t="n">
        <f aca="false">D2438/(D2438+E2438)</f>
        <v>0.483660130718954</v>
      </c>
      <c r="K2438" s="3" t="n">
        <f aca="false">IF(D2438&gt;E2438,1,0)</f>
        <v>0</v>
      </c>
      <c r="L2438" s="3" t="n">
        <f aca="false">IF(OR(F2438="Y",G2438="Y",H2438="Y"),1,0)</f>
        <v>0</v>
      </c>
      <c r="M2438" s="3" t="n">
        <f aca="false">IF(H2438="Y",1,0)</f>
        <v>0</v>
      </c>
      <c r="N2438" s="3" t="n">
        <f aca="false">IF(I2438="Y",1,0)</f>
        <v>0</v>
      </c>
    </row>
    <row r="2439" customFormat="false" ht="15" hidden="false" customHeight="true" outlineLevel="0" collapsed="false">
      <c r="A2439" s="7" t="s">
        <v>61</v>
      </c>
      <c r="B2439" s="7" t="n">
        <v>1942</v>
      </c>
      <c r="C2439" s="7" t="s">
        <v>496</v>
      </c>
      <c r="D2439" s="7" t="n">
        <v>85</v>
      </c>
      <c r="E2439" s="7" t="n">
        <v>67</v>
      </c>
      <c r="F2439" s="7"/>
      <c r="G2439" s="7"/>
      <c r="H2439" s="7" t="s">
        <v>546</v>
      </c>
      <c r="I2439" s="7" t="s">
        <v>546</v>
      </c>
      <c r="J2439" s="21" t="n">
        <f aca="false">D2439/(D2439+E2439)</f>
        <v>0.55921052631579</v>
      </c>
      <c r="K2439" s="3" t="n">
        <f aca="false">IF(D2439&gt;E2439,1,0)</f>
        <v>1</v>
      </c>
      <c r="L2439" s="3" t="n">
        <f aca="false">IF(OR(F2439="Y",G2439="Y",H2439="Y"),1,0)</f>
        <v>0</v>
      </c>
      <c r="M2439" s="3" t="n">
        <f aca="false">IF(H2439="Y",1,0)</f>
        <v>0</v>
      </c>
      <c r="N2439" s="3" t="n">
        <f aca="false">IF(I2439="Y",1,0)</f>
        <v>0</v>
      </c>
    </row>
    <row r="2440" customFormat="false" ht="15" hidden="false" customHeight="true" outlineLevel="0" collapsed="false">
      <c r="A2440" s="7" t="s">
        <v>61</v>
      </c>
      <c r="B2440" s="7" t="n">
        <v>1943</v>
      </c>
      <c r="C2440" s="7" t="s">
        <v>496</v>
      </c>
      <c r="D2440" s="7" t="n">
        <v>55</v>
      </c>
      <c r="E2440" s="7" t="n">
        <v>98</v>
      </c>
      <c r="F2440" s="7"/>
      <c r="G2440" s="7"/>
      <c r="H2440" s="7" t="s">
        <v>546</v>
      </c>
      <c r="I2440" s="7" t="s">
        <v>546</v>
      </c>
      <c r="J2440" s="21" t="n">
        <f aca="false">D2440/(D2440+E2440)</f>
        <v>0.359477124183007</v>
      </c>
      <c r="K2440" s="3" t="n">
        <f aca="false">IF(D2440&gt;E2440,1,0)</f>
        <v>0</v>
      </c>
      <c r="L2440" s="3" t="n">
        <f aca="false">IF(OR(F2440="Y",G2440="Y",H2440="Y"),1,0)</f>
        <v>0</v>
      </c>
      <c r="M2440" s="3" t="n">
        <f aca="false">IF(H2440="Y",1,0)</f>
        <v>0</v>
      </c>
      <c r="N2440" s="3" t="n">
        <f aca="false">IF(I2440="Y",1,0)</f>
        <v>0</v>
      </c>
    </row>
    <row r="2441" customFormat="false" ht="15" hidden="false" customHeight="true" outlineLevel="0" collapsed="false">
      <c r="A2441" s="7" t="s">
        <v>61</v>
      </c>
      <c r="B2441" s="7" t="n">
        <v>1944</v>
      </c>
      <c r="C2441" s="7" t="s">
        <v>496</v>
      </c>
      <c r="D2441" s="7" t="n">
        <v>67</v>
      </c>
      <c r="E2441" s="7" t="n">
        <v>87</v>
      </c>
      <c r="F2441" s="7"/>
      <c r="G2441" s="7"/>
      <c r="H2441" s="7" t="s">
        <v>546</v>
      </c>
      <c r="I2441" s="7" t="s">
        <v>546</v>
      </c>
      <c r="J2441" s="21" t="n">
        <f aca="false">D2441/(D2441+E2441)</f>
        <v>0.435064935064935</v>
      </c>
      <c r="K2441" s="3" t="n">
        <f aca="false">IF(D2441&gt;E2441,1,0)</f>
        <v>0</v>
      </c>
      <c r="L2441" s="3" t="n">
        <f aca="false">IF(OR(F2441="Y",G2441="Y",H2441="Y"),1,0)</f>
        <v>0</v>
      </c>
      <c r="M2441" s="3" t="n">
        <f aca="false">IF(H2441="Y",1,0)</f>
        <v>0</v>
      </c>
      <c r="N2441" s="3" t="n">
        <f aca="false">IF(I2441="Y",1,0)</f>
        <v>0</v>
      </c>
    </row>
    <row r="2442" customFormat="false" ht="15" hidden="false" customHeight="true" outlineLevel="0" collapsed="false">
      <c r="A2442" s="7" t="s">
        <v>61</v>
      </c>
      <c r="B2442" s="7" t="n">
        <v>1945</v>
      </c>
      <c r="C2442" s="7" t="s">
        <v>496</v>
      </c>
      <c r="D2442" s="7" t="n">
        <v>78</v>
      </c>
      <c r="E2442" s="7" t="n">
        <v>74</v>
      </c>
      <c r="F2442" s="7"/>
      <c r="G2442" s="7"/>
      <c r="H2442" s="7" t="s">
        <v>546</v>
      </c>
      <c r="I2442" s="7" t="s">
        <v>546</v>
      </c>
      <c r="J2442" s="21" t="n">
        <f aca="false">D2442/(D2442+E2442)</f>
        <v>0.513157894736842</v>
      </c>
      <c r="K2442" s="3" t="n">
        <f aca="false">IF(D2442&gt;E2442,1,0)</f>
        <v>1</v>
      </c>
      <c r="L2442" s="3" t="n">
        <f aca="false">IF(OR(F2442="Y",G2442="Y",H2442="Y"),1,0)</f>
        <v>0</v>
      </c>
      <c r="M2442" s="3" t="n">
        <f aca="false">IF(H2442="Y",1,0)</f>
        <v>0</v>
      </c>
      <c r="N2442" s="3" t="n">
        <f aca="false">IF(I2442="Y",1,0)</f>
        <v>0</v>
      </c>
    </row>
    <row r="2443" customFormat="false" ht="15" hidden="false" customHeight="true" outlineLevel="0" collapsed="false">
      <c r="A2443" s="7" t="s">
        <v>61</v>
      </c>
      <c r="B2443" s="7" t="n">
        <v>1946</v>
      </c>
      <c r="C2443" s="7" t="s">
        <v>496</v>
      </c>
      <c r="D2443" s="7" t="n">
        <v>61</v>
      </c>
      <c r="E2443" s="7" t="n">
        <v>93</v>
      </c>
      <c r="F2443" s="7"/>
      <c r="G2443" s="7"/>
      <c r="H2443" s="7" t="s">
        <v>546</v>
      </c>
      <c r="I2443" s="7" t="s">
        <v>546</v>
      </c>
      <c r="J2443" s="21" t="n">
        <f aca="false">D2443/(D2443+E2443)</f>
        <v>0.396103896103896</v>
      </c>
      <c r="K2443" s="3" t="n">
        <f aca="false">IF(D2443&gt;E2443,1,0)</f>
        <v>0</v>
      </c>
      <c r="L2443" s="3" t="n">
        <f aca="false">IF(OR(F2443="Y",G2443="Y",H2443="Y"),1,0)</f>
        <v>0</v>
      </c>
      <c r="M2443" s="3" t="n">
        <f aca="false">IF(H2443="Y",1,0)</f>
        <v>0</v>
      </c>
      <c r="N2443" s="3" t="n">
        <f aca="false">IF(I2443="Y",1,0)</f>
        <v>0</v>
      </c>
    </row>
    <row r="2444" customFormat="false" ht="15" hidden="false" customHeight="true" outlineLevel="0" collapsed="false">
      <c r="A2444" s="7" t="s">
        <v>61</v>
      </c>
      <c r="B2444" s="7" t="n">
        <v>1947</v>
      </c>
      <c r="C2444" s="7" t="s">
        <v>496</v>
      </c>
      <c r="D2444" s="7" t="n">
        <v>81</v>
      </c>
      <c r="E2444" s="7" t="n">
        <v>73</v>
      </c>
      <c r="F2444" s="7"/>
      <c r="G2444" s="7"/>
      <c r="H2444" s="7" t="s">
        <v>546</v>
      </c>
      <c r="I2444" s="7" t="s">
        <v>546</v>
      </c>
      <c r="J2444" s="21" t="n">
        <f aca="false">D2444/(D2444+E2444)</f>
        <v>0.525974025974026</v>
      </c>
      <c r="K2444" s="3" t="n">
        <f aca="false">IF(D2444&gt;E2444,1,0)</f>
        <v>1</v>
      </c>
      <c r="L2444" s="3" t="n">
        <f aca="false">IF(OR(F2444="Y",G2444="Y",H2444="Y"),1,0)</f>
        <v>0</v>
      </c>
      <c r="M2444" s="3" t="n">
        <f aca="false">IF(H2444="Y",1,0)</f>
        <v>0</v>
      </c>
      <c r="N2444" s="3" t="n">
        <f aca="false">IF(I2444="Y",1,0)</f>
        <v>0</v>
      </c>
    </row>
    <row r="2445" customFormat="false" ht="15" hidden="false" customHeight="true" outlineLevel="0" collapsed="false">
      <c r="A2445" s="7" t="s">
        <v>61</v>
      </c>
      <c r="B2445" s="7" t="n">
        <v>1948</v>
      </c>
      <c r="C2445" s="7" t="s">
        <v>496</v>
      </c>
      <c r="D2445" s="7" t="n">
        <v>78</v>
      </c>
      <c r="E2445" s="7" t="n">
        <v>76</v>
      </c>
      <c r="F2445" s="7"/>
      <c r="G2445" s="7"/>
      <c r="H2445" s="7" t="s">
        <v>546</v>
      </c>
      <c r="I2445" s="7" t="s">
        <v>546</v>
      </c>
      <c r="J2445" s="21" t="n">
        <f aca="false">D2445/(D2445+E2445)</f>
        <v>0.506493506493506</v>
      </c>
      <c r="K2445" s="3" t="n">
        <f aca="false">IF(D2445&gt;E2445,1,0)</f>
        <v>1</v>
      </c>
      <c r="L2445" s="3" t="n">
        <f aca="false">IF(OR(F2445="Y",G2445="Y",H2445="Y"),1,0)</f>
        <v>0</v>
      </c>
      <c r="M2445" s="3" t="n">
        <f aca="false">IF(H2445="Y",1,0)</f>
        <v>0</v>
      </c>
      <c r="N2445" s="3" t="n">
        <f aca="false">IF(I2445="Y",1,0)</f>
        <v>0</v>
      </c>
    </row>
    <row r="2446" customFormat="false" ht="15" hidden="false" customHeight="true" outlineLevel="0" collapsed="false">
      <c r="A2446" s="7" t="s">
        <v>61</v>
      </c>
      <c r="B2446" s="7" t="n">
        <v>1949</v>
      </c>
      <c r="C2446" s="7" t="s">
        <v>496</v>
      </c>
      <c r="D2446" s="7" t="n">
        <v>73</v>
      </c>
      <c r="E2446" s="7" t="n">
        <v>81</v>
      </c>
      <c r="F2446" s="7"/>
      <c r="G2446" s="7"/>
      <c r="H2446" s="7" t="s">
        <v>546</v>
      </c>
      <c r="I2446" s="7" t="s">
        <v>546</v>
      </c>
      <c r="J2446" s="21" t="n">
        <f aca="false">D2446/(D2446+E2446)</f>
        <v>0.474025974025974</v>
      </c>
      <c r="K2446" s="3" t="n">
        <f aca="false">IF(D2446&gt;E2446,1,0)</f>
        <v>0</v>
      </c>
      <c r="L2446" s="3" t="n">
        <f aca="false">IF(OR(F2446="Y",G2446="Y",H2446="Y"),1,0)</f>
        <v>0</v>
      </c>
      <c r="M2446" s="3" t="n">
        <f aca="false">IF(H2446="Y",1,0)</f>
        <v>0</v>
      </c>
      <c r="N2446" s="3" t="n">
        <f aca="false">IF(I2446="Y",1,0)</f>
        <v>0</v>
      </c>
    </row>
    <row r="2447" customFormat="false" ht="15" hidden="false" customHeight="true" outlineLevel="0" collapsed="false">
      <c r="A2447" s="7" t="s">
        <v>61</v>
      </c>
      <c r="B2447" s="7" t="n">
        <v>1950</v>
      </c>
      <c r="C2447" s="7" t="s">
        <v>496</v>
      </c>
      <c r="D2447" s="7" t="n">
        <v>86</v>
      </c>
      <c r="E2447" s="7" t="n">
        <v>68</v>
      </c>
      <c r="F2447" s="7"/>
      <c r="G2447" s="7"/>
      <c r="H2447" s="7" t="s">
        <v>546</v>
      </c>
      <c r="I2447" s="7" t="s">
        <v>546</v>
      </c>
      <c r="J2447" s="21" t="n">
        <f aca="false">D2447/(D2447+E2447)</f>
        <v>0.558441558441558</v>
      </c>
      <c r="K2447" s="3" t="n">
        <f aca="false">IF(D2447&gt;E2447,1,0)</f>
        <v>1</v>
      </c>
      <c r="L2447" s="3" t="n">
        <f aca="false">IF(OR(F2447="Y",G2447="Y",H2447="Y"),1,0)</f>
        <v>0</v>
      </c>
      <c r="M2447" s="3" t="n">
        <f aca="false">IF(H2447="Y",1,0)</f>
        <v>0</v>
      </c>
      <c r="N2447" s="3" t="n">
        <f aca="false">IF(I2447="Y",1,0)</f>
        <v>0</v>
      </c>
    </row>
    <row r="2448" customFormat="false" ht="15" hidden="false" customHeight="true" outlineLevel="0" collapsed="false">
      <c r="A2448" s="7" t="s">
        <v>61</v>
      </c>
      <c r="B2448" s="7" t="n">
        <v>1951</v>
      </c>
      <c r="C2448" s="7" t="s">
        <v>496</v>
      </c>
      <c r="D2448" s="7" t="n">
        <v>98</v>
      </c>
      <c r="E2448" s="7" t="n">
        <v>59</v>
      </c>
      <c r="F2448" s="7"/>
      <c r="G2448" s="7"/>
      <c r="H2448" s="7" t="s">
        <v>548</v>
      </c>
      <c r="I2448" s="7" t="s">
        <v>546</v>
      </c>
      <c r="J2448" s="21" t="n">
        <f aca="false">D2448/(D2448+E2448)</f>
        <v>0.624203821656051</v>
      </c>
      <c r="K2448" s="3" t="n">
        <f aca="false">IF(D2448&gt;E2448,1,0)</f>
        <v>1</v>
      </c>
      <c r="L2448" s="3" t="n">
        <f aca="false">IF(OR(F2448="Y",G2448="Y",H2448="Y"),1,0)</f>
        <v>1</v>
      </c>
      <c r="M2448" s="3" t="n">
        <f aca="false">IF(H2448="Y",1,0)</f>
        <v>1</v>
      </c>
      <c r="N2448" s="3" t="n">
        <f aca="false">IF(I2448="Y",1,0)</f>
        <v>0</v>
      </c>
    </row>
    <row r="2449" customFormat="false" ht="15" hidden="false" customHeight="true" outlineLevel="0" collapsed="false">
      <c r="A2449" s="7" t="s">
        <v>61</v>
      </c>
      <c r="B2449" s="7" t="n">
        <v>1952</v>
      </c>
      <c r="C2449" s="7" t="s">
        <v>496</v>
      </c>
      <c r="D2449" s="7" t="n">
        <v>92</v>
      </c>
      <c r="E2449" s="7" t="n">
        <v>62</v>
      </c>
      <c r="F2449" s="7"/>
      <c r="G2449" s="7"/>
      <c r="H2449" s="7" t="s">
        <v>546</v>
      </c>
      <c r="I2449" s="7" t="s">
        <v>546</v>
      </c>
      <c r="J2449" s="21" t="n">
        <f aca="false">D2449/(D2449+E2449)</f>
        <v>0.597402597402597</v>
      </c>
      <c r="K2449" s="3" t="n">
        <f aca="false">IF(D2449&gt;E2449,1,0)</f>
        <v>1</v>
      </c>
      <c r="L2449" s="3" t="n">
        <f aca="false">IF(OR(F2449="Y",G2449="Y",H2449="Y"),1,0)</f>
        <v>0</v>
      </c>
      <c r="M2449" s="3" t="n">
        <f aca="false">IF(H2449="Y",1,0)</f>
        <v>0</v>
      </c>
      <c r="N2449" s="3" t="n">
        <f aca="false">IF(I2449="Y",1,0)</f>
        <v>0</v>
      </c>
    </row>
    <row r="2450" customFormat="false" ht="15" hidden="false" customHeight="true" outlineLevel="0" collapsed="false">
      <c r="A2450" s="7" t="s">
        <v>61</v>
      </c>
      <c r="B2450" s="7" t="n">
        <v>1953</v>
      </c>
      <c r="C2450" s="7" t="s">
        <v>496</v>
      </c>
      <c r="D2450" s="7" t="n">
        <v>70</v>
      </c>
      <c r="E2450" s="7" t="n">
        <v>84</v>
      </c>
      <c r="F2450" s="7"/>
      <c r="G2450" s="7"/>
      <c r="H2450" s="7" t="s">
        <v>546</v>
      </c>
      <c r="I2450" s="7" t="s">
        <v>546</v>
      </c>
      <c r="J2450" s="21" t="n">
        <f aca="false">D2450/(D2450+E2450)</f>
        <v>0.454545454545455</v>
      </c>
      <c r="K2450" s="3" t="n">
        <f aca="false">IF(D2450&gt;E2450,1,0)</f>
        <v>0</v>
      </c>
      <c r="L2450" s="3" t="n">
        <f aca="false">IF(OR(F2450="Y",G2450="Y",H2450="Y"),1,0)</f>
        <v>0</v>
      </c>
      <c r="M2450" s="3" t="n">
        <f aca="false">IF(H2450="Y",1,0)</f>
        <v>0</v>
      </c>
      <c r="N2450" s="3" t="n">
        <f aca="false">IF(I2450="Y",1,0)</f>
        <v>0</v>
      </c>
    </row>
    <row r="2451" customFormat="false" ht="15" hidden="false" customHeight="true" outlineLevel="0" collapsed="false">
      <c r="A2451" s="7" t="s">
        <v>61</v>
      </c>
      <c r="B2451" s="7" t="n">
        <v>1954</v>
      </c>
      <c r="C2451" s="7" t="s">
        <v>496</v>
      </c>
      <c r="D2451" s="7" t="n">
        <v>97</v>
      </c>
      <c r="E2451" s="7" t="n">
        <v>57</v>
      </c>
      <c r="F2451" s="7"/>
      <c r="G2451" s="7"/>
      <c r="H2451" s="7" t="s">
        <v>548</v>
      </c>
      <c r="I2451" s="7" t="s">
        <v>548</v>
      </c>
      <c r="J2451" s="21" t="n">
        <f aca="false">D2451/(D2451+E2451)</f>
        <v>0.62987012987013</v>
      </c>
      <c r="K2451" s="3" t="n">
        <f aca="false">IF(D2451&gt;E2451,1,0)</f>
        <v>1</v>
      </c>
      <c r="L2451" s="3" t="n">
        <f aca="false">IF(OR(F2451="Y",G2451="Y",H2451="Y"),1,0)</f>
        <v>1</v>
      </c>
      <c r="M2451" s="3" t="n">
        <f aca="false">IF(H2451="Y",1,0)</f>
        <v>1</v>
      </c>
      <c r="N2451" s="3" t="n">
        <f aca="false">IF(I2451="Y",1,0)</f>
        <v>1</v>
      </c>
    </row>
    <row r="2452" customFormat="false" ht="15" hidden="false" customHeight="true" outlineLevel="0" collapsed="false">
      <c r="A2452" s="7" t="s">
        <v>61</v>
      </c>
      <c r="B2452" s="7" t="n">
        <v>1955</v>
      </c>
      <c r="C2452" s="7" t="s">
        <v>496</v>
      </c>
      <c r="D2452" s="7" t="n">
        <v>80</v>
      </c>
      <c r="E2452" s="7" t="n">
        <v>74</v>
      </c>
      <c r="F2452" s="7"/>
      <c r="G2452" s="7"/>
      <c r="H2452" s="7" t="s">
        <v>546</v>
      </c>
      <c r="I2452" s="7" t="s">
        <v>546</v>
      </c>
      <c r="J2452" s="21" t="n">
        <f aca="false">D2452/(D2452+E2452)</f>
        <v>0.519480519480519</v>
      </c>
      <c r="K2452" s="3" t="n">
        <f aca="false">IF(D2452&gt;E2452,1,0)</f>
        <v>1</v>
      </c>
      <c r="L2452" s="3" t="n">
        <f aca="false">IF(OR(F2452="Y",G2452="Y",H2452="Y"),1,0)</f>
        <v>0</v>
      </c>
      <c r="M2452" s="3" t="n">
        <f aca="false">IF(H2452="Y",1,0)</f>
        <v>0</v>
      </c>
      <c r="N2452" s="3" t="n">
        <f aca="false">IF(I2452="Y",1,0)</f>
        <v>0</v>
      </c>
    </row>
    <row r="2453" customFormat="false" ht="15" hidden="false" customHeight="true" outlineLevel="0" collapsed="false">
      <c r="A2453" s="7" t="s">
        <v>61</v>
      </c>
      <c r="B2453" s="7" t="n">
        <v>1956</v>
      </c>
      <c r="C2453" s="7" t="s">
        <v>496</v>
      </c>
      <c r="D2453" s="7" t="n">
        <v>67</v>
      </c>
      <c r="E2453" s="7" t="n">
        <v>87</v>
      </c>
      <c r="F2453" s="7"/>
      <c r="G2453" s="7"/>
      <c r="H2453" s="7" t="s">
        <v>546</v>
      </c>
      <c r="I2453" s="7" t="s">
        <v>546</v>
      </c>
      <c r="J2453" s="21" t="n">
        <f aca="false">D2453/(D2453+E2453)</f>
        <v>0.435064935064935</v>
      </c>
      <c r="K2453" s="3" t="n">
        <f aca="false">IF(D2453&gt;E2453,1,0)</f>
        <v>0</v>
      </c>
      <c r="L2453" s="3" t="n">
        <f aca="false">IF(OR(F2453="Y",G2453="Y",H2453="Y"),1,0)</f>
        <v>0</v>
      </c>
      <c r="M2453" s="3" t="n">
        <f aca="false">IF(H2453="Y",1,0)</f>
        <v>0</v>
      </c>
      <c r="N2453" s="3" t="n">
        <f aca="false">IF(I2453="Y",1,0)</f>
        <v>0</v>
      </c>
    </row>
    <row r="2454" customFormat="false" ht="15" hidden="false" customHeight="true" outlineLevel="0" collapsed="false">
      <c r="A2454" s="7" t="s">
        <v>61</v>
      </c>
      <c r="B2454" s="7" t="n">
        <v>1957</v>
      </c>
      <c r="C2454" s="7" t="s">
        <v>496</v>
      </c>
      <c r="D2454" s="7" t="n">
        <v>69</v>
      </c>
      <c r="E2454" s="7" t="n">
        <v>85</v>
      </c>
      <c r="F2454" s="7"/>
      <c r="G2454" s="7"/>
      <c r="H2454" s="7" t="s">
        <v>546</v>
      </c>
      <c r="I2454" s="7" t="s">
        <v>546</v>
      </c>
      <c r="J2454" s="21" t="n">
        <f aca="false">D2454/(D2454+E2454)</f>
        <v>0.448051948051948</v>
      </c>
      <c r="K2454" s="3" t="n">
        <f aca="false">IF(D2454&gt;E2454,1,0)</f>
        <v>0</v>
      </c>
      <c r="L2454" s="3" t="n">
        <f aca="false">IF(OR(F2454="Y",G2454="Y",H2454="Y"),1,0)</f>
        <v>0</v>
      </c>
      <c r="M2454" s="3" t="n">
        <f aca="false">IF(H2454="Y",1,0)</f>
        <v>0</v>
      </c>
      <c r="N2454" s="3" t="n">
        <f aca="false">IF(I2454="Y",1,0)</f>
        <v>0</v>
      </c>
    </row>
    <row r="2455" customFormat="false" ht="15" hidden="false" customHeight="true" outlineLevel="0" collapsed="false">
      <c r="A2455" s="7" t="s">
        <v>61</v>
      </c>
      <c r="B2455" s="7" t="n">
        <v>1958</v>
      </c>
      <c r="C2455" s="7" t="s">
        <v>362</v>
      </c>
      <c r="D2455" s="7" t="n">
        <v>80</v>
      </c>
      <c r="E2455" s="7" t="n">
        <v>74</v>
      </c>
      <c r="F2455" s="7"/>
      <c r="G2455" s="7"/>
      <c r="H2455" s="7" t="s">
        <v>546</v>
      </c>
      <c r="I2455" s="7" t="s">
        <v>546</v>
      </c>
      <c r="J2455" s="21" t="n">
        <f aca="false">D2455/(D2455+E2455)</f>
        <v>0.519480519480519</v>
      </c>
      <c r="K2455" s="3" t="n">
        <f aca="false">IF(D2455&gt;E2455,1,0)</f>
        <v>1</v>
      </c>
      <c r="L2455" s="3" t="n">
        <f aca="false">IF(OR(F2455="Y",G2455="Y",H2455="Y"),1,0)</f>
        <v>0</v>
      </c>
      <c r="M2455" s="3" t="n">
        <f aca="false">IF(H2455="Y",1,0)</f>
        <v>0</v>
      </c>
      <c r="N2455" s="3" t="n">
        <f aca="false">IF(I2455="Y",1,0)</f>
        <v>0</v>
      </c>
    </row>
    <row r="2456" customFormat="false" ht="15" hidden="false" customHeight="true" outlineLevel="0" collapsed="false">
      <c r="A2456" s="7" t="s">
        <v>61</v>
      </c>
      <c r="B2456" s="7" t="n">
        <v>1959</v>
      </c>
      <c r="C2456" s="7" t="s">
        <v>362</v>
      </c>
      <c r="D2456" s="7" t="n">
        <v>83</v>
      </c>
      <c r="E2456" s="7" t="n">
        <v>71</v>
      </c>
      <c r="F2456" s="7"/>
      <c r="G2456" s="7"/>
      <c r="H2456" s="7" t="s">
        <v>546</v>
      </c>
      <c r="I2456" s="7" t="s">
        <v>546</v>
      </c>
      <c r="J2456" s="21" t="n">
        <f aca="false">D2456/(D2456+E2456)</f>
        <v>0.538961038961039</v>
      </c>
      <c r="K2456" s="3" t="n">
        <f aca="false">IF(D2456&gt;E2456,1,0)</f>
        <v>1</v>
      </c>
      <c r="L2456" s="3" t="n">
        <f aca="false">IF(OR(F2456="Y",G2456="Y",H2456="Y"),1,0)</f>
        <v>0</v>
      </c>
      <c r="M2456" s="3" t="n">
        <f aca="false">IF(H2456="Y",1,0)</f>
        <v>0</v>
      </c>
      <c r="N2456" s="3" t="n">
        <f aca="false">IF(I2456="Y",1,0)</f>
        <v>0</v>
      </c>
    </row>
    <row r="2457" customFormat="false" ht="15" hidden="false" customHeight="true" outlineLevel="0" collapsed="false">
      <c r="A2457" s="7" t="s">
        <v>61</v>
      </c>
      <c r="B2457" s="7" t="n">
        <v>1960</v>
      </c>
      <c r="C2457" s="7" t="s">
        <v>362</v>
      </c>
      <c r="D2457" s="7" t="n">
        <v>79</v>
      </c>
      <c r="E2457" s="7" t="n">
        <v>75</v>
      </c>
      <c r="F2457" s="7"/>
      <c r="G2457" s="7"/>
      <c r="H2457" s="7" t="s">
        <v>546</v>
      </c>
      <c r="I2457" s="7" t="s">
        <v>546</v>
      </c>
      <c r="J2457" s="21" t="n">
        <f aca="false">D2457/(D2457+E2457)</f>
        <v>0.512987012987013</v>
      </c>
      <c r="K2457" s="3" t="n">
        <f aca="false">IF(D2457&gt;E2457,1,0)</f>
        <v>1</v>
      </c>
      <c r="L2457" s="3" t="n">
        <f aca="false">IF(OR(F2457="Y",G2457="Y",H2457="Y"),1,0)</f>
        <v>0</v>
      </c>
      <c r="M2457" s="3" t="n">
        <f aca="false">IF(H2457="Y",1,0)</f>
        <v>0</v>
      </c>
      <c r="N2457" s="3" t="n">
        <f aca="false">IF(I2457="Y",1,0)</f>
        <v>0</v>
      </c>
    </row>
    <row r="2458" customFormat="false" ht="15" hidden="false" customHeight="true" outlineLevel="0" collapsed="false">
      <c r="A2458" s="7" t="s">
        <v>61</v>
      </c>
      <c r="B2458" s="7" t="n">
        <v>1961</v>
      </c>
      <c r="C2458" s="7" t="s">
        <v>362</v>
      </c>
      <c r="D2458" s="7" t="n">
        <v>85</v>
      </c>
      <c r="E2458" s="7" t="n">
        <v>69</v>
      </c>
      <c r="F2458" s="7"/>
      <c r="G2458" s="7"/>
      <c r="H2458" s="7" t="s">
        <v>546</v>
      </c>
      <c r="I2458" s="7" t="s">
        <v>546</v>
      </c>
      <c r="J2458" s="21" t="n">
        <f aca="false">D2458/(D2458+E2458)</f>
        <v>0.551948051948052</v>
      </c>
      <c r="K2458" s="3" t="n">
        <f aca="false">IF(D2458&gt;E2458,1,0)</f>
        <v>1</v>
      </c>
      <c r="L2458" s="3" t="n">
        <f aca="false">IF(OR(F2458="Y",G2458="Y",H2458="Y"),1,0)</f>
        <v>0</v>
      </c>
      <c r="M2458" s="3" t="n">
        <f aca="false">IF(H2458="Y",1,0)</f>
        <v>0</v>
      </c>
      <c r="N2458" s="3" t="n">
        <f aca="false">IF(I2458="Y",1,0)</f>
        <v>0</v>
      </c>
    </row>
    <row r="2459" customFormat="false" ht="15" hidden="false" customHeight="true" outlineLevel="0" collapsed="false">
      <c r="A2459" s="7" t="s">
        <v>61</v>
      </c>
      <c r="B2459" s="7" t="n">
        <v>1962</v>
      </c>
      <c r="C2459" s="7" t="s">
        <v>362</v>
      </c>
      <c r="D2459" s="7" t="n">
        <v>103</v>
      </c>
      <c r="E2459" s="7" t="n">
        <v>62</v>
      </c>
      <c r="F2459" s="7"/>
      <c r="G2459" s="7"/>
      <c r="H2459" s="7" t="s">
        <v>548</v>
      </c>
      <c r="I2459" s="7" t="s">
        <v>546</v>
      </c>
      <c r="J2459" s="21" t="n">
        <f aca="false">D2459/(D2459+E2459)</f>
        <v>0.624242424242424</v>
      </c>
      <c r="K2459" s="3" t="n">
        <f aca="false">IF(D2459&gt;E2459,1,0)</f>
        <v>1</v>
      </c>
      <c r="L2459" s="3" t="n">
        <f aca="false">IF(OR(F2459="Y",G2459="Y",H2459="Y"),1,0)</f>
        <v>1</v>
      </c>
      <c r="M2459" s="3" t="n">
        <f aca="false">IF(H2459="Y",1,0)</f>
        <v>1</v>
      </c>
      <c r="N2459" s="3" t="n">
        <f aca="false">IF(I2459="Y",1,0)</f>
        <v>0</v>
      </c>
    </row>
    <row r="2460" customFormat="false" ht="15" hidden="false" customHeight="true" outlineLevel="0" collapsed="false">
      <c r="A2460" s="7" t="s">
        <v>61</v>
      </c>
      <c r="B2460" s="7" t="n">
        <v>1963</v>
      </c>
      <c r="C2460" s="7" t="s">
        <v>362</v>
      </c>
      <c r="D2460" s="7" t="n">
        <v>88</v>
      </c>
      <c r="E2460" s="7" t="n">
        <v>74</v>
      </c>
      <c r="F2460" s="7"/>
      <c r="G2460" s="7"/>
      <c r="H2460" s="7" t="s">
        <v>546</v>
      </c>
      <c r="I2460" s="7" t="s">
        <v>546</v>
      </c>
      <c r="J2460" s="21" t="n">
        <f aca="false">D2460/(D2460+E2460)</f>
        <v>0.54320987654321</v>
      </c>
      <c r="K2460" s="3" t="n">
        <f aca="false">IF(D2460&gt;E2460,1,0)</f>
        <v>1</v>
      </c>
      <c r="L2460" s="3" t="n">
        <f aca="false">IF(OR(F2460="Y",G2460="Y",H2460="Y"),1,0)</f>
        <v>0</v>
      </c>
      <c r="M2460" s="3" t="n">
        <f aca="false">IF(H2460="Y",1,0)</f>
        <v>0</v>
      </c>
      <c r="N2460" s="3" t="n">
        <f aca="false">IF(I2460="Y",1,0)</f>
        <v>0</v>
      </c>
    </row>
    <row r="2461" customFormat="false" ht="15" hidden="false" customHeight="true" outlineLevel="0" collapsed="false">
      <c r="A2461" s="7" t="s">
        <v>61</v>
      </c>
      <c r="B2461" s="7" t="n">
        <v>1964</v>
      </c>
      <c r="C2461" s="7" t="s">
        <v>362</v>
      </c>
      <c r="D2461" s="7" t="n">
        <v>90</v>
      </c>
      <c r="E2461" s="7" t="n">
        <v>72</v>
      </c>
      <c r="F2461" s="7"/>
      <c r="G2461" s="7"/>
      <c r="H2461" s="7" t="s">
        <v>546</v>
      </c>
      <c r="I2461" s="7" t="s">
        <v>546</v>
      </c>
      <c r="J2461" s="21" t="n">
        <f aca="false">D2461/(D2461+E2461)</f>
        <v>0.555555555555556</v>
      </c>
      <c r="K2461" s="3" t="n">
        <f aca="false">IF(D2461&gt;E2461,1,0)</f>
        <v>1</v>
      </c>
      <c r="L2461" s="3" t="n">
        <f aca="false">IF(OR(F2461="Y",G2461="Y",H2461="Y"),1,0)</f>
        <v>0</v>
      </c>
      <c r="M2461" s="3" t="n">
        <f aca="false">IF(H2461="Y",1,0)</f>
        <v>0</v>
      </c>
      <c r="N2461" s="3" t="n">
        <f aca="false">IF(I2461="Y",1,0)</f>
        <v>0</v>
      </c>
    </row>
    <row r="2462" customFormat="false" ht="15" hidden="false" customHeight="true" outlineLevel="0" collapsed="false">
      <c r="A2462" s="7" t="s">
        <v>61</v>
      </c>
      <c r="B2462" s="7" t="n">
        <v>1965</v>
      </c>
      <c r="C2462" s="7" t="s">
        <v>362</v>
      </c>
      <c r="D2462" s="7" t="n">
        <v>95</v>
      </c>
      <c r="E2462" s="7" t="n">
        <v>67</v>
      </c>
      <c r="F2462" s="7"/>
      <c r="G2462" s="7"/>
      <c r="H2462" s="7" t="s">
        <v>546</v>
      </c>
      <c r="I2462" s="7" t="s">
        <v>546</v>
      </c>
      <c r="J2462" s="21" t="n">
        <f aca="false">D2462/(D2462+E2462)</f>
        <v>0.58641975308642</v>
      </c>
      <c r="K2462" s="3" t="n">
        <f aca="false">IF(D2462&gt;E2462,1,0)</f>
        <v>1</v>
      </c>
      <c r="L2462" s="3" t="n">
        <f aca="false">IF(OR(F2462="Y",G2462="Y",H2462="Y"),1,0)</f>
        <v>0</v>
      </c>
      <c r="M2462" s="3" t="n">
        <f aca="false">IF(H2462="Y",1,0)</f>
        <v>0</v>
      </c>
      <c r="N2462" s="3" t="n">
        <f aca="false">IF(I2462="Y",1,0)</f>
        <v>0</v>
      </c>
    </row>
    <row r="2463" customFormat="false" ht="15" hidden="false" customHeight="true" outlineLevel="0" collapsed="false">
      <c r="A2463" s="7" t="s">
        <v>61</v>
      </c>
      <c r="B2463" s="7" t="n">
        <v>1966</v>
      </c>
      <c r="C2463" s="7" t="s">
        <v>362</v>
      </c>
      <c r="D2463" s="7" t="n">
        <v>93</v>
      </c>
      <c r="E2463" s="7" t="n">
        <v>68</v>
      </c>
      <c r="F2463" s="7"/>
      <c r="G2463" s="7"/>
      <c r="H2463" s="7" t="s">
        <v>546</v>
      </c>
      <c r="I2463" s="7" t="s">
        <v>546</v>
      </c>
      <c r="J2463" s="21" t="n">
        <f aca="false">D2463/(D2463+E2463)</f>
        <v>0.577639751552795</v>
      </c>
      <c r="K2463" s="3" t="n">
        <f aca="false">IF(D2463&gt;E2463,1,0)</f>
        <v>1</v>
      </c>
      <c r="L2463" s="3" t="n">
        <f aca="false">IF(OR(F2463="Y",G2463="Y",H2463="Y"),1,0)</f>
        <v>0</v>
      </c>
      <c r="M2463" s="3" t="n">
        <f aca="false">IF(H2463="Y",1,0)</f>
        <v>0</v>
      </c>
      <c r="N2463" s="3" t="n">
        <f aca="false">IF(I2463="Y",1,0)</f>
        <v>0</v>
      </c>
    </row>
    <row r="2464" customFormat="false" ht="15" hidden="false" customHeight="true" outlineLevel="0" collapsed="false">
      <c r="A2464" s="7" t="s">
        <v>61</v>
      </c>
      <c r="B2464" s="7" t="n">
        <v>1967</v>
      </c>
      <c r="C2464" s="7" t="s">
        <v>362</v>
      </c>
      <c r="D2464" s="7" t="n">
        <v>91</v>
      </c>
      <c r="E2464" s="7" t="n">
        <v>71</v>
      </c>
      <c r="F2464" s="7"/>
      <c r="G2464" s="7"/>
      <c r="H2464" s="7" t="s">
        <v>546</v>
      </c>
      <c r="I2464" s="7" t="s">
        <v>546</v>
      </c>
      <c r="J2464" s="21" t="n">
        <f aca="false">D2464/(D2464+E2464)</f>
        <v>0.561728395061728</v>
      </c>
      <c r="K2464" s="3" t="n">
        <f aca="false">IF(D2464&gt;E2464,1,0)</f>
        <v>1</v>
      </c>
      <c r="L2464" s="3" t="n">
        <f aca="false">IF(OR(F2464="Y",G2464="Y",H2464="Y"),1,0)</f>
        <v>0</v>
      </c>
      <c r="M2464" s="3" t="n">
        <f aca="false">IF(H2464="Y",1,0)</f>
        <v>0</v>
      </c>
      <c r="N2464" s="3" t="n">
        <f aca="false">IF(I2464="Y",1,0)</f>
        <v>0</v>
      </c>
    </row>
    <row r="2465" customFormat="false" ht="15" hidden="false" customHeight="true" outlineLevel="0" collapsed="false">
      <c r="A2465" s="7" t="s">
        <v>61</v>
      </c>
      <c r="B2465" s="7" t="n">
        <v>1968</v>
      </c>
      <c r="C2465" s="7" t="s">
        <v>362</v>
      </c>
      <c r="D2465" s="7" t="n">
        <v>88</v>
      </c>
      <c r="E2465" s="7" t="n">
        <v>74</v>
      </c>
      <c r="F2465" s="7"/>
      <c r="G2465" s="7"/>
      <c r="H2465" s="7" t="s">
        <v>546</v>
      </c>
      <c r="I2465" s="7" t="s">
        <v>546</v>
      </c>
      <c r="J2465" s="21" t="n">
        <f aca="false">D2465/(D2465+E2465)</f>
        <v>0.54320987654321</v>
      </c>
      <c r="K2465" s="3" t="n">
        <f aca="false">IF(D2465&gt;E2465,1,0)</f>
        <v>1</v>
      </c>
      <c r="L2465" s="3" t="n">
        <f aca="false">IF(OR(F2465="Y",G2465="Y",H2465="Y"),1,0)</f>
        <v>0</v>
      </c>
      <c r="M2465" s="3" t="n">
        <f aca="false">IF(H2465="Y",1,0)</f>
        <v>0</v>
      </c>
      <c r="N2465" s="3" t="n">
        <f aca="false">IF(I2465="Y",1,0)</f>
        <v>0</v>
      </c>
    </row>
    <row r="2466" customFormat="false" ht="15" hidden="false" customHeight="true" outlineLevel="0" collapsed="false">
      <c r="A2466" s="7" t="s">
        <v>61</v>
      </c>
      <c r="B2466" s="7" t="n">
        <v>1969</v>
      </c>
      <c r="C2466" s="7" t="s">
        <v>362</v>
      </c>
      <c r="D2466" s="7" t="n">
        <v>90</v>
      </c>
      <c r="E2466" s="7" t="n">
        <v>72</v>
      </c>
      <c r="F2466" s="7" t="s">
        <v>546</v>
      </c>
      <c r="G2466" s="7"/>
      <c r="H2466" s="7" t="s">
        <v>546</v>
      </c>
      <c r="I2466" s="7" t="s">
        <v>546</v>
      </c>
      <c r="J2466" s="21" t="n">
        <f aca="false">D2466/(D2466+E2466)</f>
        <v>0.555555555555556</v>
      </c>
      <c r="K2466" s="3" t="n">
        <f aca="false">IF(D2466&gt;E2466,1,0)</f>
        <v>1</v>
      </c>
      <c r="L2466" s="3" t="n">
        <f aca="false">IF(OR(F2466="Y",G2466="Y",H2466="Y"),1,0)</f>
        <v>0</v>
      </c>
      <c r="M2466" s="3" t="n">
        <f aca="false">IF(H2466="Y",1,0)</f>
        <v>0</v>
      </c>
      <c r="N2466" s="3" t="n">
        <f aca="false">IF(I2466="Y",1,0)</f>
        <v>0</v>
      </c>
    </row>
    <row r="2467" customFormat="false" ht="15" hidden="false" customHeight="true" outlineLevel="0" collapsed="false">
      <c r="A2467" s="7" t="s">
        <v>61</v>
      </c>
      <c r="B2467" s="7" t="n">
        <v>1970</v>
      </c>
      <c r="C2467" s="7" t="s">
        <v>362</v>
      </c>
      <c r="D2467" s="7" t="n">
        <v>86</v>
      </c>
      <c r="E2467" s="7" t="n">
        <v>76</v>
      </c>
      <c r="F2467" s="7" t="s">
        <v>546</v>
      </c>
      <c r="G2467" s="7"/>
      <c r="H2467" s="7" t="s">
        <v>546</v>
      </c>
      <c r="I2467" s="7" t="s">
        <v>546</v>
      </c>
      <c r="J2467" s="21" t="n">
        <f aca="false">D2467/(D2467+E2467)</f>
        <v>0.530864197530864</v>
      </c>
      <c r="K2467" s="3" t="n">
        <f aca="false">IF(D2467&gt;E2467,1,0)</f>
        <v>1</v>
      </c>
      <c r="L2467" s="3" t="n">
        <f aca="false">IF(OR(F2467="Y",G2467="Y",H2467="Y"),1,0)</f>
        <v>0</v>
      </c>
      <c r="M2467" s="3" t="n">
        <f aca="false">IF(H2467="Y",1,0)</f>
        <v>0</v>
      </c>
      <c r="N2467" s="3" t="n">
        <f aca="false">IF(I2467="Y",1,0)</f>
        <v>0</v>
      </c>
    </row>
    <row r="2468" customFormat="false" ht="15" hidden="false" customHeight="true" outlineLevel="0" collapsed="false">
      <c r="A2468" s="7" t="s">
        <v>61</v>
      </c>
      <c r="B2468" s="7" t="n">
        <v>1971</v>
      </c>
      <c r="C2468" s="7" t="s">
        <v>362</v>
      </c>
      <c r="D2468" s="7" t="n">
        <v>90</v>
      </c>
      <c r="E2468" s="7" t="n">
        <v>72</v>
      </c>
      <c r="F2468" s="7" t="s">
        <v>548</v>
      </c>
      <c r="G2468" s="7"/>
      <c r="H2468" s="7" t="s">
        <v>546</v>
      </c>
      <c r="I2468" s="7" t="s">
        <v>546</v>
      </c>
      <c r="J2468" s="21" t="n">
        <f aca="false">D2468/(D2468+E2468)</f>
        <v>0.555555555555556</v>
      </c>
      <c r="K2468" s="3" t="n">
        <f aca="false">IF(D2468&gt;E2468,1,0)</f>
        <v>1</v>
      </c>
      <c r="L2468" s="3" t="n">
        <f aca="false">IF(OR(F2468="Y",G2468="Y",H2468="Y"),1,0)</f>
        <v>1</v>
      </c>
      <c r="M2468" s="3" t="n">
        <f aca="false">IF(H2468="Y",1,0)</f>
        <v>0</v>
      </c>
      <c r="N2468" s="3" t="n">
        <f aca="false">IF(I2468="Y",1,0)</f>
        <v>0</v>
      </c>
    </row>
    <row r="2469" customFormat="false" ht="15" hidden="false" customHeight="true" outlineLevel="0" collapsed="false">
      <c r="A2469" s="7" t="s">
        <v>61</v>
      </c>
      <c r="B2469" s="7" t="n">
        <v>1972</v>
      </c>
      <c r="C2469" s="7" t="s">
        <v>362</v>
      </c>
      <c r="D2469" s="7" t="n">
        <v>69</v>
      </c>
      <c r="E2469" s="7" t="n">
        <v>86</v>
      </c>
      <c r="F2469" s="7" t="s">
        <v>546</v>
      </c>
      <c r="G2469" s="7"/>
      <c r="H2469" s="7" t="s">
        <v>546</v>
      </c>
      <c r="I2469" s="7" t="s">
        <v>546</v>
      </c>
      <c r="J2469" s="21" t="n">
        <f aca="false">D2469/(D2469+E2469)</f>
        <v>0.445161290322581</v>
      </c>
      <c r="K2469" s="3" t="n">
        <f aca="false">IF(D2469&gt;E2469,1,0)</f>
        <v>0</v>
      </c>
      <c r="L2469" s="3" t="n">
        <f aca="false">IF(OR(F2469="Y",G2469="Y",H2469="Y"),1,0)</f>
        <v>0</v>
      </c>
      <c r="M2469" s="3" t="n">
        <f aca="false">IF(H2469="Y",1,0)</f>
        <v>0</v>
      </c>
      <c r="N2469" s="3" t="n">
        <f aca="false">IF(I2469="Y",1,0)</f>
        <v>0</v>
      </c>
    </row>
    <row r="2470" customFormat="false" ht="15" hidden="false" customHeight="true" outlineLevel="0" collapsed="false">
      <c r="A2470" s="7" t="s">
        <v>61</v>
      </c>
      <c r="B2470" s="7" t="n">
        <v>1973</v>
      </c>
      <c r="C2470" s="7" t="s">
        <v>362</v>
      </c>
      <c r="D2470" s="7" t="n">
        <v>88</v>
      </c>
      <c r="E2470" s="7" t="n">
        <v>74</v>
      </c>
      <c r="F2470" s="7" t="s">
        <v>546</v>
      </c>
      <c r="G2470" s="7"/>
      <c r="H2470" s="7" t="s">
        <v>546</v>
      </c>
      <c r="I2470" s="7" t="s">
        <v>546</v>
      </c>
      <c r="J2470" s="21" t="n">
        <f aca="false">D2470/(D2470+E2470)</f>
        <v>0.54320987654321</v>
      </c>
      <c r="K2470" s="3" t="n">
        <f aca="false">IF(D2470&gt;E2470,1,0)</f>
        <v>1</v>
      </c>
      <c r="L2470" s="3" t="n">
        <f aca="false">IF(OR(F2470="Y",G2470="Y",H2470="Y"),1,0)</f>
        <v>0</v>
      </c>
      <c r="M2470" s="3" t="n">
        <f aca="false">IF(H2470="Y",1,0)</f>
        <v>0</v>
      </c>
      <c r="N2470" s="3" t="n">
        <f aca="false">IF(I2470="Y",1,0)</f>
        <v>0</v>
      </c>
    </row>
    <row r="2471" customFormat="false" ht="15" hidden="false" customHeight="true" outlineLevel="0" collapsed="false">
      <c r="A2471" s="7" t="s">
        <v>61</v>
      </c>
      <c r="B2471" s="7" t="n">
        <v>1974</v>
      </c>
      <c r="C2471" s="7" t="s">
        <v>362</v>
      </c>
      <c r="D2471" s="7" t="n">
        <v>72</v>
      </c>
      <c r="E2471" s="7" t="n">
        <v>90</v>
      </c>
      <c r="F2471" s="7" t="s">
        <v>546</v>
      </c>
      <c r="G2471" s="7"/>
      <c r="H2471" s="7" t="s">
        <v>546</v>
      </c>
      <c r="I2471" s="7" t="s">
        <v>546</v>
      </c>
      <c r="J2471" s="21" t="n">
        <f aca="false">D2471/(D2471+E2471)</f>
        <v>0.444444444444444</v>
      </c>
      <c r="K2471" s="3" t="n">
        <f aca="false">IF(D2471&gt;E2471,1,0)</f>
        <v>0</v>
      </c>
      <c r="L2471" s="3" t="n">
        <f aca="false">IF(OR(F2471="Y",G2471="Y",H2471="Y"),1,0)</f>
        <v>0</v>
      </c>
      <c r="M2471" s="3" t="n">
        <f aca="false">IF(H2471="Y",1,0)</f>
        <v>0</v>
      </c>
      <c r="N2471" s="3" t="n">
        <f aca="false">IF(I2471="Y",1,0)</f>
        <v>0</v>
      </c>
    </row>
    <row r="2472" customFormat="false" ht="15" hidden="false" customHeight="true" outlineLevel="0" collapsed="false">
      <c r="A2472" s="7" t="s">
        <v>61</v>
      </c>
      <c r="B2472" s="7" t="n">
        <v>1975</v>
      </c>
      <c r="C2472" s="7" t="s">
        <v>362</v>
      </c>
      <c r="D2472" s="7" t="n">
        <v>80</v>
      </c>
      <c r="E2472" s="7" t="n">
        <v>81</v>
      </c>
      <c r="F2472" s="7" t="s">
        <v>546</v>
      </c>
      <c r="G2472" s="7"/>
      <c r="H2472" s="7" t="s">
        <v>546</v>
      </c>
      <c r="I2472" s="7" t="s">
        <v>546</v>
      </c>
      <c r="J2472" s="21" t="n">
        <f aca="false">D2472/(D2472+E2472)</f>
        <v>0.496894409937888</v>
      </c>
      <c r="K2472" s="3" t="n">
        <f aca="false">IF(D2472&gt;E2472,1,0)</f>
        <v>0</v>
      </c>
      <c r="L2472" s="3" t="n">
        <f aca="false">IF(OR(F2472="Y",G2472="Y",H2472="Y"),1,0)</f>
        <v>0</v>
      </c>
      <c r="M2472" s="3" t="n">
        <f aca="false">IF(H2472="Y",1,0)</f>
        <v>0</v>
      </c>
      <c r="N2472" s="3" t="n">
        <f aca="false">IF(I2472="Y",1,0)</f>
        <v>0</v>
      </c>
    </row>
    <row r="2473" customFormat="false" ht="15" hidden="false" customHeight="true" outlineLevel="0" collapsed="false">
      <c r="A2473" s="7" t="s">
        <v>61</v>
      </c>
      <c r="B2473" s="7" t="n">
        <v>1976</v>
      </c>
      <c r="C2473" s="7" t="s">
        <v>362</v>
      </c>
      <c r="D2473" s="7" t="n">
        <v>74</v>
      </c>
      <c r="E2473" s="7" t="n">
        <v>88</v>
      </c>
      <c r="F2473" s="7" t="s">
        <v>546</v>
      </c>
      <c r="G2473" s="7"/>
      <c r="H2473" s="7" t="s">
        <v>546</v>
      </c>
      <c r="I2473" s="7" t="s">
        <v>546</v>
      </c>
      <c r="J2473" s="21" t="n">
        <f aca="false">D2473/(D2473+E2473)</f>
        <v>0.45679012345679</v>
      </c>
      <c r="K2473" s="3" t="n">
        <f aca="false">IF(D2473&gt;E2473,1,0)</f>
        <v>0</v>
      </c>
      <c r="L2473" s="3" t="n">
        <f aca="false">IF(OR(F2473="Y",G2473="Y",H2473="Y"),1,0)</f>
        <v>0</v>
      </c>
      <c r="M2473" s="3" t="n">
        <f aca="false">IF(H2473="Y",1,0)</f>
        <v>0</v>
      </c>
      <c r="N2473" s="3" t="n">
        <f aca="false">IF(I2473="Y",1,0)</f>
        <v>0</v>
      </c>
    </row>
    <row r="2474" customFormat="false" ht="15" hidden="false" customHeight="true" outlineLevel="0" collapsed="false">
      <c r="A2474" s="7" t="s">
        <v>61</v>
      </c>
      <c r="B2474" s="7" t="n">
        <v>1977</v>
      </c>
      <c r="C2474" s="7" t="s">
        <v>362</v>
      </c>
      <c r="D2474" s="7" t="n">
        <v>75</v>
      </c>
      <c r="E2474" s="7" t="n">
        <v>87</v>
      </c>
      <c r="F2474" s="7" t="s">
        <v>546</v>
      </c>
      <c r="G2474" s="7"/>
      <c r="H2474" s="7" t="s">
        <v>546</v>
      </c>
      <c r="I2474" s="7" t="s">
        <v>546</v>
      </c>
      <c r="J2474" s="21" t="n">
        <f aca="false">D2474/(D2474+E2474)</f>
        <v>0.462962962962963</v>
      </c>
      <c r="K2474" s="3" t="n">
        <f aca="false">IF(D2474&gt;E2474,1,0)</f>
        <v>0</v>
      </c>
      <c r="L2474" s="3" t="n">
        <f aca="false">IF(OR(F2474="Y",G2474="Y",H2474="Y"),1,0)</f>
        <v>0</v>
      </c>
      <c r="M2474" s="3" t="n">
        <f aca="false">IF(H2474="Y",1,0)</f>
        <v>0</v>
      </c>
      <c r="N2474" s="3" t="n">
        <f aca="false">IF(I2474="Y",1,0)</f>
        <v>0</v>
      </c>
    </row>
    <row r="2475" customFormat="false" ht="15" hidden="false" customHeight="true" outlineLevel="0" collapsed="false">
      <c r="A2475" s="7" t="s">
        <v>61</v>
      </c>
      <c r="B2475" s="7" t="n">
        <v>1978</v>
      </c>
      <c r="C2475" s="7" t="s">
        <v>362</v>
      </c>
      <c r="D2475" s="7" t="n">
        <v>89</v>
      </c>
      <c r="E2475" s="7" t="n">
        <v>73</v>
      </c>
      <c r="F2475" s="7" t="s">
        <v>546</v>
      </c>
      <c r="G2475" s="7"/>
      <c r="H2475" s="7" t="s">
        <v>546</v>
      </c>
      <c r="I2475" s="7" t="s">
        <v>546</v>
      </c>
      <c r="J2475" s="21" t="n">
        <f aca="false">D2475/(D2475+E2475)</f>
        <v>0.549382716049383</v>
      </c>
      <c r="K2475" s="3" t="n">
        <f aca="false">IF(D2475&gt;E2475,1,0)</f>
        <v>1</v>
      </c>
      <c r="L2475" s="3" t="n">
        <f aca="false">IF(OR(F2475="Y",G2475="Y",H2475="Y"),1,0)</f>
        <v>0</v>
      </c>
      <c r="M2475" s="3" t="n">
        <f aca="false">IF(H2475="Y",1,0)</f>
        <v>0</v>
      </c>
      <c r="N2475" s="3" t="n">
        <f aca="false">IF(I2475="Y",1,0)</f>
        <v>0</v>
      </c>
    </row>
    <row r="2476" customFormat="false" ht="15" hidden="false" customHeight="true" outlineLevel="0" collapsed="false">
      <c r="A2476" s="7" t="s">
        <v>61</v>
      </c>
      <c r="B2476" s="7" t="n">
        <v>1979</v>
      </c>
      <c r="C2476" s="7" t="s">
        <v>362</v>
      </c>
      <c r="D2476" s="7" t="n">
        <v>71</v>
      </c>
      <c r="E2476" s="7" t="n">
        <v>91</v>
      </c>
      <c r="F2476" s="7" t="s">
        <v>546</v>
      </c>
      <c r="G2476" s="7"/>
      <c r="H2476" s="7" t="s">
        <v>546</v>
      </c>
      <c r="I2476" s="7" t="s">
        <v>546</v>
      </c>
      <c r="J2476" s="21" t="n">
        <f aca="false">D2476/(D2476+E2476)</f>
        <v>0.438271604938272</v>
      </c>
      <c r="K2476" s="3" t="n">
        <f aca="false">IF(D2476&gt;E2476,1,0)</f>
        <v>0</v>
      </c>
      <c r="L2476" s="3" t="n">
        <f aca="false">IF(OR(F2476="Y",G2476="Y",H2476="Y"),1,0)</f>
        <v>0</v>
      </c>
      <c r="M2476" s="3" t="n">
        <f aca="false">IF(H2476="Y",1,0)</f>
        <v>0</v>
      </c>
      <c r="N2476" s="3" t="n">
        <f aca="false">IF(I2476="Y",1,0)</f>
        <v>0</v>
      </c>
    </row>
    <row r="2477" customFormat="false" ht="15" hidden="false" customHeight="true" outlineLevel="0" collapsed="false">
      <c r="A2477" s="7" t="s">
        <v>61</v>
      </c>
      <c r="B2477" s="7" t="n">
        <v>1980</v>
      </c>
      <c r="C2477" s="7" t="s">
        <v>362</v>
      </c>
      <c r="D2477" s="7" t="n">
        <v>75</v>
      </c>
      <c r="E2477" s="7" t="n">
        <v>86</v>
      </c>
      <c r="F2477" s="7" t="s">
        <v>546</v>
      </c>
      <c r="G2477" s="7"/>
      <c r="H2477" s="7" t="s">
        <v>546</v>
      </c>
      <c r="I2477" s="7" t="s">
        <v>546</v>
      </c>
      <c r="J2477" s="21" t="n">
        <f aca="false">D2477/(D2477+E2477)</f>
        <v>0.46583850931677</v>
      </c>
      <c r="K2477" s="3" t="n">
        <f aca="false">IF(D2477&gt;E2477,1,0)</f>
        <v>0</v>
      </c>
      <c r="L2477" s="3" t="n">
        <f aca="false">IF(OR(F2477="Y",G2477="Y",H2477="Y"),1,0)</f>
        <v>0</v>
      </c>
      <c r="M2477" s="3" t="n">
        <f aca="false">IF(H2477="Y",1,0)</f>
        <v>0</v>
      </c>
      <c r="N2477" s="3" t="n">
        <f aca="false">IF(I2477="Y",1,0)</f>
        <v>0</v>
      </c>
    </row>
    <row r="2478" customFormat="false" ht="15" hidden="false" customHeight="true" outlineLevel="0" collapsed="false">
      <c r="A2478" s="7" t="s">
        <v>61</v>
      </c>
      <c r="B2478" s="7" t="n">
        <v>1981</v>
      </c>
      <c r="C2478" s="7" t="s">
        <v>362</v>
      </c>
      <c r="D2478" s="7" t="n">
        <v>56</v>
      </c>
      <c r="E2478" s="7" t="n">
        <v>55</v>
      </c>
      <c r="F2478" s="7" t="s">
        <v>546</v>
      </c>
      <c r="G2478" s="7"/>
      <c r="H2478" s="7" t="s">
        <v>546</v>
      </c>
      <c r="I2478" s="7" t="s">
        <v>546</v>
      </c>
      <c r="J2478" s="21" t="n">
        <f aca="false">D2478/(D2478+E2478)</f>
        <v>0.504504504504505</v>
      </c>
      <c r="K2478" s="3" t="n">
        <f aca="false">IF(D2478&gt;E2478,1,0)</f>
        <v>1</v>
      </c>
      <c r="L2478" s="3" t="n">
        <f aca="false">IF(OR(F2478="Y",G2478="Y",H2478="Y"),1,0)</f>
        <v>0</v>
      </c>
      <c r="M2478" s="3" t="n">
        <f aca="false">IF(H2478="Y",1,0)</f>
        <v>0</v>
      </c>
      <c r="N2478" s="3" t="n">
        <f aca="false">IF(I2478="Y",1,0)</f>
        <v>0</v>
      </c>
    </row>
    <row r="2479" customFormat="false" ht="15" hidden="false" customHeight="true" outlineLevel="0" collapsed="false">
      <c r="A2479" s="7" t="s">
        <v>61</v>
      </c>
      <c r="B2479" s="7" t="n">
        <v>1982</v>
      </c>
      <c r="C2479" s="7" t="s">
        <v>362</v>
      </c>
      <c r="D2479" s="7" t="n">
        <v>87</v>
      </c>
      <c r="E2479" s="7" t="n">
        <v>75</v>
      </c>
      <c r="F2479" s="7" t="s">
        <v>546</v>
      </c>
      <c r="G2479" s="7"/>
      <c r="H2479" s="7" t="s">
        <v>546</v>
      </c>
      <c r="I2479" s="7" t="s">
        <v>546</v>
      </c>
      <c r="J2479" s="21" t="n">
        <f aca="false">D2479/(D2479+E2479)</f>
        <v>0.537037037037037</v>
      </c>
      <c r="K2479" s="3" t="n">
        <f aca="false">IF(D2479&gt;E2479,1,0)</f>
        <v>1</v>
      </c>
      <c r="L2479" s="3" t="n">
        <f aca="false">IF(OR(F2479="Y",G2479="Y",H2479="Y"),1,0)</f>
        <v>0</v>
      </c>
      <c r="M2479" s="3" t="n">
        <f aca="false">IF(H2479="Y",1,0)</f>
        <v>0</v>
      </c>
      <c r="N2479" s="3" t="n">
        <f aca="false">IF(I2479="Y",1,0)</f>
        <v>0</v>
      </c>
    </row>
    <row r="2480" customFormat="false" ht="15" hidden="false" customHeight="true" outlineLevel="0" collapsed="false">
      <c r="A2480" s="7" t="s">
        <v>61</v>
      </c>
      <c r="B2480" s="7" t="n">
        <v>1983</v>
      </c>
      <c r="C2480" s="7" t="s">
        <v>362</v>
      </c>
      <c r="D2480" s="7" t="n">
        <v>79</v>
      </c>
      <c r="E2480" s="7" t="n">
        <v>83</v>
      </c>
      <c r="F2480" s="7" t="s">
        <v>546</v>
      </c>
      <c r="G2480" s="7"/>
      <c r="H2480" s="7" t="s">
        <v>546</v>
      </c>
      <c r="I2480" s="7" t="s">
        <v>546</v>
      </c>
      <c r="J2480" s="21" t="n">
        <f aca="false">D2480/(D2480+E2480)</f>
        <v>0.487654320987654</v>
      </c>
      <c r="K2480" s="3" t="n">
        <f aca="false">IF(D2480&gt;E2480,1,0)</f>
        <v>0</v>
      </c>
      <c r="L2480" s="3" t="n">
        <f aca="false">IF(OR(F2480="Y",G2480="Y",H2480="Y"),1,0)</f>
        <v>0</v>
      </c>
      <c r="M2480" s="3" t="n">
        <f aca="false">IF(H2480="Y",1,0)</f>
        <v>0</v>
      </c>
      <c r="N2480" s="3" t="n">
        <f aca="false">IF(I2480="Y",1,0)</f>
        <v>0</v>
      </c>
    </row>
    <row r="2481" customFormat="false" ht="15" hidden="false" customHeight="true" outlineLevel="0" collapsed="false">
      <c r="A2481" s="7" t="s">
        <v>61</v>
      </c>
      <c r="B2481" s="7" t="n">
        <v>1984</v>
      </c>
      <c r="C2481" s="7" t="s">
        <v>362</v>
      </c>
      <c r="D2481" s="7" t="n">
        <v>66</v>
      </c>
      <c r="E2481" s="7" t="n">
        <v>96</v>
      </c>
      <c r="F2481" s="7" t="s">
        <v>546</v>
      </c>
      <c r="G2481" s="7"/>
      <c r="H2481" s="7" t="s">
        <v>546</v>
      </c>
      <c r="I2481" s="7" t="s">
        <v>546</v>
      </c>
      <c r="J2481" s="21" t="n">
        <f aca="false">D2481/(D2481+E2481)</f>
        <v>0.407407407407407</v>
      </c>
      <c r="K2481" s="3" t="n">
        <f aca="false">IF(D2481&gt;E2481,1,0)</f>
        <v>0</v>
      </c>
      <c r="L2481" s="3" t="n">
        <f aca="false">IF(OR(F2481="Y",G2481="Y",H2481="Y"),1,0)</f>
        <v>0</v>
      </c>
      <c r="M2481" s="3" t="n">
        <f aca="false">IF(H2481="Y",1,0)</f>
        <v>0</v>
      </c>
      <c r="N2481" s="3" t="n">
        <f aca="false">IF(I2481="Y",1,0)</f>
        <v>0</v>
      </c>
    </row>
    <row r="2482" customFormat="false" ht="15" hidden="false" customHeight="true" outlineLevel="0" collapsed="false">
      <c r="A2482" s="7" t="s">
        <v>61</v>
      </c>
      <c r="B2482" s="7" t="n">
        <v>1985</v>
      </c>
      <c r="C2482" s="7" t="s">
        <v>362</v>
      </c>
      <c r="D2482" s="7" t="n">
        <v>62</v>
      </c>
      <c r="E2482" s="7" t="n">
        <v>100</v>
      </c>
      <c r="F2482" s="7" t="s">
        <v>546</v>
      </c>
      <c r="G2482" s="7"/>
      <c r="H2482" s="7" t="s">
        <v>546</v>
      </c>
      <c r="I2482" s="7" t="s">
        <v>546</v>
      </c>
      <c r="J2482" s="21" t="n">
        <f aca="false">D2482/(D2482+E2482)</f>
        <v>0.382716049382716</v>
      </c>
      <c r="K2482" s="3" t="n">
        <f aca="false">IF(D2482&gt;E2482,1,0)</f>
        <v>0</v>
      </c>
      <c r="L2482" s="3" t="n">
        <f aca="false">IF(OR(F2482="Y",G2482="Y",H2482="Y"),1,0)</f>
        <v>0</v>
      </c>
      <c r="M2482" s="3" t="n">
        <f aca="false">IF(H2482="Y",1,0)</f>
        <v>0</v>
      </c>
      <c r="N2482" s="3" t="n">
        <f aca="false">IF(I2482="Y",1,0)</f>
        <v>0</v>
      </c>
    </row>
    <row r="2483" customFormat="false" ht="15" hidden="false" customHeight="true" outlineLevel="0" collapsed="false">
      <c r="A2483" s="7" t="s">
        <v>61</v>
      </c>
      <c r="B2483" s="7" t="n">
        <v>1986</v>
      </c>
      <c r="C2483" s="7" t="s">
        <v>362</v>
      </c>
      <c r="D2483" s="7" t="n">
        <v>83</v>
      </c>
      <c r="E2483" s="7" t="n">
        <v>79</v>
      </c>
      <c r="F2483" s="7" t="s">
        <v>546</v>
      </c>
      <c r="G2483" s="7"/>
      <c r="H2483" s="7" t="s">
        <v>546</v>
      </c>
      <c r="I2483" s="7" t="s">
        <v>546</v>
      </c>
      <c r="J2483" s="21" t="n">
        <f aca="false">D2483/(D2483+E2483)</f>
        <v>0.512345679012346</v>
      </c>
      <c r="K2483" s="3" t="n">
        <f aca="false">IF(D2483&gt;E2483,1,0)</f>
        <v>1</v>
      </c>
      <c r="L2483" s="3" t="n">
        <f aca="false">IF(OR(F2483="Y",G2483="Y",H2483="Y"),1,0)</f>
        <v>0</v>
      </c>
      <c r="M2483" s="3" t="n">
        <f aca="false">IF(H2483="Y",1,0)</f>
        <v>0</v>
      </c>
      <c r="N2483" s="3" t="n">
        <f aca="false">IF(I2483="Y",1,0)</f>
        <v>0</v>
      </c>
    </row>
    <row r="2484" customFormat="false" ht="15" hidden="false" customHeight="true" outlineLevel="0" collapsed="false">
      <c r="A2484" s="7" t="s">
        <v>61</v>
      </c>
      <c r="B2484" s="7" t="n">
        <v>1987</v>
      </c>
      <c r="C2484" s="7" t="s">
        <v>362</v>
      </c>
      <c r="D2484" s="7" t="n">
        <v>90</v>
      </c>
      <c r="E2484" s="7" t="n">
        <v>72</v>
      </c>
      <c r="F2484" s="7" t="s">
        <v>548</v>
      </c>
      <c r="G2484" s="7"/>
      <c r="H2484" s="7" t="s">
        <v>546</v>
      </c>
      <c r="I2484" s="7" t="s">
        <v>546</v>
      </c>
      <c r="J2484" s="21" t="n">
        <f aca="false">D2484/(D2484+E2484)</f>
        <v>0.555555555555556</v>
      </c>
      <c r="K2484" s="3" t="n">
        <f aca="false">IF(D2484&gt;E2484,1,0)</f>
        <v>1</v>
      </c>
      <c r="L2484" s="3" t="n">
        <f aca="false">IF(OR(F2484="Y",G2484="Y",H2484="Y"),1,0)</f>
        <v>1</v>
      </c>
      <c r="M2484" s="3" t="n">
        <f aca="false">IF(H2484="Y",1,0)</f>
        <v>0</v>
      </c>
      <c r="N2484" s="3" t="n">
        <f aca="false">IF(I2484="Y",1,0)</f>
        <v>0</v>
      </c>
    </row>
    <row r="2485" customFormat="false" ht="15" hidden="false" customHeight="true" outlineLevel="0" collapsed="false">
      <c r="A2485" s="7" t="s">
        <v>61</v>
      </c>
      <c r="B2485" s="7" t="n">
        <v>1988</v>
      </c>
      <c r="C2485" s="7" t="s">
        <v>362</v>
      </c>
      <c r="D2485" s="7" t="n">
        <v>83</v>
      </c>
      <c r="E2485" s="7" t="n">
        <v>79</v>
      </c>
      <c r="F2485" s="7" t="s">
        <v>546</v>
      </c>
      <c r="G2485" s="7"/>
      <c r="H2485" s="7" t="s">
        <v>546</v>
      </c>
      <c r="I2485" s="7" t="s">
        <v>546</v>
      </c>
      <c r="J2485" s="21" t="n">
        <f aca="false">D2485/(D2485+E2485)</f>
        <v>0.512345679012346</v>
      </c>
      <c r="K2485" s="3" t="n">
        <f aca="false">IF(D2485&gt;E2485,1,0)</f>
        <v>1</v>
      </c>
      <c r="L2485" s="3" t="n">
        <f aca="false">IF(OR(F2485="Y",G2485="Y",H2485="Y"),1,0)</f>
        <v>0</v>
      </c>
      <c r="M2485" s="3" t="n">
        <f aca="false">IF(H2485="Y",1,0)</f>
        <v>0</v>
      </c>
      <c r="N2485" s="3" t="n">
        <f aca="false">IF(I2485="Y",1,0)</f>
        <v>0</v>
      </c>
    </row>
    <row r="2486" customFormat="false" ht="15" hidden="false" customHeight="true" outlineLevel="0" collapsed="false">
      <c r="A2486" s="7" t="s">
        <v>61</v>
      </c>
      <c r="B2486" s="7" t="n">
        <v>1989</v>
      </c>
      <c r="C2486" s="7" t="s">
        <v>362</v>
      </c>
      <c r="D2486" s="7" t="n">
        <v>92</v>
      </c>
      <c r="E2486" s="7" t="n">
        <v>70</v>
      </c>
      <c r="F2486" s="7" t="s">
        <v>548</v>
      </c>
      <c r="G2486" s="7"/>
      <c r="H2486" s="7" t="s">
        <v>548</v>
      </c>
      <c r="I2486" s="7" t="s">
        <v>546</v>
      </c>
      <c r="J2486" s="21" t="n">
        <f aca="false">D2486/(D2486+E2486)</f>
        <v>0.567901234567901</v>
      </c>
      <c r="K2486" s="3" t="n">
        <f aca="false">IF(D2486&gt;E2486,1,0)</f>
        <v>1</v>
      </c>
      <c r="L2486" s="3" t="n">
        <f aca="false">IF(OR(F2486="Y",G2486="Y",H2486="Y"),1,0)</f>
        <v>1</v>
      </c>
      <c r="M2486" s="3" t="n">
        <f aca="false">IF(H2486="Y",1,0)</f>
        <v>1</v>
      </c>
      <c r="N2486" s="3" t="n">
        <f aca="false">IF(I2486="Y",1,0)</f>
        <v>0</v>
      </c>
    </row>
    <row r="2487" customFormat="false" ht="15" hidden="false" customHeight="true" outlineLevel="0" collapsed="false">
      <c r="A2487" s="7" t="s">
        <v>61</v>
      </c>
      <c r="B2487" s="7" t="n">
        <v>1990</v>
      </c>
      <c r="C2487" s="7" t="s">
        <v>362</v>
      </c>
      <c r="D2487" s="7" t="n">
        <v>85</v>
      </c>
      <c r="E2487" s="7" t="n">
        <v>77</v>
      </c>
      <c r="F2487" s="7" t="s">
        <v>546</v>
      </c>
      <c r="G2487" s="7"/>
      <c r="H2487" s="7" t="s">
        <v>546</v>
      </c>
      <c r="I2487" s="7" t="s">
        <v>546</v>
      </c>
      <c r="J2487" s="21" t="n">
        <f aca="false">D2487/(D2487+E2487)</f>
        <v>0.524691358024691</v>
      </c>
      <c r="K2487" s="3" t="n">
        <f aca="false">IF(D2487&gt;E2487,1,0)</f>
        <v>1</v>
      </c>
      <c r="L2487" s="3" t="n">
        <f aca="false">IF(OR(F2487="Y",G2487="Y",H2487="Y"),1,0)</f>
        <v>0</v>
      </c>
      <c r="M2487" s="3" t="n">
        <f aca="false">IF(H2487="Y",1,0)</f>
        <v>0</v>
      </c>
      <c r="N2487" s="3" t="n">
        <f aca="false">IF(I2487="Y",1,0)</f>
        <v>0</v>
      </c>
    </row>
    <row r="2488" customFormat="false" ht="15" hidden="false" customHeight="true" outlineLevel="0" collapsed="false">
      <c r="A2488" s="7" t="s">
        <v>61</v>
      </c>
      <c r="B2488" s="7" t="n">
        <v>1991</v>
      </c>
      <c r="C2488" s="7" t="s">
        <v>362</v>
      </c>
      <c r="D2488" s="7" t="n">
        <v>75</v>
      </c>
      <c r="E2488" s="7" t="n">
        <v>87</v>
      </c>
      <c r="F2488" s="7" t="s">
        <v>546</v>
      </c>
      <c r="G2488" s="7"/>
      <c r="H2488" s="7" t="s">
        <v>546</v>
      </c>
      <c r="I2488" s="7" t="s">
        <v>546</v>
      </c>
      <c r="J2488" s="21" t="n">
        <f aca="false">D2488/(D2488+E2488)</f>
        <v>0.462962962962963</v>
      </c>
      <c r="K2488" s="3" t="n">
        <f aca="false">IF(D2488&gt;E2488,1,0)</f>
        <v>0</v>
      </c>
      <c r="L2488" s="3" t="n">
        <f aca="false">IF(OR(F2488="Y",G2488="Y",H2488="Y"),1,0)</f>
        <v>0</v>
      </c>
      <c r="M2488" s="3" t="n">
        <f aca="false">IF(H2488="Y",1,0)</f>
        <v>0</v>
      </c>
      <c r="N2488" s="3" t="n">
        <f aca="false">IF(I2488="Y",1,0)</f>
        <v>0</v>
      </c>
    </row>
    <row r="2489" customFormat="false" ht="15" hidden="false" customHeight="true" outlineLevel="0" collapsed="false">
      <c r="A2489" s="7" t="s">
        <v>61</v>
      </c>
      <c r="B2489" s="7" t="n">
        <v>1992</v>
      </c>
      <c r="C2489" s="7" t="s">
        <v>362</v>
      </c>
      <c r="D2489" s="7" t="n">
        <v>72</v>
      </c>
      <c r="E2489" s="7" t="n">
        <v>90</v>
      </c>
      <c r="F2489" s="7" t="s">
        <v>546</v>
      </c>
      <c r="G2489" s="7"/>
      <c r="H2489" s="7" t="s">
        <v>546</v>
      </c>
      <c r="I2489" s="7" t="s">
        <v>546</v>
      </c>
      <c r="J2489" s="21" t="n">
        <f aca="false">D2489/(D2489+E2489)</f>
        <v>0.444444444444444</v>
      </c>
      <c r="K2489" s="3" t="n">
        <f aca="false">IF(D2489&gt;E2489,1,0)</f>
        <v>0</v>
      </c>
      <c r="L2489" s="3" t="n">
        <f aca="false">IF(OR(F2489="Y",G2489="Y",H2489="Y"),1,0)</f>
        <v>0</v>
      </c>
      <c r="M2489" s="3" t="n">
        <f aca="false">IF(H2489="Y",1,0)</f>
        <v>0</v>
      </c>
      <c r="N2489" s="3" t="n">
        <f aca="false">IF(I2489="Y",1,0)</f>
        <v>0</v>
      </c>
    </row>
    <row r="2490" customFormat="false" ht="15" hidden="false" customHeight="true" outlineLevel="0" collapsed="false">
      <c r="A2490" s="7" t="s">
        <v>61</v>
      </c>
      <c r="B2490" s="7" t="n">
        <v>1993</v>
      </c>
      <c r="C2490" s="7" t="s">
        <v>362</v>
      </c>
      <c r="D2490" s="7" t="n">
        <v>103</v>
      </c>
      <c r="E2490" s="7" t="n">
        <v>59</v>
      </c>
      <c r="F2490" s="7" t="s">
        <v>546</v>
      </c>
      <c r="G2490" s="7"/>
      <c r="H2490" s="7" t="s">
        <v>546</v>
      </c>
      <c r="I2490" s="7" t="s">
        <v>546</v>
      </c>
      <c r="J2490" s="21" t="n">
        <f aca="false">D2490/(D2490+E2490)</f>
        <v>0.635802469135803</v>
      </c>
      <c r="K2490" s="3" t="n">
        <f aca="false">IF(D2490&gt;E2490,1,0)</f>
        <v>1</v>
      </c>
      <c r="L2490" s="3" t="n">
        <f aca="false">IF(OR(F2490="Y",G2490="Y",H2490="Y"),1,0)</f>
        <v>0</v>
      </c>
      <c r="M2490" s="3" t="n">
        <f aca="false">IF(H2490="Y",1,0)</f>
        <v>0</v>
      </c>
      <c r="N2490" s="3" t="n">
        <f aca="false">IF(I2490="Y",1,0)</f>
        <v>0</v>
      </c>
    </row>
    <row r="2491" customFormat="false" ht="15" hidden="false" customHeight="true" outlineLevel="0" collapsed="false">
      <c r="A2491" s="7" t="s">
        <v>61</v>
      </c>
      <c r="B2491" s="7" t="n">
        <v>1994</v>
      </c>
      <c r="C2491" s="7" t="s">
        <v>362</v>
      </c>
      <c r="D2491" s="7" t="n">
        <v>55</v>
      </c>
      <c r="E2491" s="7" t="n">
        <v>60</v>
      </c>
      <c r="F2491" s="7"/>
      <c r="G2491" s="7"/>
      <c r="H2491" s="7"/>
      <c r="I2491" s="7"/>
      <c r="J2491" s="21" t="n">
        <f aca="false">D2491/(D2491+E2491)</f>
        <v>0.478260869565217</v>
      </c>
      <c r="K2491" s="3" t="n">
        <f aca="false">IF(D2491&gt;E2491,1,0)</f>
        <v>0</v>
      </c>
      <c r="L2491" s="3" t="n">
        <f aca="false">IF(OR(F2491="Y",G2491="Y",H2491="Y"),1,0)</f>
        <v>0</v>
      </c>
      <c r="M2491" s="3" t="n">
        <f aca="false">IF(H2491="Y",1,0)</f>
        <v>0</v>
      </c>
      <c r="N2491" s="3" t="n">
        <f aca="false">IF(I2491="Y",1,0)</f>
        <v>0</v>
      </c>
    </row>
    <row r="2492" customFormat="false" ht="15" hidden="false" customHeight="true" outlineLevel="0" collapsed="false">
      <c r="A2492" s="7" t="s">
        <v>61</v>
      </c>
      <c r="B2492" s="7" t="n">
        <v>1995</v>
      </c>
      <c r="C2492" s="7" t="s">
        <v>362</v>
      </c>
      <c r="D2492" s="7" t="n">
        <v>67</v>
      </c>
      <c r="E2492" s="7" t="n">
        <v>77</v>
      </c>
      <c r="F2492" s="7" t="s">
        <v>546</v>
      </c>
      <c r="G2492" s="7" t="s">
        <v>546</v>
      </c>
      <c r="H2492" s="7" t="s">
        <v>546</v>
      </c>
      <c r="I2492" s="7" t="s">
        <v>546</v>
      </c>
      <c r="J2492" s="21" t="n">
        <f aca="false">D2492/(D2492+E2492)</f>
        <v>0.465277777777778</v>
      </c>
      <c r="K2492" s="3" t="n">
        <f aca="false">IF(D2492&gt;E2492,1,0)</f>
        <v>0</v>
      </c>
      <c r="L2492" s="3" t="n">
        <f aca="false">IF(OR(F2492="Y",G2492="Y",H2492="Y"),1,0)</f>
        <v>0</v>
      </c>
      <c r="M2492" s="3" t="n">
        <f aca="false">IF(H2492="Y",1,0)</f>
        <v>0</v>
      </c>
      <c r="N2492" s="3" t="n">
        <f aca="false">IF(I2492="Y",1,0)</f>
        <v>0</v>
      </c>
    </row>
    <row r="2493" customFormat="false" ht="15" hidden="false" customHeight="true" outlineLevel="0" collapsed="false">
      <c r="A2493" s="7" t="s">
        <v>61</v>
      </c>
      <c r="B2493" s="7" t="n">
        <v>1996</v>
      </c>
      <c r="C2493" s="7" t="s">
        <v>362</v>
      </c>
      <c r="D2493" s="7" t="n">
        <v>68</v>
      </c>
      <c r="E2493" s="7" t="n">
        <v>94</v>
      </c>
      <c r="F2493" s="7" t="s">
        <v>546</v>
      </c>
      <c r="G2493" s="7" t="s">
        <v>546</v>
      </c>
      <c r="H2493" s="7" t="s">
        <v>546</v>
      </c>
      <c r="I2493" s="7" t="s">
        <v>546</v>
      </c>
      <c r="J2493" s="21" t="n">
        <f aca="false">D2493/(D2493+E2493)</f>
        <v>0.419753086419753</v>
      </c>
      <c r="K2493" s="3" t="n">
        <f aca="false">IF(D2493&gt;E2493,1,0)</f>
        <v>0</v>
      </c>
      <c r="L2493" s="3" t="n">
        <f aca="false">IF(OR(F2493="Y",G2493="Y",H2493="Y"),1,0)</f>
        <v>0</v>
      </c>
      <c r="M2493" s="3" t="n">
        <f aca="false">IF(H2493="Y",1,0)</f>
        <v>0</v>
      </c>
      <c r="N2493" s="3" t="n">
        <f aca="false">IF(I2493="Y",1,0)</f>
        <v>0</v>
      </c>
    </row>
    <row r="2494" customFormat="false" ht="15" hidden="false" customHeight="true" outlineLevel="0" collapsed="false">
      <c r="A2494" s="7" t="s">
        <v>61</v>
      </c>
      <c r="B2494" s="7" t="n">
        <v>1997</v>
      </c>
      <c r="C2494" s="7" t="s">
        <v>362</v>
      </c>
      <c r="D2494" s="7" t="n">
        <v>90</v>
      </c>
      <c r="E2494" s="7" t="n">
        <v>72</v>
      </c>
      <c r="F2494" s="7" t="s">
        <v>548</v>
      </c>
      <c r="G2494" s="7" t="s">
        <v>546</v>
      </c>
      <c r="H2494" s="7" t="s">
        <v>546</v>
      </c>
      <c r="I2494" s="7" t="s">
        <v>546</v>
      </c>
      <c r="J2494" s="21" t="n">
        <f aca="false">D2494/(D2494+E2494)</f>
        <v>0.555555555555556</v>
      </c>
      <c r="K2494" s="3" t="n">
        <f aca="false">IF(D2494&gt;E2494,1,0)</f>
        <v>1</v>
      </c>
      <c r="L2494" s="3" t="n">
        <f aca="false">IF(OR(F2494="Y",G2494="Y",H2494="Y"),1,0)</f>
        <v>1</v>
      </c>
      <c r="M2494" s="3" t="n">
        <f aca="false">IF(H2494="Y",1,0)</f>
        <v>0</v>
      </c>
      <c r="N2494" s="3" t="n">
        <f aca="false">IF(I2494="Y",1,0)</f>
        <v>0</v>
      </c>
    </row>
    <row r="2495" customFormat="false" ht="15" hidden="false" customHeight="true" outlineLevel="0" collapsed="false">
      <c r="A2495" s="7" t="s">
        <v>61</v>
      </c>
      <c r="B2495" s="7" t="n">
        <v>1998</v>
      </c>
      <c r="C2495" s="7" t="s">
        <v>362</v>
      </c>
      <c r="D2495" s="7" t="n">
        <v>89</v>
      </c>
      <c r="E2495" s="7" t="n">
        <v>74</v>
      </c>
      <c r="F2495" s="7" t="s">
        <v>546</v>
      </c>
      <c r="G2495" s="7" t="s">
        <v>546</v>
      </c>
      <c r="H2495" s="7" t="s">
        <v>546</v>
      </c>
      <c r="I2495" s="7" t="s">
        <v>546</v>
      </c>
      <c r="J2495" s="21" t="n">
        <f aca="false">D2495/(D2495+E2495)</f>
        <v>0.54601226993865</v>
      </c>
      <c r="K2495" s="3" t="n">
        <f aca="false">IF(D2495&gt;E2495,1,0)</f>
        <v>1</v>
      </c>
      <c r="L2495" s="3" t="n">
        <f aca="false">IF(OR(F2495="Y",G2495="Y",H2495="Y"),1,0)</f>
        <v>0</v>
      </c>
      <c r="M2495" s="3" t="n">
        <f aca="false">IF(H2495="Y",1,0)</f>
        <v>0</v>
      </c>
      <c r="N2495" s="3" t="n">
        <f aca="false">IF(I2495="Y",1,0)</f>
        <v>0</v>
      </c>
    </row>
    <row r="2496" customFormat="false" ht="15" hidden="false" customHeight="true" outlineLevel="0" collapsed="false">
      <c r="A2496" s="7" t="s">
        <v>61</v>
      </c>
      <c r="B2496" s="7" t="n">
        <v>1999</v>
      </c>
      <c r="C2496" s="7" t="s">
        <v>362</v>
      </c>
      <c r="D2496" s="7" t="n">
        <v>86</v>
      </c>
      <c r="E2496" s="7" t="n">
        <v>76</v>
      </c>
      <c r="F2496" s="7" t="s">
        <v>546</v>
      </c>
      <c r="G2496" s="7" t="s">
        <v>546</v>
      </c>
      <c r="H2496" s="7" t="s">
        <v>546</v>
      </c>
      <c r="I2496" s="7" t="s">
        <v>546</v>
      </c>
      <c r="J2496" s="21" t="n">
        <f aca="false">D2496/(D2496+E2496)</f>
        <v>0.530864197530864</v>
      </c>
      <c r="K2496" s="3" t="n">
        <f aca="false">IF(D2496&gt;E2496,1,0)</f>
        <v>1</v>
      </c>
      <c r="L2496" s="3" t="n">
        <f aca="false">IF(OR(F2496="Y",G2496="Y",H2496="Y"),1,0)</f>
        <v>0</v>
      </c>
      <c r="M2496" s="3" t="n">
        <f aca="false">IF(H2496="Y",1,0)</f>
        <v>0</v>
      </c>
      <c r="N2496" s="3" t="n">
        <f aca="false">IF(I2496="Y",1,0)</f>
        <v>0</v>
      </c>
    </row>
    <row r="2497" customFormat="false" ht="15" hidden="false" customHeight="true" outlineLevel="0" collapsed="false">
      <c r="A2497" s="7" t="s">
        <v>61</v>
      </c>
      <c r="B2497" s="7" t="n">
        <v>2000</v>
      </c>
      <c r="C2497" s="7" t="s">
        <v>362</v>
      </c>
      <c r="D2497" s="7" t="n">
        <v>97</v>
      </c>
      <c r="E2497" s="7" t="n">
        <v>65</v>
      </c>
      <c r="F2497" s="7" t="s">
        <v>548</v>
      </c>
      <c r="G2497" s="7" t="s">
        <v>546</v>
      </c>
      <c r="H2497" s="7" t="s">
        <v>546</v>
      </c>
      <c r="I2497" s="7" t="s">
        <v>546</v>
      </c>
      <c r="J2497" s="21" t="n">
        <f aca="false">D2497/(D2497+E2497)</f>
        <v>0.598765432098765</v>
      </c>
      <c r="K2497" s="3" t="n">
        <f aca="false">IF(D2497&gt;E2497,1,0)</f>
        <v>1</v>
      </c>
      <c r="L2497" s="3" t="n">
        <f aca="false">IF(OR(F2497="Y",G2497="Y",H2497="Y"),1,0)</f>
        <v>1</v>
      </c>
      <c r="M2497" s="3" t="n">
        <f aca="false">IF(H2497="Y",1,0)</f>
        <v>0</v>
      </c>
      <c r="N2497" s="3" t="n">
        <f aca="false">IF(I2497="Y",1,0)</f>
        <v>0</v>
      </c>
    </row>
    <row r="2498" customFormat="false" ht="15" hidden="false" customHeight="true" outlineLevel="0" collapsed="false">
      <c r="A2498" s="7" t="s">
        <v>61</v>
      </c>
      <c r="B2498" s="7" t="n">
        <v>2001</v>
      </c>
      <c r="C2498" s="7" t="s">
        <v>362</v>
      </c>
      <c r="D2498" s="7" t="n">
        <v>90</v>
      </c>
      <c r="E2498" s="7" t="n">
        <v>72</v>
      </c>
      <c r="F2498" s="7" t="s">
        <v>546</v>
      </c>
      <c r="G2498" s="7" t="s">
        <v>546</v>
      </c>
      <c r="H2498" s="7" t="s">
        <v>546</v>
      </c>
      <c r="I2498" s="7" t="s">
        <v>546</v>
      </c>
      <c r="J2498" s="21" t="n">
        <f aca="false">D2498/(D2498+E2498)</f>
        <v>0.555555555555556</v>
      </c>
      <c r="K2498" s="3" t="n">
        <f aca="false">IF(D2498&gt;E2498,1,0)</f>
        <v>1</v>
      </c>
      <c r="L2498" s="3" t="n">
        <f aca="false">IF(OR(F2498="Y",G2498="Y",H2498="Y"),1,0)</f>
        <v>0</v>
      </c>
      <c r="M2498" s="3" t="n">
        <f aca="false">IF(H2498="Y",1,0)</f>
        <v>0</v>
      </c>
      <c r="N2498" s="3" t="n">
        <f aca="false">IF(I2498="Y",1,0)</f>
        <v>0</v>
      </c>
    </row>
    <row r="2499" customFormat="false" ht="15" hidden="false" customHeight="true" outlineLevel="0" collapsed="false">
      <c r="A2499" s="7" t="s">
        <v>61</v>
      </c>
      <c r="B2499" s="7" t="n">
        <v>2002</v>
      </c>
      <c r="C2499" s="7" t="s">
        <v>362</v>
      </c>
      <c r="D2499" s="7" t="n">
        <v>95</v>
      </c>
      <c r="E2499" s="7" t="n">
        <v>66</v>
      </c>
      <c r="F2499" s="7" t="s">
        <v>546</v>
      </c>
      <c r="G2499" s="7" t="s">
        <v>548</v>
      </c>
      <c r="H2499" s="7" t="s">
        <v>548</v>
      </c>
      <c r="I2499" s="7" t="s">
        <v>546</v>
      </c>
      <c r="J2499" s="21" t="n">
        <f aca="false">D2499/(D2499+E2499)</f>
        <v>0.590062111801242</v>
      </c>
      <c r="K2499" s="3" t="n">
        <f aca="false">IF(D2499&gt;E2499,1,0)</f>
        <v>1</v>
      </c>
      <c r="L2499" s="3" t="n">
        <f aca="false">IF(OR(F2499="Y",G2499="Y",H2499="Y"),1,0)</f>
        <v>1</v>
      </c>
      <c r="M2499" s="3" t="n">
        <f aca="false">IF(H2499="Y",1,0)</f>
        <v>1</v>
      </c>
      <c r="N2499" s="3" t="n">
        <f aca="false">IF(I2499="Y",1,0)</f>
        <v>0</v>
      </c>
    </row>
    <row r="2500" customFormat="false" ht="15" hidden="false" customHeight="true" outlineLevel="0" collapsed="false">
      <c r="A2500" s="7" t="s">
        <v>61</v>
      </c>
      <c r="B2500" s="7" t="n">
        <v>2003</v>
      </c>
      <c r="C2500" s="7" t="s">
        <v>362</v>
      </c>
      <c r="D2500" s="7" t="n">
        <v>100</v>
      </c>
      <c r="E2500" s="7" t="n">
        <v>61</v>
      </c>
      <c r="F2500" s="7" t="s">
        <v>548</v>
      </c>
      <c r="G2500" s="7" t="s">
        <v>546</v>
      </c>
      <c r="H2500" s="7" t="s">
        <v>546</v>
      </c>
      <c r="I2500" s="7" t="s">
        <v>546</v>
      </c>
      <c r="J2500" s="21" t="n">
        <f aca="false">D2500/(D2500+E2500)</f>
        <v>0.62111801242236</v>
      </c>
      <c r="K2500" s="3" t="n">
        <f aca="false">IF(D2500&gt;E2500,1,0)</f>
        <v>1</v>
      </c>
      <c r="L2500" s="3" t="n">
        <f aca="false">IF(OR(F2500="Y",G2500="Y",H2500="Y"),1,0)</f>
        <v>1</v>
      </c>
      <c r="M2500" s="3" t="n">
        <f aca="false">IF(H2500="Y",1,0)</f>
        <v>0</v>
      </c>
      <c r="N2500" s="3" t="n">
        <f aca="false">IF(I2500="Y",1,0)</f>
        <v>0</v>
      </c>
    </row>
    <row r="2501" customFormat="false" ht="15" hidden="false" customHeight="true" outlineLevel="0" collapsed="false">
      <c r="A2501" s="7" t="s">
        <v>61</v>
      </c>
      <c r="B2501" s="7" t="n">
        <v>2004</v>
      </c>
      <c r="C2501" s="7" t="s">
        <v>362</v>
      </c>
      <c r="D2501" s="7" t="n">
        <v>91</v>
      </c>
      <c r="E2501" s="7" t="n">
        <v>71</v>
      </c>
      <c r="F2501" s="7" t="s">
        <v>546</v>
      </c>
      <c r="G2501" s="7" t="s">
        <v>546</v>
      </c>
      <c r="H2501" s="7" t="s">
        <v>546</v>
      </c>
      <c r="I2501" s="7" t="s">
        <v>546</v>
      </c>
      <c r="J2501" s="21" t="n">
        <f aca="false">D2501/(D2501+E2501)</f>
        <v>0.561728395061728</v>
      </c>
      <c r="K2501" s="3" t="n">
        <f aca="false">IF(D2501&gt;E2501,1,0)</f>
        <v>1</v>
      </c>
      <c r="L2501" s="3" t="n">
        <f aca="false">IF(OR(F2501="Y",G2501="Y",H2501="Y"),1,0)</f>
        <v>0</v>
      </c>
      <c r="M2501" s="3" t="n">
        <f aca="false">IF(H2501="Y",1,0)</f>
        <v>0</v>
      </c>
      <c r="N2501" s="3" t="n">
        <f aca="false">IF(I2501="Y",1,0)</f>
        <v>0</v>
      </c>
    </row>
    <row r="2502" customFormat="false" ht="15" hidden="false" customHeight="true" outlineLevel="0" collapsed="false">
      <c r="A2502" s="7" t="s">
        <v>61</v>
      </c>
      <c r="B2502" s="7" t="n">
        <v>2005</v>
      </c>
      <c r="C2502" s="7" t="s">
        <v>362</v>
      </c>
      <c r="D2502" s="7" t="n">
        <v>75</v>
      </c>
      <c r="E2502" s="7" t="n">
        <v>87</v>
      </c>
      <c r="F2502" s="7" t="s">
        <v>546</v>
      </c>
      <c r="G2502" s="7" t="s">
        <v>546</v>
      </c>
      <c r="H2502" s="7" t="s">
        <v>546</v>
      </c>
      <c r="I2502" s="7" t="s">
        <v>546</v>
      </c>
      <c r="J2502" s="21" t="n">
        <f aca="false">D2502/(D2502+E2502)</f>
        <v>0.462962962962963</v>
      </c>
      <c r="K2502" s="3" t="n">
        <f aca="false">IF(D2502&gt;E2502,1,0)</f>
        <v>0</v>
      </c>
      <c r="L2502" s="3" t="n">
        <f aca="false">IF(OR(F2502="Y",G2502="Y",H2502="Y"),1,0)</f>
        <v>0</v>
      </c>
      <c r="M2502" s="3" t="n">
        <f aca="false">IF(H2502="Y",1,0)</f>
        <v>0</v>
      </c>
      <c r="N2502" s="3" t="n">
        <f aca="false">IF(I2502="Y",1,0)</f>
        <v>0</v>
      </c>
    </row>
    <row r="2503" customFormat="false" ht="15" hidden="false" customHeight="true" outlineLevel="0" collapsed="false">
      <c r="A2503" s="7" t="s">
        <v>61</v>
      </c>
      <c r="B2503" s="7" t="n">
        <v>2006</v>
      </c>
      <c r="C2503" s="7" t="s">
        <v>362</v>
      </c>
      <c r="D2503" s="7" t="n">
        <v>76</v>
      </c>
      <c r="E2503" s="7" t="n">
        <v>85</v>
      </c>
      <c r="F2503" s="7" t="s">
        <v>546</v>
      </c>
      <c r="G2503" s="7" t="s">
        <v>546</v>
      </c>
      <c r="H2503" s="7" t="s">
        <v>546</v>
      </c>
      <c r="I2503" s="7" t="s">
        <v>546</v>
      </c>
      <c r="J2503" s="21" t="n">
        <f aca="false">D2503/(D2503+E2503)</f>
        <v>0.472049689440994</v>
      </c>
      <c r="K2503" s="3" t="n">
        <f aca="false">IF(D2503&gt;E2503,1,0)</f>
        <v>0</v>
      </c>
      <c r="L2503" s="3" t="n">
        <f aca="false">IF(OR(F2503="Y",G2503="Y",H2503="Y"),1,0)</f>
        <v>0</v>
      </c>
      <c r="M2503" s="3" t="n">
        <f aca="false">IF(H2503="Y",1,0)</f>
        <v>0</v>
      </c>
      <c r="N2503" s="3" t="n">
        <f aca="false">IF(I2503="Y",1,0)</f>
        <v>0</v>
      </c>
    </row>
    <row r="2504" customFormat="false" ht="15" hidden="false" customHeight="true" outlineLevel="0" collapsed="false">
      <c r="A2504" s="7" t="s">
        <v>61</v>
      </c>
      <c r="B2504" s="7" t="n">
        <v>2007</v>
      </c>
      <c r="C2504" s="7" t="s">
        <v>362</v>
      </c>
      <c r="D2504" s="7" t="n">
        <v>71</v>
      </c>
      <c r="E2504" s="7" t="n">
        <v>91</v>
      </c>
      <c r="F2504" s="7" t="s">
        <v>546</v>
      </c>
      <c r="G2504" s="7" t="s">
        <v>546</v>
      </c>
      <c r="H2504" s="7" t="s">
        <v>546</v>
      </c>
      <c r="I2504" s="7" t="s">
        <v>546</v>
      </c>
      <c r="J2504" s="21" t="n">
        <f aca="false">D2504/(D2504+E2504)</f>
        <v>0.438271604938272</v>
      </c>
      <c r="K2504" s="3" t="n">
        <f aca="false">IF(D2504&gt;E2504,1,0)</f>
        <v>0</v>
      </c>
      <c r="L2504" s="3" t="n">
        <f aca="false">IF(OR(F2504="Y",G2504="Y",H2504="Y"),1,0)</f>
        <v>0</v>
      </c>
      <c r="M2504" s="3" t="n">
        <f aca="false">IF(H2504="Y",1,0)</f>
        <v>0</v>
      </c>
      <c r="N2504" s="3" t="n">
        <f aca="false">IF(I2504="Y",1,0)</f>
        <v>0</v>
      </c>
    </row>
    <row r="2505" customFormat="false" ht="15" hidden="false" customHeight="true" outlineLevel="0" collapsed="false">
      <c r="A2505" s="7" t="s">
        <v>61</v>
      </c>
      <c r="B2505" s="7" t="n">
        <v>2008</v>
      </c>
      <c r="C2505" s="7" t="s">
        <v>362</v>
      </c>
      <c r="D2505" s="7" t="n">
        <v>72</v>
      </c>
      <c r="E2505" s="7" t="n">
        <v>90</v>
      </c>
      <c r="F2505" s="7" t="s">
        <v>546</v>
      </c>
      <c r="G2505" s="7" t="s">
        <v>546</v>
      </c>
      <c r="H2505" s="7" t="s">
        <v>546</v>
      </c>
      <c r="I2505" s="7" t="s">
        <v>546</v>
      </c>
      <c r="J2505" s="21" t="n">
        <f aca="false">D2505/(D2505+E2505)</f>
        <v>0.444444444444444</v>
      </c>
      <c r="K2505" s="3" t="n">
        <f aca="false">IF(D2505&gt;E2505,1,0)</f>
        <v>0</v>
      </c>
      <c r="L2505" s="3" t="n">
        <f aca="false">IF(OR(F2505="Y",G2505="Y",H2505="Y"),1,0)</f>
        <v>0</v>
      </c>
      <c r="M2505" s="3" t="n">
        <f aca="false">IF(H2505="Y",1,0)</f>
        <v>0</v>
      </c>
      <c r="N2505" s="3" t="n">
        <f aca="false">IF(I2505="Y",1,0)</f>
        <v>0</v>
      </c>
    </row>
    <row r="2506" customFormat="false" ht="15" hidden="false" customHeight="true" outlineLevel="0" collapsed="false">
      <c r="A2506" s="7" t="s">
        <v>61</v>
      </c>
      <c r="B2506" s="7" t="n">
        <v>2009</v>
      </c>
      <c r="C2506" s="7" t="s">
        <v>362</v>
      </c>
      <c r="D2506" s="7" t="n">
        <v>88</v>
      </c>
      <c r="E2506" s="7" t="n">
        <v>74</v>
      </c>
      <c r="F2506" s="7" t="s">
        <v>546</v>
      </c>
      <c r="G2506" s="7" t="s">
        <v>546</v>
      </c>
      <c r="H2506" s="7" t="s">
        <v>546</v>
      </c>
      <c r="I2506" s="7" t="s">
        <v>546</v>
      </c>
      <c r="J2506" s="21" t="n">
        <f aca="false">D2506/(D2506+E2506)</f>
        <v>0.54320987654321</v>
      </c>
      <c r="K2506" s="3" t="n">
        <f aca="false">IF(D2506&gt;E2506,1,0)</f>
        <v>1</v>
      </c>
      <c r="L2506" s="3" t="n">
        <f aca="false">IF(OR(F2506="Y",G2506="Y",H2506="Y"),1,0)</f>
        <v>0</v>
      </c>
      <c r="M2506" s="3" t="n">
        <f aca="false">IF(H2506="Y",1,0)</f>
        <v>0</v>
      </c>
      <c r="N2506" s="3" t="n">
        <f aca="false">IF(I2506="Y",1,0)</f>
        <v>0</v>
      </c>
    </row>
    <row r="2507" customFormat="false" ht="15" hidden="false" customHeight="true" outlineLevel="0" collapsed="false">
      <c r="A2507" s="7" t="s">
        <v>61</v>
      </c>
      <c r="B2507" s="7" t="n">
        <v>2010</v>
      </c>
      <c r="C2507" s="7" t="s">
        <v>362</v>
      </c>
      <c r="D2507" s="7" t="n">
        <v>92</v>
      </c>
      <c r="E2507" s="7" t="n">
        <v>70</v>
      </c>
      <c r="F2507" s="7" t="s">
        <v>548</v>
      </c>
      <c r="G2507" s="7" t="s">
        <v>546</v>
      </c>
      <c r="H2507" s="7" t="s">
        <v>548</v>
      </c>
      <c r="I2507" s="7" t="s">
        <v>548</v>
      </c>
      <c r="J2507" s="21" t="n">
        <f aca="false">D2507/(D2507+E2507)</f>
        <v>0.567901234567901</v>
      </c>
      <c r="K2507" s="3" t="n">
        <f aca="false">IF(D2507&gt;E2507,1,0)</f>
        <v>1</v>
      </c>
      <c r="L2507" s="3" t="n">
        <f aca="false">IF(OR(F2507="Y",G2507="Y",H2507="Y"),1,0)</f>
        <v>1</v>
      </c>
      <c r="M2507" s="3" t="n">
        <f aca="false">IF(H2507="Y",1,0)</f>
        <v>1</v>
      </c>
      <c r="N2507" s="3" t="n">
        <f aca="false">IF(I2507="Y",1,0)</f>
        <v>1</v>
      </c>
    </row>
    <row r="2508" customFormat="false" ht="15" hidden="false" customHeight="true" outlineLevel="0" collapsed="false">
      <c r="A2508" s="7" t="s">
        <v>61</v>
      </c>
      <c r="B2508" s="7" t="n">
        <v>2011</v>
      </c>
      <c r="C2508" s="7" t="s">
        <v>362</v>
      </c>
      <c r="D2508" s="7" t="n">
        <v>86</v>
      </c>
      <c r="E2508" s="7" t="n">
        <v>76</v>
      </c>
      <c r="F2508" s="7" t="s">
        <v>546</v>
      </c>
      <c r="G2508" s="7" t="s">
        <v>546</v>
      </c>
      <c r="H2508" s="7" t="s">
        <v>546</v>
      </c>
      <c r="I2508" s="7" t="s">
        <v>546</v>
      </c>
      <c r="J2508" s="21" t="n">
        <f aca="false">D2508/(D2508+E2508)</f>
        <v>0.530864197530864</v>
      </c>
      <c r="K2508" s="3" t="n">
        <f aca="false">IF(D2508&gt;E2508,1,0)</f>
        <v>1</v>
      </c>
      <c r="L2508" s="3" t="n">
        <f aca="false">IF(OR(F2508="Y",G2508="Y",H2508="Y"),1,0)</f>
        <v>0</v>
      </c>
      <c r="M2508" s="3" t="n">
        <f aca="false">IF(H2508="Y",1,0)</f>
        <v>0</v>
      </c>
      <c r="N2508" s="3" t="n">
        <f aca="false">IF(I2508="Y",1,0)</f>
        <v>0</v>
      </c>
    </row>
    <row r="2509" customFormat="false" ht="15" hidden="false" customHeight="true" outlineLevel="0" collapsed="false">
      <c r="A2509" s="7" t="s">
        <v>61</v>
      </c>
      <c r="B2509" s="7" t="n">
        <v>2012</v>
      </c>
      <c r="C2509" s="7" t="s">
        <v>362</v>
      </c>
      <c r="D2509" s="7" t="n">
        <v>94</v>
      </c>
      <c r="E2509" s="7" t="n">
        <v>68</v>
      </c>
      <c r="F2509" s="7" t="s">
        <v>548</v>
      </c>
      <c r="G2509" s="7" t="s">
        <v>546</v>
      </c>
      <c r="H2509" s="7" t="s">
        <v>548</v>
      </c>
      <c r="I2509" s="7" t="s">
        <v>548</v>
      </c>
      <c r="J2509" s="21" t="n">
        <f aca="false">D2509/(D2509+E2509)</f>
        <v>0.580246913580247</v>
      </c>
      <c r="K2509" s="3" t="n">
        <f aca="false">IF(D2509&gt;E2509,1,0)</f>
        <v>1</v>
      </c>
      <c r="L2509" s="3" t="n">
        <f aca="false">IF(OR(F2509="Y",G2509="Y",H2509="Y"),1,0)</f>
        <v>1</v>
      </c>
      <c r="M2509" s="3" t="n">
        <f aca="false">IF(H2509="Y",1,0)</f>
        <v>1</v>
      </c>
      <c r="N2509" s="3" t="n">
        <f aca="false">IF(I2509="Y",1,0)</f>
        <v>1</v>
      </c>
    </row>
    <row r="2510" customFormat="false" ht="15" hidden="false" customHeight="true" outlineLevel="0" collapsed="false">
      <c r="A2510" s="7" t="s">
        <v>61</v>
      </c>
      <c r="B2510" s="7" t="n">
        <v>2013</v>
      </c>
      <c r="C2510" s="7" t="s">
        <v>362</v>
      </c>
      <c r="D2510" s="7" t="n">
        <v>76</v>
      </c>
      <c r="E2510" s="7" t="n">
        <v>86</v>
      </c>
      <c r="F2510" s="7" t="s">
        <v>546</v>
      </c>
      <c r="G2510" s="7" t="s">
        <v>546</v>
      </c>
      <c r="H2510" s="7" t="s">
        <v>546</v>
      </c>
      <c r="I2510" s="7" t="s">
        <v>546</v>
      </c>
      <c r="J2510" s="21" t="n">
        <f aca="false">D2510/(D2510+E2510)</f>
        <v>0.469135802469136</v>
      </c>
      <c r="K2510" s="3" t="n">
        <f aca="false">IF(D2510&gt;E2510,1,0)</f>
        <v>0</v>
      </c>
      <c r="L2510" s="3" t="n">
        <f aca="false">IF(OR(F2510="Y",G2510="Y",H2510="Y"),1,0)</f>
        <v>0</v>
      </c>
      <c r="M2510" s="3" t="n">
        <f aca="false">IF(H2510="Y",1,0)</f>
        <v>0</v>
      </c>
      <c r="N2510" s="3" t="n">
        <f aca="false">IF(I2510="Y",1,0)</f>
        <v>0</v>
      </c>
    </row>
    <row r="2511" customFormat="false" ht="15" hidden="false" customHeight="true" outlineLevel="0" collapsed="false">
      <c r="A2511" s="7" t="s">
        <v>61</v>
      </c>
      <c r="B2511" s="7" t="n">
        <v>2014</v>
      </c>
      <c r="C2511" s="7" t="s">
        <v>362</v>
      </c>
      <c r="D2511" s="7" t="n">
        <v>88</v>
      </c>
      <c r="E2511" s="7" t="n">
        <v>74</v>
      </c>
      <c r="F2511" s="7" t="s">
        <v>546</v>
      </c>
      <c r="G2511" s="7" t="s">
        <v>548</v>
      </c>
      <c r="H2511" s="7" t="s">
        <v>548</v>
      </c>
      <c r="I2511" s="7" t="s">
        <v>548</v>
      </c>
      <c r="J2511" s="21" t="n">
        <f aca="false">D2511/(D2511+E2511)</f>
        <v>0.54320987654321</v>
      </c>
      <c r="K2511" s="3" t="n">
        <f aca="false">IF(D2511&gt;E2511,1,0)</f>
        <v>1</v>
      </c>
      <c r="L2511" s="3" t="n">
        <f aca="false">IF(OR(F2511="Y",G2511="Y",H2511="Y"),1,0)</f>
        <v>1</v>
      </c>
      <c r="M2511" s="3" t="n">
        <f aca="false">IF(H2511="Y",1,0)</f>
        <v>1</v>
      </c>
      <c r="N2511" s="3" t="n">
        <f aca="false">IF(I2511="Y",1,0)</f>
        <v>1</v>
      </c>
    </row>
    <row r="2512" customFormat="false" ht="15" hidden="false" customHeight="true" outlineLevel="0" collapsed="false">
      <c r="A2512" s="7" t="s">
        <v>61</v>
      </c>
      <c r="B2512" s="7" t="n">
        <v>2015</v>
      </c>
      <c r="C2512" s="7" t="s">
        <v>362</v>
      </c>
      <c r="D2512" s="7" t="n">
        <v>84</v>
      </c>
      <c r="E2512" s="7" t="n">
        <v>78</v>
      </c>
      <c r="F2512" s="7" t="s">
        <v>546</v>
      </c>
      <c r="G2512" s="7" t="s">
        <v>546</v>
      </c>
      <c r="H2512" s="7" t="s">
        <v>546</v>
      </c>
      <c r="I2512" s="7" t="s">
        <v>546</v>
      </c>
      <c r="J2512" s="21" t="n">
        <f aca="false">D2512/(D2512+E2512)</f>
        <v>0.518518518518519</v>
      </c>
      <c r="K2512" s="3" t="n">
        <f aca="false">IF(D2512&gt;E2512,1,0)</f>
        <v>1</v>
      </c>
      <c r="L2512" s="3" t="n">
        <f aca="false">IF(OR(F2512="Y",G2512="Y",H2512="Y"),1,0)</f>
        <v>0</v>
      </c>
      <c r="M2512" s="3" t="n">
        <f aca="false">IF(H2512="Y",1,0)</f>
        <v>0</v>
      </c>
      <c r="N2512" s="3" t="n">
        <f aca="false">IF(I2512="Y",1,0)</f>
        <v>0</v>
      </c>
    </row>
    <row r="2513" customFormat="false" ht="15" hidden="false" customHeight="true" outlineLevel="0" collapsed="false">
      <c r="A2513" s="7" t="s">
        <v>61</v>
      </c>
      <c r="B2513" s="7" t="n">
        <v>2016</v>
      </c>
      <c r="C2513" s="7" t="s">
        <v>362</v>
      </c>
      <c r="D2513" s="7" t="n">
        <v>87</v>
      </c>
      <c r="E2513" s="7" t="n">
        <v>75</v>
      </c>
      <c r="F2513" s="7" t="s">
        <v>546</v>
      </c>
      <c r="G2513" s="7" t="s">
        <v>548</v>
      </c>
      <c r="H2513" s="7" t="s">
        <v>546</v>
      </c>
      <c r="I2513" s="7" t="s">
        <v>546</v>
      </c>
      <c r="J2513" s="21" t="n">
        <f aca="false">D2513/(D2513+E2513)</f>
        <v>0.537037037037037</v>
      </c>
      <c r="K2513" s="3" t="n">
        <f aca="false">IF(D2513&gt;E2513,1,0)</f>
        <v>1</v>
      </c>
      <c r="L2513" s="3" t="n">
        <f aca="false">IF(OR(F2513="Y",G2513="Y",H2513="Y"),1,0)</f>
        <v>1</v>
      </c>
      <c r="M2513" s="3" t="n">
        <f aca="false">IF(H2513="Y",1,0)</f>
        <v>0</v>
      </c>
      <c r="N2513" s="3" t="n">
        <f aca="false">IF(I2513="Y",1,0)</f>
        <v>0</v>
      </c>
    </row>
    <row r="2514" customFormat="false" ht="15" hidden="false" customHeight="true" outlineLevel="0" collapsed="false">
      <c r="A2514" s="7" t="s">
        <v>61</v>
      </c>
      <c r="B2514" s="7" t="n">
        <v>2017</v>
      </c>
      <c r="C2514" s="7" t="s">
        <v>362</v>
      </c>
      <c r="D2514" s="7" t="n">
        <v>64</v>
      </c>
      <c r="E2514" s="7" t="n">
        <v>98</v>
      </c>
      <c r="F2514" s="7" t="s">
        <v>546</v>
      </c>
      <c r="G2514" s="7" t="s">
        <v>546</v>
      </c>
      <c r="H2514" s="7" t="s">
        <v>546</v>
      </c>
      <c r="I2514" s="7" t="s">
        <v>546</v>
      </c>
      <c r="J2514" s="21" t="n">
        <f aca="false">D2514/(D2514+E2514)</f>
        <v>0.395061728395062</v>
      </c>
      <c r="K2514" s="3" t="n">
        <f aca="false">IF(D2514&gt;E2514,1,0)</f>
        <v>0</v>
      </c>
      <c r="L2514" s="3" t="n">
        <f aca="false">IF(OR(F2514="Y",G2514="Y",H2514="Y"),1,0)</f>
        <v>0</v>
      </c>
      <c r="M2514" s="3" t="n">
        <f aca="false">IF(H2514="Y",1,0)</f>
        <v>0</v>
      </c>
      <c r="N2514" s="3" t="n">
        <f aca="false">IF(I2514="Y",1,0)</f>
        <v>0</v>
      </c>
    </row>
    <row r="2515" customFormat="false" ht="15" hidden="false" customHeight="true" outlineLevel="0" collapsed="false">
      <c r="A2515" s="7" t="s">
        <v>61</v>
      </c>
      <c r="B2515" s="7" t="n">
        <v>2018</v>
      </c>
      <c r="C2515" s="7" t="s">
        <v>362</v>
      </c>
      <c r="D2515" s="7" t="n">
        <v>73</v>
      </c>
      <c r="E2515" s="7" t="n">
        <v>89</v>
      </c>
      <c r="F2515" s="7" t="s">
        <v>546</v>
      </c>
      <c r="G2515" s="7" t="s">
        <v>546</v>
      </c>
      <c r="H2515" s="7" t="s">
        <v>546</v>
      </c>
      <c r="I2515" s="7" t="s">
        <v>546</v>
      </c>
      <c r="J2515" s="21" t="n">
        <f aca="false">D2515/(D2515+E2515)</f>
        <v>0.450617283950617</v>
      </c>
      <c r="K2515" s="3" t="n">
        <f aca="false">IF(D2515&gt;E2515,1,0)</f>
        <v>0</v>
      </c>
      <c r="L2515" s="3" t="n">
        <f aca="false">IF(OR(F2515="Y",G2515="Y",H2515="Y"),1,0)</f>
        <v>0</v>
      </c>
      <c r="M2515" s="3" t="n">
        <f aca="false">IF(H2515="Y",1,0)</f>
        <v>0</v>
      </c>
      <c r="N2515" s="3" t="n">
        <f aca="false">IF(I2515="Y",1,0)</f>
        <v>0</v>
      </c>
    </row>
    <row r="2516" customFormat="false" ht="15" hidden="false" customHeight="true" outlineLevel="0" collapsed="false">
      <c r="A2516" s="7" t="s">
        <v>61</v>
      </c>
      <c r="B2516" s="7" t="n">
        <v>2019</v>
      </c>
      <c r="C2516" s="7" t="s">
        <v>362</v>
      </c>
      <c r="D2516" s="7" t="n">
        <v>77</v>
      </c>
      <c r="E2516" s="7" t="n">
        <v>85</v>
      </c>
      <c r="F2516" s="7" t="s">
        <v>546</v>
      </c>
      <c r="G2516" s="7" t="s">
        <v>546</v>
      </c>
      <c r="H2516" s="7" t="s">
        <v>546</v>
      </c>
      <c r="I2516" s="7" t="s">
        <v>546</v>
      </c>
      <c r="J2516" s="21" t="n">
        <f aca="false">D2516/(D2516+E2516)</f>
        <v>0.475308641975309</v>
      </c>
      <c r="K2516" s="3" t="n">
        <f aca="false">IF(D2516&gt;E2516,1,0)</f>
        <v>0</v>
      </c>
      <c r="L2516" s="3" t="n">
        <f aca="false">IF(OR(F2516="Y",G2516="Y",H2516="Y"),1,0)</f>
        <v>0</v>
      </c>
      <c r="M2516" s="3" t="n">
        <f aca="false">IF(H2516="Y",1,0)</f>
        <v>0</v>
      </c>
      <c r="N2516" s="3" t="n">
        <f aca="false">IF(I2516="Y",1,0)</f>
        <v>0</v>
      </c>
    </row>
    <row r="2517" customFormat="false" ht="15" hidden="false" customHeight="true" outlineLevel="0" collapsed="false">
      <c r="A2517" s="7" t="s">
        <v>61</v>
      </c>
      <c r="B2517" s="7" t="n">
        <v>2020</v>
      </c>
      <c r="C2517" s="7" t="s">
        <v>362</v>
      </c>
      <c r="D2517" s="7" t="n">
        <v>29</v>
      </c>
      <c r="E2517" s="7" t="n">
        <v>31</v>
      </c>
      <c r="F2517" s="7" t="s">
        <v>546</v>
      </c>
      <c r="G2517" s="7" t="s">
        <v>546</v>
      </c>
      <c r="H2517" s="7" t="s">
        <v>546</v>
      </c>
      <c r="I2517" s="7" t="s">
        <v>546</v>
      </c>
      <c r="J2517" s="21" t="n">
        <f aca="false">D2517/(D2517+E2517)</f>
        <v>0.483333333333333</v>
      </c>
      <c r="K2517" s="3" t="n">
        <f aca="false">IF(D2517&gt;E2517,1,0)</f>
        <v>0</v>
      </c>
      <c r="L2517" s="3" t="n">
        <f aca="false">IF(OR(F2517="Y",G2517="Y",H2517="Y"),1,0)</f>
        <v>0</v>
      </c>
      <c r="M2517" s="3" t="n">
        <f aca="false">IF(H2517="Y",1,0)</f>
        <v>0</v>
      </c>
      <c r="N2517" s="3" t="n">
        <f aca="false">IF(I2517="Y",1,0)</f>
        <v>0</v>
      </c>
    </row>
    <row r="2518" customFormat="false" ht="15" hidden="false" customHeight="true" outlineLevel="0" collapsed="false">
      <c r="A2518" s="7" t="s">
        <v>61</v>
      </c>
      <c r="B2518" s="7" t="n">
        <v>2021</v>
      </c>
      <c r="C2518" s="7" t="s">
        <v>362</v>
      </c>
      <c r="D2518" s="7" t="n">
        <v>107</v>
      </c>
      <c r="E2518" s="7" t="n">
        <v>55</v>
      </c>
      <c r="F2518" s="7" t="s">
        <v>548</v>
      </c>
      <c r="G2518" s="7" t="s">
        <v>546</v>
      </c>
      <c r="H2518" s="7" t="s">
        <v>546</v>
      </c>
      <c r="I2518" s="7" t="s">
        <v>546</v>
      </c>
      <c r="J2518" s="21" t="n">
        <f aca="false">D2518/(D2518+E2518)</f>
        <v>0.660493827160494</v>
      </c>
      <c r="K2518" s="3" t="n">
        <f aca="false">IF(D2518&gt;E2518,1,0)</f>
        <v>1</v>
      </c>
      <c r="L2518" s="3" t="n">
        <f aca="false">IF(OR(F2518="Y",G2518="Y",H2518="Y"),1,0)</f>
        <v>1</v>
      </c>
      <c r="M2518" s="3" t="n">
        <f aca="false">IF(H2518="Y",1,0)</f>
        <v>0</v>
      </c>
      <c r="N2518" s="3" t="n">
        <f aca="false">IF(I2518="Y",1,0)</f>
        <v>0</v>
      </c>
    </row>
    <row r="2519" customFormat="false" ht="15" hidden="false" customHeight="true" outlineLevel="0" collapsed="false">
      <c r="A2519" s="7" t="s">
        <v>61</v>
      </c>
      <c r="B2519" s="7" t="n">
        <v>2022</v>
      </c>
      <c r="C2519" s="7" t="s">
        <v>362</v>
      </c>
      <c r="D2519" s="7" t="n">
        <v>81</v>
      </c>
      <c r="E2519" s="7" t="n">
        <v>81</v>
      </c>
      <c r="F2519" s="7" t="s">
        <v>546</v>
      </c>
      <c r="G2519" s="7" t="s">
        <v>546</v>
      </c>
      <c r="H2519" s="7" t="s">
        <v>546</v>
      </c>
      <c r="I2519" s="7" t="s">
        <v>546</v>
      </c>
      <c r="J2519" s="21" t="n">
        <f aca="false">D2519/(D2519+E2519)</f>
        <v>0.5</v>
      </c>
      <c r="K2519" s="3" t="n">
        <f aca="false">IF(D2519&gt;E2519,1,0)</f>
        <v>0</v>
      </c>
      <c r="L2519" s="3" t="n">
        <f aca="false">IF(OR(F2519="Y",G2519="Y",H2519="Y"),1,0)</f>
        <v>0</v>
      </c>
      <c r="M2519" s="3" t="n">
        <f aca="false">IF(H2519="Y",1,0)</f>
        <v>0</v>
      </c>
      <c r="N2519" s="3" t="n">
        <f aca="false">IF(I2519="Y",1,0)</f>
        <v>0</v>
      </c>
    </row>
    <row r="2520" customFormat="false" ht="15" hidden="false" customHeight="true" outlineLevel="0" collapsed="false">
      <c r="A2520" s="7" t="s">
        <v>61</v>
      </c>
      <c r="B2520" s="7" t="n">
        <v>2023</v>
      </c>
      <c r="C2520" s="7" t="s">
        <v>362</v>
      </c>
      <c r="D2520" s="7" t="n">
        <v>79</v>
      </c>
      <c r="E2520" s="7" t="n">
        <v>83</v>
      </c>
      <c r="F2520" s="7" t="s">
        <v>546</v>
      </c>
      <c r="G2520" s="7" t="s">
        <v>546</v>
      </c>
      <c r="H2520" s="7" t="s">
        <v>546</v>
      </c>
      <c r="I2520" s="7" t="s">
        <v>546</v>
      </c>
      <c r="J2520" s="21" t="n">
        <f aca="false">D2520/(D2520+E2520)</f>
        <v>0.487654320987654</v>
      </c>
      <c r="K2520" s="3" t="n">
        <f aca="false">IF(D2520&gt;E2520,1,0)</f>
        <v>0</v>
      </c>
      <c r="L2520" s="3" t="n">
        <f aca="false">IF(OR(F2520="Y",G2520="Y",H2520="Y"),1,0)</f>
        <v>0</v>
      </c>
      <c r="M2520" s="3" t="n">
        <f aca="false">IF(H2520="Y",1,0)</f>
        <v>0</v>
      </c>
      <c r="N2520" s="3" t="n">
        <f aca="false">IF(I2520="Y",1,0)</f>
        <v>0</v>
      </c>
    </row>
    <row r="2521" customFormat="false" ht="15" hidden="false" customHeight="true" outlineLevel="0" collapsed="false">
      <c r="A2521" s="7" t="s">
        <v>61</v>
      </c>
      <c r="B2521" s="7" t="n">
        <v>2024</v>
      </c>
      <c r="C2521" s="7" t="s">
        <v>362</v>
      </c>
      <c r="D2521" s="7" t="n">
        <v>80</v>
      </c>
      <c r="E2521" s="7" t="n">
        <v>82</v>
      </c>
      <c r="F2521" s="7" t="s">
        <v>546</v>
      </c>
      <c r="G2521" s="7" t="s">
        <v>546</v>
      </c>
      <c r="H2521" s="7" t="s">
        <v>546</v>
      </c>
      <c r="I2521" s="7" t="s">
        <v>546</v>
      </c>
      <c r="J2521" s="21" t="n">
        <f aca="false">D2521/(D2521+E2521)</f>
        <v>0.493827160493827</v>
      </c>
      <c r="K2521" s="3" t="n">
        <f aca="false">IF(D2521&gt;E2521,1,0)</f>
        <v>0</v>
      </c>
      <c r="L2521" s="3" t="n">
        <f aca="false">IF(OR(F2521="Y",G2521="Y",H2521="Y"),1,0)</f>
        <v>0</v>
      </c>
      <c r="M2521" s="3" t="n">
        <f aca="false">IF(H2521="Y",1,0)</f>
        <v>0</v>
      </c>
      <c r="N2521" s="3" t="n">
        <f aca="false">IF(I2521="Y",1,0)</f>
        <v>0</v>
      </c>
    </row>
    <row r="2522" customFormat="false" ht="15" hidden="false" customHeight="true" outlineLevel="0" collapsed="false">
      <c r="A2522" s="7" t="s">
        <v>61</v>
      </c>
      <c r="B2522" s="7" t="n">
        <v>2025</v>
      </c>
      <c r="C2522" s="7" t="s">
        <v>362</v>
      </c>
      <c r="D2522" s="7" t="n">
        <v>81</v>
      </c>
      <c r="E2522" s="7" t="n">
        <v>81</v>
      </c>
      <c r="F2522" s="7" t="s">
        <v>546</v>
      </c>
      <c r="G2522" s="7" t="s">
        <v>546</v>
      </c>
      <c r="H2522" s="7" t="s">
        <v>546</v>
      </c>
      <c r="I2522" s="7" t="s">
        <v>546</v>
      </c>
      <c r="J2522" s="21" t="n">
        <f aca="false">D2522/(D2522+E2522)</f>
        <v>0.5</v>
      </c>
      <c r="K2522" s="3" t="n">
        <f aca="false">IF(D2522&gt;E2522,1,0)</f>
        <v>0</v>
      </c>
      <c r="L2522" s="3" t="n">
        <f aca="false">IF(OR(F2522="Y",G2522="Y",H2522="Y"),1,0)</f>
        <v>0</v>
      </c>
      <c r="M2522" s="3" t="n">
        <f aca="false">IF(H2522="Y",1,0)</f>
        <v>0</v>
      </c>
      <c r="N2522" s="3" t="n">
        <f aca="false">IF(I2522="Y",1,0)</f>
        <v>0</v>
      </c>
    </row>
    <row r="2523" customFormat="false" ht="15" hidden="false" customHeight="true" outlineLevel="0" collapsed="false">
      <c r="A2523" s="7" t="s">
        <v>59</v>
      </c>
      <c r="B2523" s="7" t="n">
        <v>1882</v>
      </c>
      <c r="C2523" s="7" t="s">
        <v>415</v>
      </c>
      <c r="D2523" s="7" t="n">
        <v>37</v>
      </c>
      <c r="E2523" s="7" t="n">
        <v>43</v>
      </c>
      <c r="F2523" s="7"/>
      <c r="G2523" s="7"/>
      <c r="H2523" s="7" t="s">
        <v>546</v>
      </c>
      <c r="I2523" s="7"/>
      <c r="J2523" s="21" t="n">
        <f aca="false">D2523/(D2523+E2523)</f>
        <v>0.4625</v>
      </c>
      <c r="K2523" s="3" t="n">
        <f aca="false">IF(D2523&gt;E2523,1,0)</f>
        <v>0</v>
      </c>
      <c r="L2523" s="3" t="n">
        <f aca="false">IF(OR(F2523="Y",G2523="Y",H2523="Y"),1,0)</f>
        <v>0</v>
      </c>
      <c r="M2523" s="3" t="n">
        <f aca="false">IF(H2523="Y",1,0)</f>
        <v>0</v>
      </c>
      <c r="N2523" s="3" t="n">
        <f aca="false">IF(I2523="Y",1,0)</f>
        <v>0</v>
      </c>
    </row>
    <row r="2524" customFormat="false" ht="15" hidden="false" customHeight="true" outlineLevel="0" collapsed="false">
      <c r="A2524" s="7" t="s">
        <v>59</v>
      </c>
      <c r="B2524" s="7" t="n">
        <v>1883</v>
      </c>
      <c r="C2524" s="7" t="s">
        <v>558</v>
      </c>
      <c r="D2524" s="7" t="n">
        <v>65</v>
      </c>
      <c r="E2524" s="7" t="n">
        <v>33</v>
      </c>
      <c r="F2524" s="7"/>
      <c r="G2524" s="7"/>
      <c r="H2524" s="7" t="s">
        <v>546</v>
      </c>
      <c r="I2524" s="7"/>
      <c r="J2524" s="21" t="n">
        <f aca="false">D2524/(D2524+E2524)</f>
        <v>0.663265306122449</v>
      </c>
      <c r="K2524" s="3" t="n">
        <f aca="false">IF(D2524&gt;E2524,1,0)</f>
        <v>1</v>
      </c>
      <c r="L2524" s="3" t="n">
        <f aca="false">IF(OR(F2524="Y",G2524="Y",H2524="Y"),1,0)</f>
        <v>0</v>
      </c>
      <c r="M2524" s="3" t="n">
        <f aca="false">IF(H2524="Y",1,0)</f>
        <v>0</v>
      </c>
      <c r="N2524" s="3" t="n">
        <f aca="false">IF(I2524="Y",1,0)</f>
        <v>0</v>
      </c>
    </row>
    <row r="2525" customFormat="false" ht="15" hidden="false" customHeight="true" outlineLevel="0" collapsed="false">
      <c r="A2525" s="7" t="s">
        <v>59</v>
      </c>
      <c r="B2525" s="7" t="n">
        <v>1884</v>
      </c>
      <c r="C2525" s="7" t="s">
        <v>558</v>
      </c>
      <c r="D2525" s="7" t="n">
        <v>67</v>
      </c>
      <c r="E2525" s="7" t="n">
        <v>40</v>
      </c>
      <c r="F2525" s="7"/>
      <c r="G2525" s="7"/>
      <c r="H2525" s="7" t="s">
        <v>546</v>
      </c>
      <c r="I2525" s="7" t="s">
        <v>546</v>
      </c>
      <c r="J2525" s="21" t="n">
        <f aca="false">D2525/(D2525+E2525)</f>
        <v>0.626168224299065</v>
      </c>
      <c r="K2525" s="3" t="n">
        <f aca="false">IF(D2525&gt;E2525,1,0)</f>
        <v>1</v>
      </c>
      <c r="L2525" s="3" t="n">
        <f aca="false">IF(OR(F2525="Y",G2525="Y",H2525="Y"),1,0)</f>
        <v>0</v>
      </c>
      <c r="M2525" s="3" t="n">
        <f aca="false">IF(H2525="Y",1,0)</f>
        <v>0</v>
      </c>
      <c r="N2525" s="3" t="n">
        <f aca="false">IF(I2525="Y",1,0)</f>
        <v>0</v>
      </c>
    </row>
    <row r="2526" customFormat="false" ht="15" hidden="false" customHeight="true" outlineLevel="0" collapsed="false">
      <c r="A2526" s="7" t="s">
        <v>59</v>
      </c>
      <c r="B2526" s="7" t="n">
        <v>1885</v>
      </c>
      <c r="C2526" s="7" t="s">
        <v>558</v>
      </c>
      <c r="D2526" s="7" t="n">
        <v>79</v>
      </c>
      <c r="E2526" s="7" t="n">
        <v>33</v>
      </c>
      <c r="F2526" s="7"/>
      <c r="G2526" s="7"/>
      <c r="H2526" s="7" t="s">
        <v>548</v>
      </c>
      <c r="I2526" s="7" t="s">
        <v>546</v>
      </c>
      <c r="J2526" s="21" t="n">
        <f aca="false">D2526/(D2526+E2526)</f>
        <v>0.705357142857143</v>
      </c>
      <c r="K2526" s="3" t="n">
        <f aca="false">IF(D2526&gt;E2526,1,0)</f>
        <v>1</v>
      </c>
      <c r="L2526" s="3" t="n">
        <f aca="false">IF(OR(F2526="Y",G2526="Y",H2526="Y"),1,0)</f>
        <v>1</v>
      </c>
      <c r="M2526" s="3" t="n">
        <f aca="false">IF(H2526="Y",1,0)</f>
        <v>1</v>
      </c>
      <c r="N2526" s="3" t="n">
        <f aca="false">IF(I2526="Y",1,0)</f>
        <v>0</v>
      </c>
    </row>
    <row r="2527" customFormat="false" ht="15" hidden="false" customHeight="true" outlineLevel="0" collapsed="false">
      <c r="A2527" s="7" t="s">
        <v>59</v>
      </c>
      <c r="B2527" s="7" t="n">
        <v>1886</v>
      </c>
      <c r="C2527" s="7" t="s">
        <v>558</v>
      </c>
      <c r="D2527" s="7" t="n">
        <v>93</v>
      </c>
      <c r="E2527" s="7" t="n">
        <v>46</v>
      </c>
      <c r="F2527" s="7"/>
      <c r="G2527" s="7"/>
      <c r="H2527" s="7" t="s">
        <v>548</v>
      </c>
      <c r="I2527" s="7" t="s">
        <v>548</v>
      </c>
      <c r="J2527" s="21" t="n">
        <f aca="false">D2527/(D2527+E2527)</f>
        <v>0.669064748201439</v>
      </c>
      <c r="K2527" s="3" t="n">
        <f aca="false">IF(D2527&gt;E2527,1,0)</f>
        <v>1</v>
      </c>
      <c r="L2527" s="3" t="n">
        <f aca="false">IF(OR(F2527="Y",G2527="Y",H2527="Y"),1,0)</f>
        <v>1</v>
      </c>
      <c r="M2527" s="3" t="n">
        <f aca="false">IF(H2527="Y",1,0)</f>
        <v>1</v>
      </c>
      <c r="N2527" s="3" t="n">
        <f aca="false">IF(I2527="Y",1,0)</f>
        <v>1</v>
      </c>
    </row>
    <row r="2528" customFormat="false" ht="15" hidden="false" customHeight="true" outlineLevel="0" collapsed="false">
      <c r="A2528" s="7" t="s">
        <v>59</v>
      </c>
      <c r="B2528" s="7" t="n">
        <v>1887</v>
      </c>
      <c r="C2528" s="7" t="s">
        <v>558</v>
      </c>
      <c r="D2528" s="7" t="n">
        <v>95</v>
      </c>
      <c r="E2528" s="7" t="n">
        <v>40</v>
      </c>
      <c r="F2528" s="7"/>
      <c r="G2528" s="7"/>
      <c r="H2528" s="7" t="s">
        <v>548</v>
      </c>
      <c r="I2528" s="7" t="s">
        <v>546</v>
      </c>
      <c r="J2528" s="21" t="n">
        <f aca="false">D2528/(D2528+E2528)</f>
        <v>0.703703703703704</v>
      </c>
      <c r="K2528" s="3" t="n">
        <f aca="false">IF(D2528&gt;E2528,1,0)</f>
        <v>1</v>
      </c>
      <c r="L2528" s="3" t="n">
        <f aca="false">IF(OR(F2528="Y",G2528="Y",H2528="Y"),1,0)</f>
        <v>1</v>
      </c>
      <c r="M2528" s="3" t="n">
        <f aca="false">IF(H2528="Y",1,0)</f>
        <v>1</v>
      </c>
      <c r="N2528" s="3" t="n">
        <f aca="false">IF(I2528="Y",1,0)</f>
        <v>0</v>
      </c>
    </row>
    <row r="2529" customFormat="false" ht="15" hidden="false" customHeight="true" outlineLevel="0" collapsed="false">
      <c r="A2529" s="7" t="s">
        <v>59</v>
      </c>
      <c r="B2529" s="7" t="n">
        <v>1888</v>
      </c>
      <c r="C2529" s="7" t="s">
        <v>558</v>
      </c>
      <c r="D2529" s="7" t="n">
        <v>92</v>
      </c>
      <c r="E2529" s="7" t="n">
        <v>43</v>
      </c>
      <c r="F2529" s="7"/>
      <c r="G2529" s="7"/>
      <c r="H2529" s="7" t="s">
        <v>548</v>
      </c>
      <c r="I2529" s="7" t="s">
        <v>546</v>
      </c>
      <c r="J2529" s="21" t="n">
        <f aca="false">D2529/(D2529+E2529)</f>
        <v>0.681481481481482</v>
      </c>
      <c r="K2529" s="3" t="n">
        <f aca="false">IF(D2529&gt;E2529,1,0)</f>
        <v>1</v>
      </c>
      <c r="L2529" s="3" t="n">
        <f aca="false">IF(OR(F2529="Y",G2529="Y",H2529="Y"),1,0)</f>
        <v>1</v>
      </c>
      <c r="M2529" s="3" t="n">
        <f aca="false">IF(H2529="Y",1,0)</f>
        <v>1</v>
      </c>
      <c r="N2529" s="3" t="n">
        <f aca="false">IF(I2529="Y",1,0)</f>
        <v>0</v>
      </c>
    </row>
    <row r="2530" customFormat="false" ht="15" hidden="false" customHeight="true" outlineLevel="0" collapsed="false">
      <c r="A2530" s="7" t="s">
        <v>59</v>
      </c>
      <c r="B2530" s="7" t="n">
        <v>1889</v>
      </c>
      <c r="C2530" s="7" t="s">
        <v>558</v>
      </c>
      <c r="D2530" s="7" t="n">
        <v>90</v>
      </c>
      <c r="E2530" s="7" t="n">
        <v>45</v>
      </c>
      <c r="F2530" s="7"/>
      <c r="G2530" s="7"/>
      <c r="H2530" s="7" t="s">
        <v>546</v>
      </c>
      <c r="I2530" s="7" t="s">
        <v>546</v>
      </c>
      <c r="J2530" s="21" t="n">
        <f aca="false">D2530/(D2530+E2530)</f>
        <v>0.666666666666667</v>
      </c>
      <c r="K2530" s="3" t="n">
        <f aca="false">IF(D2530&gt;E2530,1,0)</f>
        <v>1</v>
      </c>
      <c r="L2530" s="3" t="n">
        <f aca="false">IF(OR(F2530="Y",G2530="Y",H2530="Y"),1,0)</f>
        <v>0</v>
      </c>
      <c r="M2530" s="3" t="n">
        <f aca="false">IF(H2530="Y",1,0)</f>
        <v>0</v>
      </c>
      <c r="N2530" s="3" t="n">
        <f aca="false">IF(I2530="Y",1,0)</f>
        <v>0</v>
      </c>
    </row>
    <row r="2531" customFormat="false" ht="15" hidden="false" customHeight="true" outlineLevel="0" collapsed="false">
      <c r="A2531" s="7" t="s">
        <v>59</v>
      </c>
      <c r="B2531" s="7" t="n">
        <v>1890</v>
      </c>
      <c r="C2531" s="7" t="s">
        <v>558</v>
      </c>
      <c r="D2531" s="7" t="n">
        <v>77</v>
      </c>
      <c r="E2531" s="7" t="n">
        <v>58</v>
      </c>
      <c r="F2531" s="7"/>
      <c r="G2531" s="7"/>
      <c r="H2531" s="7" t="s">
        <v>546</v>
      </c>
      <c r="I2531" s="7" t="s">
        <v>546</v>
      </c>
      <c r="J2531" s="21" t="n">
        <f aca="false">D2531/(D2531+E2531)</f>
        <v>0.57037037037037</v>
      </c>
      <c r="K2531" s="3" t="n">
        <f aca="false">IF(D2531&gt;E2531,1,0)</f>
        <v>1</v>
      </c>
      <c r="L2531" s="3" t="n">
        <f aca="false">IF(OR(F2531="Y",G2531="Y",H2531="Y"),1,0)</f>
        <v>0</v>
      </c>
      <c r="M2531" s="3" t="n">
        <f aca="false">IF(H2531="Y",1,0)</f>
        <v>0</v>
      </c>
      <c r="N2531" s="3" t="n">
        <f aca="false">IF(I2531="Y",1,0)</f>
        <v>0</v>
      </c>
    </row>
    <row r="2532" customFormat="false" ht="15" hidden="false" customHeight="true" outlineLevel="0" collapsed="false">
      <c r="A2532" s="7" t="s">
        <v>59</v>
      </c>
      <c r="B2532" s="7" t="n">
        <v>1891</v>
      </c>
      <c r="C2532" s="7" t="s">
        <v>558</v>
      </c>
      <c r="D2532" s="7" t="n">
        <v>85</v>
      </c>
      <c r="E2532" s="7" t="n">
        <v>51</v>
      </c>
      <c r="F2532" s="7"/>
      <c r="G2532" s="7"/>
      <c r="H2532" s="7" t="s">
        <v>546</v>
      </c>
      <c r="I2532" s="7"/>
      <c r="J2532" s="21" t="n">
        <f aca="false">D2532/(D2532+E2532)</f>
        <v>0.625</v>
      </c>
      <c r="K2532" s="3" t="n">
        <f aca="false">IF(D2532&gt;E2532,1,0)</f>
        <v>1</v>
      </c>
      <c r="L2532" s="3" t="n">
        <f aca="false">IF(OR(F2532="Y",G2532="Y",H2532="Y"),1,0)</f>
        <v>0</v>
      </c>
      <c r="M2532" s="3" t="n">
        <f aca="false">IF(H2532="Y",1,0)</f>
        <v>0</v>
      </c>
      <c r="N2532" s="3" t="n">
        <f aca="false">IF(I2532="Y",1,0)</f>
        <v>0</v>
      </c>
    </row>
    <row r="2533" customFormat="false" ht="15" hidden="false" customHeight="true" outlineLevel="0" collapsed="false">
      <c r="A2533" s="7" t="s">
        <v>59</v>
      </c>
      <c r="B2533" s="7" t="n">
        <v>1892</v>
      </c>
      <c r="C2533" s="7" t="s">
        <v>558</v>
      </c>
      <c r="D2533" s="7" t="n">
        <v>56</v>
      </c>
      <c r="E2533" s="7" t="n">
        <v>94</v>
      </c>
      <c r="F2533" s="7"/>
      <c r="G2533" s="7"/>
      <c r="H2533" s="7" t="s">
        <v>546</v>
      </c>
      <c r="I2533" s="7"/>
      <c r="J2533" s="21" t="n">
        <f aca="false">D2533/(D2533+E2533)</f>
        <v>0.373333333333333</v>
      </c>
      <c r="K2533" s="3" t="n">
        <f aca="false">IF(D2533&gt;E2533,1,0)</f>
        <v>0</v>
      </c>
      <c r="L2533" s="3" t="n">
        <f aca="false">IF(OR(F2533="Y",G2533="Y",H2533="Y"),1,0)</f>
        <v>0</v>
      </c>
      <c r="M2533" s="3" t="n">
        <f aca="false">IF(H2533="Y",1,0)</f>
        <v>0</v>
      </c>
      <c r="N2533" s="3" t="n">
        <f aca="false">IF(I2533="Y",1,0)</f>
        <v>0</v>
      </c>
    </row>
    <row r="2534" customFormat="false" ht="15" hidden="false" customHeight="true" outlineLevel="0" collapsed="false">
      <c r="A2534" s="7" t="s">
        <v>59</v>
      </c>
      <c r="B2534" s="7" t="n">
        <v>1893</v>
      </c>
      <c r="C2534" s="7" t="s">
        <v>558</v>
      </c>
      <c r="D2534" s="7" t="n">
        <v>57</v>
      </c>
      <c r="E2534" s="7" t="n">
        <v>75</v>
      </c>
      <c r="F2534" s="7"/>
      <c r="G2534" s="7"/>
      <c r="H2534" s="7" t="s">
        <v>546</v>
      </c>
      <c r="I2534" s="7"/>
      <c r="J2534" s="21" t="n">
        <f aca="false">D2534/(D2534+E2534)</f>
        <v>0.431818181818182</v>
      </c>
      <c r="K2534" s="3" t="n">
        <f aca="false">IF(D2534&gt;E2534,1,0)</f>
        <v>0</v>
      </c>
      <c r="L2534" s="3" t="n">
        <f aca="false">IF(OR(F2534="Y",G2534="Y",H2534="Y"),1,0)</f>
        <v>0</v>
      </c>
      <c r="M2534" s="3" t="n">
        <f aca="false">IF(H2534="Y",1,0)</f>
        <v>0</v>
      </c>
      <c r="N2534" s="3" t="n">
        <f aca="false">IF(I2534="Y",1,0)</f>
        <v>0</v>
      </c>
    </row>
    <row r="2535" customFormat="false" ht="15" hidden="false" customHeight="true" outlineLevel="0" collapsed="false">
      <c r="A2535" s="7" t="s">
        <v>59</v>
      </c>
      <c r="B2535" s="7" t="n">
        <v>1894</v>
      </c>
      <c r="C2535" s="7" t="s">
        <v>558</v>
      </c>
      <c r="D2535" s="7" t="n">
        <v>56</v>
      </c>
      <c r="E2535" s="7" t="n">
        <v>76</v>
      </c>
      <c r="F2535" s="7"/>
      <c r="G2535" s="7"/>
      <c r="H2535" s="7" t="s">
        <v>546</v>
      </c>
      <c r="I2535" s="7"/>
      <c r="J2535" s="21" t="n">
        <f aca="false">D2535/(D2535+E2535)</f>
        <v>0.424242424242424</v>
      </c>
      <c r="K2535" s="3" t="n">
        <f aca="false">IF(D2535&gt;E2535,1,0)</f>
        <v>0</v>
      </c>
      <c r="L2535" s="3" t="n">
        <f aca="false">IF(OR(F2535="Y",G2535="Y",H2535="Y"),1,0)</f>
        <v>0</v>
      </c>
      <c r="M2535" s="3" t="n">
        <f aca="false">IF(H2535="Y",1,0)</f>
        <v>0</v>
      </c>
      <c r="N2535" s="3" t="n">
        <f aca="false">IF(I2535="Y",1,0)</f>
        <v>0</v>
      </c>
    </row>
    <row r="2536" customFormat="false" ht="15" hidden="false" customHeight="true" outlineLevel="0" collapsed="false">
      <c r="A2536" s="7" t="s">
        <v>59</v>
      </c>
      <c r="B2536" s="7" t="n">
        <v>1895</v>
      </c>
      <c r="C2536" s="7" t="s">
        <v>558</v>
      </c>
      <c r="D2536" s="7" t="n">
        <v>39</v>
      </c>
      <c r="E2536" s="7" t="n">
        <v>92</v>
      </c>
      <c r="F2536" s="7"/>
      <c r="G2536" s="7"/>
      <c r="H2536" s="7" t="s">
        <v>546</v>
      </c>
      <c r="I2536" s="7"/>
      <c r="J2536" s="21" t="n">
        <f aca="false">D2536/(D2536+E2536)</f>
        <v>0.297709923664122</v>
      </c>
      <c r="K2536" s="3" t="n">
        <f aca="false">IF(D2536&gt;E2536,1,0)</f>
        <v>0</v>
      </c>
      <c r="L2536" s="3" t="n">
        <f aca="false">IF(OR(F2536="Y",G2536="Y",H2536="Y"),1,0)</f>
        <v>0</v>
      </c>
      <c r="M2536" s="3" t="n">
        <f aca="false">IF(H2536="Y",1,0)</f>
        <v>0</v>
      </c>
      <c r="N2536" s="3" t="n">
        <f aca="false">IF(I2536="Y",1,0)</f>
        <v>0</v>
      </c>
    </row>
    <row r="2537" customFormat="false" ht="15" hidden="false" customHeight="true" outlineLevel="0" collapsed="false">
      <c r="A2537" s="7" t="s">
        <v>59</v>
      </c>
      <c r="B2537" s="7" t="n">
        <v>1896</v>
      </c>
      <c r="C2537" s="7" t="s">
        <v>558</v>
      </c>
      <c r="D2537" s="7" t="n">
        <v>40</v>
      </c>
      <c r="E2537" s="7" t="n">
        <v>90</v>
      </c>
      <c r="F2537" s="7"/>
      <c r="G2537" s="7"/>
      <c r="H2537" s="7" t="s">
        <v>546</v>
      </c>
      <c r="I2537" s="7"/>
      <c r="J2537" s="21" t="n">
        <f aca="false">D2537/(D2537+E2537)</f>
        <v>0.307692307692308</v>
      </c>
      <c r="K2537" s="3" t="n">
        <f aca="false">IF(D2537&gt;E2537,1,0)</f>
        <v>0</v>
      </c>
      <c r="L2537" s="3" t="n">
        <f aca="false">IF(OR(F2537="Y",G2537="Y",H2537="Y"),1,0)</f>
        <v>0</v>
      </c>
      <c r="M2537" s="3" t="n">
        <f aca="false">IF(H2537="Y",1,0)</f>
        <v>0</v>
      </c>
      <c r="N2537" s="3" t="n">
        <f aca="false">IF(I2537="Y",1,0)</f>
        <v>0</v>
      </c>
    </row>
    <row r="2538" customFormat="false" ht="15" hidden="false" customHeight="true" outlineLevel="0" collapsed="false">
      <c r="A2538" s="7" t="s">
        <v>59</v>
      </c>
      <c r="B2538" s="7" t="n">
        <v>1897</v>
      </c>
      <c r="C2538" s="7" t="s">
        <v>558</v>
      </c>
      <c r="D2538" s="7" t="n">
        <v>29</v>
      </c>
      <c r="E2538" s="7" t="n">
        <v>102</v>
      </c>
      <c r="F2538" s="7"/>
      <c r="G2538" s="7"/>
      <c r="H2538" s="7" t="s">
        <v>546</v>
      </c>
      <c r="I2538" s="7"/>
      <c r="J2538" s="21" t="n">
        <f aca="false">D2538/(D2538+E2538)</f>
        <v>0.221374045801527</v>
      </c>
      <c r="K2538" s="3" t="n">
        <f aca="false">IF(D2538&gt;E2538,1,0)</f>
        <v>0</v>
      </c>
      <c r="L2538" s="3" t="n">
        <f aca="false">IF(OR(F2538="Y",G2538="Y",H2538="Y"),1,0)</f>
        <v>0</v>
      </c>
      <c r="M2538" s="3" t="n">
        <f aca="false">IF(H2538="Y",1,0)</f>
        <v>0</v>
      </c>
      <c r="N2538" s="3" t="n">
        <f aca="false">IF(I2538="Y",1,0)</f>
        <v>0</v>
      </c>
    </row>
    <row r="2539" customFormat="false" ht="15" hidden="false" customHeight="true" outlineLevel="0" collapsed="false">
      <c r="A2539" s="7" t="s">
        <v>59</v>
      </c>
      <c r="B2539" s="7" t="n">
        <v>1898</v>
      </c>
      <c r="C2539" s="7" t="s">
        <v>558</v>
      </c>
      <c r="D2539" s="7" t="n">
        <v>39</v>
      </c>
      <c r="E2539" s="7" t="n">
        <v>111</v>
      </c>
      <c r="F2539" s="7"/>
      <c r="G2539" s="7"/>
      <c r="H2539" s="7" t="s">
        <v>546</v>
      </c>
      <c r="I2539" s="7"/>
      <c r="J2539" s="21" t="n">
        <f aca="false">D2539/(D2539+E2539)</f>
        <v>0.26</v>
      </c>
      <c r="K2539" s="3" t="n">
        <f aca="false">IF(D2539&gt;E2539,1,0)</f>
        <v>0</v>
      </c>
      <c r="L2539" s="3" t="n">
        <f aca="false">IF(OR(F2539="Y",G2539="Y",H2539="Y"),1,0)</f>
        <v>0</v>
      </c>
      <c r="M2539" s="3" t="n">
        <f aca="false">IF(H2539="Y",1,0)</f>
        <v>0</v>
      </c>
      <c r="N2539" s="3" t="n">
        <f aca="false">IF(I2539="Y",1,0)</f>
        <v>0</v>
      </c>
    </row>
    <row r="2540" customFormat="false" ht="15" hidden="false" customHeight="true" outlineLevel="0" collapsed="false">
      <c r="A2540" s="7" t="s">
        <v>59</v>
      </c>
      <c r="B2540" s="7" t="n">
        <v>1899</v>
      </c>
      <c r="C2540" s="7" t="s">
        <v>585</v>
      </c>
      <c r="D2540" s="7" t="n">
        <v>84</v>
      </c>
      <c r="E2540" s="7" t="n">
        <v>67</v>
      </c>
      <c r="F2540" s="7"/>
      <c r="G2540" s="7"/>
      <c r="H2540" s="7" t="s">
        <v>546</v>
      </c>
      <c r="I2540" s="7"/>
      <c r="J2540" s="21" t="n">
        <f aca="false">D2540/(D2540+E2540)</f>
        <v>0.556291390728477</v>
      </c>
      <c r="K2540" s="3" t="n">
        <f aca="false">IF(D2540&gt;E2540,1,0)</f>
        <v>1</v>
      </c>
      <c r="L2540" s="3" t="n">
        <f aca="false">IF(OR(F2540="Y",G2540="Y",H2540="Y"),1,0)</f>
        <v>0</v>
      </c>
      <c r="M2540" s="3" t="n">
        <f aca="false">IF(H2540="Y",1,0)</f>
        <v>0</v>
      </c>
      <c r="N2540" s="3" t="n">
        <f aca="false">IF(I2540="Y",1,0)</f>
        <v>0</v>
      </c>
    </row>
    <row r="2541" customFormat="false" ht="15" hidden="false" customHeight="true" outlineLevel="0" collapsed="false">
      <c r="A2541" s="7" t="s">
        <v>59</v>
      </c>
      <c r="B2541" s="7" t="n">
        <v>1900</v>
      </c>
      <c r="C2541" s="7" t="s">
        <v>360</v>
      </c>
      <c r="D2541" s="7" t="n">
        <v>65</v>
      </c>
      <c r="E2541" s="7" t="n">
        <v>75</v>
      </c>
      <c r="F2541" s="7"/>
      <c r="G2541" s="7"/>
      <c r="H2541" s="7" t="s">
        <v>546</v>
      </c>
      <c r="I2541" s="7"/>
      <c r="J2541" s="21" t="n">
        <f aca="false">D2541/(D2541+E2541)</f>
        <v>0.464285714285714</v>
      </c>
      <c r="K2541" s="3" t="n">
        <f aca="false">IF(D2541&gt;E2541,1,0)</f>
        <v>0</v>
      </c>
      <c r="L2541" s="3" t="n">
        <f aca="false">IF(OR(F2541="Y",G2541="Y",H2541="Y"),1,0)</f>
        <v>0</v>
      </c>
      <c r="M2541" s="3" t="n">
        <f aca="false">IF(H2541="Y",1,0)</f>
        <v>0</v>
      </c>
      <c r="N2541" s="3" t="n">
        <f aca="false">IF(I2541="Y",1,0)</f>
        <v>0</v>
      </c>
    </row>
    <row r="2542" customFormat="false" ht="15" hidden="false" customHeight="true" outlineLevel="0" collapsed="false">
      <c r="A2542" s="7" t="s">
        <v>59</v>
      </c>
      <c r="B2542" s="7" t="n">
        <v>1901</v>
      </c>
      <c r="C2542" s="7" t="s">
        <v>360</v>
      </c>
      <c r="D2542" s="7" t="n">
        <v>76</v>
      </c>
      <c r="E2542" s="7" t="n">
        <v>64</v>
      </c>
      <c r="F2542" s="7"/>
      <c r="G2542" s="7"/>
      <c r="H2542" s="7" t="s">
        <v>546</v>
      </c>
      <c r="I2542" s="7"/>
      <c r="J2542" s="21" t="n">
        <f aca="false">D2542/(D2542+E2542)</f>
        <v>0.542857142857143</v>
      </c>
      <c r="K2542" s="3" t="n">
        <f aca="false">IF(D2542&gt;E2542,1,0)</f>
        <v>1</v>
      </c>
      <c r="L2542" s="3" t="n">
        <f aca="false">IF(OR(F2542="Y",G2542="Y",H2542="Y"),1,0)</f>
        <v>0</v>
      </c>
      <c r="M2542" s="3" t="n">
        <f aca="false">IF(H2542="Y",1,0)</f>
        <v>0</v>
      </c>
      <c r="N2542" s="3" t="n">
        <f aca="false">IF(I2542="Y",1,0)</f>
        <v>0</v>
      </c>
    </row>
    <row r="2543" customFormat="false" ht="15" hidden="false" customHeight="true" outlineLevel="0" collapsed="false">
      <c r="A2543" s="7" t="s">
        <v>59</v>
      </c>
      <c r="B2543" s="7" t="n">
        <v>1902</v>
      </c>
      <c r="C2543" s="7" t="s">
        <v>360</v>
      </c>
      <c r="D2543" s="7" t="n">
        <v>56</v>
      </c>
      <c r="E2543" s="7" t="n">
        <v>78</v>
      </c>
      <c r="F2543" s="7"/>
      <c r="G2543" s="7"/>
      <c r="H2543" s="7" t="s">
        <v>546</v>
      </c>
      <c r="I2543" s="7"/>
      <c r="J2543" s="21" t="n">
        <f aca="false">D2543/(D2543+E2543)</f>
        <v>0.417910447761194</v>
      </c>
      <c r="K2543" s="3" t="n">
        <f aca="false">IF(D2543&gt;E2543,1,0)</f>
        <v>0</v>
      </c>
      <c r="L2543" s="3" t="n">
        <f aca="false">IF(OR(F2543="Y",G2543="Y",H2543="Y"),1,0)</f>
        <v>0</v>
      </c>
      <c r="M2543" s="3" t="n">
        <f aca="false">IF(H2543="Y",1,0)</f>
        <v>0</v>
      </c>
      <c r="N2543" s="3" t="n">
        <f aca="false">IF(I2543="Y",1,0)</f>
        <v>0</v>
      </c>
    </row>
    <row r="2544" customFormat="false" ht="15" hidden="false" customHeight="true" outlineLevel="0" collapsed="false">
      <c r="A2544" s="7" t="s">
        <v>59</v>
      </c>
      <c r="B2544" s="7" t="n">
        <v>1903</v>
      </c>
      <c r="C2544" s="7" t="s">
        <v>360</v>
      </c>
      <c r="D2544" s="7" t="n">
        <v>43</v>
      </c>
      <c r="E2544" s="7" t="n">
        <v>94</v>
      </c>
      <c r="F2544" s="7"/>
      <c r="G2544" s="7"/>
      <c r="H2544" s="7" t="s">
        <v>546</v>
      </c>
      <c r="I2544" s="7" t="s">
        <v>546</v>
      </c>
      <c r="J2544" s="21" t="n">
        <f aca="false">D2544/(D2544+E2544)</f>
        <v>0.313868613138686</v>
      </c>
      <c r="K2544" s="3" t="n">
        <f aca="false">IF(D2544&gt;E2544,1,0)</f>
        <v>0</v>
      </c>
      <c r="L2544" s="3" t="n">
        <f aca="false">IF(OR(F2544="Y",G2544="Y",H2544="Y"),1,0)</f>
        <v>0</v>
      </c>
      <c r="M2544" s="3" t="n">
        <f aca="false">IF(H2544="Y",1,0)</f>
        <v>0</v>
      </c>
      <c r="N2544" s="3" t="n">
        <f aca="false">IF(I2544="Y",1,0)</f>
        <v>0</v>
      </c>
    </row>
    <row r="2545" customFormat="false" ht="15" hidden="false" customHeight="true" outlineLevel="0" collapsed="false">
      <c r="A2545" s="7" t="s">
        <v>59</v>
      </c>
      <c r="B2545" s="7" t="n">
        <v>1904</v>
      </c>
      <c r="C2545" s="7" t="s">
        <v>360</v>
      </c>
      <c r="D2545" s="7" t="n">
        <v>75</v>
      </c>
      <c r="E2545" s="7" t="n">
        <v>79</v>
      </c>
      <c r="F2545" s="7"/>
      <c r="G2545" s="7"/>
      <c r="H2545" s="7" t="s">
        <v>546</v>
      </c>
      <c r="I2545" s="7"/>
      <c r="J2545" s="21" t="n">
        <f aca="false">D2545/(D2545+E2545)</f>
        <v>0.487012987012987</v>
      </c>
      <c r="K2545" s="3" t="n">
        <f aca="false">IF(D2545&gt;E2545,1,0)</f>
        <v>0</v>
      </c>
      <c r="L2545" s="3" t="n">
        <f aca="false">IF(OR(F2545="Y",G2545="Y",H2545="Y"),1,0)</f>
        <v>0</v>
      </c>
      <c r="M2545" s="3" t="n">
        <f aca="false">IF(H2545="Y",1,0)</f>
        <v>0</v>
      </c>
      <c r="N2545" s="3" t="n">
        <f aca="false">IF(I2545="Y",1,0)</f>
        <v>0</v>
      </c>
    </row>
    <row r="2546" customFormat="false" ht="15" hidden="false" customHeight="true" outlineLevel="0" collapsed="false">
      <c r="A2546" s="7" t="s">
        <v>59</v>
      </c>
      <c r="B2546" s="7" t="n">
        <v>1905</v>
      </c>
      <c r="C2546" s="7" t="s">
        <v>360</v>
      </c>
      <c r="D2546" s="7" t="n">
        <v>58</v>
      </c>
      <c r="E2546" s="7" t="n">
        <v>96</v>
      </c>
      <c r="F2546" s="7"/>
      <c r="G2546" s="7"/>
      <c r="H2546" s="7" t="s">
        <v>546</v>
      </c>
      <c r="I2546" s="7" t="s">
        <v>546</v>
      </c>
      <c r="J2546" s="21" t="n">
        <f aca="false">D2546/(D2546+E2546)</f>
        <v>0.376623376623377</v>
      </c>
      <c r="K2546" s="3" t="n">
        <f aca="false">IF(D2546&gt;E2546,1,0)</f>
        <v>0</v>
      </c>
      <c r="L2546" s="3" t="n">
        <f aca="false">IF(OR(F2546="Y",G2546="Y",H2546="Y"),1,0)</f>
        <v>0</v>
      </c>
      <c r="M2546" s="3" t="n">
        <f aca="false">IF(H2546="Y",1,0)</f>
        <v>0</v>
      </c>
      <c r="N2546" s="3" t="n">
        <f aca="false">IF(I2546="Y",1,0)</f>
        <v>0</v>
      </c>
    </row>
    <row r="2547" customFormat="false" ht="15" hidden="false" customHeight="true" outlineLevel="0" collapsed="false">
      <c r="A2547" s="7" t="s">
        <v>59</v>
      </c>
      <c r="B2547" s="7" t="n">
        <v>1906</v>
      </c>
      <c r="C2547" s="7" t="s">
        <v>360</v>
      </c>
      <c r="D2547" s="7" t="n">
        <v>52</v>
      </c>
      <c r="E2547" s="7" t="n">
        <v>98</v>
      </c>
      <c r="F2547" s="7"/>
      <c r="G2547" s="7"/>
      <c r="H2547" s="7" t="s">
        <v>546</v>
      </c>
      <c r="I2547" s="7" t="s">
        <v>546</v>
      </c>
      <c r="J2547" s="21" t="n">
        <f aca="false">D2547/(D2547+E2547)</f>
        <v>0.346666666666667</v>
      </c>
      <c r="K2547" s="3" t="n">
        <f aca="false">IF(D2547&gt;E2547,1,0)</f>
        <v>0</v>
      </c>
      <c r="L2547" s="3" t="n">
        <f aca="false">IF(OR(F2547="Y",G2547="Y",H2547="Y"),1,0)</f>
        <v>0</v>
      </c>
      <c r="M2547" s="3" t="n">
        <f aca="false">IF(H2547="Y",1,0)</f>
        <v>0</v>
      </c>
      <c r="N2547" s="3" t="n">
        <f aca="false">IF(I2547="Y",1,0)</f>
        <v>0</v>
      </c>
    </row>
    <row r="2548" customFormat="false" ht="15" hidden="false" customHeight="true" outlineLevel="0" collapsed="false">
      <c r="A2548" s="7" t="s">
        <v>59</v>
      </c>
      <c r="B2548" s="7" t="n">
        <v>1907</v>
      </c>
      <c r="C2548" s="7" t="s">
        <v>360</v>
      </c>
      <c r="D2548" s="7" t="n">
        <v>52</v>
      </c>
      <c r="E2548" s="7" t="n">
        <v>101</v>
      </c>
      <c r="F2548" s="7"/>
      <c r="G2548" s="7"/>
      <c r="H2548" s="7" t="s">
        <v>546</v>
      </c>
      <c r="I2548" s="7" t="s">
        <v>546</v>
      </c>
      <c r="J2548" s="21" t="n">
        <f aca="false">D2548/(D2548+E2548)</f>
        <v>0.339869281045752</v>
      </c>
      <c r="K2548" s="3" t="n">
        <f aca="false">IF(D2548&gt;E2548,1,0)</f>
        <v>0</v>
      </c>
      <c r="L2548" s="3" t="n">
        <f aca="false">IF(OR(F2548="Y",G2548="Y",H2548="Y"),1,0)</f>
        <v>0</v>
      </c>
      <c r="M2548" s="3" t="n">
        <f aca="false">IF(H2548="Y",1,0)</f>
        <v>0</v>
      </c>
      <c r="N2548" s="3" t="n">
        <f aca="false">IF(I2548="Y",1,0)</f>
        <v>0</v>
      </c>
    </row>
    <row r="2549" customFormat="false" ht="15" hidden="false" customHeight="true" outlineLevel="0" collapsed="false">
      <c r="A2549" s="7" t="s">
        <v>59</v>
      </c>
      <c r="B2549" s="7" t="n">
        <v>1908</v>
      </c>
      <c r="C2549" s="7" t="s">
        <v>360</v>
      </c>
      <c r="D2549" s="7" t="n">
        <v>49</v>
      </c>
      <c r="E2549" s="7" t="n">
        <v>105</v>
      </c>
      <c r="F2549" s="7"/>
      <c r="G2549" s="7"/>
      <c r="H2549" s="7" t="s">
        <v>546</v>
      </c>
      <c r="I2549" s="7" t="s">
        <v>546</v>
      </c>
      <c r="J2549" s="21" t="n">
        <f aca="false">D2549/(D2549+E2549)</f>
        <v>0.318181818181818</v>
      </c>
      <c r="K2549" s="3" t="n">
        <f aca="false">IF(D2549&gt;E2549,1,0)</f>
        <v>0</v>
      </c>
      <c r="L2549" s="3" t="n">
        <f aca="false">IF(OR(F2549="Y",G2549="Y",H2549="Y"),1,0)</f>
        <v>0</v>
      </c>
      <c r="M2549" s="3" t="n">
        <f aca="false">IF(H2549="Y",1,0)</f>
        <v>0</v>
      </c>
      <c r="N2549" s="3" t="n">
        <f aca="false">IF(I2549="Y",1,0)</f>
        <v>0</v>
      </c>
    </row>
    <row r="2550" customFormat="false" ht="15" hidden="false" customHeight="true" outlineLevel="0" collapsed="false">
      <c r="A2550" s="7" t="s">
        <v>59</v>
      </c>
      <c r="B2550" s="7" t="n">
        <v>1909</v>
      </c>
      <c r="C2550" s="7" t="s">
        <v>360</v>
      </c>
      <c r="D2550" s="7" t="n">
        <v>54</v>
      </c>
      <c r="E2550" s="7" t="n">
        <v>98</v>
      </c>
      <c r="F2550" s="7"/>
      <c r="G2550" s="7"/>
      <c r="H2550" s="7" t="s">
        <v>546</v>
      </c>
      <c r="I2550" s="7" t="s">
        <v>546</v>
      </c>
      <c r="J2550" s="21" t="n">
        <f aca="false">D2550/(D2550+E2550)</f>
        <v>0.355263157894737</v>
      </c>
      <c r="K2550" s="3" t="n">
        <f aca="false">IF(D2550&gt;E2550,1,0)</f>
        <v>0</v>
      </c>
      <c r="L2550" s="3" t="n">
        <f aca="false">IF(OR(F2550="Y",G2550="Y",H2550="Y"),1,0)</f>
        <v>0</v>
      </c>
      <c r="M2550" s="3" t="n">
        <f aca="false">IF(H2550="Y",1,0)</f>
        <v>0</v>
      </c>
      <c r="N2550" s="3" t="n">
        <f aca="false">IF(I2550="Y",1,0)</f>
        <v>0</v>
      </c>
    </row>
    <row r="2551" customFormat="false" ht="15" hidden="false" customHeight="true" outlineLevel="0" collapsed="false">
      <c r="A2551" s="7" t="s">
        <v>59</v>
      </c>
      <c r="B2551" s="7" t="n">
        <v>1910</v>
      </c>
      <c r="C2551" s="7" t="s">
        <v>360</v>
      </c>
      <c r="D2551" s="7" t="n">
        <v>63</v>
      </c>
      <c r="E2551" s="7" t="n">
        <v>90</v>
      </c>
      <c r="F2551" s="7"/>
      <c r="G2551" s="7"/>
      <c r="H2551" s="7" t="s">
        <v>546</v>
      </c>
      <c r="I2551" s="7" t="s">
        <v>546</v>
      </c>
      <c r="J2551" s="21" t="n">
        <f aca="false">D2551/(D2551+E2551)</f>
        <v>0.411764705882353</v>
      </c>
      <c r="K2551" s="3" t="n">
        <f aca="false">IF(D2551&gt;E2551,1,0)</f>
        <v>0</v>
      </c>
      <c r="L2551" s="3" t="n">
        <f aca="false">IF(OR(F2551="Y",G2551="Y",H2551="Y"),1,0)</f>
        <v>0</v>
      </c>
      <c r="M2551" s="3" t="n">
        <f aca="false">IF(H2551="Y",1,0)</f>
        <v>0</v>
      </c>
      <c r="N2551" s="3" t="n">
        <f aca="false">IF(I2551="Y",1,0)</f>
        <v>0</v>
      </c>
    </row>
    <row r="2552" customFormat="false" ht="15" hidden="false" customHeight="true" outlineLevel="0" collapsed="false">
      <c r="A2552" s="7" t="s">
        <v>59</v>
      </c>
      <c r="B2552" s="7" t="n">
        <v>1911</v>
      </c>
      <c r="C2552" s="7" t="s">
        <v>360</v>
      </c>
      <c r="D2552" s="7" t="n">
        <v>75</v>
      </c>
      <c r="E2552" s="7" t="n">
        <v>74</v>
      </c>
      <c r="F2552" s="7"/>
      <c r="G2552" s="7"/>
      <c r="H2552" s="7" t="s">
        <v>546</v>
      </c>
      <c r="I2552" s="7" t="s">
        <v>546</v>
      </c>
      <c r="J2552" s="21" t="n">
        <f aca="false">D2552/(D2552+E2552)</f>
        <v>0.503355704697987</v>
      </c>
      <c r="K2552" s="3" t="n">
        <f aca="false">IF(D2552&gt;E2552,1,0)</f>
        <v>1</v>
      </c>
      <c r="L2552" s="3" t="n">
        <f aca="false">IF(OR(F2552="Y",G2552="Y",H2552="Y"),1,0)</f>
        <v>0</v>
      </c>
      <c r="M2552" s="3" t="n">
        <f aca="false">IF(H2552="Y",1,0)</f>
        <v>0</v>
      </c>
      <c r="N2552" s="3" t="n">
        <f aca="false">IF(I2552="Y",1,0)</f>
        <v>0</v>
      </c>
    </row>
    <row r="2553" customFormat="false" ht="15" hidden="false" customHeight="true" outlineLevel="0" collapsed="false">
      <c r="A2553" s="7" t="s">
        <v>59</v>
      </c>
      <c r="B2553" s="7" t="n">
        <v>1912</v>
      </c>
      <c r="C2553" s="7" t="s">
        <v>360</v>
      </c>
      <c r="D2553" s="7" t="n">
        <v>63</v>
      </c>
      <c r="E2553" s="7" t="n">
        <v>90</v>
      </c>
      <c r="F2553" s="7"/>
      <c r="G2553" s="7"/>
      <c r="H2553" s="7" t="s">
        <v>546</v>
      </c>
      <c r="I2553" s="7" t="s">
        <v>546</v>
      </c>
      <c r="J2553" s="21" t="n">
        <f aca="false">D2553/(D2553+E2553)</f>
        <v>0.411764705882353</v>
      </c>
      <c r="K2553" s="3" t="n">
        <f aca="false">IF(D2553&gt;E2553,1,0)</f>
        <v>0</v>
      </c>
      <c r="L2553" s="3" t="n">
        <f aca="false">IF(OR(F2553="Y",G2553="Y",H2553="Y"),1,0)</f>
        <v>0</v>
      </c>
      <c r="M2553" s="3" t="n">
        <f aca="false">IF(H2553="Y",1,0)</f>
        <v>0</v>
      </c>
      <c r="N2553" s="3" t="n">
        <f aca="false">IF(I2553="Y",1,0)</f>
        <v>0</v>
      </c>
    </row>
    <row r="2554" customFormat="false" ht="15" hidden="false" customHeight="true" outlineLevel="0" collapsed="false">
      <c r="A2554" s="7" t="s">
        <v>59</v>
      </c>
      <c r="B2554" s="7" t="n">
        <v>1913</v>
      </c>
      <c r="C2554" s="7" t="s">
        <v>360</v>
      </c>
      <c r="D2554" s="7" t="n">
        <v>51</v>
      </c>
      <c r="E2554" s="7" t="n">
        <v>99</v>
      </c>
      <c r="F2554" s="7"/>
      <c r="G2554" s="7"/>
      <c r="H2554" s="7" t="s">
        <v>546</v>
      </c>
      <c r="I2554" s="7" t="s">
        <v>546</v>
      </c>
      <c r="J2554" s="21" t="n">
        <f aca="false">D2554/(D2554+E2554)</f>
        <v>0.34</v>
      </c>
      <c r="K2554" s="3" t="n">
        <f aca="false">IF(D2554&gt;E2554,1,0)</f>
        <v>0</v>
      </c>
      <c r="L2554" s="3" t="n">
        <f aca="false">IF(OR(F2554="Y",G2554="Y",H2554="Y"),1,0)</f>
        <v>0</v>
      </c>
      <c r="M2554" s="3" t="n">
        <f aca="false">IF(H2554="Y",1,0)</f>
        <v>0</v>
      </c>
      <c r="N2554" s="3" t="n">
        <f aca="false">IF(I2554="Y",1,0)</f>
        <v>0</v>
      </c>
    </row>
    <row r="2555" customFormat="false" ht="15" hidden="false" customHeight="true" outlineLevel="0" collapsed="false">
      <c r="A2555" s="7" t="s">
        <v>59</v>
      </c>
      <c r="B2555" s="7" t="n">
        <v>1914</v>
      </c>
      <c r="C2555" s="7" t="s">
        <v>360</v>
      </c>
      <c r="D2555" s="7" t="n">
        <v>81</v>
      </c>
      <c r="E2555" s="7" t="n">
        <v>72</v>
      </c>
      <c r="F2555" s="7"/>
      <c r="G2555" s="7"/>
      <c r="H2555" s="7" t="s">
        <v>546</v>
      </c>
      <c r="I2555" s="7" t="s">
        <v>546</v>
      </c>
      <c r="J2555" s="21" t="n">
        <f aca="false">D2555/(D2555+E2555)</f>
        <v>0.529411764705882</v>
      </c>
      <c r="K2555" s="3" t="n">
        <f aca="false">IF(D2555&gt;E2555,1,0)</f>
        <v>1</v>
      </c>
      <c r="L2555" s="3" t="n">
        <f aca="false">IF(OR(F2555="Y",G2555="Y",H2555="Y"),1,0)</f>
        <v>0</v>
      </c>
      <c r="M2555" s="3" t="n">
        <f aca="false">IF(H2555="Y",1,0)</f>
        <v>0</v>
      </c>
      <c r="N2555" s="3" t="n">
        <f aca="false">IF(I2555="Y",1,0)</f>
        <v>0</v>
      </c>
    </row>
    <row r="2556" customFormat="false" ht="15" hidden="false" customHeight="true" outlineLevel="0" collapsed="false">
      <c r="A2556" s="7" t="s">
        <v>59</v>
      </c>
      <c r="B2556" s="7" t="n">
        <v>1915</v>
      </c>
      <c r="C2556" s="7" t="s">
        <v>360</v>
      </c>
      <c r="D2556" s="7" t="n">
        <v>72</v>
      </c>
      <c r="E2556" s="7" t="n">
        <v>81</v>
      </c>
      <c r="F2556" s="7"/>
      <c r="G2556" s="7"/>
      <c r="H2556" s="7" t="s">
        <v>546</v>
      </c>
      <c r="I2556" s="7" t="s">
        <v>546</v>
      </c>
      <c r="J2556" s="21" t="n">
        <f aca="false">D2556/(D2556+E2556)</f>
        <v>0.470588235294118</v>
      </c>
      <c r="K2556" s="3" t="n">
        <f aca="false">IF(D2556&gt;E2556,1,0)</f>
        <v>0</v>
      </c>
      <c r="L2556" s="3" t="n">
        <f aca="false">IF(OR(F2556="Y",G2556="Y",H2556="Y"),1,0)</f>
        <v>0</v>
      </c>
      <c r="M2556" s="3" t="n">
        <f aca="false">IF(H2556="Y",1,0)</f>
        <v>0</v>
      </c>
      <c r="N2556" s="3" t="n">
        <f aca="false">IF(I2556="Y",1,0)</f>
        <v>0</v>
      </c>
    </row>
    <row r="2557" customFormat="false" ht="15" hidden="false" customHeight="true" outlineLevel="0" collapsed="false">
      <c r="A2557" s="7" t="s">
        <v>59</v>
      </c>
      <c r="B2557" s="7" t="n">
        <v>1916</v>
      </c>
      <c r="C2557" s="7" t="s">
        <v>360</v>
      </c>
      <c r="D2557" s="7" t="n">
        <v>60</v>
      </c>
      <c r="E2557" s="7" t="n">
        <v>93</v>
      </c>
      <c r="F2557" s="7"/>
      <c r="G2557" s="7"/>
      <c r="H2557" s="7" t="s">
        <v>546</v>
      </c>
      <c r="I2557" s="7" t="s">
        <v>546</v>
      </c>
      <c r="J2557" s="21" t="n">
        <f aca="false">D2557/(D2557+E2557)</f>
        <v>0.392156862745098</v>
      </c>
      <c r="K2557" s="3" t="n">
        <f aca="false">IF(D2557&gt;E2557,1,0)</f>
        <v>0</v>
      </c>
      <c r="L2557" s="3" t="n">
        <f aca="false">IF(OR(F2557="Y",G2557="Y",H2557="Y"),1,0)</f>
        <v>0</v>
      </c>
      <c r="M2557" s="3" t="n">
        <f aca="false">IF(H2557="Y",1,0)</f>
        <v>0</v>
      </c>
      <c r="N2557" s="3" t="n">
        <f aca="false">IF(I2557="Y",1,0)</f>
        <v>0</v>
      </c>
    </row>
    <row r="2558" customFormat="false" ht="15" hidden="false" customHeight="true" outlineLevel="0" collapsed="false">
      <c r="A2558" s="7" t="s">
        <v>59</v>
      </c>
      <c r="B2558" s="7" t="n">
        <v>1917</v>
      </c>
      <c r="C2558" s="7" t="s">
        <v>360</v>
      </c>
      <c r="D2558" s="7" t="n">
        <v>82</v>
      </c>
      <c r="E2558" s="7" t="n">
        <v>70</v>
      </c>
      <c r="F2558" s="7"/>
      <c r="G2558" s="7"/>
      <c r="H2558" s="7" t="s">
        <v>546</v>
      </c>
      <c r="I2558" s="7" t="s">
        <v>546</v>
      </c>
      <c r="J2558" s="21" t="n">
        <f aca="false">D2558/(D2558+E2558)</f>
        <v>0.539473684210526</v>
      </c>
      <c r="K2558" s="3" t="n">
        <f aca="false">IF(D2558&gt;E2558,1,0)</f>
        <v>1</v>
      </c>
      <c r="L2558" s="3" t="n">
        <f aca="false">IF(OR(F2558="Y",G2558="Y",H2558="Y"),1,0)</f>
        <v>0</v>
      </c>
      <c r="M2558" s="3" t="n">
        <f aca="false">IF(H2558="Y",1,0)</f>
        <v>0</v>
      </c>
      <c r="N2558" s="3" t="n">
        <f aca="false">IF(I2558="Y",1,0)</f>
        <v>0</v>
      </c>
    </row>
    <row r="2559" customFormat="false" ht="15" hidden="false" customHeight="true" outlineLevel="0" collapsed="false">
      <c r="A2559" s="7" t="s">
        <v>59</v>
      </c>
      <c r="B2559" s="7" t="n">
        <v>1918</v>
      </c>
      <c r="C2559" s="7" t="s">
        <v>360</v>
      </c>
      <c r="D2559" s="7" t="n">
        <v>51</v>
      </c>
      <c r="E2559" s="7" t="n">
        <v>78</v>
      </c>
      <c r="F2559" s="7"/>
      <c r="G2559" s="7"/>
      <c r="H2559" s="7" t="s">
        <v>546</v>
      </c>
      <c r="I2559" s="7" t="s">
        <v>546</v>
      </c>
      <c r="J2559" s="21" t="n">
        <f aca="false">D2559/(D2559+E2559)</f>
        <v>0.395348837209302</v>
      </c>
      <c r="K2559" s="3" t="n">
        <f aca="false">IF(D2559&gt;E2559,1,0)</f>
        <v>0</v>
      </c>
      <c r="L2559" s="3" t="n">
        <f aca="false">IF(OR(F2559="Y",G2559="Y",H2559="Y"),1,0)</f>
        <v>0</v>
      </c>
      <c r="M2559" s="3" t="n">
        <f aca="false">IF(H2559="Y",1,0)</f>
        <v>0</v>
      </c>
      <c r="N2559" s="3" t="n">
        <f aca="false">IF(I2559="Y",1,0)</f>
        <v>0</v>
      </c>
    </row>
    <row r="2560" customFormat="false" ht="15" hidden="false" customHeight="true" outlineLevel="0" collapsed="false">
      <c r="A2560" s="7" t="s">
        <v>59</v>
      </c>
      <c r="B2560" s="7" t="n">
        <v>1919</v>
      </c>
      <c r="C2560" s="7" t="s">
        <v>360</v>
      </c>
      <c r="D2560" s="7" t="n">
        <v>54</v>
      </c>
      <c r="E2560" s="7" t="n">
        <v>83</v>
      </c>
      <c r="F2560" s="7"/>
      <c r="G2560" s="7"/>
      <c r="H2560" s="7" t="s">
        <v>546</v>
      </c>
      <c r="I2560" s="7" t="s">
        <v>546</v>
      </c>
      <c r="J2560" s="21" t="n">
        <f aca="false">D2560/(D2560+E2560)</f>
        <v>0.394160583941606</v>
      </c>
      <c r="K2560" s="3" t="n">
        <f aca="false">IF(D2560&gt;E2560,1,0)</f>
        <v>0</v>
      </c>
      <c r="L2560" s="3" t="n">
        <f aca="false">IF(OR(F2560="Y",G2560="Y",H2560="Y"),1,0)</f>
        <v>0</v>
      </c>
      <c r="M2560" s="3" t="n">
        <f aca="false">IF(H2560="Y",1,0)</f>
        <v>0</v>
      </c>
      <c r="N2560" s="3" t="n">
        <f aca="false">IF(I2560="Y",1,0)</f>
        <v>0</v>
      </c>
    </row>
    <row r="2561" customFormat="false" ht="15" hidden="false" customHeight="true" outlineLevel="0" collapsed="false">
      <c r="A2561" s="7" t="s">
        <v>59</v>
      </c>
      <c r="B2561" s="7" t="n">
        <v>1920</v>
      </c>
      <c r="C2561" s="7" t="s">
        <v>360</v>
      </c>
      <c r="D2561" s="7" t="n">
        <v>75</v>
      </c>
      <c r="E2561" s="7" t="n">
        <v>79</v>
      </c>
      <c r="F2561" s="7"/>
      <c r="G2561" s="7"/>
      <c r="H2561" s="7" t="s">
        <v>546</v>
      </c>
      <c r="I2561" s="7" t="s">
        <v>546</v>
      </c>
      <c r="J2561" s="21" t="n">
        <f aca="false">D2561/(D2561+E2561)</f>
        <v>0.487012987012987</v>
      </c>
      <c r="K2561" s="3" t="n">
        <f aca="false">IF(D2561&gt;E2561,1,0)</f>
        <v>0</v>
      </c>
      <c r="L2561" s="3" t="n">
        <f aca="false">IF(OR(F2561="Y",G2561="Y",H2561="Y"),1,0)</f>
        <v>0</v>
      </c>
      <c r="M2561" s="3" t="n">
        <f aca="false">IF(H2561="Y",1,0)</f>
        <v>0</v>
      </c>
      <c r="N2561" s="3" t="n">
        <f aca="false">IF(I2561="Y",1,0)</f>
        <v>0</v>
      </c>
    </row>
    <row r="2562" customFormat="false" ht="15" hidden="false" customHeight="true" outlineLevel="0" collapsed="false">
      <c r="A2562" s="7" t="s">
        <v>59</v>
      </c>
      <c r="B2562" s="7" t="n">
        <v>1921</v>
      </c>
      <c r="C2562" s="7" t="s">
        <v>360</v>
      </c>
      <c r="D2562" s="7" t="n">
        <v>87</v>
      </c>
      <c r="E2562" s="7" t="n">
        <v>66</v>
      </c>
      <c r="F2562" s="7"/>
      <c r="G2562" s="7"/>
      <c r="H2562" s="7" t="s">
        <v>546</v>
      </c>
      <c r="I2562" s="7" t="s">
        <v>546</v>
      </c>
      <c r="J2562" s="21" t="n">
        <f aca="false">D2562/(D2562+E2562)</f>
        <v>0.568627450980392</v>
      </c>
      <c r="K2562" s="3" t="n">
        <f aca="false">IF(D2562&gt;E2562,1,0)</f>
        <v>1</v>
      </c>
      <c r="L2562" s="3" t="n">
        <f aca="false">IF(OR(F2562="Y",G2562="Y",H2562="Y"),1,0)</f>
        <v>0</v>
      </c>
      <c r="M2562" s="3" t="n">
        <f aca="false">IF(H2562="Y",1,0)</f>
        <v>0</v>
      </c>
      <c r="N2562" s="3" t="n">
        <f aca="false">IF(I2562="Y",1,0)</f>
        <v>0</v>
      </c>
    </row>
    <row r="2563" customFormat="false" ht="15" hidden="false" customHeight="true" outlineLevel="0" collapsed="false">
      <c r="A2563" s="7" t="s">
        <v>59</v>
      </c>
      <c r="B2563" s="7" t="n">
        <v>1922</v>
      </c>
      <c r="C2563" s="7" t="s">
        <v>360</v>
      </c>
      <c r="D2563" s="7" t="n">
        <v>85</v>
      </c>
      <c r="E2563" s="7" t="n">
        <v>69</v>
      </c>
      <c r="F2563" s="7"/>
      <c r="G2563" s="7"/>
      <c r="H2563" s="7" t="s">
        <v>546</v>
      </c>
      <c r="I2563" s="7" t="s">
        <v>546</v>
      </c>
      <c r="J2563" s="21" t="n">
        <f aca="false">D2563/(D2563+E2563)</f>
        <v>0.551948051948052</v>
      </c>
      <c r="K2563" s="3" t="n">
        <f aca="false">IF(D2563&gt;E2563,1,0)</f>
        <v>1</v>
      </c>
      <c r="L2563" s="3" t="n">
        <f aca="false">IF(OR(F2563="Y",G2563="Y",H2563="Y"),1,0)</f>
        <v>0</v>
      </c>
      <c r="M2563" s="3" t="n">
        <f aca="false">IF(H2563="Y",1,0)</f>
        <v>0</v>
      </c>
      <c r="N2563" s="3" t="n">
        <f aca="false">IF(I2563="Y",1,0)</f>
        <v>0</v>
      </c>
    </row>
    <row r="2564" customFormat="false" ht="15" hidden="false" customHeight="true" outlineLevel="0" collapsed="false">
      <c r="A2564" s="7" t="s">
        <v>59</v>
      </c>
      <c r="B2564" s="7" t="n">
        <v>1923</v>
      </c>
      <c r="C2564" s="7" t="s">
        <v>360</v>
      </c>
      <c r="D2564" s="7" t="n">
        <v>79</v>
      </c>
      <c r="E2564" s="7" t="n">
        <v>74</v>
      </c>
      <c r="F2564" s="7"/>
      <c r="G2564" s="7"/>
      <c r="H2564" s="7" t="s">
        <v>546</v>
      </c>
      <c r="I2564" s="7" t="s">
        <v>546</v>
      </c>
      <c r="J2564" s="21" t="n">
        <f aca="false">D2564/(D2564+E2564)</f>
        <v>0.516339869281046</v>
      </c>
      <c r="K2564" s="3" t="n">
        <f aca="false">IF(D2564&gt;E2564,1,0)</f>
        <v>1</v>
      </c>
      <c r="L2564" s="3" t="n">
        <f aca="false">IF(OR(F2564="Y",G2564="Y",H2564="Y"),1,0)</f>
        <v>0</v>
      </c>
      <c r="M2564" s="3" t="n">
        <f aca="false">IF(H2564="Y",1,0)</f>
        <v>0</v>
      </c>
      <c r="N2564" s="3" t="n">
        <f aca="false">IF(I2564="Y",1,0)</f>
        <v>0</v>
      </c>
    </row>
    <row r="2565" customFormat="false" ht="15" hidden="false" customHeight="true" outlineLevel="0" collapsed="false">
      <c r="A2565" s="7" t="s">
        <v>59</v>
      </c>
      <c r="B2565" s="7" t="n">
        <v>1924</v>
      </c>
      <c r="C2565" s="7" t="s">
        <v>360</v>
      </c>
      <c r="D2565" s="7" t="n">
        <v>65</v>
      </c>
      <c r="E2565" s="7" t="n">
        <v>89</v>
      </c>
      <c r="F2565" s="7"/>
      <c r="G2565" s="7"/>
      <c r="H2565" s="7" t="s">
        <v>546</v>
      </c>
      <c r="I2565" s="7" t="s">
        <v>546</v>
      </c>
      <c r="J2565" s="21" t="n">
        <f aca="false">D2565/(D2565+E2565)</f>
        <v>0.422077922077922</v>
      </c>
      <c r="K2565" s="3" t="n">
        <f aca="false">IF(D2565&gt;E2565,1,0)</f>
        <v>0</v>
      </c>
      <c r="L2565" s="3" t="n">
        <f aca="false">IF(OR(F2565="Y",G2565="Y",H2565="Y"),1,0)</f>
        <v>0</v>
      </c>
      <c r="M2565" s="3" t="n">
        <f aca="false">IF(H2565="Y",1,0)</f>
        <v>0</v>
      </c>
      <c r="N2565" s="3" t="n">
        <f aca="false">IF(I2565="Y",1,0)</f>
        <v>0</v>
      </c>
    </row>
    <row r="2566" customFormat="false" ht="15" hidden="false" customHeight="true" outlineLevel="0" collapsed="false">
      <c r="A2566" s="7" t="s">
        <v>59</v>
      </c>
      <c r="B2566" s="7" t="n">
        <v>1925</v>
      </c>
      <c r="C2566" s="7" t="s">
        <v>360</v>
      </c>
      <c r="D2566" s="7" t="n">
        <v>77</v>
      </c>
      <c r="E2566" s="7" t="n">
        <v>76</v>
      </c>
      <c r="F2566" s="7"/>
      <c r="G2566" s="7"/>
      <c r="H2566" s="7" t="s">
        <v>546</v>
      </c>
      <c r="I2566" s="7" t="s">
        <v>546</v>
      </c>
      <c r="J2566" s="21" t="n">
        <f aca="false">D2566/(D2566+E2566)</f>
        <v>0.503267973856209</v>
      </c>
      <c r="K2566" s="3" t="n">
        <f aca="false">IF(D2566&gt;E2566,1,0)</f>
        <v>1</v>
      </c>
      <c r="L2566" s="3" t="n">
        <f aca="false">IF(OR(F2566="Y",G2566="Y",H2566="Y"),1,0)</f>
        <v>0</v>
      </c>
      <c r="M2566" s="3" t="n">
        <f aca="false">IF(H2566="Y",1,0)</f>
        <v>0</v>
      </c>
      <c r="N2566" s="3" t="n">
        <f aca="false">IF(I2566="Y",1,0)</f>
        <v>0</v>
      </c>
    </row>
    <row r="2567" customFormat="false" ht="15" hidden="false" customHeight="true" outlineLevel="0" collapsed="false">
      <c r="A2567" s="7" t="s">
        <v>59</v>
      </c>
      <c r="B2567" s="7" t="n">
        <v>1926</v>
      </c>
      <c r="C2567" s="7" t="s">
        <v>360</v>
      </c>
      <c r="D2567" s="7" t="n">
        <v>89</v>
      </c>
      <c r="E2567" s="7" t="n">
        <v>65</v>
      </c>
      <c r="F2567" s="7"/>
      <c r="G2567" s="7"/>
      <c r="H2567" s="7" t="s">
        <v>548</v>
      </c>
      <c r="I2567" s="7" t="s">
        <v>548</v>
      </c>
      <c r="J2567" s="21" t="n">
        <f aca="false">D2567/(D2567+E2567)</f>
        <v>0.577922077922078</v>
      </c>
      <c r="K2567" s="3" t="n">
        <f aca="false">IF(D2567&gt;E2567,1,0)</f>
        <v>1</v>
      </c>
      <c r="L2567" s="3" t="n">
        <f aca="false">IF(OR(F2567="Y",G2567="Y",H2567="Y"),1,0)</f>
        <v>1</v>
      </c>
      <c r="M2567" s="3" t="n">
        <f aca="false">IF(H2567="Y",1,0)</f>
        <v>1</v>
      </c>
      <c r="N2567" s="3" t="n">
        <f aca="false">IF(I2567="Y",1,0)</f>
        <v>1</v>
      </c>
    </row>
    <row r="2568" customFormat="false" ht="15" hidden="false" customHeight="true" outlineLevel="0" collapsed="false">
      <c r="A2568" s="7" t="s">
        <v>59</v>
      </c>
      <c r="B2568" s="7" t="n">
        <v>1927</v>
      </c>
      <c r="C2568" s="7" t="s">
        <v>360</v>
      </c>
      <c r="D2568" s="7" t="n">
        <v>92</v>
      </c>
      <c r="E2568" s="7" t="n">
        <v>61</v>
      </c>
      <c r="F2568" s="7"/>
      <c r="G2568" s="7"/>
      <c r="H2568" s="7" t="s">
        <v>546</v>
      </c>
      <c r="I2568" s="7" t="s">
        <v>546</v>
      </c>
      <c r="J2568" s="21" t="n">
        <f aca="false">D2568/(D2568+E2568)</f>
        <v>0.601307189542484</v>
      </c>
      <c r="K2568" s="3" t="n">
        <f aca="false">IF(D2568&gt;E2568,1,0)</f>
        <v>1</v>
      </c>
      <c r="L2568" s="3" t="n">
        <f aca="false">IF(OR(F2568="Y",G2568="Y",H2568="Y"),1,0)</f>
        <v>0</v>
      </c>
      <c r="M2568" s="3" t="n">
        <f aca="false">IF(H2568="Y",1,0)</f>
        <v>0</v>
      </c>
      <c r="N2568" s="3" t="n">
        <f aca="false">IF(I2568="Y",1,0)</f>
        <v>0</v>
      </c>
    </row>
    <row r="2569" customFormat="false" ht="15" hidden="false" customHeight="true" outlineLevel="0" collapsed="false">
      <c r="A2569" s="7" t="s">
        <v>59</v>
      </c>
      <c r="B2569" s="7" t="n">
        <v>1928</v>
      </c>
      <c r="C2569" s="7" t="s">
        <v>360</v>
      </c>
      <c r="D2569" s="7" t="n">
        <v>95</v>
      </c>
      <c r="E2569" s="7" t="n">
        <v>59</v>
      </c>
      <c r="F2569" s="7"/>
      <c r="G2569" s="7"/>
      <c r="H2569" s="7" t="s">
        <v>548</v>
      </c>
      <c r="I2569" s="7" t="s">
        <v>546</v>
      </c>
      <c r="J2569" s="21" t="n">
        <f aca="false">D2569/(D2569+E2569)</f>
        <v>0.616883116883117</v>
      </c>
      <c r="K2569" s="3" t="n">
        <f aca="false">IF(D2569&gt;E2569,1,0)</f>
        <v>1</v>
      </c>
      <c r="L2569" s="3" t="n">
        <f aca="false">IF(OR(F2569="Y",G2569="Y",H2569="Y"),1,0)</f>
        <v>1</v>
      </c>
      <c r="M2569" s="3" t="n">
        <f aca="false">IF(H2569="Y",1,0)</f>
        <v>1</v>
      </c>
      <c r="N2569" s="3" t="n">
        <f aca="false">IF(I2569="Y",1,0)</f>
        <v>0</v>
      </c>
    </row>
    <row r="2570" customFormat="false" ht="15" hidden="false" customHeight="true" outlineLevel="0" collapsed="false">
      <c r="A2570" s="7" t="s">
        <v>59</v>
      </c>
      <c r="B2570" s="7" t="n">
        <v>1929</v>
      </c>
      <c r="C2570" s="7" t="s">
        <v>360</v>
      </c>
      <c r="D2570" s="7" t="n">
        <v>78</v>
      </c>
      <c r="E2570" s="7" t="n">
        <v>74</v>
      </c>
      <c r="F2570" s="7"/>
      <c r="G2570" s="7"/>
      <c r="H2570" s="7" t="s">
        <v>546</v>
      </c>
      <c r="I2570" s="7" t="s">
        <v>546</v>
      </c>
      <c r="J2570" s="21" t="n">
        <f aca="false">D2570/(D2570+E2570)</f>
        <v>0.513157894736842</v>
      </c>
      <c r="K2570" s="3" t="n">
        <f aca="false">IF(D2570&gt;E2570,1,0)</f>
        <v>1</v>
      </c>
      <c r="L2570" s="3" t="n">
        <f aca="false">IF(OR(F2570="Y",G2570="Y",H2570="Y"),1,0)</f>
        <v>0</v>
      </c>
      <c r="M2570" s="3" t="n">
        <f aca="false">IF(H2570="Y",1,0)</f>
        <v>0</v>
      </c>
      <c r="N2570" s="3" t="n">
        <f aca="false">IF(I2570="Y",1,0)</f>
        <v>0</v>
      </c>
    </row>
    <row r="2571" customFormat="false" ht="15" hidden="false" customHeight="true" outlineLevel="0" collapsed="false">
      <c r="A2571" s="7" t="s">
        <v>59</v>
      </c>
      <c r="B2571" s="7" t="n">
        <v>1930</v>
      </c>
      <c r="C2571" s="7" t="s">
        <v>360</v>
      </c>
      <c r="D2571" s="7" t="n">
        <v>92</v>
      </c>
      <c r="E2571" s="7" t="n">
        <v>62</v>
      </c>
      <c r="F2571" s="7"/>
      <c r="G2571" s="7"/>
      <c r="H2571" s="7" t="s">
        <v>548</v>
      </c>
      <c r="I2571" s="7" t="s">
        <v>546</v>
      </c>
      <c r="J2571" s="21" t="n">
        <f aca="false">D2571/(D2571+E2571)</f>
        <v>0.597402597402597</v>
      </c>
      <c r="K2571" s="3" t="n">
        <f aca="false">IF(D2571&gt;E2571,1,0)</f>
        <v>1</v>
      </c>
      <c r="L2571" s="3" t="n">
        <f aca="false">IF(OR(F2571="Y",G2571="Y",H2571="Y"),1,0)</f>
        <v>1</v>
      </c>
      <c r="M2571" s="3" t="n">
        <f aca="false">IF(H2571="Y",1,0)</f>
        <v>1</v>
      </c>
      <c r="N2571" s="3" t="n">
        <f aca="false">IF(I2571="Y",1,0)</f>
        <v>0</v>
      </c>
    </row>
    <row r="2572" customFormat="false" ht="15" hidden="false" customHeight="true" outlineLevel="0" collapsed="false">
      <c r="A2572" s="7" t="s">
        <v>59</v>
      </c>
      <c r="B2572" s="7" t="n">
        <v>1931</v>
      </c>
      <c r="C2572" s="7" t="s">
        <v>360</v>
      </c>
      <c r="D2572" s="7" t="n">
        <v>101</v>
      </c>
      <c r="E2572" s="7" t="n">
        <v>53</v>
      </c>
      <c r="F2572" s="7"/>
      <c r="G2572" s="7"/>
      <c r="H2572" s="7" t="s">
        <v>548</v>
      </c>
      <c r="I2572" s="7" t="s">
        <v>548</v>
      </c>
      <c r="J2572" s="21" t="n">
        <f aca="false">D2572/(D2572+E2572)</f>
        <v>0.655844155844156</v>
      </c>
      <c r="K2572" s="3" t="n">
        <f aca="false">IF(D2572&gt;E2572,1,0)</f>
        <v>1</v>
      </c>
      <c r="L2572" s="3" t="n">
        <f aca="false">IF(OR(F2572="Y",G2572="Y",H2572="Y"),1,0)</f>
        <v>1</v>
      </c>
      <c r="M2572" s="3" t="n">
        <f aca="false">IF(H2572="Y",1,0)</f>
        <v>1</v>
      </c>
      <c r="N2572" s="3" t="n">
        <f aca="false">IF(I2572="Y",1,0)</f>
        <v>1</v>
      </c>
    </row>
    <row r="2573" customFormat="false" ht="15" hidden="false" customHeight="true" outlineLevel="0" collapsed="false">
      <c r="A2573" s="7" t="s">
        <v>59</v>
      </c>
      <c r="B2573" s="7" t="n">
        <v>1932</v>
      </c>
      <c r="C2573" s="7" t="s">
        <v>360</v>
      </c>
      <c r="D2573" s="7" t="n">
        <v>72</v>
      </c>
      <c r="E2573" s="7" t="n">
        <v>82</v>
      </c>
      <c r="F2573" s="7"/>
      <c r="G2573" s="7"/>
      <c r="H2573" s="7" t="s">
        <v>546</v>
      </c>
      <c r="I2573" s="7" t="s">
        <v>546</v>
      </c>
      <c r="J2573" s="21" t="n">
        <f aca="false">D2573/(D2573+E2573)</f>
        <v>0.467532467532468</v>
      </c>
      <c r="K2573" s="3" t="n">
        <f aca="false">IF(D2573&gt;E2573,1,0)</f>
        <v>0</v>
      </c>
      <c r="L2573" s="3" t="n">
        <f aca="false">IF(OR(F2573="Y",G2573="Y",H2573="Y"),1,0)</f>
        <v>0</v>
      </c>
      <c r="M2573" s="3" t="n">
        <f aca="false">IF(H2573="Y",1,0)</f>
        <v>0</v>
      </c>
      <c r="N2573" s="3" t="n">
        <f aca="false">IF(I2573="Y",1,0)</f>
        <v>0</v>
      </c>
    </row>
    <row r="2574" customFormat="false" ht="15" hidden="false" customHeight="true" outlineLevel="0" collapsed="false">
      <c r="A2574" s="7" t="s">
        <v>59</v>
      </c>
      <c r="B2574" s="7" t="n">
        <v>1933</v>
      </c>
      <c r="C2574" s="7" t="s">
        <v>360</v>
      </c>
      <c r="D2574" s="7" t="n">
        <v>82</v>
      </c>
      <c r="E2574" s="7" t="n">
        <v>71</v>
      </c>
      <c r="F2574" s="7"/>
      <c r="G2574" s="7"/>
      <c r="H2574" s="7" t="s">
        <v>546</v>
      </c>
      <c r="I2574" s="7" t="s">
        <v>546</v>
      </c>
      <c r="J2574" s="21" t="n">
        <f aca="false">D2574/(D2574+E2574)</f>
        <v>0.535947712418301</v>
      </c>
      <c r="K2574" s="3" t="n">
        <f aca="false">IF(D2574&gt;E2574,1,0)</f>
        <v>1</v>
      </c>
      <c r="L2574" s="3" t="n">
        <f aca="false">IF(OR(F2574="Y",G2574="Y",H2574="Y"),1,0)</f>
        <v>0</v>
      </c>
      <c r="M2574" s="3" t="n">
        <f aca="false">IF(H2574="Y",1,0)</f>
        <v>0</v>
      </c>
      <c r="N2574" s="3" t="n">
        <f aca="false">IF(I2574="Y",1,0)</f>
        <v>0</v>
      </c>
    </row>
    <row r="2575" customFormat="false" ht="15" hidden="false" customHeight="true" outlineLevel="0" collapsed="false">
      <c r="A2575" s="7" t="s">
        <v>59</v>
      </c>
      <c r="B2575" s="7" t="n">
        <v>1934</v>
      </c>
      <c r="C2575" s="7" t="s">
        <v>360</v>
      </c>
      <c r="D2575" s="7" t="n">
        <v>95</v>
      </c>
      <c r="E2575" s="7" t="n">
        <v>58</v>
      </c>
      <c r="F2575" s="7"/>
      <c r="G2575" s="7"/>
      <c r="H2575" s="7" t="s">
        <v>548</v>
      </c>
      <c r="I2575" s="7" t="s">
        <v>548</v>
      </c>
      <c r="J2575" s="21" t="n">
        <f aca="false">D2575/(D2575+E2575)</f>
        <v>0.620915032679739</v>
      </c>
      <c r="K2575" s="3" t="n">
        <f aca="false">IF(D2575&gt;E2575,1,0)</f>
        <v>1</v>
      </c>
      <c r="L2575" s="3" t="n">
        <f aca="false">IF(OR(F2575="Y",G2575="Y",H2575="Y"),1,0)</f>
        <v>1</v>
      </c>
      <c r="M2575" s="3" t="n">
        <f aca="false">IF(H2575="Y",1,0)</f>
        <v>1</v>
      </c>
      <c r="N2575" s="3" t="n">
        <f aca="false">IF(I2575="Y",1,0)</f>
        <v>1</v>
      </c>
    </row>
    <row r="2576" customFormat="false" ht="15" hidden="false" customHeight="true" outlineLevel="0" collapsed="false">
      <c r="A2576" s="7" t="s">
        <v>59</v>
      </c>
      <c r="B2576" s="7" t="n">
        <v>1935</v>
      </c>
      <c r="C2576" s="7" t="s">
        <v>360</v>
      </c>
      <c r="D2576" s="7" t="n">
        <v>96</v>
      </c>
      <c r="E2576" s="7" t="n">
        <v>58</v>
      </c>
      <c r="F2576" s="7"/>
      <c r="G2576" s="7"/>
      <c r="H2576" s="7" t="s">
        <v>546</v>
      </c>
      <c r="I2576" s="7" t="s">
        <v>546</v>
      </c>
      <c r="J2576" s="21" t="n">
        <f aca="false">D2576/(D2576+E2576)</f>
        <v>0.623376623376623</v>
      </c>
      <c r="K2576" s="3" t="n">
        <f aca="false">IF(D2576&gt;E2576,1,0)</f>
        <v>1</v>
      </c>
      <c r="L2576" s="3" t="n">
        <f aca="false">IF(OR(F2576="Y",G2576="Y",H2576="Y"),1,0)</f>
        <v>0</v>
      </c>
      <c r="M2576" s="3" t="n">
        <f aca="false">IF(H2576="Y",1,0)</f>
        <v>0</v>
      </c>
      <c r="N2576" s="3" t="n">
        <f aca="false">IF(I2576="Y",1,0)</f>
        <v>0</v>
      </c>
    </row>
    <row r="2577" customFormat="false" ht="15" hidden="false" customHeight="true" outlineLevel="0" collapsed="false">
      <c r="A2577" s="7" t="s">
        <v>59</v>
      </c>
      <c r="B2577" s="7" t="n">
        <v>1936</v>
      </c>
      <c r="C2577" s="7" t="s">
        <v>360</v>
      </c>
      <c r="D2577" s="7" t="n">
        <v>87</v>
      </c>
      <c r="E2577" s="7" t="n">
        <v>67</v>
      </c>
      <c r="F2577" s="7"/>
      <c r="G2577" s="7"/>
      <c r="H2577" s="7" t="s">
        <v>546</v>
      </c>
      <c r="I2577" s="7" t="s">
        <v>546</v>
      </c>
      <c r="J2577" s="21" t="n">
        <f aca="false">D2577/(D2577+E2577)</f>
        <v>0.564935064935065</v>
      </c>
      <c r="K2577" s="3" t="n">
        <f aca="false">IF(D2577&gt;E2577,1,0)</f>
        <v>1</v>
      </c>
      <c r="L2577" s="3" t="n">
        <f aca="false">IF(OR(F2577="Y",G2577="Y",H2577="Y"),1,0)</f>
        <v>0</v>
      </c>
      <c r="M2577" s="3" t="n">
        <f aca="false">IF(H2577="Y",1,0)</f>
        <v>0</v>
      </c>
      <c r="N2577" s="3" t="n">
        <f aca="false">IF(I2577="Y",1,0)</f>
        <v>0</v>
      </c>
    </row>
    <row r="2578" customFormat="false" ht="15" hidden="false" customHeight="true" outlineLevel="0" collapsed="false">
      <c r="A2578" s="7" t="s">
        <v>59</v>
      </c>
      <c r="B2578" s="7" t="n">
        <v>1937</v>
      </c>
      <c r="C2578" s="7" t="s">
        <v>360</v>
      </c>
      <c r="D2578" s="7" t="n">
        <v>81</v>
      </c>
      <c r="E2578" s="7" t="n">
        <v>73</v>
      </c>
      <c r="F2578" s="7"/>
      <c r="G2578" s="7"/>
      <c r="H2578" s="7" t="s">
        <v>546</v>
      </c>
      <c r="I2578" s="7" t="s">
        <v>546</v>
      </c>
      <c r="J2578" s="21" t="n">
        <f aca="false">D2578/(D2578+E2578)</f>
        <v>0.525974025974026</v>
      </c>
      <c r="K2578" s="3" t="n">
        <f aca="false">IF(D2578&gt;E2578,1,0)</f>
        <v>1</v>
      </c>
      <c r="L2578" s="3" t="n">
        <f aca="false">IF(OR(F2578="Y",G2578="Y",H2578="Y"),1,0)</f>
        <v>0</v>
      </c>
      <c r="M2578" s="3" t="n">
        <f aca="false">IF(H2578="Y",1,0)</f>
        <v>0</v>
      </c>
      <c r="N2578" s="3" t="n">
        <f aca="false">IF(I2578="Y",1,0)</f>
        <v>0</v>
      </c>
    </row>
    <row r="2579" customFormat="false" ht="15" hidden="false" customHeight="true" outlineLevel="0" collapsed="false">
      <c r="A2579" s="7" t="s">
        <v>59</v>
      </c>
      <c r="B2579" s="7" t="n">
        <v>1938</v>
      </c>
      <c r="C2579" s="7" t="s">
        <v>360</v>
      </c>
      <c r="D2579" s="7" t="n">
        <v>71</v>
      </c>
      <c r="E2579" s="7" t="n">
        <v>80</v>
      </c>
      <c r="F2579" s="7"/>
      <c r="G2579" s="7"/>
      <c r="H2579" s="7" t="s">
        <v>546</v>
      </c>
      <c r="I2579" s="7" t="s">
        <v>546</v>
      </c>
      <c r="J2579" s="21" t="n">
        <f aca="false">D2579/(D2579+E2579)</f>
        <v>0.470198675496689</v>
      </c>
      <c r="K2579" s="3" t="n">
        <f aca="false">IF(D2579&gt;E2579,1,0)</f>
        <v>0</v>
      </c>
      <c r="L2579" s="3" t="n">
        <f aca="false">IF(OR(F2579="Y",G2579="Y",H2579="Y"),1,0)</f>
        <v>0</v>
      </c>
      <c r="M2579" s="3" t="n">
        <f aca="false">IF(H2579="Y",1,0)</f>
        <v>0</v>
      </c>
      <c r="N2579" s="3" t="n">
        <f aca="false">IF(I2579="Y",1,0)</f>
        <v>0</v>
      </c>
    </row>
    <row r="2580" customFormat="false" ht="15" hidden="false" customHeight="true" outlineLevel="0" collapsed="false">
      <c r="A2580" s="7" t="s">
        <v>59</v>
      </c>
      <c r="B2580" s="7" t="n">
        <v>1939</v>
      </c>
      <c r="C2580" s="7" t="s">
        <v>360</v>
      </c>
      <c r="D2580" s="7" t="n">
        <v>92</v>
      </c>
      <c r="E2580" s="7" t="n">
        <v>61</v>
      </c>
      <c r="F2580" s="7"/>
      <c r="G2580" s="7"/>
      <c r="H2580" s="7" t="s">
        <v>546</v>
      </c>
      <c r="I2580" s="7" t="s">
        <v>546</v>
      </c>
      <c r="J2580" s="21" t="n">
        <f aca="false">D2580/(D2580+E2580)</f>
        <v>0.601307189542484</v>
      </c>
      <c r="K2580" s="3" t="n">
        <f aca="false">IF(D2580&gt;E2580,1,0)</f>
        <v>1</v>
      </c>
      <c r="L2580" s="3" t="n">
        <f aca="false">IF(OR(F2580="Y",G2580="Y",H2580="Y"),1,0)</f>
        <v>0</v>
      </c>
      <c r="M2580" s="3" t="n">
        <f aca="false">IF(H2580="Y",1,0)</f>
        <v>0</v>
      </c>
      <c r="N2580" s="3" t="n">
        <f aca="false">IF(I2580="Y",1,0)</f>
        <v>0</v>
      </c>
    </row>
    <row r="2581" customFormat="false" ht="15" hidden="false" customHeight="true" outlineLevel="0" collapsed="false">
      <c r="A2581" s="7" t="s">
        <v>59</v>
      </c>
      <c r="B2581" s="7" t="n">
        <v>1940</v>
      </c>
      <c r="C2581" s="7" t="s">
        <v>360</v>
      </c>
      <c r="D2581" s="7" t="n">
        <v>84</v>
      </c>
      <c r="E2581" s="7" t="n">
        <v>69</v>
      </c>
      <c r="F2581" s="7"/>
      <c r="G2581" s="7"/>
      <c r="H2581" s="7" t="s">
        <v>546</v>
      </c>
      <c r="I2581" s="7" t="s">
        <v>546</v>
      </c>
      <c r="J2581" s="21" t="n">
        <f aca="false">D2581/(D2581+E2581)</f>
        <v>0.549019607843137</v>
      </c>
      <c r="K2581" s="3" t="n">
        <f aca="false">IF(D2581&gt;E2581,1,0)</f>
        <v>1</v>
      </c>
      <c r="L2581" s="3" t="n">
        <f aca="false">IF(OR(F2581="Y",G2581="Y",H2581="Y"),1,0)</f>
        <v>0</v>
      </c>
      <c r="M2581" s="3" t="n">
        <f aca="false">IF(H2581="Y",1,0)</f>
        <v>0</v>
      </c>
      <c r="N2581" s="3" t="n">
        <f aca="false">IF(I2581="Y",1,0)</f>
        <v>0</v>
      </c>
    </row>
    <row r="2582" customFormat="false" ht="15" hidden="false" customHeight="true" outlineLevel="0" collapsed="false">
      <c r="A2582" s="7" t="s">
        <v>59</v>
      </c>
      <c r="B2582" s="7" t="n">
        <v>1941</v>
      </c>
      <c r="C2582" s="7" t="s">
        <v>360</v>
      </c>
      <c r="D2582" s="7" t="n">
        <v>97</v>
      </c>
      <c r="E2582" s="7" t="n">
        <v>56</v>
      </c>
      <c r="F2582" s="7"/>
      <c r="G2582" s="7"/>
      <c r="H2582" s="7" t="s">
        <v>546</v>
      </c>
      <c r="I2582" s="7" t="s">
        <v>546</v>
      </c>
      <c r="J2582" s="21" t="n">
        <f aca="false">D2582/(D2582+E2582)</f>
        <v>0.633986928104575</v>
      </c>
      <c r="K2582" s="3" t="n">
        <f aca="false">IF(D2582&gt;E2582,1,0)</f>
        <v>1</v>
      </c>
      <c r="L2582" s="3" t="n">
        <f aca="false">IF(OR(F2582="Y",G2582="Y",H2582="Y"),1,0)</f>
        <v>0</v>
      </c>
      <c r="M2582" s="3" t="n">
        <f aca="false">IF(H2582="Y",1,0)</f>
        <v>0</v>
      </c>
      <c r="N2582" s="3" t="n">
        <f aca="false">IF(I2582="Y",1,0)</f>
        <v>0</v>
      </c>
    </row>
    <row r="2583" customFormat="false" ht="15" hidden="false" customHeight="true" outlineLevel="0" collapsed="false">
      <c r="A2583" s="7" t="s">
        <v>59</v>
      </c>
      <c r="B2583" s="7" t="n">
        <v>1942</v>
      </c>
      <c r="C2583" s="7" t="s">
        <v>360</v>
      </c>
      <c r="D2583" s="7" t="n">
        <v>106</v>
      </c>
      <c r="E2583" s="7" t="n">
        <v>48</v>
      </c>
      <c r="F2583" s="7"/>
      <c r="G2583" s="7"/>
      <c r="H2583" s="7" t="s">
        <v>548</v>
      </c>
      <c r="I2583" s="7" t="s">
        <v>548</v>
      </c>
      <c r="J2583" s="21" t="n">
        <f aca="false">D2583/(D2583+E2583)</f>
        <v>0.688311688311688</v>
      </c>
      <c r="K2583" s="3" t="n">
        <f aca="false">IF(D2583&gt;E2583,1,0)</f>
        <v>1</v>
      </c>
      <c r="L2583" s="3" t="n">
        <f aca="false">IF(OR(F2583="Y",G2583="Y",H2583="Y"),1,0)</f>
        <v>1</v>
      </c>
      <c r="M2583" s="3" t="n">
        <f aca="false">IF(H2583="Y",1,0)</f>
        <v>1</v>
      </c>
      <c r="N2583" s="3" t="n">
        <f aca="false">IF(I2583="Y",1,0)</f>
        <v>1</v>
      </c>
    </row>
    <row r="2584" customFormat="false" ht="15" hidden="false" customHeight="true" outlineLevel="0" collapsed="false">
      <c r="A2584" s="7" t="s">
        <v>59</v>
      </c>
      <c r="B2584" s="7" t="n">
        <v>1943</v>
      </c>
      <c r="C2584" s="7" t="s">
        <v>360</v>
      </c>
      <c r="D2584" s="7" t="n">
        <v>105</v>
      </c>
      <c r="E2584" s="7" t="n">
        <v>49</v>
      </c>
      <c r="F2584" s="7"/>
      <c r="G2584" s="7"/>
      <c r="H2584" s="7" t="s">
        <v>548</v>
      </c>
      <c r="I2584" s="7" t="s">
        <v>546</v>
      </c>
      <c r="J2584" s="21" t="n">
        <f aca="false">D2584/(D2584+E2584)</f>
        <v>0.681818181818182</v>
      </c>
      <c r="K2584" s="3" t="n">
        <f aca="false">IF(D2584&gt;E2584,1,0)</f>
        <v>1</v>
      </c>
      <c r="L2584" s="3" t="n">
        <f aca="false">IF(OR(F2584="Y",G2584="Y",H2584="Y"),1,0)</f>
        <v>1</v>
      </c>
      <c r="M2584" s="3" t="n">
        <f aca="false">IF(H2584="Y",1,0)</f>
        <v>1</v>
      </c>
      <c r="N2584" s="3" t="n">
        <f aca="false">IF(I2584="Y",1,0)</f>
        <v>0</v>
      </c>
    </row>
    <row r="2585" customFormat="false" ht="15" hidden="false" customHeight="true" outlineLevel="0" collapsed="false">
      <c r="A2585" s="7" t="s">
        <v>59</v>
      </c>
      <c r="B2585" s="7" t="n">
        <v>1944</v>
      </c>
      <c r="C2585" s="7" t="s">
        <v>360</v>
      </c>
      <c r="D2585" s="7" t="n">
        <v>105</v>
      </c>
      <c r="E2585" s="7" t="n">
        <v>49</v>
      </c>
      <c r="F2585" s="7"/>
      <c r="G2585" s="7"/>
      <c r="H2585" s="7" t="s">
        <v>548</v>
      </c>
      <c r="I2585" s="7" t="s">
        <v>548</v>
      </c>
      <c r="J2585" s="21" t="n">
        <f aca="false">D2585/(D2585+E2585)</f>
        <v>0.681818181818182</v>
      </c>
      <c r="K2585" s="3" t="n">
        <f aca="false">IF(D2585&gt;E2585,1,0)</f>
        <v>1</v>
      </c>
      <c r="L2585" s="3" t="n">
        <f aca="false">IF(OR(F2585="Y",G2585="Y",H2585="Y"),1,0)</f>
        <v>1</v>
      </c>
      <c r="M2585" s="3" t="n">
        <f aca="false">IF(H2585="Y",1,0)</f>
        <v>1</v>
      </c>
      <c r="N2585" s="3" t="n">
        <f aca="false">IF(I2585="Y",1,0)</f>
        <v>1</v>
      </c>
    </row>
    <row r="2586" customFormat="false" ht="15" hidden="false" customHeight="true" outlineLevel="0" collapsed="false">
      <c r="A2586" s="7" t="s">
        <v>59</v>
      </c>
      <c r="B2586" s="7" t="n">
        <v>1945</v>
      </c>
      <c r="C2586" s="7" t="s">
        <v>360</v>
      </c>
      <c r="D2586" s="7" t="n">
        <v>95</v>
      </c>
      <c r="E2586" s="7" t="n">
        <v>59</v>
      </c>
      <c r="F2586" s="7"/>
      <c r="G2586" s="7"/>
      <c r="H2586" s="7" t="s">
        <v>546</v>
      </c>
      <c r="I2586" s="7" t="s">
        <v>546</v>
      </c>
      <c r="J2586" s="21" t="n">
        <f aca="false">D2586/(D2586+E2586)</f>
        <v>0.616883116883117</v>
      </c>
      <c r="K2586" s="3" t="n">
        <f aca="false">IF(D2586&gt;E2586,1,0)</f>
        <v>1</v>
      </c>
      <c r="L2586" s="3" t="n">
        <f aca="false">IF(OR(F2586="Y",G2586="Y",H2586="Y"),1,0)</f>
        <v>0</v>
      </c>
      <c r="M2586" s="3" t="n">
        <f aca="false">IF(H2586="Y",1,0)</f>
        <v>0</v>
      </c>
      <c r="N2586" s="3" t="n">
        <f aca="false">IF(I2586="Y",1,0)</f>
        <v>0</v>
      </c>
    </row>
    <row r="2587" customFormat="false" ht="15" hidden="false" customHeight="true" outlineLevel="0" collapsed="false">
      <c r="A2587" s="7" t="s">
        <v>59</v>
      </c>
      <c r="B2587" s="7" t="n">
        <v>1946</v>
      </c>
      <c r="C2587" s="7" t="s">
        <v>360</v>
      </c>
      <c r="D2587" s="7" t="n">
        <v>98</v>
      </c>
      <c r="E2587" s="7" t="n">
        <v>58</v>
      </c>
      <c r="F2587" s="7"/>
      <c r="G2587" s="7"/>
      <c r="H2587" s="7" t="s">
        <v>548</v>
      </c>
      <c r="I2587" s="7" t="s">
        <v>548</v>
      </c>
      <c r="J2587" s="21" t="n">
        <f aca="false">D2587/(D2587+E2587)</f>
        <v>0.628205128205128</v>
      </c>
      <c r="K2587" s="3" t="n">
        <f aca="false">IF(D2587&gt;E2587,1,0)</f>
        <v>1</v>
      </c>
      <c r="L2587" s="3" t="n">
        <f aca="false">IF(OR(F2587="Y",G2587="Y",H2587="Y"),1,0)</f>
        <v>1</v>
      </c>
      <c r="M2587" s="3" t="n">
        <f aca="false">IF(H2587="Y",1,0)</f>
        <v>1</v>
      </c>
      <c r="N2587" s="3" t="n">
        <f aca="false">IF(I2587="Y",1,0)</f>
        <v>1</v>
      </c>
    </row>
    <row r="2588" customFormat="false" ht="15" hidden="false" customHeight="true" outlineLevel="0" collapsed="false">
      <c r="A2588" s="7" t="s">
        <v>59</v>
      </c>
      <c r="B2588" s="7" t="n">
        <v>1947</v>
      </c>
      <c r="C2588" s="7" t="s">
        <v>360</v>
      </c>
      <c r="D2588" s="7" t="n">
        <v>89</v>
      </c>
      <c r="E2588" s="7" t="n">
        <v>65</v>
      </c>
      <c r="F2588" s="7"/>
      <c r="G2588" s="7"/>
      <c r="H2588" s="7" t="s">
        <v>546</v>
      </c>
      <c r="I2588" s="7" t="s">
        <v>546</v>
      </c>
      <c r="J2588" s="21" t="n">
        <f aca="false">D2588/(D2588+E2588)</f>
        <v>0.577922077922078</v>
      </c>
      <c r="K2588" s="3" t="n">
        <f aca="false">IF(D2588&gt;E2588,1,0)</f>
        <v>1</v>
      </c>
      <c r="L2588" s="3" t="n">
        <f aca="false">IF(OR(F2588="Y",G2588="Y",H2588="Y"),1,0)</f>
        <v>0</v>
      </c>
      <c r="M2588" s="3" t="n">
        <f aca="false">IF(H2588="Y",1,0)</f>
        <v>0</v>
      </c>
      <c r="N2588" s="3" t="n">
        <f aca="false">IF(I2588="Y",1,0)</f>
        <v>0</v>
      </c>
    </row>
    <row r="2589" customFormat="false" ht="15" hidden="false" customHeight="true" outlineLevel="0" collapsed="false">
      <c r="A2589" s="7" t="s">
        <v>59</v>
      </c>
      <c r="B2589" s="7" t="n">
        <v>1948</v>
      </c>
      <c r="C2589" s="7" t="s">
        <v>360</v>
      </c>
      <c r="D2589" s="7" t="n">
        <v>85</v>
      </c>
      <c r="E2589" s="7" t="n">
        <v>69</v>
      </c>
      <c r="F2589" s="7"/>
      <c r="G2589" s="7"/>
      <c r="H2589" s="7" t="s">
        <v>546</v>
      </c>
      <c r="I2589" s="7" t="s">
        <v>546</v>
      </c>
      <c r="J2589" s="21" t="n">
        <f aca="false">D2589/(D2589+E2589)</f>
        <v>0.551948051948052</v>
      </c>
      <c r="K2589" s="3" t="n">
        <f aca="false">IF(D2589&gt;E2589,1,0)</f>
        <v>1</v>
      </c>
      <c r="L2589" s="3" t="n">
        <f aca="false">IF(OR(F2589="Y",G2589="Y",H2589="Y"),1,0)</f>
        <v>0</v>
      </c>
      <c r="M2589" s="3" t="n">
        <f aca="false">IF(H2589="Y",1,0)</f>
        <v>0</v>
      </c>
      <c r="N2589" s="3" t="n">
        <f aca="false">IF(I2589="Y",1,0)</f>
        <v>0</v>
      </c>
    </row>
    <row r="2590" customFormat="false" ht="15" hidden="false" customHeight="true" outlineLevel="0" collapsed="false">
      <c r="A2590" s="7" t="s">
        <v>59</v>
      </c>
      <c r="B2590" s="7" t="n">
        <v>1949</v>
      </c>
      <c r="C2590" s="7" t="s">
        <v>360</v>
      </c>
      <c r="D2590" s="7" t="n">
        <v>96</v>
      </c>
      <c r="E2590" s="7" t="n">
        <v>58</v>
      </c>
      <c r="F2590" s="7"/>
      <c r="G2590" s="7"/>
      <c r="H2590" s="7" t="s">
        <v>546</v>
      </c>
      <c r="I2590" s="7" t="s">
        <v>546</v>
      </c>
      <c r="J2590" s="21" t="n">
        <f aca="false">D2590/(D2590+E2590)</f>
        <v>0.623376623376623</v>
      </c>
      <c r="K2590" s="3" t="n">
        <f aca="false">IF(D2590&gt;E2590,1,0)</f>
        <v>1</v>
      </c>
      <c r="L2590" s="3" t="n">
        <f aca="false">IF(OR(F2590="Y",G2590="Y",H2590="Y"),1,0)</f>
        <v>0</v>
      </c>
      <c r="M2590" s="3" t="n">
        <f aca="false">IF(H2590="Y",1,0)</f>
        <v>0</v>
      </c>
      <c r="N2590" s="3" t="n">
        <f aca="false">IF(I2590="Y",1,0)</f>
        <v>0</v>
      </c>
    </row>
    <row r="2591" customFormat="false" ht="15" hidden="false" customHeight="true" outlineLevel="0" collapsed="false">
      <c r="A2591" s="7" t="s">
        <v>59</v>
      </c>
      <c r="B2591" s="7" t="n">
        <v>1950</v>
      </c>
      <c r="C2591" s="7" t="s">
        <v>360</v>
      </c>
      <c r="D2591" s="7" t="n">
        <v>78</v>
      </c>
      <c r="E2591" s="7" t="n">
        <v>75</v>
      </c>
      <c r="F2591" s="7"/>
      <c r="G2591" s="7"/>
      <c r="H2591" s="7" t="s">
        <v>546</v>
      </c>
      <c r="I2591" s="7" t="s">
        <v>546</v>
      </c>
      <c r="J2591" s="21" t="n">
        <f aca="false">D2591/(D2591+E2591)</f>
        <v>0.509803921568627</v>
      </c>
      <c r="K2591" s="3" t="n">
        <f aca="false">IF(D2591&gt;E2591,1,0)</f>
        <v>1</v>
      </c>
      <c r="L2591" s="3" t="n">
        <f aca="false">IF(OR(F2591="Y",G2591="Y",H2591="Y"),1,0)</f>
        <v>0</v>
      </c>
      <c r="M2591" s="3" t="n">
        <f aca="false">IF(H2591="Y",1,0)</f>
        <v>0</v>
      </c>
      <c r="N2591" s="3" t="n">
        <f aca="false">IF(I2591="Y",1,0)</f>
        <v>0</v>
      </c>
    </row>
    <row r="2592" customFormat="false" ht="15" hidden="false" customHeight="true" outlineLevel="0" collapsed="false">
      <c r="A2592" s="7" t="s">
        <v>59</v>
      </c>
      <c r="B2592" s="7" t="n">
        <v>1951</v>
      </c>
      <c r="C2592" s="7" t="s">
        <v>360</v>
      </c>
      <c r="D2592" s="7" t="n">
        <v>81</v>
      </c>
      <c r="E2592" s="7" t="n">
        <v>73</v>
      </c>
      <c r="F2592" s="7"/>
      <c r="G2592" s="7"/>
      <c r="H2592" s="7" t="s">
        <v>546</v>
      </c>
      <c r="I2592" s="7" t="s">
        <v>546</v>
      </c>
      <c r="J2592" s="21" t="n">
        <f aca="false">D2592/(D2592+E2592)</f>
        <v>0.525974025974026</v>
      </c>
      <c r="K2592" s="3" t="n">
        <f aca="false">IF(D2592&gt;E2592,1,0)</f>
        <v>1</v>
      </c>
      <c r="L2592" s="3" t="n">
        <f aca="false">IF(OR(F2592="Y",G2592="Y",H2592="Y"),1,0)</f>
        <v>0</v>
      </c>
      <c r="M2592" s="3" t="n">
        <f aca="false">IF(H2592="Y",1,0)</f>
        <v>0</v>
      </c>
      <c r="N2592" s="3" t="n">
        <f aca="false">IF(I2592="Y",1,0)</f>
        <v>0</v>
      </c>
    </row>
    <row r="2593" customFormat="false" ht="15" hidden="false" customHeight="true" outlineLevel="0" collapsed="false">
      <c r="A2593" s="7" t="s">
        <v>59</v>
      </c>
      <c r="B2593" s="7" t="n">
        <v>1952</v>
      </c>
      <c r="C2593" s="7" t="s">
        <v>360</v>
      </c>
      <c r="D2593" s="7" t="n">
        <v>88</v>
      </c>
      <c r="E2593" s="7" t="n">
        <v>66</v>
      </c>
      <c r="F2593" s="7"/>
      <c r="G2593" s="7"/>
      <c r="H2593" s="7" t="s">
        <v>546</v>
      </c>
      <c r="I2593" s="7" t="s">
        <v>546</v>
      </c>
      <c r="J2593" s="21" t="n">
        <f aca="false">D2593/(D2593+E2593)</f>
        <v>0.571428571428571</v>
      </c>
      <c r="K2593" s="3" t="n">
        <f aca="false">IF(D2593&gt;E2593,1,0)</f>
        <v>1</v>
      </c>
      <c r="L2593" s="3" t="n">
        <f aca="false">IF(OR(F2593="Y",G2593="Y",H2593="Y"),1,0)</f>
        <v>0</v>
      </c>
      <c r="M2593" s="3" t="n">
        <f aca="false">IF(H2593="Y",1,0)</f>
        <v>0</v>
      </c>
      <c r="N2593" s="3" t="n">
        <f aca="false">IF(I2593="Y",1,0)</f>
        <v>0</v>
      </c>
    </row>
    <row r="2594" customFormat="false" ht="15" hidden="false" customHeight="true" outlineLevel="0" collapsed="false">
      <c r="A2594" s="7" t="s">
        <v>59</v>
      </c>
      <c r="B2594" s="7" t="n">
        <v>1953</v>
      </c>
      <c r="C2594" s="7" t="s">
        <v>360</v>
      </c>
      <c r="D2594" s="7" t="n">
        <v>83</v>
      </c>
      <c r="E2594" s="7" t="n">
        <v>71</v>
      </c>
      <c r="F2594" s="7"/>
      <c r="G2594" s="7"/>
      <c r="H2594" s="7" t="s">
        <v>546</v>
      </c>
      <c r="I2594" s="7" t="s">
        <v>546</v>
      </c>
      <c r="J2594" s="21" t="n">
        <f aca="false">D2594/(D2594+E2594)</f>
        <v>0.538961038961039</v>
      </c>
      <c r="K2594" s="3" t="n">
        <f aca="false">IF(D2594&gt;E2594,1,0)</f>
        <v>1</v>
      </c>
      <c r="L2594" s="3" t="n">
        <f aca="false">IF(OR(F2594="Y",G2594="Y",H2594="Y"),1,0)</f>
        <v>0</v>
      </c>
      <c r="M2594" s="3" t="n">
        <f aca="false">IF(H2594="Y",1,0)</f>
        <v>0</v>
      </c>
      <c r="N2594" s="3" t="n">
        <f aca="false">IF(I2594="Y",1,0)</f>
        <v>0</v>
      </c>
    </row>
    <row r="2595" customFormat="false" ht="15" hidden="false" customHeight="true" outlineLevel="0" collapsed="false">
      <c r="A2595" s="7" t="s">
        <v>59</v>
      </c>
      <c r="B2595" s="7" t="n">
        <v>1954</v>
      </c>
      <c r="C2595" s="7" t="s">
        <v>360</v>
      </c>
      <c r="D2595" s="7" t="n">
        <v>72</v>
      </c>
      <c r="E2595" s="7" t="n">
        <v>82</v>
      </c>
      <c r="F2595" s="7"/>
      <c r="G2595" s="7"/>
      <c r="H2595" s="7" t="s">
        <v>546</v>
      </c>
      <c r="I2595" s="7" t="s">
        <v>546</v>
      </c>
      <c r="J2595" s="21" t="n">
        <f aca="false">D2595/(D2595+E2595)</f>
        <v>0.467532467532468</v>
      </c>
      <c r="K2595" s="3" t="n">
        <f aca="false">IF(D2595&gt;E2595,1,0)</f>
        <v>0</v>
      </c>
      <c r="L2595" s="3" t="n">
        <f aca="false">IF(OR(F2595="Y",G2595="Y",H2595="Y"),1,0)</f>
        <v>0</v>
      </c>
      <c r="M2595" s="3" t="n">
        <f aca="false">IF(H2595="Y",1,0)</f>
        <v>0</v>
      </c>
      <c r="N2595" s="3" t="n">
        <f aca="false">IF(I2595="Y",1,0)</f>
        <v>0</v>
      </c>
    </row>
    <row r="2596" customFormat="false" ht="15" hidden="false" customHeight="true" outlineLevel="0" collapsed="false">
      <c r="A2596" s="7" t="s">
        <v>59</v>
      </c>
      <c r="B2596" s="7" t="n">
        <v>1955</v>
      </c>
      <c r="C2596" s="7" t="s">
        <v>360</v>
      </c>
      <c r="D2596" s="7" t="n">
        <v>68</v>
      </c>
      <c r="E2596" s="7" t="n">
        <v>86</v>
      </c>
      <c r="F2596" s="7"/>
      <c r="G2596" s="7"/>
      <c r="H2596" s="7" t="s">
        <v>546</v>
      </c>
      <c r="I2596" s="7" t="s">
        <v>546</v>
      </c>
      <c r="J2596" s="21" t="n">
        <f aca="false">D2596/(D2596+E2596)</f>
        <v>0.441558441558442</v>
      </c>
      <c r="K2596" s="3" t="n">
        <f aca="false">IF(D2596&gt;E2596,1,0)</f>
        <v>0</v>
      </c>
      <c r="L2596" s="3" t="n">
        <f aca="false">IF(OR(F2596="Y",G2596="Y",H2596="Y"),1,0)</f>
        <v>0</v>
      </c>
      <c r="M2596" s="3" t="n">
        <f aca="false">IF(H2596="Y",1,0)</f>
        <v>0</v>
      </c>
      <c r="N2596" s="3" t="n">
        <f aca="false">IF(I2596="Y",1,0)</f>
        <v>0</v>
      </c>
    </row>
    <row r="2597" customFormat="false" ht="15" hidden="false" customHeight="true" outlineLevel="0" collapsed="false">
      <c r="A2597" s="7" t="s">
        <v>59</v>
      </c>
      <c r="B2597" s="7" t="n">
        <v>1956</v>
      </c>
      <c r="C2597" s="7" t="s">
        <v>360</v>
      </c>
      <c r="D2597" s="7" t="n">
        <v>76</v>
      </c>
      <c r="E2597" s="7" t="n">
        <v>78</v>
      </c>
      <c r="F2597" s="7"/>
      <c r="G2597" s="7"/>
      <c r="H2597" s="7" t="s">
        <v>546</v>
      </c>
      <c r="I2597" s="7" t="s">
        <v>546</v>
      </c>
      <c r="J2597" s="21" t="n">
        <f aca="false">D2597/(D2597+E2597)</f>
        <v>0.493506493506494</v>
      </c>
      <c r="K2597" s="3" t="n">
        <f aca="false">IF(D2597&gt;E2597,1,0)</f>
        <v>0</v>
      </c>
      <c r="L2597" s="3" t="n">
        <f aca="false">IF(OR(F2597="Y",G2597="Y",H2597="Y"),1,0)</f>
        <v>0</v>
      </c>
      <c r="M2597" s="3" t="n">
        <f aca="false">IF(H2597="Y",1,0)</f>
        <v>0</v>
      </c>
      <c r="N2597" s="3" t="n">
        <f aca="false">IF(I2597="Y",1,0)</f>
        <v>0</v>
      </c>
    </row>
    <row r="2598" customFormat="false" ht="15" hidden="false" customHeight="true" outlineLevel="0" collapsed="false">
      <c r="A2598" s="7" t="s">
        <v>59</v>
      </c>
      <c r="B2598" s="7" t="n">
        <v>1957</v>
      </c>
      <c r="C2598" s="7" t="s">
        <v>360</v>
      </c>
      <c r="D2598" s="7" t="n">
        <v>87</v>
      </c>
      <c r="E2598" s="7" t="n">
        <v>67</v>
      </c>
      <c r="F2598" s="7"/>
      <c r="G2598" s="7"/>
      <c r="H2598" s="7" t="s">
        <v>546</v>
      </c>
      <c r="I2598" s="7" t="s">
        <v>546</v>
      </c>
      <c r="J2598" s="21" t="n">
        <f aca="false">D2598/(D2598+E2598)</f>
        <v>0.564935064935065</v>
      </c>
      <c r="K2598" s="3" t="n">
        <f aca="false">IF(D2598&gt;E2598,1,0)</f>
        <v>1</v>
      </c>
      <c r="L2598" s="3" t="n">
        <f aca="false">IF(OR(F2598="Y",G2598="Y",H2598="Y"),1,0)</f>
        <v>0</v>
      </c>
      <c r="M2598" s="3" t="n">
        <f aca="false">IF(H2598="Y",1,0)</f>
        <v>0</v>
      </c>
      <c r="N2598" s="3" t="n">
        <f aca="false">IF(I2598="Y",1,0)</f>
        <v>0</v>
      </c>
    </row>
    <row r="2599" customFormat="false" ht="15" hidden="false" customHeight="true" outlineLevel="0" collapsed="false">
      <c r="A2599" s="7" t="s">
        <v>59</v>
      </c>
      <c r="B2599" s="7" t="n">
        <v>1958</v>
      </c>
      <c r="C2599" s="7" t="s">
        <v>360</v>
      </c>
      <c r="D2599" s="7" t="n">
        <v>72</v>
      </c>
      <c r="E2599" s="7" t="n">
        <v>82</v>
      </c>
      <c r="F2599" s="7"/>
      <c r="G2599" s="7"/>
      <c r="H2599" s="7" t="s">
        <v>546</v>
      </c>
      <c r="I2599" s="7" t="s">
        <v>546</v>
      </c>
      <c r="J2599" s="21" t="n">
        <f aca="false">D2599/(D2599+E2599)</f>
        <v>0.467532467532468</v>
      </c>
      <c r="K2599" s="3" t="n">
        <f aca="false">IF(D2599&gt;E2599,1,0)</f>
        <v>0</v>
      </c>
      <c r="L2599" s="3" t="n">
        <f aca="false">IF(OR(F2599="Y",G2599="Y",H2599="Y"),1,0)</f>
        <v>0</v>
      </c>
      <c r="M2599" s="3" t="n">
        <f aca="false">IF(H2599="Y",1,0)</f>
        <v>0</v>
      </c>
      <c r="N2599" s="3" t="n">
        <f aca="false">IF(I2599="Y",1,0)</f>
        <v>0</v>
      </c>
    </row>
    <row r="2600" customFormat="false" ht="15" hidden="false" customHeight="true" outlineLevel="0" collapsed="false">
      <c r="A2600" s="7" t="s">
        <v>59</v>
      </c>
      <c r="B2600" s="7" t="n">
        <v>1959</v>
      </c>
      <c r="C2600" s="7" t="s">
        <v>360</v>
      </c>
      <c r="D2600" s="7" t="n">
        <v>71</v>
      </c>
      <c r="E2600" s="7" t="n">
        <v>83</v>
      </c>
      <c r="F2600" s="7"/>
      <c r="G2600" s="7"/>
      <c r="H2600" s="7" t="s">
        <v>546</v>
      </c>
      <c r="I2600" s="7" t="s">
        <v>546</v>
      </c>
      <c r="J2600" s="21" t="n">
        <f aca="false">D2600/(D2600+E2600)</f>
        <v>0.461038961038961</v>
      </c>
      <c r="K2600" s="3" t="n">
        <f aca="false">IF(D2600&gt;E2600,1,0)</f>
        <v>0</v>
      </c>
      <c r="L2600" s="3" t="n">
        <f aca="false">IF(OR(F2600="Y",G2600="Y",H2600="Y"),1,0)</f>
        <v>0</v>
      </c>
      <c r="M2600" s="3" t="n">
        <f aca="false">IF(H2600="Y",1,0)</f>
        <v>0</v>
      </c>
      <c r="N2600" s="3" t="n">
        <f aca="false">IF(I2600="Y",1,0)</f>
        <v>0</v>
      </c>
    </row>
    <row r="2601" customFormat="false" ht="15" hidden="false" customHeight="true" outlineLevel="0" collapsed="false">
      <c r="A2601" s="7" t="s">
        <v>59</v>
      </c>
      <c r="B2601" s="7" t="n">
        <v>1960</v>
      </c>
      <c r="C2601" s="7" t="s">
        <v>360</v>
      </c>
      <c r="D2601" s="7" t="n">
        <v>86</v>
      </c>
      <c r="E2601" s="7" t="n">
        <v>68</v>
      </c>
      <c r="F2601" s="7"/>
      <c r="G2601" s="7"/>
      <c r="H2601" s="7" t="s">
        <v>546</v>
      </c>
      <c r="I2601" s="7" t="s">
        <v>546</v>
      </c>
      <c r="J2601" s="21" t="n">
        <f aca="false">D2601/(D2601+E2601)</f>
        <v>0.558441558441558</v>
      </c>
      <c r="K2601" s="3" t="n">
        <f aca="false">IF(D2601&gt;E2601,1,0)</f>
        <v>1</v>
      </c>
      <c r="L2601" s="3" t="n">
        <f aca="false">IF(OR(F2601="Y",G2601="Y",H2601="Y"),1,0)</f>
        <v>0</v>
      </c>
      <c r="M2601" s="3" t="n">
        <f aca="false">IF(H2601="Y",1,0)</f>
        <v>0</v>
      </c>
      <c r="N2601" s="3" t="n">
        <f aca="false">IF(I2601="Y",1,0)</f>
        <v>0</v>
      </c>
    </row>
    <row r="2602" customFormat="false" ht="15" hidden="false" customHeight="true" outlineLevel="0" collapsed="false">
      <c r="A2602" s="7" t="s">
        <v>59</v>
      </c>
      <c r="B2602" s="7" t="n">
        <v>1961</v>
      </c>
      <c r="C2602" s="7" t="s">
        <v>360</v>
      </c>
      <c r="D2602" s="7" t="n">
        <v>80</v>
      </c>
      <c r="E2602" s="7" t="n">
        <v>74</v>
      </c>
      <c r="F2602" s="7"/>
      <c r="G2602" s="7"/>
      <c r="H2602" s="7" t="s">
        <v>546</v>
      </c>
      <c r="I2602" s="7" t="s">
        <v>546</v>
      </c>
      <c r="J2602" s="21" t="n">
        <f aca="false">D2602/(D2602+E2602)</f>
        <v>0.519480519480519</v>
      </c>
      <c r="K2602" s="3" t="n">
        <f aca="false">IF(D2602&gt;E2602,1,0)</f>
        <v>1</v>
      </c>
      <c r="L2602" s="3" t="n">
        <f aca="false">IF(OR(F2602="Y",G2602="Y",H2602="Y"),1,0)</f>
        <v>0</v>
      </c>
      <c r="M2602" s="3" t="n">
        <f aca="false">IF(H2602="Y",1,0)</f>
        <v>0</v>
      </c>
      <c r="N2602" s="3" t="n">
        <f aca="false">IF(I2602="Y",1,0)</f>
        <v>0</v>
      </c>
    </row>
    <row r="2603" customFormat="false" ht="15" hidden="false" customHeight="true" outlineLevel="0" collapsed="false">
      <c r="A2603" s="7" t="s">
        <v>59</v>
      </c>
      <c r="B2603" s="7" t="n">
        <v>1962</v>
      </c>
      <c r="C2603" s="7" t="s">
        <v>360</v>
      </c>
      <c r="D2603" s="7" t="n">
        <v>84</v>
      </c>
      <c r="E2603" s="7" t="n">
        <v>78</v>
      </c>
      <c r="F2603" s="7"/>
      <c r="G2603" s="7"/>
      <c r="H2603" s="7" t="s">
        <v>546</v>
      </c>
      <c r="I2603" s="7" t="s">
        <v>546</v>
      </c>
      <c r="J2603" s="21" t="n">
        <f aca="false">D2603/(D2603+E2603)</f>
        <v>0.518518518518519</v>
      </c>
      <c r="K2603" s="3" t="n">
        <f aca="false">IF(D2603&gt;E2603,1,0)</f>
        <v>1</v>
      </c>
      <c r="L2603" s="3" t="n">
        <f aca="false">IF(OR(F2603="Y",G2603="Y",H2603="Y"),1,0)</f>
        <v>0</v>
      </c>
      <c r="M2603" s="3" t="n">
        <f aca="false">IF(H2603="Y",1,0)</f>
        <v>0</v>
      </c>
      <c r="N2603" s="3" t="n">
        <f aca="false">IF(I2603="Y",1,0)</f>
        <v>0</v>
      </c>
    </row>
    <row r="2604" customFormat="false" ht="15" hidden="false" customHeight="true" outlineLevel="0" collapsed="false">
      <c r="A2604" s="7" t="s">
        <v>59</v>
      </c>
      <c r="B2604" s="7" t="n">
        <v>1963</v>
      </c>
      <c r="C2604" s="7" t="s">
        <v>360</v>
      </c>
      <c r="D2604" s="7" t="n">
        <v>93</v>
      </c>
      <c r="E2604" s="7" t="n">
        <v>69</v>
      </c>
      <c r="F2604" s="7"/>
      <c r="G2604" s="7"/>
      <c r="H2604" s="7" t="s">
        <v>546</v>
      </c>
      <c r="I2604" s="7" t="s">
        <v>546</v>
      </c>
      <c r="J2604" s="21" t="n">
        <f aca="false">D2604/(D2604+E2604)</f>
        <v>0.574074074074074</v>
      </c>
      <c r="K2604" s="3" t="n">
        <f aca="false">IF(D2604&gt;E2604,1,0)</f>
        <v>1</v>
      </c>
      <c r="L2604" s="3" t="n">
        <f aca="false">IF(OR(F2604="Y",G2604="Y",H2604="Y"),1,0)</f>
        <v>0</v>
      </c>
      <c r="M2604" s="3" t="n">
        <f aca="false">IF(H2604="Y",1,0)</f>
        <v>0</v>
      </c>
      <c r="N2604" s="3" t="n">
        <f aca="false">IF(I2604="Y",1,0)</f>
        <v>0</v>
      </c>
    </row>
    <row r="2605" customFormat="false" ht="15" hidden="false" customHeight="true" outlineLevel="0" collapsed="false">
      <c r="A2605" s="7" t="s">
        <v>59</v>
      </c>
      <c r="B2605" s="7" t="n">
        <v>1964</v>
      </c>
      <c r="C2605" s="7" t="s">
        <v>360</v>
      </c>
      <c r="D2605" s="7" t="n">
        <v>93</v>
      </c>
      <c r="E2605" s="7" t="n">
        <v>69</v>
      </c>
      <c r="F2605" s="7"/>
      <c r="G2605" s="7"/>
      <c r="H2605" s="7" t="s">
        <v>548</v>
      </c>
      <c r="I2605" s="7" t="s">
        <v>548</v>
      </c>
      <c r="J2605" s="21" t="n">
        <f aca="false">D2605/(D2605+E2605)</f>
        <v>0.574074074074074</v>
      </c>
      <c r="K2605" s="3" t="n">
        <f aca="false">IF(D2605&gt;E2605,1,0)</f>
        <v>1</v>
      </c>
      <c r="L2605" s="3" t="n">
        <f aca="false">IF(OR(F2605="Y",G2605="Y",H2605="Y"),1,0)</f>
        <v>1</v>
      </c>
      <c r="M2605" s="3" t="n">
        <f aca="false">IF(H2605="Y",1,0)</f>
        <v>1</v>
      </c>
      <c r="N2605" s="3" t="n">
        <f aca="false">IF(I2605="Y",1,0)</f>
        <v>1</v>
      </c>
    </row>
    <row r="2606" customFormat="false" ht="15" hidden="false" customHeight="true" outlineLevel="0" collapsed="false">
      <c r="A2606" s="7" t="s">
        <v>59</v>
      </c>
      <c r="B2606" s="7" t="n">
        <v>1965</v>
      </c>
      <c r="C2606" s="7" t="s">
        <v>360</v>
      </c>
      <c r="D2606" s="7" t="n">
        <v>80</v>
      </c>
      <c r="E2606" s="7" t="n">
        <v>81</v>
      </c>
      <c r="F2606" s="7"/>
      <c r="G2606" s="7"/>
      <c r="H2606" s="7" t="s">
        <v>546</v>
      </c>
      <c r="I2606" s="7" t="s">
        <v>546</v>
      </c>
      <c r="J2606" s="21" t="n">
        <f aca="false">D2606/(D2606+E2606)</f>
        <v>0.496894409937888</v>
      </c>
      <c r="K2606" s="3" t="n">
        <f aca="false">IF(D2606&gt;E2606,1,0)</f>
        <v>0</v>
      </c>
      <c r="L2606" s="3" t="n">
        <f aca="false">IF(OR(F2606="Y",G2606="Y",H2606="Y"),1,0)</f>
        <v>0</v>
      </c>
      <c r="M2606" s="3" t="n">
        <f aca="false">IF(H2606="Y",1,0)</f>
        <v>0</v>
      </c>
      <c r="N2606" s="3" t="n">
        <f aca="false">IF(I2606="Y",1,0)</f>
        <v>0</v>
      </c>
    </row>
    <row r="2607" customFormat="false" ht="15" hidden="false" customHeight="true" outlineLevel="0" collapsed="false">
      <c r="A2607" s="7" t="s">
        <v>59</v>
      </c>
      <c r="B2607" s="7" t="n">
        <v>1966</v>
      </c>
      <c r="C2607" s="7" t="s">
        <v>360</v>
      </c>
      <c r="D2607" s="7" t="n">
        <v>83</v>
      </c>
      <c r="E2607" s="7" t="n">
        <v>79</v>
      </c>
      <c r="F2607" s="7"/>
      <c r="G2607" s="7"/>
      <c r="H2607" s="7" t="s">
        <v>546</v>
      </c>
      <c r="I2607" s="7" t="s">
        <v>546</v>
      </c>
      <c r="J2607" s="21" t="n">
        <f aca="false">D2607/(D2607+E2607)</f>
        <v>0.512345679012346</v>
      </c>
      <c r="K2607" s="3" t="n">
        <f aca="false">IF(D2607&gt;E2607,1,0)</f>
        <v>1</v>
      </c>
      <c r="L2607" s="3" t="n">
        <f aca="false">IF(OR(F2607="Y",G2607="Y",H2607="Y"),1,0)</f>
        <v>0</v>
      </c>
      <c r="M2607" s="3" t="n">
        <f aca="false">IF(H2607="Y",1,0)</f>
        <v>0</v>
      </c>
      <c r="N2607" s="3" t="n">
        <f aca="false">IF(I2607="Y",1,0)</f>
        <v>0</v>
      </c>
    </row>
    <row r="2608" customFormat="false" ht="15" hidden="false" customHeight="true" outlineLevel="0" collapsed="false">
      <c r="A2608" s="7" t="s">
        <v>59</v>
      </c>
      <c r="B2608" s="7" t="n">
        <v>1967</v>
      </c>
      <c r="C2608" s="7" t="s">
        <v>360</v>
      </c>
      <c r="D2608" s="7" t="n">
        <v>101</v>
      </c>
      <c r="E2608" s="7" t="n">
        <v>60</v>
      </c>
      <c r="F2608" s="7"/>
      <c r="G2608" s="7"/>
      <c r="H2608" s="7" t="s">
        <v>548</v>
      </c>
      <c r="I2608" s="7" t="s">
        <v>548</v>
      </c>
      <c r="J2608" s="21" t="n">
        <f aca="false">D2608/(D2608+E2608)</f>
        <v>0.627329192546584</v>
      </c>
      <c r="K2608" s="3" t="n">
        <f aca="false">IF(D2608&gt;E2608,1,0)</f>
        <v>1</v>
      </c>
      <c r="L2608" s="3" t="n">
        <f aca="false">IF(OR(F2608="Y",G2608="Y",H2608="Y"),1,0)</f>
        <v>1</v>
      </c>
      <c r="M2608" s="3" t="n">
        <f aca="false">IF(H2608="Y",1,0)</f>
        <v>1</v>
      </c>
      <c r="N2608" s="3" t="n">
        <f aca="false">IF(I2608="Y",1,0)</f>
        <v>1</v>
      </c>
    </row>
    <row r="2609" customFormat="false" ht="15" hidden="false" customHeight="true" outlineLevel="0" collapsed="false">
      <c r="A2609" s="7" t="s">
        <v>59</v>
      </c>
      <c r="B2609" s="7" t="n">
        <v>1968</v>
      </c>
      <c r="C2609" s="7" t="s">
        <v>360</v>
      </c>
      <c r="D2609" s="7" t="n">
        <v>97</v>
      </c>
      <c r="E2609" s="7" t="n">
        <v>65</v>
      </c>
      <c r="F2609" s="7"/>
      <c r="G2609" s="7"/>
      <c r="H2609" s="7" t="s">
        <v>548</v>
      </c>
      <c r="I2609" s="7" t="s">
        <v>546</v>
      </c>
      <c r="J2609" s="21" t="n">
        <f aca="false">D2609/(D2609+E2609)</f>
        <v>0.598765432098765</v>
      </c>
      <c r="K2609" s="3" t="n">
        <f aca="false">IF(D2609&gt;E2609,1,0)</f>
        <v>1</v>
      </c>
      <c r="L2609" s="3" t="n">
        <f aca="false">IF(OR(F2609="Y",G2609="Y",H2609="Y"),1,0)</f>
        <v>1</v>
      </c>
      <c r="M2609" s="3" t="n">
        <f aca="false">IF(H2609="Y",1,0)</f>
        <v>1</v>
      </c>
      <c r="N2609" s="3" t="n">
        <f aca="false">IF(I2609="Y",1,0)</f>
        <v>0</v>
      </c>
    </row>
    <row r="2610" customFormat="false" ht="15" hidden="false" customHeight="true" outlineLevel="0" collapsed="false">
      <c r="A2610" s="7" t="s">
        <v>59</v>
      </c>
      <c r="B2610" s="7" t="n">
        <v>1969</v>
      </c>
      <c r="C2610" s="7" t="s">
        <v>360</v>
      </c>
      <c r="D2610" s="7" t="n">
        <v>87</v>
      </c>
      <c r="E2610" s="7" t="n">
        <v>75</v>
      </c>
      <c r="F2610" s="7" t="s">
        <v>546</v>
      </c>
      <c r="G2610" s="7"/>
      <c r="H2610" s="7" t="s">
        <v>546</v>
      </c>
      <c r="I2610" s="7" t="s">
        <v>546</v>
      </c>
      <c r="J2610" s="21" t="n">
        <f aca="false">D2610/(D2610+E2610)</f>
        <v>0.537037037037037</v>
      </c>
      <c r="K2610" s="3" t="n">
        <f aca="false">IF(D2610&gt;E2610,1,0)</f>
        <v>1</v>
      </c>
      <c r="L2610" s="3" t="n">
        <f aca="false">IF(OR(F2610="Y",G2610="Y",H2610="Y"),1,0)</f>
        <v>0</v>
      </c>
      <c r="M2610" s="3" t="n">
        <f aca="false">IF(H2610="Y",1,0)</f>
        <v>0</v>
      </c>
      <c r="N2610" s="3" t="n">
        <f aca="false">IF(I2610="Y",1,0)</f>
        <v>0</v>
      </c>
    </row>
    <row r="2611" customFormat="false" ht="15" hidden="false" customHeight="true" outlineLevel="0" collapsed="false">
      <c r="A2611" s="7" t="s">
        <v>59</v>
      </c>
      <c r="B2611" s="7" t="n">
        <v>1970</v>
      </c>
      <c r="C2611" s="7" t="s">
        <v>360</v>
      </c>
      <c r="D2611" s="7" t="n">
        <v>76</v>
      </c>
      <c r="E2611" s="7" t="n">
        <v>86</v>
      </c>
      <c r="F2611" s="7" t="s">
        <v>546</v>
      </c>
      <c r="G2611" s="7"/>
      <c r="H2611" s="7" t="s">
        <v>546</v>
      </c>
      <c r="I2611" s="7" t="s">
        <v>546</v>
      </c>
      <c r="J2611" s="21" t="n">
        <f aca="false">D2611/(D2611+E2611)</f>
        <v>0.469135802469136</v>
      </c>
      <c r="K2611" s="3" t="n">
        <f aca="false">IF(D2611&gt;E2611,1,0)</f>
        <v>0</v>
      </c>
      <c r="L2611" s="3" t="n">
        <f aca="false">IF(OR(F2611="Y",G2611="Y",H2611="Y"),1,0)</f>
        <v>0</v>
      </c>
      <c r="M2611" s="3" t="n">
        <f aca="false">IF(H2611="Y",1,0)</f>
        <v>0</v>
      </c>
      <c r="N2611" s="3" t="n">
        <f aca="false">IF(I2611="Y",1,0)</f>
        <v>0</v>
      </c>
    </row>
    <row r="2612" customFormat="false" ht="15" hidden="false" customHeight="true" outlineLevel="0" collapsed="false">
      <c r="A2612" s="7" t="s">
        <v>59</v>
      </c>
      <c r="B2612" s="7" t="n">
        <v>1971</v>
      </c>
      <c r="C2612" s="7" t="s">
        <v>360</v>
      </c>
      <c r="D2612" s="7" t="n">
        <v>90</v>
      </c>
      <c r="E2612" s="7" t="n">
        <v>72</v>
      </c>
      <c r="F2612" s="7" t="s">
        <v>546</v>
      </c>
      <c r="G2612" s="7"/>
      <c r="H2612" s="7" t="s">
        <v>546</v>
      </c>
      <c r="I2612" s="7" t="s">
        <v>546</v>
      </c>
      <c r="J2612" s="21" t="n">
        <f aca="false">D2612/(D2612+E2612)</f>
        <v>0.555555555555556</v>
      </c>
      <c r="K2612" s="3" t="n">
        <f aca="false">IF(D2612&gt;E2612,1,0)</f>
        <v>1</v>
      </c>
      <c r="L2612" s="3" t="n">
        <f aca="false">IF(OR(F2612="Y",G2612="Y",H2612="Y"),1,0)</f>
        <v>0</v>
      </c>
      <c r="M2612" s="3" t="n">
        <f aca="false">IF(H2612="Y",1,0)</f>
        <v>0</v>
      </c>
      <c r="N2612" s="3" t="n">
        <f aca="false">IF(I2612="Y",1,0)</f>
        <v>0</v>
      </c>
    </row>
    <row r="2613" customFormat="false" ht="15" hidden="false" customHeight="true" outlineLevel="0" collapsed="false">
      <c r="A2613" s="7" t="s">
        <v>59</v>
      </c>
      <c r="B2613" s="7" t="n">
        <v>1972</v>
      </c>
      <c r="C2613" s="7" t="s">
        <v>360</v>
      </c>
      <c r="D2613" s="7" t="n">
        <v>75</v>
      </c>
      <c r="E2613" s="7" t="n">
        <v>81</v>
      </c>
      <c r="F2613" s="7" t="s">
        <v>546</v>
      </c>
      <c r="G2613" s="7"/>
      <c r="H2613" s="7" t="s">
        <v>546</v>
      </c>
      <c r="I2613" s="7" t="s">
        <v>546</v>
      </c>
      <c r="J2613" s="21" t="n">
        <f aca="false">D2613/(D2613+E2613)</f>
        <v>0.480769230769231</v>
      </c>
      <c r="K2613" s="3" t="n">
        <f aca="false">IF(D2613&gt;E2613,1,0)</f>
        <v>0</v>
      </c>
      <c r="L2613" s="3" t="n">
        <f aca="false">IF(OR(F2613="Y",G2613="Y",H2613="Y"),1,0)</f>
        <v>0</v>
      </c>
      <c r="M2613" s="3" t="n">
        <f aca="false">IF(H2613="Y",1,0)</f>
        <v>0</v>
      </c>
      <c r="N2613" s="3" t="n">
        <f aca="false">IF(I2613="Y",1,0)</f>
        <v>0</v>
      </c>
    </row>
    <row r="2614" customFormat="false" ht="15" hidden="false" customHeight="true" outlineLevel="0" collapsed="false">
      <c r="A2614" s="7" t="s">
        <v>59</v>
      </c>
      <c r="B2614" s="7" t="n">
        <v>1973</v>
      </c>
      <c r="C2614" s="7" t="s">
        <v>360</v>
      </c>
      <c r="D2614" s="7" t="n">
        <v>81</v>
      </c>
      <c r="E2614" s="7" t="n">
        <v>81</v>
      </c>
      <c r="F2614" s="7" t="s">
        <v>546</v>
      </c>
      <c r="G2614" s="7"/>
      <c r="H2614" s="7" t="s">
        <v>546</v>
      </c>
      <c r="I2614" s="7" t="s">
        <v>546</v>
      </c>
      <c r="J2614" s="21" t="n">
        <f aca="false">D2614/(D2614+E2614)</f>
        <v>0.5</v>
      </c>
      <c r="K2614" s="3" t="n">
        <f aca="false">IF(D2614&gt;E2614,1,0)</f>
        <v>0</v>
      </c>
      <c r="L2614" s="3" t="n">
        <f aca="false">IF(OR(F2614="Y",G2614="Y",H2614="Y"),1,0)</f>
        <v>0</v>
      </c>
      <c r="M2614" s="3" t="n">
        <f aca="false">IF(H2614="Y",1,0)</f>
        <v>0</v>
      </c>
      <c r="N2614" s="3" t="n">
        <f aca="false">IF(I2614="Y",1,0)</f>
        <v>0</v>
      </c>
    </row>
    <row r="2615" customFormat="false" ht="15" hidden="false" customHeight="true" outlineLevel="0" collapsed="false">
      <c r="A2615" s="7" t="s">
        <v>59</v>
      </c>
      <c r="B2615" s="7" t="n">
        <v>1974</v>
      </c>
      <c r="C2615" s="7" t="s">
        <v>360</v>
      </c>
      <c r="D2615" s="7" t="n">
        <v>86</v>
      </c>
      <c r="E2615" s="7" t="n">
        <v>75</v>
      </c>
      <c r="F2615" s="7" t="s">
        <v>546</v>
      </c>
      <c r="G2615" s="7"/>
      <c r="H2615" s="7" t="s">
        <v>546</v>
      </c>
      <c r="I2615" s="7" t="s">
        <v>546</v>
      </c>
      <c r="J2615" s="21" t="n">
        <f aca="false">D2615/(D2615+E2615)</f>
        <v>0.53416149068323</v>
      </c>
      <c r="K2615" s="3" t="n">
        <f aca="false">IF(D2615&gt;E2615,1,0)</f>
        <v>1</v>
      </c>
      <c r="L2615" s="3" t="n">
        <f aca="false">IF(OR(F2615="Y",G2615="Y",H2615="Y"),1,0)</f>
        <v>0</v>
      </c>
      <c r="M2615" s="3" t="n">
        <f aca="false">IF(H2615="Y",1,0)</f>
        <v>0</v>
      </c>
      <c r="N2615" s="3" t="n">
        <f aca="false">IF(I2615="Y",1,0)</f>
        <v>0</v>
      </c>
    </row>
    <row r="2616" customFormat="false" ht="15" hidden="false" customHeight="true" outlineLevel="0" collapsed="false">
      <c r="A2616" s="7" t="s">
        <v>59</v>
      </c>
      <c r="B2616" s="7" t="n">
        <v>1975</v>
      </c>
      <c r="C2616" s="7" t="s">
        <v>360</v>
      </c>
      <c r="D2616" s="7" t="n">
        <v>82</v>
      </c>
      <c r="E2616" s="7" t="n">
        <v>80</v>
      </c>
      <c r="F2616" s="7" t="s">
        <v>546</v>
      </c>
      <c r="G2616" s="7"/>
      <c r="H2616" s="7" t="s">
        <v>546</v>
      </c>
      <c r="I2616" s="7" t="s">
        <v>546</v>
      </c>
      <c r="J2616" s="21" t="n">
        <f aca="false">D2616/(D2616+E2616)</f>
        <v>0.506172839506173</v>
      </c>
      <c r="K2616" s="3" t="n">
        <f aca="false">IF(D2616&gt;E2616,1,0)</f>
        <v>1</v>
      </c>
      <c r="L2616" s="3" t="n">
        <f aca="false">IF(OR(F2616="Y",G2616="Y",H2616="Y"),1,0)</f>
        <v>0</v>
      </c>
      <c r="M2616" s="3" t="n">
        <f aca="false">IF(H2616="Y",1,0)</f>
        <v>0</v>
      </c>
      <c r="N2616" s="3" t="n">
        <f aca="false">IF(I2616="Y",1,0)</f>
        <v>0</v>
      </c>
    </row>
    <row r="2617" customFormat="false" ht="15" hidden="false" customHeight="true" outlineLevel="0" collapsed="false">
      <c r="A2617" s="7" t="s">
        <v>59</v>
      </c>
      <c r="B2617" s="7" t="n">
        <v>1976</v>
      </c>
      <c r="C2617" s="7" t="s">
        <v>360</v>
      </c>
      <c r="D2617" s="7" t="n">
        <v>72</v>
      </c>
      <c r="E2617" s="7" t="n">
        <v>90</v>
      </c>
      <c r="F2617" s="7" t="s">
        <v>546</v>
      </c>
      <c r="G2617" s="7"/>
      <c r="H2617" s="7" t="s">
        <v>546</v>
      </c>
      <c r="I2617" s="7" t="s">
        <v>546</v>
      </c>
      <c r="J2617" s="21" t="n">
        <f aca="false">D2617/(D2617+E2617)</f>
        <v>0.444444444444444</v>
      </c>
      <c r="K2617" s="3" t="n">
        <f aca="false">IF(D2617&gt;E2617,1,0)</f>
        <v>0</v>
      </c>
      <c r="L2617" s="3" t="n">
        <f aca="false">IF(OR(F2617="Y",G2617="Y",H2617="Y"),1,0)</f>
        <v>0</v>
      </c>
      <c r="M2617" s="3" t="n">
        <f aca="false">IF(H2617="Y",1,0)</f>
        <v>0</v>
      </c>
      <c r="N2617" s="3" t="n">
        <f aca="false">IF(I2617="Y",1,0)</f>
        <v>0</v>
      </c>
    </row>
    <row r="2618" customFormat="false" ht="15" hidden="false" customHeight="true" outlineLevel="0" collapsed="false">
      <c r="A2618" s="7" t="s">
        <v>59</v>
      </c>
      <c r="B2618" s="7" t="n">
        <v>1977</v>
      </c>
      <c r="C2618" s="7" t="s">
        <v>360</v>
      </c>
      <c r="D2618" s="7" t="n">
        <v>83</v>
      </c>
      <c r="E2618" s="7" t="n">
        <v>79</v>
      </c>
      <c r="F2618" s="7" t="s">
        <v>546</v>
      </c>
      <c r="G2618" s="7"/>
      <c r="H2618" s="7" t="s">
        <v>546</v>
      </c>
      <c r="I2618" s="7" t="s">
        <v>546</v>
      </c>
      <c r="J2618" s="21" t="n">
        <f aca="false">D2618/(D2618+E2618)</f>
        <v>0.512345679012346</v>
      </c>
      <c r="K2618" s="3" t="n">
        <f aca="false">IF(D2618&gt;E2618,1,0)</f>
        <v>1</v>
      </c>
      <c r="L2618" s="3" t="n">
        <f aca="false">IF(OR(F2618="Y",G2618="Y",H2618="Y"),1,0)</f>
        <v>0</v>
      </c>
      <c r="M2618" s="3" t="n">
        <f aca="false">IF(H2618="Y",1,0)</f>
        <v>0</v>
      </c>
      <c r="N2618" s="3" t="n">
        <f aca="false">IF(I2618="Y",1,0)</f>
        <v>0</v>
      </c>
    </row>
    <row r="2619" customFormat="false" ht="15" hidden="false" customHeight="true" outlineLevel="0" collapsed="false">
      <c r="A2619" s="7" t="s">
        <v>59</v>
      </c>
      <c r="B2619" s="7" t="n">
        <v>1978</v>
      </c>
      <c r="C2619" s="7" t="s">
        <v>360</v>
      </c>
      <c r="D2619" s="7" t="n">
        <v>69</v>
      </c>
      <c r="E2619" s="7" t="n">
        <v>93</v>
      </c>
      <c r="F2619" s="7" t="s">
        <v>546</v>
      </c>
      <c r="G2619" s="7"/>
      <c r="H2619" s="7" t="s">
        <v>546</v>
      </c>
      <c r="I2619" s="7" t="s">
        <v>546</v>
      </c>
      <c r="J2619" s="21" t="n">
        <f aca="false">D2619/(D2619+E2619)</f>
        <v>0.425925925925926</v>
      </c>
      <c r="K2619" s="3" t="n">
        <f aca="false">IF(D2619&gt;E2619,1,0)</f>
        <v>0</v>
      </c>
      <c r="L2619" s="3" t="n">
        <f aca="false">IF(OR(F2619="Y",G2619="Y",H2619="Y"),1,0)</f>
        <v>0</v>
      </c>
      <c r="M2619" s="3" t="n">
        <f aca="false">IF(H2619="Y",1,0)</f>
        <v>0</v>
      </c>
      <c r="N2619" s="3" t="n">
        <f aca="false">IF(I2619="Y",1,0)</f>
        <v>0</v>
      </c>
    </row>
    <row r="2620" customFormat="false" ht="15" hidden="false" customHeight="true" outlineLevel="0" collapsed="false">
      <c r="A2620" s="7" t="s">
        <v>59</v>
      </c>
      <c r="B2620" s="7" t="n">
        <v>1979</v>
      </c>
      <c r="C2620" s="7" t="s">
        <v>360</v>
      </c>
      <c r="D2620" s="7" t="n">
        <v>86</v>
      </c>
      <c r="E2620" s="7" t="n">
        <v>76</v>
      </c>
      <c r="F2620" s="7" t="s">
        <v>546</v>
      </c>
      <c r="G2620" s="7"/>
      <c r="H2620" s="7" t="s">
        <v>546</v>
      </c>
      <c r="I2620" s="7" t="s">
        <v>546</v>
      </c>
      <c r="J2620" s="21" t="n">
        <f aca="false">D2620/(D2620+E2620)</f>
        <v>0.530864197530864</v>
      </c>
      <c r="K2620" s="3" t="n">
        <f aca="false">IF(D2620&gt;E2620,1,0)</f>
        <v>1</v>
      </c>
      <c r="L2620" s="3" t="n">
        <f aca="false">IF(OR(F2620="Y",G2620="Y",H2620="Y"),1,0)</f>
        <v>0</v>
      </c>
      <c r="M2620" s="3" t="n">
        <f aca="false">IF(H2620="Y",1,0)</f>
        <v>0</v>
      </c>
      <c r="N2620" s="3" t="n">
        <f aca="false">IF(I2620="Y",1,0)</f>
        <v>0</v>
      </c>
    </row>
    <row r="2621" customFormat="false" ht="15" hidden="false" customHeight="true" outlineLevel="0" collapsed="false">
      <c r="A2621" s="7" t="s">
        <v>59</v>
      </c>
      <c r="B2621" s="7" t="n">
        <v>1980</v>
      </c>
      <c r="C2621" s="7" t="s">
        <v>360</v>
      </c>
      <c r="D2621" s="7" t="n">
        <v>74</v>
      </c>
      <c r="E2621" s="7" t="n">
        <v>88</v>
      </c>
      <c r="F2621" s="7" t="s">
        <v>546</v>
      </c>
      <c r="G2621" s="7"/>
      <c r="H2621" s="7" t="s">
        <v>546</v>
      </c>
      <c r="I2621" s="7" t="s">
        <v>546</v>
      </c>
      <c r="J2621" s="21" t="n">
        <f aca="false">D2621/(D2621+E2621)</f>
        <v>0.45679012345679</v>
      </c>
      <c r="K2621" s="3" t="n">
        <f aca="false">IF(D2621&gt;E2621,1,0)</f>
        <v>0</v>
      </c>
      <c r="L2621" s="3" t="n">
        <f aca="false">IF(OR(F2621="Y",G2621="Y",H2621="Y"),1,0)</f>
        <v>0</v>
      </c>
      <c r="M2621" s="3" t="n">
        <f aca="false">IF(H2621="Y",1,0)</f>
        <v>0</v>
      </c>
      <c r="N2621" s="3" t="n">
        <f aca="false">IF(I2621="Y",1,0)</f>
        <v>0</v>
      </c>
    </row>
    <row r="2622" customFormat="false" ht="15" hidden="false" customHeight="true" outlineLevel="0" collapsed="false">
      <c r="A2622" s="7" t="s">
        <v>59</v>
      </c>
      <c r="B2622" s="7" t="n">
        <v>1981</v>
      </c>
      <c r="C2622" s="7" t="s">
        <v>360</v>
      </c>
      <c r="D2622" s="7" t="n">
        <v>59</v>
      </c>
      <c r="E2622" s="7" t="n">
        <v>43</v>
      </c>
      <c r="F2622" s="7" t="s">
        <v>546</v>
      </c>
      <c r="G2622" s="7"/>
      <c r="H2622" s="7" t="s">
        <v>546</v>
      </c>
      <c r="I2622" s="7" t="s">
        <v>546</v>
      </c>
      <c r="J2622" s="21" t="n">
        <f aca="false">D2622/(D2622+E2622)</f>
        <v>0.57843137254902</v>
      </c>
      <c r="K2622" s="3" t="n">
        <f aca="false">IF(D2622&gt;E2622,1,0)</f>
        <v>1</v>
      </c>
      <c r="L2622" s="3" t="n">
        <f aca="false">IF(OR(F2622="Y",G2622="Y",H2622="Y"),1,0)</f>
        <v>0</v>
      </c>
      <c r="M2622" s="3" t="n">
        <f aca="false">IF(H2622="Y",1,0)</f>
        <v>0</v>
      </c>
      <c r="N2622" s="3" t="n">
        <f aca="false">IF(I2622="Y",1,0)</f>
        <v>0</v>
      </c>
    </row>
    <row r="2623" customFormat="false" ht="15" hidden="false" customHeight="true" outlineLevel="0" collapsed="false">
      <c r="A2623" s="7" t="s">
        <v>59</v>
      </c>
      <c r="B2623" s="7" t="n">
        <v>1982</v>
      </c>
      <c r="C2623" s="7" t="s">
        <v>360</v>
      </c>
      <c r="D2623" s="7" t="n">
        <v>92</v>
      </c>
      <c r="E2623" s="7" t="n">
        <v>70</v>
      </c>
      <c r="F2623" s="7" t="s">
        <v>548</v>
      </c>
      <c r="G2623" s="7"/>
      <c r="H2623" s="7" t="s">
        <v>548</v>
      </c>
      <c r="I2623" s="7" t="s">
        <v>548</v>
      </c>
      <c r="J2623" s="21" t="n">
        <f aca="false">D2623/(D2623+E2623)</f>
        <v>0.567901234567901</v>
      </c>
      <c r="K2623" s="3" t="n">
        <f aca="false">IF(D2623&gt;E2623,1,0)</f>
        <v>1</v>
      </c>
      <c r="L2623" s="3" t="n">
        <f aca="false">IF(OR(F2623="Y",G2623="Y",H2623="Y"),1,0)</f>
        <v>1</v>
      </c>
      <c r="M2623" s="3" t="n">
        <f aca="false">IF(H2623="Y",1,0)</f>
        <v>1</v>
      </c>
      <c r="N2623" s="3" t="n">
        <f aca="false">IF(I2623="Y",1,0)</f>
        <v>1</v>
      </c>
    </row>
    <row r="2624" customFormat="false" ht="15" hidden="false" customHeight="true" outlineLevel="0" collapsed="false">
      <c r="A2624" s="7" t="s">
        <v>59</v>
      </c>
      <c r="B2624" s="7" t="n">
        <v>1983</v>
      </c>
      <c r="C2624" s="7" t="s">
        <v>360</v>
      </c>
      <c r="D2624" s="7" t="n">
        <v>79</v>
      </c>
      <c r="E2624" s="7" t="n">
        <v>83</v>
      </c>
      <c r="F2624" s="7" t="s">
        <v>546</v>
      </c>
      <c r="G2624" s="7"/>
      <c r="H2624" s="7" t="s">
        <v>546</v>
      </c>
      <c r="I2624" s="7" t="s">
        <v>546</v>
      </c>
      <c r="J2624" s="21" t="n">
        <f aca="false">D2624/(D2624+E2624)</f>
        <v>0.487654320987654</v>
      </c>
      <c r="K2624" s="3" t="n">
        <f aca="false">IF(D2624&gt;E2624,1,0)</f>
        <v>0</v>
      </c>
      <c r="L2624" s="3" t="n">
        <f aca="false">IF(OR(F2624="Y",G2624="Y",H2624="Y"),1,0)</f>
        <v>0</v>
      </c>
      <c r="M2624" s="3" t="n">
        <f aca="false">IF(H2624="Y",1,0)</f>
        <v>0</v>
      </c>
      <c r="N2624" s="3" t="n">
        <f aca="false">IF(I2624="Y",1,0)</f>
        <v>0</v>
      </c>
    </row>
    <row r="2625" customFormat="false" ht="15" hidden="false" customHeight="true" outlineLevel="0" collapsed="false">
      <c r="A2625" s="7" t="s">
        <v>59</v>
      </c>
      <c r="B2625" s="7" t="n">
        <v>1984</v>
      </c>
      <c r="C2625" s="7" t="s">
        <v>360</v>
      </c>
      <c r="D2625" s="7" t="n">
        <v>84</v>
      </c>
      <c r="E2625" s="7" t="n">
        <v>78</v>
      </c>
      <c r="F2625" s="7" t="s">
        <v>546</v>
      </c>
      <c r="G2625" s="7"/>
      <c r="H2625" s="7" t="s">
        <v>546</v>
      </c>
      <c r="I2625" s="7" t="s">
        <v>546</v>
      </c>
      <c r="J2625" s="21" t="n">
        <f aca="false">D2625/(D2625+E2625)</f>
        <v>0.518518518518519</v>
      </c>
      <c r="K2625" s="3" t="n">
        <f aca="false">IF(D2625&gt;E2625,1,0)</f>
        <v>1</v>
      </c>
      <c r="L2625" s="3" t="n">
        <f aca="false">IF(OR(F2625="Y",G2625="Y",H2625="Y"),1,0)</f>
        <v>0</v>
      </c>
      <c r="M2625" s="3" t="n">
        <f aca="false">IF(H2625="Y",1,0)</f>
        <v>0</v>
      </c>
      <c r="N2625" s="3" t="n">
        <f aca="false">IF(I2625="Y",1,0)</f>
        <v>0</v>
      </c>
    </row>
    <row r="2626" customFormat="false" ht="15" hidden="false" customHeight="true" outlineLevel="0" collapsed="false">
      <c r="A2626" s="7" t="s">
        <v>59</v>
      </c>
      <c r="B2626" s="7" t="n">
        <v>1985</v>
      </c>
      <c r="C2626" s="7" t="s">
        <v>360</v>
      </c>
      <c r="D2626" s="7" t="n">
        <v>101</v>
      </c>
      <c r="E2626" s="7" t="n">
        <v>61</v>
      </c>
      <c r="F2626" s="7" t="s">
        <v>548</v>
      </c>
      <c r="G2626" s="7"/>
      <c r="H2626" s="7" t="s">
        <v>548</v>
      </c>
      <c r="I2626" s="7" t="s">
        <v>546</v>
      </c>
      <c r="J2626" s="21" t="n">
        <f aca="false">D2626/(D2626+E2626)</f>
        <v>0.623456790123457</v>
      </c>
      <c r="K2626" s="3" t="n">
        <f aca="false">IF(D2626&gt;E2626,1,0)</f>
        <v>1</v>
      </c>
      <c r="L2626" s="3" t="n">
        <f aca="false">IF(OR(F2626="Y",G2626="Y",H2626="Y"),1,0)</f>
        <v>1</v>
      </c>
      <c r="M2626" s="3" t="n">
        <f aca="false">IF(H2626="Y",1,0)</f>
        <v>1</v>
      </c>
      <c r="N2626" s="3" t="n">
        <f aca="false">IF(I2626="Y",1,0)</f>
        <v>0</v>
      </c>
    </row>
    <row r="2627" customFormat="false" ht="15" hidden="false" customHeight="true" outlineLevel="0" collapsed="false">
      <c r="A2627" s="7" t="s">
        <v>59</v>
      </c>
      <c r="B2627" s="7" t="n">
        <v>1986</v>
      </c>
      <c r="C2627" s="7" t="s">
        <v>360</v>
      </c>
      <c r="D2627" s="7" t="n">
        <v>79</v>
      </c>
      <c r="E2627" s="7" t="n">
        <v>82</v>
      </c>
      <c r="F2627" s="7" t="s">
        <v>546</v>
      </c>
      <c r="G2627" s="7"/>
      <c r="H2627" s="7" t="s">
        <v>546</v>
      </c>
      <c r="I2627" s="7" t="s">
        <v>546</v>
      </c>
      <c r="J2627" s="21" t="n">
        <f aca="false">D2627/(D2627+E2627)</f>
        <v>0.490683229813665</v>
      </c>
      <c r="K2627" s="3" t="n">
        <f aca="false">IF(D2627&gt;E2627,1,0)</f>
        <v>0</v>
      </c>
      <c r="L2627" s="3" t="n">
        <f aca="false">IF(OR(F2627="Y",G2627="Y",H2627="Y"),1,0)</f>
        <v>0</v>
      </c>
      <c r="M2627" s="3" t="n">
        <f aca="false">IF(H2627="Y",1,0)</f>
        <v>0</v>
      </c>
      <c r="N2627" s="3" t="n">
        <f aca="false">IF(I2627="Y",1,0)</f>
        <v>0</v>
      </c>
    </row>
    <row r="2628" customFormat="false" ht="15" hidden="false" customHeight="true" outlineLevel="0" collapsed="false">
      <c r="A2628" s="7" t="s">
        <v>59</v>
      </c>
      <c r="B2628" s="7" t="n">
        <v>1987</v>
      </c>
      <c r="C2628" s="7" t="s">
        <v>360</v>
      </c>
      <c r="D2628" s="7" t="n">
        <v>95</v>
      </c>
      <c r="E2628" s="7" t="n">
        <v>67</v>
      </c>
      <c r="F2628" s="7" t="s">
        <v>548</v>
      </c>
      <c r="G2628" s="7"/>
      <c r="H2628" s="7" t="s">
        <v>548</v>
      </c>
      <c r="I2628" s="7" t="s">
        <v>546</v>
      </c>
      <c r="J2628" s="21" t="n">
        <f aca="false">D2628/(D2628+E2628)</f>
        <v>0.58641975308642</v>
      </c>
      <c r="K2628" s="3" t="n">
        <f aca="false">IF(D2628&gt;E2628,1,0)</f>
        <v>1</v>
      </c>
      <c r="L2628" s="3" t="n">
        <f aca="false">IF(OR(F2628="Y",G2628="Y",H2628="Y"),1,0)</f>
        <v>1</v>
      </c>
      <c r="M2628" s="3" t="n">
        <f aca="false">IF(H2628="Y",1,0)</f>
        <v>1</v>
      </c>
      <c r="N2628" s="3" t="n">
        <f aca="false">IF(I2628="Y",1,0)</f>
        <v>0</v>
      </c>
    </row>
    <row r="2629" customFormat="false" ht="15" hidden="false" customHeight="true" outlineLevel="0" collapsed="false">
      <c r="A2629" s="7" t="s">
        <v>59</v>
      </c>
      <c r="B2629" s="7" t="n">
        <v>1988</v>
      </c>
      <c r="C2629" s="7" t="s">
        <v>360</v>
      </c>
      <c r="D2629" s="7" t="n">
        <v>76</v>
      </c>
      <c r="E2629" s="7" t="n">
        <v>86</v>
      </c>
      <c r="F2629" s="7" t="s">
        <v>546</v>
      </c>
      <c r="G2629" s="7"/>
      <c r="H2629" s="7" t="s">
        <v>546</v>
      </c>
      <c r="I2629" s="7" t="s">
        <v>546</v>
      </c>
      <c r="J2629" s="21" t="n">
        <f aca="false">D2629/(D2629+E2629)</f>
        <v>0.469135802469136</v>
      </c>
      <c r="K2629" s="3" t="n">
        <f aca="false">IF(D2629&gt;E2629,1,0)</f>
        <v>0</v>
      </c>
      <c r="L2629" s="3" t="n">
        <f aca="false">IF(OR(F2629="Y",G2629="Y",H2629="Y"),1,0)</f>
        <v>0</v>
      </c>
      <c r="M2629" s="3" t="n">
        <f aca="false">IF(H2629="Y",1,0)</f>
        <v>0</v>
      </c>
      <c r="N2629" s="3" t="n">
        <f aca="false">IF(I2629="Y",1,0)</f>
        <v>0</v>
      </c>
    </row>
    <row r="2630" customFormat="false" ht="15" hidden="false" customHeight="true" outlineLevel="0" collapsed="false">
      <c r="A2630" s="7" t="s">
        <v>59</v>
      </c>
      <c r="B2630" s="7" t="n">
        <v>1989</v>
      </c>
      <c r="C2630" s="7" t="s">
        <v>360</v>
      </c>
      <c r="D2630" s="7" t="n">
        <v>86</v>
      </c>
      <c r="E2630" s="7" t="n">
        <v>76</v>
      </c>
      <c r="F2630" s="7" t="s">
        <v>546</v>
      </c>
      <c r="G2630" s="7"/>
      <c r="H2630" s="7" t="s">
        <v>546</v>
      </c>
      <c r="I2630" s="7" t="s">
        <v>546</v>
      </c>
      <c r="J2630" s="21" t="n">
        <f aca="false">D2630/(D2630+E2630)</f>
        <v>0.530864197530864</v>
      </c>
      <c r="K2630" s="3" t="n">
        <f aca="false">IF(D2630&gt;E2630,1,0)</f>
        <v>1</v>
      </c>
      <c r="L2630" s="3" t="n">
        <f aca="false">IF(OR(F2630="Y",G2630="Y",H2630="Y"),1,0)</f>
        <v>0</v>
      </c>
      <c r="M2630" s="3" t="n">
        <f aca="false">IF(H2630="Y",1,0)</f>
        <v>0</v>
      </c>
      <c r="N2630" s="3" t="n">
        <f aca="false">IF(I2630="Y",1,0)</f>
        <v>0</v>
      </c>
    </row>
    <row r="2631" customFormat="false" ht="15" hidden="false" customHeight="true" outlineLevel="0" collapsed="false">
      <c r="A2631" s="7" t="s">
        <v>59</v>
      </c>
      <c r="B2631" s="7" t="n">
        <v>1990</v>
      </c>
      <c r="C2631" s="7" t="s">
        <v>360</v>
      </c>
      <c r="D2631" s="7" t="n">
        <v>70</v>
      </c>
      <c r="E2631" s="7" t="n">
        <v>92</v>
      </c>
      <c r="F2631" s="7" t="s">
        <v>546</v>
      </c>
      <c r="G2631" s="7"/>
      <c r="H2631" s="7" t="s">
        <v>546</v>
      </c>
      <c r="I2631" s="7" t="s">
        <v>546</v>
      </c>
      <c r="J2631" s="21" t="n">
        <f aca="false">D2631/(D2631+E2631)</f>
        <v>0.432098765432099</v>
      </c>
      <c r="K2631" s="3" t="n">
        <f aca="false">IF(D2631&gt;E2631,1,0)</f>
        <v>0</v>
      </c>
      <c r="L2631" s="3" t="n">
        <f aca="false">IF(OR(F2631="Y",G2631="Y",H2631="Y"),1,0)</f>
        <v>0</v>
      </c>
      <c r="M2631" s="3" t="n">
        <f aca="false">IF(H2631="Y",1,0)</f>
        <v>0</v>
      </c>
      <c r="N2631" s="3" t="n">
        <f aca="false">IF(I2631="Y",1,0)</f>
        <v>0</v>
      </c>
    </row>
    <row r="2632" customFormat="false" ht="15" hidden="false" customHeight="true" outlineLevel="0" collapsed="false">
      <c r="A2632" s="7" t="s">
        <v>59</v>
      </c>
      <c r="B2632" s="7" t="n">
        <v>1991</v>
      </c>
      <c r="C2632" s="7" t="s">
        <v>360</v>
      </c>
      <c r="D2632" s="7" t="n">
        <v>84</v>
      </c>
      <c r="E2632" s="7" t="n">
        <v>78</v>
      </c>
      <c r="F2632" s="7" t="s">
        <v>546</v>
      </c>
      <c r="G2632" s="7"/>
      <c r="H2632" s="7" t="s">
        <v>546</v>
      </c>
      <c r="I2632" s="7" t="s">
        <v>546</v>
      </c>
      <c r="J2632" s="21" t="n">
        <f aca="false">D2632/(D2632+E2632)</f>
        <v>0.518518518518519</v>
      </c>
      <c r="K2632" s="3" t="n">
        <f aca="false">IF(D2632&gt;E2632,1,0)</f>
        <v>1</v>
      </c>
      <c r="L2632" s="3" t="n">
        <f aca="false">IF(OR(F2632="Y",G2632="Y",H2632="Y"),1,0)</f>
        <v>0</v>
      </c>
      <c r="M2632" s="3" t="n">
        <f aca="false">IF(H2632="Y",1,0)</f>
        <v>0</v>
      </c>
      <c r="N2632" s="3" t="n">
        <f aca="false">IF(I2632="Y",1,0)</f>
        <v>0</v>
      </c>
    </row>
    <row r="2633" customFormat="false" ht="15" hidden="false" customHeight="true" outlineLevel="0" collapsed="false">
      <c r="A2633" s="7" t="s">
        <v>59</v>
      </c>
      <c r="B2633" s="7" t="n">
        <v>1992</v>
      </c>
      <c r="C2633" s="7" t="s">
        <v>360</v>
      </c>
      <c r="D2633" s="7" t="n">
        <v>83</v>
      </c>
      <c r="E2633" s="7" t="n">
        <v>79</v>
      </c>
      <c r="F2633" s="7" t="s">
        <v>546</v>
      </c>
      <c r="G2633" s="7"/>
      <c r="H2633" s="7" t="s">
        <v>546</v>
      </c>
      <c r="I2633" s="7" t="s">
        <v>546</v>
      </c>
      <c r="J2633" s="21" t="n">
        <f aca="false">D2633/(D2633+E2633)</f>
        <v>0.512345679012346</v>
      </c>
      <c r="K2633" s="3" t="n">
        <f aca="false">IF(D2633&gt;E2633,1,0)</f>
        <v>1</v>
      </c>
      <c r="L2633" s="3" t="n">
        <f aca="false">IF(OR(F2633="Y",G2633="Y",H2633="Y"),1,0)</f>
        <v>0</v>
      </c>
      <c r="M2633" s="3" t="n">
        <f aca="false">IF(H2633="Y",1,0)</f>
        <v>0</v>
      </c>
      <c r="N2633" s="3" t="n">
        <f aca="false">IF(I2633="Y",1,0)</f>
        <v>0</v>
      </c>
    </row>
    <row r="2634" customFormat="false" ht="15" hidden="false" customHeight="true" outlineLevel="0" collapsed="false">
      <c r="A2634" s="7" t="s">
        <v>59</v>
      </c>
      <c r="B2634" s="7" t="n">
        <v>1993</v>
      </c>
      <c r="C2634" s="7" t="s">
        <v>360</v>
      </c>
      <c r="D2634" s="7" t="n">
        <v>87</v>
      </c>
      <c r="E2634" s="7" t="n">
        <v>75</v>
      </c>
      <c r="F2634" s="7" t="s">
        <v>546</v>
      </c>
      <c r="G2634" s="7"/>
      <c r="H2634" s="7" t="s">
        <v>546</v>
      </c>
      <c r="I2634" s="7" t="s">
        <v>546</v>
      </c>
      <c r="J2634" s="21" t="n">
        <f aca="false">D2634/(D2634+E2634)</f>
        <v>0.537037037037037</v>
      </c>
      <c r="K2634" s="3" t="n">
        <f aca="false">IF(D2634&gt;E2634,1,0)</f>
        <v>1</v>
      </c>
      <c r="L2634" s="3" t="n">
        <f aca="false">IF(OR(F2634="Y",G2634="Y",H2634="Y"),1,0)</f>
        <v>0</v>
      </c>
      <c r="M2634" s="3" t="n">
        <f aca="false">IF(H2634="Y",1,0)</f>
        <v>0</v>
      </c>
      <c r="N2634" s="3" t="n">
        <f aca="false">IF(I2634="Y",1,0)</f>
        <v>0</v>
      </c>
    </row>
    <row r="2635" customFormat="false" ht="15" hidden="false" customHeight="true" outlineLevel="0" collapsed="false">
      <c r="A2635" s="7" t="s">
        <v>59</v>
      </c>
      <c r="B2635" s="7" t="n">
        <v>1994</v>
      </c>
      <c r="C2635" s="7" t="s">
        <v>360</v>
      </c>
      <c r="D2635" s="7" t="n">
        <v>53</v>
      </c>
      <c r="E2635" s="7" t="n">
        <v>61</v>
      </c>
      <c r="F2635" s="7"/>
      <c r="G2635" s="7"/>
      <c r="H2635" s="7"/>
      <c r="I2635" s="7"/>
      <c r="J2635" s="21" t="n">
        <f aca="false">D2635/(D2635+E2635)</f>
        <v>0.464912280701754</v>
      </c>
      <c r="K2635" s="3" t="n">
        <f aca="false">IF(D2635&gt;E2635,1,0)</f>
        <v>0</v>
      </c>
      <c r="L2635" s="3" t="n">
        <f aca="false">IF(OR(F2635="Y",G2635="Y",H2635="Y"),1,0)</f>
        <v>0</v>
      </c>
      <c r="M2635" s="3" t="n">
        <f aca="false">IF(H2635="Y",1,0)</f>
        <v>0</v>
      </c>
      <c r="N2635" s="3" t="n">
        <f aca="false">IF(I2635="Y",1,0)</f>
        <v>0</v>
      </c>
    </row>
    <row r="2636" customFormat="false" ht="15" hidden="false" customHeight="true" outlineLevel="0" collapsed="false">
      <c r="A2636" s="7" t="s">
        <v>59</v>
      </c>
      <c r="B2636" s="7" t="n">
        <v>1995</v>
      </c>
      <c r="C2636" s="7" t="s">
        <v>360</v>
      </c>
      <c r="D2636" s="7" t="n">
        <v>62</v>
      </c>
      <c r="E2636" s="7" t="n">
        <v>81</v>
      </c>
      <c r="F2636" s="7" t="s">
        <v>546</v>
      </c>
      <c r="G2636" s="7" t="s">
        <v>546</v>
      </c>
      <c r="H2636" s="7" t="s">
        <v>546</v>
      </c>
      <c r="I2636" s="7" t="s">
        <v>546</v>
      </c>
      <c r="J2636" s="21" t="n">
        <f aca="false">D2636/(D2636+E2636)</f>
        <v>0.433566433566434</v>
      </c>
      <c r="K2636" s="3" t="n">
        <f aca="false">IF(D2636&gt;E2636,1,0)</f>
        <v>0</v>
      </c>
      <c r="L2636" s="3" t="n">
        <f aca="false">IF(OR(F2636="Y",G2636="Y",H2636="Y"),1,0)</f>
        <v>0</v>
      </c>
      <c r="M2636" s="3" t="n">
        <f aca="false">IF(H2636="Y",1,0)</f>
        <v>0</v>
      </c>
      <c r="N2636" s="3" t="n">
        <f aca="false">IF(I2636="Y",1,0)</f>
        <v>0</v>
      </c>
    </row>
    <row r="2637" customFormat="false" ht="15" hidden="false" customHeight="true" outlineLevel="0" collapsed="false">
      <c r="A2637" s="7" t="s">
        <v>59</v>
      </c>
      <c r="B2637" s="7" t="n">
        <v>1996</v>
      </c>
      <c r="C2637" s="7" t="s">
        <v>360</v>
      </c>
      <c r="D2637" s="7" t="n">
        <v>88</v>
      </c>
      <c r="E2637" s="7" t="n">
        <v>74</v>
      </c>
      <c r="F2637" s="7" t="s">
        <v>548</v>
      </c>
      <c r="G2637" s="7" t="s">
        <v>546</v>
      </c>
      <c r="H2637" s="7" t="s">
        <v>546</v>
      </c>
      <c r="I2637" s="7" t="s">
        <v>546</v>
      </c>
      <c r="J2637" s="21" t="n">
        <f aca="false">D2637/(D2637+E2637)</f>
        <v>0.54320987654321</v>
      </c>
      <c r="K2637" s="3" t="n">
        <f aca="false">IF(D2637&gt;E2637,1,0)</f>
        <v>1</v>
      </c>
      <c r="L2637" s="3" t="n">
        <f aca="false">IF(OR(F2637="Y",G2637="Y",H2637="Y"),1,0)</f>
        <v>1</v>
      </c>
      <c r="M2637" s="3" t="n">
        <f aca="false">IF(H2637="Y",1,0)</f>
        <v>0</v>
      </c>
      <c r="N2637" s="3" t="n">
        <f aca="false">IF(I2637="Y",1,0)</f>
        <v>0</v>
      </c>
    </row>
    <row r="2638" customFormat="false" ht="15" hidden="false" customHeight="true" outlineLevel="0" collapsed="false">
      <c r="A2638" s="7" t="s">
        <v>59</v>
      </c>
      <c r="B2638" s="7" t="n">
        <v>1997</v>
      </c>
      <c r="C2638" s="7" t="s">
        <v>360</v>
      </c>
      <c r="D2638" s="7" t="n">
        <v>73</v>
      </c>
      <c r="E2638" s="7" t="n">
        <v>89</v>
      </c>
      <c r="F2638" s="7" t="s">
        <v>546</v>
      </c>
      <c r="G2638" s="7" t="s">
        <v>546</v>
      </c>
      <c r="H2638" s="7" t="s">
        <v>546</v>
      </c>
      <c r="I2638" s="7" t="s">
        <v>546</v>
      </c>
      <c r="J2638" s="21" t="n">
        <f aca="false">D2638/(D2638+E2638)</f>
        <v>0.450617283950617</v>
      </c>
      <c r="K2638" s="3" t="n">
        <f aca="false">IF(D2638&gt;E2638,1,0)</f>
        <v>0</v>
      </c>
      <c r="L2638" s="3" t="n">
        <f aca="false">IF(OR(F2638="Y",G2638="Y",H2638="Y"),1,0)</f>
        <v>0</v>
      </c>
      <c r="M2638" s="3" t="n">
        <f aca="false">IF(H2638="Y",1,0)</f>
        <v>0</v>
      </c>
      <c r="N2638" s="3" t="n">
        <f aca="false">IF(I2638="Y",1,0)</f>
        <v>0</v>
      </c>
    </row>
    <row r="2639" customFormat="false" ht="15" hidden="false" customHeight="true" outlineLevel="0" collapsed="false">
      <c r="A2639" s="7" t="s">
        <v>59</v>
      </c>
      <c r="B2639" s="7" t="n">
        <v>1998</v>
      </c>
      <c r="C2639" s="7" t="s">
        <v>360</v>
      </c>
      <c r="D2639" s="7" t="n">
        <v>83</v>
      </c>
      <c r="E2639" s="7" t="n">
        <v>79</v>
      </c>
      <c r="F2639" s="7" t="s">
        <v>546</v>
      </c>
      <c r="G2639" s="7" t="s">
        <v>546</v>
      </c>
      <c r="H2639" s="7" t="s">
        <v>546</v>
      </c>
      <c r="I2639" s="7" t="s">
        <v>546</v>
      </c>
      <c r="J2639" s="21" t="n">
        <f aca="false">D2639/(D2639+E2639)</f>
        <v>0.512345679012346</v>
      </c>
      <c r="K2639" s="3" t="n">
        <f aca="false">IF(D2639&gt;E2639,1,0)</f>
        <v>1</v>
      </c>
      <c r="L2639" s="3" t="n">
        <f aca="false">IF(OR(F2639="Y",G2639="Y",H2639="Y"),1,0)</f>
        <v>0</v>
      </c>
      <c r="M2639" s="3" t="n">
        <f aca="false">IF(H2639="Y",1,0)</f>
        <v>0</v>
      </c>
      <c r="N2639" s="3" t="n">
        <f aca="false">IF(I2639="Y",1,0)</f>
        <v>0</v>
      </c>
    </row>
    <row r="2640" customFormat="false" ht="15" hidden="false" customHeight="true" outlineLevel="0" collapsed="false">
      <c r="A2640" s="7" t="s">
        <v>59</v>
      </c>
      <c r="B2640" s="7" t="n">
        <v>1999</v>
      </c>
      <c r="C2640" s="7" t="s">
        <v>360</v>
      </c>
      <c r="D2640" s="7" t="n">
        <v>75</v>
      </c>
      <c r="E2640" s="7" t="n">
        <v>86</v>
      </c>
      <c r="F2640" s="7" t="s">
        <v>546</v>
      </c>
      <c r="G2640" s="7" t="s">
        <v>546</v>
      </c>
      <c r="H2640" s="7" t="s">
        <v>546</v>
      </c>
      <c r="I2640" s="7" t="s">
        <v>546</v>
      </c>
      <c r="J2640" s="21" t="n">
        <f aca="false">D2640/(D2640+E2640)</f>
        <v>0.46583850931677</v>
      </c>
      <c r="K2640" s="3" t="n">
        <f aca="false">IF(D2640&gt;E2640,1,0)</f>
        <v>0</v>
      </c>
      <c r="L2640" s="3" t="n">
        <f aca="false">IF(OR(F2640="Y",G2640="Y",H2640="Y"),1,0)</f>
        <v>0</v>
      </c>
      <c r="M2640" s="3" t="n">
        <f aca="false">IF(H2640="Y",1,0)</f>
        <v>0</v>
      </c>
      <c r="N2640" s="3" t="n">
        <f aca="false">IF(I2640="Y",1,0)</f>
        <v>0</v>
      </c>
    </row>
    <row r="2641" customFormat="false" ht="15" hidden="false" customHeight="true" outlineLevel="0" collapsed="false">
      <c r="A2641" s="7" t="s">
        <v>59</v>
      </c>
      <c r="B2641" s="7" t="n">
        <v>2000</v>
      </c>
      <c r="C2641" s="7" t="s">
        <v>360</v>
      </c>
      <c r="D2641" s="7" t="n">
        <v>95</v>
      </c>
      <c r="E2641" s="7" t="n">
        <v>67</v>
      </c>
      <c r="F2641" s="7" t="s">
        <v>548</v>
      </c>
      <c r="G2641" s="7" t="s">
        <v>546</v>
      </c>
      <c r="H2641" s="7" t="s">
        <v>546</v>
      </c>
      <c r="I2641" s="7" t="s">
        <v>546</v>
      </c>
      <c r="J2641" s="21" t="n">
        <f aca="false">D2641/(D2641+E2641)</f>
        <v>0.58641975308642</v>
      </c>
      <c r="K2641" s="3" t="n">
        <f aca="false">IF(D2641&gt;E2641,1,0)</f>
        <v>1</v>
      </c>
      <c r="L2641" s="3" t="n">
        <f aca="false">IF(OR(F2641="Y",G2641="Y",H2641="Y"),1,0)</f>
        <v>1</v>
      </c>
      <c r="M2641" s="3" t="n">
        <f aca="false">IF(H2641="Y",1,0)</f>
        <v>0</v>
      </c>
      <c r="N2641" s="3" t="n">
        <f aca="false">IF(I2641="Y",1,0)</f>
        <v>0</v>
      </c>
    </row>
    <row r="2642" customFormat="false" ht="15" hidden="false" customHeight="true" outlineLevel="0" collapsed="false">
      <c r="A2642" s="7" t="s">
        <v>59</v>
      </c>
      <c r="B2642" s="7" t="n">
        <v>2001</v>
      </c>
      <c r="C2642" s="7" t="s">
        <v>360</v>
      </c>
      <c r="D2642" s="7" t="n">
        <v>93</v>
      </c>
      <c r="E2642" s="7" t="n">
        <v>69</v>
      </c>
      <c r="F2642" s="7" t="s">
        <v>546</v>
      </c>
      <c r="G2642" s="7" t="s">
        <v>548</v>
      </c>
      <c r="H2642" s="7" t="s">
        <v>546</v>
      </c>
      <c r="I2642" s="7" t="s">
        <v>546</v>
      </c>
      <c r="J2642" s="21" t="n">
        <f aca="false">D2642/(D2642+E2642)</f>
        <v>0.574074074074074</v>
      </c>
      <c r="K2642" s="3" t="n">
        <f aca="false">IF(D2642&gt;E2642,1,0)</f>
        <v>1</v>
      </c>
      <c r="L2642" s="3" t="n">
        <f aca="false">IF(OR(F2642="Y",G2642="Y",H2642="Y"),1,0)</f>
        <v>1</v>
      </c>
      <c r="M2642" s="3" t="n">
        <f aca="false">IF(H2642="Y",1,0)</f>
        <v>0</v>
      </c>
      <c r="N2642" s="3" t="n">
        <f aca="false">IF(I2642="Y",1,0)</f>
        <v>0</v>
      </c>
    </row>
    <row r="2643" customFormat="false" ht="15" hidden="false" customHeight="true" outlineLevel="0" collapsed="false">
      <c r="A2643" s="7" t="s">
        <v>59</v>
      </c>
      <c r="B2643" s="7" t="n">
        <v>2002</v>
      </c>
      <c r="C2643" s="7" t="s">
        <v>360</v>
      </c>
      <c r="D2643" s="7" t="n">
        <v>97</v>
      </c>
      <c r="E2643" s="7" t="n">
        <v>65</v>
      </c>
      <c r="F2643" s="7" t="s">
        <v>548</v>
      </c>
      <c r="G2643" s="7" t="s">
        <v>546</v>
      </c>
      <c r="H2643" s="7" t="s">
        <v>546</v>
      </c>
      <c r="I2643" s="7" t="s">
        <v>546</v>
      </c>
      <c r="J2643" s="21" t="n">
        <f aca="false">D2643/(D2643+E2643)</f>
        <v>0.598765432098765</v>
      </c>
      <c r="K2643" s="3" t="n">
        <f aca="false">IF(D2643&gt;E2643,1,0)</f>
        <v>1</v>
      </c>
      <c r="L2643" s="3" t="n">
        <f aca="false">IF(OR(F2643="Y",G2643="Y",H2643="Y"),1,0)</f>
        <v>1</v>
      </c>
      <c r="M2643" s="3" t="n">
        <f aca="false">IF(H2643="Y",1,0)</f>
        <v>0</v>
      </c>
      <c r="N2643" s="3" t="n">
        <f aca="false">IF(I2643="Y",1,0)</f>
        <v>0</v>
      </c>
    </row>
    <row r="2644" customFormat="false" ht="15" hidden="false" customHeight="true" outlineLevel="0" collapsed="false">
      <c r="A2644" s="7" t="s">
        <v>59</v>
      </c>
      <c r="B2644" s="7" t="n">
        <v>2003</v>
      </c>
      <c r="C2644" s="7" t="s">
        <v>360</v>
      </c>
      <c r="D2644" s="7" t="n">
        <v>85</v>
      </c>
      <c r="E2644" s="7" t="n">
        <v>77</v>
      </c>
      <c r="F2644" s="7" t="s">
        <v>546</v>
      </c>
      <c r="G2644" s="7" t="s">
        <v>546</v>
      </c>
      <c r="H2644" s="7" t="s">
        <v>546</v>
      </c>
      <c r="I2644" s="7" t="s">
        <v>546</v>
      </c>
      <c r="J2644" s="21" t="n">
        <f aca="false">D2644/(D2644+E2644)</f>
        <v>0.524691358024691</v>
      </c>
      <c r="K2644" s="3" t="n">
        <f aca="false">IF(D2644&gt;E2644,1,0)</f>
        <v>1</v>
      </c>
      <c r="L2644" s="3" t="n">
        <f aca="false">IF(OR(F2644="Y",G2644="Y",H2644="Y"),1,0)</f>
        <v>0</v>
      </c>
      <c r="M2644" s="3" t="n">
        <f aca="false">IF(H2644="Y",1,0)</f>
        <v>0</v>
      </c>
      <c r="N2644" s="3" t="n">
        <f aca="false">IF(I2644="Y",1,0)</f>
        <v>0</v>
      </c>
    </row>
    <row r="2645" customFormat="false" ht="15" hidden="false" customHeight="true" outlineLevel="0" collapsed="false">
      <c r="A2645" s="7" t="s">
        <v>59</v>
      </c>
      <c r="B2645" s="7" t="n">
        <v>2004</v>
      </c>
      <c r="C2645" s="7" t="s">
        <v>360</v>
      </c>
      <c r="D2645" s="7" t="n">
        <v>105</v>
      </c>
      <c r="E2645" s="7" t="n">
        <v>57</v>
      </c>
      <c r="F2645" s="7" t="s">
        <v>548</v>
      </c>
      <c r="G2645" s="7" t="s">
        <v>546</v>
      </c>
      <c r="H2645" s="7" t="s">
        <v>548</v>
      </c>
      <c r="I2645" s="7" t="s">
        <v>546</v>
      </c>
      <c r="J2645" s="21" t="n">
        <f aca="false">D2645/(D2645+E2645)</f>
        <v>0.648148148148148</v>
      </c>
      <c r="K2645" s="3" t="n">
        <f aca="false">IF(D2645&gt;E2645,1,0)</f>
        <v>1</v>
      </c>
      <c r="L2645" s="3" t="n">
        <f aca="false">IF(OR(F2645="Y",G2645="Y",H2645="Y"),1,0)</f>
        <v>1</v>
      </c>
      <c r="M2645" s="3" t="n">
        <f aca="false">IF(H2645="Y",1,0)</f>
        <v>1</v>
      </c>
      <c r="N2645" s="3" t="n">
        <f aca="false">IF(I2645="Y",1,0)</f>
        <v>0</v>
      </c>
    </row>
    <row r="2646" customFormat="false" ht="15" hidden="false" customHeight="true" outlineLevel="0" collapsed="false">
      <c r="A2646" s="7" t="s">
        <v>59</v>
      </c>
      <c r="B2646" s="7" t="n">
        <v>2005</v>
      </c>
      <c r="C2646" s="7" t="s">
        <v>360</v>
      </c>
      <c r="D2646" s="7" t="n">
        <v>100</v>
      </c>
      <c r="E2646" s="7" t="n">
        <v>62</v>
      </c>
      <c r="F2646" s="7" t="s">
        <v>548</v>
      </c>
      <c r="G2646" s="7" t="s">
        <v>546</v>
      </c>
      <c r="H2646" s="7" t="s">
        <v>546</v>
      </c>
      <c r="I2646" s="7" t="s">
        <v>546</v>
      </c>
      <c r="J2646" s="21" t="n">
        <f aca="false">D2646/(D2646+E2646)</f>
        <v>0.617283950617284</v>
      </c>
      <c r="K2646" s="3" t="n">
        <f aca="false">IF(D2646&gt;E2646,1,0)</f>
        <v>1</v>
      </c>
      <c r="L2646" s="3" t="n">
        <f aca="false">IF(OR(F2646="Y",G2646="Y",H2646="Y"),1,0)</f>
        <v>1</v>
      </c>
      <c r="M2646" s="3" t="n">
        <f aca="false">IF(H2646="Y",1,0)</f>
        <v>0</v>
      </c>
      <c r="N2646" s="3" t="n">
        <f aca="false">IF(I2646="Y",1,0)</f>
        <v>0</v>
      </c>
    </row>
    <row r="2647" customFormat="false" ht="15" hidden="false" customHeight="true" outlineLevel="0" collapsed="false">
      <c r="A2647" s="7" t="s">
        <v>59</v>
      </c>
      <c r="B2647" s="7" t="n">
        <v>2006</v>
      </c>
      <c r="C2647" s="7" t="s">
        <v>360</v>
      </c>
      <c r="D2647" s="7" t="n">
        <v>83</v>
      </c>
      <c r="E2647" s="7" t="n">
        <v>78</v>
      </c>
      <c r="F2647" s="7" t="s">
        <v>548</v>
      </c>
      <c r="G2647" s="7" t="s">
        <v>546</v>
      </c>
      <c r="H2647" s="7" t="s">
        <v>548</v>
      </c>
      <c r="I2647" s="7" t="s">
        <v>548</v>
      </c>
      <c r="J2647" s="21" t="n">
        <f aca="false">D2647/(D2647+E2647)</f>
        <v>0.515527950310559</v>
      </c>
      <c r="K2647" s="3" t="n">
        <f aca="false">IF(D2647&gt;E2647,1,0)</f>
        <v>1</v>
      </c>
      <c r="L2647" s="3" t="n">
        <f aca="false">IF(OR(F2647="Y",G2647="Y",H2647="Y"),1,0)</f>
        <v>1</v>
      </c>
      <c r="M2647" s="3" t="n">
        <f aca="false">IF(H2647="Y",1,0)</f>
        <v>1</v>
      </c>
      <c r="N2647" s="3" t="n">
        <f aca="false">IF(I2647="Y",1,0)</f>
        <v>1</v>
      </c>
    </row>
    <row r="2648" customFormat="false" ht="15" hidden="false" customHeight="true" outlineLevel="0" collapsed="false">
      <c r="A2648" s="7" t="s">
        <v>59</v>
      </c>
      <c r="B2648" s="7" t="n">
        <v>2007</v>
      </c>
      <c r="C2648" s="7" t="s">
        <v>360</v>
      </c>
      <c r="D2648" s="7" t="n">
        <v>78</v>
      </c>
      <c r="E2648" s="7" t="n">
        <v>84</v>
      </c>
      <c r="F2648" s="7" t="s">
        <v>546</v>
      </c>
      <c r="G2648" s="7" t="s">
        <v>546</v>
      </c>
      <c r="H2648" s="7" t="s">
        <v>546</v>
      </c>
      <c r="I2648" s="7" t="s">
        <v>546</v>
      </c>
      <c r="J2648" s="21" t="n">
        <f aca="false">D2648/(D2648+E2648)</f>
        <v>0.481481481481481</v>
      </c>
      <c r="K2648" s="3" t="n">
        <f aca="false">IF(D2648&gt;E2648,1,0)</f>
        <v>0</v>
      </c>
      <c r="L2648" s="3" t="n">
        <f aca="false">IF(OR(F2648="Y",G2648="Y",H2648="Y"),1,0)</f>
        <v>0</v>
      </c>
      <c r="M2648" s="3" t="n">
        <f aca="false">IF(H2648="Y",1,0)</f>
        <v>0</v>
      </c>
      <c r="N2648" s="3" t="n">
        <f aca="false">IF(I2648="Y",1,0)</f>
        <v>0</v>
      </c>
    </row>
    <row r="2649" customFormat="false" ht="15" hidden="false" customHeight="true" outlineLevel="0" collapsed="false">
      <c r="A2649" s="7" t="s">
        <v>59</v>
      </c>
      <c r="B2649" s="7" t="n">
        <v>2008</v>
      </c>
      <c r="C2649" s="7" t="s">
        <v>360</v>
      </c>
      <c r="D2649" s="7" t="n">
        <v>86</v>
      </c>
      <c r="E2649" s="7" t="n">
        <v>76</v>
      </c>
      <c r="F2649" s="7" t="s">
        <v>546</v>
      </c>
      <c r="G2649" s="7" t="s">
        <v>546</v>
      </c>
      <c r="H2649" s="7" t="s">
        <v>546</v>
      </c>
      <c r="I2649" s="7" t="s">
        <v>546</v>
      </c>
      <c r="J2649" s="21" t="n">
        <f aca="false">D2649/(D2649+E2649)</f>
        <v>0.530864197530864</v>
      </c>
      <c r="K2649" s="3" t="n">
        <f aca="false">IF(D2649&gt;E2649,1,0)</f>
        <v>1</v>
      </c>
      <c r="L2649" s="3" t="n">
        <f aca="false">IF(OR(F2649="Y",G2649="Y",H2649="Y"),1,0)</f>
        <v>0</v>
      </c>
      <c r="M2649" s="3" t="n">
        <f aca="false">IF(H2649="Y",1,0)</f>
        <v>0</v>
      </c>
      <c r="N2649" s="3" t="n">
        <f aca="false">IF(I2649="Y",1,0)</f>
        <v>0</v>
      </c>
    </row>
    <row r="2650" customFormat="false" ht="15" hidden="false" customHeight="true" outlineLevel="0" collapsed="false">
      <c r="A2650" s="7" t="s">
        <v>59</v>
      </c>
      <c r="B2650" s="7" t="n">
        <v>2009</v>
      </c>
      <c r="C2650" s="7" t="s">
        <v>360</v>
      </c>
      <c r="D2650" s="7" t="n">
        <v>91</v>
      </c>
      <c r="E2650" s="7" t="n">
        <v>71</v>
      </c>
      <c r="F2650" s="7" t="s">
        <v>548</v>
      </c>
      <c r="G2650" s="7" t="s">
        <v>546</v>
      </c>
      <c r="H2650" s="7" t="s">
        <v>546</v>
      </c>
      <c r="I2650" s="7" t="s">
        <v>546</v>
      </c>
      <c r="J2650" s="21" t="n">
        <f aca="false">D2650/(D2650+E2650)</f>
        <v>0.561728395061728</v>
      </c>
      <c r="K2650" s="3" t="n">
        <f aca="false">IF(D2650&gt;E2650,1,0)</f>
        <v>1</v>
      </c>
      <c r="L2650" s="3" t="n">
        <f aca="false">IF(OR(F2650="Y",G2650="Y",H2650="Y"),1,0)</f>
        <v>1</v>
      </c>
      <c r="M2650" s="3" t="n">
        <f aca="false">IF(H2650="Y",1,0)</f>
        <v>0</v>
      </c>
      <c r="N2650" s="3" t="n">
        <f aca="false">IF(I2650="Y",1,0)</f>
        <v>0</v>
      </c>
    </row>
    <row r="2651" customFormat="false" ht="15" hidden="false" customHeight="true" outlineLevel="0" collapsed="false">
      <c r="A2651" s="7" t="s">
        <v>59</v>
      </c>
      <c r="B2651" s="7" t="n">
        <v>2010</v>
      </c>
      <c r="C2651" s="7" t="s">
        <v>360</v>
      </c>
      <c r="D2651" s="7" t="n">
        <v>86</v>
      </c>
      <c r="E2651" s="7" t="n">
        <v>76</v>
      </c>
      <c r="F2651" s="7" t="s">
        <v>546</v>
      </c>
      <c r="G2651" s="7" t="s">
        <v>546</v>
      </c>
      <c r="H2651" s="7" t="s">
        <v>546</v>
      </c>
      <c r="I2651" s="7" t="s">
        <v>546</v>
      </c>
      <c r="J2651" s="21" t="n">
        <f aca="false">D2651/(D2651+E2651)</f>
        <v>0.530864197530864</v>
      </c>
      <c r="K2651" s="3" t="n">
        <f aca="false">IF(D2651&gt;E2651,1,0)</f>
        <v>1</v>
      </c>
      <c r="L2651" s="3" t="n">
        <f aca="false">IF(OR(F2651="Y",G2651="Y",H2651="Y"),1,0)</f>
        <v>0</v>
      </c>
      <c r="M2651" s="3" t="n">
        <f aca="false">IF(H2651="Y",1,0)</f>
        <v>0</v>
      </c>
      <c r="N2651" s="3" t="n">
        <f aca="false">IF(I2651="Y",1,0)</f>
        <v>0</v>
      </c>
    </row>
    <row r="2652" customFormat="false" ht="15" hidden="false" customHeight="true" outlineLevel="0" collapsed="false">
      <c r="A2652" s="7" t="s">
        <v>59</v>
      </c>
      <c r="B2652" s="7" t="n">
        <v>2011</v>
      </c>
      <c r="C2652" s="7" t="s">
        <v>360</v>
      </c>
      <c r="D2652" s="7" t="n">
        <v>90</v>
      </c>
      <c r="E2652" s="7" t="n">
        <v>72</v>
      </c>
      <c r="F2652" s="7" t="s">
        <v>546</v>
      </c>
      <c r="G2652" s="7" t="s">
        <v>548</v>
      </c>
      <c r="H2652" s="7" t="s">
        <v>548</v>
      </c>
      <c r="I2652" s="7" t="s">
        <v>548</v>
      </c>
      <c r="J2652" s="21" t="n">
        <f aca="false">D2652/(D2652+E2652)</f>
        <v>0.555555555555556</v>
      </c>
      <c r="K2652" s="3" t="n">
        <f aca="false">IF(D2652&gt;E2652,1,0)</f>
        <v>1</v>
      </c>
      <c r="L2652" s="3" t="n">
        <f aca="false">IF(OR(F2652="Y",G2652="Y",H2652="Y"),1,0)</f>
        <v>1</v>
      </c>
      <c r="M2652" s="3" t="n">
        <f aca="false">IF(H2652="Y",1,0)</f>
        <v>1</v>
      </c>
      <c r="N2652" s="3" t="n">
        <f aca="false">IF(I2652="Y",1,0)</f>
        <v>1</v>
      </c>
    </row>
    <row r="2653" customFormat="false" ht="15" hidden="false" customHeight="true" outlineLevel="0" collapsed="false">
      <c r="A2653" s="7" t="s">
        <v>59</v>
      </c>
      <c r="B2653" s="7" t="n">
        <v>2012</v>
      </c>
      <c r="C2653" s="7" t="s">
        <v>360</v>
      </c>
      <c r="D2653" s="7" t="n">
        <v>88</v>
      </c>
      <c r="E2653" s="7" t="n">
        <v>74</v>
      </c>
      <c r="F2653" s="7" t="s">
        <v>546</v>
      </c>
      <c r="G2653" s="7" t="s">
        <v>548</v>
      </c>
      <c r="H2653" s="7" t="s">
        <v>546</v>
      </c>
      <c r="I2653" s="7" t="s">
        <v>546</v>
      </c>
      <c r="J2653" s="21" t="n">
        <f aca="false">D2653/(D2653+E2653)</f>
        <v>0.54320987654321</v>
      </c>
      <c r="K2653" s="3" t="n">
        <f aca="false">IF(D2653&gt;E2653,1,0)</f>
        <v>1</v>
      </c>
      <c r="L2653" s="3" t="n">
        <f aca="false">IF(OR(F2653="Y",G2653="Y",H2653="Y"),1,0)</f>
        <v>1</v>
      </c>
      <c r="M2653" s="3" t="n">
        <f aca="false">IF(H2653="Y",1,0)</f>
        <v>0</v>
      </c>
      <c r="N2653" s="3" t="n">
        <f aca="false">IF(I2653="Y",1,0)</f>
        <v>0</v>
      </c>
    </row>
    <row r="2654" customFormat="false" ht="15" hidden="false" customHeight="true" outlineLevel="0" collapsed="false">
      <c r="A2654" s="7" t="s">
        <v>59</v>
      </c>
      <c r="B2654" s="7" t="n">
        <v>2013</v>
      </c>
      <c r="C2654" s="7" t="s">
        <v>360</v>
      </c>
      <c r="D2654" s="7" t="n">
        <v>97</v>
      </c>
      <c r="E2654" s="7" t="n">
        <v>65</v>
      </c>
      <c r="F2654" s="7" t="s">
        <v>548</v>
      </c>
      <c r="G2654" s="7" t="s">
        <v>546</v>
      </c>
      <c r="H2654" s="7" t="s">
        <v>548</v>
      </c>
      <c r="I2654" s="7" t="s">
        <v>546</v>
      </c>
      <c r="J2654" s="21" t="n">
        <f aca="false">D2654/(D2654+E2654)</f>
        <v>0.598765432098765</v>
      </c>
      <c r="K2654" s="3" t="n">
        <f aca="false">IF(D2654&gt;E2654,1,0)</f>
        <v>1</v>
      </c>
      <c r="L2654" s="3" t="n">
        <f aca="false">IF(OR(F2654="Y",G2654="Y",H2654="Y"),1,0)</f>
        <v>1</v>
      </c>
      <c r="M2654" s="3" t="n">
        <f aca="false">IF(H2654="Y",1,0)</f>
        <v>1</v>
      </c>
      <c r="N2654" s="3" t="n">
        <f aca="false">IF(I2654="Y",1,0)</f>
        <v>0</v>
      </c>
    </row>
    <row r="2655" customFormat="false" ht="15" hidden="false" customHeight="true" outlineLevel="0" collapsed="false">
      <c r="A2655" s="7" t="s">
        <v>59</v>
      </c>
      <c r="B2655" s="7" t="n">
        <v>2014</v>
      </c>
      <c r="C2655" s="7" t="s">
        <v>360</v>
      </c>
      <c r="D2655" s="7" t="n">
        <v>90</v>
      </c>
      <c r="E2655" s="7" t="n">
        <v>72</v>
      </c>
      <c r="F2655" s="7" t="s">
        <v>548</v>
      </c>
      <c r="G2655" s="7" t="s">
        <v>546</v>
      </c>
      <c r="H2655" s="7" t="s">
        <v>546</v>
      </c>
      <c r="I2655" s="7" t="s">
        <v>546</v>
      </c>
      <c r="J2655" s="21" t="n">
        <f aca="false">D2655/(D2655+E2655)</f>
        <v>0.555555555555556</v>
      </c>
      <c r="K2655" s="3" t="n">
        <f aca="false">IF(D2655&gt;E2655,1,0)</f>
        <v>1</v>
      </c>
      <c r="L2655" s="3" t="n">
        <f aca="false">IF(OR(F2655="Y",G2655="Y",H2655="Y"),1,0)</f>
        <v>1</v>
      </c>
      <c r="M2655" s="3" t="n">
        <f aca="false">IF(H2655="Y",1,0)</f>
        <v>0</v>
      </c>
      <c r="N2655" s="3" t="n">
        <f aca="false">IF(I2655="Y",1,0)</f>
        <v>0</v>
      </c>
    </row>
    <row r="2656" customFormat="false" ht="15" hidden="false" customHeight="true" outlineLevel="0" collapsed="false">
      <c r="A2656" s="7" t="s">
        <v>59</v>
      </c>
      <c r="B2656" s="7" t="n">
        <v>2015</v>
      </c>
      <c r="C2656" s="7" t="s">
        <v>360</v>
      </c>
      <c r="D2656" s="7" t="n">
        <v>100</v>
      </c>
      <c r="E2656" s="7" t="n">
        <v>62</v>
      </c>
      <c r="F2656" s="7" t="s">
        <v>548</v>
      </c>
      <c r="G2656" s="7" t="s">
        <v>546</v>
      </c>
      <c r="H2656" s="7" t="s">
        <v>546</v>
      </c>
      <c r="I2656" s="7" t="s">
        <v>546</v>
      </c>
      <c r="J2656" s="21" t="n">
        <f aca="false">D2656/(D2656+E2656)</f>
        <v>0.617283950617284</v>
      </c>
      <c r="K2656" s="3" t="n">
        <f aca="false">IF(D2656&gt;E2656,1,0)</f>
        <v>1</v>
      </c>
      <c r="L2656" s="3" t="n">
        <f aca="false">IF(OR(F2656="Y",G2656="Y",H2656="Y"),1,0)</f>
        <v>1</v>
      </c>
      <c r="M2656" s="3" t="n">
        <f aca="false">IF(H2656="Y",1,0)</f>
        <v>0</v>
      </c>
      <c r="N2656" s="3" t="n">
        <f aca="false">IF(I2656="Y",1,0)</f>
        <v>0</v>
      </c>
    </row>
    <row r="2657" customFormat="false" ht="15" hidden="false" customHeight="true" outlineLevel="0" collapsed="false">
      <c r="A2657" s="7" t="s">
        <v>59</v>
      </c>
      <c r="B2657" s="7" t="n">
        <v>2016</v>
      </c>
      <c r="C2657" s="7" t="s">
        <v>360</v>
      </c>
      <c r="D2657" s="7" t="n">
        <v>86</v>
      </c>
      <c r="E2657" s="7" t="n">
        <v>76</v>
      </c>
      <c r="F2657" s="7" t="s">
        <v>546</v>
      </c>
      <c r="G2657" s="7" t="s">
        <v>546</v>
      </c>
      <c r="H2657" s="7" t="s">
        <v>546</v>
      </c>
      <c r="I2657" s="7" t="s">
        <v>546</v>
      </c>
      <c r="J2657" s="21" t="n">
        <f aca="false">D2657/(D2657+E2657)</f>
        <v>0.530864197530864</v>
      </c>
      <c r="K2657" s="3" t="n">
        <f aca="false">IF(D2657&gt;E2657,1,0)</f>
        <v>1</v>
      </c>
      <c r="L2657" s="3" t="n">
        <f aca="false">IF(OR(F2657="Y",G2657="Y",H2657="Y"),1,0)</f>
        <v>0</v>
      </c>
      <c r="M2657" s="3" t="n">
        <f aca="false">IF(H2657="Y",1,0)</f>
        <v>0</v>
      </c>
      <c r="N2657" s="3" t="n">
        <f aca="false">IF(I2657="Y",1,0)</f>
        <v>0</v>
      </c>
    </row>
    <row r="2658" customFormat="false" ht="15" hidden="false" customHeight="true" outlineLevel="0" collapsed="false">
      <c r="A2658" s="7" t="s">
        <v>59</v>
      </c>
      <c r="B2658" s="7" t="n">
        <v>2017</v>
      </c>
      <c r="C2658" s="7" t="s">
        <v>360</v>
      </c>
      <c r="D2658" s="7" t="n">
        <v>83</v>
      </c>
      <c r="E2658" s="7" t="n">
        <v>79</v>
      </c>
      <c r="F2658" s="7" t="s">
        <v>546</v>
      </c>
      <c r="G2658" s="7" t="s">
        <v>546</v>
      </c>
      <c r="H2658" s="7" t="s">
        <v>546</v>
      </c>
      <c r="I2658" s="7" t="s">
        <v>546</v>
      </c>
      <c r="J2658" s="21" t="n">
        <f aca="false">D2658/(D2658+E2658)</f>
        <v>0.512345679012346</v>
      </c>
      <c r="K2658" s="3" t="n">
        <f aca="false">IF(D2658&gt;E2658,1,0)</f>
        <v>1</v>
      </c>
      <c r="L2658" s="3" t="n">
        <f aca="false">IF(OR(F2658="Y",G2658="Y",H2658="Y"),1,0)</f>
        <v>0</v>
      </c>
      <c r="M2658" s="3" t="n">
        <f aca="false">IF(H2658="Y",1,0)</f>
        <v>0</v>
      </c>
      <c r="N2658" s="3" t="n">
        <f aca="false">IF(I2658="Y",1,0)</f>
        <v>0</v>
      </c>
    </row>
    <row r="2659" customFormat="false" ht="15" hidden="false" customHeight="true" outlineLevel="0" collapsed="false">
      <c r="A2659" s="7" t="s">
        <v>59</v>
      </c>
      <c r="B2659" s="7" t="n">
        <v>2018</v>
      </c>
      <c r="C2659" s="7" t="s">
        <v>360</v>
      </c>
      <c r="D2659" s="7" t="n">
        <v>88</v>
      </c>
      <c r="E2659" s="7" t="n">
        <v>74</v>
      </c>
      <c r="F2659" s="7" t="s">
        <v>546</v>
      </c>
      <c r="G2659" s="7" t="s">
        <v>546</v>
      </c>
      <c r="H2659" s="7" t="s">
        <v>546</v>
      </c>
      <c r="I2659" s="7" t="s">
        <v>546</v>
      </c>
      <c r="J2659" s="21" t="n">
        <f aca="false">D2659/(D2659+E2659)</f>
        <v>0.54320987654321</v>
      </c>
      <c r="K2659" s="3" t="n">
        <f aca="false">IF(D2659&gt;E2659,1,0)</f>
        <v>1</v>
      </c>
      <c r="L2659" s="3" t="n">
        <f aca="false">IF(OR(F2659="Y",G2659="Y",H2659="Y"),1,0)</f>
        <v>0</v>
      </c>
      <c r="M2659" s="3" t="n">
        <f aca="false">IF(H2659="Y",1,0)</f>
        <v>0</v>
      </c>
      <c r="N2659" s="3" t="n">
        <f aca="false">IF(I2659="Y",1,0)</f>
        <v>0</v>
      </c>
    </row>
    <row r="2660" customFormat="false" ht="15" hidden="false" customHeight="true" outlineLevel="0" collapsed="false">
      <c r="A2660" s="7" t="s">
        <v>59</v>
      </c>
      <c r="B2660" s="7" t="n">
        <v>2019</v>
      </c>
      <c r="C2660" s="7" t="s">
        <v>360</v>
      </c>
      <c r="D2660" s="7" t="n">
        <v>91</v>
      </c>
      <c r="E2660" s="7" t="n">
        <v>71</v>
      </c>
      <c r="F2660" s="7" t="s">
        <v>548</v>
      </c>
      <c r="G2660" s="7" t="s">
        <v>546</v>
      </c>
      <c r="H2660" s="7" t="s">
        <v>546</v>
      </c>
      <c r="I2660" s="7" t="s">
        <v>546</v>
      </c>
      <c r="J2660" s="21" t="n">
        <f aca="false">D2660/(D2660+E2660)</f>
        <v>0.561728395061728</v>
      </c>
      <c r="K2660" s="3" t="n">
        <f aca="false">IF(D2660&gt;E2660,1,0)</f>
        <v>1</v>
      </c>
      <c r="L2660" s="3" t="n">
        <f aca="false">IF(OR(F2660="Y",G2660="Y",H2660="Y"),1,0)</f>
        <v>1</v>
      </c>
      <c r="M2660" s="3" t="n">
        <f aca="false">IF(H2660="Y",1,0)</f>
        <v>0</v>
      </c>
      <c r="N2660" s="3" t="n">
        <f aca="false">IF(I2660="Y",1,0)</f>
        <v>0</v>
      </c>
    </row>
    <row r="2661" customFormat="false" ht="15" hidden="false" customHeight="true" outlineLevel="0" collapsed="false">
      <c r="A2661" s="7" t="s">
        <v>59</v>
      </c>
      <c r="B2661" s="7" t="n">
        <v>2020</v>
      </c>
      <c r="C2661" s="7" t="s">
        <v>360</v>
      </c>
      <c r="D2661" s="7" t="n">
        <v>30</v>
      </c>
      <c r="E2661" s="7" t="n">
        <v>28</v>
      </c>
      <c r="F2661" s="7" t="s">
        <v>546</v>
      </c>
      <c r="G2661" s="7" t="s">
        <v>548</v>
      </c>
      <c r="H2661" s="7" t="s">
        <v>546</v>
      </c>
      <c r="I2661" s="7" t="s">
        <v>546</v>
      </c>
      <c r="J2661" s="21" t="n">
        <f aca="false">D2661/(D2661+E2661)</f>
        <v>0.517241379310345</v>
      </c>
      <c r="K2661" s="3" t="n">
        <f aca="false">IF(D2661&gt;E2661,1,0)</f>
        <v>1</v>
      </c>
      <c r="L2661" s="3" t="n">
        <f aca="false">IF(OR(F2661="Y",G2661="Y",H2661="Y"),1,0)</f>
        <v>1</v>
      </c>
      <c r="M2661" s="3" t="n">
        <f aca="false">IF(H2661="Y",1,0)</f>
        <v>0</v>
      </c>
      <c r="N2661" s="3" t="n">
        <f aca="false">IF(I2661="Y",1,0)</f>
        <v>0</v>
      </c>
    </row>
    <row r="2662" customFormat="false" ht="15" hidden="false" customHeight="true" outlineLevel="0" collapsed="false">
      <c r="A2662" s="7" t="s">
        <v>59</v>
      </c>
      <c r="B2662" s="7" t="n">
        <v>2021</v>
      </c>
      <c r="C2662" s="7" t="s">
        <v>360</v>
      </c>
      <c r="D2662" s="7" t="n">
        <v>90</v>
      </c>
      <c r="E2662" s="7" t="n">
        <v>72</v>
      </c>
      <c r="F2662" s="7" t="s">
        <v>546</v>
      </c>
      <c r="G2662" s="7" t="s">
        <v>548</v>
      </c>
      <c r="H2662" s="7" t="s">
        <v>546</v>
      </c>
      <c r="I2662" s="7" t="s">
        <v>546</v>
      </c>
      <c r="J2662" s="21" t="n">
        <f aca="false">D2662/(D2662+E2662)</f>
        <v>0.555555555555556</v>
      </c>
      <c r="K2662" s="3" t="n">
        <f aca="false">IF(D2662&gt;E2662,1,0)</f>
        <v>1</v>
      </c>
      <c r="L2662" s="3" t="n">
        <f aca="false">IF(OR(F2662="Y",G2662="Y",H2662="Y"),1,0)</f>
        <v>1</v>
      </c>
      <c r="M2662" s="3" t="n">
        <f aca="false">IF(H2662="Y",1,0)</f>
        <v>0</v>
      </c>
      <c r="N2662" s="3" t="n">
        <f aca="false">IF(I2662="Y",1,0)</f>
        <v>0</v>
      </c>
    </row>
    <row r="2663" customFormat="false" ht="15" hidden="false" customHeight="true" outlineLevel="0" collapsed="false">
      <c r="A2663" s="7" t="s">
        <v>59</v>
      </c>
      <c r="B2663" s="7" t="n">
        <v>2022</v>
      </c>
      <c r="C2663" s="7" t="s">
        <v>360</v>
      </c>
      <c r="D2663" s="7" t="n">
        <v>93</v>
      </c>
      <c r="E2663" s="7" t="n">
        <v>69</v>
      </c>
      <c r="F2663" s="7" t="s">
        <v>548</v>
      </c>
      <c r="G2663" s="7" t="s">
        <v>546</v>
      </c>
      <c r="H2663" s="7" t="s">
        <v>546</v>
      </c>
      <c r="I2663" s="7" t="s">
        <v>546</v>
      </c>
      <c r="J2663" s="21" t="n">
        <f aca="false">D2663/(D2663+E2663)</f>
        <v>0.574074074074074</v>
      </c>
      <c r="K2663" s="3" t="n">
        <f aca="false">IF(D2663&gt;E2663,1,0)</f>
        <v>1</v>
      </c>
      <c r="L2663" s="3" t="n">
        <f aca="false">IF(OR(F2663="Y",G2663="Y",H2663="Y"),1,0)</f>
        <v>1</v>
      </c>
      <c r="M2663" s="3" t="n">
        <f aca="false">IF(H2663="Y",1,0)</f>
        <v>0</v>
      </c>
      <c r="N2663" s="3" t="n">
        <f aca="false">IF(I2663="Y",1,0)</f>
        <v>0</v>
      </c>
    </row>
    <row r="2664" customFormat="false" ht="15" hidden="false" customHeight="true" outlineLevel="0" collapsed="false">
      <c r="A2664" s="7" t="s">
        <v>59</v>
      </c>
      <c r="B2664" s="7" t="n">
        <v>2023</v>
      </c>
      <c r="C2664" s="7" t="s">
        <v>360</v>
      </c>
      <c r="D2664" s="7" t="n">
        <v>71</v>
      </c>
      <c r="E2664" s="7" t="n">
        <v>91</v>
      </c>
      <c r="F2664" s="7" t="s">
        <v>546</v>
      </c>
      <c r="G2664" s="7" t="s">
        <v>546</v>
      </c>
      <c r="H2664" s="7" t="s">
        <v>546</v>
      </c>
      <c r="I2664" s="7" t="s">
        <v>546</v>
      </c>
      <c r="J2664" s="21" t="n">
        <f aca="false">D2664/(D2664+E2664)</f>
        <v>0.438271604938272</v>
      </c>
      <c r="K2664" s="3" t="n">
        <f aca="false">IF(D2664&gt;E2664,1,0)</f>
        <v>0</v>
      </c>
      <c r="L2664" s="3" t="n">
        <f aca="false">IF(OR(F2664="Y",G2664="Y",H2664="Y"),1,0)</f>
        <v>0</v>
      </c>
      <c r="M2664" s="3" t="n">
        <f aca="false">IF(H2664="Y",1,0)</f>
        <v>0</v>
      </c>
      <c r="N2664" s="3" t="n">
        <f aca="false">IF(I2664="Y",1,0)</f>
        <v>0</v>
      </c>
    </row>
    <row r="2665" customFormat="false" ht="15" hidden="false" customHeight="true" outlineLevel="0" collapsed="false">
      <c r="A2665" s="7" t="s">
        <v>59</v>
      </c>
      <c r="B2665" s="7" t="n">
        <v>2024</v>
      </c>
      <c r="C2665" s="7" t="s">
        <v>360</v>
      </c>
      <c r="D2665" s="7" t="n">
        <v>83</v>
      </c>
      <c r="E2665" s="7" t="n">
        <v>79</v>
      </c>
      <c r="F2665" s="7" t="s">
        <v>546</v>
      </c>
      <c r="G2665" s="7" t="s">
        <v>546</v>
      </c>
      <c r="H2665" s="7" t="s">
        <v>546</v>
      </c>
      <c r="I2665" s="7" t="s">
        <v>546</v>
      </c>
      <c r="J2665" s="21" t="n">
        <f aca="false">D2665/(D2665+E2665)</f>
        <v>0.512345679012346</v>
      </c>
      <c r="K2665" s="3" t="n">
        <f aca="false">IF(D2665&gt;E2665,1,0)</f>
        <v>1</v>
      </c>
      <c r="L2665" s="3" t="n">
        <f aca="false">IF(OR(F2665="Y",G2665="Y",H2665="Y"),1,0)</f>
        <v>0</v>
      </c>
      <c r="M2665" s="3" t="n">
        <f aca="false">IF(H2665="Y",1,0)</f>
        <v>0</v>
      </c>
      <c r="N2665" s="3" t="n">
        <f aca="false">IF(I2665="Y",1,0)</f>
        <v>0</v>
      </c>
    </row>
    <row r="2666" customFormat="false" ht="15" hidden="false" customHeight="true" outlineLevel="0" collapsed="false">
      <c r="A2666" s="7" t="s">
        <v>59</v>
      </c>
      <c r="B2666" s="7" t="n">
        <v>2025</v>
      </c>
      <c r="C2666" s="7" t="s">
        <v>360</v>
      </c>
      <c r="D2666" s="7" t="n">
        <v>78</v>
      </c>
      <c r="E2666" s="7" t="n">
        <v>84</v>
      </c>
      <c r="F2666" s="7" t="s">
        <v>546</v>
      </c>
      <c r="G2666" s="7" t="s">
        <v>546</v>
      </c>
      <c r="H2666" s="7" t="s">
        <v>546</v>
      </c>
      <c r="I2666" s="7" t="s">
        <v>546</v>
      </c>
      <c r="J2666" s="21" t="n">
        <f aca="false">D2666/(D2666+E2666)</f>
        <v>0.481481481481481</v>
      </c>
      <c r="K2666" s="3" t="n">
        <f aca="false">IF(D2666&gt;E2666,1,0)</f>
        <v>0</v>
      </c>
      <c r="L2666" s="3" t="n">
        <f aca="false">IF(OR(F2666="Y",G2666="Y",H2666="Y"),1,0)</f>
        <v>0</v>
      </c>
      <c r="M2666" s="3" t="n">
        <f aca="false">IF(H2666="Y",1,0)</f>
        <v>0</v>
      </c>
      <c r="N2666" s="3" t="n">
        <f aca="false">IF(I2666="Y",1,0)</f>
        <v>0</v>
      </c>
    </row>
    <row r="2667" customFormat="false" ht="15" hidden="false" customHeight="true" outlineLevel="0" collapsed="false">
      <c r="A2667" s="7" t="s">
        <v>85</v>
      </c>
      <c r="B2667" s="7" t="n">
        <v>1998</v>
      </c>
      <c r="C2667" s="7" t="s">
        <v>586</v>
      </c>
      <c r="D2667" s="7" t="n">
        <v>63</v>
      </c>
      <c r="E2667" s="7" t="n">
        <v>99</v>
      </c>
      <c r="F2667" s="7" t="s">
        <v>546</v>
      </c>
      <c r="G2667" s="7" t="s">
        <v>546</v>
      </c>
      <c r="H2667" s="7" t="s">
        <v>546</v>
      </c>
      <c r="I2667" s="7" t="s">
        <v>546</v>
      </c>
      <c r="J2667" s="21" t="n">
        <f aca="false">D2667/(D2667+E2667)</f>
        <v>0.388888888888889</v>
      </c>
      <c r="K2667" s="3" t="n">
        <f aca="false">IF(D2667&gt;E2667,1,0)</f>
        <v>0</v>
      </c>
      <c r="L2667" s="3" t="n">
        <f aca="false">IF(OR(F2667="Y",G2667="Y",H2667="Y"),1,0)</f>
        <v>0</v>
      </c>
      <c r="M2667" s="3" t="n">
        <f aca="false">IF(H2667="Y",1,0)</f>
        <v>0</v>
      </c>
      <c r="N2667" s="3" t="n">
        <f aca="false">IF(I2667="Y",1,0)</f>
        <v>0</v>
      </c>
    </row>
    <row r="2668" customFormat="false" ht="15" hidden="false" customHeight="true" outlineLevel="0" collapsed="false">
      <c r="A2668" s="7" t="s">
        <v>85</v>
      </c>
      <c r="B2668" s="7" t="n">
        <v>1999</v>
      </c>
      <c r="C2668" s="7" t="s">
        <v>586</v>
      </c>
      <c r="D2668" s="7" t="n">
        <v>69</v>
      </c>
      <c r="E2668" s="7" t="n">
        <v>93</v>
      </c>
      <c r="F2668" s="7" t="s">
        <v>546</v>
      </c>
      <c r="G2668" s="7" t="s">
        <v>546</v>
      </c>
      <c r="H2668" s="7" t="s">
        <v>546</v>
      </c>
      <c r="I2668" s="7" t="s">
        <v>546</v>
      </c>
      <c r="J2668" s="21" t="n">
        <f aca="false">D2668/(D2668+E2668)</f>
        <v>0.425925925925926</v>
      </c>
      <c r="K2668" s="3" t="n">
        <f aca="false">IF(D2668&gt;E2668,1,0)</f>
        <v>0</v>
      </c>
      <c r="L2668" s="3" t="n">
        <f aca="false">IF(OR(F2668="Y",G2668="Y",H2668="Y"),1,0)</f>
        <v>0</v>
      </c>
      <c r="M2668" s="3" t="n">
        <f aca="false">IF(H2668="Y",1,0)</f>
        <v>0</v>
      </c>
      <c r="N2668" s="3" t="n">
        <f aca="false">IF(I2668="Y",1,0)</f>
        <v>0</v>
      </c>
    </row>
    <row r="2669" customFormat="false" ht="15" hidden="false" customHeight="true" outlineLevel="0" collapsed="false">
      <c r="A2669" s="7" t="s">
        <v>85</v>
      </c>
      <c r="B2669" s="7" t="n">
        <v>2000</v>
      </c>
      <c r="C2669" s="7" t="s">
        <v>586</v>
      </c>
      <c r="D2669" s="7" t="n">
        <v>69</v>
      </c>
      <c r="E2669" s="7" t="n">
        <v>92</v>
      </c>
      <c r="F2669" s="7" t="s">
        <v>546</v>
      </c>
      <c r="G2669" s="7" t="s">
        <v>546</v>
      </c>
      <c r="H2669" s="7" t="s">
        <v>546</v>
      </c>
      <c r="I2669" s="7" t="s">
        <v>546</v>
      </c>
      <c r="J2669" s="21" t="n">
        <f aca="false">D2669/(D2669+E2669)</f>
        <v>0.428571428571429</v>
      </c>
      <c r="K2669" s="3" t="n">
        <f aca="false">IF(D2669&gt;E2669,1,0)</f>
        <v>0</v>
      </c>
      <c r="L2669" s="3" t="n">
        <f aca="false">IF(OR(F2669="Y",G2669="Y",H2669="Y"),1,0)</f>
        <v>0</v>
      </c>
      <c r="M2669" s="3" t="n">
        <f aca="false">IF(H2669="Y",1,0)</f>
        <v>0</v>
      </c>
      <c r="N2669" s="3" t="n">
        <f aca="false">IF(I2669="Y",1,0)</f>
        <v>0</v>
      </c>
    </row>
    <row r="2670" customFormat="false" ht="15" hidden="false" customHeight="true" outlineLevel="0" collapsed="false">
      <c r="A2670" s="7" t="s">
        <v>85</v>
      </c>
      <c r="B2670" s="7" t="n">
        <v>2001</v>
      </c>
      <c r="C2670" s="7" t="s">
        <v>586</v>
      </c>
      <c r="D2670" s="7" t="n">
        <v>62</v>
      </c>
      <c r="E2670" s="7" t="n">
        <v>100</v>
      </c>
      <c r="F2670" s="7" t="s">
        <v>546</v>
      </c>
      <c r="G2670" s="7" t="s">
        <v>546</v>
      </c>
      <c r="H2670" s="7" t="s">
        <v>546</v>
      </c>
      <c r="I2670" s="7" t="s">
        <v>546</v>
      </c>
      <c r="J2670" s="21" t="n">
        <f aca="false">D2670/(D2670+E2670)</f>
        <v>0.382716049382716</v>
      </c>
      <c r="K2670" s="3" t="n">
        <f aca="false">IF(D2670&gt;E2670,1,0)</f>
        <v>0</v>
      </c>
      <c r="L2670" s="3" t="n">
        <f aca="false">IF(OR(F2670="Y",G2670="Y",H2670="Y"),1,0)</f>
        <v>0</v>
      </c>
      <c r="M2670" s="3" t="n">
        <f aca="false">IF(H2670="Y",1,0)</f>
        <v>0</v>
      </c>
      <c r="N2670" s="3" t="n">
        <f aca="false">IF(I2670="Y",1,0)</f>
        <v>0</v>
      </c>
    </row>
    <row r="2671" customFormat="false" ht="15" hidden="false" customHeight="true" outlineLevel="0" collapsed="false">
      <c r="A2671" s="7" t="s">
        <v>85</v>
      </c>
      <c r="B2671" s="7" t="n">
        <v>2002</v>
      </c>
      <c r="C2671" s="7" t="s">
        <v>586</v>
      </c>
      <c r="D2671" s="7" t="n">
        <v>55</v>
      </c>
      <c r="E2671" s="7" t="n">
        <v>106</v>
      </c>
      <c r="F2671" s="7" t="s">
        <v>546</v>
      </c>
      <c r="G2671" s="7" t="s">
        <v>546</v>
      </c>
      <c r="H2671" s="7" t="s">
        <v>546</v>
      </c>
      <c r="I2671" s="7" t="s">
        <v>546</v>
      </c>
      <c r="J2671" s="21" t="n">
        <f aca="false">D2671/(D2671+E2671)</f>
        <v>0.341614906832298</v>
      </c>
      <c r="K2671" s="3" t="n">
        <f aca="false">IF(D2671&gt;E2671,1,0)</f>
        <v>0</v>
      </c>
      <c r="L2671" s="3" t="n">
        <f aca="false">IF(OR(F2671="Y",G2671="Y",H2671="Y"),1,0)</f>
        <v>0</v>
      </c>
      <c r="M2671" s="3" t="n">
        <f aca="false">IF(H2671="Y",1,0)</f>
        <v>0</v>
      </c>
      <c r="N2671" s="3" t="n">
        <f aca="false">IF(I2671="Y",1,0)</f>
        <v>0</v>
      </c>
    </row>
    <row r="2672" customFormat="false" ht="15" hidden="false" customHeight="true" outlineLevel="0" collapsed="false">
      <c r="A2672" s="7" t="s">
        <v>85</v>
      </c>
      <c r="B2672" s="7" t="n">
        <v>2003</v>
      </c>
      <c r="C2672" s="7" t="s">
        <v>586</v>
      </c>
      <c r="D2672" s="7" t="n">
        <v>63</v>
      </c>
      <c r="E2672" s="7" t="n">
        <v>99</v>
      </c>
      <c r="F2672" s="7" t="s">
        <v>546</v>
      </c>
      <c r="G2672" s="7" t="s">
        <v>546</v>
      </c>
      <c r="H2672" s="7" t="s">
        <v>546</v>
      </c>
      <c r="I2672" s="7" t="s">
        <v>546</v>
      </c>
      <c r="J2672" s="21" t="n">
        <f aca="false">D2672/(D2672+E2672)</f>
        <v>0.388888888888889</v>
      </c>
      <c r="K2672" s="3" t="n">
        <f aca="false">IF(D2672&gt;E2672,1,0)</f>
        <v>0</v>
      </c>
      <c r="L2672" s="3" t="n">
        <f aca="false">IF(OR(F2672="Y",G2672="Y",H2672="Y"),1,0)</f>
        <v>0</v>
      </c>
      <c r="M2672" s="3" t="n">
        <f aca="false">IF(H2672="Y",1,0)</f>
        <v>0</v>
      </c>
      <c r="N2672" s="3" t="n">
        <f aca="false">IF(I2672="Y",1,0)</f>
        <v>0</v>
      </c>
    </row>
    <row r="2673" customFormat="false" ht="15" hidden="false" customHeight="true" outlineLevel="0" collapsed="false">
      <c r="A2673" s="7" t="s">
        <v>85</v>
      </c>
      <c r="B2673" s="7" t="n">
        <v>2004</v>
      </c>
      <c r="C2673" s="7" t="s">
        <v>586</v>
      </c>
      <c r="D2673" s="7" t="n">
        <v>70</v>
      </c>
      <c r="E2673" s="7" t="n">
        <v>91</v>
      </c>
      <c r="F2673" s="7" t="s">
        <v>546</v>
      </c>
      <c r="G2673" s="7" t="s">
        <v>546</v>
      </c>
      <c r="H2673" s="7" t="s">
        <v>546</v>
      </c>
      <c r="I2673" s="7" t="s">
        <v>546</v>
      </c>
      <c r="J2673" s="21" t="n">
        <f aca="false">D2673/(D2673+E2673)</f>
        <v>0.434782608695652</v>
      </c>
      <c r="K2673" s="3" t="n">
        <f aca="false">IF(D2673&gt;E2673,1,0)</f>
        <v>0</v>
      </c>
      <c r="L2673" s="3" t="n">
        <f aca="false">IF(OR(F2673="Y",G2673="Y",H2673="Y"),1,0)</f>
        <v>0</v>
      </c>
      <c r="M2673" s="3" t="n">
        <f aca="false">IF(H2673="Y",1,0)</f>
        <v>0</v>
      </c>
      <c r="N2673" s="3" t="n">
        <f aca="false">IF(I2673="Y",1,0)</f>
        <v>0</v>
      </c>
    </row>
    <row r="2674" customFormat="false" ht="15" hidden="false" customHeight="true" outlineLevel="0" collapsed="false">
      <c r="A2674" s="7" t="s">
        <v>85</v>
      </c>
      <c r="B2674" s="7" t="n">
        <v>2005</v>
      </c>
      <c r="C2674" s="7" t="s">
        <v>586</v>
      </c>
      <c r="D2674" s="7" t="n">
        <v>67</v>
      </c>
      <c r="E2674" s="7" t="n">
        <v>95</v>
      </c>
      <c r="F2674" s="7" t="s">
        <v>546</v>
      </c>
      <c r="G2674" s="7" t="s">
        <v>546</v>
      </c>
      <c r="H2674" s="7" t="s">
        <v>546</v>
      </c>
      <c r="I2674" s="7" t="s">
        <v>546</v>
      </c>
      <c r="J2674" s="21" t="n">
        <f aca="false">D2674/(D2674+E2674)</f>
        <v>0.41358024691358</v>
      </c>
      <c r="K2674" s="3" t="n">
        <f aca="false">IF(D2674&gt;E2674,1,0)</f>
        <v>0</v>
      </c>
      <c r="L2674" s="3" t="n">
        <f aca="false">IF(OR(F2674="Y",G2674="Y",H2674="Y"),1,0)</f>
        <v>0</v>
      </c>
      <c r="M2674" s="3" t="n">
        <f aca="false">IF(H2674="Y",1,0)</f>
        <v>0</v>
      </c>
      <c r="N2674" s="3" t="n">
        <f aca="false">IF(I2674="Y",1,0)</f>
        <v>0</v>
      </c>
    </row>
    <row r="2675" customFormat="false" ht="15" hidden="false" customHeight="true" outlineLevel="0" collapsed="false">
      <c r="A2675" s="7" t="s">
        <v>85</v>
      </c>
      <c r="B2675" s="7" t="n">
        <v>2006</v>
      </c>
      <c r="C2675" s="7" t="s">
        <v>586</v>
      </c>
      <c r="D2675" s="7" t="n">
        <v>61</v>
      </c>
      <c r="E2675" s="7" t="n">
        <v>101</v>
      </c>
      <c r="F2675" s="7" t="s">
        <v>546</v>
      </c>
      <c r="G2675" s="7" t="s">
        <v>546</v>
      </c>
      <c r="H2675" s="7" t="s">
        <v>546</v>
      </c>
      <c r="I2675" s="7" t="s">
        <v>546</v>
      </c>
      <c r="J2675" s="21" t="n">
        <f aca="false">D2675/(D2675+E2675)</f>
        <v>0.376543209876543</v>
      </c>
      <c r="K2675" s="3" t="n">
        <f aca="false">IF(D2675&gt;E2675,1,0)</f>
        <v>0</v>
      </c>
      <c r="L2675" s="3" t="n">
        <f aca="false">IF(OR(F2675="Y",G2675="Y",H2675="Y"),1,0)</f>
        <v>0</v>
      </c>
      <c r="M2675" s="3" t="n">
        <f aca="false">IF(H2675="Y",1,0)</f>
        <v>0</v>
      </c>
      <c r="N2675" s="3" t="n">
        <f aca="false">IF(I2675="Y",1,0)</f>
        <v>0</v>
      </c>
    </row>
    <row r="2676" customFormat="false" ht="15" hidden="false" customHeight="true" outlineLevel="0" collapsed="false">
      <c r="A2676" s="7" t="s">
        <v>85</v>
      </c>
      <c r="B2676" s="7" t="n">
        <v>2007</v>
      </c>
      <c r="C2676" s="7" t="s">
        <v>586</v>
      </c>
      <c r="D2676" s="7" t="n">
        <v>66</v>
      </c>
      <c r="E2676" s="7" t="n">
        <v>96</v>
      </c>
      <c r="F2676" s="7" t="s">
        <v>546</v>
      </c>
      <c r="G2676" s="7" t="s">
        <v>546</v>
      </c>
      <c r="H2676" s="7" t="s">
        <v>546</v>
      </c>
      <c r="I2676" s="7" t="s">
        <v>546</v>
      </c>
      <c r="J2676" s="21" t="n">
        <f aca="false">D2676/(D2676+E2676)</f>
        <v>0.407407407407407</v>
      </c>
      <c r="K2676" s="3" t="n">
        <f aca="false">IF(D2676&gt;E2676,1,0)</f>
        <v>0</v>
      </c>
      <c r="L2676" s="3" t="n">
        <f aca="false">IF(OR(F2676="Y",G2676="Y",H2676="Y"),1,0)</f>
        <v>0</v>
      </c>
      <c r="M2676" s="3" t="n">
        <f aca="false">IF(H2676="Y",1,0)</f>
        <v>0</v>
      </c>
      <c r="N2676" s="3" t="n">
        <f aca="false">IF(I2676="Y",1,0)</f>
        <v>0</v>
      </c>
    </row>
    <row r="2677" customFormat="false" ht="15" hidden="false" customHeight="true" outlineLevel="0" collapsed="false">
      <c r="A2677" s="7" t="s">
        <v>85</v>
      </c>
      <c r="B2677" s="7" t="n">
        <v>2008</v>
      </c>
      <c r="C2677" s="7" t="s">
        <v>389</v>
      </c>
      <c r="D2677" s="7" t="n">
        <v>97</v>
      </c>
      <c r="E2677" s="7" t="n">
        <v>65</v>
      </c>
      <c r="F2677" s="7" t="s">
        <v>548</v>
      </c>
      <c r="G2677" s="7" t="s">
        <v>546</v>
      </c>
      <c r="H2677" s="7" t="s">
        <v>548</v>
      </c>
      <c r="I2677" s="7" t="s">
        <v>546</v>
      </c>
      <c r="J2677" s="21" t="n">
        <f aca="false">D2677/(D2677+E2677)</f>
        <v>0.598765432098765</v>
      </c>
      <c r="K2677" s="3" t="n">
        <f aca="false">IF(D2677&gt;E2677,1,0)</f>
        <v>1</v>
      </c>
      <c r="L2677" s="3" t="n">
        <f aca="false">IF(OR(F2677="Y",G2677="Y",H2677="Y"),1,0)</f>
        <v>1</v>
      </c>
      <c r="M2677" s="3" t="n">
        <f aca="false">IF(H2677="Y",1,0)</f>
        <v>1</v>
      </c>
      <c r="N2677" s="3" t="n">
        <f aca="false">IF(I2677="Y",1,0)</f>
        <v>0</v>
      </c>
    </row>
    <row r="2678" customFormat="false" ht="15" hidden="false" customHeight="true" outlineLevel="0" collapsed="false">
      <c r="A2678" s="7" t="s">
        <v>85</v>
      </c>
      <c r="B2678" s="7" t="n">
        <v>2009</v>
      </c>
      <c r="C2678" s="7" t="s">
        <v>389</v>
      </c>
      <c r="D2678" s="7" t="n">
        <v>84</v>
      </c>
      <c r="E2678" s="7" t="n">
        <v>78</v>
      </c>
      <c r="F2678" s="7" t="s">
        <v>546</v>
      </c>
      <c r="G2678" s="7" t="s">
        <v>546</v>
      </c>
      <c r="H2678" s="7" t="s">
        <v>546</v>
      </c>
      <c r="I2678" s="7" t="s">
        <v>546</v>
      </c>
      <c r="J2678" s="21" t="n">
        <f aca="false">D2678/(D2678+E2678)</f>
        <v>0.518518518518519</v>
      </c>
      <c r="K2678" s="3" t="n">
        <f aca="false">IF(D2678&gt;E2678,1,0)</f>
        <v>1</v>
      </c>
      <c r="L2678" s="3" t="n">
        <f aca="false">IF(OR(F2678="Y",G2678="Y",H2678="Y"),1,0)</f>
        <v>0</v>
      </c>
      <c r="M2678" s="3" t="n">
        <f aca="false">IF(H2678="Y",1,0)</f>
        <v>0</v>
      </c>
      <c r="N2678" s="3" t="n">
        <f aca="false">IF(I2678="Y",1,0)</f>
        <v>0</v>
      </c>
    </row>
    <row r="2679" customFormat="false" ht="15" hidden="false" customHeight="true" outlineLevel="0" collapsed="false">
      <c r="A2679" s="7" t="s">
        <v>85</v>
      </c>
      <c r="B2679" s="7" t="n">
        <v>2010</v>
      </c>
      <c r="C2679" s="7" t="s">
        <v>389</v>
      </c>
      <c r="D2679" s="7" t="n">
        <v>96</v>
      </c>
      <c r="E2679" s="7" t="n">
        <v>66</v>
      </c>
      <c r="F2679" s="7" t="s">
        <v>548</v>
      </c>
      <c r="G2679" s="7" t="s">
        <v>546</v>
      </c>
      <c r="H2679" s="7" t="s">
        <v>546</v>
      </c>
      <c r="I2679" s="7" t="s">
        <v>546</v>
      </c>
      <c r="J2679" s="21" t="n">
        <f aca="false">D2679/(D2679+E2679)</f>
        <v>0.592592592592593</v>
      </c>
      <c r="K2679" s="3" t="n">
        <f aca="false">IF(D2679&gt;E2679,1,0)</f>
        <v>1</v>
      </c>
      <c r="L2679" s="3" t="n">
        <f aca="false">IF(OR(F2679="Y",G2679="Y",H2679="Y"),1,0)</f>
        <v>1</v>
      </c>
      <c r="M2679" s="3" t="n">
        <f aca="false">IF(H2679="Y",1,0)</f>
        <v>0</v>
      </c>
      <c r="N2679" s="3" t="n">
        <f aca="false">IF(I2679="Y",1,0)</f>
        <v>0</v>
      </c>
    </row>
    <row r="2680" customFormat="false" ht="15" hidden="false" customHeight="true" outlineLevel="0" collapsed="false">
      <c r="A2680" s="7" t="s">
        <v>85</v>
      </c>
      <c r="B2680" s="7" t="n">
        <v>2011</v>
      </c>
      <c r="C2680" s="7" t="s">
        <v>389</v>
      </c>
      <c r="D2680" s="7" t="n">
        <v>91</v>
      </c>
      <c r="E2680" s="7" t="n">
        <v>71</v>
      </c>
      <c r="F2680" s="7" t="s">
        <v>546</v>
      </c>
      <c r="G2680" s="7" t="s">
        <v>548</v>
      </c>
      <c r="H2680" s="7" t="s">
        <v>546</v>
      </c>
      <c r="I2680" s="7" t="s">
        <v>546</v>
      </c>
      <c r="J2680" s="21" t="n">
        <f aca="false">D2680/(D2680+E2680)</f>
        <v>0.561728395061728</v>
      </c>
      <c r="K2680" s="3" t="n">
        <f aca="false">IF(D2680&gt;E2680,1,0)</f>
        <v>1</v>
      </c>
      <c r="L2680" s="3" t="n">
        <f aca="false">IF(OR(F2680="Y",G2680="Y",H2680="Y"),1,0)</f>
        <v>1</v>
      </c>
      <c r="M2680" s="3" t="n">
        <f aca="false">IF(H2680="Y",1,0)</f>
        <v>0</v>
      </c>
      <c r="N2680" s="3" t="n">
        <f aca="false">IF(I2680="Y",1,0)</f>
        <v>0</v>
      </c>
    </row>
    <row r="2681" customFormat="false" ht="15" hidden="false" customHeight="true" outlineLevel="0" collapsed="false">
      <c r="A2681" s="7" t="s">
        <v>85</v>
      </c>
      <c r="B2681" s="7" t="n">
        <v>2012</v>
      </c>
      <c r="C2681" s="7" t="s">
        <v>389</v>
      </c>
      <c r="D2681" s="7" t="n">
        <v>90</v>
      </c>
      <c r="E2681" s="7" t="n">
        <v>72</v>
      </c>
      <c r="F2681" s="7" t="s">
        <v>546</v>
      </c>
      <c r="G2681" s="7" t="s">
        <v>546</v>
      </c>
      <c r="H2681" s="7" t="s">
        <v>546</v>
      </c>
      <c r="I2681" s="7" t="s">
        <v>546</v>
      </c>
      <c r="J2681" s="21" t="n">
        <f aca="false">D2681/(D2681+E2681)</f>
        <v>0.555555555555556</v>
      </c>
      <c r="K2681" s="3" t="n">
        <f aca="false">IF(D2681&gt;E2681,1,0)</f>
        <v>1</v>
      </c>
      <c r="L2681" s="3" t="n">
        <f aca="false">IF(OR(F2681="Y",G2681="Y",H2681="Y"),1,0)</f>
        <v>0</v>
      </c>
      <c r="M2681" s="3" t="n">
        <f aca="false">IF(H2681="Y",1,0)</f>
        <v>0</v>
      </c>
      <c r="N2681" s="3" t="n">
        <f aca="false">IF(I2681="Y",1,0)</f>
        <v>0</v>
      </c>
    </row>
    <row r="2682" customFormat="false" ht="15" hidden="false" customHeight="true" outlineLevel="0" collapsed="false">
      <c r="A2682" s="7" t="s">
        <v>85</v>
      </c>
      <c r="B2682" s="7" t="n">
        <v>2013</v>
      </c>
      <c r="C2682" s="7" t="s">
        <v>389</v>
      </c>
      <c r="D2682" s="7" t="n">
        <v>92</v>
      </c>
      <c r="E2682" s="7" t="n">
        <v>71</v>
      </c>
      <c r="F2682" s="7" t="s">
        <v>546</v>
      </c>
      <c r="G2682" s="7" t="s">
        <v>548</v>
      </c>
      <c r="H2682" s="7" t="s">
        <v>546</v>
      </c>
      <c r="I2682" s="7" t="s">
        <v>546</v>
      </c>
      <c r="J2682" s="21" t="n">
        <f aca="false">D2682/(D2682+E2682)</f>
        <v>0.56441717791411</v>
      </c>
      <c r="K2682" s="3" t="n">
        <f aca="false">IF(D2682&gt;E2682,1,0)</f>
        <v>1</v>
      </c>
      <c r="L2682" s="3" t="n">
        <f aca="false">IF(OR(F2682="Y",G2682="Y",H2682="Y"),1,0)</f>
        <v>1</v>
      </c>
      <c r="M2682" s="3" t="n">
        <f aca="false">IF(H2682="Y",1,0)</f>
        <v>0</v>
      </c>
      <c r="N2682" s="3" t="n">
        <f aca="false">IF(I2682="Y",1,0)</f>
        <v>0</v>
      </c>
    </row>
    <row r="2683" customFormat="false" ht="15" hidden="false" customHeight="true" outlineLevel="0" collapsed="false">
      <c r="A2683" s="7" t="s">
        <v>85</v>
      </c>
      <c r="B2683" s="7" t="n">
        <v>2014</v>
      </c>
      <c r="C2683" s="7" t="s">
        <v>389</v>
      </c>
      <c r="D2683" s="7" t="n">
        <v>77</v>
      </c>
      <c r="E2683" s="7" t="n">
        <v>85</v>
      </c>
      <c r="F2683" s="7" t="s">
        <v>546</v>
      </c>
      <c r="G2683" s="7" t="s">
        <v>546</v>
      </c>
      <c r="H2683" s="7" t="s">
        <v>546</v>
      </c>
      <c r="I2683" s="7" t="s">
        <v>546</v>
      </c>
      <c r="J2683" s="21" t="n">
        <f aca="false">D2683/(D2683+E2683)</f>
        <v>0.475308641975309</v>
      </c>
      <c r="K2683" s="3" t="n">
        <f aca="false">IF(D2683&gt;E2683,1,0)</f>
        <v>0</v>
      </c>
      <c r="L2683" s="3" t="n">
        <f aca="false">IF(OR(F2683="Y",G2683="Y",H2683="Y"),1,0)</f>
        <v>0</v>
      </c>
      <c r="M2683" s="3" t="n">
        <f aca="false">IF(H2683="Y",1,0)</f>
        <v>0</v>
      </c>
      <c r="N2683" s="3" t="n">
        <f aca="false">IF(I2683="Y",1,0)</f>
        <v>0</v>
      </c>
    </row>
    <row r="2684" customFormat="false" ht="15" hidden="false" customHeight="true" outlineLevel="0" collapsed="false">
      <c r="A2684" s="7" t="s">
        <v>85</v>
      </c>
      <c r="B2684" s="7" t="n">
        <v>2015</v>
      </c>
      <c r="C2684" s="7" t="s">
        <v>389</v>
      </c>
      <c r="D2684" s="7" t="n">
        <v>80</v>
      </c>
      <c r="E2684" s="7" t="n">
        <v>82</v>
      </c>
      <c r="F2684" s="7" t="s">
        <v>546</v>
      </c>
      <c r="G2684" s="7" t="s">
        <v>546</v>
      </c>
      <c r="H2684" s="7" t="s">
        <v>546</v>
      </c>
      <c r="I2684" s="7" t="s">
        <v>546</v>
      </c>
      <c r="J2684" s="21" t="n">
        <f aca="false">D2684/(D2684+E2684)</f>
        <v>0.493827160493827</v>
      </c>
      <c r="K2684" s="3" t="n">
        <f aca="false">IF(D2684&gt;E2684,1,0)</f>
        <v>0</v>
      </c>
      <c r="L2684" s="3" t="n">
        <f aca="false">IF(OR(F2684="Y",G2684="Y",H2684="Y"),1,0)</f>
        <v>0</v>
      </c>
      <c r="M2684" s="3" t="n">
        <f aca="false">IF(H2684="Y",1,0)</f>
        <v>0</v>
      </c>
      <c r="N2684" s="3" t="n">
        <f aca="false">IF(I2684="Y",1,0)</f>
        <v>0</v>
      </c>
    </row>
    <row r="2685" customFormat="false" ht="15" hidden="false" customHeight="true" outlineLevel="0" collapsed="false">
      <c r="A2685" s="7" t="s">
        <v>85</v>
      </c>
      <c r="B2685" s="7" t="n">
        <v>2016</v>
      </c>
      <c r="C2685" s="7" t="s">
        <v>389</v>
      </c>
      <c r="D2685" s="7" t="n">
        <v>68</v>
      </c>
      <c r="E2685" s="7" t="n">
        <v>94</v>
      </c>
      <c r="F2685" s="7" t="s">
        <v>546</v>
      </c>
      <c r="G2685" s="7" t="s">
        <v>546</v>
      </c>
      <c r="H2685" s="7" t="s">
        <v>546</v>
      </c>
      <c r="I2685" s="7" t="s">
        <v>546</v>
      </c>
      <c r="J2685" s="21" t="n">
        <f aca="false">D2685/(D2685+E2685)</f>
        <v>0.419753086419753</v>
      </c>
      <c r="K2685" s="3" t="n">
        <f aca="false">IF(D2685&gt;E2685,1,0)</f>
        <v>0</v>
      </c>
      <c r="L2685" s="3" t="n">
        <f aca="false">IF(OR(F2685="Y",G2685="Y",H2685="Y"),1,0)</f>
        <v>0</v>
      </c>
      <c r="M2685" s="3" t="n">
        <f aca="false">IF(H2685="Y",1,0)</f>
        <v>0</v>
      </c>
      <c r="N2685" s="3" t="n">
        <f aca="false">IF(I2685="Y",1,0)</f>
        <v>0</v>
      </c>
    </row>
    <row r="2686" customFormat="false" ht="15" hidden="false" customHeight="true" outlineLevel="0" collapsed="false">
      <c r="A2686" s="7" t="s">
        <v>85</v>
      </c>
      <c r="B2686" s="7" t="n">
        <v>2017</v>
      </c>
      <c r="C2686" s="7" t="s">
        <v>389</v>
      </c>
      <c r="D2686" s="7" t="n">
        <v>80</v>
      </c>
      <c r="E2686" s="7" t="n">
        <v>82</v>
      </c>
      <c r="F2686" s="7" t="s">
        <v>546</v>
      </c>
      <c r="G2686" s="7" t="s">
        <v>546</v>
      </c>
      <c r="H2686" s="7" t="s">
        <v>546</v>
      </c>
      <c r="I2686" s="7" t="s">
        <v>546</v>
      </c>
      <c r="J2686" s="21" t="n">
        <f aca="false">D2686/(D2686+E2686)</f>
        <v>0.493827160493827</v>
      </c>
      <c r="K2686" s="3" t="n">
        <f aca="false">IF(D2686&gt;E2686,1,0)</f>
        <v>0</v>
      </c>
      <c r="L2686" s="3" t="n">
        <f aca="false">IF(OR(F2686="Y",G2686="Y",H2686="Y"),1,0)</f>
        <v>0</v>
      </c>
      <c r="M2686" s="3" t="n">
        <f aca="false">IF(H2686="Y",1,0)</f>
        <v>0</v>
      </c>
      <c r="N2686" s="3" t="n">
        <f aca="false">IF(I2686="Y",1,0)</f>
        <v>0</v>
      </c>
    </row>
    <row r="2687" customFormat="false" ht="15" hidden="false" customHeight="true" outlineLevel="0" collapsed="false">
      <c r="A2687" s="7" t="s">
        <v>85</v>
      </c>
      <c r="B2687" s="7" t="n">
        <v>2018</v>
      </c>
      <c r="C2687" s="7" t="s">
        <v>389</v>
      </c>
      <c r="D2687" s="7" t="n">
        <v>90</v>
      </c>
      <c r="E2687" s="7" t="n">
        <v>72</v>
      </c>
      <c r="F2687" s="7" t="s">
        <v>546</v>
      </c>
      <c r="G2687" s="7" t="s">
        <v>546</v>
      </c>
      <c r="H2687" s="7" t="s">
        <v>546</v>
      </c>
      <c r="I2687" s="7" t="s">
        <v>546</v>
      </c>
      <c r="J2687" s="21" t="n">
        <f aca="false">D2687/(D2687+E2687)</f>
        <v>0.555555555555556</v>
      </c>
      <c r="K2687" s="3" t="n">
        <f aca="false">IF(D2687&gt;E2687,1,0)</f>
        <v>1</v>
      </c>
      <c r="L2687" s="3" t="n">
        <f aca="false">IF(OR(F2687="Y",G2687="Y",H2687="Y"),1,0)</f>
        <v>0</v>
      </c>
      <c r="M2687" s="3" t="n">
        <f aca="false">IF(H2687="Y",1,0)</f>
        <v>0</v>
      </c>
      <c r="N2687" s="3" t="n">
        <f aca="false">IF(I2687="Y",1,0)</f>
        <v>0</v>
      </c>
    </row>
    <row r="2688" customFormat="false" ht="15" hidden="false" customHeight="true" outlineLevel="0" collapsed="false">
      <c r="A2688" s="7" t="s">
        <v>85</v>
      </c>
      <c r="B2688" s="7" t="n">
        <v>2019</v>
      </c>
      <c r="C2688" s="7" t="s">
        <v>389</v>
      </c>
      <c r="D2688" s="7" t="n">
        <v>96</v>
      </c>
      <c r="E2688" s="7" t="n">
        <v>66</v>
      </c>
      <c r="F2688" s="7" t="s">
        <v>546</v>
      </c>
      <c r="G2688" s="7" t="s">
        <v>548</v>
      </c>
      <c r="H2688" s="7" t="s">
        <v>546</v>
      </c>
      <c r="I2688" s="7" t="s">
        <v>546</v>
      </c>
      <c r="J2688" s="21" t="n">
        <f aca="false">D2688/(D2688+E2688)</f>
        <v>0.592592592592593</v>
      </c>
      <c r="K2688" s="3" t="n">
        <f aca="false">IF(D2688&gt;E2688,1,0)</f>
        <v>1</v>
      </c>
      <c r="L2688" s="3" t="n">
        <f aca="false">IF(OR(F2688="Y",G2688="Y",H2688="Y"),1,0)</f>
        <v>1</v>
      </c>
      <c r="M2688" s="3" t="n">
        <f aca="false">IF(H2688="Y",1,0)</f>
        <v>0</v>
      </c>
      <c r="N2688" s="3" t="n">
        <f aca="false">IF(I2688="Y",1,0)</f>
        <v>0</v>
      </c>
    </row>
    <row r="2689" customFormat="false" ht="15" hidden="false" customHeight="true" outlineLevel="0" collapsed="false">
      <c r="A2689" s="7" t="s">
        <v>85</v>
      </c>
      <c r="B2689" s="7" t="n">
        <v>2020</v>
      </c>
      <c r="C2689" s="7" t="s">
        <v>389</v>
      </c>
      <c r="D2689" s="7" t="n">
        <v>40</v>
      </c>
      <c r="E2689" s="7" t="n">
        <v>20</v>
      </c>
      <c r="F2689" s="7" t="s">
        <v>548</v>
      </c>
      <c r="G2689" s="7" t="s">
        <v>546</v>
      </c>
      <c r="H2689" s="7" t="s">
        <v>548</v>
      </c>
      <c r="I2689" s="7" t="s">
        <v>546</v>
      </c>
      <c r="J2689" s="21" t="n">
        <f aca="false">D2689/(D2689+E2689)</f>
        <v>0.666666666666667</v>
      </c>
      <c r="K2689" s="3" t="n">
        <f aca="false">IF(D2689&gt;E2689,1,0)</f>
        <v>1</v>
      </c>
      <c r="L2689" s="3" t="n">
        <f aca="false">IF(OR(F2689="Y",G2689="Y",H2689="Y"),1,0)</f>
        <v>1</v>
      </c>
      <c r="M2689" s="3" t="n">
        <f aca="false">IF(H2689="Y",1,0)</f>
        <v>1</v>
      </c>
      <c r="N2689" s="3" t="n">
        <f aca="false">IF(I2689="Y",1,0)</f>
        <v>0</v>
      </c>
    </row>
    <row r="2690" customFormat="false" ht="15" hidden="false" customHeight="true" outlineLevel="0" collapsed="false">
      <c r="A2690" s="7" t="s">
        <v>85</v>
      </c>
      <c r="B2690" s="7" t="n">
        <v>2021</v>
      </c>
      <c r="C2690" s="7" t="s">
        <v>389</v>
      </c>
      <c r="D2690" s="7" t="n">
        <v>100</v>
      </c>
      <c r="E2690" s="7" t="n">
        <v>62</v>
      </c>
      <c r="F2690" s="7" t="s">
        <v>548</v>
      </c>
      <c r="G2690" s="7" t="s">
        <v>546</v>
      </c>
      <c r="H2690" s="7" t="s">
        <v>546</v>
      </c>
      <c r="I2690" s="7" t="s">
        <v>546</v>
      </c>
      <c r="J2690" s="21" t="n">
        <f aca="false">D2690/(D2690+E2690)</f>
        <v>0.617283950617284</v>
      </c>
      <c r="K2690" s="3" t="n">
        <f aca="false">IF(D2690&gt;E2690,1,0)</f>
        <v>1</v>
      </c>
      <c r="L2690" s="3" t="n">
        <f aca="false">IF(OR(F2690="Y",G2690="Y",H2690="Y"),1,0)</f>
        <v>1</v>
      </c>
      <c r="M2690" s="3" t="n">
        <f aca="false">IF(H2690="Y",1,0)</f>
        <v>0</v>
      </c>
      <c r="N2690" s="3" t="n">
        <f aca="false">IF(I2690="Y",1,0)</f>
        <v>0</v>
      </c>
    </row>
    <row r="2691" customFormat="false" ht="15" hidden="false" customHeight="true" outlineLevel="0" collapsed="false">
      <c r="A2691" s="7" t="s">
        <v>85</v>
      </c>
      <c r="B2691" s="7" t="n">
        <v>2022</v>
      </c>
      <c r="C2691" s="7" t="s">
        <v>389</v>
      </c>
      <c r="D2691" s="7" t="n">
        <v>86</v>
      </c>
      <c r="E2691" s="7" t="n">
        <v>76</v>
      </c>
      <c r="F2691" s="7" t="s">
        <v>546</v>
      </c>
      <c r="G2691" s="7" t="s">
        <v>548</v>
      </c>
      <c r="H2691" s="7" t="s">
        <v>546</v>
      </c>
      <c r="I2691" s="7" t="s">
        <v>546</v>
      </c>
      <c r="J2691" s="21" t="n">
        <f aca="false">D2691/(D2691+E2691)</f>
        <v>0.530864197530864</v>
      </c>
      <c r="K2691" s="3" t="n">
        <f aca="false">IF(D2691&gt;E2691,1,0)</f>
        <v>1</v>
      </c>
      <c r="L2691" s="3" t="n">
        <f aca="false">IF(OR(F2691="Y",G2691="Y",H2691="Y"),1,0)</f>
        <v>1</v>
      </c>
      <c r="M2691" s="3" t="n">
        <f aca="false">IF(H2691="Y",1,0)</f>
        <v>0</v>
      </c>
      <c r="N2691" s="3" t="n">
        <f aca="false">IF(I2691="Y",1,0)</f>
        <v>0</v>
      </c>
    </row>
    <row r="2692" customFormat="false" ht="15" hidden="false" customHeight="true" outlineLevel="0" collapsed="false">
      <c r="A2692" s="7" t="s">
        <v>85</v>
      </c>
      <c r="B2692" s="7" t="n">
        <v>2023</v>
      </c>
      <c r="C2692" s="7" t="s">
        <v>389</v>
      </c>
      <c r="D2692" s="7" t="n">
        <v>99</v>
      </c>
      <c r="E2692" s="7" t="n">
        <v>63</v>
      </c>
      <c r="F2692" s="7" t="s">
        <v>546</v>
      </c>
      <c r="G2692" s="7" t="s">
        <v>548</v>
      </c>
      <c r="H2692" s="7" t="s">
        <v>546</v>
      </c>
      <c r="I2692" s="7" t="s">
        <v>546</v>
      </c>
      <c r="J2692" s="21" t="n">
        <f aca="false">D2692/(D2692+E2692)</f>
        <v>0.611111111111111</v>
      </c>
      <c r="K2692" s="3" t="n">
        <f aca="false">IF(D2692&gt;E2692,1,0)</f>
        <v>1</v>
      </c>
      <c r="L2692" s="3" t="n">
        <f aca="false">IF(OR(F2692="Y",G2692="Y",H2692="Y"),1,0)</f>
        <v>1</v>
      </c>
      <c r="M2692" s="3" t="n">
        <f aca="false">IF(H2692="Y",1,0)</f>
        <v>0</v>
      </c>
      <c r="N2692" s="3" t="n">
        <f aca="false">IF(I2692="Y",1,0)</f>
        <v>0</v>
      </c>
    </row>
    <row r="2693" customFormat="false" ht="15" hidden="false" customHeight="true" outlineLevel="0" collapsed="false">
      <c r="A2693" s="7" t="s">
        <v>85</v>
      </c>
      <c r="B2693" s="7" t="n">
        <v>2024</v>
      </c>
      <c r="C2693" s="7" t="s">
        <v>389</v>
      </c>
      <c r="D2693" s="7" t="n">
        <v>80</v>
      </c>
      <c r="E2693" s="7" t="n">
        <v>82</v>
      </c>
      <c r="F2693" s="7" t="s">
        <v>546</v>
      </c>
      <c r="G2693" s="7" t="s">
        <v>546</v>
      </c>
      <c r="H2693" s="7" t="s">
        <v>546</v>
      </c>
      <c r="I2693" s="7" t="s">
        <v>546</v>
      </c>
      <c r="J2693" s="21" t="n">
        <f aca="false">D2693/(D2693+E2693)</f>
        <v>0.493827160493827</v>
      </c>
      <c r="K2693" s="3" t="n">
        <f aca="false">IF(D2693&gt;E2693,1,0)</f>
        <v>0</v>
      </c>
      <c r="L2693" s="3" t="n">
        <f aca="false">IF(OR(F2693="Y",G2693="Y",H2693="Y"),1,0)</f>
        <v>0</v>
      </c>
      <c r="M2693" s="3" t="n">
        <f aca="false">IF(H2693="Y",1,0)</f>
        <v>0</v>
      </c>
      <c r="N2693" s="3" t="n">
        <f aca="false">IF(I2693="Y",1,0)</f>
        <v>0</v>
      </c>
    </row>
    <row r="2694" customFormat="false" ht="15" hidden="false" customHeight="true" outlineLevel="0" collapsed="false">
      <c r="A2694" s="7" t="s">
        <v>85</v>
      </c>
      <c r="B2694" s="7" t="n">
        <v>2025</v>
      </c>
      <c r="C2694" s="7" t="s">
        <v>389</v>
      </c>
      <c r="D2694" s="7" t="n">
        <v>77</v>
      </c>
      <c r="E2694" s="7" t="n">
        <v>85</v>
      </c>
      <c r="F2694" s="7" t="s">
        <v>546</v>
      </c>
      <c r="G2694" s="7" t="s">
        <v>546</v>
      </c>
      <c r="H2694" s="7" t="s">
        <v>546</v>
      </c>
      <c r="I2694" s="7" t="s">
        <v>546</v>
      </c>
      <c r="J2694" s="21" t="n">
        <f aca="false">D2694/(D2694+E2694)</f>
        <v>0.475308641975309</v>
      </c>
      <c r="K2694" s="3" t="n">
        <f aca="false">IF(D2694&gt;E2694,1,0)</f>
        <v>0</v>
      </c>
      <c r="L2694" s="3" t="n">
        <f aca="false">IF(OR(F2694="Y",G2694="Y",H2694="Y"),1,0)</f>
        <v>0</v>
      </c>
      <c r="M2694" s="3" t="n">
        <f aca="false">IF(H2694="Y",1,0)</f>
        <v>0</v>
      </c>
      <c r="N2694" s="3" t="n">
        <f aca="false">IF(I2694="Y",1,0)</f>
        <v>0</v>
      </c>
    </row>
    <row r="2695" customFormat="false" ht="15" hidden="false" customHeight="true" outlineLevel="0" collapsed="false">
      <c r="A2695" s="7" t="s">
        <v>73</v>
      </c>
      <c r="B2695" s="7" t="n">
        <v>1961</v>
      </c>
      <c r="C2695" s="7" t="s">
        <v>509</v>
      </c>
      <c r="D2695" s="7" t="n">
        <v>61</v>
      </c>
      <c r="E2695" s="7" t="n">
        <v>100</v>
      </c>
      <c r="F2695" s="7"/>
      <c r="G2695" s="7"/>
      <c r="H2695" s="7" t="s">
        <v>546</v>
      </c>
      <c r="I2695" s="7" t="s">
        <v>546</v>
      </c>
      <c r="J2695" s="21" t="n">
        <f aca="false">D2695/(D2695+E2695)</f>
        <v>0.37888198757764</v>
      </c>
      <c r="K2695" s="3" t="n">
        <f aca="false">IF(D2695&gt;E2695,1,0)</f>
        <v>0</v>
      </c>
      <c r="L2695" s="3" t="n">
        <f aca="false">IF(OR(F2695="Y",G2695="Y",H2695="Y"),1,0)</f>
        <v>0</v>
      </c>
      <c r="M2695" s="3" t="n">
        <f aca="false">IF(H2695="Y",1,0)</f>
        <v>0</v>
      </c>
      <c r="N2695" s="3" t="n">
        <f aca="false">IF(I2695="Y",1,0)</f>
        <v>0</v>
      </c>
    </row>
    <row r="2696" customFormat="false" ht="15" hidden="false" customHeight="true" outlineLevel="0" collapsed="false">
      <c r="A2696" s="7" t="s">
        <v>73</v>
      </c>
      <c r="B2696" s="7" t="n">
        <v>1962</v>
      </c>
      <c r="C2696" s="7" t="s">
        <v>509</v>
      </c>
      <c r="D2696" s="7" t="n">
        <v>60</v>
      </c>
      <c r="E2696" s="7" t="n">
        <v>101</v>
      </c>
      <c r="F2696" s="7"/>
      <c r="G2696" s="7"/>
      <c r="H2696" s="7" t="s">
        <v>546</v>
      </c>
      <c r="I2696" s="7" t="s">
        <v>546</v>
      </c>
      <c r="J2696" s="21" t="n">
        <f aca="false">D2696/(D2696+E2696)</f>
        <v>0.372670807453416</v>
      </c>
      <c r="K2696" s="3" t="n">
        <f aca="false">IF(D2696&gt;E2696,1,0)</f>
        <v>0</v>
      </c>
      <c r="L2696" s="3" t="n">
        <f aca="false">IF(OR(F2696="Y",G2696="Y",H2696="Y"),1,0)</f>
        <v>0</v>
      </c>
      <c r="M2696" s="3" t="n">
        <f aca="false">IF(H2696="Y",1,0)</f>
        <v>0</v>
      </c>
      <c r="N2696" s="3" t="n">
        <f aca="false">IF(I2696="Y",1,0)</f>
        <v>0</v>
      </c>
    </row>
    <row r="2697" customFormat="false" ht="15" hidden="false" customHeight="true" outlineLevel="0" collapsed="false">
      <c r="A2697" s="7" t="s">
        <v>73</v>
      </c>
      <c r="B2697" s="7" t="n">
        <v>1963</v>
      </c>
      <c r="C2697" s="7" t="s">
        <v>509</v>
      </c>
      <c r="D2697" s="7" t="n">
        <v>56</v>
      </c>
      <c r="E2697" s="7" t="n">
        <v>106</v>
      </c>
      <c r="F2697" s="7"/>
      <c r="G2697" s="7"/>
      <c r="H2697" s="7" t="s">
        <v>546</v>
      </c>
      <c r="I2697" s="7" t="s">
        <v>546</v>
      </c>
      <c r="J2697" s="21" t="n">
        <f aca="false">D2697/(D2697+E2697)</f>
        <v>0.345679012345679</v>
      </c>
      <c r="K2697" s="3" t="n">
        <f aca="false">IF(D2697&gt;E2697,1,0)</f>
        <v>0</v>
      </c>
      <c r="L2697" s="3" t="n">
        <f aca="false">IF(OR(F2697="Y",G2697="Y",H2697="Y"),1,0)</f>
        <v>0</v>
      </c>
      <c r="M2697" s="3" t="n">
        <f aca="false">IF(H2697="Y",1,0)</f>
        <v>0</v>
      </c>
      <c r="N2697" s="3" t="n">
        <f aca="false">IF(I2697="Y",1,0)</f>
        <v>0</v>
      </c>
    </row>
    <row r="2698" customFormat="false" ht="15" hidden="false" customHeight="true" outlineLevel="0" collapsed="false">
      <c r="A2698" s="7" t="s">
        <v>73</v>
      </c>
      <c r="B2698" s="7" t="n">
        <v>1964</v>
      </c>
      <c r="C2698" s="7" t="s">
        <v>509</v>
      </c>
      <c r="D2698" s="7" t="n">
        <v>62</v>
      </c>
      <c r="E2698" s="7" t="n">
        <v>100</v>
      </c>
      <c r="F2698" s="7"/>
      <c r="G2698" s="7"/>
      <c r="H2698" s="7" t="s">
        <v>546</v>
      </c>
      <c r="I2698" s="7" t="s">
        <v>546</v>
      </c>
      <c r="J2698" s="21" t="n">
        <f aca="false">D2698/(D2698+E2698)</f>
        <v>0.382716049382716</v>
      </c>
      <c r="K2698" s="3" t="n">
        <f aca="false">IF(D2698&gt;E2698,1,0)</f>
        <v>0</v>
      </c>
      <c r="L2698" s="3" t="n">
        <f aca="false">IF(OR(F2698="Y",G2698="Y",H2698="Y"),1,0)</f>
        <v>0</v>
      </c>
      <c r="M2698" s="3" t="n">
        <f aca="false">IF(H2698="Y",1,0)</f>
        <v>0</v>
      </c>
      <c r="N2698" s="3" t="n">
        <f aca="false">IF(I2698="Y",1,0)</f>
        <v>0</v>
      </c>
    </row>
    <row r="2699" customFormat="false" ht="15" hidden="false" customHeight="true" outlineLevel="0" collapsed="false">
      <c r="A2699" s="7" t="s">
        <v>73</v>
      </c>
      <c r="B2699" s="7" t="n">
        <v>1965</v>
      </c>
      <c r="C2699" s="7" t="s">
        <v>509</v>
      </c>
      <c r="D2699" s="7" t="n">
        <v>70</v>
      </c>
      <c r="E2699" s="7" t="n">
        <v>92</v>
      </c>
      <c r="F2699" s="7"/>
      <c r="G2699" s="7"/>
      <c r="H2699" s="7" t="s">
        <v>546</v>
      </c>
      <c r="I2699" s="7" t="s">
        <v>546</v>
      </c>
      <c r="J2699" s="21" t="n">
        <f aca="false">D2699/(D2699+E2699)</f>
        <v>0.432098765432099</v>
      </c>
      <c r="K2699" s="3" t="n">
        <f aca="false">IF(D2699&gt;E2699,1,0)</f>
        <v>0</v>
      </c>
      <c r="L2699" s="3" t="n">
        <f aca="false">IF(OR(F2699="Y",G2699="Y",H2699="Y"),1,0)</f>
        <v>0</v>
      </c>
      <c r="M2699" s="3" t="n">
        <f aca="false">IF(H2699="Y",1,0)</f>
        <v>0</v>
      </c>
      <c r="N2699" s="3" t="n">
        <f aca="false">IF(I2699="Y",1,0)</f>
        <v>0</v>
      </c>
    </row>
    <row r="2700" customFormat="false" ht="15" hidden="false" customHeight="true" outlineLevel="0" collapsed="false">
      <c r="A2700" s="7" t="s">
        <v>73</v>
      </c>
      <c r="B2700" s="7" t="n">
        <v>1966</v>
      </c>
      <c r="C2700" s="7" t="s">
        <v>509</v>
      </c>
      <c r="D2700" s="7" t="n">
        <v>71</v>
      </c>
      <c r="E2700" s="7" t="n">
        <v>88</v>
      </c>
      <c r="F2700" s="7"/>
      <c r="G2700" s="7"/>
      <c r="H2700" s="7" t="s">
        <v>546</v>
      </c>
      <c r="I2700" s="7" t="s">
        <v>546</v>
      </c>
      <c r="J2700" s="21" t="n">
        <f aca="false">D2700/(D2700+E2700)</f>
        <v>0.446540880503145</v>
      </c>
      <c r="K2700" s="3" t="n">
        <f aca="false">IF(D2700&gt;E2700,1,0)</f>
        <v>0</v>
      </c>
      <c r="L2700" s="3" t="n">
        <f aca="false">IF(OR(F2700="Y",G2700="Y",H2700="Y"),1,0)</f>
        <v>0</v>
      </c>
      <c r="M2700" s="3" t="n">
        <f aca="false">IF(H2700="Y",1,0)</f>
        <v>0</v>
      </c>
      <c r="N2700" s="3" t="n">
        <f aca="false">IF(I2700="Y",1,0)</f>
        <v>0</v>
      </c>
    </row>
    <row r="2701" customFormat="false" ht="15" hidden="false" customHeight="true" outlineLevel="0" collapsed="false">
      <c r="A2701" s="7" t="s">
        <v>73</v>
      </c>
      <c r="B2701" s="7" t="n">
        <v>1967</v>
      </c>
      <c r="C2701" s="7" t="s">
        <v>509</v>
      </c>
      <c r="D2701" s="7" t="n">
        <v>76</v>
      </c>
      <c r="E2701" s="7" t="n">
        <v>85</v>
      </c>
      <c r="F2701" s="7"/>
      <c r="G2701" s="7"/>
      <c r="H2701" s="7" t="s">
        <v>546</v>
      </c>
      <c r="I2701" s="7" t="s">
        <v>546</v>
      </c>
      <c r="J2701" s="21" t="n">
        <f aca="false">D2701/(D2701+E2701)</f>
        <v>0.472049689440994</v>
      </c>
      <c r="K2701" s="3" t="n">
        <f aca="false">IF(D2701&gt;E2701,1,0)</f>
        <v>0</v>
      </c>
      <c r="L2701" s="3" t="n">
        <f aca="false">IF(OR(F2701="Y",G2701="Y",H2701="Y"),1,0)</f>
        <v>0</v>
      </c>
      <c r="M2701" s="3" t="n">
        <f aca="false">IF(H2701="Y",1,0)</f>
        <v>0</v>
      </c>
      <c r="N2701" s="3" t="n">
        <f aca="false">IF(I2701="Y",1,0)</f>
        <v>0</v>
      </c>
    </row>
    <row r="2702" customFormat="false" ht="15" hidden="false" customHeight="true" outlineLevel="0" collapsed="false">
      <c r="A2702" s="7" t="s">
        <v>73</v>
      </c>
      <c r="B2702" s="7" t="n">
        <v>1968</v>
      </c>
      <c r="C2702" s="7" t="s">
        <v>509</v>
      </c>
      <c r="D2702" s="7" t="n">
        <v>65</v>
      </c>
      <c r="E2702" s="7" t="n">
        <v>96</v>
      </c>
      <c r="F2702" s="7"/>
      <c r="G2702" s="7"/>
      <c r="H2702" s="7" t="s">
        <v>546</v>
      </c>
      <c r="I2702" s="7" t="s">
        <v>546</v>
      </c>
      <c r="J2702" s="21" t="n">
        <f aca="false">D2702/(D2702+E2702)</f>
        <v>0.403726708074534</v>
      </c>
      <c r="K2702" s="3" t="n">
        <f aca="false">IF(D2702&gt;E2702,1,0)</f>
        <v>0</v>
      </c>
      <c r="L2702" s="3" t="n">
        <f aca="false">IF(OR(F2702="Y",G2702="Y",H2702="Y"),1,0)</f>
        <v>0</v>
      </c>
      <c r="M2702" s="3" t="n">
        <f aca="false">IF(H2702="Y",1,0)</f>
        <v>0</v>
      </c>
      <c r="N2702" s="3" t="n">
        <f aca="false">IF(I2702="Y",1,0)</f>
        <v>0</v>
      </c>
    </row>
    <row r="2703" customFormat="false" ht="15" hidden="false" customHeight="true" outlineLevel="0" collapsed="false">
      <c r="A2703" s="7" t="s">
        <v>73</v>
      </c>
      <c r="B2703" s="7" t="n">
        <v>1969</v>
      </c>
      <c r="C2703" s="7" t="s">
        <v>509</v>
      </c>
      <c r="D2703" s="7" t="n">
        <v>86</v>
      </c>
      <c r="E2703" s="7" t="n">
        <v>76</v>
      </c>
      <c r="F2703" s="7" t="s">
        <v>546</v>
      </c>
      <c r="G2703" s="7"/>
      <c r="H2703" s="7" t="s">
        <v>546</v>
      </c>
      <c r="I2703" s="7" t="s">
        <v>546</v>
      </c>
      <c r="J2703" s="21" t="n">
        <f aca="false">D2703/(D2703+E2703)</f>
        <v>0.530864197530864</v>
      </c>
      <c r="K2703" s="3" t="n">
        <f aca="false">IF(D2703&gt;E2703,1,0)</f>
        <v>1</v>
      </c>
      <c r="L2703" s="3" t="n">
        <f aca="false">IF(OR(F2703="Y",G2703="Y",H2703="Y"),1,0)</f>
        <v>0</v>
      </c>
      <c r="M2703" s="3" t="n">
        <f aca="false">IF(H2703="Y",1,0)</f>
        <v>0</v>
      </c>
      <c r="N2703" s="3" t="n">
        <f aca="false">IF(I2703="Y",1,0)</f>
        <v>0</v>
      </c>
    </row>
    <row r="2704" customFormat="false" ht="15" hidden="false" customHeight="true" outlineLevel="0" collapsed="false">
      <c r="A2704" s="7" t="s">
        <v>73</v>
      </c>
      <c r="B2704" s="7" t="n">
        <v>1970</v>
      </c>
      <c r="C2704" s="7" t="s">
        <v>509</v>
      </c>
      <c r="D2704" s="7" t="n">
        <v>70</v>
      </c>
      <c r="E2704" s="7" t="n">
        <v>92</v>
      </c>
      <c r="F2704" s="7" t="s">
        <v>546</v>
      </c>
      <c r="G2704" s="7"/>
      <c r="H2704" s="7" t="s">
        <v>546</v>
      </c>
      <c r="I2704" s="7" t="s">
        <v>546</v>
      </c>
      <c r="J2704" s="21" t="n">
        <f aca="false">D2704/(D2704+E2704)</f>
        <v>0.432098765432099</v>
      </c>
      <c r="K2704" s="3" t="n">
        <f aca="false">IF(D2704&gt;E2704,1,0)</f>
        <v>0</v>
      </c>
      <c r="L2704" s="3" t="n">
        <f aca="false">IF(OR(F2704="Y",G2704="Y",H2704="Y"),1,0)</f>
        <v>0</v>
      </c>
      <c r="M2704" s="3" t="n">
        <f aca="false">IF(H2704="Y",1,0)</f>
        <v>0</v>
      </c>
      <c r="N2704" s="3" t="n">
        <f aca="false">IF(I2704="Y",1,0)</f>
        <v>0</v>
      </c>
    </row>
    <row r="2705" customFormat="false" ht="15" hidden="false" customHeight="true" outlineLevel="0" collapsed="false">
      <c r="A2705" s="7" t="s">
        <v>73</v>
      </c>
      <c r="B2705" s="7" t="n">
        <v>1971</v>
      </c>
      <c r="C2705" s="7" t="s">
        <v>509</v>
      </c>
      <c r="D2705" s="7" t="n">
        <v>63</v>
      </c>
      <c r="E2705" s="7" t="n">
        <v>96</v>
      </c>
      <c r="F2705" s="7" t="s">
        <v>546</v>
      </c>
      <c r="G2705" s="7"/>
      <c r="H2705" s="7" t="s">
        <v>546</v>
      </c>
      <c r="I2705" s="7" t="s">
        <v>546</v>
      </c>
      <c r="J2705" s="21" t="n">
        <f aca="false">D2705/(D2705+E2705)</f>
        <v>0.39622641509434</v>
      </c>
      <c r="K2705" s="3" t="n">
        <f aca="false">IF(D2705&gt;E2705,1,0)</f>
        <v>0</v>
      </c>
      <c r="L2705" s="3" t="n">
        <f aca="false">IF(OR(F2705="Y",G2705="Y",H2705="Y"),1,0)</f>
        <v>0</v>
      </c>
      <c r="M2705" s="3" t="n">
        <f aca="false">IF(H2705="Y",1,0)</f>
        <v>0</v>
      </c>
      <c r="N2705" s="3" t="n">
        <f aca="false">IF(I2705="Y",1,0)</f>
        <v>0</v>
      </c>
    </row>
    <row r="2706" customFormat="false" ht="15" hidden="false" customHeight="true" outlineLevel="0" collapsed="false">
      <c r="A2706" s="7" t="s">
        <v>73</v>
      </c>
      <c r="B2706" s="7" t="n">
        <v>1972</v>
      </c>
      <c r="C2706" s="7" t="s">
        <v>374</v>
      </c>
      <c r="D2706" s="7" t="n">
        <v>54</v>
      </c>
      <c r="E2706" s="7" t="n">
        <v>100</v>
      </c>
      <c r="F2706" s="7" t="s">
        <v>546</v>
      </c>
      <c r="G2706" s="7"/>
      <c r="H2706" s="7" t="s">
        <v>546</v>
      </c>
      <c r="I2706" s="7" t="s">
        <v>546</v>
      </c>
      <c r="J2706" s="21" t="n">
        <f aca="false">D2706/(D2706+E2706)</f>
        <v>0.350649350649351</v>
      </c>
      <c r="K2706" s="3" t="n">
        <f aca="false">IF(D2706&gt;E2706,1,0)</f>
        <v>0</v>
      </c>
      <c r="L2706" s="3" t="n">
        <f aca="false">IF(OR(F2706="Y",G2706="Y",H2706="Y"),1,0)</f>
        <v>0</v>
      </c>
      <c r="M2706" s="3" t="n">
        <f aca="false">IF(H2706="Y",1,0)</f>
        <v>0</v>
      </c>
      <c r="N2706" s="3" t="n">
        <f aca="false">IF(I2706="Y",1,0)</f>
        <v>0</v>
      </c>
    </row>
    <row r="2707" customFormat="false" ht="15" hidden="false" customHeight="true" outlineLevel="0" collapsed="false">
      <c r="A2707" s="7" t="s">
        <v>73</v>
      </c>
      <c r="B2707" s="7" t="n">
        <v>1973</v>
      </c>
      <c r="C2707" s="7" t="s">
        <v>374</v>
      </c>
      <c r="D2707" s="7" t="n">
        <v>57</v>
      </c>
      <c r="E2707" s="7" t="n">
        <v>105</v>
      </c>
      <c r="F2707" s="7" t="s">
        <v>546</v>
      </c>
      <c r="G2707" s="7"/>
      <c r="H2707" s="7" t="s">
        <v>546</v>
      </c>
      <c r="I2707" s="7" t="s">
        <v>546</v>
      </c>
      <c r="J2707" s="21" t="n">
        <f aca="false">D2707/(D2707+E2707)</f>
        <v>0.351851851851852</v>
      </c>
      <c r="K2707" s="3" t="n">
        <f aca="false">IF(D2707&gt;E2707,1,0)</f>
        <v>0</v>
      </c>
      <c r="L2707" s="3" t="n">
        <f aca="false">IF(OR(F2707="Y",G2707="Y",H2707="Y"),1,0)</f>
        <v>0</v>
      </c>
      <c r="M2707" s="3" t="n">
        <f aca="false">IF(H2707="Y",1,0)</f>
        <v>0</v>
      </c>
      <c r="N2707" s="3" t="n">
        <f aca="false">IF(I2707="Y",1,0)</f>
        <v>0</v>
      </c>
    </row>
    <row r="2708" customFormat="false" ht="15" hidden="false" customHeight="true" outlineLevel="0" collapsed="false">
      <c r="A2708" s="7" t="s">
        <v>73</v>
      </c>
      <c r="B2708" s="7" t="n">
        <v>1974</v>
      </c>
      <c r="C2708" s="7" t="s">
        <v>374</v>
      </c>
      <c r="D2708" s="7" t="n">
        <v>84</v>
      </c>
      <c r="E2708" s="7" t="n">
        <v>76</v>
      </c>
      <c r="F2708" s="7" t="s">
        <v>546</v>
      </c>
      <c r="G2708" s="7"/>
      <c r="H2708" s="7" t="s">
        <v>546</v>
      </c>
      <c r="I2708" s="7" t="s">
        <v>546</v>
      </c>
      <c r="J2708" s="21" t="n">
        <f aca="false">D2708/(D2708+E2708)</f>
        <v>0.525</v>
      </c>
      <c r="K2708" s="3" t="n">
        <f aca="false">IF(D2708&gt;E2708,1,0)</f>
        <v>1</v>
      </c>
      <c r="L2708" s="3" t="n">
        <f aca="false">IF(OR(F2708="Y",G2708="Y",H2708="Y"),1,0)</f>
        <v>0</v>
      </c>
      <c r="M2708" s="3" t="n">
        <f aca="false">IF(H2708="Y",1,0)</f>
        <v>0</v>
      </c>
      <c r="N2708" s="3" t="n">
        <f aca="false">IF(I2708="Y",1,0)</f>
        <v>0</v>
      </c>
    </row>
    <row r="2709" customFormat="false" ht="15" hidden="false" customHeight="true" outlineLevel="0" collapsed="false">
      <c r="A2709" s="7" t="s">
        <v>73</v>
      </c>
      <c r="B2709" s="7" t="n">
        <v>1975</v>
      </c>
      <c r="C2709" s="7" t="s">
        <v>374</v>
      </c>
      <c r="D2709" s="7" t="n">
        <v>79</v>
      </c>
      <c r="E2709" s="7" t="n">
        <v>83</v>
      </c>
      <c r="F2709" s="7" t="s">
        <v>546</v>
      </c>
      <c r="G2709" s="7"/>
      <c r="H2709" s="7" t="s">
        <v>546</v>
      </c>
      <c r="I2709" s="7" t="s">
        <v>546</v>
      </c>
      <c r="J2709" s="21" t="n">
        <f aca="false">D2709/(D2709+E2709)</f>
        <v>0.487654320987654</v>
      </c>
      <c r="K2709" s="3" t="n">
        <f aca="false">IF(D2709&gt;E2709,1,0)</f>
        <v>0</v>
      </c>
      <c r="L2709" s="3" t="n">
        <f aca="false">IF(OR(F2709="Y",G2709="Y",H2709="Y"),1,0)</f>
        <v>0</v>
      </c>
      <c r="M2709" s="3" t="n">
        <f aca="false">IF(H2709="Y",1,0)</f>
        <v>0</v>
      </c>
      <c r="N2709" s="3" t="n">
        <f aca="false">IF(I2709="Y",1,0)</f>
        <v>0</v>
      </c>
    </row>
    <row r="2710" customFormat="false" ht="15" hidden="false" customHeight="true" outlineLevel="0" collapsed="false">
      <c r="A2710" s="7" t="s">
        <v>73</v>
      </c>
      <c r="B2710" s="7" t="n">
        <v>1976</v>
      </c>
      <c r="C2710" s="7" t="s">
        <v>374</v>
      </c>
      <c r="D2710" s="7" t="n">
        <v>76</v>
      </c>
      <c r="E2710" s="7" t="n">
        <v>86</v>
      </c>
      <c r="F2710" s="7" t="s">
        <v>546</v>
      </c>
      <c r="G2710" s="7"/>
      <c r="H2710" s="7" t="s">
        <v>546</v>
      </c>
      <c r="I2710" s="7" t="s">
        <v>546</v>
      </c>
      <c r="J2710" s="21" t="n">
        <f aca="false">D2710/(D2710+E2710)</f>
        <v>0.469135802469136</v>
      </c>
      <c r="K2710" s="3" t="n">
        <f aca="false">IF(D2710&gt;E2710,1,0)</f>
        <v>0</v>
      </c>
      <c r="L2710" s="3" t="n">
        <f aca="false">IF(OR(F2710="Y",G2710="Y",H2710="Y"),1,0)</f>
        <v>0</v>
      </c>
      <c r="M2710" s="3" t="n">
        <f aca="false">IF(H2710="Y",1,0)</f>
        <v>0</v>
      </c>
      <c r="N2710" s="3" t="n">
        <f aca="false">IF(I2710="Y",1,0)</f>
        <v>0</v>
      </c>
    </row>
    <row r="2711" customFormat="false" ht="15" hidden="false" customHeight="true" outlineLevel="0" collapsed="false">
      <c r="A2711" s="7" t="s">
        <v>73</v>
      </c>
      <c r="B2711" s="7" t="n">
        <v>1977</v>
      </c>
      <c r="C2711" s="7" t="s">
        <v>374</v>
      </c>
      <c r="D2711" s="7" t="n">
        <v>94</v>
      </c>
      <c r="E2711" s="7" t="n">
        <v>68</v>
      </c>
      <c r="F2711" s="7" t="s">
        <v>546</v>
      </c>
      <c r="G2711" s="7"/>
      <c r="H2711" s="7" t="s">
        <v>546</v>
      </c>
      <c r="I2711" s="7" t="s">
        <v>546</v>
      </c>
      <c r="J2711" s="21" t="n">
        <f aca="false">D2711/(D2711+E2711)</f>
        <v>0.580246913580247</v>
      </c>
      <c r="K2711" s="3" t="n">
        <f aca="false">IF(D2711&gt;E2711,1,0)</f>
        <v>1</v>
      </c>
      <c r="L2711" s="3" t="n">
        <f aca="false">IF(OR(F2711="Y",G2711="Y",H2711="Y"),1,0)</f>
        <v>0</v>
      </c>
      <c r="M2711" s="3" t="n">
        <f aca="false">IF(H2711="Y",1,0)</f>
        <v>0</v>
      </c>
      <c r="N2711" s="3" t="n">
        <f aca="false">IF(I2711="Y",1,0)</f>
        <v>0</v>
      </c>
    </row>
    <row r="2712" customFormat="false" ht="15" hidden="false" customHeight="true" outlineLevel="0" collapsed="false">
      <c r="A2712" s="7" t="s">
        <v>73</v>
      </c>
      <c r="B2712" s="7" t="n">
        <v>1978</v>
      </c>
      <c r="C2712" s="7" t="s">
        <v>374</v>
      </c>
      <c r="D2712" s="7" t="n">
        <v>87</v>
      </c>
      <c r="E2712" s="7" t="n">
        <v>75</v>
      </c>
      <c r="F2712" s="7" t="s">
        <v>546</v>
      </c>
      <c r="G2712" s="7"/>
      <c r="H2712" s="7" t="s">
        <v>546</v>
      </c>
      <c r="I2712" s="7" t="s">
        <v>546</v>
      </c>
      <c r="J2712" s="21" t="n">
        <f aca="false">D2712/(D2712+E2712)</f>
        <v>0.537037037037037</v>
      </c>
      <c r="K2712" s="3" t="n">
        <f aca="false">IF(D2712&gt;E2712,1,0)</f>
        <v>1</v>
      </c>
      <c r="L2712" s="3" t="n">
        <f aca="false">IF(OR(F2712="Y",G2712="Y",H2712="Y"),1,0)</f>
        <v>0</v>
      </c>
      <c r="M2712" s="3" t="n">
        <f aca="false">IF(H2712="Y",1,0)</f>
        <v>0</v>
      </c>
      <c r="N2712" s="3" t="n">
        <f aca="false">IF(I2712="Y",1,0)</f>
        <v>0</v>
      </c>
    </row>
    <row r="2713" customFormat="false" ht="15" hidden="false" customHeight="true" outlineLevel="0" collapsed="false">
      <c r="A2713" s="7" t="s">
        <v>73</v>
      </c>
      <c r="B2713" s="7" t="n">
        <v>1979</v>
      </c>
      <c r="C2713" s="7" t="s">
        <v>374</v>
      </c>
      <c r="D2713" s="7" t="n">
        <v>83</v>
      </c>
      <c r="E2713" s="7" t="n">
        <v>79</v>
      </c>
      <c r="F2713" s="7" t="s">
        <v>546</v>
      </c>
      <c r="G2713" s="7"/>
      <c r="H2713" s="7" t="s">
        <v>546</v>
      </c>
      <c r="I2713" s="7" t="s">
        <v>546</v>
      </c>
      <c r="J2713" s="21" t="n">
        <f aca="false">D2713/(D2713+E2713)</f>
        <v>0.512345679012346</v>
      </c>
      <c r="K2713" s="3" t="n">
        <f aca="false">IF(D2713&gt;E2713,1,0)</f>
        <v>1</v>
      </c>
      <c r="L2713" s="3" t="n">
        <f aca="false">IF(OR(F2713="Y",G2713="Y",H2713="Y"),1,0)</f>
        <v>0</v>
      </c>
      <c r="M2713" s="3" t="n">
        <f aca="false">IF(H2713="Y",1,0)</f>
        <v>0</v>
      </c>
      <c r="N2713" s="3" t="n">
        <f aca="false">IF(I2713="Y",1,0)</f>
        <v>0</v>
      </c>
    </row>
    <row r="2714" customFormat="false" ht="15" hidden="false" customHeight="true" outlineLevel="0" collapsed="false">
      <c r="A2714" s="7" t="s">
        <v>73</v>
      </c>
      <c r="B2714" s="7" t="n">
        <v>1980</v>
      </c>
      <c r="C2714" s="7" t="s">
        <v>374</v>
      </c>
      <c r="D2714" s="7" t="n">
        <v>76</v>
      </c>
      <c r="E2714" s="7" t="n">
        <v>85</v>
      </c>
      <c r="F2714" s="7" t="s">
        <v>546</v>
      </c>
      <c r="G2714" s="7"/>
      <c r="H2714" s="7" t="s">
        <v>546</v>
      </c>
      <c r="I2714" s="7" t="s">
        <v>546</v>
      </c>
      <c r="J2714" s="21" t="n">
        <f aca="false">D2714/(D2714+E2714)</f>
        <v>0.472049689440994</v>
      </c>
      <c r="K2714" s="3" t="n">
        <f aca="false">IF(D2714&gt;E2714,1,0)</f>
        <v>0</v>
      </c>
      <c r="L2714" s="3" t="n">
        <f aca="false">IF(OR(F2714="Y",G2714="Y",H2714="Y"),1,0)</f>
        <v>0</v>
      </c>
      <c r="M2714" s="3" t="n">
        <f aca="false">IF(H2714="Y",1,0)</f>
        <v>0</v>
      </c>
      <c r="N2714" s="3" t="n">
        <f aca="false">IF(I2714="Y",1,0)</f>
        <v>0</v>
      </c>
    </row>
    <row r="2715" customFormat="false" ht="15" hidden="false" customHeight="true" outlineLevel="0" collapsed="false">
      <c r="A2715" s="7" t="s">
        <v>73</v>
      </c>
      <c r="B2715" s="7" t="n">
        <v>1981</v>
      </c>
      <c r="C2715" s="7" t="s">
        <v>374</v>
      </c>
      <c r="D2715" s="7" t="n">
        <v>57</v>
      </c>
      <c r="E2715" s="7" t="n">
        <v>48</v>
      </c>
      <c r="F2715" s="7" t="s">
        <v>546</v>
      </c>
      <c r="G2715" s="7"/>
      <c r="H2715" s="7" t="s">
        <v>546</v>
      </c>
      <c r="I2715" s="7" t="s">
        <v>546</v>
      </c>
      <c r="J2715" s="21" t="n">
        <f aca="false">D2715/(D2715+E2715)</f>
        <v>0.542857142857143</v>
      </c>
      <c r="K2715" s="3" t="n">
        <f aca="false">IF(D2715&gt;E2715,1,0)</f>
        <v>1</v>
      </c>
      <c r="L2715" s="3" t="n">
        <f aca="false">IF(OR(F2715="Y",G2715="Y",H2715="Y"),1,0)</f>
        <v>0</v>
      </c>
      <c r="M2715" s="3" t="n">
        <f aca="false">IF(H2715="Y",1,0)</f>
        <v>0</v>
      </c>
      <c r="N2715" s="3" t="n">
        <f aca="false">IF(I2715="Y",1,0)</f>
        <v>0</v>
      </c>
    </row>
    <row r="2716" customFormat="false" ht="15" hidden="false" customHeight="true" outlineLevel="0" collapsed="false">
      <c r="A2716" s="7" t="s">
        <v>73</v>
      </c>
      <c r="B2716" s="7" t="n">
        <v>1982</v>
      </c>
      <c r="C2716" s="7" t="s">
        <v>374</v>
      </c>
      <c r="D2716" s="7" t="n">
        <v>64</v>
      </c>
      <c r="E2716" s="7" t="n">
        <v>98</v>
      </c>
      <c r="F2716" s="7" t="s">
        <v>546</v>
      </c>
      <c r="G2716" s="7"/>
      <c r="H2716" s="7" t="s">
        <v>546</v>
      </c>
      <c r="I2716" s="7" t="s">
        <v>546</v>
      </c>
      <c r="J2716" s="21" t="n">
        <f aca="false">D2716/(D2716+E2716)</f>
        <v>0.395061728395062</v>
      </c>
      <c r="K2716" s="3" t="n">
        <f aca="false">IF(D2716&gt;E2716,1,0)</f>
        <v>0</v>
      </c>
      <c r="L2716" s="3" t="n">
        <f aca="false">IF(OR(F2716="Y",G2716="Y",H2716="Y"),1,0)</f>
        <v>0</v>
      </c>
      <c r="M2716" s="3" t="n">
        <f aca="false">IF(H2716="Y",1,0)</f>
        <v>0</v>
      </c>
      <c r="N2716" s="3" t="n">
        <f aca="false">IF(I2716="Y",1,0)</f>
        <v>0</v>
      </c>
    </row>
    <row r="2717" customFormat="false" ht="15" hidden="false" customHeight="true" outlineLevel="0" collapsed="false">
      <c r="A2717" s="7" t="s">
        <v>73</v>
      </c>
      <c r="B2717" s="7" t="n">
        <v>1983</v>
      </c>
      <c r="C2717" s="7" t="s">
        <v>374</v>
      </c>
      <c r="D2717" s="7" t="n">
        <v>77</v>
      </c>
      <c r="E2717" s="7" t="n">
        <v>85</v>
      </c>
      <c r="F2717" s="7" t="s">
        <v>546</v>
      </c>
      <c r="G2717" s="7"/>
      <c r="H2717" s="7" t="s">
        <v>546</v>
      </c>
      <c r="I2717" s="7" t="s">
        <v>546</v>
      </c>
      <c r="J2717" s="21" t="n">
        <f aca="false">D2717/(D2717+E2717)</f>
        <v>0.475308641975309</v>
      </c>
      <c r="K2717" s="3" t="n">
        <f aca="false">IF(D2717&gt;E2717,1,0)</f>
        <v>0</v>
      </c>
      <c r="L2717" s="3" t="n">
        <f aca="false">IF(OR(F2717="Y",G2717="Y",H2717="Y"),1,0)</f>
        <v>0</v>
      </c>
      <c r="M2717" s="3" t="n">
        <f aca="false">IF(H2717="Y",1,0)</f>
        <v>0</v>
      </c>
      <c r="N2717" s="3" t="n">
        <f aca="false">IF(I2717="Y",1,0)</f>
        <v>0</v>
      </c>
    </row>
    <row r="2718" customFormat="false" ht="15" hidden="false" customHeight="true" outlineLevel="0" collapsed="false">
      <c r="A2718" s="7" t="s">
        <v>73</v>
      </c>
      <c r="B2718" s="7" t="n">
        <v>1984</v>
      </c>
      <c r="C2718" s="7" t="s">
        <v>374</v>
      </c>
      <c r="D2718" s="7" t="n">
        <v>69</v>
      </c>
      <c r="E2718" s="7" t="n">
        <v>92</v>
      </c>
      <c r="F2718" s="7" t="s">
        <v>546</v>
      </c>
      <c r="G2718" s="7"/>
      <c r="H2718" s="7" t="s">
        <v>546</v>
      </c>
      <c r="I2718" s="7" t="s">
        <v>546</v>
      </c>
      <c r="J2718" s="21" t="n">
        <f aca="false">D2718/(D2718+E2718)</f>
        <v>0.428571428571429</v>
      </c>
      <c r="K2718" s="3" t="n">
        <f aca="false">IF(D2718&gt;E2718,1,0)</f>
        <v>0</v>
      </c>
      <c r="L2718" s="3" t="n">
        <f aca="false">IF(OR(F2718="Y",G2718="Y",H2718="Y"),1,0)</f>
        <v>0</v>
      </c>
      <c r="M2718" s="3" t="n">
        <f aca="false">IF(H2718="Y",1,0)</f>
        <v>0</v>
      </c>
      <c r="N2718" s="3" t="n">
        <f aca="false">IF(I2718="Y",1,0)</f>
        <v>0</v>
      </c>
    </row>
    <row r="2719" customFormat="false" ht="15" hidden="false" customHeight="true" outlineLevel="0" collapsed="false">
      <c r="A2719" s="7" t="s">
        <v>73</v>
      </c>
      <c r="B2719" s="7" t="n">
        <v>1985</v>
      </c>
      <c r="C2719" s="7" t="s">
        <v>374</v>
      </c>
      <c r="D2719" s="7" t="n">
        <v>62</v>
      </c>
      <c r="E2719" s="7" t="n">
        <v>99</v>
      </c>
      <c r="F2719" s="7" t="s">
        <v>546</v>
      </c>
      <c r="G2719" s="7"/>
      <c r="H2719" s="7" t="s">
        <v>546</v>
      </c>
      <c r="I2719" s="7" t="s">
        <v>546</v>
      </c>
      <c r="J2719" s="21" t="n">
        <f aca="false">D2719/(D2719+E2719)</f>
        <v>0.385093167701863</v>
      </c>
      <c r="K2719" s="3" t="n">
        <f aca="false">IF(D2719&gt;E2719,1,0)</f>
        <v>0</v>
      </c>
      <c r="L2719" s="3" t="n">
        <f aca="false">IF(OR(F2719="Y",G2719="Y",H2719="Y"),1,0)</f>
        <v>0</v>
      </c>
      <c r="M2719" s="3" t="n">
        <f aca="false">IF(H2719="Y",1,0)</f>
        <v>0</v>
      </c>
      <c r="N2719" s="3" t="n">
        <f aca="false">IF(I2719="Y",1,0)</f>
        <v>0</v>
      </c>
    </row>
    <row r="2720" customFormat="false" ht="15" hidden="false" customHeight="true" outlineLevel="0" collapsed="false">
      <c r="A2720" s="7" t="s">
        <v>73</v>
      </c>
      <c r="B2720" s="7" t="n">
        <v>1986</v>
      </c>
      <c r="C2720" s="7" t="s">
        <v>374</v>
      </c>
      <c r="D2720" s="7" t="n">
        <v>87</v>
      </c>
      <c r="E2720" s="7" t="n">
        <v>75</v>
      </c>
      <c r="F2720" s="7" t="s">
        <v>546</v>
      </c>
      <c r="G2720" s="7"/>
      <c r="H2720" s="7" t="s">
        <v>546</v>
      </c>
      <c r="I2720" s="7" t="s">
        <v>546</v>
      </c>
      <c r="J2720" s="21" t="n">
        <f aca="false">D2720/(D2720+E2720)</f>
        <v>0.537037037037037</v>
      </c>
      <c r="K2720" s="3" t="n">
        <f aca="false">IF(D2720&gt;E2720,1,0)</f>
        <v>1</v>
      </c>
      <c r="L2720" s="3" t="n">
        <f aca="false">IF(OR(F2720="Y",G2720="Y",H2720="Y"),1,0)</f>
        <v>0</v>
      </c>
      <c r="M2720" s="3" t="n">
        <f aca="false">IF(H2720="Y",1,0)</f>
        <v>0</v>
      </c>
      <c r="N2720" s="3" t="n">
        <f aca="false">IF(I2720="Y",1,0)</f>
        <v>0</v>
      </c>
    </row>
    <row r="2721" customFormat="false" ht="15" hidden="false" customHeight="true" outlineLevel="0" collapsed="false">
      <c r="A2721" s="7" t="s">
        <v>73</v>
      </c>
      <c r="B2721" s="7" t="n">
        <v>1987</v>
      </c>
      <c r="C2721" s="7" t="s">
        <v>374</v>
      </c>
      <c r="D2721" s="7" t="n">
        <v>75</v>
      </c>
      <c r="E2721" s="7" t="n">
        <v>87</v>
      </c>
      <c r="F2721" s="7" t="s">
        <v>546</v>
      </c>
      <c r="G2721" s="7"/>
      <c r="H2721" s="7" t="s">
        <v>546</v>
      </c>
      <c r="I2721" s="7" t="s">
        <v>546</v>
      </c>
      <c r="J2721" s="21" t="n">
        <f aca="false">D2721/(D2721+E2721)</f>
        <v>0.462962962962963</v>
      </c>
      <c r="K2721" s="3" t="n">
        <f aca="false">IF(D2721&gt;E2721,1,0)</f>
        <v>0</v>
      </c>
      <c r="L2721" s="3" t="n">
        <f aca="false">IF(OR(F2721="Y",G2721="Y",H2721="Y"),1,0)</f>
        <v>0</v>
      </c>
      <c r="M2721" s="3" t="n">
        <f aca="false">IF(H2721="Y",1,0)</f>
        <v>0</v>
      </c>
      <c r="N2721" s="3" t="n">
        <f aca="false">IF(I2721="Y",1,0)</f>
        <v>0</v>
      </c>
    </row>
    <row r="2722" customFormat="false" ht="15" hidden="false" customHeight="true" outlineLevel="0" collapsed="false">
      <c r="A2722" s="7" t="s">
        <v>73</v>
      </c>
      <c r="B2722" s="7" t="n">
        <v>1988</v>
      </c>
      <c r="C2722" s="7" t="s">
        <v>374</v>
      </c>
      <c r="D2722" s="7" t="n">
        <v>70</v>
      </c>
      <c r="E2722" s="7" t="n">
        <v>91</v>
      </c>
      <c r="F2722" s="7" t="s">
        <v>546</v>
      </c>
      <c r="G2722" s="7"/>
      <c r="H2722" s="7" t="s">
        <v>546</v>
      </c>
      <c r="I2722" s="7" t="s">
        <v>546</v>
      </c>
      <c r="J2722" s="21" t="n">
        <f aca="false">D2722/(D2722+E2722)</f>
        <v>0.434782608695652</v>
      </c>
      <c r="K2722" s="3" t="n">
        <f aca="false">IF(D2722&gt;E2722,1,0)</f>
        <v>0</v>
      </c>
      <c r="L2722" s="3" t="n">
        <f aca="false">IF(OR(F2722="Y",G2722="Y",H2722="Y"),1,0)</f>
        <v>0</v>
      </c>
      <c r="M2722" s="3" t="n">
        <f aca="false">IF(H2722="Y",1,0)</f>
        <v>0</v>
      </c>
      <c r="N2722" s="3" t="n">
        <f aca="false">IF(I2722="Y",1,0)</f>
        <v>0</v>
      </c>
    </row>
    <row r="2723" customFormat="false" ht="15" hidden="false" customHeight="true" outlineLevel="0" collapsed="false">
      <c r="A2723" s="7" t="s">
        <v>73</v>
      </c>
      <c r="B2723" s="7" t="n">
        <v>1989</v>
      </c>
      <c r="C2723" s="7" t="s">
        <v>374</v>
      </c>
      <c r="D2723" s="7" t="n">
        <v>83</v>
      </c>
      <c r="E2723" s="7" t="n">
        <v>79</v>
      </c>
      <c r="F2723" s="7" t="s">
        <v>546</v>
      </c>
      <c r="G2723" s="7"/>
      <c r="H2723" s="7" t="s">
        <v>546</v>
      </c>
      <c r="I2723" s="7" t="s">
        <v>546</v>
      </c>
      <c r="J2723" s="21" t="n">
        <f aca="false">D2723/(D2723+E2723)</f>
        <v>0.512345679012346</v>
      </c>
      <c r="K2723" s="3" t="n">
        <f aca="false">IF(D2723&gt;E2723,1,0)</f>
        <v>1</v>
      </c>
      <c r="L2723" s="3" t="n">
        <f aca="false">IF(OR(F2723="Y",G2723="Y",H2723="Y"),1,0)</f>
        <v>0</v>
      </c>
      <c r="M2723" s="3" t="n">
        <f aca="false">IF(H2723="Y",1,0)</f>
        <v>0</v>
      </c>
      <c r="N2723" s="3" t="n">
        <f aca="false">IF(I2723="Y",1,0)</f>
        <v>0</v>
      </c>
    </row>
    <row r="2724" customFormat="false" ht="15" hidden="false" customHeight="true" outlineLevel="0" collapsed="false">
      <c r="A2724" s="7" t="s">
        <v>73</v>
      </c>
      <c r="B2724" s="7" t="n">
        <v>1990</v>
      </c>
      <c r="C2724" s="7" t="s">
        <v>374</v>
      </c>
      <c r="D2724" s="7" t="n">
        <v>83</v>
      </c>
      <c r="E2724" s="7" t="n">
        <v>79</v>
      </c>
      <c r="F2724" s="7" t="s">
        <v>546</v>
      </c>
      <c r="G2724" s="7"/>
      <c r="H2724" s="7" t="s">
        <v>546</v>
      </c>
      <c r="I2724" s="7" t="s">
        <v>546</v>
      </c>
      <c r="J2724" s="21" t="n">
        <f aca="false">D2724/(D2724+E2724)</f>
        <v>0.512345679012346</v>
      </c>
      <c r="K2724" s="3" t="n">
        <f aca="false">IF(D2724&gt;E2724,1,0)</f>
        <v>1</v>
      </c>
      <c r="L2724" s="3" t="n">
        <f aca="false">IF(OR(F2724="Y",G2724="Y",H2724="Y"),1,0)</f>
        <v>0</v>
      </c>
      <c r="M2724" s="3" t="n">
        <f aca="false">IF(H2724="Y",1,0)</f>
        <v>0</v>
      </c>
      <c r="N2724" s="3" t="n">
        <f aca="false">IF(I2724="Y",1,0)</f>
        <v>0</v>
      </c>
    </row>
    <row r="2725" customFormat="false" ht="15" hidden="false" customHeight="true" outlineLevel="0" collapsed="false">
      <c r="A2725" s="7" t="s">
        <v>73</v>
      </c>
      <c r="B2725" s="7" t="n">
        <v>1991</v>
      </c>
      <c r="C2725" s="7" t="s">
        <v>374</v>
      </c>
      <c r="D2725" s="7" t="n">
        <v>85</v>
      </c>
      <c r="E2725" s="7" t="n">
        <v>77</v>
      </c>
      <c r="F2725" s="7" t="s">
        <v>546</v>
      </c>
      <c r="G2725" s="7"/>
      <c r="H2725" s="7" t="s">
        <v>546</v>
      </c>
      <c r="I2725" s="7" t="s">
        <v>546</v>
      </c>
      <c r="J2725" s="21" t="n">
        <f aca="false">D2725/(D2725+E2725)</f>
        <v>0.524691358024691</v>
      </c>
      <c r="K2725" s="3" t="n">
        <f aca="false">IF(D2725&gt;E2725,1,0)</f>
        <v>1</v>
      </c>
      <c r="L2725" s="3" t="n">
        <f aca="false">IF(OR(F2725="Y",G2725="Y",H2725="Y"),1,0)</f>
        <v>0</v>
      </c>
      <c r="M2725" s="3" t="n">
        <f aca="false">IF(H2725="Y",1,0)</f>
        <v>0</v>
      </c>
      <c r="N2725" s="3" t="n">
        <f aca="false">IF(I2725="Y",1,0)</f>
        <v>0</v>
      </c>
    </row>
    <row r="2726" customFormat="false" ht="15" hidden="false" customHeight="true" outlineLevel="0" collapsed="false">
      <c r="A2726" s="7" t="s">
        <v>73</v>
      </c>
      <c r="B2726" s="7" t="n">
        <v>1992</v>
      </c>
      <c r="C2726" s="7" t="s">
        <v>374</v>
      </c>
      <c r="D2726" s="7" t="n">
        <v>77</v>
      </c>
      <c r="E2726" s="7" t="n">
        <v>85</v>
      </c>
      <c r="F2726" s="7" t="s">
        <v>546</v>
      </c>
      <c r="G2726" s="7"/>
      <c r="H2726" s="7" t="s">
        <v>546</v>
      </c>
      <c r="I2726" s="7" t="s">
        <v>546</v>
      </c>
      <c r="J2726" s="21" t="n">
        <f aca="false">D2726/(D2726+E2726)</f>
        <v>0.475308641975309</v>
      </c>
      <c r="K2726" s="3" t="n">
        <f aca="false">IF(D2726&gt;E2726,1,0)</f>
        <v>0</v>
      </c>
      <c r="L2726" s="3" t="n">
        <f aca="false">IF(OR(F2726="Y",G2726="Y",H2726="Y"),1,0)</f>
        <v>0</v>
      </c>
      <c r="M2726" s="3" t="n">
        <f aca="false">IF(H2726="Y",1,0)</f>
        <v>0</v>
      </c>
      <c r="N2726" s="3" t="n">
        <f aca="false">IF(I2726="Y",1,0)</f>
        <v>0</v>
      </c>
    </row>
    <row r="2727" customFormat="false" ht="15" hidden="false" customHeight="true" outlineLevel="0" collapsed="false">
      <c r="A2727" s="7" t="s">
        <v>73</v>
      </c>
      <c r="B2727" s="7" t="n">
        <v>1993</v>
      </c>
      <c r="C2727" s="7" t="s">
        <v>374</v>
      </c>
      <c r="D2727" s="7" t="n">
        <v>86</v>
      </c>
      <c r="E2727" s="7" t="n">
        <v>76</v>
      </c>
      <c r="F2727" s="7" t="s">
        <v>546</v>
      </c>
      <c r="G2727" s="7"/>
      <c r="H2727" s="7" t="s">
        <v>546</v>
      </c>
      <c r="I2727" s="7" t="s">
        <v>546</v>
      </c>
      <c r="J2727" s="21" t="n">
        <f aca="false">D2727/(D2727+E2727)</f>
        <v>0.530864197530864</v>
      </c>
      <c r="K2727" s="3" t="n">
        <f aca="false">IF(D2727&gt;E2727,1,0)</f>
        <v>1</v>
      </c>
      <c r="L2727" s="3" t="n">
        <f aca="false">IF(OR(F2727="Y",G2727="Y",H2727="Y"),1,0)</f>
        <v>0</v>
      </c>
      <c r="M2727" s="3" t="n">
        <f aca="false">IF(H2727="Y",1,0)</f>
        <v>0</v>
      </c>
      <c r="N2727" s="3" t="n">
        <f aca="false">IF(I2727="Y",1,0)</f>
        <v>0</v>
      </c>
    </row>
    <row r="2728" customFormat="false" ht="15" hidden="false" customHeight="true" outlineLevel="0" collapsed="false">
      <c r="A2728" s="7" t="s">
        <v>73</v>
      </c>
      <c r="B2728" s="7" t="n">
        <v>1994</v>
      </c>
      <c r="C2728" s="7" t="s">
        <v>374</v>
      </c>
      <c r="D2728" s="7" t="n">
        <v>52</v>
      </c>
      <c r="E2728" s="7" t="n">
        <v>62</v>
      </c>
      <c r="F2728" s="7"/>
      <c r="G2728" s="7"/>
      <c r="H2728" s="7"/>
      <c r="I2728" s="7"/>
      <c r="J2728" s="21" t="n">
        <f aca="false">D2728/(D2728+E2728)</f>
        <v>0.456140350877193</v>
      </c>
      <c r="K2728" s="3" t="n">
        <f aca="false">IF(D2728&gt;E2728,1,0)</f>
        <v>0</v>
      </c>
      <c r="L2728" s="3" t="n">
        <f aca="false">IF(OR(F2728="Y",G2728="Y",H2728="Y"),1,0)</f>
        <v>0</v>
      </c>
      <c r="M2728" s="3" t="n">
        <f aca="false">IF(H2728="Y",1,0)</f>
        <v>0</v>
      </c>
      <c r="N2728" s="3" t="n">
        <f aca="false">IF(I2728="Y",1,0)</f>
        <v>0</v>
      </c>
    </row>
    <row r="2729" customFormat="false" ht="15" hidden="false" customHeight="true" outlineLevel="0" collapsed="false">
      <c r="A2729" s="7" t="s">
        <v>73</v>
      </c>
      <c r="B2729" s="7" t="n">
        <v>1995</v>
      </c>
      <c r="C2729" s="7" t="s">
        <v>374</v>
      </c>
      <c r="D2729" s="7" t="n">
        <v>74</v>
      </c>
      <c r="E2729" s="7" t="n">
        <v>70</v>
      </c>
      <c r="F2729" s="7" t="s">
        <v>546</v>
      </c>
      <c r="G2729" s="7" t="s">
        <v>546</v>
      </c>
      <c r="H2729" s="7" t="s">
        <v>546</v>
      </c>
      <c r="I2729" s="7" t="s">
        <v>546</v>
      </c>
      <c r="J2729" s="21" t="n">
        <f aca="false">D2729/(D2729+E2729)</f>
        <v>0.513888888888889</v>
      </c>
      <c r="K2729" s="3" t="n">
        <f aca="false">IF(D2729&gt;E2729,1,0)</f>
        <v>1</v>
      </c>
      <c r="L2729" s="3" t="n">
        <f aca="false">IF(OR(F2729="Y",G2729="Y",H2729="Y"),1,0)</f>
        <v>0</v>
      </c>
      <c r="M2729" s="3" t="n">
        <f aca="false">IF(H2729="Y",1,0)</f>
        <v>0</v>
      </c>
      <c r="N2729" s="3" t="n">
        <f aca="false">IF(I2729="Y",1,0)</f>
        <v>0</v>
      </c>
    </row>
    <row r="2730" customFormat="false" ht="15" hidden="false" customHeight="true" outlineLevel="0" collapsed="false">
      <c r="A2730" s="7" t="s">
        <v>73</v>
      </c>
      <c r="B2730" s="7" t="n">
        <v>1996</v>
      </c>
      <c r="C2730" s="7" t="s">
        <v>374</v>
      </c>
      <c r="D2730" s="7" t="n">
        <v>90</v>
      </c>
      <c r="E2730" s="7" t="n">
        <v>72</v>
      </c>
      <c r="F2730" s="7" t="s">
        <v>548</v>
      </c>
      <c r="G2730" s="7" t="s">
        <v>546</v>
      </c>
      <c r="H2730" s="7" t="s">
        <v>546</v>
      </c>
      <c r="I2730" s="7" t="s">
        <v>546</v>
      </c>
      <c r="J2730" s="21" t="n">
        <f aca="false">D2730/(D2730+E2730)</f>
        <v>0.555555555555556</v>
      </c>
      <c r="K2730" s="3" t="n">
        <f aca="false">IF(D2730&gt;E2730,1,0)</f>
        <v>1</v>
      </c>
      <c r="L2730" s="3" t="n">
        <f aca="false">IF(OR(F2730="Y",G2730="Y",H2730="Y"),1,0)</f>
        <v>1</v>
      </c>
      <c r="M2730" s="3" t="n">
        <f aca="false">IF(H2730="Y",1,0)</f>
        <v>0</v>
      </c>
      <c r="N2730" s="3" t="n">
        <f aca="false">IF(I2730="Y",1,0)</f>
        <v>0</v>
      </c>
    </row>
    <row r="2731" customFormat="false" ht="15" hidden="false" customHeight="true" outlineLevel="0" collapsed="false">
      <c r="A2731" s="7" t="s">
        <v>73</v>
      </c>
      <c r="B2731" s="7" t="n">
        <v>1997</v>
      </c>
      <c r="C2731" s="7" t="s">
        <v>374</v>
      </c>
      <c r="D2731" s="7" t="n">
        <v>77</v>
      </c>
      <c r="E2731" s="7" t="n">
        <v>85</v>
      </c>
      <c r="F2731" s="7" t="s">
        <v>546</v>
      </c>
      <c r="G2731" s="7" t="s">
        <v>546</v>
      </c>
      <c r="H2731" s="7" t="s">
        <v>546</v>
      </c>
      <c r="I2731" s="7" t="s">
        <v>546</v>
      </c>
      <c r="J2731" s="21" t="n">
        <f aca="false">D2731/(D2731+E2731)</f>
        <v>0.475308641975309</v>
      </c>
      <c r="K2731" s="3" t="n">
        <f aca="false">IF(D2731&gt;E2731,1,0)</f>
        <v>0</v>
      </c>
      <c r="L2731" s="3" t="n">
        <f aca="false">IF(OR(F2731="Y",G2731="Y",H2731="Y"),1,0)</f>
        <v>0</v>
      </c>
      <c r="M2731" s="3" t="n">
        <f aca="false">IF(H2731="Y",1,0)</f>
        <v>0</v>
      </c>
      <c r="N2731" s="3" t="n">
        <f aca="false">IF(I2731="Y",1,0)</f>
        <v>0</v>
      </c>
    </row>
    <row r="2732" customFormat="false" ht="15" hidden="false" customHeight="true" outlineLevel="0" collapsed="false">
      <c r="A2732" s="7" t="s">
        <v>73</v>
      </c>
      <c r="B2732" s="7" t="n">
        <v>1998</v>
      </c>
      <c r="C2732" s="7" t="s">
        <v>374</v>
      </c>
      <c r="D2732" s="7" t="n">
        <v>88</v>
      </c>
      <c r="E2732" s="7" t="n">
        <v>74</v>
      </c>
      <c r="F2732" s="7" t="s">
        <v>548</v>
      </c>
      <c r="G2732" s="7" t="s">
        <v>546</v>
      </c>
      <c r="H2732" s="7" t="s">
        <v>546</v>
      </c>
      <c r="I2732" s="7" t="s">
        <v>546</v>
      </c>
      <c r="J2732" s="21" t="n">
        <f aca="false">D2732/(D2732+E2732)</f>
        <v>0.54320987654321</v>
      </c>
      <c r="K2732" s="3" t="n">
        <f aca="false">IF(D2732&gt;E2732,1,0)</f>
        <v>1</v>
      </c>
      <c r="L2732" s="3" t="n">
        <f aca="false">IF(OR(F2732="Y",G2732="Y",H2732="Y"),1,0)</f>
        <v>1</v>
      </c>
      <c r="M2732" s="3" t="n">
        <f aca="false">IF(H2732="Y",1,0)</f>
        <v>0</v>
      </c>
      <c r="N2732" s="3" t="n">
        <f aca="false">IF(I2732="Y",1,0)</f>
        <v>0</v>
      </c>
    </row>
    <row r="2733" customFormat="false" ht="15" hidden="false" customHeight="true" outlineLevel="0" collapsed="false">
      <c r="A2733" s="7" t="s">
        <v>73</v>
      </c>
      <c r="B2733" s="7" t="n">
        <v>1999</v>
      </c>
      <c r="C2733" s="7" t="s">
        <v>374</v>
      </c>
      <c r="D2733" s="7" t="n">
        <v>95</v>
      </c>
      <c r="E2733" s="7" t="n">
        <v>67</v>
      </c>
      <c r="F2733" s="7" t="s">
        <v>548</v>
      </c>
      <c r="G2733" s="7" t="s">
        <v>546</v>
      </c>
      <c r="H2733" s="7" t="s">
        <v>546</v>
      </c>
      <c r="I2733" s="7" t="s">
        <v>546</v>
      </c>
      <c r="J2733" s="21" t="n">
        <f aca="false">D2733/(D2733+E2733)</f>
        <v>0.58641975308642</v>
      </c>
      <c r="K2733" s="3" t="n">
        <f aca="false">IF(D2733&gt;E2733,1,0)</f>
        <v>1</v>
      </c>
      <c r="L2733" s="3" t="n">
        <f aca="false">IF(OR(F2733="Y",G2733="Y",H2733="Y"),1,0)</f>
        <v>1</v>
      </c>
      <c r="M2733" s="3" t="n">
        <f aca="false">IF(H2733="Y",1,0)</f>
        <v>0</v>
      </c>
      <c r="N2733" s="3" t="n">
        <f aca="false">IF(I2733="Y",1,0)</f>
        <v>0</v>
      </c>
    </row>
    <row r="2734" customFormat="false" ht="15" hidden="false" customHeight="true" outlineLevel="0" collapsed="false">
      <c r="A2734" s="7" t="s">
        <v>73</v>
      </c>
      <c r="B2734" s="7" t="n">
        <v>2000</v>
      </c>
      <c r="C2734" s="7" t="s">
        <v>374</v>
      </c>
      <c r="D2734" s="7" t="n">
        <v>71</v>
      </c>
      <c r="E2734" s="7" t="n">
        <v>91</v>
      </c>
      <c r="F2734" s="7" t="s">
        <v>546</v>
      </c>
      <c r="G2734" s="7" t="s">
        <v>546</v>
      </c>
      <c r="H2734" s="7" t="s">
        <v>546</v>
      </c>
      <c r="I2734" s="7" t="s">
        <v>546</v>
      </c>
      <c r="J2734" s="21" t="n">
        <f aca="false">D2734/(D2734+E2734)</f>
        <v>0.438271604938272</v>
      </c>
      <c r="K2734" s="3" t="n">
        <f aca="false">IF(D2734&gt;E2734,1,0)</f>
        <v>0</v>
      </c>
      <c r="L2734" s="3" t="n">
        <f aca="false">IF(OR(F2734="Y",G2734="Y",H2734="Y"),1,0)</f>
        <v>0</v>
      </c>
      <c r="M2734" s="3" t="n">
        <f aca="false">IF(H2734="Y",1,0)</f>
        <v>0</v>
      </c>
      <c r="N2734" s="3" t="n">
        <f aca="false">IF(I2734="Y",1,0)</f>
        <v>0</v>
      </c>
    </row>
    <row r="2735" customFormat="false" ht="15" hidden="false" customHeight="true" outlineLevel="0" collapsed="false">
      <c r="A2735" s="7" t="s">
        <v>73</v>
      </c>
      <c r="B2735" s="7" t="n">
        <v>2001</v>
      </c>
      <c r="C2735" s="7" t="s">
        <v>374</v>
      </c>
      <c r="D2735" s="7" t="n">
        <v>73</v>
      </c>
      <c r="E2735" s="7" t="n">
        <v>89</v>
      </c>
      <c r="F2735" s="7" t="s">
        <v>546</v>
      </c>
      <c r="G2735" s="7" t="s">
        <v>546</v>
      </c>
      <c r="H2735" s="7" t="s">
        <v>546</v>
      </c>
      <c r="I2735" s="7" t="s">
        <v>546</v>
      </c>
      <c r="J2735" s="21" t="n">
        <f aca="false">D2735/(D2735+E2735)</f>
        <v>0.450617283950617</v>
      </c>
      <c r="K2735" s="3" t="n">
        <f aca="false">IF(D2735&gt;E2735,1,0)</f>
        <v>0</v>
      </c>
      <c r="L2735" s="3" t="n">
        <f aca="false">IF(OR(F2735="Y",G2735="Y",H2735="Y"),1,0)</f>
        <v>0</v>
      </c>
      <c r="M2735" s="3" t="n">
        <f aca="false">IF(H2735="Y",1,0)</f>
        <v>0</v>
      </c>
      <c r="N2735" s="3" t="n">
        <f aca="false">IF(I2735="Y",1,0)</f>
        <v>0</v>
      </c>
    </row>
    <row r="2736" customFormat="false" ht="15" hidden="false" customHeight="true" outlineLevel="0" collapsed="false">
      <c r="A2736" s="7" t="s">
        <v>73</v>
      </c>
      <c r="B2736" s="7" t="n">
        <v>2002</v>
      </c>
      <c r="C2736" s="7" t="s">
        <v>374</v>
      </c>
      <c r="D2736" s="7" t="n">
        <v>72</v>
      </c>
      <c r="E2736" s="7" t="n">
        <v>90</v>
      </c>
      <c r="F2736" s="7" t="s">
        <v>546</v>
      </c>
      <c r="G2736" s="7" t="s">
        <v>546</v>
      </c>
      <c r="H2736" s="7" t="s">
        <v>546</v>
      </c>
      <c r="I2736" s="7" t="s">
        <v>546</v>
      </c>
      <c r="J2736" s="21" t="n">
        <f aca="false">D2736/(D2736+E2736)</f>
        <v>0.444444444444444</v>
      </c>
      <c r="K2736" s="3" t="n">
        <f aca="false">IF(D2736&gt;E2736,1,0)</f>
        <v>0</v>
      </c>
      <c r="L2736" s="3" t="n">
        <f aca="false">IF(OR(F2736="Y",G2736="Y",H2736="Y"),1,0)</f>
        <v>0</v>
      </c>
      <c r="M2736" s="3" t="n">
        <f aca="false">IF(H2736="Y",1,0)</f>
        <v>0</v>
      </c>
      <c r="N2736" s="3" t="n">
        <f aca="false">IF(I2736="Y",1,0)</f>
        <v>0</v>
      </c>
    </row>
    <row r="2737" customFormat="false" ht="15" hidden="false" customHeight="true" outlineLevel="0" collapsed="false">
      <c r="A2737" s="7" t="s">
        <v>73</v>
      </c>
      <c r="B2737" s="7" t="n">
        <v>2003</v>
      </c>
      <c r="C2737" s="7" t="s">
        <v>374</v>
      </c>
      <c r="D2737" s="7" t="n">
        <v>71</v>
      </c>
      <c r="E2737" s="7" t="n">
        <v>91</v>
      </c>
      <c r="F2737" s="7" t="s">
        <v>546</v>
      </c>
      <c r="G2737" s="7" t="s">
        <v>546</v>
      </c>
      <c r="H2737" s="7" t="s">
        <v>546</v>
      </c>
      <c r="I2737" s="7" t="s">
        <v>546</v>
      </c>
      <c r="J2737" s="21" t="n">
        <f aca="false">D2737/(D2737+E2737)</f>
        <v>0.438271604938272</v>
      </c>
      <c r="K2737" s="3" t="n">
        <f aca="false">IF(D2737&gt;E2737,1,0)</f>
        <v>0</v>
      </c>
      <c r="L2737" s="3" t="n">
        <f aca="false">IF(OR(F2737="Y",G2737="Y",H2737="Y"),1,0)</f>
        <v>0</v>
      </c>
      <c r="M2737" s="3" t="n">
        <f aca="false">IF(H2737="Y",1,0)</f>
        <v>0</v>
      </c>
      <c r="N2737" s="3" t="n">
        <f aca="false">IF(I2737="Y",1,0)</f>
        <v>0</v>
      </c>
    </row>
    <row r="2738" customFormat="false" ht="15" hidden="false" customHeight="true" outlineLevel="0" collapsed="false">
      <c r="A2738" s="7" t="s">
        <v>73</v>
      </c>
      <c r="B2738" s="7" t="n">
        <v>2004</v>
      </c>
      <c r="C2738" s="7" t="s">
        <v>374</v>
      </c>
      <c r="D2738" s="7" t="n">
        <v>89</v>
      </c>
      <c r="E2738" s="7" t="n">
        <v>73</v>
      </c>
      <c r="F2738" s="7" t="s">
        <v>546</v>
      </c>
      <c r="G2738" s="7" t="s">
        <v>546</v>
      </c>
      <c r="H2738" s="7" t="s">
        <v>546</v>
      </c>
      <c r="I2738" s="7" t="s">
        <v>546</v>
      </c>
      <c r="J2738" s="21" t="n">
        <f aca="false">D2738/(D2738+E2738)</f>
        <v>0.549382716049383</v>
      </c>
      <c r="K2738" s="3" t="n">
        <f aca="false">IF(D2738&gt;E2738,1,0)</f>
        <v>1</v>
      </c>
      <c r="L2738" s="3" t="n">
        <f aca="false">IF(OR(F2738="Y",G2738="Y",H2738="Y"),1,0)</f>
        <v>0</v>
      </c>
      <c r="M2738" s="3" t="n">
        <f aca="false">IF(H2738="Y",1,0)</f>
        <v>0</v>
      </c>
      <c r="N2738" s="3" t="n">
        <f aca="false">IF(I2738="Y",1,0)</f>
        <v>0</v>
      </c>
    </row>
    <row r="2739" customFormat="false" ht="15" hidden="false" customHeight="true" outlineLevel="0" collapsed="false">
      <c r="A2739" s="7" t="s">
        <v>73</v>
      </c>
      <c r="B2739" s="7" t="n">
        <v>2005</v>
      </c>
      <c r="C2739" s="7" t="s">
        <v>374</v>
      </c>
      <c r="D2739" s="7" t="n">
        <v>79</v>
      </c>
      <c r="E2739" s="7" t="n">
        <v>83</v>
      </c>
      <c r="F2739" s="7" t="s">
        <v>546</v>
      </c>
      <c r="G2739" s="7" t="s">
        <v>546</v>
      </c>
      <c r="H2739" s="7" t="s">
        <v>546</v>
      </c>
      <c r="I2739" s="7" t="s">
        <v>546</v>
      </c>
      <c r="J2739" s="21" t="n">
        <f aca="false">D2739/(D2739+E2739)</f>
        <v>0.487654320987654</v>
      </c>
      <c r="K2739" s="3" t="n">
        <f aca="false">IF(D2739&gt;E2739,1,0)</f>
        <v>0</v>
      </c>
      <c r="L2739" s="3" t="n">
        <f aca="false">IF(OR(F2739="Y",G2739="Y",H2739="Y"),1,0)</f>
        <v>0</v>
      </c>
      <c r="M2739" s="3" t="n">
        <f aca="false">IF(H2739="Y",1,0)</f>
        <v>0</v>
      </c>
      <c r="N2739" s="3" t="n">
        <f aca="false">IF(I2739="Y",1,0)</f>
        <v>0</v>
      </c>
    </row>
    <row r="2740" customFormat="false" ht="15" hidden="false" customHeight="true" outlineLevel="0" collapsed="false">
      <c r="A2740" s="7" t="s">
        <v>73</v>
      </c>
      <c r="B2740" s="7" t="n">
        <v>2006</v>
      </c>
      <c r="C2740" s="7" t="s">
        <v>374</v>
      </c>
      <c r="D2740" s="7" t="n">
        <v>80</v>
      </c>
      <c r="E2740" s="7" t="n">
        <v>82</v>
      </c>
      <c r="F2740" s="7" t="s">
        <v>546</v>
      </c>
      <c r="G2740" s="7" t="s">
        <v>546</v>
      </c>
      <c r="H2740" s="7" t="s">
        <v>546</v>
      </c>
      <c r="I2740" s="7" t="s">
        <v>546</v>
      </c>
      <c r="J2740" s="21" t="n">
        <f aca="false">D2740/(D2740+E2740)</f>
        <v>0.493827160493827</v>
      </c>
      <c r="K2740" s="3" t="n">
        <f aca="false">IF(D2740&gt;E2740,1,0)</f>
        <v>0</v>
      </c>
      <c r="L2740" s="3" t="n">
        <f aca="false">IF(OR(F2740="Y",G2740="Y",H2740="Y"),1,0)</f>
        <v>0</v>
      </c>
      <c r="M2740" s="3" t="n">
        <f aca="false">IF(H2740="Y",1,0)</f>
        <v>0</v>
      </c>
      <c r="N2740" s="3" t="n">
        <f aca="false">IF(I2740="Y",1,0)</f>
        <v>0</v>
      </c>
    </row>
    <row r="2741" customFormat="false" ht="15" hidden="false" customHeight="true" outlineLevel="0" collapsed="false">
      <c r="A2741" s="7" t="s">
        <v>73</v>
      </c>
      <c r="B2741" s="7" t="n">
        <v>2007</v>
      </c>
      <c r="C2741" s="7" t="s">
        <v>374</v>
      </c>
      <c r="D2741" s="7" t="n">
        <v>75</v>
      </c>
      <c r="E2741" s="7" t="n">
        <v>87</v>
      </c>
      <c r="F2741" s="7" t="s">
        <v>546</v>
      </c>
      <c r="G2741" s="7" t="s">
        <v>546</v>
      </c>
      <c r="H2741" s="7" t="s">
        <v>546</v>
      </c>
      <c r="I2741" s="7" t="s">
        <v>546</v>
      </c>
      <c r="J2741" s="21" t="n">
        <f aca="false">D2741/(D2741+E2741)</f>
        <v>0.462962962962963</v>
      </c>
      <c r="K2741" s="3" t="n">
        <f aca="false">IF(D2741&gt;E2741,1,0)</f>
        <v>0</v>
      </c>
      <c r="L2741" s="3" t="n">
        <f aca="false">IF(OR(F2741="Y",G2741="Y",H2741="Y"),1,0)</f>
        <v>0</v>
      </c>
      <c r="M2741" s="3" t="n">
        <f aca="false">IF(H2741="Y",1,0)</f>
        <v>0</v>
      </c>
      <c r="N2741" s="3" t="n">
        <f aca="false">IF(I2741="Y",1,0)</f>
        <v>0</v>
      </c>
    </row>
    <row r="2742" customFormat="false" ht="15" hidden="false" customHeight="true" outlineLevel="0" collapsed="false">
      <c r="A2742" s="7" t="s">
        <v>73</v>
      </c>
      <c r="B2742" s="7" t="n">
        <v>2008</v>
      </c>
      <c r="C2742" s="7" t="s">
        <v>374</v>
      </c>
      <c r="D2742" s="7" t="n">
        <v>79</v>
      </c>
      <c r="E2742" s="7" t="n">
        <v>83</v>
      </c>
      <c r="F2742" s="7" t="s">
        <v>546</v>
      </c>
      <c r="G2742" s="7" t="s">
        <v>546</v>
      </c>
      <c r="H2742" s="7" t="s">
        <v>546</v>
      </c>
      <c r="I2742" s="7" t="s">
        <v>546</v>
      </c>
      <c r="J2742" s="21" t="n">
        <f aca="false">D2742/(D2742+E2742)</f>
        <v>0.487654320987654</v>
      </c>
      <c r="K2742" s="3" t="n">
        <f aca="false">IF(D2742&gt;E2742,1,0)</f>
        <v>0</v>
      </c>
      <c r="L2742" s="3" t="n">
        <f aca="false">IF(OR(F2742="Y",G2742="Y",H2742="Y"),1,0)</f>
        <v>0</v>
      </c>
      <c r="M2742" s="3" t="n">
        <f aca="false">IF(H2742="Y",1,0)</f>
        <v>0</v>
      </c>
      <c r="N2742" s="3" t="n">
        <f aca="false">IF(I2742="Y",1,0)</f>
        <v>0</v>
      </c>
    </row>
    <row r="2743" customFormat="false" ht="15" hidden="false" customHeight="true" outlineLevel="0" collapsed="false">
      <c r="A2743" s="7" t="s">
        <v>73</v>
      </c>
      <c r="B2743" s="7" t="n">
        <v>2009</v>
      </c>
      <c r="C2743" s="7" t="s">
        <v>374</v>
      </c>
      <c r="D2743" s="7" t="n">
        <v>87</v>
      </c>
      <c r="E2743" s="7" t="n">
        <v>75</v>
      </c>
      <c r="F2743" s="7" t="s">
        <v>546</v>
      </c>
      <c r="G2743" s="7" t="s">
        <v>546</v>
      </c>
      <c r="H2743" s="7" t="s">
        <v>546</v>
      </c>
      <c r="I2743" s="7" t="s">
        <v>546</v>
      </c>
      <c r="J2743" s="21" t="n">
        <f aca="false">D2743/(D2743+E2743)</f>
        <v>0.537037037037037</v>
      </c>
      <c r="K2743" s="3" t="n">
        <f aca="false">IF(D2743&gt;E2743,1,0)</f>
        <v>1</v>
      </c>
      <c r="L2743" s="3" t="n">
        <f aca="false">IF(OR(F2743="Y",G2743="Y",H2743="Y"),1,0)</f>
        <v>0</v>
      </c>
      <c r="M2743" s="3" t="n">
        <f aca="false">IF(H2743="Y",1,0)</f>
        <v>0</v>
      </c>
      <c r="N2743" s="3" t="n">
        <f aca="false">IF(I2743="Y",1,0)</f>
        <v>0</v>
      </c>
    </row>
    <row r="2744" customFormat="false" ht="15" hidden="false" customHeight="true" outlineLevel="0" collapsed="false">
      <c r="A2744" s="7" t="s">
        <v>73</v>
      </c>
      <c r="B2744" s="7" t="n">
        <v>2010</v>
      </c>
      <c r="C2744" s="7" t="s">
        <v>374</v>
      </c>
      <c r="D2744" s="7" t="n">
        <v>90</v>
      </c>
      <c r="E2744" s="7" t="n">
        <v>72</v>
      </c>
      <c r="F2744" s="7" t="s">
        <v>548</v>
      </c>
      <c r="G2744" s="7" t="s">
        <v>546</v>
      </c>
      <c r="H2744" s="7" t="s">
        <v>548</v>
      </c>
      <c r="I2744" s="7" t="s">
        <v>546</v>
      </c>
      <c r="J2744" s="21" t="n">
        <f aca="false">D2744/(D2744+E2744)</f>
        <v>0.555555555555556</v>
      </c>
      <c r="K2744" s="3" t="n">
        <f aca="false">IF(D2744&gt;E2744,1,0)</f>
        <v>1</v>
      </c>
      <c r="L2744" s="3" t="n">
        <f aca="false">IF(OR(F2744="Y",G2744="Y",H2744="Y"),1,0)</f>
        <v>1</v>
      </c>
      <c r="M2744" s="3" t="n">
        <f aca="false">IF(H2744="Y",1,0)</f>
        <v>1</v>
      </c>
      <c r="N2744" s="3" t="n">
        <f aca="false">IF(I2744="Y",1,0)</f>
        <v>0</v>
      </c>
    </row>
    <row r="2745" customFormat="false" ht="15" hidden="false" customHeight="true" outlineLevel="0" collapsed="false">
      <c r="A2745" s="7" t="s">
        <v>73</v>
      </c>
      <c r="B2745" s="7" t="n">
        <v>2011</v>
      </c>
      <c r="C2745" s="7" t="s">
        <v>374</v>
      </c>
      <c r="D2745" s="7" t="n">
        <v>96</v>
      </c>
      <c r="E2745" s="7" t="n">
        <v>66</v>
      </c>
      <c r="F2745" s="7" t="s">
        <v>548</v>
      </c>
      <c r="G2745" s="7" t="s">
        <v>546</v>
      </c>
      <c r="H2745" s="7" t="s">
        <v>548</v>
      </c>
      <c r="I2745" s="7" t="s">
        <v>546</v>
      </c>
      <c r="J2745" s="21" t="n">
        <f aca="false">D2745/(D2745+E2745)</f>
        <v>0.592592592592593</v>
      </c>
      <c r="K2745" s="3" t="n">
        <f aca="false">IF(D2745&gt;E2745,1,0)</f>
        <v>1</v>
      </c>
      <c r="L2745" s="3" t="n">
        <f aca="false">IF(OR(F2745="Y",G2745="Y",H2745="Y"),1,0)</f>
        <v>1</v>
      </c>
      <c r="M2745" s="3" t="n">
        <f aca="false">IF(H2745="Y",1,0)</f>
        <v>1</v>
      </c>
      <c r="N2745" s="3" t="n">
        <f aca="false">IF(I2745="Y",1,0)</f>
        <v>0</v>
      </c>
    </row>
    <row r="2746" customFormat="false" ht="15" hidden="false" customHeight="true" outlineLevel="0" collapsed="false">
      <c r="A2746" s="7" t="s">
        <v>73</v>
      </c>
      <c r="B2746" s="7" t="n">
        <v>2012</v>
      </c>
      <c r="C2746" s="7" t="s">
        <v>374</v>
      </c>
      <c r="D2746" s="7" t="n">
        <v>93</v>
      </c>
      <c r="E2746" s="7" t="n">
        <v>69</v>
      </c>
      <c r="F2746" s="7" t="s">
        <v>546</v>
      </c>
      <c r="G2746" s="7" t="s">
        <v>548</v>
      </c>
      <c r="H2746" s="7" t="s">
        <v>546</v>
      </c>
      <c r="I2746" s="7" t="s">
        <v>546</v>
      </c>
      <c r="J2746" s="21" t="n">
        <f aca="false">D2746/(D2746+E2746)</f>
        <v>0.574074074074074</v>
      </c>
      <c r="K2746" s="3" t="n">
        <f aca="false">IF(D2746&gt;E2746,1,0)</f>
        <v>1</v>
      </c>
      <c r="L2746" s="3" t="n">
        <f aca="false">IF(OR(F2746="Y",G2746="Y",H2746="Y"),1,0)</f>
        <v>1</v>
      </c>
      <c r="M2746" s="3" t="n">
        <f aca="false">IF(H2746="Y",1,0)</f>
        <v>0</v>
      </c>
      <c r="N2746" s="3" t="n">
        <f aca="false">IF(I2746="Y",1,0)</f>
        <v>0</v>
      </c>
    </row>
    <row r="2747" customFormat="false" ht="15" hidden="false" customHeight="true" outlineLevel="0" collapsed="false">
      <c r="A2747" s="7" t="s">
        <v>73</v>
      </c>
      <c r="B2747" s="7" t="n">
        <v>2013</v>
      </c>
      <c r="C2747" s="7" t="s">
        <v>374</v>
      </c>
      <c r="D2747" s="7" t="n">
        <v>91</v>
      </c>
      <c r="E2747" s="7" t="n">
        <v>72</v>
      </c>
      <c r="F2747" s="7" t="s">
        <v>546</v>
      </c>
      <c r="G2747" s="7" t="s">
        <v>546</v>
      </c>
      <c r="H2747" s="7" t="s">
        <v>546</v>
      </c>
      <c r="I2747" s="7" t="s">
        <v>546</v>
      </c>
      <c r="J2747" s="21" t="n">
        <f aca="false">D2747/(D2747+E2747)</f>
        <v>0.558282208588957</v>
      </c>
      <c r="K2747" s="3" t="n">
        <f aca="false">IF(D2747&gt;E2747,1,0)</f>
        <v>1</v>
      </c>
      <c r="L2747" s="3" t="n">
        <f aca="false">IF(OR(F2747="Y",G2747="Y",H2747="Y"),1,0)</f>
        <v>0</v>
      </c>
      <c r="M2747" s="3" t="n">
        <f aca="false">IF(H2747="Y",1,0)</f>
        <v>0</v>
      </c>
      <c r="N2747" s="3" t="n">
        <f aca="false">IF(I2747="Y",1,0)</f>
        <v>0</v>
      </c>
    </row>
    <row r="2748" customFormat="false" ht="15" hidden="false" customHeight="true" outlineLevel="0" collapsed="false">
      <c r="A2748" s="7" t="s">
        <v>73</v>
      </c>
      <c r="B2748" s="7" t="n">
        <v>2014</v>
      </c>
      <c r="C2748" s="7" t="s">
        <v>374</v>
      </c>
      <c r="D2748" s="7" t="n">
        <v>67</v>
      </c>
      <c r="E2748" s="7" t="n">
        <v>95</v>
      </c>
      <c r="F2748" s="7" t="s">
        <v>546</v>
      </c>
      <c r="G2748" s="7" t="s">
        <v>546</v>
      </c>
      <c r="H2748" s="7" t="s">
        <v>546</v>
      </c>
      <c r="I2748" s="7" t="s">
        <v>546</v>
      </c>
      <c r="J2748" s="21" t="n">
        <f aca="false">D2748/(D2748+E2748)</f>
        <v>0.41358024691358</v>
      </c>
      <c r="K2748" s="3" t="n">
        <f aca="false">IF(D2748&gt;E2748,1,0)</f>
        <v>0</v>
      </c>
      <c r="L2748" s="3" t="n">
        <f aca="false">IF(OR(F2748="Y",G2748="Y",H2748="Y"),1,0)</f>
        <v>0</v>
      </c>
      <c r="M2748" s="3" t="n">
        <f aca="false">IF(H2748="Y",1,0)</f>
        <v>0</v>
      </c>
      <c r="N2748" s="3" t="n">
        <f aca="false">IF(I2748="Y",1,0)</f>
        <v>0</v>
      </c>
    </row>
    <row r="2749" customFormat="false" ht="15" hidden="false" customHeight="true" outlineLevel="0" collapsed="false">
      <c r="A2749" s="7" t="s">
        <v>73</v>
      </c>
      <c r="B2749" s="7" t="n">
        <v>2015</v>
      </c>
      <c r="C2749" s="7" t="s">
        <v>374</v>
      </c>
      <c r="D2749" s="7" t="n">
        <v>88</v>
      </c>
      <c r="E2749" s="7" t="n">
        <v>74</v>
      </c>
      <c r="F2749" s="7" t="s">
        <v>548</v>
      </c>
      <c r="G2749" s="7" t="s">
        <v>546</v>
      </c>
      <c r="H2749" s="7" t="s">
        <v>546</v>
      </c>
      <c r="I2749" s="7" t="s">
        <v>546</v>
      </c>
      <c r="J2749" s="21" t="n">
        <f aca="false">D2749/(D2749+E2749)</f>
        <v>0.54320987654321</v>
      </c>
      <c r="K2749" s="3" t="n">
        <f aca="false">IF(D2749&gt;E2749,1,0)</f>
        <v>1</v>
      </c>
      <c r="L2749" s="3" t="n">
        <f aca="false">IF(OR(F2749="Y",G2749="Y",H2749="Y"),1,0)</f>
        <v>1</v>
      </c>
      <c r="M2749" s="3" t="n">
        <f aca="false">IF(H2749="Y",1,0)</f>
        <v>0</v>
      </c>
      <c r="N2749" s="3" t="n">
        <f aca="false">IF(I2749="Y",1,0)</f>
        <v>0</v>
      </c>
    </row>
    <row r="2750" customFormat="false" ht="15" hidden="false" customHeight="true" outlineLevel="0" collapsed="false">
      <c r="A2750" s="7" t="s">
        <v>73</v>
      </c>
      <c r="B2750" s="7" t="n">
        <v>2016</v>
      </c>
      <c r="C2750" s="7" t="s">
        <v>374</v>
      </c>
      <c r="D2750" s="7" t="n">
        <v>95</v>
      </c>
      <c r="E2750" s="7" t="n">
        <v>67</v>
      </c>
      <c r="F2750" s="7" t="s">
        <v>548</v>
      </c>
      <c r="G2750" s="7" t="s">
        <v>546</v>
      </c>
      <c r="H2750" s="7" t="s">
        <v>546</v>
      </c>
      <c r="I2750" s="7" t="s">
        <v>546</v>
      </c>
      <c r="J2750" s="21" t="n">
        <f aca="false">D2750/(D2750+E2750)</f>
        <v>0.58641975308642</v>
      </c>
      <c r="K2750" s="3" t="n">
        <f aca="false">IF(D2750&gt;E2750,1,0)</f>
        <v>1</v>
      </c>
      <c r="L2750" s="3" t="n">
        <f aca="false">IF(OR(F2750="Y",G2750="Y",H2750="Y"),1,0)</f>
        <v>1</v>
      </c>
      <c r="M2750" s="3" t="n">
        <f aca="false">IF(H2750="Y",1,0)</f>
        <v>0</v>
      </c>
      <c r="N2750" s="3" t="n">
        <f aca="false">IF(I2750="Y",1,0)</f>
        <v>0</v>
      </c>
    </row>
    <row r="2751" customFormat="false" ht="15" hidden="false" customHeight="true" outlineLevel="0" collapsed="false">
      <c r="A2751" s="7" t="s">
        <v>73</v>
      </c>
      <c r="B2751" s="7" t="n">
        <v>2017</v>
      </c>
      <c r="C2751" s="7" t="s">
        <v>374</v>
      </c>
      <c r="D2751" s="7" t="n">
        <v>78</v>
      </c>
      <c r="E2751" s="7" t="n">
        <v>84</v>
      </c>
      <c r="F2751" s="7" t="s">
        <v>546</v>
      </c>
      <c r="G2751" s="7" t="s">
        <v>546</v>
      </c>
      <c r="H2751" s="7" t="s">
        <v>546</v>
      </c>
      <c r="I2751" s="7" t="s">
        <v>546</v>
      </c>
      <c r="J2751" s="21" t="n">
        <f aca="false">D2751/(D2751+E2751)</f>
        <v>0.481481481481481</v>
      </c>
      <c r="K2751" s="3" t="n">
        <f aca="false">IF(D2751&gt;E2751,1,0)</f>
        <v>0</v>
      </c>
      <c r="L2751" s="3" t="n">
        <f aca="false">IF(OR(F2751="Y",G2751="Y",H2751="Y"),1,0)</f>
        <v>0</v>
      </c>
      <c r="M2751" s="3" t="n">
        <f aca="false">IF(H2751="Y",1,0)</f>
        <v>0</v>
      </c>
      <c r="N2751" s="3" t="n">
        <f aca="false">IF(I2751="Y",1,0)</f>
        <v>0</v>
      </c>
    </row>
    <row r="2752" customFormat="false" ht="15" hidden="false" customHeight="true" outlineLevel="0" collapsed="false">
      <c r="A2752" s="7" t="s">
        <v>73</v>
      </c>
      <c r="B2752" s="7" t="n">
        <v>2018</v>
      </c>
      <c r="C2752" s="7" t="s">
        <v>374</v>
      </c>
      <c r="D2752" s="7" t="n">
        <v>67</v>
      </c>
      <c r="E2752" s="7" t="n">
        <v>95</v>
      </c>
      <c r="F2752" s="7" t="s">
        <v>546</v>
      </c>
      <c r="G2752" s="7" t="s">
        <v>546</v>
      </c>
      <c r="H2752" s="7" t="s">
        <v>546</v>
      </c>
      <c r="I2752" s="7" t="s">
        <v>546</v>
      </c>
      <c r="J2752" s="21" t="n">
        <f aca="false">D2752/(D2752+E2752)</f>
        <v>0.41358024691358</v>
      </c>
      <c r="K2752" s="3" t="n">
        <f aca="false">IF(D2752&gt;E2752,1,0)</f>
        <v>0</v>
      </c>
      <c r="L2752" s="3" t="n">
        <f aca="false">IF(OR(F2752="Y",G2752="Y",H2752="Y"),1,0)</f>
        <v>0</v>
      </c>
      <c r="M2752" s="3" t="n">
        <f aca="false">IF(H2752="Y",1,0)</f>
        <v>0</v>
      </c>
      <c r="N2752" s="3" t="n">
        <f aca="false">IF(I2752="Y",1,0)</f>
        <v>0</v>
      </c>
    </row>
    <row r="2753" customFormat="false" ht="15" hidden="false" customHeight="true" outlineLevel="0" collapsed="false">
      <c r="A2753" s="7" t="s">
        <v>73</v>
      </c>
      <c r="B2753" s="7" t="n">
        <v>2019</v>
      </c>
      <c r="C2753" s="7" t="s">
        <v>374</v>
      </c>
      <c r="D2753" s="7" t="n">
        <v>78</v>
      </c>
      <c r="E2753" s="7" t="n">
        <v>84</v>
      </c>
      <c r="F2753" s="7" t="s">
        <v>546</v>
      </c>
      <c r="G2753" s="7" t="s">
        <v>546</v>
      </c>
      <c r="H2753" s="7" t="s">
        <v>546</v>
      </c>
      <c r="I2753" s="7" t="s">
        <v>546</v>
      </c>
      <c r="J2753" s="21" t="n">
        <f aca="false">D2753/(D2753+E2753)</f>
        <v>0.481481481481481</v>
      </c>
      <c r="K2753" s="3" t="n">
        <f aca="false">IF(D2753&gt;E2753,1,0)</f>
        <v>0</v>
      </c>
      <c r="L2753" s="3" t="n">
        <f aca="false">IF(OR(F2753="Y",G2753="Y",H2753="Y"),1,0)</f>
        <v>0</v>
      </c>
      <c r="M2753" s="3" t="n">
        <f aca="false">IF(H2753="Y",1,0)</f>
        <v>0</v>
      </c>
      <c r="N2753" s="3" t="n">
        <f aca="false">IF(I2753="Y",1,0)</f>
        <v>0</v>
      </c>
    </row>
    <row r="2754" customFormat="false" ht="15" hidden="false" customHeight="true" outlineLevel="0" collapsed="false">
      <c r="A2754" s="7" t="s">
        <v>73</v>
      </c>
      <c r="B2754" s="7" t="n">
        <v>2020</v>
      </c>
      <c r="C2754" s="7" t="s">
        <v>374</v>
      </c>
      <c r="D2754" s="7" t="n">
        <v>22</v>
      </c>
      <c r="E2754" s="7" t="n">
        <v>38</v>
      </c>
      <c r="F2754" s="7" t="s">
        <v>546</v>
      </c>
      <c r="G2754" s="7" t="s">
        <v>546</v>
      </c>
      <c r="H2754" s="7" t="s">
        <v>546</v>
      </c>
      <c r="I2754" s="7" t="s">
        <v>546</v>
      </c>
      <c r="J2754" s="21" t="n">
        <f aca="false">D2754/(D2754+E2754)</f>
        <v>0.366666666666667</v>
      </c>
      <c r="K2754" s="3" t="n">
        <f aca="false">IF(D2754&gt;E2754,1,0)</f>
        <v>0</v>
      </c>
      <c r="L2754" s="3" t="n">
        <f aca="false">IF(OR(F2754="Y",G2754="Y",H2754="Y"),1,0)</f>
        <v>0</v>
      </c>
      <c r="M2754" s="3" t="n">
        <f aca="false">IF(H2754="Y",1,0)</f>
        <v>0</v>
      </c>
      <c r="N2754" s="3" t="n">
        <f aca="false">IF(I2754="Y",1,0)</f>
        <v>0</v>
      </c>
    </row>
    <row r="2755" customFormat="false" ht="15" hidden="false" customHeight="true" outlineLevel="0" collapsed="false">
      <c r="A2755" s="7" t="s">
        <v>73</v>
      </c>
      <c r="B2755" s="7" t="n">
        <v>2021</v>
      </c>
      <c r="C2755" s="7" t="s">
        <v>374</v>
      </c>
      <c r="D2755" s="7" t="n">
        <v>60</v>
      </c>
      <c r="E2755" s="7" t="n">
        <v>102</v>
      </c>
      <c r="F2755" s="7" t="s">
        <v>546</v>
      </c>
      <c r="G2755" s="7" t="s">
        <v>546</v>
      </c>
      <c r="H2755" s="7" t="s">
        <v>546</v>
      </c>
      <c r="I2755" s="7" t="s">
        <v>546</v>
      </c>
      <c r="J2755" s="21" t="n">
        <f aca="false">D2755/(D2755+E2755)</f>
        <v>0.37037037037037</v>
      </c>
      <c r="K2755" s="3" t="n">
        <f aca="false">IF(D2755&gt;E2755,1,0)</f>
        <v>0</v>
      </c>
      <c r="L2755" s="3" t="n">
        <f aca="false">IF(OR(F2755="Y",G2755="Y",H2755="Y"),1,0)</f>
        <v>0</v>
      </c>
      <c r="M2755" s="3" t="n">
        <f aca="false">IF(H2755="Y",1,0)</f>
        <v>0</v>
      </c>
      <c r="N2755" s="3" t="n">
        <f aca="false">IF(I2755="Y",1,0)</f>
        <v>0</v>
      </c>
    </row>
    <row r="2756" customFormat="false" ht="15" hidden="false" customHeight="true" outlineLevel="0" collapsed="false">
      <c r="A2756" s="7" t="s">
        <v>73</v>
      </c>
      <c r="B2756" s="7" t="n">
        <v>2022</v>
      </c>
      <c r="C2756" s="7" t="s">
        <v>374</v>
      </c>
      <c r="D2756" s="7" t="n">
        <v>68</v>
      </c>
      <c r="E2756" s="7" t="n">
        <v>94</v>
      </c>
      <c r="F2756" s="7" t="s">
        <v>546</v>
      </c>
      <c r="G2756" s="7" t="s">
        <v>546</v>
      </c>
      <c r="H2756" s="7" t="s">
        <v>546</v>
      </c>
      <c r="I2756" s="7" t="s">
        <v>546</v>
      </c>
      <c r="J2756" s="21" t="n">
        <f aca="false">D2756/(D2756+E2756)</f>
        <v>0.419753086419753</v>
      </c>
      <c r="K2756" s="3" t="n">
        <f aca="false">IF(D2756&gt;E2756,1,0)</f>
        <v>0</v>
      </c>
      <c r="L2756" s="3" t="n">
        <f aca="false">IF(OR(F2756="Y",G2756="Y",H2756="Y"),1,0)</f>
        <v>0</v>
      </c>
      <c r="M2756" s="3" t="n">
        <f aca="false">IF(H2756="Y",1,0)</f>
        <v>0</v>
      </c>
      <c r="N2756" s="3" t="n">
        <f aca="false">IF(I2756="Y",1,0)</f>
        <v>0</v>
      </c>
    </row>
    <row r="2757" customFormat="false" ht="15" hidden="false" customHeight="true" outlineLevel="0" collapsed="false">
      <c r="A2757" s="7" t="s">
        <v>73</v>
      </c>
      <c r="B2757" s="7" t="n">
        <v>2023</v>
      </c>
      <c r="C2757" s="7" t="s">
        <v>374</v>
      </c>
      <c r="D2757" s="7" t="n">
        <v>90</v>
      </c>
      <c r="E2757" s="7" t="n">
        <v>72</v>
      </c>
      <c r="F2757" s="7" t="s">
        <v>546</v>
      </c>
      <c r="G2757" s="7" t="s">
        <v>548</v>
      </c>
      <c r="H2757" s="7" t="s">
        <v>548</v>
      </c>
      <c r="I2757" s="7" t="s">
        <v>548</v>
      </c>
      <c r="J2757" s="21" t="n">
        <f aca="false">D2757/(D2757+E2757)</f>
        <v>0.555555555555556</v>
      </c>
      <c r="K2757" s="3" t="n">
        <f aca="false">IF(D2757&gt;E2757,1,0)</f>
        <v>1</v>
      </c>
      <c r="L2757" s="3" t="n">
        <f aca="false">IF(OR(F2757="Y",G2757="Y",H2757="Y"),1,0)</f>
        <v>1</v>
      </c>
      <c r="M2757" s="3" t="n">
        <f aca="false">IF(H2757="Y",1,0)</f>
        <v>1</v>
      </c>
      <c r="N2757" s="3" t="n">
        <f aca="false">IF(I2757="Y",1,0)</f>
        <v>1</v>
      </c>
    </row>
    <row r="2758" customFormat="false" ht="15" hidden="false" customHeight="true" outlineLevel="0" collapsed="false">
      <c r="A2758" s="7" t="s">
        <v>73</v>
      </c>
      <c r="B2758" s="7" t="n">
        <v>2024</v>
      </c>
      <c r="C2758" s="7" t="s">
        <v>374</v>
      </c>
      <c r="D2758" s="7" t="n">
        <v>78</v>
      </c>
      <c r="E2758" s="7" t="n">
        <v>84</v>
      </c>
      <c r="F2758" s="7" t="s">
        <v>546</v>
      </c>
      <c r="G2758" s="7" t="s">
        <v>546</v>
      </c>
      <c r="H2758" s="7" t="s">
        <v>546</v>
      </c>
      <c r="I2758" s="7" t="s">
        <v>546</v>
      </c>
      <c r="J2758" s="21" t="n">
        <f aca="false">D2758/(D2758+E2758)</f>
        <v>0.481481481481481</v>
      </c>
      <c r="K2758" s="3" t="n">
        <f aca="false">IF(D2758&gt;E2758,1,0)</f>
        <v>0</v>
      </c>
      <c r="L2758" s="3" t="n">
        <f aca="false">IF(OR(F2758="Y",G2758="Y",H2758="Y"),1,0)</f>
        <v>0</v>
      </c>
      <c r="M2758" s="3" t="n">
        <f aca="false">IF(H2758="Y",1,0)</f>
        <v>0</v>
      </c>
      <c r="N2758" s="3" t="n">
        <f aca="false">IF(I2758="Y",1,0)</f>
        <v>0</v>
      </c>
    </row>
    <row r="2759" customFormat="false" ht="15" hidden="false" customHeight="true" outlineLevel="0" collapsed="false">
      <c r="A2759" s="7" t="s">
        <v>73</v>
      </c>
      <c r="B2759" s="7" t="n">
        <v>2025</v>
      </c>
      <c r="C2759" s="7" t="s">
        <v>374</v>
      </c>
      <c r="D2759" s="7" t="n">
        <v>81</v>
      </c>
      <c r="E2759" s="7" t="n">
        <v>81</v>
      </c>
      <c r="F2759" s="7" t="s">
        <v>546</v>
      </c>
      <c r="G2759" s="7" t="s">
        <v>546</v>
      </c>
      <c r="H2759" s="7" t="s">
        <v>546</v>
      </c>
      <c r="I2759" s="7" t="s">
        <v>546</v>
      </c>
      <c r="J2759" s="21" t="n">
        <f aca="false">D2759/(D2759+E2759)</f>
        <v>0.5</v>
      </c>
      <c r="K2759" s="3" t="n">
        <f aca="false">IF(D2759&gt;E2759,1,0)</f>
        <v>0</v>
      </c>
      <c r="L2759" s="3" t="n">
        <f aca="false">IF(OR(F2759="Y",G2759="Y",H2759="Y"),1,0)</f>
        <v>0</v>
      </c>
      <c r="M2759" s="3" t="n">
        <f aca="false">IF(H2759="Y",1,0)</f>
        <v>0</v>
      </c>
      <c r="N2759" s="3" t="n">
        <f aca="false">IF(I2759="Y",1,0)</f>
        <v>0</v>
      </c>
    </row>
    <row r="2760" customFormat="false" ht="15" hidden="false" customHeight="true" outlineLevel="0" collapsed="false">
      <c r="A2760" s="7" t="s">
        <v>81</v>
      </c>
      <c r="B2760" s="7" t="n">
        <v>1977</v>
      </c>
      <c r="C2760" s="7" t="s">
        <v>384</v>
      </c>
      <c r="D2760" s="7" t="n">
        <v>54</v>
      </c>
      <c r="E2760" s="7" t="n">
        <v>107</v>
      </c>
      <c r="F2760" s="7" t="s">
        <v>546</v>
      </c>
      <c r="G2760" s="7"/>
      <c r="H2760" s="7" t="s">
        <v>546</v>
      </c>
      <c r="I2760" s="7" t="s">
        <v>546</v>
      </c>
      <c r="J2760" s="21" t="n">
        <f aca="false">D2760/(D2760+E2760)</f>
        <v>0.335403726708075</v>
      </c>
      <c r="K2760" s="3" t="n">
        <f aca="false">IF(D2760&gt;E2760,1,0)</f>
        <v>0</v>
      </c>
      <c r="L2760" s="3" t="n">
        <f aca="false">IF(OR(F2760="Y",G2760="Y",H2760="Y"),1,0)</f>
        <v>0</v>
      </c>
      <c r="M2760" s="3" t="n">
        <f aca="false">IF(H2760="Y",1,0)</f>
        <v>0</v>
      </c>
      <c r="N2760" s="3" t="n">
        <f aca="false">IF(I2760="Y",1,0)</f>
        <v>0</v>
      </c>
    </row>
    <row r="2761" customFormat="false" ht="15" hidden="false" customHeight="true" outlineLevel="0" collapsed="false">
      <c r="A2761" s="7" t="s">
        <v>81</v>
      </c>
      <c r="B2761" s="7" t="n">
        <v>1978</v>
      </c>
      <c r="C2761" s="7" t="s">
        <v>384</v>
      </c>
      <c r="D2761" s="7" t="n">
        <v>59</v>
      </c>
      <c r="E2761" s="7" t="n">
        <v>102</v>
      </c>
      <c r="F2761" s="7" t="s">
        <v>546</v>
      </c>
      <c r="G2761" s="7"/>
      <c r="H2761" s="7" t="s">
        <v>546</v>
      </c>
      <c r="I2761" s="7" t="s">
        <v>546</v>
      </c>
      <c r="J2761" s="21" t="n">
        <f aca="false">D2761/(D2761+E2761)</f>
        <v>0.366459627329193</v>
      </c>
      <c r="K2761" s="3" t="n">
        <f aca="false">IF(D2761&gt;E2761,1,0)</f>
        <v>0</v>
      </c>
      <c r="L2761" s="3" t="n">
        <f aca="false">IF(OR(F2761="Y",G2761="Y",H2761="Y"),1,0)</f>
        <v>0</v>
      </c>
      <c r="M2761" s="3" t="n">
        <f aca="false">IF(H2761="Y",1,0)</f>
        <v>0</v>
      </c>
      <c r="N2761" s="3" t="n">
        <f aca="false">IF(I2761="Y",1,0)</f>
        <v>0</v>
      </c>
    </row>
    <row r="2762" customFormat="false" ht="15" hidden="false" customHeight="true" outlineLevel="0" collapsed="false">
      <c r="A2762" s="7" t="s">
        <v>81</v>
      </c>
      <c r="B2762" s="7" t="n">
        <v>1979</v>
      </c>
      <c r="C2762" s="7" t="s">
        <v>384</v>
      </c>
      <c r="D2762" s="7" t="n">
        <v>53</v>
      </c>
      <c r="E2762" s="7" t="n">
        <v>109</v>
      </c>
      <c r="F2762" s="7" t="s">
        <v>546</v>
      </c>
      <c r="G2762" s="7"/>
      <c r="H2762" s="7" t="s">
        <v>546</v>
      </c>
      <c r="I2762" s="7" t="s">
        <v>546</v>
      </c>
      <c r="J2762" s="21" t="n">
        <f aca="false">D2762/(D2762+E2762)</f>
        <v>0.327160493827161</v>
      </c>
      <c r="K2762" s="3" t="n">
        <f aca="false">IF(D2762&gt;E2762,1,0)</f>
        <v>0</v>
      </c>
      <c r="L2762" s="3" t="n">
        <f aca="false">IF(OR(F2762="Y",G2762="Y",H2762="Y"),1,0)</f>
        <v>0</v>
      </c>
      <c r="M2762" s="3" t="n">
        <f aca="false">IF(H2762="Y",1,0)</f>
        <v>0</v>
      </c>
      <c r="N2762" s="3" t="n">
        <f aca="false">IF(I2762="Y",1,0)</f>
        <v>0</v>
      </c>
    </row>
    <row r="2763" customFormat="false" ht="15" hidden="false" customHeight="true" outlineLevel="0" collapsed="false">
      <c r="A2763" s="7" t="s">
        <v>81</v>
      </c>
      <c r="B2763" s="7" t="n">
        <v>1980</v>
      </c>
      <c r="C2763" s="7" t="s">
        <v>384</v>
      </c>
      <c r="D2763" s="7" t="n">
        <v>67</v>
      </c>
      <c r="E2763" s="7" t="n">
        <v>95</v>
      </c>
      <c r="F2763" s="7" t="s">
        <v>546</v>
      </c>
      <c r="G2763" s="7"/>
      <c r="H2763" s="7" t="s">
        <v>546</v>
      </c>
      <c r="I2763" s="7" t="s">
        <v>546</v>
      </c>
      <c r="J2763" s="21" t="n">
        <f aca="false">D2763/(D2763+E2763)</f>
        <v>0.41358024691358</v>
      </c>
      <c r="K2763" s="3" t="n">
        <f aca="false">IF(D2763&gt;E2763,1,0)</f>
        <v>0</v>
      </c>
      <c r="L2763" s="3" t="n">
        <f aca="false">IF(OR(F2763="Y",G2763="Y",H2763="Y"),1,0)</f>
        <v>0</v>
      </c>
      <c r="M2763" s="3" t="n">
        <f aca="false">IF(H2763="Y",1,0)</f>
        <v>0</v>
      </c>
      <c r="N2763" s="3" t="n">
        <f aca="false">IF(I2763="Y",1,0)</f>
        <v>0</v>
      </c>
    </row>
    <row r="2764" customFormat="false" ht="15" hidden="false" customHeight="true" outlineLevel="0" collapsed="false">
      <c r="A2764" s="7" t="s">
        <v>81</v>
      </c>
      <c r="B2764" s="7" t="n">
        <v>1981</v>
      </c>
      <c r="C2764" s="7" t="s">
        <v>384</v>
      </c>
      <c r="D2764" s="7" t="n">
        <v>37</v>
      </c>
      <c r="E2764" s="7" t="n">
        <v>69</v>
      </c>
      <c r="F2764" s="7" t="s">
        <v>546</v>
      </c>
      <c r="G2764" s="7"/>
      <c r="H2764" s="7" t="s">
        <v>546</v>
      </c>
      <c r="I2764" s="7" t="s">
        <v>546</v>
      </c>
      <c r="J2764" s="21" t="n">
        <f aca="false">D2764/(D2764+E2764)</f>
        <v>0.349056603773585</v>
      </c>
      <c r="K2764" s="3" t="n">
        <f aca="false">IF(D2764&gt;E2764,1,0)</f>
        <v>0</v>
      </c>
      <c r="L2764" s="3" t="n">
        <f aca="false">IF(OR(F2764="Y",G2764="Y",H2764="Y"),1,0)</f>
        <v>0</v>
      </c>
      <c r="M2764" s="3" t="n">
        <f aca="false">IF(H2764="Y",1,0)</f>
        <v>0</v>
      </c>
      <c r="N2764" s="3" t="n">
        <f aca="false">IF(I2764="Y",1,0)</f>
        <v>0</v>
      </c>
    </row>
    <row r="2765" customFormat="false" ht="15" hidden="false" customHeight="true" outlineLevel="0" collapsed="false">
      <c r="A2765" s="7" t="s">
        <v>81</v>
      </c>
      <c r="B2765" s="7" t="n">
        <v>1982</v>
      </c>
      <c r="C2765" s="7" t="s">
        <v>384</v>
      </c>
      <c r="D2765" s="7" t="n">
        <v>78</v>
      </c>
      <c r="E2765" s="7" t="n">
        <v>84</v>
      </c>
      <c r="F2765" s="7" t="s">
        <v>546</v>
      </c>
      <c r="G2765" s="7"/>
      <c r="H2765" s="7" t="s">
        <v>546</v>
      </c>
      <c r="I2765" s="7" t="s">
        <v>546</v>
      </c>
      <c r="J2765" s="21" t="n">
        <f aca="false">D2765/(D2765+E2765)</f>
        <v>0.481481481481481</v>
      </c>
      <c r="K2765" s="3" t="n">
        <f aca="false">IF(D2765&gt;E2765,1,0)</f>
        <v>0</v>
      </c>
      <c r="L2765" s="3" t="n">
        <f aca="false">IF(OR(F2765="Y",G2765="Y",H2765="Y"),1,0)</f>
        <v>0</v>
      </c>
      <c r="M2765" s="3" t="n">
        <f aca="false">IF(H2765="Y",1,0)</f>
        <v>0</v>
      </c>
      <c r="N2765" s="3" t="n">
        <f aca="false">IF(I2765="Y",1,0)</f>
        <v>0</v>
      </c>
    </row>
    <row r="2766" customFormat="false" ht="15" hidden="false" customHeight="true" outlineLevel="0" collapsed="false">
      <c r="A2766" s="7" t="s">
        <v>81</v>
      </c>
      <c r="B2766" s="7" t="n">
        <v>1983</v>
      </c>
      <c r="C2766" s="7" t="s">
        <v>384</v>
      </c>
      <c r="D2766" s="7" t="n">
        <v>89</v>
      </c>
      <c r="E2766" s="7" t="n">
        <v>73</v>
      </c>
      <c r="F2766" s="7" t="s">
        <v>546</v>
      </c>
      <c r="G2766" s="7"/>
      <c r="H2766" s="7" t="s">
        <v>546</v>
      </c>
      <c r="I2766" s="7" t="s">
        <v>546</v>
      </c>
      <c r="J2766" s="21" t="n">
        <f aca="false">D2766/(D2766+E2766)</f>
        <v>0.549382716049383</v>
      </c>
      <c r="K2766" s="3" t="n">
        <f aca="false">IF(D2766&gt;E2766,1,0)</f>
        <v>1</v>
      </c>
      <c r="L2766" s="3" t="n">
        <f aca="false">IF(OR(F2766="Y",G2766="Y",H2766="Y"),1,0)</f>
        <v>0</v>
      </c>
      <c r="M2766" s="3" t="n">
        <f aca="false">IF(H2766="Y",1,0)</f>
        <v>0</v>
      </c>
      <c r="N2766" s="3" t="n">
        <f aca="false">IF(I2766="Y",1,0)</f>
        <v>0</v>
      </c>
    </row>
    <row r="2767" customFormat="false" ht="15" hidden="false" customHeight="true" outlineLevel="0" collapsed="false">
      <c r="A2767" s="7" t="s">
        <v>81</v>
      </c>
      <c r="B2767" s="7" t="n">
        <v>1984</v>
      </c>
      <c r="C2767" s="7" t="s">
        <v>384</v>
      </c>
      <c r="D2767" s="7" t="n">
        <v>89</v>
      </c>
      <c r="E2767" s="7" t="n">
        <v>73</v>
      </c>
      <c r="F2767" s="7" t="s">
        <v>546</v>
      </c>
      <c r="G2767" s="7"/>
      <c r="H2767" s="7" t="s">
        <v>546</v>
      </c>
      <c r="I2767" s="7" t="s">
        <v>546</v>
      </c>
      <c r="J2767" s="21" t="n">
        <f aca="false">D2767/(D2767+E2767)</f>
        <v>0.549382716049383</v>
      </c>
      <c r="K2767" s="3" t="n">
        <f aca="false">IF(D2767&gt;E2767,1,0)</f>
        <v>1</v>
      </c>
      <c r="L2767" s="3" t="n">
        <f aca="false">IF(OR(F2767="Y",G2767="Y",H2767="Y"),1,0)</f>
        <v>0</v>
      </c>
      <c r="M2767" s="3" t="n">
        <f aca="false">IF(H2767="Y",1,0)</f>
        <v>0</v>
      </c>
      <c r="N2767" s="3" t="n">
        <f aca="false">IF(I2767="Y",1,0)</f>
        <v>0</v>
      </c>
    </row>
    <row r="2768" customFormat="false" ht="15" hidden="false" customHeight="true" outlineLevel="0" collapsed="false">
      <c r="A2768" s="7" t="s">
        <v>81</v>
      </c>
      <c r="B2768" s="7" t="n">
        <v>1985</v>
      </c>
      <c r="C2768" s="7" t="s">
        <v>384</v>
      </c>
      <c r="D2768" s="7" t="n">
        <v>99</v>
      </c>
      <c r="E2768" s="7" t="n">
        <v>62</v>
      </c>
      <c r="F2768" s="7" t="s">
        <v>548</v>
      </c>
      <c r="G2768" s="7"/>
      <c r="H2768" s="7" t="s">
        <v>546</v>
      </c>
      <c r="I2768" s="7" t="s">
        <v>546</v>
      </c>
      <c r="J2768" s="21" t="n">
        <f aca="false">D2768/(D2768+E2768)</f>
        <v>0.614906832298137</v>
      </c>
      <c r="K2768" s="3" t="n">
        <f aca="false">IF(D2768&gt;E2768,1,0)</f>
        <v>1</v>
      </c>
      <c r="L2768" s="3" t="n">
        <f aca="false">IF(OR(F2768="Y",G2768="Y",H2768="Y"),1,0)</f>
        <v>1</v>
      </c>
      <c r="M2768" s="3" t="n">
        <f aca="false">IF(H2768="Y",1,0)</f>
        <v>0</v>
      </c>
      <c r="N2768" s="3" t="n">
        <f aca="false">IF(I2768="Y",1,0)</f>
        <v>0</v>
      </c>
    </row>
    <row r="2769" customFormat="false" ht="15" hidden="false" customHeight="true" outlineLevel="0" collapsed="false">
      <c r="A2769" s="7" t="s">
        <v>81</v>
      </c>
      <c r="B2769" s="7" t="n">
        <v>1986</v>
      </c>
      <c r="C2769" s="7" t="s">
        <v>384</v>
      </c>
      <c r="D2769" s="7" t="n">
        <v>86</v>
      </c>
      <c r="E2769" s="7" t="n">
        <v>76</v>
      </c>
      <c r="F2769" s="7" t="s">
        <v>546</v>
      </c>
      <c r="G2769" s="7"/>
      <c r="H2769" s="7" t="s">
        <v>546</v>
      </c>
      <c r="I2769" s="7" t="s">
        <v>546</v>
      </c>
      <c r="J2769" s="21" t="n">
        <f aca="false">D2769/(D2769+E2769)</f>
        <v>0.530864197530864</v>
      </c>
      <c r="K2769" s="3" t="n">
        <f aca="false">IF(D2769&gt;E2769,1,0)</f>
        <v>1</v>
      </c>
      <c r="L2769" s="3" t="n">
        <f aca="false">IF(OR(F2769="Y",G2769="Y",H2769="Y"),1,0)</f>
        <v>0</v>
      </c>
      <c r="M2769" s="3" t="n">
        <f aca="false">IF(H2769="Y",1,0)</f>
        <v>0</v>
      </c>
      <c r="N2769" s="3" t="n">
        <f aca="false">IF(I2769="Y",1,0)</f>
        <v>0</v>
      </c>
    </row>
    <row r="2770" customFormat="false" ht="15" hidden="false" customHeight="true" outlineLevel="0" collapsed="false">
      <c r="A2770" s="7" t="s">
        <v>81</v>
      </c>
      <c r="B2770" s="7" t="n">
        <v>1987</v>
      </c>
      <c r="C2770" s="7" t="s">
        <v>384</v>
      </c>
      <c r="D2770" s="7" t="n">
        <v>96</v>
      </c>
      <c r="E2770" s="7" t="n">
        <v>66</v>
      </c>
      <c r="F2770" s="7" t="s">
        <v>546</v>
      </c>
      <c r="G2770" s="7"/>
      <c r="H2770" s="7" t="s">
        <v>546</v>
      </c>
      <c r="I2770" s="7" t="s">
        <v>546</v>
      </c>
      <c r="J2770" s="21" t="n">
        <f aca="false">D2770/(D2770+E2770)</f>
        <v>0.592592592592593</v>
      </c>
      <c r="K2770" s="3" t="n">
        <f aca="false">IF(D2770&gt;E2770,1,0)</f>
        <v>1</v>
      </c>
      <c r="L2770" s="3" t="n">
        <f aca="false">IF(OR(F2770="Y",G2770="Y",H2770="Y"),1,0)</f>
        <v>0</v>
      </c>
      <c r="M2770" s="3" t="n">
        <f aca="false">IF(H2770="Y",1,0)</f>
        <v>0</v>
      </c>
      <c r="N2770" s="3" t="n">
        <f aca="false">IF(I2770="Y",1,0)</f>
        <v>0</v>
      </c>
    </row>
    <row r="2771" customFormat="false" ht="15" hidden="false" customHeight="true" outlineLevel="0" collapsed="false">
      <c r="A2771" s="7" t="s">
        <v>81</v>
      </c>
      <c r="B2771" s="7" t="n">
        <v>1988</v>
      </c>
      <c r="C2771" s="7" t="s">
        <v>384</v>
      </c>
      <c r="D2771" s="7" t="n">
        <v>87</v>
      </c>
      <c r="E2771" s="7" t="n">
        <v>75</v>
      </c>
      <c r="F2771" s="7" t="s">
        <v>546</v>
      </c>
      <c r="G2771" s="7"/>
      <c r="H2771" s="7" t="s">
        <v>546</v>
      </c>
      <c r="I2771" s="7" t="s">
        <v>546</v>
      </c>
      <c r="J2771" s="21" t="n">
        <f aca="false">D2771/(D2771+E2771)</f>
        <v>0.537037037037037</v>
      </c>
      <c r="K2771" s="3" t="n">
        <f aca="false">IF(D2771&gt;E2771,1,0)</f>
        <v>1</v>
      </c>
      <c r="L2771" s="3" t="n">
        <f aca="false">IF(OR(F2771="Y",G2771="Y",H2771="Y"),1,0)</f>
        <v>0</v>
      </c>
      <c r="M2771" s="3" t="n">
        <f aca="false">IF(H2771="Y",1,0)</f>
        <v>0</v>
      </c>
      <c r="N2771" s="3" t="n">
        <f aca="false">IF(I2771="Y",1,0)</f>
        <v>0</v>
      </c>
    </row>
    <row r="2772" customFormat="false" ht="15" hidden="false" customHeight="true" outlineLevel="0" collapsed="false">
      <c r="A2772" s="7" t="s">
        <v>81</v>
      </c>
      <c r="B2772" s="7" t="n">
        <v>1989</v>
      </c>
      <c r="C2772" s="7" t="s">
        <v>384</v>
      </c>
      <c r="D2772" s="7" t="n">
        <v>89</v>
      </c>
      <c r="E2772" s="7" t="n">
        <v>73</v>
      </c>
      <c r="F2772" s="7" t="s">
        <v>548</v>
      </c>
      <c r="G2772" s="7"/>
      <c r="H2772" s="7" t="s">
        <v>546</v>
      </c>
      <c r="I2772" s="7" t="s">
        <v>546</v>
      </c>
      <c r="J2772" s="21" t="n">
        <f aca="false">D2772/(D2772+E2772)</f>
        <v>0.549382716049383</v>
      </c>
      <c r="K2772" s="3" t="n">
        <f aca="false">IF(D2772&gt;E2772,1,0)</f>
        <v>1</v>
      </c>
      <c r="L2772" s="3" t="n">
        <f aca="false">IF(OR(F2772="Y",G2772="Y",H2772="Y"),1,0)</f>
        <v>1</v>
      </c>
      <c r="M2772" s="3" t="n">
        <f aca="false">IF(H2772="Y",1,0)</f>
        <v>0</v>
      </c>
      <c r="N2772" s="3" t="n">
        <f aca="false">IF(I2772="Y",1,0)</f>
        <v>0</v>
      </c>
    </row>
    <row r="2773" customFormat="false" ht="15" hidden="false" customHeight="true" outlineLevel="0" collapsed="false">
      <c r="A2773" s="7" t="s">
        <v>81</v>
      </c>
      <c r="B2773" s="7" t="n">
        <v>1990</v>
      </c>
      <c r="C2773" s="7" t="s">
        <v>384</v>
      </c>
      <c r="D2773" s="7" t="n">
        <v>86</v>
      </c>
      <c r="E2773" s="7" t="n">
        <v>76</v>
      </c>
      <c r="F2773" s="7" t="s">
        <v>546</v>
      </c>
      <c r="G2773" s="7"/>
      <c r="H2773" s="7" t="s">
        <v>546</v>
      </c>
      <c r="I2773" s="7" t="s">
        <v>546</v>
      </c>
      <c r="J2773" s="21" t="n">
        <f aca="false">D2773/(D2773+E2773)</f>
        <v>0.530864197530864</v>
      </c>
      <c r="K2773" s="3" t="n">
        <f aca="false">IF(D2773&gt;E2773,1,0)</f>
        <v>1</v>
      </c>
      <c r="L2773" s="3" t="n">
        <f aca="false">IF(OR(F2773="Y",G2773="Y",H2773="Y"),1,0)</f>
        <v>0</v>
      </c>
      <c r="M2773" s="3" t="n">
        <f aca="false">IF(H2773="Y",1,0)</f>
        <v>0</v>
      </c>
      <c r="N2773" s="3" t="n">
        <f aca="false">IF(I2773="Y",1,0)</f>
        <v>0</v>
      </c>
    </row>
    <row r="2774" customFormat="false" ht="15" hidden="false" customHeight="true" outlineLevel="0" collapsed="false">
      <c r="A2774" s="7" t="s">
        <v>81</v>
      </c>
      <c r="B2774" s="7" t="n">
        <v>1991</v>
      </c>
      <c r="C2774" s="7" t="s">
        <v>384</v>
      </c>
      <c r="D2774" s="7" t="n">
        <v>91</v>
      </c>
      <c r="E2774" s="7" t="n">
        <v>71</v>
      </c>
      <c r="F2774" s="7" t="s">
        <v>548</v>
      </c>
      <c r="G2774" s="7"/>
      <c r="H2774" s="7" t="s">
        <v>546</v>
      </c>
      <c r="I2774" s="7" t="s">
        <v>546</v>
      </c>
      <c r="J2774" s="21" t="n">
        <f aca="false">D2774/(D2774+E2774)</f>
        <v>0.561728395061728</v>
      </c>
      <c r="K2774" s="3" t="n">
        <f aca="false">IF(D2774&gt;E2774,1,0)</f>
        <v>1</v>
      </c>
      <c r="L2774" s="3" t="n">
        <f aca="false">IF(OR(F2774="Y",G2774="Y",H2774="Y"),1,0)</f>
        <v>1</v>
      </c>
      <c r="M2774" s="3" t="n">
        <f aca="false">IF(H2774="Y",1,0)</f>
        <v>0</v>
      </c>
      <c r="N2774" s="3" t="n">
        <f aca="false">IF(I2774="Y",1,0)</f>
        <v>0</v>
      </c>
    </row>
    <row r="2775" customFormat="false" ht="15" hidden="false" customHeight="true" outlineLevel="0" collapsed="false">
      <c r="A2775" s="7" t="s">
        <v>81</v>
      </c>
      <c r="B2775" s="7" t="n">
        <v>1992</v>
      </c>
      <c r="C2775" s="7" t="s">
        <v>384</v>
      </c>
      <c r="D2775" s="7" t="n">
        <v>96</v>
      </c>
      <c r="E2775" s="7" t="n">
        <v>66</v>
      </c>
      <c r="F2775" s="7" t="s">
        <v>548</v>
      </c>
      <c r="G2775" s="7"/>
      <c r="H2775" s="7" t="s">
        <v>548</v>
      </c>
      <c r="I2775" s="7" t="s">
        <v>548</v>
      </c>
      <c r="J2775" s="21" t="n">
        <f aca="false">D2775/(D2775+E2775)</f>
        <v>0.592592592592593</v>
      </c>
      <c r="K2775" s="3" t="n">
        <f aca="false">IF(D2775&gt;E2775,1,0)</f>
        <v>1</v>
      </c>
      <c r="L2775" s="3" t="n">
        <f aca="false">IF(OR(F2775="Y",G2775="Y",H2775="Y"),1,0)</f>
        <v>1</v>
      </c>
      <c r="M2775" s="3" t="n">
        <f aca="false">IF(H2775="Y",1,0)</f>
        <v>1</v>
      </c>
      <c r="N2775" s="3" t="n">
        <f aca="false">IF(I2775="Y",1,0)</f>
        <v>1</v>
      </c>
    </row>
    <row r="2776" customFormat="false" ht="15" hidden="false" customHeight="true" outlineLevel="0" collapsed="false">
      <c r="A2776" s="7" t="s">
        <v>81</v>
      </c>
      <c r="B2776" s="7" t="n">
        <v>1993</v>
      </c>
      <c r="C2776" s="7" t="s">
        <v>384</v>
      </c>
      <c r="D2776" s="7" t="n">
        <v>95</v>
      </c>
      <c r="E2776" s="7" t="n">
        <v>67</v>
      </c>
      <c r="F2776" s="7" t="s">
        <v>548</v>
      </c>
      <c r="G2776" s="7"/>
      <c r="H2776" s="7" t="s">
        <v>548</v>
      </c>
      <c r="I2776" s="7" t="s">
        <v>548</v>
      </c>
      <c r="J2776" s="21" t="n">
        <f aca="false">D2776/(D2776+E2776)</f>
        <v>0.58641975308642</v>
      </c>
      <c r="K2776" s="3" t="n">
        <f aca="false">IF(D2776&gt;E2776,1,0)</f>
        <v>1</v>
      </c>
      <c r="L2776" s="3" t="n">
        <f aca="false">IF(OR(F2776="Y",G2776="Y",H2776="Y"),1,0)</f>
        <v>1</v>
      </c>
      <c r="M2776" s="3" t="n">
        <f aca="false">IF(H2776="Y",1,0)</f>
        <v>1</v>
      </c>
      <c r="N2776" s="3" t="n">
        <f aca="false">IF(I2776="Y",1,0)</f>
        <v>1</v>
      </c>
    </row>
    <row r="2777" customFormat="false" ht="15" hidden="false" customHeight="true" outlineLevel="0" collapsed="false">
      <c r="A2777" s="7" t="s">
        <v>81</v>
      </c>
      <c r="B2777" s="7" t="n">
        <v>1994</v>
      </c>
      <c r="C2777" s="7" t="s">
        <v>384</v>
      </c>
      <c r="D2777" s="7" t="n">
        <v>55</v>
      </c>
      <c r="E2777" s="7" t="n">
        <v>60</v>
      </c>
      <c r="F2777" s="7"/>
      <c r="G2777" s="7"/>
      <c r="H2777" s="7"/>
      <c r="I2777" s="7"/>
      <c r="J2777" s="21" t="n">
        <f aca="false">D2777/(D2777+E2777)</f>
        <v>0.478260869565217</v>
      </c>
      <c r="K2777" s="3" t="n">
        <f aca="false">IF(D2777&gt;E2777,1,0)</f>
        <v>0</v>
      </c>
      <c r="L2777" s="3" t="n">
        <f aca="false">IF(OR(F2777="Y",G2777="Y",H2777="Y"),1,0)</f>
        <v>0</v>
      </c>
      <c r="M2777" s="3" t="n">
        <f aca="false">IF(H2777="Y",1,0)</f>
        <v>0</v>
      </c>
      <c r="N2777" s="3" t="n">
        <f aca="false">IF(I2777="Y",1,0)</f>
        <v>0</v>
      </c>
    </row>
    <row r="2778" customFormat="false" ht="15" hidden="false" customHeight="true" outlineLevel="0" collapsed="false">
      <c r="A2778" s="7" t="s">
        <v>81</v>
      </c>
      <c r="B2778" s="7" t="n">
        <v>1995</v>
      </c>
      <c r="C2778" s="7" t="s">
        <v>384</v>
      </c>
      <c r="D2778" s="7" t="n">
        <v>56</v>
      </c>
      <c r="E2778" s="7" t="n">
        <v>88</v>
      </c>
      <c r="F2778" s="7" t="s">
        <v>546</v>
      </c>
      <c r="G2778" s="7" t="s">
        <v>546</v>
      </c>
      <c r="H2778" s="7" t="s">
        <v>546</v>
      </c>
      <c r="I2778" s="7" t="s">
        <v>546</v>
      </c>
      <c r="J2778" s="21" t="n">
        <f aca="false">D2778/(D2778+E2778)</f>
        <v>0.388888888888889</v>
      </c>
      <c r="K2778" s="3" t="n">
        <f aca="false">IF(D2778&gt;E2778,1,0)</f>
        <v>0</v>
      </c>
      <c r="L2778" s="3" t="n">
        <f aca="false">IF(OR(F2778="Y",G2778="Y",H2778="Y"),1,0)</f>
        <v>0</v>
      </c>
      <c r="M2778" s="3" t="n">
        <f aca="false">IF(H2778="Y",1,0)</f>
        <v>0</v>
      </c>
      <c r="N2778" s="3" t="n">
        <f aca="false">IF(I2778="Y",1,0)</f>
        <v>0</v>
      </c>
    </row>
    <row r="2779" customFormat="false" ht="15" hidden="false" customHeight="true" outlineLevel="0" collapsed="false">
      <c r="A2779" s="7" t="s">
        <v>81</v>
      </c>
      <c r="B2779" s="7" t="n">
        <v>1996</v>
      </c>
      <c r="C2779" s="7" t="s">
        <v>384</v>
      </c>
      <c r="D2779" s="7" t="n">
        <v>74</v>
      </c>
      <c r="E2779" s="7" t="n">
        <v>88</v>
      </c>
      <c r="F2779" s="7" t="s">
        <v>546</v>
      </c>
      <c r="G2779" s="7" t="s">
        <v>546</v>
      </c>
      <c r="H2779" s="7" t="s">
        <v>546</v>
      </c>
      <c r="I2779" s="7" t="s">
        <v>546</v>
      </c>
      <c r="J2779" s="21" t="n">
        <f aca="false">D2779/(D2779+E2779)</f>
        <v>0.45679012345679</v>
      </c>
      <c r="K2779" s="3" t="n">
        <f aca="false">IF(D2779&gt;E2779,1,0)</f>
        <v>0</v>
      </c>
      <c r="L2779" s="3" t="n">
        <f aca="false">IF(OR(F2779="Y",G2779="Y",H2779="Y"),1,0)</f>
        <v>0</v>
      </c>
      <c r="M2779" s="3" t="n">
        <f aca="false">IF(H2779="Y",1,0)</f>
        <v>0</v>
      </c>
      <c r="N2779" s="3" t="n">
        <f aca="false">IF(I2779="Y",1,0)</f>
        <v>0</v>
      </c>
    </row>
    <row r="2780" customFormat="false" ht="15" hidden="false" customHeight="true" outlineLevel="0" collapsed="false">
      <c r="A2780" s="7" t="s">
        <v>81</v>
      </c>
      <c r="B2780" s="7" t="n">
        <v>1997</v>
      </c>
      <c r="C2780" s="7" t="s">
        <v>384</v>
      </c>
      <c r="D2780" s="7" t="n">
        <v>76</v>
      </c>
      <c r="E2780" s="7" t="n">
        <v>86</v>
      </c>
      <c r="F2780" s="7" t="s">
        <v>546</v>
      </c>
      <c r="G2780" s="7" t="s">
        <v>546</v>
      </c>
      <c r="H2780" s="7" t="s">
        <v>546</v>
      </c>
      <c r="I2780" s="7" t="s">
        <v>546</v>
      </c>
      <c r="J2780" s="21" t="n">
        <f aca="false">D2780/(D2780+E2780)</f>
        <v>0.469135802469136</v>
      </c>
      <c r="K2780" s="3" t="n">
        <f aca="false">IF(D2780&gt;E2780,1,0)</f>
        <v>0</v>
      </c>
      <c r="L2780" s="3" t="n">
        <f aca="false">IF(OR(F2780="Y",G2780="Y",H2780="Y"),1,0)</f>
        <v>0</v>
      </c>
      <c r="M2780" s="3" t="n">
        <f aca="false">IF(H2780="Y",1,0)</f>
        <v>0</v>
      </c>
      <c r="N2780" s="3" t="n">
        <f aca="false">IF(I2780="Y",1,0)</f>
        <v>0</v>
      </c>
    </row>
    <row r="2781" customFormat="false" ht="15" hidden="false" customHeight="true" outlineLevel="0" collapsed="false">
      <c r="A2781" s="7" t="s">
        <v>81</v>
      </c>
      <c r="B2781" s="7" t="n">
        <v>1998</v>
      </c>
      <c r="C2781" s="7" t="s">
        <v>384</v>
      </c>
      <c r="D2781" s="7" t="n">
        <v>88</v>
      </c>
      <c r="E2781" s="7" t="n">
        <v>74</v>
      </c>
      <c r="F2781" s="7" t="s">
        <v>546</v>
      </c>
      <c r="G2781" s="7" t="s">
        <v>546</v>
      </c>
      <c r="H2781" s="7" t="s">
        <v>546</v>
      </c>
      <c r="I2781" s="7" t="s">
        <v>546</v>
      </c>
      <c r="J2781" s="21" t="n">
        <f aca="false">D2781/(D2781+E2781)</f>
        <v>0.54320987654321</v>
      </c>
      <c r="K2781" s="3" t="n">
        <f aca="false">IF(D2781&gt;E2781,1,0)</f>
        <v>1</v>
      </c>
      <c r="L2781" s="3" t="n">
        <f aca="false">IF(OR(F2781="Y",G2781="Y",H2781="Y"),1,0)</f>
        <v>0</v>
      </c>
      <c r="M2781" s="3" t="n">
        <f aca="false">IF(H2781="Y",1,0)</f>
        <v>0</v>
      </c>
      <c r="N2781" s="3" t="n">
        <f aca="false">IF(I2781="Y",1,0)</f>
        <v>0</v>
      </c>
    </row>
    <row r="2782" customFormat="false" ht="15" hidden="false" customHeight="true" outlineLevel="0" collapsed="false">
      <c r="A2782" s="7" t="s">
        <v>81</v>
      </c>
      <c r="B2782" s="7" t="n">
        <v>1999</v>
      </c>
      <c r="C2782" s="7" t="s">
        <v>384</v>
      </c>
      <c r="D2782" s="7" t="n">
        <v>84</v>
      </c>
      <c r="E2782" s="7" t="n">
        <v>78</v>
      </c>
      <c r="F2782" s="7" t="s">
        <v>546</v>
      </c>
      <c r="G2782" s="7" t="s">
        <v>546</v>
      </c>
      <c r="H2782" s="7" t="s">
        <v>546</v>
      </c>
      <c r="I2782" s="7" t="s">
        <v>546</v>
      </c>
      <c r="J2782" s="21" t="n">
        <f aca="false">D2782/(D2782+E2782)</f>
        <v>0.518518518518519</v>
      </c>
      <c r="K2782" s="3" t="n">
        <f aca="false">IF(D2782&gt;E2782,1,0)</f>
        <v>1</v>
      </c>
      <c r="L2782" s="3" t="n">
        <f aca="false">IF(OR(F2782="Y",G2782="Y",H2782="Y"),1,0)</f>
        <v>0</v>
      </c>
      <c r="M2782" s="3" t="n">
        <f aca="false">IF(H2782="Y",1,0)</f>
        <v>0</v>
      </c>
      <c r="N2782" s="3" t="n">
        <f aca="false">IF(I2782="Y",1,0)</f>
        <v>0</v>
      </c>
    </row>
    <row r="2783" customFormat="false" ht="15" hidden="false" customHeight="true" outlineLevel="0" collapsed="false">
      <c r="A2783" s="7" t="s">
        <v>81</v>
      </c>
      <c r="B2783" s="7" t="n">
        <v>2000</v>
      </c>
      <c r="C2783" s="7" t="s">
        <v>384</v>
      </c>
      <c r="D2783" s="7" t="n">
        <v>83</v>
      </c>
      <c r="E2783" s="7" t="n">
        <v>79</v>
      </c>
      <c r="F2783" s="7" t="s">
        <v>546</v>
      </c>
      <c r="G2783" s="7" t="s">
        <v>546</v>
      </c>
      <c r="H2783" s="7" t="s">
        <v>546</v>
      </c>
      <c r="I2783" s="7" t="s">
        <v>546</v>
      </c>
      <c r="J2783" s="21" t="n">
        <f aca="false">D2783/(D2783+E2783)</f>
        <v>0.512345679012346</v>
      </c>
      <c r="K2783" s="3" t="n">
        <f aca="false">IF(D2783&gt;E2783,1,0)</f>
        <v>1</v>
      </c>
      <c r="L2783" s="3" t="n">
        <f aca="false">IF(OR(F2783="Y",G2783="Y",H2783="Y"),1,0)</f>
        <v>0</v>
      </c>
      <c r="M2783" s="3" t="n">
        <f aca="false">IF(H2783="Y",1,0)</f>
        <v>0</v>
      </c>
      <c r="N2783" s="3" t="n">
        <f aca="false">IF(I2783="Y",1,0)</f>
        <v>0</v>
      </c>
    </row>
    <row r="2784" customFormat="false" ht="15" hidden="false" customHeight="true" outlineLevel="0" collapsed="false">
      <c r="A2784" s="7" t="s">
        <v>81</v>
      </c>
      <c r="B2784" s="7" t="n">
        <v>2001</v>
      </c>
      <c r="C2784" s="7" t="s">
        <v>384</v>
      </c>
      <c r="D2784" s="7" t="n">
        <v>80</v>
      </c>
      <c r="E2784" s="7" t="n">
        <v>82</v>
      </c>
      <c r="F2784" s="7" t="s">
        <v>546</v>
      </c>
      <c r="G2784" s="7" t="s">
        <v>546</v>
      </c>
      <c r="H2784" s="7" t="s">
        <v>546</v>
      </c>
      <c r="I2784" s="7" t="s">
        <v>546</v>
      </c>
      <c r="J2784" s="21" t="n">
        <f aca="false">D2784/(D2784+E2784)</f>
        <v>0.493827160493827</v>
      </c>
      <c r="K2784" s="3" t="n">
        <f aca="false">IF(D2784&gt;E2784,1,0)</f>
        <v>0</v>
      </c>
      <c r="L2784" s="3" t="n">
        <f aca="false">IF(OR(F2784="Y",G2784="Y",H2784="Y"),1,0)</f>
        <v>0</v>
      </c>
      <c r="M2784" s="3" t="n">
        <f aca="false">IF(H2784="Y",1,0)</f>
        <v>0</v>
      </c>
      <c r="N2784" s="3" t="n">
        <f aca="false">IF(I2784="Y",1,0)</f>
        <v>0</v>
      </c>
    </row>
    <row r="2785" customFormat="false" ht="15" hidden="false" customHeight="true" outlineLevel="0" collapsed="false">
      <c r="A2785" s="7" t="s">
        <v>81</v>
      </c>
      <c r="B2785" s="7" t="n">
        <v>2002</v>
      </c>
      <c r="C2785" s="7" t="s">
        <v>384</v>
      </c>
      <c r="D2785" s="7" t="n">
        <v>78</v>
      </c>
      <c r="E2785" s="7" t="n">
        <v>84</v>
      </c>
      <c r="F2785" s="7" t="s">
        <v>546</v>
      </c>
      <c r="G2785" s="7" t="s">
        <v>546</v>
      </c>
      <c r="H2785" s="7" t="s">
        <v>546</v>
      </c>
      <c r="I2785" s="7" t="s">
        <v>546</v>
      </c>
      <c r="J2785" s="21" t="n">
        <f aca="false">D2785/(D2785+E2785)</f>
        <v>0.481481481481481</v>
      </c>
      <c r="K2785" s="3" t="n">
        <f aca="false">IF(D2785&gt;E2785,1,0)</f>
        <v>0</v>
      </c>
      <c r="L2785" s="3" t="n">
        <f aca="false">IF(OR(F2785="Y",G2785="Y",H2785="Y"),1,0)</f>
        <v>0</v>
      </c>
      <c r="M2785" s="3" t="n">
        <f aca="false">IF(H2785="Y",1,0)</f>
        <v>0</v>
      </c>
      <c r="N2785" s="3" t="n">
        <f aca="false">IF(I2785="Y",1,0)</f>
        <v>0</v>
      </c>
    </row>
    <row r="2786" customFormat="false" ht="15" hidden="false" customHeight="true" outlineLevel="0" collapsed="false">
      <c r="A2786" s="7" t="s">
        <v>81</v>
      </c>
      <c r="B2786" s="7" t="n">
        <v>2003</v>
      </c>
      <c r="C2786" s="7" t="s">
        <v>384</v>
      </c>
      <c r="D2786" s="7" t="n">
        <v>86</v>
      </c>
      <c r="E2786" s="7" t="n">
        <v>76</v>
      </c>
      <c r="F2786" s="7" t="s">
        <v>546</v>
      </c>
      <c r="G2786" s="7" t="s">
        <v>546</v>
      </c>
      <c r="H2786" s="7" t="s">
        <v>546</v>
      </c>
      <c r="I2786" s="7" t="s">
        <v>546</v>
      </c>
      <c r="J2786" s="21" t="n">
        <f aca="false">D2786/(D2786+E2786)</f>
        <v>0.530864197530864</v>
      </c>
      <c r="K2786" s="3" t="n">
        <f aca="false">IF(D2786&gt;E2786,1,0)</f>
        <v>1</v>
      </c>
      <c r="L2786" s="3" t="n">
        <f aca="false">IF(OR(F2786="Y",G2786="Y",H2786="Y"),1,0)</f>
        <v>0</v>
      </c>
      <c r="M2786" s="3" t="n">
        <f aca="false">IF(H2786="Y",1,0)</f>
        <v>0</v>
      </c>
      <c r="N2786" s="3" t="n">
        <f aca="false">IF(I2786="Y",1,0)</f>
        <v>0</v>
      </c>
    </row>
    <row r="2787" customFormat="false" ht="15" hidden="false" customHeight="true" outlineLevel="0" collapsed="false">
      <c r="A2787" s="7" t="s">
        <v>81</v>
      </c>
      <c r="B2787" s="7" t="n">
        <v>2004</v>
      </c>
      <c r="C2787" s="7" t="s">
        <v>384</v>
      </c>
      <c r="D2787" s="7" t="n">
        <v>67</v>
      </c>
      <c r="E2787" s="7" t="n">
        <v>94</v>
      </c>
      <c r="F2787" s="7" t="s">
        <v>546</v>
      </c>
      <c r="G2787" s="7" t="s">
        <v>546</v>
      </c>
      <c r="H2787" s="7" t="s">
        <v>546</v>
      </c>
      <c r="I2787" s="7" t="s">
        <v>546</v>
      </c>
      <c r="J2787" s="21" t="n">
        <f aca="false">D2787/(D2787+E2787)</f>
        <v>0.416149068322981</v>
      </c>
      <c r="K2787" s="3" t="n">
        <f aca="false">IF(D2787&gt;E2787,1,0)</f>
        <v>0</v>
      </c>
      <c r="L2787" s="3" t="n">
        <f aca="false">IF(OR(F2787="Y",G2787="Y",H2787="Y"),1,0)</f>
        <v>0</v>
      </c>
      <c r="M2787" s="3" t="n">
        <f aca="false">IF(H2787="Y",1,0)</f>
        <v>0</v>
      </c>
      <c r="N2787" s="3" t="n">
        <f aca="false">IF(I2787="Y",1,0)</f>
        <v>0</v>
      </c>
    </row>
    <row r="2788" customFormat="false" ht="15" hidden="false" customHeight="true" outlineLevel="0" collapsed="false">
      <c r="A2788" s="7" t="s">
        <v>81</v>
      </c>
      <c r="B2788" s="7" t="n">
        <v>2005</v>
      </c>
      <c r="C2788" s="7" t="s">
        <v>384</v>
      </c>
      <c r="D2788" s="7" t="n">
        <v>80</v>
      </c>
      <c r="E2788" s="7" t="n">
        <v>82</v>
      </c>
      <c r="F2788" s="7" t="s">
        <v>546</v>
      </c>
      <c r="G2788" s="7" t="s">
        <v>546</v>
      </c>
      <c r="H2788" s="7" t="s">
        <v>546</v>
      </c>
      <c r="I2788" s="7" t="s">
        <v>546</v>
      </c>
      <c r="J2788" s="21" t="n">
        <f aca="false">D2788/(D2788+E2788)</f>
        <v>0.493827160493827</v>
      </c>
      <c r="K2788" s="3" t="n">
        <f aca="false">IF(D2788&gt;E2788,1,0)</f>
        <v>0</v>
      </c>
      <c r="L2788" s="3" t="n">
        <f aca="false">IF(OR(F2788="Y",G2788="Y",H2788="Y"),1,0)</f>
        <v>0</v>
      </c>
      <c r="M2788" s="3" t="n">
        <f aca="false">IF(H2788="Y",1,0)</f>
        <v>0</v>
      </c>
      <c r="N2788" s="3" t="n">
        <f aca="false">IF(I2788="Y",1,0)</f>
        <v>0</v>
      </c>
    </row>
    <row r="2789" customFormat="false" ht="15" hidden="false" customHeight="true" outlineLevel="0" collapsed="false">
      <c r="A2789" s="7" t="s">
        <v>81</v>
      </c>
      <c r="B2789" s="7" t="n">
        <v>2006</v>
      </c>
      <c r="C2789" s="7" t="s">
        <v>384</v>
      </c>
      <c r="D2789" s="7" t="n">
        <v>87</v>
      </c>
      <c r="E2789" s="7" t="n">
        <v>75</v>
      </c>
      <c r="F2789" s="7" t="s">
        <v>546</v>
      </c>
      <c r="G2789" s="7" t="s">
        <v>546</v>
      </c>
      <c r="H2789" s="7" t="s">
        <v>546</v>
      </c>
      <c r="I2789" s="7" t="s">
        <v>546</v>
      </c>
      <c r="J2789" s="21" t="n">
        <f aca="false">D2789/(D2789+E2789)</f>
        <v>0.537037037037037</v>
      </c>
      <c r="K2789" s="3" t="n">
        <f aca="false">IF(D2789&gt;E2789,1,0)</f>
        <v>1</v>
      </c>
      <c r="L2789" s="3" t="n">
        <f aca="false">IF(OR(F2789="Y",G2789="Y",H2789="Y"),1,0)</f>
        <v>0</v>
      </c>
      <c r="M2789" s="3" t="n">
        <f aca="false">IF(H2789="Y",1,0)</f>
        <v>0</v>
      </c>
      <c r="N2789" s="3" t="n">
        <f aca="false">IF(I2789="Y",1,0)</f>
        <v>0</v>
      </c>
    </row>
    <row r="2790" customFormat="false" ht="15" hidden="false" customHeight="true" outlineLevel="0" collapsed="false">
      <c r="A2790" s="7" t="s">
        <v>81</v>
      </c>
      <c r="B2790" s="7" t="n">
        <v>2007</v>
      </c>
      <c r="C2790" s="7" t="s">
        <v>384</v>
      </c>
      <c r="D2790" s="7" t="n">
        <v>83</v>
      </c>
      <c r="E2790" s="7" t="n">
        <v>79</v>
      </c>
      <c r="F2790" s="7" t="s">
        <v>546</v>
      </c>
      <c r="G2790" s="7" t="s">
        <v>546</v>
      </c>
      <c r="H2790" s="7" t="s">
        <v>546</v>
      </c>
      <c r="I2790" s="7" t="s">
        <v>546</v>
      </c>
      <c r="J2790" s="21" t="n">
        <f aca="false">D2790/(D2790+E2790)</f>
        <v>0.512345679012346</v>
      </c>
      <c r="K2790" s="3" t="n">
        <f aca="false">IF(D2790&gt;E2790,1,0)</f>
        <v>1</v>
      </c>
      <c r="L2790" s="3" t="n">
        <f aca="false">IF(OR(F2790="Y",G2790="Y",H2790="Y"),1,0)</f>
        <v>0</v>
      </c>
      <c r="M2790" s="3" t="n">
        <f aca="false">IF(H2790="Y",1,0)</f>
        <v>0</v>
      </c>
      <c r="N2790" s="3" t="n">
        <f aca="false">IF(I2790="Y",1,0)</f>
        <v>0</v>
      </c>
    </row>
    <row r="2791" customFormat="false" ht="15" hidden="false" customHeight="true" outlineLevel="0" collapsed="false">
      <c r="A2791" s="7" t="s">
        <v>81</v>
      </c>
      <c r="B2791" s="7" t="n">
        <v>2008</v>
      </c>
      <c r="C2791" s="7" t="s">
        <v>384</v>
      </c>
      <c r="D2791" s="7" t="n">
        <v>86</v>
      </c>
      <c r="E2791" s="7" t="n">
        <v>76</v>
      </c>
      <c r="F2791" s="7" t="s">
        <v>546</v>
      </c>
      <c r="G2791" s="7" t="s">
        <v>546</v>
      </c>
      <c r="H2791" s="7" t="s">
        <v>546</v>
      </c>
      <c r="I2791" s="7" t="s">
        <v>546</v>
      </c>
      <c r="J2791" s="21" t="n">
        <f aca="false">D2791/(D2791+E2791)</f>
        <v>0.530864197530864</v>
      </c>
      <c r="K2791" s="3" t="n">
        <f aca="false">IF(D2791&gt;E2791,1,0)</f>
        <v>1</v>
      </c>
      <c r="L2791" s="3" t="n">
        <f aca="false">IF(OR(F2791="Y",G2791="Y",H2791="Y"),1,0)</f>
        <v>0</v>
      </c>
      <c r="M2791" s="3" t="n">
        <f aca="false">IF(H2791="Y",1,0)</f>
        <v>0</v>
      </c>
      <c r="N2791" s="3" t="n">
        <f aca="false">IF(I2791="Y",1,0)</f>
        <v>0</v>
      </c>
    </row>
    <row r="2792" customFormat="false" ht="15" hidden="false" customHeight="true" outlineLevel="0" collapsed="false">
      <c r="A2792" s="7" t="s">
        <v>81</v>
      </c>
      <c r="B2792" s="7" t="n">
        <v>2009</v>
      </c>
      <c r="C2792" s="7" t="s">
        <v>384</v>
      </c>
      <c r="D2792" s="7" t="n">
        <v>75</v>
      </c>
      <c r="E2792" s="7" t="n">
        <v>87</v>
      </c>
      <c r="F2792" s="7" t="s">
        <v>546</v>
      </c>
      <c r="G2792" s="7" t="s">
        <v>546</v>
      </c>
      <c r="H2792" s="7" t="s">
        <v>546</v>
      </c>
      <c r="I2792" s="7" t="s">
        <v>546</v>
      </c>
      <c r="J2792" s="21" t="n">
        <f aca="false">D2792/(D2792+E2792)</f>
        <v>0.462962962962963</v>
      </c>
      <c r="K2792" s="3" t="n">
        <f aca="false">IF(D2792&gt;E2792,1,0)</f>
        <v>0</v>
      </c>
      <c r="L2792" s="3" t="n">
        <f aca="false">IF(OR(F2792="Y",G2792="Y",H2792="Y"),1,0)</f>
        <v>0</v>
      </c>
      <c r="M2792" s="3" t="n">
        <f aca="false">IF(H2792="Y",1,0)</f>
        <v>0</v>
      </c>
      <c r="N2792" s="3" t="n">
        <f aca="false">IF(I2792="Y",1,0)</f>
        <v>0</v>
      </c>
    </row>
    <row r="2793" customFormat="false" ht="15" hidden="false" customHeight="true" outlineLevel="0" collapsed="false">
      <c r="A2793" s="7" t="s">
        <v>81</v>
      </c>
      <c r="B2793" s="7" t="n">
        <v>2010</v>
      </c>
      <c r="C2793" s="7" t="s">
        <v>384</v>
      </c>
      <c r="D2793" s="7" t="n">
        <v>85</v>
      </c>
      <c r="E2793" s="7" t="n">
        <v>77</v>
      </c>
      <c r="F2793" s="7" t="s">
        <v>546</v>
      </c>
      <c r="G2793" s="7" t="s">
        <v>546</v>
      </c>
      <c r="H2793" s="7" t="s">
        <v>546</v>
      </c>
      <c r="I2793" s="7" t="s">
        <v>546</v>
      </c>
      <c r="J2793" s="21" t="n">
        <f aca="false">D2793/(D2793+E2793)</f>
        <v>0.524691358024691</v>
      </c>
      <c r="K2793" s="3" t="n">
        <f aca="false">IF(D2793&gt;E2793,1,0)</f>
        <v>1</v>
      </c>
      <c r="L2793" s="3" t="n">
        <f aca="false">IF(OR(F2793="Y",G2793="Y",H2793="Y"),1,0)</f>
        <v>0</v>
      </c>
      <c r="M2793" s="3" t="n">
        <f aca="false">IF(H2793="Y",1,0)</f>
        <v>0</v>
      </c>
      <c r="N2793" s="3" t="n">
        <f aca="false">IF(I2793="Y",1,0)</f>
        <v>0</v>
      </c>
    </row>
    <row r="2794" customFormat="false" ht="15" hidden="false" customHeight="true" outlineLevel="0" collapsed="false">
      <c r="A2794" s="7" t="s">
        <v>81</v>
      </c>
      <c r="B2794" s="7" t="n">
        <v>2011</v>
      </c>
      <c r="C2794" s="7" t="s">
        <v>384</v>
      </c>
      <c r="D2794" s="7" t="n">
        <v>81</v>
      </c>
      <c r="E2794" s="7" t="n">
        <v>81</v>
      </c>
      <c r="F2794" s="7" t="s">
        <v>546</v>
      </c>
      <c r="G2794" s="7" t="s">
        <v>546</v>
      </c>
      <c r="H2794" s="7" t="s">
        <v>546</v>
      </c>
      <c r="I2794" s="7" t="s">
        <v>546</v>
      </c>
      <c r="J2794" s="21" t="n">
        <f aca="false">D2794/(D2794+E2794)</f>
        <v>0.5</v>
      </c>
      <c r="K2794" s="3" t="n">
        <f aca="false">IF(D2794&gt;E2794,1,0)</f>
        <v>0</v>
      </c>
      <c r="L2794" s="3" t="n">
        <f aca="false">IF(OR(F2794="Y",G2794="Y",H2794="Y"),1,0)</f>
        <v>0</v>
      </c>
      <c r="M2794" s="3" t="n">
        <f aca="false">IF(H2794="Y",1,0)</f>
        <v>0</v>
      </c>
      <c r="N2794" s="3" t="n">
        <f aca="false">IF(I2794="Y",1,0)</f>
        <v>0</v>
      </c>
    </row>
    <row r="2795" customFormat="false" ht="15" hidden="false" customHeight="true" outlineLevel="0" collapsed="false">
      <c r="A2795" s="7" t="s">
        <v>81</v>
      </c>
      <c r="B2795" s="7" t="n">
        <v>2012</v>
      </c>
      <c r="C2795" s="7" t="s">
        <v>384</v>
      </c>
      <c r="D2795" s="7" t="n">
        <v>73</v>
      </c>
      <c r="E2795" s="7" t="n">
        <v>89</v>
      </c>
      <c r="F2795" s="7" t="s">
        <v>546</v>
      </c>
      <c r="G2795" s="7" t="s">
        <v>546</v>
      </c>
      <c r="H2795" s="7" t="s">
        <v>546</v>
      </c>
      <c r="I2795" s="7" t="s">
        <v>546</v>
      </c>
      <c r="J2795" s="21" t="n">
        <f aca="false">D2795/(D2795+E2795)</f>
        <v>0.450617283950617</v>
      </c>
      <c r="K2795" s="3" t="n">
        <f aca="false">IF(D2795&gt;E2795,1,0)</f>
        <v>0</v>
      </c>
      <c r="L2795" s="3" t="n">
        <f aca="false">IF(OR(F2795="Y",G2795="Y",H2795="Y"),1,0)</f>
        <v>0</v>
      </c>
      <c r="M2795" s="3" t="n">
        <f aca="false">IF(H2795="Y",1,0)</f>
        <v>0</v>
      </c>
      <c r="N2795" s="3" t="n">
        <f aca="false">IF(I2795="Y",1,0)</f>
        <v>0</v>
      </c>
    </row>
    <row r="2796" customFormat="false" ht="15" hidden="false" customHeight="true" outlineLevel="0" collapsed="false">
      <c r="A2796" s="7" t="s">
        <v>81</v>
      </c>
      <c r="B2796" s="7" t="n">
        <v>2013</v>
      </c>
      <c r="C2796" s="7" t="s">
        <v>384</v>
      </c>
      <c r="D2796" s="7" t="n">
        <v>74</v>
      </c>
      <c r="E2796" s="7" t="n">
        <v>88</v>
      </c>
      <c r="F2796" s="7" t="s">
        <v>546</v>
      </c>
      <c r="G2796" s="7" t="s">
        <v>546</v>
      </c>
      <c r="H2796" s="7" t="s">
        <v>546</v>
      </c>
      <c r="I2796" s="7" t="s">
        <v>546</v>
      </c>
      <c r="J2796" s="21" t="n">
        <f aca="false">D2796/(D2796+E2796)</f>
        <v>0.45679012345679</v>
      </c>
      <c r="K2796" s="3" t="n">
        <f aca="false">IF(D2796&gt;E2796,1,0)</f>
        <v>0</v>
      </c>
      <c r="L2796" s="3" t="n">
        <f aca="false">IF(OR(F2796="Y",G2796="Y",H2796="Y"),1,0)</f>
        <v>0</v>
      </c>
      <c r="M2796" s="3" t="n">
        <f aca="false">IF(H2796="Y",1,0)</f>
        <v>0</v>
      </c>
      <c r="N2796" s="3" t="n">
        <f aca="false">IF(I2796="Y",1,0)</f>
        <v>0</v>
      </c>
    </row>
    <row r="2797" customFormat="false" ht="15" hidden="false" customHeight="true" outlineLevel="0" collapsed="false">
      <c r="A2797" s="7" t="s">
        <v>81</v>
      </c>
      <c r="B2797" s="7" t="n">
        <v>2014</v>
      </c>
      <c r="C2797" s="7" t="s">
        <v>384</v>
      </c>
      <c r="D2797" s="7" t="n">
        <v>83</v>
      </c>
      <c r="E2797" s="7" t="n">
        <v>79</v>
      </c>
      <c r="F2797" s="7" t="s">
        <v>546</v>
      </c>
      <c r="G2797" s="7" t="s">
        <v>546</v>
      </c>
      <c r="H2797" s="7" t="s">
        <v>546</v>
      </c>
      <c r="I2797" s="7" t="s">
        <v>546</v>
      </c>
      <c r="J2797" s="21" t="n">
        <f aca="false">D2797/(D2797+E2797)</f>
        <v>0.512345679012346</v>
      </c>
      <c r="K2797" s="3" t="n">
        <f aca="false">IF(D2797&gt;E2797,1,0)</f>
        <v>1</v>
      </c>
      <c r="L2797" s="3" t="n">
        <f aca="false">IF(OR(F2797="Y",G2797="Y",H2797="Y"),1,0)</f>
        <v>0</v>
      </c>
      <c r="M2797" s="3" t="n">
        <f aca="false">IF(H2797="Y",1,0)</f>
        <v>0</v>
      </c>
      <c r="N2797" s="3" t="n">
        <f aca="false">IF(I2797="Y",1,0)</f>
        <v>0</v>
      </c>
    </row>
    <row r="2798" customFormat="false" ht="15" hidden="false" customHeight="true" outlineLevel="0" collapsed="false">
      <c r="A2798" s="7" t="s">
        <v>81</v>
      </c>
      <c r="B2798" s="7" t="n">
        <v>2015</v>
      </c>
      <c r="C2798" s="7" t="s">
        <v>384</v>
      </c>
      <c r="D2798" s="7" t="n">
        <v>93</v>
      </c>
      <c r="E2798" s="7" t="n">
        <v>69</v>
      </c>
      <c r="F2798" s="7" t="s">
        <v>548</v>
      </c>
      <c r="G2798" s="7" t="s">
        <v>546</v>
      </c>
      <c r="H2798" s="7" t="s">
        <v>546</v>
      </c>
      <c r="I2798" s="7" t="s">
        <v>546</v>
      </c>
      <c r="J2798" s="21" t="n">
        <f aca="false">D2798/(D2798+E2798)</f>
        <v>0.574074074074074</v>
      </c>
      <c r="K2798" s="3" t="n">
        <f aca="false">IF(D2798&gt;E2798,1,0)</f>
        <v>1</v>
      </c>
      <c r="L2798" s="3" t="n">
        <f aca="false">IF(OR(F2798="Y",G2798="Y",H2798="Y"),1,0)</f>
        <v>1</v>
      </c>
      <c r="M2798" s="3" t="n">
        <f aca="false">IF(H2798="Y",1,0)</f>
        <v>0</v>
      </c>
      <c r="N2798" s="3" t="n">
        <f aca="false">IF(I2798="Y",1,0)</f>
        <v>0</v>
      </c>
    </row>
    <row r="2799" customFormat="false" ht="15" hidden="false" customHeight="true" outlineLevel="0" collapsed="false">
      <c r="A2799" s="7" t="s">
        <v>81</v>
      </c>
      <c r="B2799" s="7" t="n">
        <v>2016</v>
      </c>
      <c r="C2799" s="7" t="s">
        <v>384</v>
      </c>
      <c r="D2799" s="7" t="n">
        <v>89</v>
      </c>
      <c r="E2799" s="7" t="n">
        <v>73</v>
      </c>
      <c r="F2799" s="7" t="s">
        <v>546</v>
      </c>
      <c r="G2799" s="7" t="s">
        <v>548</v>
      </c>
      <c r="H2799" s="7" t="s">
        <v>546</v>
      </c>
      <c r="I2799" s="7" t="s">
        <v>546</v>
      </c>
      <c r="J2799" s="21" t="n">
        <f aca="false">D2799/(D2799+E2799)</f>
        <v>0.549382716049383</v>
      </c>
      <c r="K2799" s="3" t="n">
        <f aca="false">IF(D2799&gt;E2799,1,0)</f>
        <v>1</v>
      </c>
      <c r="L2799" s="3" t="n">
        <f aca="false">IF(OR(F2799="Y",G2799="Y",H2799="Y"),1,0)</f>
        <v>1</v>
      </c>
      <c r="M2799" s="3" t="n">
        <f aca="false">IF(H2799="Y",1,0)</f>
        <v>0</v>
      </c>
      <c r="N2799" s="3" t="n">
        <f aca="false">IF(I2799="Y",1,0)</f>
        <v>0</v>
      </c>
    </row>
    <row r="2800" customFormat="false" ht="15" hidden="false" customHeight="true" outlineLevel="0" collapsed="false">
      <c r="A2800" s="7" t="s">
        <v>81</v>
      </c>
      <c r="B2800" s="7" t="n">
        <v>2017</v>
      </c>
      <c r="C2800" s="7" t="s">
        <v>384</v>
      </c>
      <c r="D2800" s="7" t="n">
        <v>76</v>
      </c>
      <c r="E2800" s="7" t="n">
        <v>86</v>
      </c>
      <c r="F2800" s="7" t="s">
        <v>546</v>
      </c>
      <c r="G2800" s="7" t="s">
        <v>546</v>
      </c>
      <c r="H2800" s="7" t="s">
        <v>546</v>
      </c>
      <c r="I2800" s="7" t="s">
        <v>546</v>
      </c>
      <c r="J2800" s="21" t="n">
        <f aca="false">D2800/(D2800+E2800)</f>
        <v>0.469135802469136</v>
      </c>
      <c r="K2800" s="3" t="n">
        <f aca="false">IF(D2800&gt;E2800,1,0)</f>
        <v>0</v>
      </c>
      <c r="L2800" s="3" t="n">
        <f aca="false">IF(OR(F2800="Y",G2800="Y",H2800="Y"),1,0)</f>
        <v>0</v>
      </c>
      <c r="M2800" s="3" t="n">
        <f aca="false">IF(H2800="Y",1,0)</f>
        <v>0</v>
      </c>
      <c r="N2800" s="3" t="n">
        <f aca="false">IF(I2800="Y",1,0)</f>
        <v>0</v>
      </c>
    </row>
    <row r="2801" customFormat="false" ht="15" hidden="false" customHeight="true" outlineLevel="0" collapsed="false">
      <c r="A2801" s="7" t="s">
        <v>81</v>
      </c>
      <c r="B2801" s="7" t="n">
        <v>2018</v>
      </c>
      <c r="C2801" s="7" t="s">
        <v>384</v>
      </c>
      <c r="D2801" s="7" t="n">
        <v>73</v>
      </c>
      <c r="E2801" s="7" t="n">
        <v>89</v>
      </c>
      <c r="F2801" s="7" t="s">
        <v>546</v>
      </c>
      <c r="G2801" s="7" t="s">
        <v>546</v>
      </c>
      <c r="H2801" s="7" t="s">
        <v>546</v>
      </c>
      <c r="I2801" s="7" t="s">
        <v>546</v>
      </c>
      <c r="J2801" s="21" t="n">
        <f aca="false">D2801/(D2801+E2801)</f>
        <v>0.450617283950617</v>
      </c>
      <c r="K2801" s="3" t="n">
        <f aca="false">IF(D2801&gt;E2801,1,0)</f>
        <v>0</v>
      </c>
      <c r="L2801" s="3" t="n">
        <f aca="false">IF(OR(F2801="Y",G2801="Y",H2801="Y"),1,0)</f>
        <v>0</v>
      </c>
      <c r="M2801" s="3" t="n">
        <f aca="false">IF(H2801="Y",1,0)</f>
        <v>0</v>
      </c>
      <c r="N2801" s="3" t="n">
        <f aca="false">IF(I2801="Y",1,0)</f>
        <v>0</v>
      </c>
    </row>
    <row r="2802" customFormat="false" ht="15" hidden="false" customHeight="true" outlineLevel="0" collapsed="false">
      <c r="A2802" s="7" t="s">
        <v>81</v>
      </c>
      <c r="B2802" s="7" t="n">
        <v>2019</v>
      </c>
      <c r="C2802" s="7" t="s">
        <v>384</v>
      </c>
      <c r="D2802" s="7" t="n">
        <v>67</v>
      </c>
      <c r="E2802" s="7" t="n">
        <v>95</v>
      </c>
      <c r="F2802" s="7" t="s">
        <v>546</v>
      </c>
      <c r="G2802" s="7" t="s">
        <v>546</v>
      </c>
      <c r="H2802" s="7" t="s">
        <v>546</v>
      </c>
      <c r="I2802" s="7" t="s">
        <v>546</v>
      </c>
      <c r="J2802" s="21" t="n">
        <f aca="false">D2802/(D2802+E2802)</f>
        <v>0.41358024691358</v>
      </c>
      <c r="K2802" s="3" t="n">
        <f aca="false">IF(D2802&gt;E2802,1,0)</f>
        <v>0</v>
      </c>
      <c r="L2802" s="3" t="n">
        <f aca="false">IF(OR(F2802="Y",G2802="Y",H2802="Y"),1,0)</f>
        <v>0</v>
      </c>
      <c r="M2802" s="3" t="n">
        <f aca="false">IF(H2802="Y",1,0)</f>
        <v>0</v>
      </c>
      <c r="N2802" s="3" t="n">
        <f aca="false">IF(I2802="Y",1,0)</f>
        <v>0</v>
      </c>
    </row>
    <row r="2803" customFormat="false" ht="15" hidden="false" customHeight="true" outlineLevel="0" collapsed="false">
      <c r="A2803" s="7" t="s">
        <v>81</v>
      </c>
      <c r="B2803" s="7" t="n">
        <v>2020</v>
      </c>
      <c r="C2803" s="7" t="s">
        <v>384</v>
      </c>
      <c r="D2803" s="7" t="n">
        <v>32</v>
      </c>
      <c r="E2803" s="7" t="n">
        <v>28</v>
      </c>
      <c r="F2803" s="7" t="s">
        <v>546</v>
      </c>
      <c r="G2803" s="7" t="s">
        <v>548</v>
      </c>
      <c r="H2803" s="7" t="s">
        <v>546</v>
      </c>
      <c r="I2803" s="7" t="s">
        <v>546</v>
      </c>
      <c r="J2803" s="21" t="n">
        <f aca="false">D2803/(D2803+E2803)</f>
        <v>0.533333333333333</v>
      </c>
      <c r="K2803" s="3" t="n">
        <f aca="false">IF(D2803&gt;E2803,1,0)</f>
        <v>1</v>
      </c>
      <c r="L2803" s="3" t="n">
        <f aca="false">IF(OR(F2803="Y",G2803="Y",H2803="Y"),1,0)</f>
        <v>1</v>
      </c>
      <c r="M2803" s="3" t="n">
        <f aca="false">IF(H2803="Y",1,0)</f>
        <v>0</v>
      </c>
      <c r="N2803" s="3" t="n">
        <f aca="false">IF(I2803="Y",1,0)</f>
        <v>0</v>
      </c>
    </row>
    <row r="2804" customFormat="false" ht="15" hidden="false" customHeight="true" outlineLevel="0" collapsed="false">
      <c r="A2804" s="7" t="s">
        <v>81</v>
      </c>
      <c r="B2804" s="7" t="n">
        <v>2021</v>
      </c>
      <c r="C2804" s="7" t="s">
        <v>384</v>
      </c>
      <c r="D2804" s="7" t="n">
        <v>91</v>
      </c>
      <c r="E2804" s="7" t="n">
        <v>71</v>
      </c>
      <c r="F2804" s="7" t="s">
        <v>546</v>
      </c>
      <c r="G2804" s="7" t="s">
        <v>546</v>
      </c>
      <c r="H2804" s="7" t="s">
        <v>546</v>
      </c>
      <c r="I2804" s="7" t="s">
        <v>546</v>
      </c>
      <c r="J2804" s="21" t="n">
        <f aca="false">D2804/(D2804+E2804)</f>
        <v>0.561728395061728</v>
      </c>
      <c r="K2804" s="3" t="n">
        <f aca="false">IF(D2804&gt;E2804,1,0)</f>
        <v>1</v>
      </c>
      <c r="L2804" s="3" t="n">
        <f aca="false">IF(OR(F2804="Y",G2804="Y",H2804="Y"),1,0)</f>
        <v>0</v>
      </c>
      <c r="M2804" s="3" t="n">
        <f aca="false">IF(H2804="Y",1,0)</f>
        <v>0</v>
      </c>
      <c r="N2804" s="3" t="n">
        <f aca="false">IF(I2804="Y",1,0)</f>
        <v>0</v>
      </c>
    </row>
    <row r="2805" customFormat="false" ht="15" hidden="false" customHeight="true" outlineLevel="0" collapsed="false">
      <c r="A2805" s="7" t="s">
        <v>81</v>
      </c>
      <c r="B2805" s="7" t="n">
        <v>2022</v>
      </c>
      <c r="C2805" s="7" t="s">
        <v>384</v>
      </c>
      <c r="D2805" s="7" t="n">
        <v>92</v>
      </c>
      <c r="E2805" s="7" t="n">
        <v>70</v>
      </c>
      <c r="F2805" s="7" t="s">
        <v>546</v>
      </c>
      <c r="G2805" s="7" t="s">
        <v>548</v>
      </c>
      <c r="H2805" s="7" t="s">
        <v>546</v>
      </c>
      <c r="I2805" s="7" t="s">
        <v>546</v>
      </c>
      <c r="J2805" s="21" t="n">
        <f aca="false">D2805/(D2805+E2805)</f>
        <v>0.567901234567901</v>
      </c>
      <c r="K2805" s="3" t="n">
        <f aca="false">IF(D2805&gt;E2805,1,0)</f>
        <v>1</v>
      </c>
      <c r="L2805" s="3" t="n">
        <f aca="false">IF(OR(F2805="Y",G2805="Y",H2805="Y"),1,0)</f>
        <v>1</v>
      </c>
      <c r="M2805" s="3" t="n">
        <f aca="false">IF(H2805="Y",1,0)</f>
        <v>0</v>
      </c>
      <c r="N2805" s="3" t="n">
        <f aca="false">IF(I2805="Y",1,0)</f>
        <v>0</v>
      </c>
    </row>
    <row r="2806" customFormat="false" ht="15" hidden="false" customHeight="true" outlineLevel="0" collapsed="false">
      <c r="A2806" s="7" t="s">
        <v>81</v>
      </c>
      <c r="B2806" s="7" t="n">
        <v>2023</v>
      </c>
      <c r="C2806" s="7" t="s">
        <v>384</v>
      </c>
      <c r="D2806" s="7" t="n">
        <v>89</v>
      </c>
      <c r="E2806" s="7" t="n">
        <v>73</v>
      </c>
      <c r="F2806" s="7" t="s">
        <v>546</v>
      </c>
      <c r="G2806" s="7" t="s">
        <v>548</v>
      </c>
      <c r="H2806" s="7" t="s">
        <v>546</v>
      </c>
      <c r="I2806" s="7" t="s">
        <v>546</v>
      </c>
      <c r="J2806" s="21" t="n">
        <f aca="false">D2806/(D2806+E2806)</f>
        <v>0.549382716049383</v>
      </c>
      <c r="K2806" s="3" t="n">
        <f aca="false">IF(D2806&gt;E2806,1,0)</f>
        <v>1</v>
      </c>
      <c r="L2806" s="3" t="n">
        <f aca="false">IF(OR(F2806="Y",G2806="Y",H2806="Y"),1,0)</f>
        <v>1</v>
      </c>
      <c r="M2806" s="3" t="n">
        <f aca="false">IF(H2806="Y",1,0)</f>
        <v>0</v>
      </c>
      <c r="N2806" s="3" t="n">
        <f aca="false">IF(I2806="Y",1,0)</f>
        <v>0</v>
      </c>
    </row>
    <row r="2807" customFormat="false" ht="15" hidden="false" customHeight="true" outlineLevel="0" collapsed="false">
      <c r="A2807" s="7" t="s">
        <v>81</v>
      </c>
      <c r="B2807" s="7" t="n">
        <v>2024</v>
      </c>
      <c r="C2807" s="7" t="s">
        <v>384</v>
      </c>
      <c r="D2807" s="7" t="n">
        <v>74</v>
      </c>
      <c r="E2807" s="7" t="n">
        <v>88</v>
      </c>
      <c r="F2807" s="7" t="s">
        <v>546</v>
      </c>
      <c r="G2807" s="7" t="s">
        <v>546</v>
      </c>
      <c r="H2807" s="7" t="s">
        <v>546</v>
      </c>
      <c r="I2807" s="7" t="s">
        <v>546</v>
      </c>
      <c r="J2807" s="21" t="n">
        <f aca="false">D2807/(D2807+E2807)</f>
        <v>0.45679012345679</v>
      </c>
      <c r="K2807" s="3" t="n">
        <f aca="false">IF(D2807&gt;E2807,1,0)</f>
        <v>0</v>
      </c>
      <c r="L2807" s="3" t="n">
        <f aca="false">IF(OR(F2807="Y",G2807="Y",H2807="Y"),1,0)</f>
        <v>0</v>
      </c>
      <c r="M2807" s="3" t="n">
        <f aca="false">IF(H2807="Y",1,0)</f>
        <v>0</v>
      </c>
      <c r="N2807" s="3" t="n">
        <f aca="false">IF(I2807="Y",1,0)</f>
        <v>0</v>
      </c>
    </row>
    <row r="2808" customFormat="false" ht="15" hidden="false" customHeight="true" outlineLevel="0" collapsed="false">
      <c r="A2808" s="7" t="s">
        <v>81</v>
      </c>
      <c r="B2808" s="7" t="n">
        <v>2025</v>
      </c>
      <c r="C2808" s="7" t="s">
        <v>384</v>
      </c>
      <c r="D2808" s="7" t="n">
        <v>94</v>
      </c>
      <c r="E2808" s="7" t="n">
        <v>68</v>
      </c>
      <c r="F2808" s="7" t="s">
        <v>548</v>
      </c>
      <c r="G2808" s="7" t="s">
        <v>546</v>
      </c>
      <c r="H2808" s="7" t="s">
        <v>548</v>
      </c>
      <c r="I2808" s="7" t="s">
        <v>546</v>
      </c>
      <c r="J2808" s="21" t="n">
        <f aca="false">D2808/(D2808+E2808)</f>
        <v>0.580246913580247</v>
      </c>
      <c r="K2808" s="3" t="n">
        <f aca="false">IF(D2808&gt;E2808,1,0)</f>
        <v>1</v>
      </c>
      <c r="L2808" s="3" t="n">
        <f aca="false">IF(OR(F2808="Y",G2808="Y",H2808="Y"),1,0)</f>
        <v>1</v>
      </c>
      <c r="M2808" s="3" t="n">
        <f aca="false">IF(H2808="Y",1,0)</f>
        <v>1</v>
      </c>
      <c r="N2808" s="3" t="n">
        <f aca="false">IF(I2808="Y",1,0)</f>
        <v>0</v>
      </c>
    </row>
    <row r="2809" customFormat="false" ht="15" hidden="false" customHeight="true" outlineLevel="0" collapsed="false">
      <c r="A2809" s="7" t="s">
        <v>79</v>
      </c>
      <c r="B2809" s="7" t="n">
        <v>1969</v>
      </c>
      <c r="C2809" s="7" t="s">
        <v>587</v>
      </c>
      <c r="D2809" s="7" t="n">
        <v>52</v>
      </c>
      <c r="E2809" s="7" t="n">
        <v>110</v>
      </c>
      <c r="F2809" s="7" t="s">
        <v>546</v>
      </c>
      <c r="G2809" s="7"/>
      <c r="H2809" s="7" t="s">
        <v>546</v>
      </c>
      <c r="I2809" s="7" t="s">
        <v>546</v>
      </c>
      <c r="J2809" s="21" t="n">
        <f aca="false">D2809/(D2809+E2809)</f>
        <v>0.320987654320988</v>
      </c>
      <c r="K2809" s="3" t="n">
        <f aca="false">IF(D2809&gt;E2809,1,0)</f>
        <v>0</v>
      </c>
      <c r="L2809" s="3" t="n">
        <f aca="false">IF(OR(F2809="Y",G2809="Y",H2809="Y"),1,0)</f>
        <v>0</v>
      </c>
      <c r="M2809" s="3" t="n">
        <f aca="false">IF(H2809="Y",1,0)</f>
        <v>0</v>
      </c>
      <c r="N2809" s="3" t="n">
        <f aca="false">IF(I2809="Y",1,0)</f>
        <v>0</v>
      </c>
    </row>
    <row r="2810" customFormat="false" ht="15" hidden="false" customHeight="true" outlineLevel="0" collapsed="false">
      <c r="A2810" s="7" t="s">
        <v>79</v>
      </c>
      <c r="B2810" s="7" t="n">
        <v>1970</v>
      </c>
      <c r="C2810" s="7" t="s">
        <v>587</v>
      </c>
      <c r="D2810" s="7" t="n">
        <v>73</v>
      </c>
      <c r="E2810" s="7" t="n">
        <v>89</v>
      </c>
      <c r="F2810" s="7" t="s">
        <v>546</v>
      </c>
      <c r="G2810" s="7"/>
      <c r="H2810" s="7" t="s">
        <v>546</v>
      </c>
      <c r="I2810" s="7" t="s">
        <v>546</v>
      </c>
      <c r="J2810" s="21" t="n">
        <f aca="false">D2810/(D2810+E2810)</f>
        <v>0.450617283950617</v>
      </c>
      <c r="K2810" s="3" t="n">
        <f aca="false">IF(D2810&gt;E2810,1,0)</f>
        <v>0</v>
      </c>
      <c r="L2810" s="3" t="n">
        <f aca="false">IF(OR(F2810="Y",G2810="Y",H2810="Y"),1,0)</f>
        <v>0</v>
      </c>
      <c r="M2810" s="3" t="n">
        <f aca="false">IF(H2810="Y",1,0)</f>
        <v>0</v>
      </c>
      <c r="N2810" s="3" t="n">
        <f aca="false">IF(I2810="Y",1,0)</f>
        <v>0</v>
      </c>
    </row>
    <row r="2811" customFormat="false" ht="15" hidden="false" customHeight="true" outlineLevel="0" collapsed="false">
      <c r="A2811" s="7" t="s">
        <v>79</v>
      </c>
      <c r="B2811" s="7" t="n">
        <v>1971</v>
      </c>
      <c r="C2811" s="7" t="s">
        <v>587</v>
      </c>
      <c r="D2811" s="7" t="n">
        <v>71</v>
      </c>
      <c r="E2811" s="7" t="n">
        <v>90</v>
      </c>
      <c r="F2811" s="7" t="s">
        <v>546</v>
      </c>
      <c r="G2811" s="7"/>
      <c r="H2811" s="7" t="s">
        <v>546</v>
      </c>
      <c r="I2811" s="7" t="s">
        <v>546</v>
      </c>
      <c r="J2811" s="21" t="n">
        <f aca="false">D2811/(D2811+E2811)</f>
        <v>0.440993788819876</v>
      </c>
      <c r="K2811" s="3" t="n">
        <f aca="false">IF(D2811&gt;E2811,1,0)</f>
        <v>0</v>
      </c>
      <c r="L2811" s="3" t="n">
        <f aca="false">IF(OR(F2811="Y",G2811="Y",H2811="Y"),1,0)</f>
        <v>0</v>
      </c>
      <c r="M2811" s="3" t="n">
        <f aca="false">IF(H2811="Y",1,0)</f>
        <v>0</v>
      </c>
      <c r="N2811" s="3" t="n">
        <f aca="false">IF(I2811="Y",1,0)</f>
        <v>0</v>
      </c>
    </row>
    <row r="2812" customFormat="false" ht="15" hidden="false" customHeight="true" outlineLevel="0" collapsed="false">
      <c r="A2812" s="7" t="s">
        <v>79</v>
      </c>
      <c r="B2812" s="7" t="n">
        <v>1972</v>
      </c>
      <c r="C2812" s="7" t="s">
        <v>587</v>
      </c>
      <c r="D2812" s="7" t="n">
        <v>70</v>
      </c>
      <c r="E2812" s="7" t="n">
        <v>86</v>
      </c>
      <c r="F2812" s="7" t="s">
        <v>546</v>
      </c>
      <c r="G2812" s="7"/>
      <c r="H2812" s="7" t="s">
        <v>546</v>
      </c>
      <c r="I2812" s="7" t="s">
        <v>546</v>
      </c>
      <c r="J2812" s="21" t="n">
        <f aca="false">D2812/(D2812+E2812)</f>
        <v>0.448717948717949</v>
      </c>
      <c r="K2812" s="3" t="n">
        <f aca="false">IF(D2812&gt;E2812,1,0)</f>
        <v>0</v>
      </c>
      <c r="L2812" s="3" t="n">
        <f aca="false">IF(OR(F2812="Y",G2812="Y",H2812="Y"),1,0)</f>
        <v>0</v>
      </c>
      <c r="M2812" s="3" t="n">
        <f aca="false">IF(H2812="Y",1,0)</f>
        <v>0</v>
      </c>
      <c r="N2812" s="3" t="n">
        <f aca="false">IF(I2812="Y",1,0)</f>
        <v>0</v>
      </c>
    </row>
    <row r="2813" customFormat="false" ht="15" hidden="false" customHeight="true" outlineLevel="0" collapsed="false">
      <c r="A2813" s="7" t="s">
        <v>79</v>
      </c>
      <c r="B2813" s="7" t="n">
        <v>1973</v>
      </c>
      <c r="C2813" s="7" t="s">
        <v>587</v>
      </c>
      <c r="D2813" s="7" t="n">
        <v>79</v>
      </c>
      <c r="E2813" s="7" t="n">
        <v>83</v>
      </c>
      <c r="F2813" s="7" t="s">
        <v>546</v>
      </c>
      <c r="G2813" s="7"/>
      <c r="H2813" s="7" t="s">
        <v>546</v>
      </c>
      <c r="I2813" s="7" t="s">
        <v>546</v>
      </c>
      <c r="J2813" s="21" t="n">
        <f aca="false">D2813/(D2813+E2813)</f>
        <v>0.487654320987654</v>
      </c>
      <c r="K2813" s="3" t="n">
        <f aca="false">IF(D2813&gt;E2813,1,0)</f>
        <v>0</v>
      </c>
      <c r="L2813" s="3" t="n">
        <f aca="false">IF(OR(F2813="Y",G2813="Y",H2813="Y"),1,0)</f>
        <v>0</v>
      </c>
      <c r="M2813" s="3" t="n">
        <f aca="false">IF(H2813="Y",1,0)</f>
        <v>0</v>
      </c>
      <c r="N2813" s="3" t="n">
        <f aca="false">IF(I2813="Y",1,0)</f>
        <v>0</v>
      </c>
    </row>
    <row r="2814" customFormat="false" ht="15" hidden="false" customHeight="true" outlineLevel="0" collapsed="false">
      <c r="A2814" s="7" t="s">
        <v>79</v>
      </c>
      <c r="B2814" s="7" t="n">
        <v>1974</v>
      </c>
      <c r="C2814" s="7" t="s">
        <v>587</v>
      </c>
      <c r="D2814" s="7" t="n">
        <v>79</v>
      </c>
      <c r="E2814" s="7" t="n">
        <v>82</v>
      </c>
      <c r="F2814" s="7" t="s">
        <v>546</v>
      </c>
      <c r="G2814" s="7"/>
      <c r="H2814" s="7" t="s">
        <v>546</v>
      </c>
      <c r="I2814" s="7" t="s">
        <v>546</v>
      </c>
      <c r="J2814" s="21" t="n">
        <f aca="false">D2814/(D2814+E2814)</f>
        <v>0.490683229813665</v>
      </c>
      <c r="K2814" s="3" t="n">
        <f aca="false">IF(D2814&gt;E2814,1,0)</f>
        <v>0</v>
      </c>
      <c r="L2814" s="3" t="n">
        <f aca="false">IF(OR(F2814="Y",G2814="Y",H2814="Y"),1,0)</f>
        <v>0</v>
      </c>
      <c r="M2814" s="3" t="n">
        <f aca="false">IF(H2814="Y",1,0)</f>
        <v>0</v>
      </c>
      <c r="N2814" s="3" t="n">
        <f aca="false">IF(I2814="Y",1,0)</f>
        <v>0</v>
      </c>
    </row>
    <row r="2815" customFormat="false" ht="15" hidden="false" customHeight="true" outlineLevel="0" collapsed="false">
      <c r="A2815" s="7" t="s">
        <v>79</v>
      </c>
      <c r="B2815" s="7" t="n">
        <v>1975</v>
      </c>
      <c r="C2815" s="7" t="s">
        <v>587</v>
      </c>
      <c r="D2815" s="7" t="n">
        <v>75</v>
      </c>
      <c r="E2815" s="7" t="n">
        <v>87</v>
      </c>
      <c r="F2815" s="7" t="s">
        <v>546</v>
      </c>
      <c r="G2815" s="7"/>
      <c r="H2815" s="7" t="s">
        <v>546</v>
      </c>
      <c r="I2815" s="7" t="s">
        <v>546</v>
      </c>
      <c r="J2815" s="21" t="n">
        <f aca="false">D2815/(D2815+E2815)</f>
        <v>0.462962962962963</v>
      </c>
      <c r="K2815" s="3" t="n">
        <f aca="false">IF(D2815&gt;E2815,1,0)</f>
        <v>0</v>
      </c>
      <c r="L2815" s="3" t="n">
        <f aca="false">IF(OR(F2815="Y",G2815="Y",H2815="Y"),1,0)</f>
        <v>0</v>
      </c>
      <c r="M2815" s="3" t="n">
        <f aca="false">IF(H2815="Y",1,0)</f>
        <v>0</v>
      </c>
      <c r="N2815" s="3" t="n">
        <f aca="false">IF(I2815="Y",1,0)</f>
        <v>0</v>
      </c>
    </row>
    <row r="2816" customFormat="false" ht="15" hidden="false" customHeight="true" outlineLevel="0" collapsed="false">
      <c r="A2816" s="7" t="s">
        <v>79</v>
      </c>
      <c r="B2816" s="7" t="n">
        <v>1976</v>
      </c>
      <c r="C2816" s="7" t="s">
        <v>587</v>
      </c>
      <c r="D2816" s="7" t="n">
        <v>55</v>
      </c>
      <c r="E2816" s="7" t="n">
        <v>107</v>
      </c>
      <c r="F2816" s="7" t="s">
        <v>546</v>
      </c>
      <c r="G2816" s="7"/>
      <c r="H2816" s="7" t="s">
        <v>546</v>
      </c>
      <c r="I2816" s="7" t="s">
        <v>546</v>
      </c>
      <c r="J2816" s="21" t="n">
        <f aca="false">D2816/(D2816+E2816)</f>
        <v>0.339506172839506</v>
      </c>
      <c r="K2816" s="3" t="n">
        <f aca="false">IF(D2816&gt;E2816,1,0)</f>
        <v>0</v>
      </c>
      <c r="L2816" s="3" t="n">
        <f aca="false">IF(OR(F2816="Y",G2816="Y",H2816="Y"),1,0)</f>
        <v>0</v>
      </c>
      <c r="M2816" s="3" t="n">
        <f aca="false">IF(H2816="Y",1,0)</f>
        <v>0</v>
      </c>
      <c r="N2816" s="3" t="n">
        <f aca="false">IF(I2816="Y",1,0)</f>
        <v>0</v>
      </c>
    </row>
    <row r="2817" customFormat="false" ht="15" hidden="false" customHeight="true" outlineLevel="0" collapsed="false">
      <c r="A2817" s="7" t="s">
        <v>79</v>
      </c>
      <c r="B2817" s="7" t="n">
        <v>1977</v>
      </c>
      <c r="C2817" s="7" t="s">
        <v>587</v>
      </c>
      <c r="D2817" s="7" t="n">
        <v>75</v>
      </c>
      <c r="E2817" s="7" t="n">
        <v>87</v>
      </c>
      <c r="F2817" s="7" t="s">
        <v>546</v>
      </c>
      <c r="G2817" s="7"/>
      <c r="H2817" s="7" t="s">
        <v>546</v>
      </c>
      <c r="I2817" s="7" t="s">
        <v>546</v>
      </c>
      <c r="J2817" s="21" t="n">
        <f aca="false">D2817/(D2817+E2817)</f>
        <v>0.462962962962963</v>
      </c>
      <c r="K2817" s="3" t="n">
        <f aca="false">IF(D2817&gt;E2817,1,0)</f>
        <v>0</v>
      </c>
      <c r="L2817" s="3" t="n">
        <f aca="false">IF(OR(F2817="Y",G2817="Y",H2817="Y"),1,0)</f>
        <v>0</v>
      </c>
      <c r="M2817" s="3" t="n">
        <f aca="false">IF(H2817="Y",1,0)</f>
        <v>0</v>
      </c>
      <c r="N2817" s="3" t="n">
        <f aca="false">IF(I2817="Y",1,0)</f>
        <v>0</v>
      </c>
    </row>
    <row r="2818" customFormat="false" ht="15" hidden="false" customHeight="true" outlineLevel="0" collapsed="false">
      <c r="A2818" s="7" t="s">
        <v>79</v>
      </c>
      <c r="B2818" s="7" t="n">
        <v>1978</v>
      </c>
      <c r="C2818" s="7" t="s">
        <v>587</v>
      </c>
      <c r="D2818" s="7" t="n">
        <v>76</v>
      </c>
      <c r="E2818" s="7" t="n">
        <v>86</v>
      </c>
      <c r="F2818" s="7" t="s">
        <v>546</v>
      </c>
      <c r="G2818" s="7"/>
      <c r="H2818" s="7" t="s">
        <v>546</v>
      </c>
      <c r="I2818" s="7" t="s">
        <v>546</v>
      </c>
      <c r="J2818" s="21" t="n">
        <f aca="false">D2818/(D2818+E2818)</f>
        <v>0.469135802469136</v>
      </c>
      <c r="K2818" s="3" t="n">
        <f aca="false">IF(D2818&gt;E2818,1,0)</f>
        <v>0</v>
      </c>
      <c r="L2818" s="3" t="n">
        <f aca="false">IF(OR(F2818="Y",G2818="Y",H2818="Y"),1,0)</f>
        <v>0</v>
      </c>
      <c r="M2818" s="3" t="n">
        <f aca="false">IF(H2818="Y",1,0)</f>
        <v>0</v>
      </c>
      <c r="N2818" s="3" t="n">
        <f aca="false">IF(I2818="Y",1,0)</f>
        <v>0</v>
      </c>
    </row>
    <row r="2819" customFormat="false" ht="15" hidden="false" customHeight="true" outlineLevel="0" collapsed="false">
      <c r="A2819" s="7" t="s">
        <v>79</v>
      </c>
      <c r="B2819" s="7" t="n">
        <v>1979</v>
      </c>
      <c r="C2819" s="7" t="s">
        <v>587</v>
      </c>
      <c r="D2819" s="7" t="n">
        <v>95</v>
      </c>
      <c r="E2819" s="7" t="n">
        <v>65</v>
      </c>
      <c r="F2819" s="7" t="s">
        <v>546</v>
      </c>
      <c r="G2819" s="7"/>
      <c r="H2819" s="7" t="s">
        <v>546</v>
      </c>
      <c r="I2819" s="7" t="s">
        <v>546</v>
      </c>
      <c r="J2819" s="21" t="n">
        <f aca="false">D2819/(D2819+E2819)</f>
        <v>0.59375</v>
      </c>
      <c r="K2819" s="3" t="n">
        <f aca="false">IF(D2819&gt;E2819,1,0)</f>
        <v>1</v>
      </c>
      <c r="L2819" s="3" t="n">
        <f aca="false">IF(OR(F2819="Y",G2819="Y",H2819="Y"),1,0)</f>
        <v>0</v>
      </c>
      <c r="M2819" s="3" t="n">
        <f aca="false">IF(H2819="Y",1,0)</f>
        <v>0</v>
      </c>
      <c r="N2819" s="3" t="n">
        <f aca="false">IF(I2819="Y",1,0)</f>
        <v>0</v>
      </c>
    </row>
    <row r="2820" customFormat="false" ht="15" hidden="false" customHeight="true" outlineLevel="0" collapsed="false">
      <c r="A2820" s="7" t="s">
        <v>79</v>
      </c>
      <c r="B2820" s="7" t="n">
        <v>1980</v>
      </c>
      <c r="C2820" s="7" t="s">
        <v>587</v>
      </c>
      <c r="D2820" s="7" t="n">
        <v>90</v>
      </c>
      <c r="E2820" s="7" t="n">
        <v>72</v>
      </c>
      <c r="F2820" s="7" t="s">
        <v>546</v>
      </c>
      <c r="G2820" s="7"/>
      <c r="H2820" s="7" t="s">
        <v>546</v>
      </c>
      <c r="I2820" s="7" t="s">
        <v>546</v>
      </c>
      <c r="J2820" s="21" t="n">
        <f aca="false">D2820/(D2820+E2820)</f>
        <v>0.555555555555556</v>
      </c>
      <c r="K2820" s="3" t="n">
        <f aca="false">IF(D2820&gt;E2820,1,0)</f>
        <v>1</v>
      </c>
      <c r="L2820" s="3" t="n">
        <f aca="false">IF(OR(F2820="Y",G2820="Y",H2820="Y"),1,0)</f>
        <v>0</v>
      </c>
      <c r="M2820" s="3" t="n">
        <f aca="false">IF(H2820="Y",1,0)</f>
        <v>0</v>
      </c>
      <c r="N2820" s="3" t="n">
        <f aca="false">IF(I2820="Y",1,0)</f>
        <v>0</v>
      </c>
    </row>
    <row r="2821" customFormat="false" ht="15" hidden="false" customHeight="true" outlineLevel="0" collapsed="false">
      <c r="A2821" s="7" t="s">
        <v>79</v>
      </c>
      <c r="B2821" s="7" t="n">
        <v>1981</v>
      </c>
      <c r="C2821" s="7" t="s">
        <v>587</v>
      </c>
      <c r="D2821" s="7" t="n">
        <v>60</v>
      </c>
      <c r="E2821" s="7" t="n">
        <v>48</v>
      </c>
      <c r="F2821" s="7" t="s">
        <v>548</v>
      </c>
      <c r="G2821" s="7"/>
      <c r="H2821" s="7" t="s">
        <v>546</v>
      </c>
      <c r="I2821" s="7" t="s">
        <v>546</v>
      </c>
      <c r="J2821" s="21" t="n">
        <f aca="false">D2821/(D2821+E2821)</f>
        <v>0.555555555555556</v>
      </c>
      <c r="K2821" s="3" t="n">
        <f aca="false">IF(D2821&gt;E2821,1,0)</f>
        <v>1</v>
      </c>
      <c r="L2821" s="3" t="n">
        <f aca="false">IF(OR(F2821="Y",G2821="Y",H2821="Y"),1,0)</f>
        <v>1</v>
      </c>
      <c r="M2821" s="3" t="n">
        <f aca="false">IF(H2821="Y",1,0)</f>
        <v>0</v>
      </c>
      <c r="N2821" s="3" t="n">
        <f aca="false">IF(I2821="Y",1,0)</f>
        <v>0</v>
      </c>
    </row>
    <row r="2822" customFormat="false" ht="15" hidden="false" customHeight="true" outlineLevel="0" collapsed="false">
      <c r="A2822" s="7" t="s">
        <v>79</v>
      </c>
      <c r="B2822" s="7" t="n">
        <v>1982</v>
      </c>
      <c r="C2822" s="7" t="s">
        <v>587</v>
      </c>
      <c r="D2822" s="7" t="n">
        <v>86</v>
      </c>
      <c r="E2822" s="7" t="n">
        <v>76</v>
      </c>
      <c r="F2822" s="7" t="s">
        <v>546</v>
      </c>
      <c r="G2822" s="7"/>
      <c r="H2822" s="7" t="s">
        <v>546</v>
      </c>
      <c r="I2822" s="7" t="s">
        <v>546</v>
      </c>
      <c r="J2822" s="21" t="n">
        <f aca="false">D2822/(D2822+E2822)</f>
        <v>0.530864197530864</v>
      </c>
      <c r="K2822" s="3" t="n">
        <f aca="false">IF(D2822&gt;E2822,1,0)</f>
        <v>1</v>
      </c>
      <c r="L2822" s="3" t="n">
        <f aca="false">IF(OR(F2822="Y",G2822="Y",H2822="Y"),1,0)</f>
        <v>0</v>
      </c>
      <c r="M2822" s="3" t="n">
        <f aca="false">IF(H2822="Y",1,0)</f>
        <v>0</v>
      </c>
      <c r="N2822" s="3" t="n">
        <f aca="false">IF(I2822="Y",1,0)</f>
        <v>0</v>
      </c>
    </row>
    <row r="2823" customFormat="false" ht="15" hidden="false" customHeight="true" outlineLevel="0" collapsed="false">
      <c r="A2823" s="7" t="s">
        <v>79</v>
      </c>
      <c r="B2823" s="7" t="n">
        <v>1983</v>
      </c>
      <c r="C2823" s="7" t="s">
        <v>587</v>
      </c>
      <c r="D2823" s="7" t="n">
        <v>82</v>
      </c>
      <c r="E2823" s="7" t="n">
        <v>80</v>
      </c>
      <c r="F2823" s="7" t="s">
        <v>546</v>
      </c>
      <c r="G2823" s="7"/>
      <c r="H2823" s="7" t="s">
        <v>546</v>
      </c>
      <c r="I2823" s="7" t="s">
        <v>546</v>
      </c>
      <c r="J2823" s="21" t="n">
        <f aca="false">D2823/(D2823+E2823)</f>
        <v>0.506172839506173</v>
      </c>
      <c r="K2823" s="3" t="n">
        <f aca="false">IF(D2823&gt;E2823,1,0)</f>
        <v>1</v>
      </c>
      <c r="L2823" s="3" t="n">
        <f aca="false">IF(OR(F2823="Y",G2823="Y",H2823="Y"),1,0)</f>
        <v>0</v>
      </c>
      <c r="M2823" s="3" t="n">
        <f aca="false">IF(H2823="Y",1,0)</f>
        <v>0</v>
      </c>
      <c r="N2823" s="3" t="n">
        <f aca="false">IF(I2823="Y",1,0)</f>
        <v>0</v>
      </c>
    </row>
    <row r="2824" customFormat="false" ht="15" hidden="false" customHeight="true" outlineLevel="0" collapsed="false">
      <c r="A2824" s="7" t="s">
        <v>79</v>
      </c>
      <c r="B2824" s="7" t="n">
        <v>1984</v>
      </c>
      <c r="C2824" s="7" t="s">
        <v>587</v>
      </c>
      <c r="D2824" s="7" t="n">
        <v>78</v>
      </c>
      <c r="E2824" s="7" t="n">
        <v>83</v>
      </c>
      <c r="F2824" s="7" t="s">
        <v>546</v>
      </c>
      <c r="G2824" s="7"/>
      <c r="H2824" s="7" t="s">
        <v>546</v>
      </c>
      <c r="I2824" s="7" t="s">
        <v>546</v>
      </c>
      <c r="J2824" s="21" t="n">
        <f aca="false">D2824/(D2824+E2824)</f>
        <v>0.484472049689441</v>
      </c>
      <c r="K2824" s="3" t="n">
        <f aca="false">IF(D2824&gt;E2824,1,0)</f>
        <v>0</v>
      </c>
      <c r="L2824" s="3" t="n">
        <f aca="false">IF(OR(F2824="Y",G2824="Y",H2824="Y"),1,0)</f>
        <v>0</v>
      </c>
      <c r="M2824" s="3" t="n">
        <f aca="false">IF(H2824="Y",1,0)</f>
        <v>0</v>
      </c>
      <c r="N2824" s="3" t="n">
        <f aca="false">IF(I2824="Y",1,0)</f>
        <v>0</v>
      </c>
    </row>
    <row r="2825" customFormat="false" ht="15" hidden="false" customHeight="true" outlineLevel="0" collapsed="false">
      <c r="A2825" s="7" t="s">
        <v>79</v>
      </c>
      <c r="B2825" s="7" t="n">
        <v>1985</v>
      </c>
      <c r="C2825" s="7" t="s">
        <v>587</v>
      </c>
      <c r="D2825" s="7" t="n">
        <v>84</v>
      </c>
      <c r="E2825" s="7" t="n">
        <v>77</v>
      </c>
      <c r="F2825" s="7" t="s">
        <v>546</v>
      </c>
      <c r="G2825" s="7"/>
      <c r="H2825" s="7" t="s">
        <v>546</v>
      </c>
      <c r="I2825" s="7" t="s">
        <v>546</v>
      </c>
      <c r="J2825" s="21" t="n">
        <f aca="false">D2825/(D2825+E2825)</f>
        <v>0.521739130434783</v>
      </c>
      <c r="K2825" s="3" t="n">
        <f aca="false">IF(D2825&gt;E2825,1,0)</f>
        <v>1</v>
      </c>
      <c r="L2825" s="3" t="n">
        <f aca="false">IF(OR(F2825="Y",G2825="Y",H2825="Y"),1,0)</f>
        <v>0</v>
      </c>
      <c r="M2825" s="3" t="n">
        <f aca="false">IF(H2825="Y",1,0)</f>
        <v>0</v>
      </c>
      <c r="N2825" s="3" t="n">
        <f aca="false">IF(I2825="Y",1,0)</f>
        <v>0</v>
      </c>
    </row>
    <row r="2826" customFormat="false" ht="15" hidden="false" customHeight="true" outlineLevel="0" collapsed="false">
      <c r="A2826" s="7" t="s">
        <v>79</v>
      </c>
      <c r="B2826" s="7" t="n">
        <v>1986</v>
      </c>
      <c r="C2826" s="7" t="s">
        <v>587</v>
      </c>
      <c r="D2826" s="7" t="n">
        <v>78</v>
      </c>
      <c r="E2826" s="7" t="n">
        <v>83</v>
      </c>
      <c r="F2826" s="7" t="s">
        <v>546</v>
      </c>
      <c r="G2826" s="7"/>
      <c r="H2826" s="7" t="s">
        <v>546</v>
      </c>
      <c r="I2826" s="7" t="s">
        <v>546</v>
      </c>
      <c r="J2826" s="21" t="n">
        <f aca="false">D2826/(D2826+E2826)</f>
        <v>0.484472049689441</v>
      </c>
      <c r="K2826" s="3" t="n">
        <f aca="false">IF(D2826&gt;E2826,1,0)</f>
        <v>0</v>
      </c>
      <c r="L2826" s="3" t="n">
        <f aca="false">IF(OR(F2826="Y",G2826="Y",H2826="Y"),1,0)</f>
        <v>0</v>
      </c>
      <c r="M2826" s="3" t="n">
        <f aca="false">IF(H2826="Y",1,0)</f>
        <v>0</v>
      </c>
      <c r="N2826" s="3" t="n">
        <f aca="false">IF(I2826="Y",1,0)</f>
        <v>0</v>
      </c>
    </row>
    <row r="2827" customFormat="false" ht="15" hidden="false" customHeight="true" outlineLevel="0" collapsed="false">
      <c r="A2827" s="7" t="s">
        <v>79</v>
      </c>
      <c r="B2827" s="7" t="n">
        <v>1987</v>
      </c>
      <c r="C2827" s="7" t="s">
        <v>587</v>
      </c>
      <c r="D2827" s="7" t="n">
        <v>91</v>
      </c>
      <c r="E2827" s="7" t="n">
        <v>71</v>
      </c>
      <c r="F2827" s="7" t="s">
        <v>546</v>
      </c>
      <c r="G2827" s="7"/>
      <c r="H2827" s="7" t="s">
        <v>546</v>
      </c>
      <c r="I2827" s="7" t="s">
        <v>546</v>
      </c>
      <c r="J2827" s="21" t="n">
        <f aca="false">D2827/(D2827+E2827)</f>
        <v>0.561728395061728</v>
      </c>
      <c r="K2827" s="3" t="n">
        <f aca="false">IF(D2827&gt;E2827,1,0)</f>
        <v>1</v>
      </c>
      <c r="L2827" s="3" t="n">
        <f aca="false">IF(OR(F2827="Y",G2827="Y",H2827="Y"),1,0)</f>
        <v>0</v>
      </c>
      <c r="M2827" s="3" t="n">
        <f aca="false">IF(H2827="Y",1,0)</f>
        <v>0</v>
      </c>
      <c r="N2827" s="3" t="n">
        <f aca="false">IF(I2827="Y",1,0)</f>
        <v>0</v>
      </c>
    </row>
    <row r="2828" customFormat="false" ht="15" hidden="false" customHeight="true" outlineLevel="0" collapsed="false">
      <c r="A2828" s="7" t="s">
        <v>79</v>
      </c>
      <c r="B2828" s="7" t="n">
        <v>1988</v>
      </c>
      <c r="C2828" s="7" t="s">
        <v>587</v>
      </c>
      <c r="D2828" s="7" t="n">
        <v>81</v>
      </c>
      <c r="E2828" s="7" t="n">
        <v>81</v>
      </c>
      <c r="F2828" s="7" t="s">
        <v>546</v>
      </c>
      <c r="G2828" s="7"/>
      <c r="H2828" s="7" t="s">
        <v>546</v>
      </c>
      <c r="I2828" s="7" t="s">
        <v>546</v>
      </c>
      <c r="J2828" s="21" t="n">
        <f aca="false">D2828/(D2828+E2828)</f>
        <v>0.5</v>
      </c>
      <c r="K2828" s="3" t="n">
        <f aca="false">IF(D2828&gt;E2828,1,0)</f>
        <v>0</v>
      </c>
      <c r="L2828" s="3" t="n">
        <f aca="false">IF(OR(F2828="Y",G2828="Y",H2828="Y"),1,0)</f>
        <v>0</v>
      </c>
      <c r="M2828" s="3" t="n">
        <f aca="false">IF(H2828="Y",1,0)</f>
        <v>0</v>
      </c>
      <c r="N2828" s="3" t="n">
        <f aca="false">IF(I2828="Y",1,0)</f>
        <v>0</v>
      </c>
    </row>
    <row r="2829" customFormat="false" ht="15" hidden="false" customHeight="true" outlineLevel="0" collapsed="false">
      <c r="A2829" s="7" t="s">
        <v>79</v>
      </c>
      <c r="B2829" s="7" t="n">
        <v>1989</v>
      </c>
      <c r="C2829" s="7" t="s">
        <v>587</v>
      </c>
      <c r="D2829" s="7" t="n">
        <v>81</v>
      </c>
      <c r="E2829" s="7" t="n">
        <v>81</v>
      </c>
      <c r="F2829" s="7" t="s">
        <v>546</v>
      </c>
      <c r="G2829" s="7"/>
      <c r="H2829" s="7" t="s">
        <v>546</v>
      </c>
      <c r="I2829" s="7" t="s">
        <v>546</v>
      </c>
      <c r="J2829" s="21" t="n">
        <f aca="false">D2829/(D2829+E2829)</f>
        <v>0.5</v>
      </c>
      <c r="K2829" s="3" t="n">
        <f aca="false">IF(D2829&gt;E2829,1,0)</f>
        <v>0</v>
      </c>
      <c r="L2829" s="3" t="n">
        <f aca="false">IF(OR(F2829="Y",G2829="Y",H2829="Y"),1,0)</f>
        <v>0</v>
      </c>
      <c r="M2829" s="3" t="n">
        <f aca="false">IF(H2829="Y",1,0)</f>
        <v>0</v>
      </c>
      <c r="N2829" s="3" t="n">
        <f aca="false">IF(I2829="Y",1,0)</f>
        <v>0</v>
      </c>
    </row>
    <row r="2830" customFormat="false" ht="15" hidden="false" customHeight="true" outlineLevel="0" collapsed="false">
      <c r="A2830" s="7" t="s">
        <v>79</v>
      </c>
      <c r="B2830" s="7" t="n">
        <v>1990</v>
      </c>
      <c r="C2830" s="7" t="s">
        <v>587</v>
      </c>
      <c r="D2830" s="7" t="n">
        <v>85</v>
      </c>
      <c r="E2830" s="7" t="n">
        <v>77</v>
      </c>
      <c r="F2830" s="7" t="s">
        <v>546</v>
      </c>
      <c r="G2830" s="7"/>
      <c r="H2830" s="7" t="s">
        <v>546</v>
      </c>
      <c r="I2830" s="7" t="s">
        <v>546</v>
      </c>
      <c r="J2830" s="21" t="n">
        <f aca="false">D2830/(D2830+E2830)</f>
        <v>0.524691358024691</v>
      </c>
      <c r="K2830" s="3" t="n">
        <f aca="false">IF(D2830&gt;E2830,1,0)</f>
        <v>1</v>
      </c>
      <c r="L2830" s="3" t="n">
        <f aca="false">IF(OR(F2830="Y",G2830="Y",H2830="Y"),1,0)</f>
        <v>0</v>
      </c>
      <c r="M2830" s="3" t="n">
        <f aca="false">IF(H2830="Y",1,0)</f>
        <v>0</v>
      </c>
      <c r="N2830" s="3" t="n">
        <f aca="false">IF(I2830="Y",1,0)</f>
        <v>0</v>
      </c>
    </row>
    <row r="2831" customFormat="false" ht="15" hidden="false" customHeight="true" outlineLevel="0" collapsed="false">
      <c r="A2831" s="7" t="s">
        <v>79</v>
      </c>
      <c r="B2831" s="7" t="n">
        <v>1991</v>
      </c>
      <c r="C2831" s="7" t="s">
        <v>587</v>
      </c>
      <c r="D2831" s="7" t="n">
        <v>71</v>
      </c>
      <c r="E2831" s="7" t="n">
        <v>90</v>
      </c>
      <c r="F2831" s="7" t="s">
        <v>546</v>
      </c>
      <c r="G2831" s="7"/>
      <c r="H2831" s="7" t="s">
        <v>546</v>
      </c>
      <c r="I2831" s="7" t="s">
        <v>546</v>
      </c>
      <c r="J2831" s="21" t="n">
        <f aca="false">D2831/(D2831+E2831)</f>
        <v>0.440993788819876</v>
      </c>
      <c r="K2831" s="3" t="n">
        <f aca="false">IF(D2831&gt;E2831,1,0)</f>
        <v>0</v>
      </c>
      <c r="L2831" s="3" t="n">
        <f aca="false">IF(OR(F2831="Y",G2831="Y",H2831="Y"),1,0)</f>
        <v>0</v>
      </c>
      <c r="M2831" s="3" t="n">
        <f aca="false">IF(H2831="Y",1,0)</f>
        <v>0</v>
      </c>
      <c r="N2831" s="3" t="n">
        <f aca="false">IF(I2831="Y",1,0)</f>
        <v>0</v>
      </c>
    </row>
    <row r="2832" customFormat="false" ht="15" hidden="false" customHeight="true" outlineLevel="0" collapsed="false">
      <c r="A2832" s="7" t="s">
        <v>79</v>
      </c>
      <c r="B2832" s="7" t="n">
        <v>1992</v>
      </c>
      <c r="C2832" s="7" t="s">
        <v>587</v>
      </c>
      <c r="D2832" s="7" t="n">
        <v>87</v>
      </c>
      <c r="E2832" s="7" t="n">
        <v>75</v>
      </c>
      <c r="F2832" s="7" t="s">
        <v>546</v>
      </c>
      <c r="G2832" s="7"/>
      <c r="H2832" s="7" t="s">
        <v>546</v>
      </c>
      <c r="I2832" s="7" t="s">
        <v>546</v>
      </c>
      <c r="J2832" s="21" t="n">
        <f aca="false">D2832/(D2832+E2832)</f>
        <v>0.537037037037037</v>
      </c>
      <c r="K2832" s="3" t="n">
        <f aca="false">IF(D2832&gt;E2832,1,0)</f>
        <v>1</v>
      </c>
      <c r="L2832" s="3" t="n">
        <f aca="false">IF(OR(F2832="Y",G2832="Y",H2832="Y"),1,0)</f>
        <v>0</v>
      </c>
      <c r="M2832" s="3" t="n">
        <f aca="false">IF(H2832="Y",1,0)</f>
        <v>0</v>
      </c>
      <c r="N2832" s="3" t="n">
        <f aca="false">IF(I2832="Y",1,0)</f>
        <v>0</v>
      </c>
    </row>
    <row r="2833" customFormat="false" ht="15" hidden="false" customHeight="true" outlineLevel="0" collapsed="false">
      <c r="A2833" s="7" t="s">
        <v>79</v>
      </c>
      <c r="B2833" s="7" t="n">
        <v>1993</v>
      </c>
      <c r="C2833" s="7" t="s">
        <v>587</v>
      </c>
      <c r="D2833" s="7" t="n">
        <v>94</v>
      </c>
      <c r="E2833" s="7" t="n">
        <v>68</v>
      </c>
      <c r="F2833" s="7" t="s">
        <v>546</v>
      </c>
      <c r="G2833" s="7"/>
      <c r="H2833" s="7" t="s">
        <v>546</v>
      </c>
      <c r="I2833" s="7" t="s">
        <v>546</v>
      </c>
      <c r="J2833" s="21" t="n">
        <f aca="false">D2833/(D2833+E2833)</f>
        <v>0.580246913580247</v>
      </c>
      <c r="K2833" s="3" t="n">
        <f aca="false">IF(D2833&gt;E2833,1,0)</f>
        <v>1</v>
      </c>
      <c r="L2833" s="3" t="n">
        <f aca="false">IF(OR(F2833="Y",G2833="Y",H2833="Y"),1,0)</f>
        <v>0</v>
      </c>
      <c r="M2833" s="3" t="n">
        <f aca="false">IF(H2833="Y",1,0)</f>
        <v>0</v>
      </c>
      <c r="N2833" s="3" t="n">
        <f aca="false">IF(I2833="Y",1,0)</f>
        <v>0</v>
      </c>
    </row>
    <row r="2834" customFormat="false" ht="15" hidden="false" customHeight="true" outlineLevel="0" collapsed="false">
      <c r="A2834" s="7" t="s">
        <v>79</v>
      </c>
      <c r="B2834" s="7" t="n">
        <v>1994</v>
      </c>
      <c r="C2834" s="7" t="s">
        <v>587</v>
      </c>
      <c r="D2834" s="7" t="n">
        <v>74</v>
      </c>
      <c r="E2834" s="7" t="n">
        <v>40</v>
      </c>
      <c r="F2834" s="7"/>
      <c r="G2834" s="7"/>
      <c r="H2834" s="7"/>
      <c r="I2834" s="7"/>
      <c r="J2834" s="21" t="n">
        <f aca="false">D2834/(D2834+E2834)</f>
        <v>0.649122807017544</v>
      </c>
      <c r="K2834" s="3" t="n">
        <f aca="false">IF(D2834&gt;E2834,1,0)</f>
        <v>1</v>
      </c>
      <c r="L2834" s="3" t="n">
        <f aca="false">IF(OR(F2834="Y",G2834="Y",H2834="Y"),1,0)</f>
        <v>0</v>
      </c>
      <c r="M2834" s="3" t="n">
        <f aca="false">IF(H2834="Y",1,0)</f>
        <v>0</v>
      </c>
      <c r="N2834" s="3" t="n">
        <f aca="false">IF(I2834="Y",1,0)</f>
        <v>0</v>
      </c>
    </row>
    <row r="2835" customFormat="false" ht="15" hidden="false" customHeight="true" outlineLevel="0" collapsed="false">
      <c r="A2835" s="7" t="s">
        <v>79</v>
      </c>
      <c r="B2835" s="7" t="n">
        <v>1995</v>
      </c>
      <c r="C2835" s="7" t="s">
        <v>587</v>
      </c>
      <c r="D2835" s="7" t="n">
        <v>66</v>
      </c>
      <c r="E2835" s="7" t="n">
        <v>78</v>
      </c>
      <c r="F2835" s="7" t="s">
        <v>546</v>
      </c>
      <c r="G2835" s="7" t="s">
        <v>546</v>
      </c>
      <c r="H2835" s="7" t="s">
        <v>546</v>
      </c>
      <c r="I2835" s="7" t="s">
        <v>546</v>
      </c>
      <c r="J2835" s="21" t="n">
        <f aca="false">D2835/(D2835+E2835)</f>
        <v>0.458333333333333</v>
      </c>
      <c r="K2835" s="3" t="n">
        <f aca="false">IF(D2835&gt;E2835,1,0)</f>
        <v>0</v>
      </c>
      <c r="L2835" s="3" t="n">
        <f aca="false">IF(OR(F2835="Y",G2835="Y",H2835="Y"),1,0)</f>
        <v>0</v>
      </c>
      <c r="M2835" s="3" t="n">
        <f aca="false">IF(H2835="Y",1,0)</f>
        <v>0</v>
      </c>
      <c r="N2835" s="3" t="n">
        <f aca="false">IF(I2835="Y",1,0)</f>
        <v>0</v>
      </c>
    </row>
    <row r="2836" customFormat="false" ht="15" hidden="false" customHeight="true" outlineLevel="0" collapsed="false">
      <c r="A2836" s="7" t="s">
        <v>79</v>
      </c>
      <c r="B2836" s="7" t="n">
        <v>1996</v>
      </c>
      <c r="C2836" s="7" t="s">
        <v>587</v>
      </c>
      <c r="D2836" s="7" t="n">
        <v>88</v>
      </c>
      <c r="E2836" s="7" t="n">
        <v>74</v>
      </c>
      <c r="F2836" s="7" t="s">
        <v>546</v>
      </c>
      <c r="G2836" s="7" t="s">
        <v>546</v>
      </c>
      <c r="H2836" s="7" t="s">
        <v>546</v>
      </c>
      <c r="I2836" s="7" t="s">
        <v>546</v>
      </c>
      <c r="J2836" s="21" t="n">
        <f aca="false">D2836/(D2836+E2836)</f>
        <v>0.54320987654321</v>
      </c>
      <c r="K2836" s="3" t="n">
        <f aca="false">IF(D2836&gt;E2836,1,0)</f>
        <v>1</v>
      </c>
      <c r="L2836" s="3" t="n">
        <f aca="false">IF(OR(F2836="Y",G2836="Y",H2836="Y"),1,0)</f>
        <v>0</v>
      </c>
      <c r="M2836" s="3" t="n">
        <f aca="false">IF(H2836="Y",1,0)</f>
        <v>0</v>
      </c>
      <c r="N2836" s="3" t="n">
        <f aca="false">IF(I2836="Y",1,0)</f>
        <v>0</v>
      </c>
    </row>
    <row r="2837" customFormat="false" ht="15" hidden="false" customHeight="true" outlineLevel="0" collapsed="false">
      <c r="A2837" s="7" t="s">
        <v>79</v>
      </c>
      <c r="B2837" s="7" t="n">
        <v>1997</v>
      </c>
      <c r="C2837" s="7" t="s">
        <v>587</v>
      </c>
      <c r="D2837" s="7" t="n">
        <v>78</v>
      </c>
      <c r="E2837" s="7" t="n">
        <v>84</v>
      </c>
      <c r="F2837" s="7" t="s">
        <v>546</v>
      </c>
      <c r="G2837" s="7" t="s">
        <v>546</v>
      </c>
      <c r="H2837" s="7" t="s">
        <v>546</v>
      </c>
      <c r="I2837" s="7" t="s">
        <v>546</v>
      </c>
      <c r="J2837" s="21" t="n">
        <f aca="false">D2837/(D2837+E2837)</f>
        <v>0.481481481481481</v>
      </c>
      <c r="K2837" s="3" t="n">
        <f aca="false">IF(D2837&gt;E2837,1,0)</f>
        <v>0</v>
      </c>
      <c r="L2837" s="3" t="n">
        <f aca="false">IF(OR(F2837="Y",G2837="Y",H2837="Y"),1,0)</f>
        <v>0</v>
      </c>
      <c r="M2837" s="3" t="n">
        <f aca="false">IF(H2837="Y",1,0)</f>
        <v>0</v>
      </c>
      <c r="N2837" s="3" t="n">
        <f aca="false">IF(I2837="Y",1,0)</f>
        <v>0</v>
      </c>
    </row>
    <row r="2838" customFormat="false" ht="15" hidden="false" customHeight="true" outlineLevel="0" collapsed="false">
      <c r="A2838" s="7" t="s">
        <v>79</v>
      </c>
      <c r="B2838" s="7" t="n">
        <v>1998</v>
      </c>
      <c r="C2838" s="7" t="s">
        <v>587</v>
      </c>
      <c r="D2838" s="7" t="n">
        <v>65</v>
      </c>
      <c r="E2838" s="7" t="n">
        <v>97</v>
      </c>
      <c r="F2838" s="7" t="s">
        <v>546</v>
      </c>
      <c r="G2838" s="7" t="s">
        <v>546</v>
      </c>
      <c r="H2838" s="7" t="s">
        <v>546</v>
      </c>
      <c r="I2838" s="7" t="s">
        <v>546</v>
      </c>
      <c r="J2838" s="21" t="n">
        <f aca="false">D2838/(D2838+E2838)</f>
        <v>0.401234567901235</v>
      </c>
      <c r="K2838" s="3" t="n">
        <f aca="false">IF(D2838&gt;E2838,1,0)</f>
        <v>0</v>
      </c>
      <c r="L2838" s="3" t="n">
        <f aca="false">IF(OR(F2838="Y",G2838="Y",H2838="Y"),1,0)</f>
        <v>0</v>
      </c>
      <c r="M2838" s="3" t="n">
        <f aca="false">IF(H2838="Y",1,0)</f>
        <v>0</v>
      </c>
      <c r="N2838" s="3" t="n">
        <f aca="false">IF(I2838="Y",1,0)</f>
        <v>0</v>
      </c>
    </row>
    <row r="2839" customFormat="false" ht="15" hidden="false" customHeight="true" outlineLevel="0" collapsed="false">
      <c r="A2839" s="7" t="s">
        <v>79</v>
      </c>
      <c r="B2839" s="7" t="n">
        <v>1999</v>
      </c>
      <c r="C2839" s="7" t="s">
        <v>587</v>
      </c>
      <c r="D2839" s="7" t="n">
        <v>68</v>
      </c>
      <c r="E2839" s="7" t="n">
        <v>94</v>
      </c>
      <c r="F2839" s="7" t="s">
        <v>546</v>
      </c>
      <c r="G2839" s="7" t="s">
        <v>546</v>
      </c>
      <c r="H2839" s="7" t="s">
        <v>546</v>
      </c>
      <c r="I2839" s="7" t="s">
        <v>546</v>
      </c>
      <c r="J2839" s="21" t="n">
        <f aca="false">D2839/(D2839+E2839)</f>
        <v>0.419753086419753</v>
      </c>
      <c r="K2839" s="3" t="n">
        <f aca="false">IF(D2839&gt;E2839,1,0)</f>
        <v>0</v>
      </c>
      <c r="L2839" s="3" t="n">
        <f aca="false">IF(OR(F2839="Y",G2839="Y",H2839="Y"),1,0)</f>
        <v>0</v>
      </c>
      <c r="M2839" s="3" t="n">
        <f aca="false">IF(H2839="Y",1,0)</f>
        <v>0</v>
      </c>
      <c r="N2839" s="3" t="n">
        <f aca="false">IF(I2839="Y",1,0)</f>
        <v>0</v>
      </c>
    </row>
    <row r="2840" customFormat="false" ht="15" hidden="false" customHeight="true" outlineLevel="0" collapsed="false">
      <c r="A2840" s="7" t="s">
        <v>79</v>
      </c>
      <c r="B2840" s="7" t="n">
        <v>2000</v>
      </c>
      <c r="C2840" s="7" t="s">
        <v>587</v>
      </c>
      <c r="D2840" s="7" t="n">
        <v>67</v>
      </c>
      <c r="E2840" s="7" t="n">
        <v>95</v>
      </c>
      <c r="F2840" s="7" t="s">
        <v>546</v>
      </c>
      <c r="G2840" s="7" t="s">
        <v>546</v>
      </c>
      <c r="H2840" s="7" t="s">
        <v>546</v>
      </c>
      <c r="I2840" s="7" t="s">
        <v>546</v>
      </c>
      <c r="J2840" s="21" t="n">
        <f aca="false">D2840/(D2840+E2840)</f>
        <v>0.41358024691358</v>
      </c>
      <c r="K2840" s="3" t="n">
        <f aca="false">IF(D2840&gt;E2840,1,0)</f>
        <v>0</v>
      </c>
      <c r="L2840" s="3" t="n">
        <f aca="false">IF(OR(F2840="Y",G2840="Y",H2840="Y"),1,0)</f>
        <v>0</v>
      </c>
      <c r="M2840" s="3" t="n">
        <f aca="false">IF(H2840="Y",1,0)</f>
        <v>0</v>
      </c>
      <c r="N2840" s="3" t="n">
        <f aca="false">IF(I2840="Y",1,0)</f>
        <v>0</v>
      </c>
    </row>
    <row r="2841" customFormat="false" ht="15" hidden="false" customHeight="true" outlineLevel="0" collapsed="false">
      <c r="A2841" s="7" t="s">
        <v>79</v>
      </c>
      <c r="B2841" s="7" t="n">
        <v>2001</v>
      </c>
      <c r="C2841" s="7" t="s">
        <v>587</v>
      </c>
      <c r="D2841" s="7" t="n">
        <v>68</v>
      </c>
      <c r="E2841" s="7" t="n">
        <v>94</v>
      </c>
      <c r="F2841" s="7" t="s">
        <v>546</v>
      </c>
      <c r="G2841" s="7" t="s">
        <v>546</v>
      </c>
      <c r="H2841" s="7" t="s">
        <v>546</v>
      </c>
      <c r="I2841" s="7" t="s">
        <v>546</v>
      </c>
      <c r="J2841" s="21" t="n">
        <f aca="false">D2841/(D2841+E2841)</f>
        <v>0.419753086419753</v>
      </c>
      <c r="K2841" s="3" t="n">
        <f aca="false">IF(D2841&gt;E2841,1,0)</f>
        <v>0</v>
      </c>
      <c r="L2841" s="3" t="n">
        <f aca="false">IF(OR(F2841="Y",G2841="Y",H2841="Y"),1,0)</f>
        <v>0</v>
      </c>
      <c r="M2841" s="3" t="n">
        <f aca="false">IF(H2841="Y",1,0)</f>
        <v>0</v>
      </c>
      <c r="N2841" s="3" t="n">
        <f aca="false">IF(I2841="Y",1,0)</f>
        <v>0</v>
      </c>
    </row>
    <row r="2842" customFormat="false" ht="15" hidden="false" customHeight="true" outlineLevel="0" collapsed="false">
      <c r="A2842" s="7" t="s">
        <v>79</v>
      </c>
      <c r="B2842" s="7" t="n">
        <v>2002</v>
      </c>
      <c r="C2842" s="7" t="s">
        <v>587</v>
      </c>
      <c r="D2842" s="7" t="n">
        <v>83</v>
      </c>
      <c r="E2842" s="7" t="n">
        <v>79</v>
      </c>
      <c r="F2842" s="7" t="s">
        <v>546</v>
      </c>
      <c r="G2842" s="7" t="s">
        <v>546</v>
      </c>
      <c r="H2842" s="7" t="s">
        <v>546</v>
      </c>
      <c r="I2842" s="7" t="s">
        <v>546</v>
      </c>
      <c r="J2842" s="21" t="n">
        <f aca="false">D2842/(D2842+E2842)</f>
        <v>0.512345679012346</v>
      </c>
      <c r="K2842" s="3" t="n">
        <f aca="false">IF(D2842&gt;E2842,1,0)</f>
        <v>1</v>
      </c>
      <c r="L2842" s="3" t="n">
        <f aca="false">IF(OR(F2842="Y",G2842="Y",H2842="Y"),1,0)</f>
        <v>0</v>
      </c>
      <c r="M2842" s="3" t="n">
        <f aca="false">IF(H2842="Y",1,0)</f>
        <v>0</v>
      </c>
      <c r="N2842" s="3" t="n">
        <f aca="false">IF(I2842="Y",1,0)</f>
        <v>0</v>
      </c>
    </row>
    <row r="2843" customFormat="false" ht="15" hidden="false" customHeight="true" outlineLevel="0" collapsed="false">
      <c r="A2843" s="7" t="s">
        <v>79</v>
      </c>
      <c r="B2843" s="7" t="n">
        <v>2003</v>
      </c>
      <c r="C2843" s="7" t="s">
        <v>587</v>
      </c>
      <c r="D2843" s="7" t="n">
        <v>83</v>
      </c>
      <c r="E2843" s="7" t="n">
        <v>79</v>
      </c>
      <c r="F2843" s="7" t="s">
        <v>546</v>
      </c>
      <c r="G2843" s="7" t="s">
        <v>546</v>
      </c>
      <c r="H2843" s="7" t="s">
        <v>546</v>
      </c>
      <c r="I2843" s="7" t="s">
        <v>546</v>
      </c>
      <c r="J2843" s="21" t="n">
        <f aca="false">D2843/(D2843+E2843)</f>
        <v>0.512345679012346</v>
      </c>
      <c r="K2843" s="3" t="n">
        <f aca="false">IF(D2843&gt;E2843,1,0)</f>
        <v>1</v>
      </c>
      <c r="L2843" s="3" t="n">
        <f aca="false">IF(OR(F2843="Y",G2843="Y",H2843="Y"),1,0)</f>
        <v>0</v>
      </c>
      <c r="M2843" s="3" t="n">
        <f aca="false">IF(H2843="Y",1,0)</f>
        <v>0</v>
      </c>
      <c r="N2843" s="3" t="n">
        <f aca="false">IF(I2843="Y",1,0)</f>
        <v>0</v>
      </c>
    </row>
    <row r="2844" customFormat="false" ht="15" hidden="false" customHeight="true" outlineLevel="0" collapsed="false">
      <c r="A2844" s="7" t="s">
        <v>79</v>
      </c>
      <c r="B2844" s="7" t="n">
        <v>2004</v>
      </c>
      <c r="C2844" s="7" t="s">
        <v>587</v>
      </c>
      <c r="D2844" s="7" t="n">
        <v>67</v>
      </c>
      <c r="E2844" s="7" t="n">
        <v>95</v>
      </c>
      <c r="F2844" s="7" t="s">
        <v>546</v>
      </c>
      <c r="G2844" s="7" t="s">
        <v>546</v>
      </c>
      <c r="H2844" s="7" t="s">
        <v>546</v>
      </c>
      <c r="I2844" s="7" t="s">
        <v>546</v>
      </c>
      <c r="J2844" s="21" t="n">
        <f aca="false">D2844/(D2844+E2844)</f>
        <v>0.41358024691358</v>
      </c>
      <c r="K2844" s="3" t="n">
        <f aca="false">IF(D2844&gt;E2844,1,0)</f>
        <v>0</v>
      </c>
      <c r="L2844" s="3" t="n">
        <f aca="false">IF(OR(F2844="Y",G2844="Y",H2844="Y"),1,0)</f>
        <v>0</v>
      </c>
      <c r="M2844" s="3" t="n">
        <f aca="false">IF(H2844="Y",1,0)</f>
        <v>0</v>
      </c>
      <c r="N2844" s="3" t="n">
        <f aca="false">IF(I2844="Y",1,0)</f>
        <v>0</v>
      </c>
    </row>
    <row r="2845" customFormat="false" ht="15" hidden="false" customHeight="true" outlineLevel="0" collapsed="false">
      <c r="A2845" s="7" t="s">
        <v>79</v>
      </c>
      <c r="B2845" s="7" t="n">
        <v>2005</v>
      </c>
      <c r="C2845" s="7" t="s">
        <v>381</v>
      </c>
      <c r="D2845" s="7" t="n">
        <v>81</v>
      </c>
      <c r="E2845" s="7" t="n">
        <v>81</v>
      </c>
      <c r="F2845" s="7" t="s">
        <v>546</v>
      </c>
      <c r="G2845" s="7" t="s">
        <v>546</v>
      </c>
      <c r="H2845" s="7" t="s">
        <v>546</v>
      </c>
      <c r="I2845" s="7" t="s">
        <v>546</v>
      </c>
      <c r="J2845" s="21" t="n">
        <f aca="false">D2845/(D2845+E2845)</f>
        <v>0.5</v>
      </c>
      <c r="K2845" s="3" t="n">
        <f aca="false">IF(D2845&gt;E2845,1,0)</f>
        <v>0</v>
      </c>
      <c r="L2845" s="3" t="n">
        <f aca="false">IF(OR(F2845="Y",G2845="Y",H2845="Y"),1,0)</f>
        <v>0</v>
      </c>
      <c r="M2845" s="3" t="n">
        <f aca="false">IF(H2845="Y",1,0)</f>
        <v>0</v>
      </c>
      <c r="N2845" s="3" t="n">
        <f aca="false">IF(I2845="Y",1,0)</f>
        <v>0</v>
      </c>
    </row>
    <row r="2846" customFormat="false" ht="15" hidden="false" customHeight="true" outlineLevel="0" collapsed="false">
      <c r="A2846" s="7" t="s">
        <v>79</v>
      </c>
      <c r="B2846" s="7" t="n">
        <v>2006</v>
      </c>
      <c r="C2846" s="7" t="s">
        <v>381</v>
      </c>
      <c r="D2846" s="7" t="n">
        <v>71</v>
      </c>
      <c r="E2846" s="7" t="n">
        <v>91</v>
      </c>
      <c r="F2846" s="7" t="s">
        <v>546</v>
      </c>
      <c r="G2846" s="7" t="s">
        <v>546</v>
      </c>
      <c r="H2846" s="7" t="s">
        <v>546</v>
      </c>
      <c r="I2846" s="7" t="s">
        <v>546</v>
      </c>
      <c r="J2846" s="21" t="n">
        <f aca="false">D2846/(D2846+E2846)</f>
        <v>0.438271604938272</v>
      </c>
      <c r="K2846" s="3" t="n">
        <f aca="false">IF(D2846&gt;E2846,1,0)</f>
        <v>0</v>
      </c>
      <c r="L2846" s="3" t="n">
        <f aca="false">IF(OR(F2846="Y",G2846="Y",H2846="Y"),1,0)</f>
        <v>0</v>
      </c>
      <c r="M2846" s="3" t="n">
        <f aca="false">IF(H2846="Y",1,0)</f>
        <v>0</v>
      </c>
      <c r="N2846" s="3" t="n">
        <f aca="false">IF(I2846="Y",1,0)</f>
        <v>0</v>
      </c>
    </row>
    <row r="2847" customFormat="false" ht="15" hidden="false" customHeight="true" outlineLevel="0" collapsed="false">
      <c r="A2847" s="7" t="s">
        <v>79</v>
      </c>
      <c r="B2847" s="7" t="n">
        <v>2007</v>
      </c>
      <c r="C2847" s="7" t="s">
        <v>381</v>
      </c>
      <c r="D2847" s="7" t="n">
        <v>73</v>
      </c>
      <c r="E2847" s="7" t="n">
        <v>89</v>
      </c>
      <c r="F2847" s="7" t="s">
        <v>546</v>
      </c>
      <c r="G2847" s="7" t="s">
        <v>546</v>
      </c>
      <c r="H2847" s="7" t="s">
        <v>546</v>
      </c>
      <c r="I2847" s="7" t="s">
        <v>546</v>
      </c>
      <c r="J2847" s="21" t="n">
        <f aca="false">D2847/(D2847+E2847)</f>
        <v>0.450617283950617</v>
      </c>
      <c r="K2847" s="3" t="n">
        <f aca="false">IF(D2847&gt;E2847,1,0)</f>
        <v>0</v>
      </c>
      <c r="L2847" s="3" t="n">
        <f aca="false">IF(OR(F2847="Y",G2847="Y",H2847="Y"),1,0)</f>
        <v>0</v>
      </c>
      <c r="M2847" s="3" t="n">
        <f aca="false">IF(H2847="Y",1,0)</f>
        <v>0</v>
      </c>
      <c r="N2847" s="3" t="n">
        <f aca="false">IF(I2847="Y",1,0)</f>
        <v>0</v>
      </c>
    </row>
    <row r="2848" customFormat="false" ht="15" hidden="false" customHeight="true" outlineLevel="0" collapsed="false">
      <c r="A2848" s="7" t="s">
        <v>79</v>
      </c>
      <c r="B2848" s="7" t="n">
        <v>2008</v>
      </c>
      <c r="C2848" s="7" t="s">
        <v>381</v>
      </c>
      <c r="D2848" s="7" t="n">
        <v>59</v>
      </c>
      <c r="E2848" s="7" t="n">
        <v>102</v>
      </c>
      <c r="F2848" s="7" t="s">
        <v>546</v>
      </c>
      <c r="G2848" s="7" t="s">
        <v>546</v>
      </c>
      <c r="H2848" s="7" t="s">
        <v>546</v>
      </c>
      <c r="I2848" s="7" t="s">
        <v>546</v>
      </c>
      <c r="J2848" s="21" t="n">
        <f aca="false">D2848/(D2848+E2848)</f>
        <v>0.366459627329193</v>
      </c>
      <c r="K2848" s="3" t="n">
        <f aca="false">IF(D2848&gt;E2848,1,0)</f>
        <v>0</v>
      </c>
      <c r="L2848" s="3" t="n">
        <f aca="false">IF(OR(F2848="Y",G2848="Y",H2848="Y"),1,0)</f>
        <v>0</v>
      </c>
      <c r="M2848" s="3" t="n">
        <f aca="false">IF(H2848="Y",1,0)</f>
        <v>0</v>
      </c>
      <c r="N2848" s="3" t="n">
        <f aca="false">IF(I2848="Y",1,0)</f>
        <v>0</v>
      </c>
    </row>
    <row r="2849" customFormat="false" ht="15" hidden="false" customHeight="true" outlineLevel="0" collapsed="false">
      <c r="A2849" s="7" t="s">
        <v>79</v>
      </c>
      <c r="B2849" s="7" t="n">
        <v>2009</v>
      </c>
      <c r="C2849" s="7" t="s">
        <v>381</v>
      </c>
      <c r="D2849" s="7" t="n">
        <v>59</v>
      </c>
      <c r="E2849" s="7" t="n">
        <v>103</v>
      </c>
      <c r="F2849" s="7" t="s">
        <v>546</v>
      </c>
      <c r="G2849" s="7" t="s">
        <v>546</v>
      </c>
      <c r="H2849" s="7" t="s">
        <v>546</v>
      </c>
      <c r="I2849" s="7" t="s">
        <v>546</v>
      </c>
      <c r="J2849" s="21" t="n">
        <f aca="false">D2849/(D2849+E2849)</f>
        <v>0.364197530864198</v>
      </c>
      <c r="K2849" s="3" t="n">
        <f aca="false">IF(D2849&gt;E2849,1,0)</f>
        <v>0</v>
      </c>
      <c r="L2849" s="3" t="n">
        <f aca="false">IF(OR(F2849="Y",G2849="Y",H2849="Y"),1,0)</f>
        <v>0</v>
      </c>
      <c r="M2849" s="3" t="n">
        <f aca="false">IF(H2849="Y",1,0)</f>
        <v>0</v>
      </c>
      <c r="N2849" s="3" t="n">
        <f aca="false">IF(I2849="Y",1,0)</f>
        <v>0</v>
      </c>
    </row>
    <row r="2850" customFormat="false" ht="15" hidden="false" customHeight="true" outlineLevel="0" collapsed="false">
      <c r="A2850" s="7" t="s">
        <v>79</v>
      </c>
      <c r="B2850" s="7" t="n">
        <v>2010</v>
      </c>
      <c r="C2850" s="7" t="s">
        <v>381</v>
      </c>
      <c r="D2850" s="7" t="n">
        <v>69</v>
      </c>
      <c r="E2850" s="7" t="n">
        <v>93</v>
      </c>
      <c r="F2850" s="7" t="s">
        <v>546</v>
      </c>
      <c r="G2850" s="7" t="s">
        <v>546</v>
      </c>
      <c r="H2850" s="7" t="s">
        <v>546</v>
      </c>
      <c r="I2850" s="7" t="s">
        <v>546</v>
      </c>
      <c r="J2850" s="21" t="n">
        <f aca="false">D2850/(D2850+E2850)</f>
        <v>0.425925925925926</v>
      </c>
      <c r="K2850" s="3" t="n">
        <f aca="false">IF(D2850&gt;E2850,1,0)</f>
        <v>0</v>
      </c>
      <c r="L2850" s="3" t="n">
        <f aca="false">IF(OR(F2850="Y",G2850="Y",H2850="Y"),1,0)</f>
        <v>0</v>
      </c>
      <c r="M2850" s="3" t="n">
        <f aca="false">IF(H2850="Y",1,0)</f>
        <v>0</v>
      </c>
      <c r="N2850" s="3" t="n">
        <f aca="false">IF(I2850="Y",1,0)</f>
        <v>0</v>
      </c>
    </row>
    <row r="2851" customFormat="false" ht="15" hidden="false" customHeight="true" outlineLevel="0" collapsed="false">
      <c r="A2851" s="7" t="s">
        <v>79</v>
      </c>
      <c r="B2851" s="7" t="n">
        <v>2011</v>
      </c>
      <c r="C2851" s="7" t="s">
        <v>381</v>
      </c>
      <c r="D2851" s="7" t="n">
        <v>80</v>
      </c>
      <c r="E2851" s="7" t="n">
        <v>81</v>
      </c>
      <c r="F2851" s="7" t="s">
        <v>546</v>
      </c>
      <c r="G2851" s="7" t="s">
        <v>546</v>
      </c>
      <c r="H2851" s="7" t="s">
        <v>546</v>
      </c>
      <c r="I2851" s="7" t="s">
        <v>546</v>
      </c>
      <c r="J2851" s="21" t="n">
        <f aca="false">D2851/(D2851+E2851)</f>
        <v>0.496894409937888</v>
      </c>
      <c r="K2851" s="3" t="n">
        <f aca="false">IF(D2851&gt;E2851,1,0)</f>
        <v>0</v>
      </c>
      <c r="L2851" s="3" t="n">
        <f aca="false">IF(OR(F2851="Y",G2851="Y",H2851="Y"),1,0)</f>
        <v>0</v>
      </c>
      <c r="M2851" s="3" t="n">
        <f aca="false">IF(H2851="Y",1,0)</f>
        <v>0</v>
      </c>
      <c r="N2851" s="3" t="n">
        <f aca="false">IF(I2851="Y",1,0)</f>
        <v>0</v>
      </c>
    </row>
    <row r="2852" customFormat="false" ht="15" hidden="false" customHeight="true" outlineLevel="0" collapsed="false">
      <c r="A2852" s="7" t="s">
        <v>79</v>
      </c>
      <c r="B2852" s="7" t="n">
        <v>2012</v>
      </c>
      <c r="C2852" s="7" t="s">
        <v>381</v>
      </c>
      <c r="D2852" s="7" t="n">
        <v>98</v>
      </c>
      <c r="E2852" s="7" t="n">
        <v>64</v>
      </c>
      <c r="F2852" s="7" t="s">
        <v>548</v>
      </c>
      <c r="G2852" s="7" t="s">
        <v>546</v>
      </c>
      <c r="H2852" s="7" t="s">
        <v>546</v>
      </c>
      <c r="I2852" s="7" t="s">
        <v>546</v>
      </c>
      <c r="J2852" s="21" t="n">
        <f aca="false">D2852/(D2852+E2852)</f>
        <v>0.604938271604938</v>
      </c>
      <c r="K2852" s="3" t="n">
        <f aca="false">IF(D2852&gt;E2852,1,0)</f>
        <v>1</v>
      </c>
      <c r="L2852" s="3" t="n">
        <f aca="false">IF(OR(F2852="Y",G2852="Y",H2852="Y"),1,0)</f>
        <v>1</v>
      </c>
      <c r="M2852" s="3" t="n">
        <f aca="false">IF(H2852="Y",1,0)</f>
        <v>0</v>
      </c>
      <c r="N2852" s="3" t="n">
        <f aca="false">IF(I2852="Y",1,0)</f>
        <v>0</v>
      </c>
    </row>
    <row r="2853" customFormat="false" ht="15" hidden="false" customHeight="true" outlineLevel="0" collapsed="false">
      <c r="A2853" s="7" t="s">
        <v>79</v>
      </c>
      <c r="B2853" s="7" t="n">
        <v>2013</v>
      </c>
      <c r="C2853" s="7" t="s">
        <v>381</v>
      </c>
      <c r="D2853" s="7" t="n">
        <v>86</v>
      </c>
      <c r="E2853" s="7" t="n">
        <v>76</v>
      </c>
      <c r="F2853" s="7" t="s">
        <v>546</v>
      </c>
      <c r="G2853" s="7" t="s">
        <v>546</v>
      </c>
      <c r="H2853" s="7" t="s">
        <v>546</v>
      </c>
      <c r="I2853" s="7" t="s">
        <v>546</v>
      </c>
      <c r="J2853" s="21" t="n">
        <f aca="false">D2853/(D2853+E2853)</f>
        <v>0.530864197530864</v>
      </c>
      <c r="K2853" s="3" t="n">
        <f aca="false">IF(D2853&gt;E2853,1,0)</f>
        <v>1</v>
      </c>
      <c r="L2853" s="3" t="n">
        <f aca="false">IF(OR(F2853="Y",G2853="Y",H2853="Y"),1,0)</f>
        <v>0</v>
      </c>
      <c r="M2853" s="3" t="n">
        <f aca="false">IF(H2853="Y",1,0)</f>
        <v>0</v>
      </c>
      <c r="N2853" s="3" t="n">
        <f aca="false">IF(I2853="Y",1,0)</f>
        <v>0</v>
      </c>
    </row>
    <row r="2854" customFormat="false" ht="15" hidden="false" customHeight="true" outlineLevel="0" collapsed="false">
      <c r="A2854" s="7" t="s">
        <v>79</v>
      </c>
      <c r="B2854" s="7" t="n">
        <v>2014</v>
      </c>
      <c r="C2854" s="7" t="s">
        <v>381</v>
      </c>
      <c r="D2854" s="7" t="n">
        <v>96</v>
      </c>
      <c r="E2854" s="7" t="n">
        <v>66</v>
      </c>
      <c r="F2854" s="7" t="s">
        <v>548</v>
      </c>
      <c r="G2854" s="7" t="s">
        <v>546</v>
      </c>
      <c r="H2854" s="7" t="s">
        <v>546</v>
      </c>
      <c r="I2854" s="7" t="s">
        <v>546</v>
      </c>
      <c r="J2854" s="21" t="n">
        <f aca="false">D2854/(D2854+E2854)</f>
        <v>0.592592592592593</v>
      </c>
      <c r="K2854" s="3" t="n">
        <f aca="false">IF(D2854&gt;E2854,1,0)</f>
        <v>1</v>
      </c>
      <c r="L2854" s="3" t="n">
        <f aca="false">IF(OR(F2854="Y",G2854="Y",H2854="Y"),1,0)</f>
        <v>1</v>
      </c>
      <c r="M2854" s="3" t="n">
        <f aca="false">IF(H2854="Y",1,0)</f>
        <v>0</v>
      </c>
      <c r="N2854" s="3" t="n">
        <f aca="false">IF(I2854="Y",1,0)</f>
        <v>0</v>
      </c>
    </row>
    <row r="2855" customFormat="false" ht="15" hidden="false" customHeight="true" outlineLevel="0" collapsed="false">
      <c r="A2855" s="7" t="s">
        <v>79</v>
      </c>
      <c r="B2855" s="7" t="n">
        <v>2015</v>
      </c>
      <c r="C2855" s="7" t="s">
        <v>381</v>
      </c>
      <c r="D2855" s="7" t="n">
        <v>83</v>
      </c>
      <c r="E2855" s="7" t="n">
        <v>79</v>
      </c>
      <c r="F2855" s="7" t="s">
        <v>546</v>
      </c>
      <c r="G2855" s="7" t="s">
        <v>546</v>
      </c>
      <c r="H2855" s="7" t="s">
        <v>546</v>
      </c>
      <c r="I2855" s="7" t="s">
        <v>546</v>
      </c>
      <c r="J2855" s="21" t="n">
        <f aca="false">D2855/(D2855+E2855)</f>
        <v>0.512345679012346</v>
      </c>
      <c r="K2855" s="3" t="n">
        <f aca="false">IF(D2855&gt;E2855,1,0)</f>
        <v>1</v>
      </c>
      <c r="L2855" s="3" t="n">
        <f aca="false">IF(OR(F2855="Y",G2855="Y",H2855="Y"),1,0)</f>
        <v>0</v>
      </c>
      <c r="M2855" s="3" t="n">
        <f aca="false">IF(H2855="Y",1,0)</f>
        <v>0</v>
      </c>
      <c r="N2855" s="3" t="n">
        <f aca="false">IF(I2855="Y",1,0)</f>
        <v>0</v>
      </c>
    </row>
    <row r="2856" customFormat="false" ht="15" hidden="false" customHeight="true" outlineLevel="0" collapsed="false">
      <c r="A2856" s="7" t="s">
        <v>79</v>
      </c>
      <c r="B2856" s="7" t="n">
        <v>2016</v>
      </c>
      <c r="C2856" s="7" t="s">
        <v>381</v>
      </c>
      <c r="D2856" s="7" t="n">
        <v>95</v>
      </c>
      <c r="E2856" s="7" t="n">
        <v>67</v>
      </c>
      <c r="F2856" s="7" t="s">
        <v>548</v>
      </c>
      <c r="G2856" s="7" t="s">
        <v>546</v>
      </c>
      <c r="H2856" s="7" t="s">
        <v>546</v>
      </c>
      <c r="I2856" s="7" t="s">
        <v>546</v>
      </c>
      <c r="J2856" s="21" t="n">
        <f aca="false">D2856/(D2856+E2856)</f>
        <v>0.58641975308642</v>
      </c>
      <c r="K2856" s="3" t="n">
        <f aca="false">IF(D2856&gt;E2856,1,0)</f>
        <v>1</v>
      </c>
      <c r="L2856" s="3" t="n">
        <f aca="false">IF(OR(F2856="Y",G2856="Y",H2856="Y"),1,0)</f>
        <v>1</v>
      </c>
      <c r="M2856" s="3" t="n">
        <f aca="false">IF(H2856="Y",1,0)</f>
        <v>0</v>
      </c>
      <c r="N2856" s="3" t="n">
        <f aca="false">IF(I2856="Y",1,0)</f>
        <v>0</v>
      </c>
    </row>
    <row r="2857" customFormat="false" ht="15" hidden="false" customHeight="true" outlineLevel="0" collapsed="false">
      <c r="A2857" s="7" t="s">
        <v>79</v>
      </c>
      <c r="B2857" s="7" t="n">
        <v>2017</v>
      </c>
      <c r="C2857" s="7" t="s">
        <v>381</v>
      </c>
      <c r="D2857" s="7" t="n">
        <v>97</v>
      </c>
      <c r="E2857" s="7" t="n">
        <v>65</v>
      </c>
      <c r="F2857" s="7" t="s">
        <v>548</v>
      </c>
      <c r="G2857" s="7" t="s">
        <v>546</v>
      </c>
      <c r="H2857" s="7" t="s">
        <v>546</v>
      </c>
      <c r="I2857" s="7" t="s">
        <v>546</v>
      </c>
      <c r="J2857" s="21" t="n">
        <f aca="false">D2857/(D2857+E2857)</f>
        <v>0.598765432098765</v>
      </c>
      <c r="K2857" s="3" t="n">
        <f aca="false">IF(D2857&gt;E2857,1,0)</f>
        <v>1</v>
      </c>
      <c r="L2857" s="3" t="n">
        <f aca="false">IF(OR(F2857="Y",G2857="Y",H2857="Y"),1,0)</f>
        <v>1</v>
      </c>
      <c r="M2857" s="3" t="n">
        <f aca="false">IF(H2857="Y",1,0)</f>
        <v>0</v>
      </c>
      <c r="N2857" s="3" t="n">
        <f aca="false">IF(I2857="Y",1,0)</f>
        <v>0</v>
      </c>
    </row>
    <row r="2858" customFormat="false" ht="15" hidden="false" customHeight="true" outlineLevel="0" collapsed="false">
      <c r="A2858" s="7" t="s">
        <v>79</v>
      </c>
      <c r="B2858" s="7" t="n">
        <v>2018</v>
      </c>
      <c r="C2858" s="7" t="s">
        <v>381</v>
      </c>
      <c r="D2858" s="7" t="n">
        <v>82</v>
      </c>
      <c r="E2858" s="7" t="n">
        <v>80</v>
      </c>
      <c r="F2858" s="7" t="s">
        <v>546</v>
      </c>
      <c r="G2858" s="7" t="s">
        <v>546</v>
      </c>
      <c r="H2858" s="7" t="s">
        <v>546</v>
      </c>
      <c r="I2858" s="7" t="s">
        <v>546</v>
      </c>
      <c r="J2858" s="21" t="n">
        <f aca="false">D2858/(D2858+E2858)</f>
        <v>0.506172839506173</v>
      </c>
      <c r="K2858" s="3" t="n">
        <f aca="false">IF(D2858&gt;E2858,1,0)</f>
        <v>1</v>
      </c>
      <c r="L2858" s="3" t="n">
        <f aca="false">IF(OR(F2858="Y",G2858="Y",H2858="Y"),1,0)</f>
        <v>0</v>
      </c>
      <c r="M2858" s="3" t="n">
        <f aca="false">IF(H2858="Y",1,0)</f>
        <v>0</v>
      </c>
      <c r="N2858" s="3" t="n">
        <f aca="false">IF(I2858="Y",1,0)</f>
        <v>0</v>
      </c>
    </row>
    <row r="2859" customFormat="false" ht="15" hidden="false" customHeight="true" outlineLevel="0" collapsed="false">
      <c r="A2859" s="7" t="s">
        <v>79</v>
      </c>
      <c r="B2859" s="7" t="n">
        <v>2019</v>
      </c>
      <c r="C2859" s="7" t="s">
        <v>381</v>
      </c>
      <c r="D2859" s="7" t="n">
        <v>93</v>
      </c>
      <c r="E2859" s="7" t="n">
        <v>69</v>
      </c>
      <c r="F2859" s="7" t="s">
        <v>546</v>
      </c>
      <c r="G2859" s="7" t="s">
        <v>548</v>
      </c>
      <c r="H2859" s="7" t="s">
        <v>548</v>
      </c>
      <c r="I2859" s="7" t="s">
        <v>548</v>
      </c>
      <c r="J2859" s="21" t="n">
        <f aca="false">D2859/(D2859+E2859)</f>
        <v>0.574074074074074</v>
      </c>
      <c r="K2859" s="3" t="n">
        <f aca="false">IF(D2859&gt;E2859,1,0)</f>
        <v>1</v>
      </c>
      <c r="L2859" s="3" t="n">
        <f aca="false">IF(OR(F2859="Y",G2859="Y",H2859="Y"),1,0)</f>
        <v>1</v>
      </c>
      <c r="M2859" s="3" t="n">
        <f aca="false">IF(H2859="Y",1,0)</f>
        <v>1</v>
      </c>
      <c r="N2859" s="3" t="n">
        <f aca="false">IF(I2859="Y",1,0)</f>
        <v>1</v>
      </c>
    </row>
    <row r="2860" customFormat="false" ht="15" hidden="false" customHeight="true" outlineLevel="0" collapsed="false">
      <c r="A2860" s="7" t="s">
        <v>79</v>
      </c>
      <c r="B2860" s="7" t="n">
        <v>2020</v>
      </c>
      <c r="C2860" s="7" t="s">
        <v>381</v>
      </c>
      <c r="D2860" s="7" t="n">
        <v>26</v>
      </c>
      <c r="E2860" s="7" t="n">
        <v>34</v>
      </c>
      <c r="F2860" s="7" t="s">
        <v>546</v>
      </c>
      <c r="G2860" s="7" t="s">
        <v>546</v>
      </c>
      <c r="H2860" s="7" t="s">
        <v>546</v>
      </c>
      <c r="I2860" s="7" t="s">
        <v>546</v>
      </c>
      <c r="J2860" s="21" t="n">
        <f aca="false">D2860/(D2860+E2860)</f>
        <v>0.433333333333333</v>
      </c>
      <c r="K2860" s="3" t="n">
        <f aca="false">IF(D2860&gt;E2860,1,0)</f>
        <v>0</v>
      </c>
      <c r="L2860" s="3" t="n">
        <f aca="false">IF(OR(F2860="Y",G2860="Y",H2860="Y"),1,0)</f>
        <v>0</v>
      </c>
      <c r="M2860" s="3" t="n">
        <f aca="false">IF(H2860="Y",1,0)</f>
        <v>0</v>
      </c>
      <c r="N2860" s="3" t="n">
        <f aca="false">IF(I2860="Y",1,0)</f>
        <v>0</v>
      </c>
    </row>
    <row r="2861" customFormat="false" ht="15" hidden="false" customHeight="true" outlineLevel="0" collapsed="false">
      <c r="A2861" s="7" t="s">
        <v>79</v>
      </c>
      <c r="B2861" s="7" t="n">
        <v>2021</v>
      </c>
      <c r="C2861" s="7" t="s">
        <v>381</v>
      </c>
      <c r="D2861" s="7" t="n">
        <v>65</v>
      </c>
      <c r="E2861" s="7" t="n">
        <v>97</v>
      </c>
      <c r="F2861" s="7" t="s">
        <v>546</v>
      </c>
      <c r="G2861" s="7" t="s">
        <v>546</v>
      </c>
      <c r="H2861" s="7" t="s">
        <v>546</v>
      </c>
      <c r="I2861" s="7" t="s">
        <v>546</v>
      </c>
      <c r="J2861" s="21" t="n">
        <f aca="false">D2861/(D2861+E2861)</f>
        <v>0.401234567901235</v>
      </c>
      <c r="K2861" s="3" t="n">
        <f aca="false">IF(D2861&gt;E2861,1,0)</f>
        <v>0</v>
      </c>
      <c r="L2861" s="3" t="n">
        <f aca="false">IF(OR(F2861="Y",G2861="Y",H2861="Y"),1,0)</f>
        <v>0</v>
      </c>
      <c r="M2861" s="3" t="n">
        <f aca="false">IF(H2861="Y",1,0)</f>
        <v>0</v>
      </c>
      <c r="N2861" s="3" t="n">
        <f aca="false">IF(I2861="Y",1,0)</f>
        <v>0</v>
      </c>
    </row>
    <row r="2862" customFormat="false" ht="15" hidden="false" customHeight="true" outlineLevel="0" collapsed="false">
      <c r="A2862" s="7" t="s">
        <v>79</v>
      </c>
      <c r="B2862" s="7" t="n">
        <v>2022</v>
      </c>
      <c r="C2862" s="7" t="s">
        <v>381</v>
      </c>
      <c r="D2862" s="7" t="n">
        <v>55</v>
      </c>
      <c r="E2862" s="7" t="n">
        <v>107</v>
      </c>
      <c r="F2862" s="7" t="s">
        <v>546</v>
      </c>
      <c r="G2862" s="7" t="s">
        <v>546</v>
      </c>
      <c r="H2862" s="7" t="s">
        <v>546</v>
      </c>
      <c r="I2862" s="7" t="s">
        <v>546</v>
      </c>
      <c r="J2862" s="21" t="n">
        <f aca="false">D2862/(D2862+E2862)</f>
        <v>0.339506172839506</v>
      </c>
      <c r="K2862" s="3" t="n">
        <f aca="false">IF(D2862&gt;E2862,1,0)</f>
        <v>0</v>
      </c>
      <c r="L2862" s="3" t="n">
        <f aca="false">IF(OR(F2862="Y",G2862="Y",H2862="Y"),1,0)</f>
        <v>0</v>
      </c>
      <c r="M2862" s="3" t="n">
        <f aca="false">IF(H2862="Y",1,0)</f>
        <v>0</v>
      </c>
      <c r="N2862" s="3" t="n">
        <f aca="false">IF(I2862="Y",1,0)</f>
        <v>0</v>
      </c>
    </row>
    <row r="2863" customFormat="false" ht="15" hidden="false" customHeight="true" outlineLevel="0" collapsed="false">
      <c r="A2863" s="7" t="s">
        <v>79</v>
      </c>
      <c r="B2863" s="7" t="n">
        <v>2023</v>
      </c>
      <c r="C2863" s="7" t="s">
        <v>381</v>
      </c>
      <c r="D2863" s="7" t="n">
        <v>71</v>
      </c>
      <c r="E2863" s="7" t="n">
        <v>91</v>
      </c>
      <c r="F2863" s="7" t="s">
        <v>546</v>
      </c>
      <c r="G2863" s="7" t="s">
        <v>546</v>
      </c>
      <c r="H2863" s="7" t="s">
        <v>546</v>
      </c>
      <c r="I2863" s="7" t="s">
        <v>546</v>
      </c>
      <c r="J2863" s="21" t="n">
        <f aca="false">D2863/(D2863+E2863)</f>
        <v>0.438271604938272</v>
      </c>
      <c r="K2863" s="3" t="n">
        <f aca="false">IF(D2863&gt;E2863,1,0)</f>
        <v>0</v>
      </c>
      <c r="L2863" s="3" t="n">
        <f aca="false">IF(OR(F2863="Y",G2863="Y",H2863="Y"),1,0)</f>
        <v>0</v>
      </c>
      <c r="M2863" s="3" t="n">
        <f aca="false">IF(H2863="Y",1,0)</f>
        <v>0</v>
      </c>
      <c r="N2863" s="3" t="n">
        <f aca="false">IF(I2863="Y",1,0)</f>
        <v>0</v>
      </c>
    </row>
    <row r="2864" customFormat="false" ht="15" hidden="false" customHeight="true" outlineLevel="0" collapsed="false">
      <c r="A2864" s="7" t="s">
        <v>79</v>
      </c>
      <c r="B2864" s="7" t="n">
        <v>2024</v>
      </c>
      <c r="C2864" s="7" t="s">
        <v>381</v>
      </c>
      <c r="D2864" s="7" t="n">
        <v>71</v>
      </c>
      <c r="E2864" s="7" t="n">
        <v>91</v>
      </c>
      <c r="F2864" s="7" t="s">
        <v>546</v>
      </c>
      <c r="G2864" s="7" t="s">
        <v>546</v>
      </c>
      <c r="H2864" s="7" t="s">
        <v>546</v>
      </c>
      <c r="I2864" s="7" t="s">
        <v>546</v>
      </c>
      <c r="J2864" s="21" t="n">
        <f aca="false">D2864/(D2864+E2864)</f>
        <v>0.438271604938272</v>
      </c>
      <c r="K2864" s="3" t="n">
        <f aca="false">IF(D2864&gt;E2864,1,0)</f>
        <v>0</v>
      </c>
      <c r="L2864" s="3" t="n">
        <f aca="false">IF(OR(F2864="Y",G2864="Y",H2864="Y"),1,0)</f>
        <v>0</v>
      </c>
      <c r="M2864" s="3" t="n">
        <f aca="false">IF(H2864="Y",1,0)</f>
        <v>0</v>
      </c>
      <c r="N2864" s="3" t="n">
        <f aca="false">IF(I2864="Y",1,0)</f>
        <v>0</v>
      </c>
    </row>
    <row r="2865" customFormat="false" ht="15" hidden="false" customHeight="true" outlineLevel="0" collapsed="false">
      <c r="A2865" s="7" t="s">
        <v>79</v>
      </c>
      <c r="B2865" s="7" t="n">
        <v>2025</v>
      </c>
      <c r="C2865" s="7" t="s">
        <v>381</v>
      </c>
      <c r="D2865" s="7" t="n">
        <v>66</v>
      </c>
      <c r="E2865" s="7" t="n">
        <v>96</v>
      </c>
      <c r="F2865" s="7" t="s">
        <v>546</v>
      </c>
      <c r="G2865" s="7" t="s">
        <v>546</v>
      </c>
      <c r="H2865" s="7" t="s">
        <v>546</v>
      </c>
      <c r="I2865" s="7" t="s">
        <v>546</v>
      </c>
      <c r="J2865" s="21" t="n">
        <f aca="false">D2865/(D2865+E2865)</f>
        <v>0.407407407407407</v>
      </c>
      <c r="K2865" s="3" t="n">
        <f aca="false">IF(D2865&gt;E2865,1,0)</f>
        <v>0</v>
      </c>
      <c r="L2865" s="3" t="n">
        <f aca="false">IF(OR(F2865="Y",G2865="Y",H2865="Y"),1,0)</f>
        <v>0</v>
      </c>
      <c r="M2865" s="3" t="n">
        <f aca="false">IF(H2865="Y",1,0)</f>
        <v>0</v>
      </c>
      <c r="N2865" s="3" t="n">
        <f aca="false">IF(I2865="Y",1,0)</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0"/>
  </cols>
  <sheetData>
    <row r="1" customFormat="false" ht="15" hidden="false" customHeight="true" outlineLevel="0" collapsed="false">
      <c r="A1" s="31" t="s">
        <v>588</v>
      </c>
    </row>
    <row r="2" customFormat="false" ht="23.25" hidden="false" customHeight="true" outlineLevel="0" collapsed="false">
      <c r="A2" s="6" t="s">
        <v>589</v>
      </c>
    </row>
    <row r="3" customFormat="false" ht="23.25" hidden="false" customHeight="true" outlineLevel="0" collapsed="false">
      <c r="A3" s="6" t="s">
        <v>590</v>
      </c>
    </row>
    <row r="4" customFormat="false" ht="15" hidden="false" customHeight="true" outlineLevel="0" collapsed="false">
      <c r="A4" s="31" t="s">
        <v>591</v>
      </c>
    </row>
    <row r="5" customFormat="false" ht="23.25" hidden="false" customHeight="true" outlineLevel="0" collapsed="false">
      <c r="A5" s="6" t="s">
        <v>592</v>
      </c>
    </row>
    <row r="6" customFormat="false" ht="23.25" hidden="false" customHeight="true" outlineLevel="0" collapsed="false">
      <c r="A6" s="6" t="s">
        <v>593</v>
      </c>
    </row>
    <row r="7" customFormat="false" ht="23.25" hidden="false" customHeight="true" outlineLevel="0" collapsed="false">
      <c r="A7" s="6" t="s">
        <v>594</v>
      </c>
    </row>
    <row r="8" customFormat="false" ht="15" hidden="false" customHeight="true" outlineLevel="0" collapsed="false">
      <c r="A8" s="6" t="s">
        <v>595</v>
      </c>
    </row>
    <row r="9" customFormat="false" ht="34.5" hidden="false" customHeight="true" outlineLevel="0" collapsed="false">
      <c r="A9" s="6" t="s">
        <v>596</v>
      </c>
    </row>
    <row r="10" customFormat="false" ht="15" hidden="false" customHeight="true" outlineLevel="0" collapsed="false">
      <c r="A10" s="31" t="s">
        <v>597</v>
      </c>
    </row>
    <row r="11" customFormat="false" ht="23.25" hidden="false" customHeight="true" outlineLevel="0" collapsed="false">
      <c r="A11" s="6" t="s">
        <v>598</v>
      </c>
    </row>
    <row r="12" customFormat="false" ht="68.25" hidden="false" customHeight="true" outlineLevel="0" collapsed="false">
      <c r="A12" s="6" t="s">
        <v>599</v>
      </c>
    </row>
    <row r="13" customFormat="false" ht="15" hidden="false" customHeight="true" outlineLevel="0" collapsed="false">
      <c r="A13" s="31" t="s">
        <v>600</v>
      </c>
    </row>
    <row r="14" customFormat="false" ht="23.25" hidden="false" customHeight="true" outlineLevel="0" collapsed="false">
      <c r="A14" s="6" t="s">
        <v>601</v>
      </c>
    </row>
    <row r="15" customFormat="false" ht="23.25" hidden="false" customHeight="true" outlineLevel="0" collapsed="false">
      <c r="A15" s="6" t="s">
        <v>602</v>
      </c>
    </row>
    <row r="16" customFormat="false" ht="23.25" hidden="false" customHeight="true" outlineLevel="0" collapsed="false">
      <c r="A16" s="6" t="s">
        <v>603</v>
      </c>
    </row>
    <row r="17" customFormat="false" ht="23.25" hidden="false" customHeight="true" outlineLevel="0" collapsed="false">
      <c r="A17" s="6" t="s">
        <v>604</v>
      </c>
    </row>
    <row r="18" customFormat="false" ht="23.25" hidden="false" customHeight="true" outlineLevel="0" collapsed="false">
      <c r="A18" s="6" t="s">
        <v>605</v>
      </c>
    </row>
    <row r="19" customFormat="false" ht="15" hidden="false" customHeight="true" outlineLevel="0" collapsed="false">
      <c r="A19" s="31" t="s">
        <v>606</v>
      </c>
    </row>
    <row r="20" customFormat="false" ht="23.25" hidden="false" customHeight="true" outlineLevel="0" collapsed="false">
      <c r="A20" s="6" t="s">
        <v>607</v>
      </c>
    </row>
    <row r="21" customFormat="false" ht="23.25" hidden="false" customHeight="true" outlineLevel="0" collapsed="false">
      <c r="A21" s="6" t="s">
        <v>608</v>
      </c>
    </row>
    <row r="22" customFormat="false" ht="23.25" hidden="false" customHeight="true" outlineLevel="0" collapsed="false">
      <c r="A22" s="6" t="s">
        <v>609</v>
      </c>
    </row>
    <row r="23" customFormat="false" ht="15" hidden="false" customHeight="true" outlineLevel="0" collapsed="false">
      <c r="A23" s="31" t="s">
        <v>606</v>
      </c>
    </row>
    <row r="24" customFormat="false" ht="23.25" hidden="false" customHeight="true" outlineLevel="0" collapsed="false">
      <c r="A24" s="6" t="s">
        <v>610</v>
      </c>
    </row>
    <row r="25" customFormat="false" ht="34.5" hidden="false" customHeight="true" outlineLevel="0" collapsed="false">
      <c r="A25" s="6" t="s">
        <v>611</v>
      </c>
    </row>
    <row r="26" customFormat="false" ht="23.25" hidden="false" customHeight="true" outlineLevel="0" collapsed="false">
      <c r="A26" s="6" t="s">
        <v>609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60"/>
    <col collapsed="false" customWidth="true" hidden="false" outlineLevel="0" max="3" min="3" style="1" width="70"/>
    <col collapsed="false" customWidth="true" hidden="false" outlineLevel="0" max="4" min="4" style="1" width="20"/>
  </cols>
  <sheetData>
    <row r="1" customFormat="false" ht="15" hidden="false" customHeight="true" outlineLevel="0" collapsed="false">
      <c r="A1" s="4" t="s">
        <v>612</v>
      </c>
      <c r="B1" s="4" t="s">
        <v>613</v>
      </c>
      <c r="C1" s="4" t="s">
        <v>614</v>
      </c>
      <c r="D1" s="4" t="s">
        <v>615</v>
      </c>
    </row>
    <row r="2" customFormat="false" ht="15" hidden="false" customHeight="true" outlineLevel="0" collapsed="false">
      <c r="A2" s="3" t="s">
        <v>616</v>
      </c>
      <c r="B2" s="3" t="s">
        <v>617</v>
      </c>
      <c r="C2" s="3" t="s">
        <v>618</v>
      </c>
      <c r="D2" s="3"/>
    </row>
    <row r="3" customFormat="false" ht="15" hidden="false" customHeight="true" outlineLevel="0" collapsed="false">
      <c r="A3" s="3" t="n">
        <v>2017</v>
      </c>
      <c r="B3" s="3" t="s">
        <v>619</v>
      </c>
      <c r="C3" s="3" t="s">
        <v>620</v>
      </c>
      <c r="D3" s="20" t="n">
        <f aca="false">SUMIFS(Market_Panel!$W$2:$W$2705,Market_Panel!$B$2:$B$2705,A3)</f>
        <v>4132399089</v>
      </c>
    </row>
    <row r="4" customFormat="false" ht="15" hidden="false" customHeight="true" outlineLevel="0" collapsed="false">
      <c r="A4" s="3" t="n">
        <v>2018</v>
      </c>
      <c r="B4" s="3" t="s">
        <v>621</v>
      </c>
      <c r="C4" s="3" t="s">
        <v>622</v>
      </c>
      <c r="D4" s="20" t="n">
        <f aca="false">SUMIFS(Market_Panel!$W$2:$W$2705,Market_Panel!$B$2:$B$2705,A4)</f>
        <v>4547926246</v>
      </c>
    </row>
    <row r="5" customFormat="false" ht="15" hidden="false" customHeight="true" outlineLevel="0" collapsed="false">
      <c r="A5" s="3" t="n">
        <v>2019</v>
      </c>
      <c r="B5" s="3" t="s">
        <v>623</v>
      </c>
      <c r="C5" s="3" t="s">
        <v>624</v>
      </c>
      <c r="D5" s="20" t="n">
        <f aca="false">SUMIFS(Market_Panel!$W$2:$W$2705,Market_Panel!$B$2:$B$2705,A5)</f>
        <v>3951986229</v>
      </c>
    </row>
    <row r="6" customFormat="false" ht="15" hidden="false" customHeight="true" outlineLevel="0" collapsed="false">
      <c r="A6" s="3" t="n">
        <v>2020</v>
      </c>
      <c r="B6" s="3" t="s">
        <v>625</v>
      </c>
      <c r="C6" s="3" t="s">
        <v>626</v>
      </c>
      <c r="D6" s="20" t="n">
        <f aca="false">SUMIFS(Market_Panel!$W$2:$W$2705,Market_Panel!$B$2:$B$2705,A6)</f>
        <v>1746482173</v>
      </c>
    </row>
    <row r="7" customFormat="false" ht="15" hidden="false" customHeight="true" outlineLevel="0" collapsed="false">
      <c r="A7" s="3" t="n">
        <v>2021</v>
      </c>
      <c r="B7" s="3" t="s">
        <v>627</v>
      </c>
      <c r="C7" s="3" t="s">
        <v>628</v>
      </c>
      <c r="D7" s="20" t="n">
        <f aca="false">SUMIFS(Market_Panel!$W$2:$W$2705,Market_Panel!$B$2:$B$2705,A7)</f>
        <v>4050986036</v>
      </c>
    </row>
    <row r="8" customFormat="false" ht="15" hidden="false" customHeight="true" outlineLevel="0" collapsed="false">
      <c r="A8" s="3" t="n">
        <v>2022</v>
      </c>
      <c r="B8" s="3" t="s">
        <v>627</v>
      </c>
      <c r="C8" s="3" t="s">
        <v>629</v>
      </c>
      <c r="D8" s="20" t="n">
        <f aca="false">SUMIFS(Market_Panel!$W$2:$W$2705,Market_Panel!$B$2:$B$2705,A8)</f>
        <v>4416379664</v>
      </c>
    </row>
    <row r="9" customFormat="false" ht="15" hidden="false" customHeight="true" outlineLevel="0" collapsed="false">
      <c r="A9" s="3" t="n">
        <v>2023</v>
      </c>
      <c r="B9" s="3" t="s">
        <v>630</v>
      </c>
      <c r="C9" s="3" t="s">
        <v>631</v>
      </c>
      <c r="D9" s="20" t="n">
        <f aca="false">SUMIFS(Market_Panel!$W$2:$W$2705,Market_Panel!$B$2:$B$2705,A9)</f>
        <v>4806944211</v>
      </c>
    </row>
    <row r="10" customFormat="false" ht="15" hidden="false" customHeight="true" outlineLevel="0" collapsed="false">
      <c r="A10" s="3" t="n">
        <v>2024</v>
      </c>
      <c r="B10" s="3" t="s">
        <v>632</v>
      </c>
      <c r="C10" s="3" t="s">
        <v>628</v>
      </c>
      <c r="D10" s="20" t="n">
        <f aca="false">SUMIFS(Market_Panel!$W$2:$W$2705,Market_Panel!$B$2:$B$2705,A10)</f>
        <v>5158238370</v>
      </c>
    </row>
    <row r="11" customFormat="false" ht="15" hidden="false" customHeight="true" outlineLevel="0" collapsed="false">
      <c r="A11" s="3" t="n">
        <v>2025</v>
      </c>
      <c r="B11" s="3" t="s">
        <v>632</v>
      </c>
      <c r="C11" s="3" t="s">
        <v>628</v>
      </c>
      <c r="D11" s="20" t="n">
        <f aca="false">SUMIFS(Market_Panel!$W$2:$W$2705,Market_Panel!$B$2:$B$2705,A11)</f>
        <v>5319704476</v>
      </c>
    </row>
    <row r="14" customFormat="false" ht="15" hidden="false" customHeight="true" outlineLevel="0" collapsed="false">
      <c r="A14" s="3" t="s">
        <v>633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2026-10-15T05:04:27Z</dcterms:created>
  <dc:creator>openpyxl</dc:creator>
  <dc:description/>
  <dc:language>en-US</dc:language>
  <cp:lastModifiedBy/>
  <dcterms:modified xsi:type="dcterms:W3CDTF">2026-10-15T15:55:07Z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